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5.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6.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7.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1.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3.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4.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5.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26.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7.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8.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29.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30.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31.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32.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33.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36.xml" ContentType="application/vnd.openxmlformats-officedocument.drawing+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37.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38.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39.xml" ContentType="application/vnd.openxmlformats-officedocument.drawing+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40.xml" ContentType="application/vnd.openxmlformats-officedocument.drawing+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41.xml" ContentType="application/vnd.openxmlformats-officedocument.drawing+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42.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43.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44.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4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drawings/drawing48.xml" ContentType="application/vnd.openxmlformats-officedocument.drawing+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49.xml" ContentType="application/vnd.openxmlformats-officedocument.drawing+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50.xml" ContentType="application/vnd.openxmlformats-officedocument.drawing+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51.xml" ContentType="application/vnd.openxmlformats-officedocument.drawing+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drawings/drawing52.xml" ContentType="application/vnd.openxmlformats-officedocument.drawing+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53.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drawings/drawing54.xml" ContentType="application/vnd.openxmlformats-officedocument.drawing+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55.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drawings/drawing56.xml" ContentType="application/vnd.openxmlformats-officedocument.drawing+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57.xml" ContentType="application/vnd.openxmlformats-officedocument.drawing+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58.xml" ContentType="application/vnd.openxmlformats-officedocument.drawing+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59.xml" ContentType="application/vnd.openxmlformats-officedocument.drawing+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60.xml" ContentType="application/vnd.openxmlformats-officedocument.drawing+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drawings/drawing61.xml" ContentType="application/vnd.openxmlformats-officedocument.drawing+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62.xml" ContentType="application/vnd.openxmlformats-officedocument.drawing+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63.xml" ContentType="application/vnd.openxmlformats-officedocument.drawing+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drawings/drawing64.xml" ContentType="application/vnd.openxmlformats-officedocument.drawing+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drawings/drawing67.xml" ContentType="application/vnd.openxmlformats-officedocument.drawing+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drawings/drawing68.xml" ContentType="application/vnd.openxmlformats-officedocument.drawing+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drawings/drawing69.xml" ContentType="application/vnd.openxmlformats-officedocument.drawing+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drawings/drawing70.xml" ContentType="application/vnd.openxmlformats-officedocument.drawing+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drawings/drawing71.xml" ContentType="application/vnd.openxmlformats-officedocument.drawing+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drawings/drawing72.xml" ContentType="application/vnd.openxmlformats-officedocument.drawing+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73.xml" ContentType="application/vnd.openxmlformats-officedocument.drawing+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drawings/drawing74.xml" ContentType="application/vnd.openxmlformats-officedocument.drawing+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drawings/drawing75.xml" ContentType="application/vnd.openxmlformats-officedocument.drawing+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drawings/drawing76.xml" ContentType="application/vnd.openxmlformats-officedocument.drawing+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drawings/drawing77.xml" ContentType="application/vnd.openxmlformats-officedocument.drawing+xml"/>
  <Override PartName="/xl/drawings/drawing78.xml" ContentType="application/vnd.openxmlformats-officedocument.drawing+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P&amp;R\BITRE\Transport &amp; Infrastructure\Transport Activity Forecasting\Time Series Modelling\Electric Vehicles\"/>
    </mc:Choice>
  </mc:AlternateContent>
  <bookViews>
    <workbookView xWindow="0" yWindow="0" windowWidth="28800" windowHeight="13500" tabRatio="948" firstSheet="41" activeTab="42"/>
  </bookViews>
  <sheets>
    <sheet name="DC,NTC,ClimWrks sales" sheetId="47" r:id="rId1"/>
    <sheet name="DC stock data" sheetId="1" r:id="rId2"/>
    <sheet name="DC sales proj" sheetId="2" r:id="rId3"/>
    <sheet name="Lithium Battery costs" sheetId="3" r:id="rId4"/>
    <sheet name="kWh reg" sheetId="15" r:id="rId5"/>
    <sheet name="Vehicle price" sheetId="19" r:id="rId6"/>
    <sheet name="German car price" sheetId="45" r:id="rId7"/>
    <sheet name="Tesla model 3 price" sheetId="18" r:id="rId8"/>
    <sheet name="EV %sales" sheetId="16" r:id="rId9"/>
    <sheet name="EV data tables" sheetId="488" r:id="rId10"/>
    <sheet name="Bloomberg EV% sales" sheetId="288" r:id="rId11"/>
    <sheet name="Global EV sales% to 2017" sheetId="301" r:id="rId12"/>
    <sheet name="Major Europe" sheetId="42" r:id="rId13"/>
    <sheet name="Rest Europe" sheetId="41" r:id="rId14"/>
    <sheet name="BEV model year data" sheetId="11" r:id="rId15"/>
    <sheet name="kWh_Range reg" sheetId="414" r:id="rId16"/>
    <sheet name="BEV time series" sheetId="5" r:id="rId17"/>
    <sheet name="Forecast Petrol Prices" sheetId="97" r:id="rId18"/>
    <sheet name="Country Petrol Prices" sheetId="40" r:id="rId19"/>
    <sheet name="Country Vehicle Prices" sheetId="67" r:id="rId20"/>
    <sheet name="Country L per 100 km" sheetId="247" r:id="rId21"/>
    <sheet name="Country distance travelled" sheetId="248" r:id="rId22"/>
    <sheet name="Recharge facilities" sheetId="21" r:id="rId23"/>
    <sheet name="Acceptance reg" sheetId="23" r:id="rId24"/>
    <sheet name="Range acceptance" sheetId="4" r:id="rId25"/>
    <sheet name="Incentives" sheetId="44" r:id="rId26"/>
    <sheet name="Pop, Veh " sheetId="22" r:id="rId27"/>
    <sheet name="VANS" sheetId="38" r:id="rId28"/>
    <sheet name="Exchange rates" sheetId="46" r:id="rId29"/>
    <sheet name="BEV reg" sheetId="92" r:id="rId30"/>
    <sheet name="PHEV reg" sheetId="95" r:id="rId31"/>
    <sheet name="EV uptake 1" sheetId="116" r:id="rId32"/>
    <sheet name=" PHEV uptake 1" sheetId="346" r:id="rId33"/>
    <sheet name=" time series- X section" sheetId="183" r:id="rId34"/>
    <sheet name="T-series X-section orig" sheetId="201" r:id="rId35"/>
    <sheet name="T-series X-section Norway lag" sheetId="258" r:id="rId36"/>
    <sheet name="Steep reg" sheetId="409" r:id="rId37"/>
    <sheet name="Global reg" sheetId="173" r:id="rId38"/>
    <sheet name="Sheet1" sheetId="471" r:id="rId39"/>
    <sheet name="Global EV uptake" sheetId="117" r:id="rId40"/>
    <sheet name=" All uptake reg" sheetId="486" r:id="rId41"/>
    <sheet name="Steep, medium, flat" sheetId="489" r:id="rId42"/>
    <sheet name=" All EV uptake" sheetId="96" r:id="rId43"/>
    <sheet name="OZ reg" sheetId="485" r:id="rId44"/>
    <sheet name="Australia EV uptake" sheetId="413" r:id="rId45"/>
    <sheet name="Australia" sheetId="37" r:id="rId46"/>
    <sheet name="Austria reg" sheetId="440" r:id="rId47"/>
    <sheet name="Austria EV uptake" sheetId="126" r:id="rId48"/>
    <sheet name="Austria" sheetId="48" r:id="rId49"/>
    <sheet name="Belgian reg" sheetId="467" r:id="rId50"/>
    <sheet name="Belgian EV uptake" sheetId="130" r:id="rId51"/>
    <sheet name="Belgium" sheetId="55" r:id="rId52"/>
    <sheet name="British reg" sheetId="428" r:id="rId53"/>
    <sheet name="Britain 100% reg" sheetId="487" r:id="rId54"/>
    <sheet name="British EV uptake" sheetId="134" r:id="rId55"/>
    <sheet name="Britain" sheetId="50" r:id="rId56"/>
    <sheet name="Britain data" sheetId="36" r:id="rId57"/>
    <sheet name=" Canada reg" sheetId="451" r:id="rId58"/>
    <sheet name="Canada EV uptake" sheetId="140" r:id="rId59"/>
    <sheet name="Canada" sheetId="57" r:id="rId60"/>
    <sheet name="China reg" sheetId="468" r:id="rId61"/>
    <sheet name="China EV uptake" sheetId="200" r:id="rId62"/>
    <sheet name="China" sheetId="98" r:id="rId63"/>
    <sheet name="Demnark reg" sheetId="406" r:id="rId64"/>
    <sheet name="Denmark EV uptake" sheetId="205" r:id="rId65"/>
    <sheet name="Denmark" sheetId="54" r:id="rId66"/>
    <sheet name="Finland reg" sheetId="470" r:id="rId67"/>
    <sheet name="Finland EV uptake" sheetId="209" r:id="rId68"/>
    <sheet name="Finland" sheetId="53" r:id="rId69"/>
    <sheet name="France reg" sheetId="418" r:id="rId70"/>
    <sheet name="France EV uptake" sheetId="214" r:id="rId71"/>
    <sheet name="France" sheetId="51" r:id="rId72"/>
    <sheet name="France data" sheetId="31" r:id="rId73"/>
    <sheet name="Germany reg" sheetId="439" r:id="rId74"/>
    <sheet name="Germany EV uptake" sheetId="216" r:id="rId75"/>
    <sheet name="Germany" sheetId="52" r:id="rId76"/>
    <sheet name="India reg" sheetId="319" r:id="rId77"/>
    <sheet name="India EV uptake" sheetId="218" r:id="rId78"/>
    <sheet name="India" sheetId="62" r:id="rId79"/>
    <sheet name="India data" sheetId="43" r:id="rId80"/>
    <sheet name="Ireland reg" sheetId="323" r:id="rId81"/>
    <sheet name="Ireland EV uptake" sheetId="221" r:id="rId82"/>
    <sheet name="Ireland" sheetId="58" r:id="rId83"/>
    <sheet name="Italy reg" sheetId="455" r:id="rId84"/>
    <sheet name="Italy EV uptake" sheetId="224" r:id="rId85"/>
    <sheet name="Italy" sheetId="59" r:id="rId86"/>
    <sheet name="Japan reg" sheetId="457" r:id="rId87"/>
    <sheet name="Japan EV uptake" sheetId="226" r:id="rId88"/>
    <sheet name="Japan" sheetId="63" r:id="rId89"/>
    <sheet name="Japan data" sheetId="32" r:id="rId90"/>
    <sheet name="Korea reg" sheetId="326" r:id="rId91"/>
    <sheet name="Korea EV uptake" sheetId="325" r:id="rId92"/>
    <sheet name="Korea" sheetId="65" r:id="rId93"/>
    <sheet name="Netherlands BEV-PHEV take-up" sheetId="68" r:id="rId94"/>
    <sheet name="Netherland reg" sheetId="397" r:id="rId95"/>
    <sheet name="Netherlands logist Take-up" sheetId="347" r:id="rId96"/>
    <sheet name="Netherlands " sheetId="33" r:id="rId97"/>
    <sheet name="NZ reg" sheetId="458" r:id="rId98"/>
    <sheet name="New Zealand EV uptake" sheetId="365" r:id="rId99"/>
    <sheet name="New Zealand" sheetId="64" r:id="rId100"/>
    <sheet name="New Zealand data" sheetId="30" r:id="rId101"/>
    <sheet name="Norway lead" sheetId="228" r:id="rId102"/>
    <sheet name="Norway reg" sheetId="461" r:id="rId103"/>
    <sheet name="Norway EV uptake with subs" sheetId="20" r:id="rId104"/>
    <sheet name="Norway with subs" sheetId="49" r:id="rId105"/>
    <sheet name="Norway data" sheetId="34" r:id="rId106"/>
    <sheet name="Spain reg" sheetId="371" r:id="rId107"/>
    <sheet name="Spain EV uptake" sheetId="370" r:id="rId108"/>
    <sheet name="Spain" sheetId="60" r:id="rId109"/>
    <sheet name="Sweden reg" sheetId="459" r:id="rId110"/>
    <sheet name="Sweden EV uptake" sheetId="373" r:id="rId111"/>
    <sheet name="Sweden" sheetId="35" r:id="rId112"/>
    <sheet name="Swiss reg" sheetId="443" r:id="rId113"/>
    <sheet name="Switzerland EV uptake" sheetId="375" r:id="rId114"/>
    <sheet name="Switzerland" sheetId="61" r:id="rId115"/>
    <sheet name="USA reg" sheetId="460" r:id="rId116"/>
    <sheet name="USA EV uptake" sheetId="377" r:id="rId117"/>
    <sheet name="USA" sheetId="66" r:id="rId118"/>
    <sheet name="USA data" sheetId="39" r:id="rId119"/>
    <sheet name="Rest Europe reg" sheetId="381" r:id="rId120"/>
    <sheet name="Rest Europe EV takeup" sheetId="380" r:id="rId121"/>
    <sheet name="CPIs" sheetId="69" r:id="rId122"/>
    <sheet name="ICE phaseout dates" sheetId="24" r:id="rId123"/>
  </sheets>
  <calcPr calcId="162913"/>
</workbook>
</file>

<file path=xl/calcChain.xml><?xml version="1.0" encoding="utf-8"?>
<calcChain xmlns="http://schemas.openxmlformats.org/spreadsheetml/2006/main">
  <c r="H26" i="37" l="1"/>
  <c r="J13" i="37"/>
  <c r="J14" i="37"/>
  <c r="J20" i="37"/>
  <c r="J21" i="37"/>
  <c r="J22" i="37"/>
  <c r="J15" i="37"/>
  <c r="J16" i="37"/>
  <c r="J17" i="37"/>
  <c r="J18" i="37"/>
  <c r="J19" i="37"/>
  <c r="J23" i="37"/>
  <c r="J24" i="37"/>
  <c r="E88" i="49" l="1"/>
  <c r="E89" i="49"/>
  <c r="E90" i="49"/>
  <c r="E91" i="49"/>
  <c r="E92" i="49"/>
  <c r="E93" i="49"/>
  <c r="E94" i="49"/>
  <c r="E95" i="49"/>
  <c r="E96" i="49"/>
  <c r="E97" i="49"/>
  <c r="AC3" i="489" l="1"/>
  <c r="AB3" i="489"/>
  <c r="AA3" i="489"/>
  <c r="Z3" i="489"/>
  <c r="Y3" i="489"/>
  <c r="N6" i="489"/>
  <c r="N7" i="489"/>
  <c r="V3" i="489"/>
  <c r="U3" i="489"/>
  <c r="T3" i="489"/>
  <c r="S3" i="489"/>
  <c r="R3" i="489"/>
  <c r="Q3" i="489"/>
  <c r="P3" i="489"/>
  <c r="O3" i="489"/>
  <c r="N3" i="489"/>
  <c r="M3" i="489"/>
  <c r="L3" i="489"/>
  <c r="K3" i="489"/>
  <c r="J3" i="489"/>
  <c r="G3" i="489"/>
  <c r="F3" i="489"/>
  <c r="E3" i="489"/>
  <c r="D3" i="489"/>
  <c r="C3" i="489"/>
  <c r="B3" i="489"/>
  <c r="BP5" i="413" l="1"/>
  <c r="BP6" i="413"/>
  <c r="BP4" i="413"/>
  <c r="BO4" i="413"/>
  <c r="BK6" i="413"/>
  <c r="BK4" i="413"/>
  <c r="BK5" i="413"/>
  <c r="V86" i="35" l="1"/>
  <c r="V87" i="35"/>
  <c r="V88" i="35"/>
  <c r="V89" i="35"/>
  <c r="V90" i="35"/>
  <c r="V91" i="35"/>
  <c r="V92" i="35"/>
  <c r="V93" i="35"/>
  <c r="V94" i="35"/>
  <c r="V95" i="35"/>
  <c r="V96" i="35"/>
  <c r="V97" i="35"/>
  <c r="V98" i="35"/>
  <c r="V99" i="35"/>
  <c r="V100" i="35"/>
  <c r="V101" i="35"/>
  <c r="V102" i="35"/>
  <c r="V103" i="35"/>
  <c r="V85" i="35"/>
  <c r="U14" i="216"/>
  <c r="W91" i="66"/>
  <c r="W92" i="66"/>
  <c r="W93" i="66"/>
  <c r="W94" i="66"/>
  <c r="W95" i="66"/>
  <c r="W96" i="66"/>
  <c r="W97" i="66"/>
  <c r="W98" i="66"/>
  <c r="W99" i="66"/>
  <c r="W100" i="66"/>
  <c r="W101" i="66"/>
  <c r="W102" i="66"/>
  <c r="U85" i="61"/>
  <c r="U86" i="61"/>
  <c r="U87" i="61"/>
  <c r="U88" i="61"/>
  <c r="U89" i="61"/>
  <c r="U91" i="61"/>
  <c r="U92" i="61"/>
  <c r="U93" i="61"/>
  <c r="U94" i="61"/>
  <c r="U95" i="61"/>
  <c r="U96" i="61"/>
  <c r="U97" i="61"/>
  <c r="U98" i="61"/>
  <c r="U99" i="61"/>
  <c r="U100" i="61"/>
  <c r="U101" i="61"/>
  <c r="U102" i="61"/>
  <c r="U84" i="61"/>
  <c r="U91" i="60"/>
  <c r="U92" i="60"/>
  <c r="U93" i="60"/>
  <c r="U94" i="60"/>
  <c r="U95" i="60"/>
  <c r="U96" i="60"/>
  <c r="U97" i="60"/>
  <c r="U98" i="60"/>
  <c r="U99" i="60"/>
  <c r="U100" i="60"/>
  <c r="U101" i="60"/>
  <c r="U102" i="60"/>
  <c r="U80" i="49"/>
  <c r="U81" i="49"/>
  <c r="U82" i="49"/>
  <c r="U83" i="49"/>
  <c r="U84" i="49"/>
  <c r="U85" i="49"/>
  <c r="U86" i="49"/>
  <c r="U87" i="49"/>
  <c r="U88" i="49"/>
  <c r="U89" i="49"/>
  <c r="U90" i="49"/>
  <c r="U91" i="49"/>
  <c r="U92" i="49"/>
  <c r="U93" i="49"/>
  <c r="U94" i="49"/>
  <c r="U95" i="49"/>
  <c r="U96" i="49"/>
  <c r="U97" i="49"/>
  <c r="U79" i="49"/>
  <c r="U94" i="64"/>
  <c r="U95" i="64"/>
  <c r="U96" i="64"/>
  <c r="U97" i="64"/>
  <c r="U98" i="64"/>
  <c r="U99" i="64"/>
  <c r="U100" i="64"/>
  <c r="U101" i="64"/>
  <c r="U102" i="64"/>
  <c r="U103" i="64"/>
  <c r="U104" i="64"/>
  <c r="U105" i="64"/>
  <c r="W94" i="33"/>
  <c r="W95" i="33"/>
  <c r="W96" i="33"/>
  <c r="W97" i="33"/>
  <c r="W98" i="33"/>
  <c r="W99" i="33"/>
  <c r="W100" i="33"/>
  <c r="W101" i="33"/>
  <c r="W102" i="33"/>
  <c r="W103" i="33"/>
  <c r="W104" i="33"/>
  <c r="W105" i="33"/>
  <c r="T94" i="65"/>
  <c r="T95" i="65"/>
  <c r="T96" i="65"/>
  <c r="T97" i="65"/>
  <c r="T98" i="65"/>
  <c r="T99" i="65"/>
  <c r="T100" i="65"/>
  <c r="T101" i="65"/>
  <c r="T102" i="65"/>
  <c r="T103" i="65"/>
  <c r="T104" i="65"/>
  <c r="T105" i="65"/>
  <c r="T91" i="63"/>
  <c r="T92" i="63"/>
  <c r="T93" i="63"/>
  <c r="T94" i="63"/>
  <c r="T95" i="63"/>
  <c r="T96" i="63"/>
  <c r="T97" i="63"/>
  <c r="T98" i="63"/>
  <c r="T99" i="63"/>
  <c r="T100" i="63"/>
  <c r="T101" i="63"/>
  <c r="T102" i="63"/>
  <c r="U89" i="59"/>
  <c r="U90" i="59"/>
  <c r="U91" i="59"/>
  <c r="U92" i="59"/>
  <c r="U93" i="59"/>
  <c r="U94" i="59"/>
  <c r="U95" i="59"/>
  <c r="U96" i="59"/>
  <c r="U97" i="59"/>
  <c r="U98" i="59"/>
  <c r="U99" i="59"/>
  <c r="U100" i="59"/>
  <c r="U89" i="58"/>
  <c r="U90" i="58"/>
  <c r="U91" i="58"/>
  <c r="U92" i="58"/>
  <c r="U93" i="58"/>
  <c r="U94" i="58"/>
  <c r="U95" i="58"/>
  <c r="U96" i="58"/>
  <c r="U97" i="58"/>
  <c r="U98" i="58"/>
  <c r="U99" i="58"/>
  <c r="U100" i="58"/>
  <c r="U91" i="62"/>
  <c r="U92" i="62"/>
  <c r="U93" i="62"/>
  <c r="U94" i="62"/>
  <c r="U95" i="62"/>
  <c r="U96" i="62"/>
  <c r="U97" i="62"/>
  <c r="U98" i="62"/>
  <c r="U99" i="62"/>
  <c r="U100" i="62"/>
  <c r="U101" i="62"/>
  <c r="U102" i="62"/>
  <c r="T91" i="52"/>
  <c r="T92" i="52"/>
  <c r="T93" i="52"/>
  <c r="T94" i="52"/>
  <c r="T95" i="52"/>
  <c r="T96" i="52"/>
  <c r="T97" i="52"/>
  <c r="T98" i="52"/>
  <c r="T99" i="52"/>
  <c r="T100" i="52"/>
  <c r="T101" i="52"/>
  <c r="T102" i="52"/>
  <c r="U90" i="51"/>
  <c r="U91" i="51"/>
  <c r="U92" i="51"/>
  <c r="U93" i="51"/>
  <c r="U94" i="51"/>
  <c r="U95" i="51"/>
  <c r="U96" i="51"/>
  <c r="U97" i="51"/>
  <c r="U98" i="51"/>
  <c r="U99" i="51"/>
  <c r="U100" i="51"/>
  <c r="U101" i="51"/>
  <c r="U89" i="53"/>
  <c r="U90" i="53"/>
  <c r="U91" i="53"/>
  <c r="U92" i="53"/>
  <c r="U93" i="53"/>
  <c r="U94" i="53"/>
  <c r="U95" i="53"/>
  <c r="U96" i="53"/>
  <c r="U97" i="53"/>
  <c r="U98" i="53"/>
  <c r="U99" i="53"/>
  <c r="U100" i="53"/>
  <c r="U87" i="54"/>
  <c r="U88" i="54"/>
  <c r="U89" i="54"/>
  <c r="U90" i="54"/>
  <c r="U91" i="54"/>
  <c r="U92" i="54"/>
  <c r="U93" i="54"/>
  <c r="U94" i="54"/>
  <c r="U95" i="54"/>
  <c r="U96" i="54"/>
  <c r="U97" i="54"/>
  <c r="U98" i="54"/>
  <c r="U86" i="98"/>
  <c r="U87" i="98"/>
  <c r="U88" i="98"/>
  <c r="U89" i="98"/>
  <c r="U90" i="98"/>
  <c r="U91" i="98"/>
  <c r="U92" i="98"/>
  <c r="U93" i="98"/>
  <c r="U94" i="98"/>
  <c r="U95" i="98"/>
  <c r="U96" i="98"/>
  <c r="U97" i="98"/>
  <c r="U87" i="57"/>
  <c r="U88" i="57"/>
  <c r="U89" i="57"/>
  <c r="U90" i="57"/>
  <c r="U91" i="57"/>
  <c r="U92" i="57"/>
  <c r="U93" i="57"/>
  <c r="U94" i="57"/>
  <c r="U95" i="57"/>
  <c r="U96" i="57"/>
  <c r="U97" i="57"/>
  <c r="U98" i="57"/>
  <c r="U99" i="57"/>
  <c r="U100" i="57" s="1"/>
  <c r="U101" i="57" s="1"/>
  <c r="U102" i="57" s="1"/>
  <c r="U103" i="57" s="1"/>
  <c r="U104" i="57" s="1"/>
  <c r="U105" i="57" s="1"/>
  <c r="U106" i="57" s="1"/>
  <c r="U107" i="57" s="1"/>
  <c r="U108" i="57" s="1"/>
  <c r="U88" i="50"/>
  <c r="U89" i="50"/>
  <c r="U90" i="50"/>
  <c r="U91" i="50"/>
  <c r="U92" i="50"/>
  <c r="U93" i="50"/>
  <c r="U94" i="50"/>
  <c r="U95" i="50"/>
  <c r="U96" i="50"/>
  <c r="U97" i="50"/>
  <c r="U98" i="50"/>
  <c r="U99" i="50"/>
  <c r="U100" i="50" s="1"/>
  <c r="U101" i="50" s="1"/>
  <c r="U102" i="50" s="1"/>
  <c r="U103" i="50" s="1"/>
  <c r="U104" i="50" s="1"/>
  <c r="U105" i="50" s="1"/>
  <c r="U106" i="50" s="1"/>
  <c r="U107" i="50" s="1"/>
  <c r="U108" i="50" s="1"/>
  <c r="U109" i="50" s="1"/>
  <c r="U89" i="55" l="1"/>
  <c r="U90" i="55"/>
  <c r="U91" i="55"/>
  <c r="U92" i="55"/>
  <c r="U93" i="55"/>
  <c r="U94" i="55"/>
  <c r="U95" i="55"/>
  <c r="U96" i="55"/>
  <c r="U97" i="55"/>
  <c r="U98" i="55"/>
  <c r="U99" i="55"/>
  <c r="U100" i="55"/>
  <c r="U101" i="55"/>
  <c r="U102" i="55" s="1"/>
  <c r="U103" i="55" s="1"/>
  <c r="U104" i="55" s="1"/>
  <c r="U105" i="55" s="1"/>
  <c r="U106" i="55" s="1"/>
  <c r="U107" i="55" s="1"/>
  <c r="U108" i="55" s="1"/>
  <c r="U109" i="55" s="1"/>
  <c r="U110" i="55" s="1"/>
  <c r="V86" i="48"/>
  <c r="V87" i="48"/>
  <c r="V88" i="48"/>
  <c r="V89" i="48"/>
  <c r="V90" i="48"/>
  <c r="V91" i="48"/>
  <c r="V92" i="48"/>
  <c r="V93" i="48"/>
  <c r="V94" i="48"/>
  <c r="V95" i="48"/>
  <c r="V96" i="48"/>
  <c r="V97" i="48"/>
  <c r="U142" i="37"/>
  <c r="U143" i="37"/>
  <c r="U144" i="37"/>
  <c r="U145" i="37"/>
  <c r="U146" i="37"/>
  <c r="U147" i="37"/>
  <c r="U148" i="37"/>
  <c r="U149" i="37"/>
  <c r="U150" i="37"/>
  <c r="U151" i="37"/>
  <c r="U152" i="37"/>
  <c r="U153" i="37"/>
  <c r="U154" i="37"/>
  <c r="U155" i="37"/>
  <c r="U156" i="37"/>
  <c r="U157" i="37"/>
  <c r="U158" i="37"/>
  <c r="U159" i="37"/>
  <c r="U141" i="37"/>
  <c r="AC82" i="66"/>
  <c r="AD82" i="66" s="1"/>
  <c r="AE82" i="66" s="1"/>
  <c r="AC83" i="66"/>
  <c r="AD83" i="66" s="1"/>
  <c r="AE83" i="66" s="1"/>
  <c r="AC84" i="66"/>
  <c r="AD84" i="66" s="1"/>
  <c r="AC85" i="66"/>
  <c r="AD85" i="66" s="1"/>
  <c r="AC86" i="66"/>
  <c r="AD86" i="66" s="1"/>
  <c r="AC87" i="66"/>
  <c r="AD87" i="66" s="1"/>
  <c r="AC88" i="66"/>
  <c r="AD88" i="66" s="1"/>
  <c r="AC89" i="66"/>
  <c r="AD89" i="66" s="1"/>
  <c r="AA82" i="60"/>
  <c r="AB82" i="60" s="1"/>
  <c r="AC82" i="60" s="1"/>
  <c r="AA83" i="60"/>
  <c r="AB83" i="60" s="1"/>
  <c r="AC83" i="60" s="1"/>
  <c r="AA84" i="60"/>
  <c r="AB84" i="60" s="1"/>
  <c r="AA85" i="60"/>
  <c r="AB85" i="60" s="1"/>
  <c r="AA86" i="60"/>
  <c r="AB86" i="60" s="1"/>
  <c r="AA87" i="60"/>
  <c r="AB87" i="60" s="1"/>
  <c r="AA88" i="60"/>
  <c r="AB88" i="60" s="1"/>
  <c r="AA89" i="60"/>
  <c r="AB89" i="60" s="1"/>
  <c r="AB85" i="64"/>
  <c r="AC85" i="64" s="1"/>
  <c r="AD85" i="64" s="1"/>
  <c r="AB86" i="64"/>
  <c r="AC86" i="64" s="1"/>
  <c r="AD86" i="64" s="1"/>
  <c r="AB87" i="64"/>
  <c r="AC87" i="64" s="1"/>
  <c r="AB88" i="64"/>
  <c r="AC88" i="64"/>
  <c r="U88" i="64" s="1"/>
  <c r="AB89" i="64"/>
  <c r="AC89" i="64" s="1"/>
  <c r="AB90" i="64"/>
  <c r="AC90" i="64" s="1"/>
  <c r="AB91" i="64"/>
  <c r="AC91" i="64" s="1"/>
  <c r="AB92" i="64"/>
  <c r="AC92" i="64" s="1"/>
  <c r="AC85" i="33"/>
  <c r="AD85" i="33" s="1"/>
  <c r="AE85" i="33" s="1"/>
  <c r="AC86" i="33"/>
  <c r="AD86" i="33" s="1"/>
  <c r="AE86" i="33" s="1"/>
  <c r="AC87" i="33"/>
  <c r="AD87" i="33" s="1"/>
  <c r="AC88" i="33"/>
  <c r="AD88" i="33" s="1"/>
  <c r="AC89" i="33"/>
  <c r="AD89" i="33"/>
  <c r="W89" i="33" s="1"/>
  <c r="AC90" i="33"/>
  <c r="AD90" i="33" s="1"/>
  <c r="AC91" i="33"/>
  <c r="AD91" i="33" s="1"/>
  <c r="AC92" i="33"/>
  <c r="AD92" i="33" s="1"/>
  <c r="AA85" i="65"/>
  <c r="AB85" i="65" s="1"/>
  <c r="AC85" i="65" s="1"/>
  <c r="AA86" i="65"/>
  <c r="AB86" i="65" s="1"/>
  <c r="AC86" i="65" s="1"/>
  <c r="AA87" i="65"/>
  <c r="AB87" i="65" s="1"/>
  <c r="AA88" i="65"/>
  <c r="AB88" i="65" s="1"/>
  <c r="AA89" i="65"/>
  <c r="AB89" i="65" s="1"/>
  <c r="AA90" i="65"/>
  <c r="AB90" i="65" s="1"/>
  <c r="AA91" i="65"/>
  <c r="AB91" i="65" s="1"/>
  <c r="AA92" i="65"/>
  <c r="AB92" i="65" s="1"/>
  <c r="Z82" i="63"/>
  <c r="AA82" i="63"/>
  <c r="AB82" i="63" s="1"/>
  <c r="Z83" i="63"/>
  <c r="AA83" i="63" s="1"/>
  <c r="AB83" i="63" s="1"/>
  <c r="Z84" i="63"/>
  <c r="AA84" i="63" s="1"/>
  <c r="Z85" i="63"/>
  <c r="AA85" i="63" s="1"/>
  <c r="Z86" i="63"/>
  <c r="AA86" i="63" s="1"/>
  <c r="Z87" i="63"/>
  <c r="AA87" i="63" s="1"/>
  <c r="Z88" i="63"/>
  <c r="AA88" i="63" s="1"/>
  <c r="Z89" i="63"/>
  <c r="AA89" i="63"/>
  <c r="AA80" i="59"/>
  <c r="AB80" i="59" s="1"/>
  <c r="AC80" i="59" s="1"/>
  <c r="AA81" i="59"/>
  <c r="AB81" i="59" s="1"/>
  <c r="AC81" i="59" s="1"/>
  <c r="AA82" i="59"/>
  <c r="AB82" i="59" s="1"/>
  <c r="AA83" i="59"/>
  <c r="AB83" i="59" s="1"/>
  <c r="AA84" i="59"/>
  <c r="AB84" i="59" s="1"/>
  <c r="AA85" i="59"/>
  <c r="AB85" i="59" s="1"/>
  <c r="AA86" i="59"/>
  <c r="AB86" i="59"/>
  <c r="AA87" i="59"/>
  <c r="AB87" i="59" s="1"/>
  <c r="AA80" i="58"/>
  <c r="AB80" i="58" s="1"/>
  <c r="AC80" i="58" s="1"/>
  <c r="AA81" i="58"/>
  <c r="AB81" i="58" s="1"/>
  <c r="AC81" i="58" s="1"/>
  <c r="AA82" i="58"/>
  <c r="AB82" i="58" s="1"/>
  <c r="AA83" i="58"/>
  <c r="AB83" i="58" s="1"/>
  <c r="AA84" i="58"/>
  <c r="AB84" i="58"/>
  <c r="U84" i="58" s="1"/>
  <c r="AA85" i="58"/>
  <c r="AB85" i="58" s="1"/>
  <c r="AA86" i="58"/>
  <c r="AB86" i="58" s="1"/>
  <c r="AA87" i="58"/>
  <c r="AB87" i="58" s="1"/>
  <c r="AA82" i="62"/>
  <c r="AB82" i="62" s="1"/>
  <c r="AC82" i="62" s="1"/>
  <c r="AA83" i="62"/>
  <c r="AB83" i="62" s="1"/>
  <c r="AC83" i="62" s="1"/>
  <c r="AA84" i="62"/>
  <c r="AB84" i="62" s="1"/>
  <c r="AA85" i="62"/>
  <c r="AB85" i="62" s="1"/>
  <c r="AA86" i="62"/>
  <c r="AB86" i="62" s="1"/>
  <c r="AA87" i="62"/>
  <c r="AB87" i="62" s="1"/>
  <c r="AA88" i="62"/>
  <c r="AB88" i="62" s="1"/>
  <c r="AA89" i="62"/>
  <c r="AB89" i="62" s="1"/>
  <c r="Z82" i="52"/>
  <c r="AA82" i="52" s="1"/>
  <c r="AB82" i="52" s="1"/>
  <c r="Z83" i="52"/>
  <c r="AA83" i="52" s="1"/>
  <c r="AB83" i="52" s="1"/>
  <c r="Z84" i="52"/>
  <c r="AA84" i="52" s="1"/>
  <c r="Z85" i="52"/>
  <c r="AA85" i="52" s="1"/>
  <c r="Z86" i="52"/>
  <c r="AA86" i="52" s="1"/>
  <c r="Z87" i="52"/>
  <c r="AA87" i="52" s="1"/>
  <c r="Z88" i="52"/>
  <c r="AA88" i="52" s="1"/>
  <c r="Z89" i="52"/>
  <c r="AA89" i="52"/>
  <c r="AA81" i="51"/>
  <c r="AB81" i="51" s="1"/>
  <c r="AC81" i="51" s="1"/>
  <c r="AA82" i="51"/>
  <c r="AB82" i="51" s="1"/>
  <c r="AC82" i="51" s="1"/>
  <c r="AA83" i="51"/>
  <c r="AB83" i="51" s="1"/>
  <c r="AA84" i="51"/>
  <c r="AB84" i="51" s="1"/>
  <c r="AA85" i="51"/>
  <c r="AB85" i="51" s="1"/>
  <c r="AA86" i="51"/>
  <c r="AB86" i="51"/>
  <c r="AA87" i="51"/>
  <c r="AB87" i="51" s="1"/>
  <c r="AA88" i="51"/>
  <c r="AB88" i="51" s="1"/>
  <c r="AA80" i="53"/>
  <c r="AB80" i="53" s="1"/>
  <c r="AC80" i="53" s="1"/>
  <c r="AA81" i="53"/>
  <c r="AB81" i="53" s="1"/>
  <c r="AC81" i="53" s="1"/>
  <c r="AA82" i="53"/>
  <c r="AB82" i="53" s="1"/>
  <c r="AA83" i="53"/>
  <c r="AB83" i="53" s="1"/>
  <c r="AA84" i="53"/>
  <c r="AB84" i="53" s="1"/>
  <c r="AA85" i="53"/>
  <c r="AB85" i="53" s="1"/>
  <c r="AA86" i="53"/>
  <c r="AB86" i="53"/>
  <c r="U86" i="53" s="1"/>
  <c r="AA87" i="53"/>
  <c r="AB87" i="53" s="1"/>
  <c r="AB78" i="54"/>
  <c r="AC78" i="54" s="1"/>
  <c r="AD78" i="54" s="1"/>
  <c r="AB79" i="54"/>
  <c r="AC79" i="54" s="1"/>
  <c r="AD79" i="54" s="1"/>
  <c r="AB80" i="54"/>
  <c r="AC80" i="54"/>
  <c r="AB81" i="54"/>
  <c r="AC81" i="54" s="1"/>
  <c r="AB82" i="54"/>
  <c r="AC82" i="54" s="1"/>
  <c r="AB83" i="54"/>
  <c r="AC83" i="54" s="1"/>
  <c r="AB84" i="54"/>
  <c r="AC84" i="54" s="1"/>
  <c r="AB85" i="54"/>
  <c r="AC85" i="54" s="1"/>
  <c r="AA77" i="98"/>
  <c r="AB77" i="98" s="1"/>
  <c r="AC77" i="98" s="1"/>
  <c r="AA78" i="98"/>
  <c r="AB78" i="98" s="1"/>
  <c r="AC78" i="98" s="1"/>
  <c r="AA79" i="98"/>
  <c r="AB79" i="98" s="1"/>
  <c r="AA80" i="98"/>
  <c r="AB80" i="98" s="1"/>
  <c r="AA81" i="98"/>
  <c r="AB81" i="98" s="1"/>
  <c r="AA82" i="98"/>
  <c r="AB82" i="98" s="1"/>
  <c r="AA83" i="98"/>
  <c r="AB83" i="98" s="1"/>
  <c r="AA84" i="98"/>
  <c r="AB84" i="98" s="1"/>
  <c r="AA78" i="57"/>
  <c r="AB78" i="57" s="1"/>
  <c r="AC78" i="57" s="1"/>
  <c r="AA79" i="57"/>
  <c r="AB79" i="57" s="1"/>
  <c r="AC79" i="57" s="1"/>
  <c r="AA80" i="57"/>
  <c r="AB80" i="57" s="1"/>
  <c r="AA81" i="57"/>
  <c r="AB81" i="57" s="1"/>
  <c r="AA82" i="57"/>
  <c r="AB82" i="57" s="1"/>
  <c r="AA83" i="57"/>
  <c r="AB83" i="57" s="1"/>
  <c r="AA84" i="57"/>
  <c r="AB84" i="57" s="1"/>
  <c r="AA85" i="57"/>
  <c r="AB85" i="57"/>
  <c r="AA79" i="50"/>
  <c r="AB79" i="50" s="1"/>
  <c r="AC79" i="50" s="1"/>
  <c r="AA80" i="50"/>
  <c r="AB80" i="50" s="1"/>
  <c r="AC80" i="50" s="1"/>
  <c r="AA81" i="50"/>
  <c r="AB81" i="50" s="1"/>
  <c r="AA82" i="50"/>
  <c r="AB82" i="50" s="1"/>
  <c r="AA83" i="50"/>
  <c r="AB83" i="50" s="1"/>
  <c r="AA84" i="50"/>
  <c r="AB84" i="50" s="1"/>
  <c r="AA85" i="50"/>
  <c r="AB85" i="50" s="1"/>
  <c r="AA86" i="50"/>
  <c r="AB86" i="50" s="1"/>
  <c r="AA87" i="50"/>
  <c r="AB87" i="50" s="1"/>
  <c r="AA80" i="55"/>
  <c r="AB80" i="55" s="1"/>
  <c r="AC80" i="55" s="1"/>
  <c r="AA81" i="55"/>
  <c r="AB81" i="55" s="1"/>
  <c r="AC81" i="55" s="1"/>
  <c r="AA82" i="55"/>
  <c r="AB82" i="55"/>
  <c r="AC82" i="55" s="1"/>
  <c r="AA83" i="55"/>
  <c r="AB83" i="55" s="1"/>
  <c r="AC83" i="55" s="1"/>
  <c r="AA84" i="55"/>
  <c r="AB84" i="55"/>
  <c r="AC84" i="55" s="1"/>
  <c r="AA85" i="55"/>
  <c r="AB85" i="55" s="1"/>
  <c r="AC85" i="55" s="1"/>
  <c r="AA86" i="55"/>
  <c r="AB86" i="55"/>
  <c r="U86" i="55" s="1"/>
  <c r="AC86" i="55"/>
  <c r="AA87" i="55"/>
  <c r="AB87" i="55"/>
  <c r="U87" i="55" s="1"/>
  <c r="AC87" i="55"/>
  <c r="AB88" i="55"/>
  <c r="AC88" i="55" s="1"/>
  <c r="AA88" i="55"/>
  <c r="AC77" i="48"/>
  <c r="AD77" i="48" s="1"/>
  <c r="AE77" i="48" s="1"/>
  <c r="AC78" i="48"/>
  <c r="AD78" i="48"/>
  <c r="AE78" i="48" s="1"/>
  <c r="AC79" i="48"/>
  <c r="AD79" i="48"/>
  <c r="AE79" i="48" s="1"/>
  <c r="AC80" i="48"/>
  <c r="AD80" i="48" s="1"/>
  <c r="AC81" i="48"/>
  <c r="AD81" i="48"/>
  <c r="V81" i="48" s="1"/>
  <c r="AE81" i="48"/>
  <c r="AC82" i="48"/>
  <c r="AD82" i="48" s="1"/>
  <c r="AE82" i="48" s="1"/>
  <c r="AC83" i="48"/>
  <c r="AD83" i="48" s="1"/>
  <c r="AE83" i="48" s="1"/>
  <c r="AC84" i="48"/>
  <c r="AD84" i="48"/>
  <c r="V84" i="48" s="1"/>
  <c r="AC85" i="48"/>
  <c r="AD85" i="48" s="1"/>
  <c r="AA86" i="57"/>
  <c r="AB86" i="57" s="1"/>
  <c r="AA85" i="98"/>
  <c r="AB85" i="98" s="1"/>
  <c r="AC86" i="54"/>
  <c r="AB86" i="54"/>
  <c r="AA88" i="53"/>
  <c r="AB88" i="53" s="1"/>
  <c r="AA89" i="51"/>
  <c r="AB89" i="51" s="1"/>
  <c r="Z90" i="52"/>
  <c r="AA90" i="52" s="1"/>
  <c r="AB90" i="62"/>
  <c r="AA90" i="62"/>
  <c r="AA88" i="58"/>
  <c r="AB88" i="58" s="1"/>
  <c r="AA88" i="59"/>
  <c r="AB88" i="59" s="1"/>
  <c r="Z90" i="63"/>
  <c r="AA90" i="63" s="1"/>
  <c r="AA93" i="65"/>
  <c r="AB93" i="65" s="1"/>
  <c r="AC93" i="33"/>
  <c r="AD93" i="33" s="1"/>
  <c r="AB93" i="64"/>
  <c r="AC93" i="64" s="1"/>
  <c r="AB90" i="60"/>
  <c r="AA90" i="60"/>
  <c r="AA90" i="61"/>
  <c r="AB90" i="61" s="1"/>
  <c r="U90" i="61" s="1"/>
  <c r="AC90" i="66"/>
  <c r="AD90" i="66" s="1"/>
  <c r="AC84" i="53" l="1"/>
  <c r="U84" i="53"/>
  <c r="AB88" i="52"/>
  <c r="T88" i="52"/>
  <c r="U88" i="62"/>
  <c r="AC88" i="62"/>
  <c r="AC86" i="58"/>
  <c r="U86" i="58"/>
  <c r="AC87" i="59"/>
  <c r="U87" i="59"/>
  <c r="U86" i="60"/>
  <c r="AC86" i="60"/>
  <c r="AC88" i="58"/>
  <c r="U88" i="58"/>
  <c r="AC85" i="98"/>
  <c r="U85" i="98"/>
  <c r="U87" i="50"/>
  <c r="AC87" i="50"/>
  <c r="AC85" i="58"/>
  <c r="U85" i="58"/>
  <c r="AE87" i="33"/>
  <c r="W87" i="33"/>
  <c r="AE90" i="66"/>
  <c r="W90" i="66"/>
  <c r="U86" i="50"/>
  <c r="AC86" i="50"/>
  <c r="AC82" i="53"/>
  <c r="U82" i="53"/>
  <c r="AE85" i="48"/>
  <c r="V85" i="48"/>
  <c r="AE80" i="48"/>
  <c r="V80" i="48"/>
  <c r="U85" i="50"/>
  <c r="AC85" i="50"/>
  <c r="AC84" i="98"/>
  <c r="U84" i="98"/>
  <c r="U85" i="54"/>
  <c r="AD85" i="54"/>
  <c r="T88" i="63"/>
  <c r="AB88" i="63"/>
  <c r="AC92" i="65"/>
  <c r="T92" i="65"/>
  <c r="W92" i="33"/>
  <c r="AE92" i="33"/>
  <c r="AC88" i="59"/>
  <c r="U88" i="59"/>
  <c r="AB90" i="52"/>
  <c r="T90" i="52"/>
  <c r="AD84" i="54"/>
  <c r="U84" i="54"/>
  <c r="AC84" i="62"/>
  <c r="U84" i="62"/>
  <c r="AC88" i="51"/>
  <c r="U88" i="51"/>
  <c r="T86" i="63"/>
  <c r="AB86" i="63"/>
  <c r="AD91" i="64"/>
  <c r="U91" i="64"/>
  <c r="AC89" i="60"/>
  <c r="U89" i="60"/>
  <c r="AE89" i="66"/>
  <c r="W89" i="66"/>
  <c r="AD93" i="64"/>
  <c r="U93" i="64"/>
  <c r="W91" i="33"/>
  <c r="AE91" i="33"/>
  <c r="AE93" i="33"/>
  <c r="W93" i="33"/>
  <c r="U82" i="50"/>
  <c r="AC82" i="50"/>
  <c r="U81" i="98"/>
  <c r="AC81" i="98"/>
  <c r="U87" i="51"/>
  <c r="AC87" i="51"/>
  <c r="T89" i="65"/>
  <c r="AC89" i="65"/>
  <c r="AC88" i="60"/>
  <c r="U88" i="60"/>
  <c r="AE88" i="66"/>
  <c r="W88" i="66"/>
  <c r="AC86" i="57"/>
  <c r="U86" i="57"/>
  <c r="U84" i="59"/>
  <c r="AC84" i="59"/>
  <c r="AD92" i="64"/>
  <c r="U92" i="64"/>
  <c r="AC89" i="51"/>
  <c r="U89" i="51"/>
  <c r="AC82" i="98"/>
  <c r="U82" i="98"/>
  <c r="T93" i="65"/>
  <c r="AC93" i="65"/>
  <c r="AC88" i="53"/>
  <c r="U88" i="53"/>
  <c r="U82" i="57"/>
  <c r="AC82" i="57"/>
  <c r="U82" i="54"/>
  <c r="AD82" i="54"/>
  <c r="T90" i="63"/>
  <c r="AB90" i="63"/>
  <c r="AC81" i="50"/>
  <c r="U81" i="50"/>
  <c r="AC80" i="98"/>
  <c r="U80" i="98"/>
  <c r="U89" i="62"/>
  <c r="AC89" i="62"/>
  <c r="AC87" i="58"/>
  <c r="U87" i="58"/>
  <c r="U89" i="64"/>
  <c r="AD89" i="64"/>
  <c r="AE87" i="66"/>
  <c r="W87" i="66"/>
  <c r="AC81" i="57"/>
  <c r="U81" i="57"/>
  <c r="AC86" i="53"/>
  <c r="AB84" i="52"/>
  <c r="T84" i="52"/>
  <c r="AC84" i="58"/>
  <c r="AC82" i="59"/>
  <c r="U82" i="59"/>
  <c r="AB87" i="63"/>
  <c r="T87" i="63"/>
  <c r="AE89" i="33"/>
  <c r="AC85" i="60"/>
  <c r="U85" i="60"/>
  <c r="U84" i="55"/>
  <c r="AC90" i="60"/>
  <c r="U90" i="60"/>
  <c r="AC84" i="50"/>
  <c r="U84" i="50"/>
  <c r="AC80" i="57"/>
  <c r="U80" i="57"/>
  <c r="AC84" i="60"/>
  <c r="U84" i="60"/>
  <c r="U83" i="55"/>
  <c r="AC90" i="62"/>
  <c r="U90" i="62"/>
  <c r="AC90" i="61"/>
  <c r="AD81" i="54"/>
  <c r="U81" i="54"/>
  <c r="AC86" i="62"/>
  <c r="U86" i="62"/>
  <c r="AC88" i="65"/>
  <c r="T88" i="65"/>
  <c r="AD88" i="64"/>
  <c r="AE86" i="66"/>
  <c r="W86" i="66"/>
  <c r="AD86" i="54"/>
  <c r="U86" i="54"/>
  <c r="AC83" i="50"/>
  <c r="U83" i="50"/>
  <c r="AC85" i="57"/>
  <c r="U85" i="57"/>
  <c r="AC86" i="51"/>
  <c r="U86" i="51"/>
  <c r="AB89" i="52"/>
  <c r="T89" i="52"/>
  <c r="AC87" i="62"/>
  <c r="U87" i="62"/>
  <c r="AC86" i="59"/>
  <c r="U86" i="59"/>
  <c r="AE84" i="48"/>
  <c r="AC84" i="57"/>
  <c r="U84" i="57"/>
  <c r="AD80" i="54"/>
  <c r="U80" i="54"/>
  <c r="AC85" i="53"/>
  <c r="U85" i="53"/>
  <c r="AC85" i="51"/>
  <c r="U85" i="51"/>
  <c r="AC85" i="62"/>
  <c r="U85" i="62"/>
  <c r="AC83" i="58"/>
  <c r="U83" i="58"/>
  <c r="AC85" i="59"/>
  <c r="U85" i="59"/>
  <c r="AB89" i="63"/>
  <c r="T89" i="63"/>
  <c r="AC87" i="65"/>
  <c r="T87" i="65"/>
  <c r="AE88" i="33"/>
  <c r="W88" i="33"/>
  <c r="AE85" i="66"/>
  <c r="W85" i="66"/>
  <c r="AC83" i="57"/>
  <c r="U83" i="57"/>
  <c r="AC84" i="51"/>
  <c r="U84" i="51"/>
  <c r="AC82" i="58"/>
  <c r="U82" i="58"/>
  <c r="AB85" i="63"/>
  <c r="T85" i="63"/>
  <c r="AC87" i="60"/>
  <c r="U87" i="60"/>
  <c r="AE84" i="66"/>
  <c r="W84" i="66"/>
  <c r="V83" i="48"/>
  <c r="U88" i="55"/>
  <c r="AC83" i="51"/>
  <c r="U83" i="51"/>
  <c r="AB87" i="52"/>
  <c r="T87" i="52"/>
  <c r="AB84" i="63"/>
  <c r="T84" i="63"/>
  <c r="AC91" i="65"/>
  <c r="T91" i="65"/>
  <c r="AD87" i="64"/>
  <c r="U87" i="64"/>
  <c r="V79" i="48"/>
  <c r="V82" i="48"/>
  <c r="AC83" i="98"/>
  <c r="U83" i="98"/>
  <c r="AC79" i="98"/>
  <c r="U79" i="98"/>
  <c r="AD83" i="54"/>
  <c r="U83" i="54"/>
  <c r="AC83" i="53"/>
  <c r="U83" i="53"/>
  <c r="AB86" i="52"/>
  <c r="T86" i="52"/>
  <c r="AC90" i="65"/>
  <c r="T90" i="65"/>
  <c r="AD90" i="64"/>
  <c r="U90" i="64"/>
  <c r="AC87" i="53"/>
  <c r="U87" i="53"/>
  <c r="AB85" i="52"/>
  <c r="T85" i="52"/>
  <c r="AC83" i="59"/>
  <c r="U83" i="59"/>
  <c r="AE90" i="33"/>
  <c r="W90" i="33"/>
  <c r="U82" i="55"/>
  <c r="U85" i="55"/>
  <c r="T5" i="96"/>
  <c r="T6" i="96"/>
  <c r="BL4" i="413"/>
  <c r="G14" i="377" l="1"/>
  <c r="F14" i="377" s="1"/>
  <c r="F13" i="377"/>
  <c r="G12" i="377"/>
  <c r="F12" i="377" s="1"/>
  <c r="G11" i="377"/>
  <c r="F11" i="377" s="1"/>
  <c r="G10" i="377"/>
  <c r="F10" i="377" s="1"/>
  <c r="G9" i="377"/>
  <c r="F9" i="377" s="1"/>
  <c r="G8" i="377"/>
  <c r="F8" i="377" s="1"/>
  <c r="G7" i="377"/>
  <c r="F7" i="377" s="1"/>
  <c r="G14" i="375"/>
  <c r="F14" i="375" s="1"/>
  <c r="F13" i="375"/>
  <c r="G12" i="375"/>
  <c r="F12" i="375" s="1"/>
  <c r="G11" i="375"/>
  <c r="F11" i="375" s="1"/>
  <c r="G10" i="375"/>
  <c r="F10" i="375" s="1"/>
  <c r="G9" i="375"/>
  <c r="F9" i="375" s="1"/>
  <c r="G8" i="375"/>
  <c r="F8" i="375" s="1"/>
  <c r="G7" i="375"/>
  <c r="F7" i="375" s="1"/>
  <c r="G14" i="373"/>
  <c r="F14" i="373" s="1"/>
  <c r="F13" i="373"/>
  <c r="G12" i="373"/>
  <c r="F12" i="373" s="1"/>
  <c r="G11" i="373"/>
  <c r="F11" i="373" s="1"/>
  <c r="G10" i="373"/>
  <c r="F10" i="373" s="1"/>
  <c r="G9" i="373"/>
  <c r="F9" i="373" s="1"/>
  <c r="G8" i="373"/>
  <c r="F8" i="373" s="1"/>
  <c r="G7" i="373"/>
  <c r="F7" i="373" s="1"/>
  <c r="G14" i="370"/>
  <c r="F14" i="370" s="1"/>
  <c r="F13" i="370"/>
  <c r="G12" i="370"/>
  <c r="F12" i="370" s="1"/>
  <c r="G11" i="370"/>
  <c r="F11" i="370" s="1"/>
  <c r="G10" i="370"/>
  <c r="F10" i="370"/>
  <c r="G9" i="370"/>
  <c r="F9" i="370"/>
  <c r="G8" i="370"/>
  <c r="F8" i="370" s="1"/>
  <c r="G7" i="370"/>
  <c r="F7" i="370" s="1"/>
  <c r="G14" i="365"/>
  <c r="F14" i="365" s="1"/>
  <c r="F13" i="365"/>
  <c r="G12" i="365"/>
  <c r="F12" i="365" s="1"/>
  <c r="G11" i="365"/>
  <c r="F11" i="365" s="1"/>
  <c r="G10" i="365"/>
  <c r="F10" i="365" s="1"/>
  <c r="G9" i="365"/>
  <c r="F9" i="365" s="1"/>
  <c r="G8" i="365"/>
  <c r="F8" i="365" s="1"/>
  <c r="G7" i="365"/>
  <c r="F7" i="365" s="1"/>
  <c r="J92" i="347"/>
  <c r="I92" i="347" s="1"/>
  <c r="I91" i="347"/>
  <c r="J90" i="347"/>
  <c r="I90" i="347" s="1"/>
  <c r="J89" i="347"/>
  <c r="I89" i="347" s="1"/>
  <c r="J88" i="347"/>
  <c r="I88" i="347" s="1"/>
  <c r="J87" i="347"/>
  <c r="I87" i="347" s="1"/>
  <c r="J86" i="347"/>
  <c r="I86" i="347" s="1"/>
  <c r="J85" i="347"/>
  <c r="I85" i="347" s="1"/>
  <c r="F13" i="325"/>
  <c r="G12" i="325"/>
  <c r="F12" i="325" s="1"/>
  <c r="G11" i="325"/>
  <c r="F11" i="325" s="1"/>
  <c r="G10" i="325"/>
  <c r="F10" i="325" s="1"/>
  <c r="G9" i="325"/>
  <c r="F9" i="325" s="1"/>
  <c r="G8" i="325"/>
  <c r="F8" i="325" s="1"/>
  <c r="G7" i="325"/>
  <c r="F7" i="325" s="1"/>
  <c r="S20" i="205"/>
  <c r="R20" i="205"/>
  <c r="S19" i="205"/>
  <c r="R19" i="205" s="1"/>
  <c r="S18" i="205"/>
  <c r="R18" i="205" s="1"/>
  <c r="S17" i="205"/>
  <c r="R17" i="205" s="1"/>
  <c r="S16" i="205"/>
  <c r="R16" i="205" s="1"/>
  <c r="BA14" i="134" l="1"/>
  <c r="AX14" i="134" s="1"/>
  <c r="BA15" i="134"/>
  <c r="BA16" i="134"/>
  <c r="BA17" i="134"/>
  <c r="BA18" i="134"/>
  <c r="AX18" i="134" s="1"/>
  <c r="BA19" i="134"/>
  <c r="BA20" i="134"/>
  <c r="AX20" i="134" s="1"/>
  <c r="BA21" i="134"/>
  <c r="AX21" i="134" s="1"/>
  <c r="BA22" i="134"/>
  <c r="AX22" i="134" s="1"/>
  <c r="BA23" i="134"/>
  <c r="BA24" i="134"/>
  <c r="BA25" i="134"/>
  <c r="AX25" i="134" s="1"/>
  <c r="BA26" i="134"/>
  <c r="AX26" i="134" s="1"/>
  <c r="BA27" i="134"/>
  <c r="BA28" i="134"/>
  <c r="AX28" i="134" s="1"/>
  <c r="BA29" i="134"/>
  <c r="AX29" i="134" s="1"/>
  <c r="BA30" i="134"/>
  <c r="AX30" i="134" s="1"/>
  <c r="BA31" i="134"/>
  <c r="BA32" i="134"/>
  <c r="BA33" i="134"/>
  <c r="AX33" i="134" s="1"/>
  <c r="BA34" i="134"/>
  <c r="AX34" i="134" s="1"/>
  <c r="BA35" i="134"/>
  <c r="BA36" i="134"/>
  <c r="AX36" i="134" s="1"/>
  <c r="BA37" i="134"/>
  <c r="AX37" i="134" s="1"/>
  <c r="BA38" i="134"/>
  <c r="BA39" i="134"/>
  <c r="BA40" i="134"/>
  <c r="BA41" i="134"/>
  <c r="AX41" i="134" s="1"/>
  <c r="BA42" i="134"/>
  <c r="AX42" i="134" s="1"/>
  <c r="BA43" i="134"/>
  <c r="BA44" i="134"/>
  <c r="AX44" i="134" s="1"/>
  <c r="BA45" i="134"/>
  <c r="AX45" i="134" s="1"/>
  <c r="BA46" i="134"/>
  <c r="AX46" i="134" s="1"/>
  <c r="BA47" i="134"/>
  <c r="BA48" i="134"/>
  <c r="BA49" i="134"/>
  <c r="AX49" i="134" s="1"/>
  <c r="BA50" i="134"/>
  <c r="AX50" i="134" s="1"/>
  <c r="AX15" i="134"/>
  <c r="AX16" i="134"/>
  <c r="AX17" i="134"/>
  <c r="AX19" i="134"/>
  <c r="AX23" i="134"/>
  <c r="AX24" i="134"/>
  <c r="AX27" i="134"/>
  <c r="AX31" i="134"/>
  <c r="AX32" i="134"/>
  <c r="AX35" i="134"/>
  <c r="AX38" i="134"/>
  <c r="AX39" i="134"/>
  <c r="AX40" i="134"/>
  <c r="AX43" i="134"/>
  <c r="AX47" i="134"/>
  <c r="AX48" i="134"/>
  <c r="BA7" i="134"/>
  <c r="AX7" i="134" s="1"/>
  <c r="BA8" i="134"/>
  <c r="AX8" i="134" s="1"/>
  <c r="BA9" i="134"/>
  <c r="AX9" i="134" s="1"/>
  <c r="BA10" i="134"/>
  <c r="AX10" i="134" s="1"/>
  <c r="BA11" i="134"/>
  <c r="AX11" i="134" s="1"/>
  <c r="BA12" i="134"/>
  <c r="AX12" i="134" s="1"/>
  <c r="BA13" i="134"/>
  <c r="AX13" i="134" s="1"/>
  <c r="BA6" i="134"/>
  <c r="AX6" i="134" s="1"/>
  <c r="AE15" i="20" l="1"/>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14" i="20"/>
  <c r="AI105" i="347" l="1"/>
  <c r="AH105" i="347"/>
  <c r="E105" i="347" s="1"/>
  <c r="R16" i="47" l="1"/>
  <c r="R17" i="47"/>
  <c r="R14" i="47"/>
  <c r="AE50" i="140" l="1"/>
  <c r="AH6" i="413"/>
  <c r="AH7" i="413"/>
  <c r="AH8" i="413"/>
  <c r="AH9" i="413"/>
  <c r="AH10" i="413"/>
  <c r="AH11" i="413"/>
  <c r="AH12" i="413"/>
  <c r="AH13" i="413"/>
  <c r="AH14" i="413"/>
  <c r="AH15" i="413"/>
  <c r="AH16" i="413"/>
  <c r="AH17" i="413"/>
  <c r="AH18" i="413"/>
  <c r="AH19" i="413"/>
  <c r="AH20" i="413"/>
  <c r="AH21" i="413"/>
  <c r="AH22" i="413"/>
  <c r="AH23" i="413"/>
  <c r="AH24" i="413"/>
  <c r="AH25" i="413"/>
  <c r="AH26" i="413"/>
  <c r="AH27" i="413"/>
  <c r="AH28" i="413"/>
  <c r="AH29" i="413"/>
  <c r="AH30" i="413"/>
  <c r="AH31" i="413"/>
  <c r="AH32" i="413"/>
  <c r="AH33" i="413"/>
  <c r="AH34" i="413"/>
  <c r="AH35" i="413"/>
  <c r="AH36" i="413"/>
  <c r="AH37" i="413"/>
  <c r="AH38" i="413"/>
  <c r="AH39" i="413"/>
  <c r="AH40" i="413"/>
  <c r="AH41" i="413"/>
  <c r="AH42" i="413"/>
  <c r="AH43" i="413"/>
  <c r="AH44" i="413"/>
  <c r="AH45" i="413"/>
  <c r="AH46" i="413"/>
  <c r="AH47" i="413"/>
  <c r="AH48" i="413"/>
  <c r="AH49" i="413"/>
  <c r="AH50" i="413"/>
  <c r="M71" i="413" l="1"/>
  <c r="N71" i="413"/>
  <c r="Z17" i="47"/>
  <c r="Z16" i="47"/>
  <c r="V13" i="47"/>
  <c r="AE14" i="16" s="1"/>
  <c r="V14" i="47"/>
  <c r="AE15" i="16"/>
  <c r="AE9" i="16"/>
  <c r="Y14" i="47"/>
  <c r="S15" i="47" s="1"/>
  <c r="B59" i="16" s="1"/>
  <c r="Z15" i="47"/>
  <c r="S14" i="47"/>
  <c r="W14" i="47" s="1"/>
  <c r="Y13" i="47"/>
  <c r="Z13" i="47" s="1"/>
  <c r="S13" i="47"/>
  <c r="W13" i="47" s="1"/>
  <c r="Y12" i="47"/>
  <c r="Z12" i="47" s="1"/>
  <c r="S12" i="47"/>
  <c r="W12" i="47" s="1"/>
  <c r="V12" i="47" s="1"/>
  <c r="AE13" i="16" s="1"/>
  <c r="S11" i="47"/>
  <c r="W11" i="47" s="1"/>
  <c r="V11" i="47" s="1"/>
  <c r="U11" i="47" s="1"/>
  <c r="Y10" i="47"/>
  <c r="Z10" i="47" s="1"/>
  <c r="V10" i="47"/>
  <c r="AE11" i="16" s="1"/>
  <c r="S10" i="47"/>
  <c r="B54" i="16" s="1"/>
  <c r="Y9" i="47"/>
  <c r="Z9" i="47" s="1"/>
  <c r="V9" i="47"/>
  <c r="AE10" i="16" s="1"/>
  <c r="S9" i="47"/>
  <c r="B53" i="16" s="1"/>
  <c r="Y8" i="47"/>
  <c r="Z8" i="47" s="1"/>
  <c r="V8" i="47"/>
  <c r="S8" i="47"/>
  <c r="B52" i="16" s="1"/>
  <c r="Y7" i="47"/>
  <c r="Z7" i="47" s="1"/>
  <c r="V7" i="47"/>
  <c r="AE8" i="16" s="1"/>
  <c r="S7" i="47"/>
  <c r="B51" i="16" s="1"/>
  <c r="Y6" i="47"/>
  <c r="Z6" i="47" s="1"/>
  <c r="V6" i="47"/>
  <c r="S6" i="47"/>
  <c r="Y5" i="47"/>
  <c r="Z5" i="47" s="1"/>
  <c r="V5" i="47"/>
  <c r="S5" i="47"/>
  <c r="Q5" i="47"/>
  <c r="Q6" i="47" s="1"/>
  <c r="Q7" i="47" s="1"/>
  <c r="Q8" i="47" s="1"/>
  <c r="Q9" i="47" s="1"/>
  <c r="Q10" i="47" s="1"/>
  <c r="Q11" i="47" s="1"/>
  <c r="Q12" i="47" s="1"/>
  <c r="Q13" i="47" s="1"/>
  <c r="Q14" i="47" s="1"/>
  <c r="Q15" i="47" s="1"/>
  <c r="Q16" i="47" s="1"/>
  <c r="Q17" i="47" s="1"/>
  <c r="Q18" i="47" s="1"/>
  <c r="Y4" i="47"/>
  <c r="O12" i="47"/>
  <c r="B56" i="16" l="1"/>
  <c r="Z14" i="47"/>
  <c r="B57" i="16"/>
  <c r="B58" i="16"/>
  <c r="U15" i="47"/>
  <c r="V15" i="47" s="1"/>
  <c r="AE16" i="16" s="1"/>
  <c r="B16" i="16" s="1"/>
  <c r="B55" i="16"/>
  <c r="AE12" i="16"/>
  <c r="Y11" i="47"/>
  <c r="Z11" i="47" s="1"/>
  <c r="AT36" i="413"/>
  <c r="AT37" i="413" s="1"/>
  <c r="AT38" i="413" s="1"/>
  <c r="AT39" i="413" s="1"/>
  <c r="AT40" i="413" s="1"/>
  <c r="AT41" i="413" s="1"/>
  <c r="AT42" i="413" s="1"/>
  <c r="AT43" i="413" s="1"/>
  <c r="AT44" i="413" s="1"/>
  <c r="AT45" i="413" s="1"/>
  <c r="AT28" i="413"/>
  <c r="AT29" i="413" s="1"/>
  <c r="S16" i="47" l="1"/>
  <c r="U16" i="47"/>
  <c r="V16" i="47" s="1"/>
  <c r="U17" i="47" l="1"/>
  <c r="V17" i="47" s="1"/>
  <c r="S17" i="47"/>
  <c r="AT16" i="413" l="1"/>
  <c r="AT17" i="413" s="1"/>
  <c r="AT18" i="413" s="1"/>
  <c r="AT19" i="413" s="1"/>
  <c r="AT20" i="413" s="1"/>
  <c r="AT21" i="413" s="1"/>
  <c r="AT22" i="413" s="1"/>
  <c r="AT23" i="413" s="1"/>
  <c r="AT24" i="413" s="1"/>
  <c r="BA119" i="16" l="1"/>
  <c r="M18" i="49" l="1"/>
  <c r="M19" i="49"/>
  <c r="M20" i="49"/>
  <c r="M21" i="49"/>
  <c r="M22" i="49"/>
  <c r="M23" i="49"/>
  <c r="M24" i="49"/>
  <c r="M25" i="49"/>
  <c r="M14" i="49"/>
  <c r="M15" i="49" s="1"/>
  <c r="M16" i="49" s="1"/>
  <c r="M17" i="49" s="1"/>
  <c r="M13" i="49"/>
  <c r="O27" i="20"/>
  <c r="O28" i="20" s="1"/>
  <c r="O29" i="20" s="1"/>
  <c r="O30" i="20" s="1"/>
  <c r="O31" i="20" s="1"/>
  <c r="O32" i="20" s="1"/>
  <c r="O33" i="20" s="1"/>
  <c r="O34" i="20" s="1"/>
  <c r="O35" i="20" s="1"/>
  <c r="O36" i="20" s="1"/>
  <c r="O37" i="20" s="1"/>
  <c r="O38" i="20" s="1"/>
  <c r="O39" i="20" s="1"/>
  <c r="O40" i="20" s="1"/>
  <c r="O41" i="20" s="1"/>
  <c r="O42" i="20" s="1"/>
  <c r="O43" i="20" s="1"/>
  <c r="O44" i="20" s="1"/>
  <c r="W91" i="40" l="1"/>
  <c r="W92" i="40"/>
  <c r="W93" i="40"/>
  <c r="W94" i="40"/>
  <c r="W95" i="40"/>
  <c r="W96" i="40"/>
  <c r="W97" i="40"/>
  <c r="W98" i="40"/>
  <c r="W99" i="40"/>
  <c r="W100" i="40"/>
  <c r="W101" i="40"/>
  <c r="W102" i="40"/>
  <c r="W90" i="40"/>
  <c r="V91" i="40"/>
  <c r="V92" i="40"/>
  <c r="V93" i="40"/>
  <c r="V94" i="40"/>
  <c r="V95" i="40"/>
  <c r="V96" i="40"/>
  <c r="V97" i="40"/>
  <c r="V98" i="40"/>
  <c r="V99" i="40"/>
  <c r="V100" i="40"/>
  <c r="V101" i="40"/>
  <c r="V102" i="40"/>
  <c r="V90" i="40"/>
  <c r="U91" i="40"/>
  <c r="U92" i="40"/>
  <c r="U93" i="40"/>
  <c r="U94" i="40"/>
  <c r="U95" i="40"/>
  <c r="U96" i="40"/>
  <c r="U97" i="40"/>
  <c r="U98" i="40"/>
  <c r="U99" i="40"/>
  <c r="U100" i="40"/>
  <c r="U101" i="40"/>
  <c r="U102" i="40"/>
  <c r="U90" i="40"/>
  <c r="T91" i="40"/>
  <c r="T92" i="40"/>
  <c r="T93" i="40"/>
  <c r="T94" i="40"/>
  <c r="T95" i="40"/>
  <c r="T96" i="40"/>
  <c r="T97" i="40"/>
  <c r="T98" i="40"/>
  <c r="T99" i="40"/>
  <c r="T100" i="40"/>
  <c r="T101" i="40"/>
  <c r="T102" i="40"/>
  <c r="T90" i="40"/>
  <c r="S91" i="40"/>
  <c r="X91" i="40" s="1"/>
  <c r="S92" i="40"/>
  <c r="X92" i="40" s="1"/>
  <c r="S93" i="40"/>
  <c r="X93" i="40" s="1"/>
  <c r="S94" i="40"/>
  <c r="X94" i="40" s="1"/>
  <c r="S95" i="40"/>
  <c r="X95" i="40" s="1"/>
  <c r="S96" i="40"/>
  <c r="X96" i="40" s="1"/>
  <c r="S97" i="40"/>
  <c r="X97" i="40" s="1"/>
  <c r="S98" i="40"/>
  <c r="X98" i="40" s="1"/>
  <c r="S99" i="40"/>
  <c r="X99" i="40" s="1"/>
  <c r="S100" i="40"/>
  <c r="X100" i="40" s="1"/>
  <c r="S101" i="40"/>
  <c r="X101" i="40" s="1"/>
  <c r="S102" i="40"/>
  <c r="X102" i="40" s="1"/>
  <c r="S90" i="40"/>
  <c r="X90" i="40" s="1"/>
  <c r="R91" i="40"/>
  <c r="R92" i="40"/>
  <c r="R93" i="40"/>
  <c r="R94" i="40"/>
  <c r="R95" i="40"/>
  <c r="R96" i="40"/>
  <c r="R97" i="40"/>
  <c r="R98" i="40"/>
  <c r="R99" i="40"/>
  <c r="R100" i="40"/>
  <c r="R101" i="40"/>
  <c r="R102" i="40"/>
  <c r="R90" i="40"/>
  <c r="Q91" i="40"/>
  <c r="Q92" i="40"/>
  <c r="Q93" i="40"/>
  <c r="Q94" i="40"/>
  <c r="Q95" i="40"/>
  <c r="Q96" i="40"/>
  <c r="Q97" i="40"/>
  <c r="Q98" i="40"/>
  <c r="Q99" i="40"/>
  <c r="Q100" i="40"/>
  <c r="Q101" i="40"/>
  <c r="Q102" i="40"/>
  <c r="Q90" i="40"/>
  <c r="P91" i="40"/>
  <c r="P92" i="40"/>
  <c r="P93" i="40"/>
  <c r="P94" i="40"/>
  <c r="P95" i="40"/>
  <c r="P96" i="40"/>
  <c r="P97" i="40"/>
  <c r="P98" i="40"/>
  <c r="P99" i="40"/>
  <c r="P100" i="40"/>
  <c r="P101" i="40"/>
  <c r="P102" i="40"/>
  <c r="P90" i="40"/>
  <c r="O91" i="40"/>
  <c r="O92" i="40"/>
  <c r="O93" i="40"/>
  <c r="O94" i="40"/>
  <c r="O95" i="40"/>
  <c r="O96" i="40"/>
  <c r="O97" i="40"/>
  <c r="O98" i="40"/>
  <c r="O99" i="40"/>
  <c r="O100" i="40"/>
  <c r="O101" i="40"/>
  <c r="O102" i="40"/>
  <c r="O90" i="40"/>
  <c r="N91" i="40"/>
  <c r="N92" i="40"/>
  <c r="N93" i="40"/>
  <c r="N94" i="40"/>
  <c r="N95" i="40"/>
  <c r="N96" i="40"/>
  <c r="N97" i="40"/>
  <c r="N98" i="40"/>
  <c r="N99" i="40"/>
  <c r="N100" i="40"/>
  <c r="N101" i="40"/>
  <c r="N102" i="40"/>
  <c r="N90" i="40"/>
  <c r="M91" i="40"/>
  <c r="M92" i="40"/>
  <c r="M93" i="40"/>
  <c r="M94" i="40"/>
  <c r="M95" i="40"/>
  <c r="M96" i="40"/>
  <c r="M97" i="40"/>
  <c r="M98" i="40"/>
  <c r="M99" i="40"/>
  <c r="M100" i="40"/>
  <c r="M101" i="40"/>
  <c r="M102" i="40"/>
  <c r="M90" i="40"/>
  <c r="L91" i="40"/>
  <c r="L92" i="40"/>
  <c r="L93" i="40"/>
  <c r="L94" i="40"/>
  <c r="L95" i="40"/>
  <c r="L96" i="40"/>
  <c r="L97" i="40"/>
  <c r="L98" i="40"/>
  <c r="L99" i="40"/>
  <c r="L100" i="40"/>
  <c r="L101" i="40"/>
  <c r="L102" i="40"/>
  <c r="L90" i="40"/>
  <c r="K91" i="40"/>
  <c r="K92" i="40"/>
  <c r="K93" i="40"/>
  <c r="K94" i="40"/>
  <c r="K95" i="40"/>
  <c r="K96" i="40"/>
  <c r="K97" i="40"/>
  <c r="K98" i="40"/>
  <c r="K99" i="40"/>
  <c r="K100" i="40"/>
  <c r="K101" i="40"/>
  <c r="K102" i="40"/>
  <c r="K90" i="40"/>
  <c r="J91" i="40"/>
  <c r="J92" i="40"/>
  <c r="J93" i="40"/>
  <c r="J94" i="40"/>
  <c r="J95" i="40"/>
  <c r="J96" i="40"/>
  <c r="J97" i="40"/>
  <c r="J98" i="40"/>
  <c r="J99" i="40"/>
  <c r="J100" i="40"/>
  <c r="J101" i="40"/>
  <c r="J102" i="40"/>
  <c r="J90" i="40"/>
  <c r="I91" i="40"/>
  <c r="I92" i="40"/>
  <c r="I93" i="40"/>
  <c r="I94" i="40"/>
  <c r="I95" i="40"/>
  <c r="I96" i="40"/>
  <c r="I97" i="40"/>
  <c r="I98" i="40"/>
  <c r="I99" i="40"/>
  <c r="I100" i="40"/>
  <c r="I101" i="40"/>
  <c r="I102" i="40"/>
  <c r="I90" i="40"/>
  <c r="H91" i="40"/>
  <c r="H92" i="40"/>
  <c r="H93" i="40"/>
  <c r="H94" i="40"/>
  <c r="H95" i="40"/>
  <c r="H96" i="40"/>
  <c r="H97" i="40"/>
  <c r="H98" i="40"/>
  <c r="H99" i="40"/>
  <c r="H100" i="40"/>
  <c r="H101" i="40"/>
  <c r="H102" i="40"/>
  <c r="H90" i="40"/>
  <c r="G91" i="40"/>
  <c r="G92" i="40"/>
  <c r="G93" i="40"/>
  <c r="G94" i="40"/>
  <c r="G95" i="40"/>
  <c r="G96" i="40"/>
  <c r="G97" i="40"/>
  <c r="G98" i="40"/>
  <c r="G99" i="40"/>
  <c r="G100" i="40"/>
  <c r="G101" i="40"/>
  <c r="G102" i="40"/>
  <c r="G90" i="40"/>
  <c r="F91" i="40"/>
  <c r="F92" i="40"/>
  <c r="F93" i="40"/>
  <c r="F94" i="40"/>
  <c r="F95" i="40"/>
  <c r="F96" i="40"/>
  <c r="F97" i="40"/>
  <c r="F98" i="40"/>
  <c r="F99" i="40"/>
  <c r="F100" i="40"/>
  <c r="F101" i="40"/>
  <c r="F102" i="40"/>
  <c r="F90" i="40"/>
  <c r="E91" i="40"/>
  <c r="E92" i="40"/>
  <c r="E93" i="40"/>
  <c r="E94" i="40"/>
  <c r="E95" i="40"/>
  <c r="E96" i="40"/>
  <c r="E97" i="40"/>
  <c r="E98" i="40"/>
  <c r="E99" i="40"/>
  <c r="E100" i="40"/>
  <c r="E101" i="40"/>
  <c r="E102" i="40"/>
  <c r="E90" i="40"/>
  <c r="D91" i="40"/>
  <c r="D92" i="40"/>
  <c r="D93" i="40"/>
  <c r="D94" i="40"/>
  <c r="D95" i="40"/>
  <c r="D96" i="40"/>
  <c r="D97" i="40"/>
  <c r="D98" i="40"/>
  <c r="D99" i="40"/>
  <c r="D100" i="40"/>
  <c r="D101" i="40"/>
  <c r="D102" i="40"/>
  <c r="D90" i="40"/>
  <c r="C91" i="40"/>
  <c r="C92" i="40"/>
  <c r="C93" i="40"/>
  <c r="C94" i="40"/>
  <c r="C95" i="40"/>
  <c r="C96" i="40"/>
  <c r="C97" i="40"/>
  <c r="C98" i="40"/>
  <c r="C99" i="40"/>
  <c r="C100" i="40"/>
  <c r="C101" i="40"/>
  <c r="C102" i="40"/>
  <c r="C90" i="40"/>
  <c r="B91" i="40"/>
  <c r="B92" i="40"/>
  <c r="B93" i="40"/>
  <c r="B94" i="40"/>
  <c r="B95" i="40"/>
  <c r="B96" i="40"/>
  <c r="B97" i="40"/>
  <c r="B98" i="40"/>
  <c r="B99" i="40"/>
  <c r="B100" i="40"/>
  <c r="B101" i="40"/>
  <c r="B102" i="40"/>
  <c r="B90" i="40"/>
  <c r="Y97" i="40" l="1"/>
  <c r="T76" i="117" s="1"/>
  <c r="Q77" i="117" s="1"/>
  <c r="Y100" i="40"/>
  <c r="T79" i="117" s="1"/>
  <c r="Q80" i="117" s="1"/>
  <c r="Y90" i="40"/>
  <c r="T69" i="117" s="1"/>
  <c r="Q70" i="117" s="1"/>
  <c r="Y92" i="40"/>
  <c r="T71" i="117" s="1"/>
  <c r="Q72" i="117" s="1"/>
  <c r="Y95" i="40"/>
  <c r="T74" i="117" s="1"/>
  <c r="Q75" i="117" s="1"/>
  <c r="Y91" i="40"/>
  <c r="T70" i="117" s="1"/>
  <c r="Q71" i="117" s="1"/>
  <c r="Y99" i="40"/>
  <c r="T78" i="117" s="1"/>
  <c r="Q79" i="117" s="1"/>
  <c r="Y101" i="40"/>
  <c r="T80" i="117" s="1"/>
  <c r="Q81" i="117" s="1"/>
  <c r="Y93" i="40"/>
  <c r="T72" i="117" s="1"/>
  <c r="Q73" i="117" s="1"/>
  <c r="G73" i="117" s="1"/>
  <c r="Y98" i="40"/>
  <c r="T77" i="117" s="1"/>
  <c r="Q78" i="117" s="1"/>
  <c r="Y96" i="40"/>
  <c r="T75" i="117" s="1"/>
  <c r="Q76" i="117" s="1"/>
  <c r="Y102" i="40"/>
  <c r="T81" i="117" s="1"/>
  <c r="Q82" i="117" s="1"/>
  <c r="Y94" i="40"/>
  <c r="T73" i="117" s="1"/>
  <c r="Q74" i="117" s="1"/>
  <c r="T82" i="117" l="1"/>
  <c r="Q83" i="117" s="1"/>
  <c r="C7" i="413"/>
  <c r="D7" i="413"/>
  <c r="Y11" i="377"/>
  <c r="Y12" i="377"/>
  <c r="Y14" i="377"/>
  <c r="Y19" i="377"/>
  <c r="Y20" i="377"/>
  <c r="Y27" i="377"/>
  <c r="Y28" i="377"/>
  <c r="Y30" i="377"/>
  <c r="Y35" i="377"/>
  <c r="Y36" i="377"/>
  <c r="Y37" i="377"/>
  <c r="Y43" i="377"/>
  <c r="Y44" i="377"/>
  <c r="Y41" i="377"/>
  <c r="Y40" i="377"/>
  <c r="Y33" i="377"/>
  <c r="Y32" i="377"/>
  <c r="Y29" i="377"/>
  <c r="Y25" i="377"/>
  <c r="Y24" i="377"/>
  <c r="Y21" i="377"/>
  <c r="Y17" i="377"/>
  <c r="Y16" i="377"/>
  <c r="Y13" i="377"/>
  <c r="Y9" i="377"/>
  <c r="Y8" i="377"/>
  <c r="Y45" i="377"/>
  <c r="Y42" i="377"/>
  <c r="Y39" i="377"/>
  <c r="Y38" i="377"/>
  <c r="Y34" i="377"/>
  <c r="Y31" i="377"/>
  <c r="Y26" i="377"/>
  <c r="Y23" i="377"/>
  <c r="Y22" i="377"/>
  <c r="Y18" i="377"/>
  <c r="Y15" i="377"/>
  <c r="Y10" i="377"/>
  <c r="Y7" i="377"/>
  <c r="Y45" i="375"/>
  <c r="Y44" i="375"/>
  <c r="Y43" i="375"/>
  <c r="Y42" i="375"/>
  <c r="Y41" i="375"/>
  <c r="Y40" i="375"/>
  <c r="Y39" i="375"/>
  <c r="Y38" i="375"/>
  <c r="Y37" i="375"/>
  <c r="Y36" i="375"/>
  <c r="Y35" i="375"/>
  <c r="Y34" i="375"/>
  <c r="Y33" i="375"/>
  <c r="Y32" i="375"/>
  <c r="Y31" i="375"/>
  <c r="Y30" i="375"/>
  <c r="Y29" i="375"/>
  <c r="Y28" i="375"/>
  <c r="Y27" i="375"/>
  <c r="Y26" i="375"/>
  <c r="Y25" i="375"/>
  <c r="Y24" i="375"/>
  <c r="Y23" i="375"/>
  <c r="Y22" i="375"/>
  <c r="Y21" i="375"/>
  <c r="Y20" i="375"/>
  <c r="Y19" i="375"/>
  <c r="Y18" i="375"/>
  <c r="Y17" i="375"/>
  <c r="Y16" i="375"/>
  <c r="Y15" i="375"/>
  <c r="Y14" i="375"/>
  <c r="Y13" i="375"/>
  <c r="Y12" i="375"/>
  <c r="Y11" i="375"/>
  <c r="Y10" i="375"/>
  <c r="Y9" i="375"/>
  <c r="Y8" i="375"/>
  <c r="Y7" i="375"/>
  <c r="Y45" i="373"/>
  <c r="Y44" i="373"/>
  <c r="Y43" i="373"/>
  <c r="Y42" i="373"/>
  <c r="Y41" i="373"/>
  <c r="Y40" i="373"/>
  <c r="Y39" i="373"/>
  <c r="Y38" i="373"/>
  <c r="Y37" i="373"/>
  <c r="Y36" i="373"/>
  <c r="Y35" i="373"/>
  <c r="Y34" i="373"/>
  <c r="Y33" i="373"/>
  <c r="Y32" i="373"/>
  <c r="Y31" i="373"/>
  <c r="Y30" i="373"/>
  <c r="Y29" i="373"/>
  <c r="Y28" i="373"/>
  <c r="Y27" i="373"/>
  <c r="Y26" i="373"/>
  <c r="Y25" i="373"/>
  <c r="Y24" i="373"/>
  <c r="Y23" i="373"/>
  <c r="Y22" i="373"/>
  <c r="Y21" i="373"/>
  <c r="Y20" i="373"/>
  <c r="Y19" i="373"/>
  <c r="Y18" i="373"/>
  <c r="Y17" i="373"/>
  <c r="Y16" i="373"/>
  <c r="Y15" i="373"/>
  <c r="Y14" i="373"/>
  <c r="Y13" i="373"/>
  <c r="Y12" i="373"/>
  <c r="Y11" i="373"/>
  <c r="Y10" i="373"/>
  <c r="Y9" i="373"/>
  <c r="Y8" i="373"/>
  <c r="Y7" i="373"/>
  <c r="Z124" i="35"/>
  <c r="Z125" i="35"/>
  <c r="Z126" i="35"/>
  <c r="Z127" i="35"/>
  <c r="Z128" i="35"/>
  <c r="Z123" i="35"/>
  <c r="Y45" i="370"/>
  <c r="Y44" i="370"/>
  <c r="Y43" i="370"/>
  <c r="Y42" i="370"/>
  <c r="Y41" i="370"/>
  <c r="Y40" i="370"/>
  <c r="Y39" i="370"/>
  <c r="Y38" i="370"/>
  <c r="Y37" i="370"/>
  <c r="Y36" i="370"/>
  <c r="Y35" i="370"/>
  <c r="Y34" i="370"/>
  <c r="Y33" i="370"/>
  <c r="Y32" i="370"/>
  <c r="Y31" i="370"/>
  <c r="Y30" i="370"/>
  <c r="Y29" i="370"/>
  <c r="Y28" i="370"/>
  <c r="Y27" i="370"/>
  <c r="Y26" i="370"/>
  <c r="Y25" i="370"/>
  <c r="Y24" i="370"/>
  <c r="Y23" i="370"/>
  <c r="Y22" i="370"/>
  <c r="Y21" i="370"/>
  <c r="Y20" i="370"/>
  <c r="Y19" i="370"/>
  <c r="Y18" i="370"/>
  <c r="Y17" i="370"/>
  <c r="Y16" i="370"/>
  <c r="Y15" i="370"/>
  <c r="Y14" i="370"/>
  <c r="Y13" i="370"/>
  <c r="Y12" i="370"/>
  <c r="Y11" i="370"/>
  <c r="Y10" i="370"/>
  <c r="Y9" i="370"/>
  <c r="Y8" i="370"/>
  <c r="Y7" i="370"/>
  <c r="T140" i="60"/>
  <c r="T139" i="60"/>
  <c r="T138" i="60"/>
  <c r="T137" i="60"/>
  <c r="T136" i="60"/>
  <c r="T135" i="60"/>
  <c r="T134" i="60"/>
  <c r="T133" i="60"/>
  <c r="T132" i="60"/>
  <c r="T131" i="60"/>
  <c r="T130" i="60"/>
  <c r="T129" i="60"/>
  <c r="T128" i="60"/>
  <c r="T127" i="60"/>
  <c r="T126" i="60"/>
  <c r="T125" i="60"/>
  <c r="T124" i="60"/>
  <c r="T123" i="60"/>
  <c r="T122" i="60"/>
  <c r="T83" i="117" l="1"/>
  <c r="Q84" i="117" s="1"/>
  <c r="Y41" i="365"/>
  <c r="Y40" i="365"/>
  <c r="Y38" i="365"/>
  <c r="Y33" i="365"/>
  <c r="AT33" i="96" s="1"/>
  <c r="Y32" i="365"/>
  <c r="AT32" i="96" s="1"/>
  <c r="Y30" i="365"/>
  <c r="AT30" i="96" s="1"/>
  <c r="Y25" i="365"/>
  <c r="AT25" i="96" s="1"/>
  <c r="Y24" i="365"/>
  <c r="AT24" i="96" s="1"/>
  <c r="Y22" i="365"/>
  <c r="AT22" i="96" s="1"/>
  <c r="Y17" i="365"/>
  <c r="AT17" i="96" s="1"/>
  <c r="Y16" i="365"/>
  <c r="AT16" i="96" s="1"/>
  <c r="Y14" i="365"/>
  <c r="AT14" i="96" s="1"/>
  <c r="Y9" i="365"/>
  <c r="AT9" i="96" s="1"/>
  <c r="Y8" i="365"/>
  <c r="AT8" i="96" s="1"/>
  <c r="Y45" i="365"/>
  <c r="Y44" i="365"/>
  <c r="Y43" i="365"/>
  <c r="Y42" i="365"/>
  <c r="Y39" i="365"/>
  <c r="Y37" i="365"/>
  <c r="Y36" i="365"/>
  <c r="Y35" i="365"/>
  <c r="AT35" i="96" s="1"/>
  <c r="Y34" i="365"/>
  <c r="AT34" i="96" s="1"/>
  <c r="Y31" i="365"/>
  <c r="AT31" i="96" s="1"/>
  <c r="Y29" i="365"/>
  <c r="AT29" i="96" s="1"/>
  <c r="Y28" i="365"/>
  <c r="AT28" i="96" s="1"/>
  <c r="Y27" i="365"/>
  <c r="AT27" i="96" s="1"/>
  <c r="Y26" i="365"/>
  <c r="AT26" i="96" s="1"/>
  <c r="Y23" i="365"/>
  <c r="AT23" i="96" s="1"/>
  <c r="Y21" i="365"/>
  <c r="AT21" i="96" s="1"/>
  <c r="Y20" i="365"/>
  <c r="AT20" i="96" s="1"/>
  <c r="Y19" i="365"/>
  <c r="AT19" i="96" s="1"/>
  <c r="Y18" i="365"/>
  <c r="AT18" i="96" s="1"/>
  <c r="Y15" i="365"/>
  <c r="AT15" i="96" s="1"/>
  <c r="Y13" i="365"/>
  <c r="AT13" i="96" s="1"/>
  <c r="Y12" i="365"/>
  <c r="AT12" i="96" s="1"/>
  <c r="Y11" i="365"/>
  <c r="AT11" i="96" s="1"/>
  <c r="Y10" i="365"/>
  <c r="AT10" i="96" s="1"/>
  <c r="Y7" i="365"/>
  <c r="AT7" i="96" s="1"/>
  <c r="AE50" i="365"/>
  <c r="AD122" i="347"/>
  <c r="AD121" i="347"/>
  <c r="AD120" i="347"/>
  <c r="AD117" i="347"/>
  <c r="AD114" i="347"/>
  <c r="AD113" i="347"/>
  <c r="AD112" i="347"/>
  <c r="AD109" i="347"/>
  <c r="AD106" i="347"/>
  <c r="AD105" i="347"/>
  <c r="AD104" i="347"/>
  <c r="AD101" i="347"/>
  <c r="AD98" i="347"/>
  <c r="AD97" i="347"/>
  <c r="AD96" i="347"/>
  <c r="AD93" i="347"/>
  <c r="AD90" i="347"/>
  <c r="AD89" i="347"/>
  <c r="AD88" i="347"/>
  <c r="AD85" i="347"/>
  <c r="AD123" i="347"/>
  <c r="AD119" i="347"/>
  <c r="AD118" i="347"/>
  <c r="AD116" i="347"/>
  <c r="AD115" i="347"/>
  <c r="AD111" i="347"/>
  <c r="AD110" i="347"/>
  <c r="AD108" i="347"/>
  <c r="AD107" i="347"/>
  <c r="AD103" i="347"/>
  <c r="AD102" i="347"/>
  <c r="AD100" i="347"/>
  <c r="AD99" i="347"/>
  <c r="AD95" i="347"/>
  <c r="AD94" i="347"/>
  <c r="AD92" i="347"/>
  <c r="AD91" i="347"/>
  <c r="AD87" i="347"/>
  <c r="AD86" i="347"/>
  <c r="Y45" i="325"/>
  <c r="Y44" i="325"/>
  <c r="Y43" i="325"/>
  <c r="Y42" i="325"/>
  <c r="Y41" i="325"/>
  <c r="Y40" i="325"/>
  <c r="Y39" i="325"/>
  <c r="Y38" i="325"/>
  <c r="Y37" i="325"/>
  <c r="Y36" i="325"/>
  <c r="Y35" i="325"/>
  <c r="Y34" i="325"/>
  <c r="Y33" i="325"/>
  <c r="Y32" i="325"/>
  <c r="Y31" i="325"/>
  <c r="Y30" i="325"/>
  <c r="Y29" i="325"/>
  <c r="Y28" i="325"/>
  <c r="Y27" i="325"/>
  <c r="Y26" i="325"/>
  <c r="Y25" i="325"/>
  <c r="Y24" i="325"/>
  <c r="Y23" i="325"/>
  <c r="Y22" i="325"/>
  <c r="Y21" i="325"/>
  <c r="Y20" i="325"/>
  <c r="Y19" i="325"/>
  <c r="Y18" i="325"/>
  <c r="Y17" i="325"/>
  <c r="Y16" i="325"/>
  <c r="Y15" i="325"/>
  <c r="Y14" i="325"/>
  <c r="Y13" i="325"/>
  <c r="Y12" i="325"/>
  <c r="Y11" i="325"/>
  <c r="Y10" i="325"/>
  <c r="Y9" i="325"/>
  <c r="Y8" i="325"/>
  <c r="Y7" i="325"/>
  <c r="T143" i="65"/>
  <c r="T142" i="65"/>
  <c r="T141" i="65"/>
  <c r="T140" i="65"/>
  <c r="T139" i="65"/>
  <c r="T138" i="65"/>
  <c r="T137" i="65"/>
  <c r="T136" i="65"/>
  <c r="T135" i="65"/>
  <c r="T134" i="65"/>
  <c r="T133" i="65"/>
  <c r="T132" i="65"/>
  <c r="T131" i="65"/>
  <c r="T130" i="65"/>
  <c r="T129" i="65"/>
  <c r="T128" i="65"/>
  <c r="T127" i="65"/>
  <c r="T126" i="65"/>
  <c r="T125" i="65"/>
  <c r="Y45" i="226"/>
  <c r="Y44" i="226"/>
  <c r="Y43" i="226"/>
  <c r="Y42" i="226"/>
  <c r="Y41" i="226"/>
  <c r="Y40" i="226"/>
  <c r="Y39" i="226"/>
  <c r="Y38" i="226"/>
  <c r="Y37" i="226"/>
  <c r="Y36" i="226"/>
  <c r="Y35" i="226"/>
  <c r="Y34" i="226"/>
  <c r="Y33" i="226"/>
  <c r="Y32" i="226"/>
  <c r="Y31" i="226"/>
  <c r="Y30" i="226"/>
  <c r="Y29" i="226"/>
  <c r="Y28" i="226"/>
  <c r="Y27" i="226"/>
  <c r="Y26" i="226"/>
  <c r="Y25" i="226"/>
  <c r="Y24" i="226"/>
  <c r="Y23" i="226"/>
  <c r="Y22" i="226"/>
  <c r="Y21" i="226"/>
  <c r="Y20" i="226"/>
  <c r="Y19" i="226"/>
  <c r="Y18" i="226"/>
  <c r="Y17" i="226"/>
  <c r="Y16" i="226"/>
  <c r="Y15" i="226"/>
  <c r="Y14" i="226"/>
  <c r="Y13" i="226"/>
  <c r="Y12" i="226"/>
  <c r="Y11" i="226"/>
  <c r="Y10" i="226"/>
  <c r="Y9" i="226"/>
  <c r="Y8" i="226"/>
  <c r="Y7" i="226"/>
  <c r="Y45" i="224"/>
  <c r="Y44" i="224"/>
  <c r="Y43" i="224"/>
  <c r="Y42" i="224"/>
  <c r="Y41" i="224"/>
  <c r="Y40" i="224"/>
  <c r="Y39" i="224"/>
  <c r="Y38" i="224"/>
  <c r="Y37" i="224"/>
  <c r="Y36" i="224"/>
  <c r="Y35" i="224"/>
  <c r="Y34" i="224"/>
  <c r="Y33" i="224"/>
  <c r="Y32" i="224"/>
  <c r="Y31" i="224"/>
  <c r="Y30" i="224"/>
  <c r="Y29" i="224"/>
  <c r="Y28" i="224"/>
  <c r="Y27" i="224"/>
  <c r="Y26" i="224"/>
  <c r="Y25" i="224"/>
  <c r="Y24" i="224"/>
  <c r="Y23" i="224"/>
  <c r="Y22" i="224"/>
  <c r="Y21" i="224"/>
  <c r="Y20" i="224"/>
  <c r="Y19" i="224"/>
  <c r="Y18" i="224"/>
  <c r="Y17" i="224"/>
  <c r="Y16" i="224"/>
  <c r="Y15" i="224"/>
  <c r="Y14" i="224"/>
  <c r="Y13" i="224"/>
  <c r="Y12" i="224"/>
  <c r="Y11" i="224"/>
  <c r="Y10" i="224"/>
  <c r="Y9" i="224"/>
  <c r="Y8" i="224"/>
  <c r="Y7" i="224"/>
  <c r="Y45" i="221"/>
  <c r="Y44" i="221"/>
  <c r="Y43" i="221"/>
  <c r="Y42" i="221"/>
  <c r="Y41" i="221"/>
  <c r="Y40" i="221"/>
  <c r="Y39" i="221"/>
  <c r="Y38" i="221"/>
  <c r="Y37" i="221"/>
  <c r="Y36" i="221"/>
  <c r="Y35" i="221"/>
  <c r="Y34" i="221"/>
  <c r="Y33" i="221"/>
  <c r="Y32" i="221"/>
  <c r="Y31" i="221"/>
  <c r="Y30" i="221"/>
  <c r="Y29" i="221"/>
  <c r="Y28" i="221"/>
  <c r="Y27" i="221"/>
  <c r="Y26" i="221"/>
  <c r="Y25" i="221"/>
  <c r="Y24" i="221"/>
  <c r="Y23" i="221"/>
  <c r="Y22" i="221"/>
  <c r="Y21" i="221"/>
  <c r="Y20" i="221"/>
  <c r="Y19" i="221"/>
  <c r="Y18" i="221"/>
  <c r="Y17" i="221"/>
  <c r="Y16" i="221"/>
  <c r="Y15" i="221"/>
  <c r="Y14" i="221"/>
  <c r="Y13" i="221"/>
  <c r="Y12" i="221"/>
  <c r="Y11" i="221"/>
  <c r="Y10" i="221"/>
  <c r="Y9" i="221"/>
  <c r="Y8" i="221"/>
  <c r="Y7" i="221"/>
  <c r="T121" i="58"/>
  <c r="T122" i="58"/>
  <c r="T123" i="58"/>
  <c r="T124" i="58"/>
  <c r="T125" i="58"/>
  <c r="T126" i="58"/>
  <c r="T127" i="58"/>
  <c r="T128" i="58"/>
  <c r="T129" i="58"/>
  <c r="T130" i="58"/>
  <c r="T131" i="58"/>
  <c r="T132" i="58"/>
  <c r="T133" i="58"/>
  <c r="T134" i="58"/>
  <c r="T135" i="58"/>
  <c r="T136" i="58"/>
  <c r="T137" i="58"/>
  <c r="T138" i="58"/>
  <c r="T120" i="58"/>
  <c r="Y45" i="218"/>
  <c r="Y44" i="218"/>
  <c r="Y43" i="218"/>
  <c r="Y42" i="218"/>
  <c r="Y41" i="218"/>
  <c r="Y40" i="218"/>
  <c r="Y39" i="218"/>
  <c r="Y38" i="218"/>
  <c r="Y37" i="218"/>
  <c r="Y36" i="218"/>
  <c r="Y35" i="218"/>
  <c r="Y34" i="218"/>
  <c r="Y33" i="218"/>
  <c r="Y32" i="218"/>
  <c r="Y31" i="218"/>
  <c r="Y30" i="218"/>
  <c r="Y29" i="218"/>
  <c r="Y28" i="218"/>
  <c r="Y27" i="218"/>
  <c r="Y26" i="218"/>
  <c r="Y25" i="218"/>
  <c r="Y24" i="218"/>
  <c r="Y23" i="218"/>
  <c r="Y22" i="218"/>
  <c r="Y21" i="218"/>
  <c r="Y20" i="218"/>
  <c r="Y19" i="218"/>
  <c r="Y18" i="218"/>
  <c r="Y17" i="218"/>
  <c r="Y16" i="218"/>
  <c r="Y15" i="218"/>
  <c r="Y14" i="218"/>
  <c r="Y13" i="218"/>
  <c r="Y12" i="218"/>
  <c r="Y11" i="218"/>
  <c r="Y10" i="218"/>
  <c r="Y9" i="218"/>
  <c r="Y8" i="218"/>
  <c r="Y7" i="218"/>
  <c r="T138" i="62"/>
  <c r="T137" i="62"/>
  <c r="T136" i="62"/>
  <c r="T135" i="62"/>
  <c r="T134" i="62"/>
  <c r="T133" i="62"/>
  <c r="T132" i="62"/>
  <c r="T131" i="62"/>
  <c r="T130" i="62"/>
  <c r="T129" i="62"/>
  <c r="T128" i="62"/>
  <c r="T127" i="62"/>
  <c r="T126" i="62"/>
  <c r="T125" i="62"/>
  <c r="T124" i="62"/>
  <c r="T123" i="62"/>
  <c r="T122" i="62"/>
  <c r="T121" i="62"/>
  <c r="T120" i="62"/>
  <c r="T84" i="117" l="1"/>
  <c r="T85" i="117" s="1"/>
  <c r="T103" i="52"/>
  <c r="T104" i="52" s="1"/>
  <c r="T105" i="52" s="1"/>
  <c r="T106" i="52" s="1"/>
  <c r="T107" i="52" s="1"/>
  <c r="T108" i="52" s="1"/>
  <c r="T109" i="52" s="1"/>
  <c r="T110" i="52" s="1"/>
  <c r="T111" i="52" s="1"/>
  <c r="T112" i="52" s="1"/>
  <c r="Y45" i="216"/>
  <c r="Y44" i="216"/>
  <c r="Y43" i="216"/>
  <c r="Y42" i="216"/>
  <c r="Y41" i="216"/>
  <c r="Y40" i="216"/>
  <c r="Y39" i="216"/>
  <c r="Y38" i="216"/>
  <c r="Y37" i="216"/>
  <c r="Y36" i="216"/>
  <c r="Y35" i="216"/>
  <c r="Y34" i="216"/>
  <c r="Y33" i="216"/>
  <c r="Y32" i="216"/>
  <c r="Y31" i="216"/>
  <c r="Y30" i="216"/>
  <c r="Y29" i="216"/>
  <c r="Y28" i="216"/>
  <c r="Y27" i="216"/>
  <c r="Y26" i="216"/>
  <c r="Y25" i="216"/>
  <c r="Y24" i="216"/>
  <c r="Y23" i="216"/>
  <c r="Y22" i="216"/>
  <c r="Y21" i="216"/>
  <c r="Y20" i="216"/>
  <c r="Y19" i="216"/>
  <c r="Y18" i="216"/>
  <c r="Y17" i="216"/>
  <c r="Y16" i="216"/>
  <c r="Y15" i="216"/>
  <c r="Y14" i="216"/>
  <c r="Y13" i="216"/>
  <c r="Y12" i="216"/>
  <c r="Y11" i="216"/>
  <c r="Y10" i="216"/>
  <c r="Y9" i="216"/>
  <c r="Y8" i="216"/>
  <c r="Y7" i="216"/>
  <c r="Y45" i="214"/>
  <c r="Y44" i="214"/>
  <c r="Y43" i="214"/>
  <c r="Y42" i="214"/>
  <c r="Y41" i="214"/>
  <c r="Y40" i="214"/>
  <c r="Y39" i="214"/>
  <c r="Y38" i="214"/>
  <c r="Y37" i="214"/>
  <c r="Y36" i="214"/>
  <c r="Y35" i="214"/>
  <c r="Y34" i="214"/>
  <c r="Y33" i="214"/>
  <c r="Y32" i="214"/>
  <c r="Y31" i="214"/>
  <c r="Y30" i="214"/>
  <c r="Y29" i="214"/>
  <c r="Y28" i="214"/>
  <c r="Y27" i="214"/>
  <c r="Y26" i="214"/>
  <c r="Y25" i="214"/>
  <c r="Y24" i="214"/>
  <c r="Y23" i="214"/>
  <c r="Y22" i="214"/>
  <c r="Y21" i="214"/>
  <c r="Y20" i="214"/>
  <c r="Y19" i="214"/>
  <c r="Y18" i="214"/>
  <c r="Y17" i="214"/>
  <c r="Y16" i="214"/>
  <c r="Y15" i="214"/>
  <c r="Y14" i="214"/>
  <c r="Y13" i="214"/>
  <c r="Y12" i="214"/>
  <c r="Y11" i="214"/>
  <c r="Y10" i="214"/>
  <c r="Y9" i="214"/>
  <c r="Y8" i="214"/>
  <c r="Y7" i="214"/>
  <c r="Y45" i="209"/>
  <c r="Y44" i="209"/>
  <c r="Y43" i="209"/>
  <c r="Y42" i="209"/>
  <c r="Y41" i="209"/>
  <c r="Y40" i="209"/>
  <c r="Y39" i="209"/>
  <c r="Y38" i="209"/>
  <c r="Y37" i="209"/>
  <c r="Y36" i="209"/>
  <c r="Y35" i="209"/>
  <c r="Y34" i="209"/>
  <c r="Y33" i="209"/>
  <c r="Y32" i="209"/>
  <c r="Y31" i="209"/>
  <c r="Y30" i="209"/>
  <c r="Y29" i="209"/>
  <c r="Y28" i="209"/>
  <c r="Y27" i="209"/>
  <c r="Y26" i="209"/>
  <c r="Y25" i="209"/>
  <c r="Y24" i="209"/>
  <c r="Y23" i="209"/>
  <c r="Y22" i="209"/>
  <c r="Y21" i="209"/>
  <c r="Y20" i="209"/>
  <c r="Y19" i="209"/>
  <c r="Y18" i="209"/>
  <c r="Y17" i="209"/>
  <c r="Y16" i="209"/>
  <c r="Y15" i="209"/>
  <c r="Y14" i="209"/>
  <c r="Y13" i="209"/>
  <c r="Y12" i="209"/>
  <c r="Y11" i="209"/>
  <c r="Y10" i="209"/>
  <c r="Y9" i="209"/>
  <c r="Y8" i="209"/>
  <c r="Y7" i="209"/>
  <c r="T137" i="51"/>
  <c r="T136" i="51"/>
  <c r="T135" i="51"/>
  <c r="T134" i="51"/>
  <c r="T133" i="51"/>
  <c r="T132" i="51"/>
  <c r="T131" i="51"/>
  <c r="T130" i="51"/>
  <c r="T129" i="51"/>
  <c r="T128" i="51"/>
  <c r="T127" i="51"/>
  <c r="T126" i="51"/>
  <c r="T125" i="51"/>
  <c r="T124" i="51"/>
  <c r="T123" i="51"/>
  <c r="T122" i="51"/>
  <c r="T121" i="51"/>
  <c r="T120" i="51"/>
  <c r="T119" i="51"/>
  <c r="Q85" i="117" l="1"/>
  <c r="T86" i="117"/>
  <c r="Q86" i="117"/>
  <c r="AK54" i="205"/>
  <c r="AK53" i="205"/>
  <c r="AK52" i="205"/>
  <c r="AK51" i="205"/>
  <c r="AK50" i="205"/>
  <c r="AK49" i="205"/>
  <c r="AK48" i="205"/>
  <c r="AK47" i="205"/>
  <c r="AK46" i="205"/>
  <c r="AK45" i="205"/>
  <c r="AK44" i="205"/>
  <c r="AK43" i="205"/>
  <c r="AK42" i="205"/>
  <c r="AK41" i="205"/>
  <c r="AK40" i="205"/>
  <c r="AK39" i="205"/>
  <c r="AK38" i="205"/>
  <c r="AK37" i="205"/>
  <c r="AK36" i="205"/>
  <c r="AK35" i="205"/>
  <c r="AK34" i="205"/>
  <c r="AK33" i="205"/>
  <c r="AK32" i="205"/>
  <c r="AK31" i="205"/>
  <c r="AK30" i="205"/>
  <c r="AK29" i="205"/>
  <c r="AK28" i="205"/>
  <c r="AK27" i="205"/>
  <c r="AK26" i="205"/>
  <c r="AK25" i="205"/>
  <c r="AK24" i="205"/>
  <c r="AK23" i="205"/>
  <c r="AK22" i="205"/>
  <c r="AK21" i="205"/>
  <c r="AK20" i="205"/>
  <c r="AK19" i="205"/>
  <c r="AK18" i="205"/>
  <c r="AK17" i="205"/>
  <c r="AK16" i="205"/>
  <c r="T87" i="117" l="1"/>
  <c r="Q87" i="117"/>
  <c r="AE50" i="209"/>
  <c r="T119" i="53"/>
  <c r="T120" i="53"/>
  <c r="T121" i="53"/>
  <c r="T122" i="53"/>
  <c r="T123" i="53"/>
  <c r="T124" i="53"/>
  <c r="T125" i="53"/>
  <c r="T126" i="53"/>
  <c r="T127" i="53"/>
  <c r="T128" i="53"/>
  <c r="T129" i="53"/>
  <c r="T130" i="53"/>
  <c r="T131" i="53"/>
  <c r="T132" i="53"/>
  <c r="T133" i="53"/>
  <c r="T134" i="53"/>
  <c r="T135" i="53"/>
  <c r="T136" i="53"/>
  <c r="T118" i="53"/>
  <c r="AE5" i="209"/>
  <c r="AE6" i="209"/>
  <c r="AE7" i="209"/>
  <c r="AE8" i="209"/>
  <c r="AE9" i="209"/>
  <c r="AE10" i="209"/>
  <c r="AE11" i="209"/>
  <c r="AE12" i="209"/>
  <c r="AE13" i="209"/>
  <c r="AE14" i="209"/>
  <c r="AE15" i="209"/>
  <c r="AE16" i="209"/>
  <c r="AE17" i="209"/>
  <c r="AE18" i="209"/>
  <c r="AE19" i="209"/>
  <c r="AE20" i="209"/>
  <c r="AE21" i="209"/>
  <c r="AE22" i="209"/>
  <c r="AE23" i="209"/>
  <c r="AE24" i="209"/>
  <c r="AE25" i="209"/>
  <c r="AE26" i="209"/>
  <c r="AE27" i="209"/>
  <c r="AE28" i="209"/>
  <c r="AE29" i="209"/>
  <c r="AE30" i="209"/>
  <c r="AE31" i="209"/>
  <c r="AE32" i="209"/>
  <c r="AE33" i="209"/>
  <c r="AE34" i="209"/>
  <c r="AE35" i="209"/>
  <c r="AE36" i="209"/>
  <c r="AE37" i="209"/>
  <c r="AE38" i="209"/>
  <c r="AE39" i="209"/>
  <c r="AE40" i="209"/>
  <c r="AE41" i="209"/>
  <c r="AE42" i="209"/>
  <c r="AE43" i="209"/>
  <c r="AE44" i="209"/>
  <c r="AE45" i="209"/>
  <c r="AE46" i="209"/>
  <c r="AE47" i="209"/>
  <c r="AE48" i="209"/>
  <c r="AE49" i="209"/>
  <c r="T88" i="117" l="1"/>
  <c r="Q88" i="117"/>
  <c r="AQ16" i="205"/>
  <c r="AQ17" i="205"/>
  <c r="AQ18" i="205"/>
  <c r="AQ19" i="205"/>
  <c r="AQ20" i="205"/>
  <c r="AQ21" i="205"/>
  <c r="AQ22" i="205"/>
  <c r="AQ23" i="205"/>
  <c r="AQ24" i="205"/>
  <c r="AQ25" i="205"/>
  <c r="AQ26" i="205"/>
  <c r="AQ27" i="205"/>
  <c r="AQ28" i="205"/>
  <c r="AQ29" i="205"/>
  <c r="AQ30" i="205"/>
  <c r="AQ31" i="205"/>
  <c r="AQ32" i="205"/>
  <c r="AQ33" i="205"/>
  <c r="AQ34" i="205"/>
  <c r="AQ35" i="205"/>
  <c r="AQ36" i="205"/>
  <c r="AQ37" i="205"/>
  <c r="AQ38" i="205"/>
  <c r="AQ39" i="205"/>
  <c r="AQ40" i="205"/>
  <c r="AQ41" i="205"/>
  <c r="AQ42" i="205"/>
  <c r="AQ43" i="205"/>
  <c r="AQ44" i="205"/>
  <c r="AQ45" i="205"/>
  <c r="AQ46" i="205"/>
  <c r="AQ47" i="205"/>
  <c r="AQ48" i="205"/>
  <c r="AQ49" i="205"/>
  <c r="AQ50" i="205"/>
  <c r="AQ51" i="205"/>
  <c r="AQ52" i="205"/>
  <c r="AQ53" i="205"/>
  <c r="AQ54" i="205"/>
  <c r="AQ55" i="205"/>
  <c r="AQ56" i="205"/>
  <c r="AQ57" i="205"/>
  <c r="AQ58" i="205"/>
  <c r="AQ59" i="205"/>
  <c r="AQ15" i="205"/>
  <c r="Y45" i="200"/>
  <c r="Y44" i="200"/>
  <c r="Y43" i="200"/>
  <c r="Y42" i="200"/>
  <c r="Y41" i="200"/>
  <c r="Y40" i="200"/>
  <c r="Y39" i="200"/>
  <c r="Y38" i="200"/>
  <c r="Y37" i="200"/>
  <c r="Y36" i="200"/>
  <c r="Y35" i="200"/>
  <c r="Y34" i="200"/>
  <c r="Y33" i="200"/>
  <c r="Y32" i="200"/>
  <c r="Y31" i="200"/>
  <c r="Y30" i="200"/>
  <c r="Y29" i="200"/>
  <c r="Y28" i="200"/>
  <c r="Y27" i="200"/>
  <c r="Y26" i="200"/>
  <c r="Y25" i="200"/>
  <c r="Y24" i="200"/>
  <c r="Y23" i="200"/>
  <c r="Y22" i="200"/>
  <c r="Y21" i="200"/>
  <c r="Y20" i="200"/>
  <c r="Y19" i="200"/>
  <c r="Y18" i="200"/>
  <c r="Y17" i="200"/>
  <c r="Y16" i="200"/>
  <c r="Y15" i="200"/>
  <c r="Y14" i="200"/>
  <c r="Y13" i="200"/>
  <c r="Y12" i="200"/>
  <c r="Y11" i="200"/>
  <c r="Y10" i="200"/>
  <c r="Y9" i="200"/>
  <c r="Y8" i="200"/>
  <c r="Y7" i="200"/>
  <c r="T116" i="98"/>
  <c r="T117" i="98"/>
  <c r="T118" i="98"/>
  <c r="T119" i="98"/>
  <c r="T120" i="98"/>
  <c r="T121" i="98"/>
  <c r="T122" i="98"/>
  <c r="T123" i="98"/>
  <c r="T124" i="98"/>
  <c r="T125" i="98"/>
  <c r="T126" i="98"/>
  <c r="T127" i="98"/>
  <c r="T128" i="98"/>
  <c r="T129" i="98"/>
  <c r="T130" i="98"/>
  <c r="T131" i="98"/>
  <c r="T132" i="98"/>
  <c r="T133" i="98"/>
  <c r="T115" i="98"/>
  <c r="Y45" i="140"/>
  <c r="Y44" i="140"/>
  <c r="Y43" i="140"/>
  <c r="Y42" i="140"/>
  <c r="Y41" i="140"/>
  <c r="Y40" i="140"/>
  <c r="Y39" i="140"/>
  <c r="Y38" i="140"/>
  <c r="Y37" i="140"/>
  <c r="Y36" i="140"/>
  <c r="Y35" i="140"/>
  <c r="Y34" i="140"/>
  <c r="Y33" i="140"/>
  <c r="Y32" i="140"/>
  <c r="Y31" i="140"/>
  <c r="Y30" i="140"/>
  <c r="Y29" i="140"/>
  <c r="Y28" i="140"/>
  <c r="Y27" i="140"/>
  <c r="Y26" i="140"/>
  <c r="Y25" i="140"/>
  <c r="Y24" i="140"/>
  <c r="Y23" i="140"/>
  <c r="Y22" i="140"/>
  <c r="Y21" i="140"/>
  <c r="Y20" i="140"/>
  <c r="Y19" i="140"/>
  <c r="Y18" i="140"/>
  <c r="Y17" i="140"/>
  <c r="Y16" i="140"/>
  <c r="Y15" i="140"/>
  <c r="Y14" i="140"/>
  <c r="Y13" i="140"/>
  <c r="Y12" i="140"/>
  <c r="Y11" i="140"/>
  <c r="Y10" i="140"/>
  <c r="Y9" i="140"/>
  <c r="Y8" i="140"/>
  <c r="Y7" i="140"/>
  <c r="T119" i="57"/>
  <c r="T120" i="57"/>
  <c r="T121" i="57"/>
  <c r="T122" i="57"/>
  <c r="T123" i="57"/>
  <c r="T124" i="57"/>
  <c r="T125" i="57"/>
  <c r="T126" i="57"/>
  <c r="T127" i="57"/>
  <c r="T128" i="57"/>
  <c r="T129" i="57"/>
  <c r="T130" i="57"/>
  <c r="T131" i="57"/>
  <c r="T132" i="57"/>
  <c r="T133" i="57"/>
  <c r="T134" i="57"/>
  <c r="T135" i="57"/>
  <c r="T136" i="57"/>
  <c r="T118" i="57"/>
  <c r="Y45" i="134"/>
  <c r="Y44" i="134"/>
  <c r="Y43" i="134"/>
  <c r="Y42" i="134"/>
  <c r="Y41" i="134"/>
  <c r="Y40" i="134"/>
  <c r="Y39" i="134"/>
  <c r="Y38" i="134"/>
  <c r="Y37" i="134"/>
  <c r="Y36" i="134"/>
  <c r="Y35" i="134"/>
  <c r="Y34" i="134"/>
  <c r="Y33" i="134"/>
  <c r="Y32" i="134"/>
  <c r="Y31" i="134"/>
  <c r="Y30" i="134"/>
  <c r="Y29" i="134"/>
  <c r="Y28" i="134"/>
  <c r="Y27" i="134"/>
  <c r="Y26" i="134"/>
  <c r="Y25" i="134"/>
  <c r="Y24" i="134"/>
  <c r="Y23" i="134"/>
  <c r="Y22" i="134"/>
  <c r="Y21" i="134"/>
  <c r="Y20" i="134"/>
  <c r="Y19" i="134"/>
  <c r="Y18" i="134"/>
  <c r="Y17" i="134"/>
  <c r="Y16" i="134"/>
  <c r="Y15" i="134"/>
  <c r="Y14" i="134"/>
  <c r="Y13" i="134"/>
  <c r="Y12" i="134"/>
  <c r="Y11" i="134"/>
  <c r="Y10" i="134"/>
  <c r="Y9" i="134"/>
  <c r="Y8" i="134"/>
  <c r="Y7" i="134"/>
  <c r="AE50" i="134"/>
  <c r="Y45" i="130"/>
  <c r="Y44" i="130"/>
  <c r="Y43" i="130"/>
  <c r="Y42" i="130"/>
  <c r="Y41" i="130"/>
  <c r="Y40" i="130"/>
  <c r="Y39" i="130"/>
  <c r="Y38" i="130"/>
  <c r="Y37" i="130"/>
  <c r="Y36" i="130"/>
  <c r="Y35" i="130"/>
  <c r="Y34" i="130"/>
  <c r="Y33" i="130"/>
  <c r="Y32" i="130"/>
  <c r="Y31" i="130"/>
  <c r="Y30" i="130"/>
  <c r="Y29" i="130"/>
  <c r="Y28" i="130"/>
  <c r="Y27" i="130"/>
  <c r="Y26" i="130"/>
  <c r="Y25" i="130"/>
  <c r="Y24" i="130"/>
  <c r="Y23" i="130"/>
  <c r="Y22" i="130"/>
  <c r="Y21" i="130"/>
  <c r="Y20" i="130"/>
  <c r="Y19" i="130"/>
  <c r="Y18" i="130"/>
  <c r="Y17" i="130"/>
  <c r="Y16" i="130"/>
  <c r="Y15" i="130"/>
  <c r="Y14" i="130"/>
  <c r="Y13" i="130"/>
  <c r="Y12" i="130"/>
  <c r="Y11" i="130"/>
  <c r="Y10" i="130"/>
  <c r="Y9" i="130"/>
  <c r="Y8" i="130"/>
  <c r="Y7" i="130"/>
  <c r="T89" i="117" l="1"/>
  <c r="Q89" i="117"/>
  <c r="T90" i="117" l="1"/>
  <c r="Q90" i="117"/>
  <c r="AE5" i="126"/>
  <c r="AB5" i="126" s="1"/>
  <c r="L71" i="226"/>
  <c r="M71" i="226"/>
  <c r="Y71" i="224"/>
  <c r="Z71" i="224"/>
  <c r="Y71" i="221"/>
  <c r="Z71" i="221"/>
  <c r="L71" i="218"/>
  <c r="M71" i="218"/>
  <c r="Z71" i="216"/>
  <c r="AA71" i="216"/>
  <c r="Y71" i="214"/>
  <c r="Z71" i="214"/>
  <c r="Y71" i="209"/>
  <c r="Z71" i="209"/>
  <c r="Y85" i="205"/>
  <c r="Z85" i="205"/>
  <c r="M70" i="413"/>
  <c r="N70" i="413"/>
  <c r="O71" i="126"/>
  <c r="P71" i="126"/>
  <c r="Y71" i="130"/>
  <c r="Z71" i="130"/>
  <c r="Z71" i="140"/>
  <c r="AA71" i="140"/>
  <c r="L71" i="200"/>
  <c r="M71" i="200"/>
  <c r="Y71" i="134"/>
  <c r="Z71" i="134"/>
  <c r="J5" i="96"/>
  <c r="N5" i="489" s="1"/>
  <c r="AN45" i="205"/>
  <c r="AN46" i="205"/>
  <c r="AN47" i="205"/>
  <c r="AN48" i="205"/>
  <c r="AN49" i="205"/>
  <c r="AN50" i="205"/>
  <c r="AN51" i="205"/>
  <c r="AN52" i="205"/>
  <c r="AN53" i="205"/>
  <c r="AN54" i="205"/>
  <c r="AN55" i="205"/>
  <c r="AN56" i="205"/>
  <c r="AN57" i="205"/>
  <c r="AN58" i="205"/>
  <c r="AN59" i="205"/>
  <c r="Y71" i="205"/>
  <c r="Z71" i="205"/>
  <c r="Y72" i="205"/>
  <c r="Z72" i="205"/>
  <c r="Y73" i="205"/>
  <c r="Z73" i="205"/>
  <c r="Y74" i="205"/>
  <c r="Z74" i="205"/>
  <c r="Y75" i="205"/>
  <c r="Z75" i="205"/>
  <c r="Y76" i="205"/>
  <c r="Z76" i="205"/>
  <c r="Y77" i="205"/>
  <c r="Z77" i="205"/>
  <c r="Y78" i="205"/>
  <c r="Z78" i="205"/>
  <c r="Y79" i="205"/>
  <c r="Z79" i="205"/>
  <c r="Y80" i="205"/>
  <c r="Z80" i="205"/>
  <c r="Y81" i="205"/>
  <c r="Z81" i="205"/>
  <c r="Y82" i="205"/>
  <c r="Z82" i="205"/>
  <c r="Y83" i="205"/>
  <c r="Z83" i="205"/>
  <c r="Y84" i="205"/>
  <c r="Z84" i="205"/>
  <c r="Z70" i="205"/>
  <c r="Y70" i="205"/>
  <c r="L57" i="377"/>
  <c r="M57" i="377"/>
  <c r="L58" i="377"/>
  <c r="M58" i="377"/>
  <c r="L59" i="377"/>
  <c r="M59" i="377"/>
  <c r="L60" i="377"/>
  <c r="M60" i="377"/>
  <c r="L61" i="377"/>
  <c r="M61" i="377"/>
  <c r="L62" i="377"/>
  <c r="M62" i="377"/>
  <c r="L63" i="377"/>
  <c r="M63" i="377"/>
  <c r="L64" i="377"/>
  <c r="M64" i="377"/>
  <c r="L65" i="377"/>
  <c r="M65" i="377"/>
  <c r="L66" i="377"/>
  <c r="M66" i="377"/>
  <c r="L67" i="377"/>
  <c r="M67" i="377"/>
  <c r="L68" i="377"/>
  <c r="M68" i="377"/>
  <c r="L69" i="377"/>
  <c r="M69" i="377"/>
  <c r="L70" i="377"/>
  <c r="M70" i="377"/>
  <c r="M56" i="377"/>
  <c r="L56" i="377"/>
  <c r="Z57" i="375"/>
  <c r="AA57" i="375"/>
  <c r="Z58" i="375"/>
  <c r="AA58" i="375"/>
  <c r="Z59" i="375"/>
  <c r="AA59" i="375"/>
  <c r="Z60" i="375"/>
  <c r="AA60" i="375"/>
  <c r="Z61" i="375"/>
  <c r="AA61" i="375"/>
  <c r="Z62" i="375"/>
  <c r="AA62" i="375"/>
  <c r="Z63" i="375"/>
  <c r="AA63" i="375"/>
  <c r="Z64" i="375"/>
  <c r="AA64" i="375"/>
  <c r="Z65" i="375"/>
  <c r="AA65" i="375"/>
  <c r="Z66" i="375"/>
  <c r="AA66" i="375"/>
  <c r="Z67" i="375"/>
  <c r="AA67" i="375"/>
  <c r="Z68" i="375"/>
  <c r="AA68" i="375"/>
  <c r="Z69" i="375"/>
  <c r="AA69" i="375"/>
  <c r="Z70" i="375"/>
  <c r="AA70" i="375"/>
  <c r="AA56" i="375"/>
  <c r="Z56" i="375"/>
  <c r="Z70" i="373"/>
  <c r="AA70" i="373"/>
  <c r="Z57" i="373"/>
  <c r="AA57" i="373"/>
  <c r="Z58" i="373"/>
  <c r="AA58" i="373"/>
  <c r="Z59" i="373"/>
  <c r="AA59" i="373"/>
  <c r="Z60" i="373"/>
  <c r="AA60" i="373"/>
  <c r="Z61" i="373"/>
  <c r="AA61" i="373"/>
  <c r="Z62" i="373"/>
  <c r="AA62" i="373"/>
  <c r="Z63" i="373"/>
  <c r="AA63" i="373"/>
  <c r="Z64" i="373"/>
  <c r="AA64" i="373"/>
  <c r="Z65" i="373"/>
  <c r="AA65" i="373"/>
  <c r="Z66" i="373"/>
  <c r="AA66" i="373"/>
  <c r="Z67" i="373"/>
  <c r="AA67" i="373"/>
  <c r="Z68" i="373"/>
  <c r="AA68" i="373"/>
  <c r="Z69" i="373"/>
  <c r="AA69" i="373"/>
  <c r="AA56" i="373"/>
  <c r="Z56" i="373"/>
  <c r="Z57" i="370"/>
  <c r="AA57" i="370"/>
  <c r="Z58" i="370"/>
  <c r="AA58" i="370"/>
  <c r="Z59" i="370"/>
  <c r="AA59" i="370"/>
  <c r="Z60" i="370"/>
  <c r="AA60" i="370"/>
  <c r="Z61" i="370"/>
  <c r="AA61" i="370"/>
  <c r="Z62" i="370"/>
  <c r="AA62" i="370"/>
  <c r="Z63" i="370"/>
  <c r="AA63" i="370"/>
  <c r="Z64" i="370"/>
  <c r="AA64" i="370"/>
  <c r="Z65" i="370"/>
  <c r="AA65" i="370"/>
  <c r="Z66" i="370"/>
  <c r="AA66" i="370"/>
  <c r="Z67" i="370"/>
  <c r="AA67" i="370"/>
  <c r="Z68" i="370"/>
  <c r="AA68" i="370"/>
  <c r="Z69" i="370"/>
  <c r="AA69" i="370"/>
  <c r="Z70" i="370"/>
  <c r="AA70" i="370"/>
  <c r="AA56" i="370"/>
  <c r="Z56" i="370"/>
  <c r="Q65" i="20"/>
  <c r="R65" i="20"/>
  <c r="Q66" i="20"/>
  <c r="R66" i="20"/>
  <c r="Q67" i="20"/>
  <c r="R67" i="20"/>
  <c r="Q68" i="20"/>
  <c r="R68" i="20"/>
  <c r="Q69" i="20"/>
  <c r="R69" i="20"/>
  <c r="Q70" i="20"/>
  <c r="R70" i="20"/>
  <c r="Q71" i="20"/>
  <c r="R71" i="20"/>
  <c r="Q72" i="20"/>
  <c r="R72" i="20"/>
  <c r="Q73" i="20"/>
  <c r="R73" i="20"/>
  <c r="Q74" i="20"/>
  <c r="R74" i="20"/>
  <c r="Q75" i="20"/>
  <c r="R75" i="20"/>
  <c r="Q76" i="20"/>
  <c r="R76" i="20"/>
  <c r="Q77" i="20"/>
  <c r="R77" i="20"/>
  <c r="Q78" i="20"/>
  <c r="R78" i="20"/>
  <c r="R64" i="20"/>
  <c r="Q64" i="20"/>
  <c r="Z57" i="365"/>
  <c r="AA57" i="365"/>
  <c r="Z58" i="365"/>
  <c r="AA58" i="365"/>
  <c r="Z59" i="365"/>
  <c r="AA59" i="365"/>
  <c r="Z60" i="365"/>
  <c r="AA60" i="365"/>
  <c r="Z61" i="365"/>
  <c r="AA61" i="365"/>
  <c r="Z62" i="365"/>
  <c r="AA62" i="365"/>
  <c r="Z63" i="365"/>
  <c r="AA63" i="365"/>
  <c r="Z64" i="365"/>
  <c r="AA64" i="365"/>
  <c r="Z65" i="365"/>
  <c r="AA65" i="365"/>
  <c r="Z66" i="365"/>
  <c r="AA66" i="365"/>
  <c r="Z67" i="365"/>
  <c r="AA67" i="365"/>
  <c r="Z68" i="365"/>
  <c r="AA68" i="365"/>
  <c r="Z69" i="365"/>
  <c r="AA69" i="365"/>
  <c r="Z70" i="365"/>
  <c r="AA70" i="365"/>
  <c r="AA56" i="365"/>
  <c r="Z56" i="365"/>
  <c r="AP108" i="347"/>
  <c r="AQ108" i="347"/>
  <c r="AP95" i="347"/>
  <c r="AQ95" i="347"/>
  <c r="AP96" i="347"/>
  <c r="AQ96" i="347"/>
  <c r="AP97" i="347"/>
  <c r="AQ97" i="347"/>
  <c r="AP98" i="347"/>
  <c r="AQ98" i="347"/>
  <c r="AP99" i="347"/>
  <c r="AQ99" i="347"/>
  <c r="AP100" i="347"/>
  <c r="AQ100" i="347"/>
  <c r="AP101" i="347"/>
  <c r="AQ101" i="347"/>
  <c r="AP102" i="347"/>
  <c r="AQ102" i="347"/>
  <c r="AP103" i="347"/>
  <c r="AQ103" i="347"/>
  <c r="AP104" i="347"/>
  <c r="AQ104" i="347"/>
  <c r="AP105" i="347"/>
  <c r="AQ105" i="347"/>
  <c r="AP106" i="347"/>
  <c r="AQ106" i="347"/>
  <c r="AP107" i="347"/>
  <c r="AQ107" i="347"/>
  <c r="AQ94" i="347"/>
  <c r="AP94" i="347"/>
  <c r="L58" i="325"/>
  <c r="M58" i="325"/>
  <c r="L59" i="325"/>
  <c r="M59" i="325"/>
  <c r="L60" i="325"/>
  <c r="M60" i="325"/>
  <c r="L61" i="325"/>
  <c r="M61" i="325"/>
  <c r="L62" i="325"/>
  <c r="M62" i="325"/>
  <c r="L63" i="325"/>
  <c r="M63" i="325"/>
  <c r="L64" i="325"/>
  <c r="M64" i="325"/>
  <c r="L65" i="325"/>
  <c r="M65" i="325"/>
  <c r="L66" i="325"/>
  <c r="M66" i="325"/>
  <c r="L67" i="325"/>
  <c r="M67" i="325"/>
  <c r="L68" i="325"/>
  <c r="M68" i="325"/>
  <c r="L69" i="325"/>
  <c r="M69" i="325"/>
  <c r="L70" i="325"/>
  <c r="M70" i="325"/>
  <c r="L57" i="325"/>
  <c r="M57" i="325"/>
  <c r="M56" i="325"/>
  <c r="L56" i="325"/>
  <c r="L57" i="226"/>
  <c r="M57" i="226"/>
  <c r="L58" i="226"/>
  <c r="M58" i="226"/>
  <c r="L59" i="226"/>
  <c r="M59" i="226"/>
  <c r="L60" i="226"/>
  <c r="M60" i="226"/>
  <c r="L61" i="226"/>
  <c r="M61" i="226"/>
  <c r="L62" i="226"/>
  <c r="M62" i="226"/>
  <c r="L63" i="226"/>
  <c r="M63" i="226"/>
  <c r="L64" i="226"/>
  <c r="M64" i="226"/>
  <c r="L65" i="226"/>
  <c r="M65" i="226"/>
  <c r="L66" i="226"/>
  <c r="M66" i="226"/>
  <c r="L67" i="226"/>
  <c r="M67" i="226"/>
  <c r="L68" i="226"/>
  <c r="M68" i="226"/>
  <c r="L69" i="226"/>
  <c r="M69" i="226"/>
  <c r="L70" i="226"/>
  <c r="M70" i="226"/>
  <c r="M56" i="226"/>
  <c r="L56" i="226"/>
  <c r="Y57" i="224"/>
  <c r="Z57" i="224"/>
  <c r="Y58" i="224"/>
  <c r="Z58" i="224"/>
  <c r="Y59" i="224"/>
  <c r="Z59" i="224"/>
  <c r="Y60" i="224"/>
  <c r="Z60" i="224"/>
  <c r="Y61" i="224"/>
  <c r="Z61" i="224"/>
  <c r="Y62" i="224"/>
  <c r="Z62" i="224"/>
  <c r="Y63" i="224"/>
  <c r="Z63" i="224"/>
  <c r="Y64" i="224"/>
  <c r="Z64" i="224"/>
  <c r="Y65" i="224"/>
  <c r="Z65" i="224"/>
  <c r="Y66" i="224"/>
  <c r="Z66" i="224"/>
  <c r="Y67" i="224"/>
  <c r="Z67" i="224"/>
  <c r="Y68" i="224"/>
  <c r="Z68" i="224"/>
  <c r="Y69" i="224"/>
  <c r="Z69" i="224"/>
  <c r="Y70" i="224"/>
  <c r="Z70" i="224"/>
  <c r="Z56" i="224"/>
  <c r="Y56" i="224"/>
  <c r="Y57" i="221"/>
  <c r="Z57" i="221"/>
  <c r="Y58" i="221"/>
  <c r="Z58" i="221"/>
  <c r="Y59" i="221"/>
  <c r="Z59" i="221"/>
  <c r="Y60" i="221"/>
  <c r="Z60" i="221"/>
  <c r="Y61" i="221"/>
  <c r="Z61" i="221"/>
  <c r="Y62" i="221"/>
  <c r="Z62" i="221"/>
  <c r="Y63" i="221"/>
  <c r="Z63" i="221"/>
  <c r="Y64" i="221"/>
  <c r="Z64" i="221"/>
  <c r="Y65" i="221"/>
  <c r="Z65" i="221"/>
  <c r="Y66" i="221"/>
  <c r="Z66" i="221"/>
  <c r="Y67" i="221"/>
  <c r="Z67" i="221"/>
  <c r="Y68" i="221"/>
  <c r="Z68" i="221"/>
  <c r="Y69" i="221"/>
  <c r="Z69" i="221"/>
  <c r="Y70" i="221"/>
  <c r="Z70" i="221"/>
  <c r="Z56" i="221"/>
  <c r="Y56" i="221"/>
  <c r="L57" i="218"/>
  <c r="M57" i="218"/>
  <c r="L58" i="218"/>
  <c r="M58" i="218"/>
  <c r="L59" i="218"/>
  <c r="M59" i="218"/>
  <c r="L60" i="218"/>
  <c r="M60" i="218"/>
  <c r="L61" i="218"/>
  <c r="M61" i="218"/>
  <c r="L62" i="218"/>
  <c r="M62" i="218"/>
  <c r="L63" i="218"/>
  <c r="M63" i="218"/>
  <c r="L64" i="218"/>
  <c r="M64" i="218"/>
  <c r="L65" i="218"/>
  <c r="M65" i="218"/>
  <c r="L66" i="218"/>
  <c r="M66" i="218"/>
  <c r="L67" i="218"/>
  <c r="M67" i="218"/>
  <c r="L68" i="218"/>
  <c r="M68" i="218"/>
  <c r="L69" i="218"/>
  <c r="M69" i="218"/>
  <c r="L70" i="218"/>
  <c r="M70" i="218"/>
  <c r="M56" i="218"/>
  <c r="L56" i="218"/>
  <c r="Z57" i="216"/>
  <c r="AA57" i="216"/>
  <c r="Z58" i="216"/>
  <c r="AA58" i="216"/>
  <c r="Z59" i="216"/>
  <c r="AA59" i="216"/>
  <c r="Z60" i="216"/>
  <c r="AA60" i="216"/>
  <c r="Z61" i="216"/>
  <c r="AA61" i="216"/>
  <c r="Z62" i="216"/>
  <c r="AA62" i="216"/>
  <c r="Z63" i="216"/>
  <c r="AA63" i="216"/>
  <c r="Z64" i="216"/>
  <c r="AA64" i="216"/>
  <c r="Z65" i="216"/>
  <c r="AA65" i="216"/>
  <c r="Z66" i="216"/>
  <c r="AA66" i="216"/>
  <c r="Z67" i="216"/>
  <c r="AA67" i="216"/>
  <c r="Z68" i="216"/>
  <c r="AA68" i="216"/>
  <c r="Z69" i="216"/>
  <c r="AA69" i="216"/>
  <c r="Z70" i="216"/>
  <c r="AA70" i="216"/>
  <c r="AA56" i="216"/>
  <c r="Z56" i="216"/>
  <c r="Y57" i="214"/>
  <c r="Z57" i="214"/>
  <c r="Y58" i="214"/>
  <c r="Z58" i="214"/>
  <c r="Y59" i="214"/>
  <c r="Z59" i="214"/>
  <c r="Y60" i="214"/>
  <c r="Z60" i="214"/>
  <c r="Y61" i="214"/>
  <c r="Z61" i="214"/>
  <c r="Y62" i="214"/>
  <c r="Z62" i="214"/>
  <c r="Y63" i="214"/>
  <c r="Z63" i="214"/>
  <c r="Y64" i="214"/>
  <c r="Z64" i="214"/>
  <c r="Y65" i="214"/>
  <c r="Z65" i="214"/>
  <c r="Y66" i="214"/>
  <c r="Z66" i="214"/>
  <c r="Y67" i="214"/>
  <c r="Z67" i="214"/>
  <c r="Y68" i="214"/>
  <c r="Z68" i="214"/>
  <c r="Y69" i="214"/>
  <c r="Z69" i="214"/>
  <c r="Y70" i="214"/>
  <c r="Z70" i="214"/>
  <c r="Z56" i="214"/>
  <c r="Y56" i="214"/>
  <c r="Y57" i="209"/>
  <c r="Z57" i="209"/>
  <c r="Y58" i="209"/>
  <c r="Z58" i="209"/>
  <c r="Y59" i="209"/>
  <c r="Z59" i="209"/>
  <c r="Y60" i="209"/>
  <c r="Z60" i="209"/>
  <c r="Y61" i="209"/>
  <c r="Z61" i="209"/>
  <c r="Y62" i="209"/>
  <c r="Z62" i="209"/>
  <c r="Y63" i="209"/>
  <c r="Z63" i="209"/>
  <c r="Y64" i="209"/>
  <c r="Z64" i="209"/>
  <c r="Y65" i="209"/>
  <c r="Z65" i="209"/>
  <c r="Y66" i="209"/>
  <c r="Z66" i="209"/>
  <c r="Y67" i="209"/>
  <c r="Z67" i="209"/>
  <c r="Y68" i="209"/>
  <c r="Z68" i="209"/>
  <c r="Y69" i="209"/>
  <c r="Z69" i="209"/>
  <c r="Y70" i="209"/>
  <c r="Z70" i="209"/>
  <c r="Z56" i="209"/>
  <c r="Y56" i="209"/>
  <c r="L57" i="200"/>
  <c r="M57" i="200"/>
  <c r="L58" i="200"/>
  <c r="M58" i="200"/>
  <c r="L59" i="200"/>
  <c r="M59" i="200"/>
  <c r="L60" i="200"/>
  <c r="M60" i="200"/>
  <c r="L61" i="200"/>
  <c r="M61" i="200"/>
  <c r="L62" i="200"/>
  <c r="M62" i="200"/>
  <c r="L63" i="200"/>
  <c r="M63" i="200"/>
  <c r="L64" i="200"/>
  <c r="M64" i="200"/>
  <c r="L65" i="200"/>
  <c r="M65" i="200"/>
  <c r="L66" i="200"/>
  <c r="M66" i="200"/>
  <c r="L67" i="200"/>
  <c r="M67" i="200"/>
  <c r="L68" i="200"/>
  <c r="M68" i="200"/>
  <c r="L69" i="200"/>
  <c r="M69" i="200"/>
  <c r="L70" i="200"/>
  <c r="M70" i="200"/>
  <c r="M56" i="200"/>
  <c r="L56" i="200"/>
  <c r="Z57" i="140"/>
  <c r="AA57" i="140"/>
  <c r="Z58" i="140"/>
  <c r="AA58" i="140"/>
  <c r="Z59" i="140"/>
  <c r="AA59" i="140"/>
  <c r="Z60" i="140"/>
  <c r="AA60" i="140"/>
  <c r="Z61" i="140"/>
  <c r="AA61" i="140"/>
  <c r="Z62" i="140"/>
  <c r="AA62" i="140"/>
  <c r="Z63" i="140"/>
  <c r="AA63" i="140"/>
  <c r="Z64" i="140"/>
  <c r="AA64" i="140"/>
  <c r="Z65" i="140"/>
  <c r="AA65" i="140"/>
  <c r="Z66" i="140"/>
  <c r="AA66" i="140"/>
  <c r="Z67" i="140"/>
  <c r="AA67" i="140"/>
  <c r="Z68" i="140"/>
  <c r="AA68" i="140"/>
  <c r="Z69" i="140"/>
  <c r="AA69" i="140"/>
  <c r="Z70" i="140"/>
  <c r="AA70" i="140"/>
  <c r="AA56" i="140"/>
  <c r="Z56" i="140"/>
  <c r="Y57" i="134"/>
  <c r="Z57" i="134"/>
  <c r="Y58" i="134"/>
  <c r="Z58" i="134"/>
  <c r="Y59" i="134"/>
  <c r="Z59" i="134"/>
  <c r="Y60" i="134"/>
  <c r="Z60" i="134"/>
  <c r="Y61" i="134"/>
  <c r="Z61" i="134"/>
  <c r="Y62" i="134"/>
  <c r="Z62" i="134"/>
  <c r="Y63" i="134"/>
  <c r="Z63" i="134"/>
  <c r="Y64" i="134"/>
  <c r="Z64" i="134"/>
  <c r="Y65" i="134"/>
  <c r="Z65" i="134"/>
  <c r="Y66" i="134"/>
  <c r="Z66" i="134"/>
  <c r="Y67" i="134"/>
  <c r="Z67" i="134"/>
  <c r="Y68" i="134"/>
  <c r="Z68" i="134"/>
  <c r="Y69" i="134"/>
  <c r="Z69" i="134"/>
  <c r="Y70" i="134"/>
  <c r="Z70" i="134"/>
  <c r="Z56" i="134"/>
  <c r="Y56" i="134"/>
  <c r="Y57" i="130"/>
  <c r="Z57" i="130"/>
  <c r="Y58" i="130"/>
  <c r="Z58" i="130"/>
  <c r="Y59" i="130"/>
  <c r="Z59" i="130"/>
  <c r="Y60" i="130"/>
  <c r="Z60" i="130"/>
  <c r="Y61" i="130"/>
  <c r="Z61" i="130"/>
  <c r="Y62" i="130"/>
  <c r="Z62" i="130"/>
  <c r="Y63" i="130"/>
  <c r="Z63" i="130"/>
  <c r="Y64" i="130"/>
  <c r="Z64" i="130"/>
  <c r="Y65" i="130"/>
  <c r="Z65" i="130"/>
  <c r="Y66" i="130"/>
  <c r="Z66" i="130"/>
  <c r="Y67" i="130"/>
  <c r="Z67" i="130"/>
  <c r="Y68" i="130"/>
  <c r="Z68" i="130"/>
  <c r="Y69" i="130"/>
  <c r="Z69" i="130"/>
  <c r="Y70" i="130"/>
  <c r="Z70" i="130"/>
  <c r="Z56" i="130"/>
  <c r="Y56" i="130"/>
  <c r="O57" i="126"/>
  <c r="P57" i="126"/>
  <c r="O58" i="126"/>
  <c r="P58" i="126"/>
  <c r="O59" i="126"/>
  <c r="P59" i="126"/>
  <c r="O60" i="126"/>
  <c r="P60" i="126"/>
  <c r="O61" i="126"/>
  <c r="P61" i="126"/>
  <c r="O62" i="126"/>
  <c r="P62" i="126"/>
  <c r="O63" i="126"/>
  <c r="P63" i="126"/>
  <c r="O64" i="126"/>
  <c r="P64" i="126"/>
  <c r="O65" i="126"/>
  <c r="P65" i="126"/>
  <c r="O66" i="126"/>
  <c r="P66" i="126"/>
  <c r="O67" i="126"/>
  <c r="P67" i="126"/>
  <c r="O68" i="126"/>
  <c r="P68" i="126"/>
  <c r="O69" i="126"/>
  <c r="P69" i="126"/>
  <c r="O70" i="126"/>
  <c r="P70" i="126"/>
  <c r="P56" i="126"/>
  <c r="O56" i="126"/>
  <c r="M56" i="413"/>
  <c r="N56" i="413"/>
  <c r="M57" i="413"/>
  <c r="N57" i="413"/>
  <c r="M58" i="413"/>
  <c r="N58" i="413"/>
  <c r="M59" i="413"/>
  <c r="N59" i="413"/>
  <c r="M60" i="413"/>
  <c r="N60" i="413"/>
  <c r="M61" i="413"/>
  <c r="N61" i="413"/>
  <c r="M62" i="413"/>
  <c r="N62" i="413"/>
  <c r="M63" i="413"/>
  <c r="N63" i="413"/>
  <c r="M64" i="413"/>
  <c r="N64" i="413"/>
  <c r="M65" i="413"/>
  <c r="N65" i="413"/>
  <c r="M66" i="413"/>
  <c r="N66" i="413"/>
  <c r="M67" i="413"/>
  <c r="N67" i="413"/>
  <c r="M68" i="413"/>
  <c r="N68" i="413"/>
  <c r="M69" i="413"/>
  <c r="N69" i="413"/>
  <c r="N55" i="413"/>
  <c r="M55" i="413"/>
  <c r="Y7" i="126"/>
  <c r="Y13" i="126"/>
  <c r="Y12" i="126"/>
  <c r="Y11" i="126"/>
  <c r="Y10" i="126"/>
  <c r="Y9" i="126"/>
  <c r="Y8" i="126"/>
  <c r="T91" i="117" l="1"/>
  <c r="Q91" i="117"/>
  <c r="T92" i="117" l="1"/>
  <c r="Q92" i="117"/>
  <c r="U206" i="37"/>
  <c r="U207" i="37"/>
  <c r="U190" i="37"/>
  <c r="U191" i="37"/>
  <c r="U192" i="37"/>
  <c r="U193" i="37"/>
  <c r="U194" i="37"/>
  <c r="U195" i="37"/>
  <c r="U196" i="37"/>
  <c r="U197" i="37"/>
  <c r="U198" i="37"/>
  <c r="U199" i="37"/>
  <c r="U200" i="37"/>
  <c r="U201" i="37"/>
  <c r="U202" i="37"/>
  <c r="U203" i="37"/>
  <c r="U204" i="37"/>
  <c r="U205" i="37"/>
  <c r="U189" i="37"/>
  <c r="B236" i="37"/>
  <c r="C236" i="37"/>
  <c r="D236" i="37"/>
  <c r="E236" i="37"/>
  <c r="F236" i="37"/>
  <c r="G236" i="37"/>
  <c r="A237" i="37"/>
  <c r="E237" i="37"/>
  <c r="A238" i="37"/>
  <c r="E238" i="37"/>
  <c r="A239" i="37"/>
  <c r="E239" i="37"/>
  <c r="A240" i="37"/>
  <c r="E240" i="37"/>
  <c r="A241" i="37"/>
  <c r="E241" i="37"/>
  <c r="A242" i="37"/>
  <c r="E242" i="37"/>
  <c r="A243" i="37"/>
  <c r="E243" i="37"/>
  <c r="A244" i="37"/>
  <c r="E244" i="37"/>
  <c r="A245" i="37"/>
  <c r="E245" i="37"/>
  <c r="A246" i="37"/>
  <c r="E246" i="37"/>
  <c r="A247" i="37"/>
  <c r="E247" i="37"/>
  <c r="A248" i="37"/>
  <c r="E248" i="37"/>
  <c r="A249" i="37"/>
  <c r="E249" i="37"/>
  <c r="A250" i="37"/>
  <c r="E250" i="37"/>
  <c r="A251" i="37"/>
  <c r="E251" i="37"/>
  <c r="A252" i="37"/>
  <c r="E252" i="37"/>
  <c r="A253" i="37"/>
  <c r="E253" i="37"/>
  <c r="A254" i="37"/>
  <c r="E254" i="37"/>
  <c r="A255" i="37"/>
  <c r="E255" i="37"/>
  <c r="A256" i="37"/>
  <c r="E256" i="37"/>
  <c r="A257" i="37"/>
  <c r="E257" i="37"/>
  <c r="A258" i="37"/>
  <c r="E258" i="37"/>
  <c r="B235" i="37"/>
  <c r="C235" i="37"/>
  <c r="D235" i="37"/>
  <c r="E235" i="37"/>
  <c r="F235" i="37"/>
  <c r="G235" i="37"/>
  <c r="A235" i="37"/>
  <c r="B211" i="37"/>
  <c r="C211" i="37"/>
  <c r="D211" i="37"/>
  <c r="E211" i="37"/>
  <c r="F211" i="37"/>
  <c r="G211" i="37"/>
  <c r="H211" i="37"/>
  <c r="I211" i="37"/>
  <c r="J211" i="37"/>
  <c r="A212" i="37"/>
  <c r="E212" i="37"/>
  <c r="H212" i="37"/>
  <c r="I212" i="37"/>
  <c r="A213" i="37"/>
  <c r="E213" i="37"/>
  <c r="H213" i="37"/>
  <c r="I213" i="37"/>
  <c r="A214" i="37"/>
  <c r="E214" i="37"/>
  <c r="H214" i="37"/>
  <c r="I214" i="37"/>
  <c r="A215" i="37"/>
  <c r="E215" i="37"/>
  <c r="H215" i="37"/>
  <c r="I215" i="37"/>
  <c r="A216" i="37"/>
  <c r="E216" i="37"/>
  <c r="H216" i="37"/>
  <c r="I216" i="37"/>
  <c r="A217" i="37"/>
  <c r="E217" i="37"/>
  <c r="H217" i="37"/>
  <c r="I217" i="37"/>
  <c r="A218" i="37"/>
  <c r="E218" i="37"/>
  <c r="H218" i="37"/>
  <c r="I218" i="37"/>
  <c r="A219" i="37"/>
  <c r="E219" i="37"/>
  <c r="H219" i="37"/>
  <c r="I219" i="37"/>
  <c r="A220" i="37"/>
  <c r="E220" i="37"/>
  <c r="H220" i="37"/>
  <c r="I220" i="37"/>
  <c r="A221" i="37"/>
  <c r="E221" i="37"/>
  <c r="H221" i="37"/>
  <c r="I221" i="37"/>
  <c r="A222" i="37"/>
  <c r="E222" i="37"/>
  <c r="H222" i="37"/>
  <c r="I222" i="37"/>
  <c r="A223" i="37"/>
  <c r="E223" i="37"/>
  <c r="H223" i="37"/>
  <c r="I223" i="37"/>
  <c r="A224" i="37"/>
  <c r="E224" i="37"/>
  <c r="H224" i="37"/>
  <c r="I224" i="37"/>
  <c r="A225" i="37"/>
  <c r="E225" i="37"/>
  <c r="H225" i="37"/>
  <c r="I225" i="37"/>
  <c r="A226" i="37"/>
  <c r="E226" i="37"/>
  <c r="H226" i="37"/>
  <c r="I226" i="37"/>
  <c r="A227" i="37"/>
  <c r="E227" i="37"/>
  <c r="H227" i="37"/>
  <c r="I227" i="37"/>
  <c r="A228" i="37"/>
  <c r="E228" i="37"/>
  <c r="H228" i="37"/>
  <c r="I228" i="37"/>
  <c r="A229" i="37"/>
  <c r="E229" i="37"/>
  <c r="H229" i="37"/>
  <c r="I229" i="37"/>
  <c r="A230" i="37"/>
  <c r="E230" i="37"/>
  <c r="H230" i="37"/>
  <c r="I230" i="37"/>
  <c r="A231" i="37"/>
  <c r="E231" i="37"/>
  <c r="H231" i="37"/>
  <c r="I231" i="37"/>
  <c r="A232" i="37"/>
  <c r="E232" i="37"/>
  <c r="H232" i="37"/>
  <c r="I232" i="37"/>
  <c r="A233" i="37"/>
  <c r="E233" i="37"/>
  <c r="I233" i="37"/>
  <c r="B210" i="37"/>
  <c r="C210" i="37"/>
  <c r="D210" i="37"/>
  <c r="E210" i="37"/>
  <c r="F210" i="37"/>
  <c r="G210" i="37"/>
  <c r="H210" i="37"/>
  <c r="I210" i="37"/>
  <c r="J210" i="37"/>
  <c r="A210" i="37"/>
  <c r="B186" i="37"/>
  <c r="C186" i="37"/>
  <c r="D186" i="37"/>
  <c r="E186" i="37"/>
  <c r="F186" i="37"/>
  <c r="G186" i="37"/>
  <c r="H186" i="37"/>
  <c r="I186" i="37"/>
  <c r="J186" i="37"/>
  <c r="A187" i="37"/>
  <c r="E187" i="37"/>
  <c r="H187" i="37"/>
  <c r="I187" i="37"/>
  <c r="A188" i="37"/>
  <c r="E188" i="37"/>
  <c r="H188" i="37"/>
  <c r="I188" i="37"/>
  <c r="A189" i="37"/>
  <c r="E189" i="37"/>
  <c r="H189" i="37"/>
  <c r="I189" i="37"/>
  <c r="A190" i="37"/>
  <c r="E190" i="37"/>
  <c r="H190" i="37"/>
  <c r="I190" i="37"/>
  <c r="A191" i="37"/>
  <c r="E191" i="37"/>
  <c r="H191" i="37"/>
  <c r="I191" i="37"/>
  <c r="A192" i="37"/>
  <c r="E192" i="37"/>
  <c r="H192" i="37"/>
  <c r="I192" i="37"/>
  <c r="A193" i="37"/>
  <c r="E193" i="37"/>
  <c r="H193" i="37"/>
  <c r="I193" i="37"/>
  <c r="A194" i="37"/>
  <c r="E194" i="37"/>
  <c r="H194" i="37"/>
  <c r="I194" i="37"/>
  <c r="A195" i="37"/>
  <c r="E195" i="37"/>
  <c r="H195" i="37"/>
  <c r="I195" i="37"/>
  <c r="A196" i="37"/>
  <c r="E196" i="37"/>
  <c r="H196" i="37"/>
  <c r="I196" i="37"/>
  <c r="A197" i="37"/>
  <c r="E197" i="37"/>
  <c r="H197" i="37"/>
  <c r="I197" i="37"/>
  <c r="A198" i="37"/>
  <c r="E198" i="37"/>
  <c r="H198" i="37"/>
  <c r="I198" i="37"/>
  <c r="A199" i="37"/>
  <c r="E199" i="37"/>
  <c r="H199" i="37"/>
  <c r="I199" i="37"/>
  <c r="A200" i="37"/>
  <c r="E200" i="37"/>
  <c r="H200" i="37"/>
  <c r="I200" i="37"/>
  <c r="A201" i="37"/>
  <c r="E201" i="37"/>
  <c r="H201" i="37"/>
  <c r="I201" i="37"/>
  <c r="A202" i="37"/>
  <c r="E202" i="37"/>
  <c r="H202" i="37"/>
  <c r="I202" i="37"/>
  <c r="A203" i="37"/>
  <c r="E203" i="37"/>
  <c r="H203" i="37"/>
  <c r="I203" i="37"/>
  <c r="A204" i="37"/>
  <c r="E204" i="37"/>
  <c r="H204" i="37"/>
  <c r="I204" i="37"/>
  <c r="A205" i="37"/>
  <c r="E205" i="37"/>
  <c r="H205" i="37"/>
  <c r="I205" i="37"/>
  <c r="A206" i="37"/>
  <c r="E206" i="37"/>
  <c r="H206" i="37"/>
  <c r="I206" i="37"/>
  <c r="A207" i="37"/>
  <c r="E207" i="37"/>
  <c r="H207" i="37"/>
  <c r="I207" i="37"/>
  <c r="A208" i="37"/>
  <c r="E208" i="37"/>
  <c r="H208" i="37"/>
  <c r="I208" i="37"/>
  <c r="B185" i="37"/>
  <c r="C185" i="37"/>
  <c r="D185" i="37"/>
  <c r="E185" i="37"/>
  <c r="F185" i="37"/>
  <c r="G185" i="37"/>
  <c r="H185" i="37"/>
  <c r="I185" i="37"/>
  <c r="J185" i="37"/>
  <c r="A185" i="37"/>
  <c r="A194" i="49"/>
  <c r="D194" i="49"/>
  <c r="A195" i="49"/>
  <c r="D195" i="49"/>
  <c r="A196" i="49"/>
  <c r="D196" i="49"/>
  <c r="A197" i="49"/>
  <c r="D197" i="49"/>
  <c r="A198" i="49"/>
  <c r="D198" i="49"/>
  <c r="A199" i="49"/>
  <c r="D199" i="49"/>
  <c r="A200" i="49"/>
  <c r="D200" i="49"/>
  <c r="A201" i="49"/>
  <c r="D201" i="49"/>
  <c r="A202" i="49"/>
  <c r="D202" i="49"/>
  <c r="A203" i="49"/>
  <c r="D203" i="49"/>
  <c r="A204" i="49"/>
  <c r="D204" i="49"/>
  <c r="A205" i="49"/>
  <c r="D205" i="49"/>
  <c r="A206" i="49"/>
  <c r="D206" i="49"/>
  <c r="A131" i="49"/>
  <c r="B131" i="49"/>
  <c r="C131" i="49"/>
  <c r="D131" i="49"/>
  <c r="E131" i="49"/>
  <c r="F131" i="49"/>
  <c r="G131" i="49"/>
  <c r="H131" i="49"/>
  <c r="I131" i="49"/>
  <c r="J131" i="49"/>
  <c r="B132" i="49"/>
  <c r="C132" i="49"/>
  <c r="D132" i="49"/>
  <c r="E132" i="49"/>
  <c r="F132" i="49"/>
  <c r="G132" i="49"/>
  <c r="H132" i="49"/>
  <c r="I132" i="49"/>
  <c r="J132" i="49"/>
  <c r="A133" i="49"/>
  <c r="D133" i="49"/>
  <c r="F133" i="49"/>
  <c r="A134" i="49"/>
  <c r="D134" i="49"/>
  <c r="F134" i="49"/>
  <c r="A135" i="49"/>
  <c r="D135" i="49"/>
  <c r="F135" i="49"/>
  <c r="A136" i="49"/>
  <c r="D136" i="49"/>
  <c r="F136" i="49"/>
  <c r="A137" i="49"/>
  <c r="D137" i="49"/>
  <c r="F137" i="49"/>
  <c r="A138" i="49"/>
  <c r="D138" i="49"/>
  <c r="F138" i="49"/>
  <c r="A139" i="49"/>
  <c r="D139" i="49"/>
  <c r="F139" i="49"/>
  <c r="A140" i="49"/>
  <c r="D140" i="49"/>
  <c r="F140" i="49"/>
  <c r="A141" i="49"/>
  <c r="D141" i="49"/>
  <c r="F141" i="49"/>
  <c r="A142" i="49"/>
  <c r="D142" i="49"/>
  <c r="F142" i="49"/>
  <c r="A143" i="49"/>
  <c r="D143" i="49"/>
  <c r="F143" i="49"/>
  <c r="A144" i="49"/>
  <c r="D144" i="49"/>
  <c r="F144" i="49"/>
  <c r="A145" i="49"/>
  <c r="D145" i="49"/>
  <c r="F145" i="49"/>
  <c r="A146" i="49"/>
  <c r="D146" i="49"/>
  <c r="F146" i="49"/>
  <c r="A147" i="49"/>
  <c r="D147" i="49"/>
  <c r="F147" i="49"/>
  <c r="A148" i="49"/>
  <c r="D148" i="49"/>
  <c r="F148" i="49"/>
  <c r="A149" i="49"/>
  <c r="D149" i="49"/>
  <c r="F149" i="49"/>
  <c r="A150" i="49"/>
  <c r="D150" i="49"/>
  <c r="F150" i="49"/>
  <c r="A151" i="49"/>
  <c r="D151" i="49"/>
  <c r="F151" i="49"/>
  <c r="A152" i="49"/>
  <c r="D152" i="49"/>
  <c r="F152" i="49"/>
  <c r="A153" i="49"/>
  <c r="D153" i="49"/>
  <c r="F153" i="49"/>
  <c r="A154" i="49"/>
  <c r="D154" i="49"/>
  <c r="F154" i="49"/>
  <c r="A157" i="49"/>
  <c r="B157" i="49"/>
  <c r="C157" i="49"/>
  <c r="D157" i="49"/>
  <c r="E157" i="49"/>
  <c r="F157" i="49"/>
  <c r="G157" i="49"/>
  <c r="H157" i="49"/>
  <c r="I157" i="49"/>
  <c r="J157" i="49"/>
  <c r="B158" i="49"/>
  <c r="C158" i="49"/>
  <c r="D158" i="49"/>
  <c r="E158" i="49"/>
  <c r="F158" i="49"/>
  <c r="G158" i="49"/>
  <c r="H158" i="49"/>
  <c r="I158" i="49"/>
  <c r="J158" i="49"/>
  <c r="A159" i="49"/>
  <c r="D159" i="49"/>
  <c r="A160" i="49"/>
  <c r="D160" i="49"/>
  <c r="A161" i="49"/>
  <c r="D161" i="49"/>
  <c r="A162" i="49"/>
  <c r="D162" i="49"/>
  <c r="A163" i="49"/>
  <c r="D163" i="49"/>
  <c r="F163" i="49"/>
  <c r="A164" i="49"/>
  <c r="D164" i="49"/>
  <c r="F164" i="49"/>
  <c r="A165" i="49"/>
  <c r="D165" i="49"/>
  <c r="F165" i="49"/>
  <c r="A166" i="49"/>
  <c r="D166" i="49"/>
  <c r="F166" i="49"/>
  <c r="A167" i="49"/>
  <c r="D167" i="49"/>
  <c r="F167" i="49"/>
  <c r="A168" i="49"/>
  <c r="D168" i="49"/>
  <c r="F168" i="49"/>
  <c r="A169" i="49"/>
  <c r="D169" i="49"/>
  <c r="F169" i="49"/>
  <c r="A170" i="49"/>
  <c r="D170" i="49"/>
  <c r="F170" i="49"/>
  <c r="A171" i="49"/>
  <c r="F171" i="49"/>
  <c r="A172" i="49"/>
  <c r="F172" i="49"/>
  <c r="A173" i="49"/>
  <c r="F173" i="49"/>
  <c r="A174" i="49"/>
  <c r="F174" i="49"/>
  <c r="A175" i="49"/>
  <c r="F175" i="49"/>
  <c r="A176" i="49"/>
  <c r="F176" i="49"/>
  <c r="A177" i="49"/>
  <c r="F177" i="49"/>
  <c r="A178" i="49"/>
  <c r="F178" i="49"/>
  <c r="A179" i="49"/>
  <c r="F179" i="49"/>
  <c r="A180" i="49"/>
  <c r="F180" i="49"/>
  <c r="A183" i="49"/>
  <c r="B183" i="49"/>
  <c r="C183" i="49"/>
  <c r="D183" i="49"/>
  <c r="E183" i="49"/>
  <c r="F183" i="49"/>
  <c r="G183" i="49"/>
  <c r="H183" i="49"/>
  <c r="B184" i="49"/>
  <c r="C184" i="49"/>
  <c r="D184" i="49"/>
  <c r="E184" i="49"/>
  <c r="F184" i="49"/>
  <c r="G184" i="49"/>
  <c r="H184" i="49"/>
  <c r="A185" i="49"/>
  <c r="D185" i="49"/>
  <c r="A186" i="49"/>
  <c r="D186" i="49"/>
  <c r="A187" i="49"/>
  <c r="D187" i="49"/>
  <c r="A188" i="49"/>
  <c r="D188" i="49"/>
  <c r="A189" i="49"/>
  <c r="D189" i="49"/>
  <c r="A190" i="49"/>
  <c r="D190" i="49"/>
  <c r="A191" i="49"/>
  <c r="D191" i="49"/>
  <c r="A192" i="49"/>
  <c r="D192" i="49"/>
  <c r="A193" i="49"/>
  <c r="D193" i="49"/>
  <c r="B130" i="49"/>
  <c r="T93" i="117" l="1"/>
  <c r="Q93" i="117"/>
  <c r="AM60" i="20"/>
  <c r="AM36" i="20"/>
  <c r="AM37" i="20"/>
  <c r="AM38" i="20"/>
  <c r="AM39" i="20"/>
  <c r="AM40" i="20"/>
  <c r="AM41" i="20"/>
  <c r="AM42" i="20"/>
  <c r="AM43" i="20"/>
  <c r="AM44" i="20"/>
  <c r="AM45" i="20"/>
  <c r="AM46" i="20"/>
  <c r="AM47" i="20"/>
  <c r="AM48" i="20"/>
  <c r="AM49" i="20"/>
  <c r="AM50" i="20"/>
  <c r="AM51" i="20"/>
  <c r="AM52" i="20"/>
  <c r="AM53" i="20"/>
  <c r="AM54" i="20"/>
  <c r="AM55" i="20"/>
  <c r="AM56" i="20"/>
  <c r="AM57" i="20"/>
  <c r="AM58" i="20"/>
  <c r="AM59" i="20"/>
  <c r="AN60" i="20"/>
  <c r="G40" i="20" l="1"/>
  <c r="AI40" i="20"/>
  <c r="G37" i="20"/>
  <c r="AI37" i="20"/>
  <c r="G39" i="20"/>
  <c r="AI39" i="20"/>
  <c r="G53" i="20"/>
  <c r="AI53" i="20"/>
  <c r="G52" i="20"/>
  <c r="AI52" i="20"/>
  <c r="G44" i="20"/>
  <c r="AI44" i="20"/>
  <c r="G36" i="20"/>
  <c r="AI36" i="20"/>
  <c r="G55" i="20"/>
  <c r="AI55" i="20"/>
  <c r="G38" i="20"/>
  <c r="AI38" i="20"/>
  <c r="G51" i="20"/>
  <c r="AI51" i="20"/>
  <c r="G43" i="20"/>
  <c r="AI43" i="20"/>
  <c r="G48" i="20"/>
  <c r="AI48" i="20"/>
  <c r="G54" i="20"/>
  <c r="AI54" i="20"/>
  <c r="G45" i="20"/>
  <c r="AI45" i="20"/>
  <c r="G50" i="20"/>
  <c r="AI50" i="20"/>
  <c r="G42" i="20"/>
  <c r="AI42" i="20"/>
  <c r="G47" i="20"/>
  <c r="AI47" i="20"/>
  <c r="G46" i="20"/>
  <c r="AI46" i="20"/>
  <c r="G49" i="20"/>
  <c r="AI49" i="20"/>
  <c r="G41" i="20"/>
  <c r="AI41" i="20"/>
  <c r="T94" i="117"/>
  <c r="Q94" i="117"/>
  <c r="AM15" i="66"/>
  <c r="G15" i="66" s="1"/>
  <c r="AN15" i="66"/>
  <c r="AN12" i="66"/>
  <c r="G37" i="66" s="1"/>
  <c r="AM12" i="66"/>
  <c r="G12" i="66" s="1"/>
  <c r="AI13" i="66"/>
  <c r="AI14" i="66" s="1"/>
  <c r="AN14" i="66" s="1"/>
  <c r="G39" i="66" s="1"/>
  <c r="AH13" i="66"/>
  <c r="AH14" i="66" s="1"/>
  <c r="AM14" i="66" s="1"/>
  <c r="G14" i="66" s="1"/>
  <c r="AE5" i="377"/>
  <c r="AB5" i="377" s="1"/>
  <c r="AE6" i="377"/>
  <c r="AB6" i="377" s="1"/>
  <c r="AE7" i="377"/>
  <c r="AB7" i="377" s="1"/>
  <c r="M7" i="377" s="1"/>
  <c r="L7" i="377" s="1"/>
  <c r="J7" i="377" s="1"/>
  <c r="AE8" i="377"/>
  <c r="AB8" i="377" s="1"/>
  <c r="AE9" i="377"/>
  <c r="AB9" i="377" s="1"/>
  <c r="AE10" i="377"/>
  <c r="AB10" i="377" s="1"/>
  <c r="AE11" i="377"/>
  <c r="AB11" i="377" s="1"/>
  <c r="AE12" i="377"/>
  <c r="AB12" i="377" s="1"/>
  <c r="AE13" i="377"/>
  <c r="AB13" i="377" s="1"/>
  <c r="AE14" i="377"/>
  <c r="AB14" i="377" s="1"/>
  <c r="AE15" i="377"/>
  <c r="AB15" i="377" s="1"/>
  <c r="AE16" i="377"/>
  <c r="AB16" i="377" s="1"/>
  <c r="AE17" i="377"/>
  <c r="AB17" i="377" s="1"/>
  <c r="AE18" i="377"/>
  <c r="AB18" i="377" s="1"/>
  <c r="AE19" i="377"/>
  <c r="AB19" i="377" s="1"/>
  <c r="AE20" i="377"/>
  <c r="AB20" i="377" s="1"/>
  <c r="AE21" i="377"/>
  <c r="AB21" i="377" s="1"/>
  <c r="AE22" i="377"/>
  <c r="AB22" i="377" s="1"/>
  <c r="AE23" i="377"/>
  <c r="AB23" i="377" s="1"/>
  <c r="AE24" i="377"/>
  <c r="AB24" i="377" s="1"/>
  <c r="AE25" i="377"/>
  <c r="AB25" i="377" s="1"/>
  <c r="AE26" i="377"/>
  <c r="AB26" i="377" s="1"/>
  <c r="AE27" i="377"/>
  <c r="AB27" i="377" s="1"/>
  <c r="AE28" i="377"/>
  <c r="AB28" i="377" s="1"/>
  <c r="AE29" i="377"/>
  <c r="AB29" i="377" s="1"/>
  <c r="AE30" i="377"/>
  <c r="AB30" i="377" s="1"/>
  <c r="AE31" i="377"/>
  <c r="AB31" i="377" s="1"/>
  <c r="AE32" i="377"/>
  <c r="AB32" i="377" s="1"/>
  <c r="AE33" i="377"/>
  <c r="AB33" i="377" s="1"/>
  <c r="AE34" i="377"/>
  <c r="AB34" i="377" s="1"/>
  <c r="AE35" i="377"/>
  <c r="AB35" i="377" s="1"/>
  <c r="AE36" i="377"/>
  <c r="AB36" i="377" s="1"/>
  <c r="AE37" i="377"/>
  <c r="AB37" i="377" s="1"/>
  <c r="AE38" i="377"/>
  <c r="AB38" i="377" s="1"/>
  <c r="AE39" i="377"/>
  <c r="AB39" i="377" s="1"/>
  <c r="AE40" i="377"/>
  <c r="AB40" i="377" s="1"/>
  <c r="AE41" i="377"/>
  <c r="AB41" i="377" s="1"/>
  <c r="AE42" i="377"/>
  <c r="AB42" i="377" s="1"/>
  <c r="AE43" i="377"/>
  <c r="AB43" i="377" s="1"/>
  <c r="AE44" i="377"/>
  <c r="AB44" i="377" s="1"/>
  <c r="AE45" i="377"/>
  <c r="AB45" i="377" s="1"/>
  <c r="AE46" i="377"/>
  <c r="AB46" i="377" s="1"/>
  <c r="AE47" i="377"/>
  <c r="AB47" i="377" s="1"/>
  <c r="AE48" i="377"/>
  <c r="AB48" i="377" s="1"/>
  <c r="AE49" i="377"/>
  <c r="AB49" i="377" s="1"/>
  <c r="AE50" i="377"/>
  <c r="AB50" i="377" s="1"/>
  <c r="AF50" i="377"/>
  <c r="E7" i="377" l="1"/>
  <c r="D7" i="377" s="1"/>
  <c r="C7" i="377" s="1"/>
  <c r="AY7" i="96" s="1"/>
  <c r="T95" i="117"/>
  <c r="Q95" i="117"/>
  <c r="AN13" i="66"/>
  <c r="G38" i="66" s="1"/>
  <c r="AM13" i="66"/>
  <c r="G13" i="66" s="1"/>
  <c r="M94" i="35"/>
  <c r="Z132" i="35" s="1"/>
  <c r="K63" i="35"/>
  <c r="M92" i="35" s="1"/>
  <c r="Z130" i="35" s="1"/>
  <c r="K64" i="35"/>
  <c r="M93" i="35" s="1"/>
  <c r="Z131" i="35" s="1"/>
  <c r="K65" i="35"/>
  <c r="K66" i="35"/>
  <c r="M95" i="35" s="1"/>
  <c r="Z133" i="35" s="1"/>
  <c r="K67" i="35"/>
  <c r="M96" i="35" s="1"/>
  <c r="Z134" i="35" s="1"/>
  <c r="K68" i="35"/>
  <c r="M97" i="35" s="1"/>
  <c r="Z135" i="35" s="1"/>
  <c r="K69" i="35"/>
  <c r="M98" i="35" s="1"/>
  <c r="Z136" i="35" s="1"/>
  <c r="K70" i="35"/>
  <c r="M99" i="35" s="1"/>
  <c r="Z137" i="35" s="1"/>
  <c r="K71" i="35"/>
  <c r="M100" i="35" s="1"/>
  <c r="Z138" i="35" s="1"/>
  <c r="K72" i="35"/>
  <c r="M101" i="35" s="1"/>
  <c r="Z139" i="35" s="1"/>
  <c r="K73" i="35"/>
  <c r="M102" i="35" s="1"/>
  <c r="Z140" i="35" s="1"/>
  <c r="K74" i="35"/>
  <c r="M103" i="35" s="1"/>
  <c r="Z141" i="35" s="1"/>
  <c r="K62" i="35"/>
  <c r="M91" i="35" s="1"/>
  <c r="Z129" i="35" s="1"/>
  <c r="AF13" i="365"/>
  <c r="AF9" i="365"/>
  <c r="T96" i="117" l="1"/>
  <c r="Q96" i="117"/>
  <c r="AE6" i="200"/>
  <c r="AE7" i="200"/>
  <c r="AE8" i="200"/>
  <c r="AE9" i="200"/>
  <c r="AE10" i="200"/>
  <c r="AE11" i="200"/>
  <c r="AE12" i="200"/>
  <c r="AE13" i="200"/>
  <c r="AE14" i="200"/>
  <c r="AE15" i="200"/>
  <c r="AE16" i="200"/>
  <c r="AE17" i="200"/>
  <c r="AE18" i="200"/>
  <c r="AE19" i="200"/>
  <c r="AE20" i="200"/>
  <c r="AE21" i="200"/>
  <c r="AE22" i="200"/>
  <c r="AE23" i="200"/>
  <c r="AE24" i="200"/>
  <c r="AE25" i="200"/>
  <c r="AE26" i="200"/>
  <c r="AE27" i="200"/>
  <c r="AE28" i="200"/>
  <c r="AE29" i="200"/>
  <c r="AE30" i="200"/>
  <c r="AE31" i="200"/>
  <c r="AE32" i="200"/>
  <c r="AE33" i="200"/>
  <c r="AE34" i="200"/>
  <c r="AE35" i="200"/>
  <c r="AE36" i="200"/>
  <c r="AE37" i="200"/>
  <c r="AE38" i="200"/>
  <c r="AE39" i="200"/>
  <c r="AE40" i="200"/>
  <c r="AE41" i="200"/>
  <c r="AE42" i="200"/>
  <c r="AE43" i="200"/>
  <c r="AE44" i="200"/>
  <c r="AE45" i="200"/>
  <c r="AE46" i="200"/>
  <c r="AE47" i="200"/>
  <c r="AE48" i="200"/>
  <c r="AE49" i="200"/>
  <c r="AE50" i="200"/>
  <c r="AE5" i="200"/>
  <c r="AJ39" i="98"/>
  <c r="AJ37" i="98"/>
  <c r="T97" i="117" l="1"/>
  <c r="Q97" i="117"/>
  <c r="T50" i="49"/>
  <c r="AF50" i="49" s="1"/>
  <c r="T49" i="49"/>
  <c r="AF49" i="49" s="1"/>
  <c r="T98" i="117" l="1"/>
  <c r="Q98" i="117"/>
  <c r="B13" i="221"/>
  <c r="B13" i="134"/>
  <c r="AZ13" i="134" s="1"/>
  <c r="G14" i="16"/>
  <c r="W44" i="42"/>
  <c r="AG58" i="16"/>
  <c r="BA120" i="16"/>
  <c r="AZ120" i="16" s="1"/>
  <c r="AY119" i="16"/>
  <c r="AY120" i="16"/>
  <c r="AY59" i="16" s="1"/>
  <c r="AX119" i="16"/>
  <c r="AX58" i="16" s="1"/>
  <c r="AX120" i="16"/>
  <c r="AX59" i="16" s="1"/>
  <c r="AW119" i="16"/>
  <c r="AW58" i="16" s="1"/>
  <c r="AW120" i="16"/>
  <c r="AW59" i="16" s="1"/>
  <c r="AV119" i="16"/>
  <c r="AV58" i="16" s="1"/>
  <c r="AV120" i="16"/>
  <c r="AV59" i="16" s="1"/>
  <c r="AU119" i="16"/>
  <c r="AU58" i="16" s="1"/>
  <c r="AU120" i="16"/>
  <c r="AU59" i="16" s="1"/>
  <c r="AT119" i="16"/>
  <c r="AT120" i="16"/>
  <c r="AS119" i="16"/>
  <c r="AS58" i="16" s="1"/>
  <c r="AS120" i="16"/>
  <c r="AS59" i="16" s="1"/>
  <c r="AR119" i="16"/>
  <c r="AR120" i="16"/>
  <c r="AQ119" i="16"/>
  <c r="AQ120" i="16"/>
  <c r="AQ59" i="16" s="1"/>
  <c r="AP119" i="16"/>
  <c r="AP58" i="16" s="1"/>
  <c r="AP120" i="16"/>
  <c r="AP59" i="16" s="1"/>
  <c r="AO119" i="16"/>
  <c r="AO58" i="16" s="1"/>
  <c r="AO120" i="16"/>
  <c r="AO59" i="16" s="1"/>
  <c r="AN119" i="16"/>
  <c r="AN120" i="16"/>
  <c r="AM119" i="16"/>
  <c r="AM58" i="16" s="1"/>
  <c r="AM120" i="16"/>
  <c r="AM59" i="16" s="1"/>
  <c r="AL119" i="16"/>
  <c r="AL120" i="16"/>
  <c r="AK119" i="16"/>
  <c r="AK58" i="16" s="1"/>
  <c r="AK120" i="16"/>
  <c r="AK59" i="16" s="1"/>
  <c r="AJ119" i="16"/>
  <c r="AJ58" i="16" s="1"/>
  <c r="AJ120" i="16"/>
  <c r="AJ59" i="16" s="1"/>
  <c r="AI119" i="16"/>
  <c r="AI120" i="16"/>
  <c r="AH118" i="16"/>
  <c r="AH119" i="16"/>
  <c r="AH120" i="16"/>
  <c r="AG118" i="16"/>
  <c r="AG119" i="16"/>
  <c r="AG120" i="16"/>
  <c r="AG59" i="16" s="1"/>
  <c r="AF119" i="16"/>
  <c r="AF58" i="16" s="1"/>
  <c r="AF120" i="16"/>
  <c r="AF59" i="16" s="1"/>
  <c r="AE120" i="16"/>
  <c r="AE59" i="16" s="1"/>
  <c r="B76" i="16" s="1"/>
  <c r="B13" i="413" s="1"/>
  <c r="AF13" i="413" s="1"/>
  <c r="AE119" i="16"/>
  <c r="AE58" i="16" s="1"/>
  <c r="V76" i="16" l="1"/>
  <c r="V16" i="16" s="1"/>
  <c r="T99" i="117"/>
  <c r="Q99" i="117"/>
  <c r="AF13" i="325"/>
  <c r="N59" i="16"/>
  <c r="AQ16" i="16" s="1"/>
  <c r="N16" i="16"/>
  <c r="W59" i="16"/>
  <c r="AZ16" i="16" s="1"/>
  <c r="F59" i="16"/>
  <c r="AI16" i="16" s="1"/>
  <c r="Q114" i="16"/>
  <c r="Q101" i="16"/>
  <c r="Q16" i="16"/>
  <c r="Q76" i="16" s="1"/>
  <c r="B13" i="365" s="1"/>
  <c r="AD13" i="365" s="1"/>
  <c r="Q75" i="16"/>
  <c r="N76" i="16" l="1"/>
  <c r="B13" i="226" s="1"/>
  <c r="AD13" i="226" s="1"/>
  <c r="T100" i="117"/>
  <c r="Q100" i="117"/>
  <c r="Q55" i="57"/>
  <c r="Q64" i="57"/>
  <c r="R64" i="57"/>
  <c r="S64" i="57"/>
  <c r="I13" i="57" s="1"/>
  <c r="T64" i="57"/>
  <c r="AE5" i="140"/>
  <c r="AE6" i="140"/>
  <c r="AE7" i="140"/>
  <c r="AE8" i="140"/>
  <c r="AE9" i="140"/>
  <c r="AE10" i="140"/>
  <c r="AE11" i="140"/>
  <c r="AE12" i="140"/>
  <c r="AE13" i="140"/>
  <c r="AB13" i="140" s="1"/>
  <c r="AE14" i="140"/>
  <c r="AE15" i="140"/>
  <c r="AE16" i="140"/>
  <c r="AE17" i="140"/>
  <c r="AE18" i="140"/>
  <c r="AE19" i="140"/>
  <c r="AE20" i="140"/>
  <c r="AE21" i="140"/>
  <c r="AE22" i="140"/>
  <c r="AE23" i="140"/>
  <c r="AE24" i="140"/>
  <c r="AE25" i="140"/>
  <c r="AE26" i="140"/>
  <c r="AE27" i="140"/>
  <c r="AE28" i="140"/>
  <c r="AE29" i="140"/>
  <c r="AE30" i="140"/>
  <c r="AE31" i="140"/>
  <c r="AE32" i="140"/>
  <c r="AE33" i="140"/>
  <c r="AE34" i="140"/>
  <c r="AE35" i="140"/>
  <c r="AE36" i="140"/>
  <c r="AE37" i="140"/>
  <c r="AE38" i="140"/>
  <c r="AE39" i="140"/>
  <c r="AE40" i="140"/>
  <c r="AE41" i="140"/>
  <c r="AE42" i="140"/>
  <c r="AE43" i="140"/>
  <c r="AE44" i="140"/>
  <c r="AE45" i="140"/>
  <c r="AE46" i="140"/>
  <c r="AE47" i="140"/>
  <c r="AE48" i="140"/>
  <c r="AE49" i="140"/>
  <c r="AQ16" i="140"/>
  <c r="E16" i="16" s="1"/>
  <c r="AP16" i="140"/>
  <c r="E15" i="16" s="1"/>
  <c r="AE5" i="375"/>
  <c r="AE6" i="375"/>
  <c r="AE7" i="375"/>
  <c r="AE8" i="375"/>
  <c r="AE9" i="375"/>
  <c r="AE10" i="375"/>
  <c r="AE11" i="375"/>
  <c r="AE12" i="375"/>
  <c r="AE13" i="375"/>
  <c r="AE14" i="375"/>
  <c r="AE15" i="375"/>
  <c r="AE16" i="375"/>
  <c r="AE17" i="375"/>
  <c r="AE18" i="375"/>
  <c r="AE19" i="375"/>
  <c r="AE20" i="375"/>
  <c r="AE21" i="375"/>
  <c r="AE22" i="375"/>
  <c r="AE23" i="375"/>
  <c r="AE24" i="375"/>
  <c r="AE25" i="375"/>
  <c r="AE26" i="375"/>
  <c r="AE27" i="375"/>
  <c r="AE28" i="375"/>
  <c r="AE29" i="375"/>
  <c r="AE30" i="375"/>
  <c r="AE31" i="375"/>
  <c r="AE32" i="375"/>
  <c r="AE33" i="375"/>
  <c r="AE34" i="375"/>
  <c r="AE35" i="375"/>
  <c r="AE36" i="375"/>
  <c r="AE37" i="375"/>
  <c r="AE38" i="375"/>
  <c r="AE39" i="375"/>
  <c r="AE40" i="375"/>
  <c r="AE41" i="375"/>
  <c r="AE42" i="375"/>
  <c r="AE43" i="375"/>
  <c r="AE44" i="375"/>
  <c r="AE45" i="375"/>
  <c r="AE46" i="375"/>
  <c r="AE47" i="375"/>
  <c r="AE48" i="375"/>
  <c r="AE49" i="375"/>
  <c r="AE50" i="375"/>
  <c r="H66" i="375"/>
  <c r="F66" i="375"/>
  <c r="I65" i="375"/>
  <c r="G65" i="375"/>
  <c r="K63" i="375"/>
  <c r="I63" i="375"/>
  <c r="I66" i="375" s="1"/>
  <c r="G63" i="375"/>
  <c r="H66" i="373"/>
  <c r="F66" i="373"/>
  <c r="I65" i="373"/>
  <c r="G65" i="373"/>
  <c r="G66" i="373" s="1"/>
  <c r="K63" i="373"/>
  <c r="I63" i="373"/>
  <c r="G63" i="373"/>
  <c r="H66" i="370"/>
  <c r="F66" i="370"/>
  <c r="I65" i="370"/>
  <c r="G65" i="370"/>
  <c r="K63" i="370"/>
  <c r="K65" i="370" s="1"/>
  <c r="I63" i="370"/>
  <c r="G63" i="370"/>
  <c r="E74" i="20"/>
  <c r="C74" i="20"/>
  <c r="F73" i="20"/>
  <c r="D73" i="20"/>
  <c r="D74" i="20" s="1"/>
  <c r="H71" i="20"/>
  <c r="F71" i="20"/>
  <c r="D71" i="20"/>
  <c r="H66" i="365"/>
  <c r="F66" i="365"/>
  <c r="I65" i="365"/>
  <c r="G65" i="365"/>
  <c r="K63" i="365"/>
  <c r="I63" i="365"/>
  <c r="G63" i="365"/>
  <c r="H140" i="347"/>
  <c r="F140" i="347"/>
  <c r="I139" i="347"/>
  <c r="G139" i="347"/>
  <c r="K137" i="347"/>
  <c r="I137" i="347"/>
  <c r="G137" i="347"/>
  <c r="AG6" i="224"/>
  <c r="AG7" i="224"/>
  <c r="AG8" i="224"/>
  <c r="AG9" i="224"/>
  <c r="AG10" i="224"/>
  <c r="AG11" i="224"/>
  <c r="AG12" i="224"/>
  <c r="AG13" i="224"/>
  <c r="AG14" i="224"/>
  <c r="AG15" i="224"/>
  <c r="AG16" i="224"/>
  <c r="AG17" i="224"/>
  <c r="AG18" i="224"/>
  <c r="AG19" i="224"/>
  <c r="AG20" i="224"/>
  <c r="AG21" i="224"/>
  <c r="AG22" i="224"/>
  <c r="AG23" i="224"/>
  <c r="AG24" i="224"/>
  <c r="AG25" i="224"/>
  <c r="AG26" i="224"/>
  <c r="AG27" i="224"/>
  <c r="AG28" i="224"/>
  <c r="AG29" i="224"/>
  <c r="AG30" i="224"/>
  <c r="AG31" i="224"/>
  <c r="AG32" i="224"/>
  <c r="AG33" i="224"/>
  <c r="AG34" i="224"/>
  <c r="AG35" i="224"/>
  <c r="AG36" i="224"/>
  <c r="AG37" i="224"/>
  <c r="AG38" i="224"/>
  <c r="AG39" i="224"/>
  <c r="AG40" i="224"/>
  <c r="AG41" i="224"/>
  <c r="AG42" i="224"/>
  <c r="AG43" i="224"/>
  <c r="AG44" i="224"/>
  <c r="AG45" i="224"/>
  <c r="AG46" i="224"/>
  <c r="AG47" i="224"/>
  <c r="AG48" i="224"/>
  <c r="AG49" i="224"/>
  <c r="AG50" i="224"/>
  <c r="AG5" i="224"/>
  <c r="AF7" i="224"/>
  <c r="AF8" i="224"/>
  <c r="AF9" i="224"/>
  <c r="AF10" i="224"/>
  <c r="AF11" i="224"/>
  <c r="AF12" i="224"/>
  <c r="AF13" i="224"/>
  <c r="AF14" i="224"/>
  <c r="AF15" i="224"/>
  <c r="AF16" i="224"/>
  <c r="AF17" i="224"/>
  <c r="AF18" i="224"/>
  <c r="AF19" i="224"/>
  <c r="AF20" i="224"/>
  <c r="AF21" i="224"/>
  <c r="AF22" i="224"/>
  <c r="AF23" i="224"/>
  <c r="AF24" i="224"/>
  <c r="AF25" i="224"/>
  <c r="AF26" i="224"/>
  <c r="AF27" i="224"/>
  <c r="AF28" i="224"/>
  <c r="AF29" i="224"/>
  <c r="AF30" i="224"/>
  <c r="AF31" i="224"/>
  <c r="AF32" i="224"/>
  <c r="AF33" i="224"/>
  <c r="AF34" i="224"/>
  <c r="AF35" i="224"/>
  <c r="AF36" i="224"/>
  <c r="AF37" i="224"/>
  <c r="AF38" i="224"/>
  <c r="AF39" i="224"/>
  <c r="AF40" i="224"/>
  <c r="AF41" i="224"/>
  <c r="AF42" i="224"/>
  <c r="AF43" i="224"/>
  <c r="AF44" i="224"/>
  <c r="AF45" i="224"/>
  <c r="AF46" i="224"/>
  <c r="AF47" i="224"/>
  <c r="AF48" i="224"/>
  <c r="AF49" i="224"/>
  <c r="AF50" i="224"/>
  <c r="AF6" i="224"/>
  <c r="AF5" i="224"/>
  <c r="H66" i="224"/>
  <c r="F66" i="224"/>
  <c r="I65" i="224"/>
  <c r="G65" i="224"/>
  <c r="K63" i="224"/>
  <c r="I63" i="224"/>
  <c r="G63" i="224"/>
  <c r="K71" i="205"/>
  <c r="G16" i="16" s="1"/>
  <c r="G76" i="16" s="1"/>
  <c r="B22" i="205" s="1"/>
  <c r="C22" i="205" s="1"/>
  <c r="I71" i="205"/>
  <c r="G71" i="205"/>
  <c r="J70" i="205"/>
  <c r="H70" i="205"/>
  <c r="H66" i="134"/>
  <c r="F66" i="134"/>
  <c r="F66" i="126"/>
  <c r="H66" i="126"/>
  <c r="E62" i="130"/>
  <c r="G62" i="130"/>
  <c r="I65" i="126"/>
  <c r="G65" i="126"/>
  <c r="I59" i="130"/>
  <c r="J59" i="130" s="1"/>
  <c r="H61" i="130"/>
  <c r="F61" i="130"/>
  <c r="H66" i="221"/>
  <c r="F66" i="221"/>
  <c r="K65" i="221"/>
  <c r="I65" i="221"/>
  <c r="G65" i="221"/>
  <c r="K63" i="221"/>
  <c r="I63" i="221"/>
  <c r="G63" i="221"/>
  <c r="H66" i="216"/>
  <c r="F66" i="216"/>
  <c r="I65" i="216"/>
  <c r="G65" i="216"/>
  <c r="G66" i="216" s="1"/>
  <c r="K63" i="216"/>
  <c r="I63" i="216"/>
  <c r="G63" i="216"/>
  <c r="H66" i="214"/>
  <c r="I65" i="214"/>
  <c r="I66" i="214" s="1"/>
  <c r="F66" i="214"/>
  <c r="G65" i="214"/>
  <c r="G66" i="214" s="1"/>
  <c r="K63" i="214"/>
  <c r="I63" i="214"/>
  <c r="G63" i="214"/>
  <c r="L68" i="205"/>
  <c r="J68" i="205"/>
  <c r="H68" i="205"/>
  <c r="H71" i="205" s="1"/>
  <c r="I65" i="134"/>
  <c r="G65" i="134"/>
  <c r="K63" i="134"/>
  <c r="K65" i="134" s="1"/>
  <c r="I63" i="134"/>
  <c r="I66" i="134" s="1"/>
  <c r="G63" i="134"/>
  <c r="G66" i="134" s="1"/>
  <c r="K63" i="126"/>
  <c r="I63" i="126"/>
  <c r="G63" i="126"/>
  <c r="G66" i="126" s="1"/>
  <c r="H59" i="130"/>
  <c r="H62" i="130" s="1"/>
  <c r="F59" i="130"/>
  <c r="F62" i="130" s="1"/>
  <c r="AE6" i="126"/>
  <c r="AE7" i="126"/>
  <c r="AE8" i="126"/>
  <c r="AE9" i="126"/>
  <c r="AE10" i="126"/>
  <c r="AE11" i="126"/>
  <c r="AE12" i="126"/>
  <c r="AE13" i="126"/>
  <c r="AE14" i="126"/>
  <c r="AE15" i="126"/>
  <c r="AE16" i="126"/>
  <c r="AE17" i="126"/>
  <c r="AE18" i="126"/>
  <c r="AE19" i="126"/>
  <c r="AE20" i="126"/>
  <c r="AE21" i="126"/>
  <c r="AE22" i="126"/>
  <c r="AE23" i="126"/>
  <c r="AE24" i="126"/>
  <c r="AE25" i="126"/>
  <c r="AE26" i="126"/>
  <c r="AE27" i="126"/>
  <c r="AE28" i="126"/>
  <c r="AE29" i="126"/>
  <c r="AE30" i="126"/>
  <c r="AE31" i="126"/>
  <c r="AE32" i="126"/>
  <c r="AE33" i="126"/>
  <c r="AE34" i="126"/>
  <c r="AE35" i="126"/>
  <c r="AE36" i="126"/>
  <c r="AE37" i="126"/>
  <c r="AE38" i="126"/>
  <c r="AE39" i="126"/>
  <c r="AE40" i="126"/>
  <c r="AE41" i="126"/>
  <c r="AE42" i="126"/>
  <c r="AE43" i="126"/>
  <c r="AE44" i="126"/>
  <c r="AE45" i="126"/>
  <c r="AE46" i="126"/>
  <c r="AE47" i="126"/>
  <c r="AE48" i="126"/>
  <c r="AE49" i="126"/>
  <c r="AE50" i="126"/>
  <c r="AE6" i="216"/>
  <c r="AE7" i="216"/>
  <c r="AE8" i="216"/>
  <c r="AE9" i="216"/>
  <c r="AE10" i="216"/>
  <c r="AE11" i="216"/>
  <c r="AE12" i="216"/>
  <c r="AE13" i="216"/>
  <c r="AE14" i="216"/>
  <c r="AE15" i="216"/>
  <c r="AE16" i="216"/>
  <c r="AE17" i="216"/>
  <c r="AE18" i="216"/>
  <c r="AE19" i="216"/>
  <c r="AE20" i="216"/>
  <c r="AE21" i="216"/>
  <c r="AE22" i="216"/>
  <c r="AE23" i="216"/>
  <c r="AE24" i="216"/>
  <c r="AE25" i="216"/>
  <c r="AE26" i="216"/>
  <c r="AE27" i="216"/>
  <c r="AE28" i="216"/>
  <c r="AE29" i="216"/>
  <c r="AE30" i="216"/>
  <c r="AE31" i="216"/>
  <c r="AE32" i="216"/>
  <c r="AE33" i="216"/>
  <c r="AE34" i="216"/>
  <c r="AE35" i="216"/>
  <c r="AE36" i="216"/>
  <c r="AE37" i="216"/>
  <c r="AE38" i="216"/>
  <c r="AE39" i="216"/>
  <c r="AE40" i="216"/>
  <c r="AE41" i="216"/>
  <c r="AE42" i="216"/>
  <c r="AE43" i="216"/>
  <c r="AE44" i="216"/>
  <c r="AE45" i="216"/>
  <c r="AE46" i="216"/>
  <c r="AE47" i="216"/>
  <c r="AE48" i="216"/>
  <c r="AE49" i="216"/>
  <c r="AE50" i="216"/>
  <c r="AE5" i="216"/>
  <c r="K65" i="214" l="1"/>
  <c r="K66" i="214" s="1"/>
  <c r="I16" i="16" s="1"/>
  <c r="G66" i="365"/>
  <c r="I66" i="216"/>
  <c r="K65" i="373"/>
  <c r="K66" i="373" s="1"/>
  <c r="T16" i="16" s="1"/>
  <c r="T76" i="16" s="1"/>
  <c r="G66" i="370"/>
  <c r="K65" i="365"/>
  <c r="K66" i="365" s="1"/>
  <c r="I66" i="365"/>
  <c r="I66" i="221"/>
  <c r="K66" i="221"/>
  <c r="G66" i="221"/>
  <c r="J71" i="205"/>
  <c r="J73" i="205"/>
  <c r="L70" i="205"/>
  <c r="L71" i="205" s="1"/>
  <c r="L73" i="205" s="1"/>
  <c r="L74" i="205" s="1"/>
  <c r="K66" i="134"/>
  <c r="J61" i="130"/>
  <c r="J62" i="130" s="1"/>
  <c r="D16" i="16" s="1"/>
  <c r="D76" i="16" s="1"/>
  <c r="B13" i="130" s="1"/>
  <c r="I66" i="126"/>
  <c r="T101" i="117"/>
  <c r="Q101" i="117"/>
  <c r="I140" i="347"/>
  <c r="I38" i="57"/>
  <c r="K65" i="126"/>
  <c r="K66" i="126" s="1"/>
  <c r="C16" i="16" s="1"/>
  <c r="C76" i="16" s="1"/>
  <c r="B13" i="126" s="1"/>
  <c r="AD13" i="126" s="1"/>
  <c r="K65" i="375"/>
  <c r="K66" i="375" s="1"/>
  <c r="U16" i="16" s="1"/>
  <c r="U76" i="16" s="1"/>
  <c r="B13" i="375" s="1"/>
  <c r="G66" i="375"/>
  <c r="I66" i="373"/>
  <c r="I66" i="370"/>
  <c r="K66" i="370"/>
  <c r="S16" i="16" s="1"/>
  <c r="S76" i="16" s="1"/>
  <c r="B13" i="370" s="1"/>
  <c r="F74" i="20"/>
  <c r="H73" i="20"/>
  <c r="H74" i="20" s="1"/>
  <c r="K139" i="347"/>
  <c r="K140" i="347" s="1"/>
  <c r="G140" i="347"/>
  <c r="I66" i="224"/>
  <c r="K65" i="224"/>
  <c r="K66" i="224" s="1"/>
  <c r="M16" i="16" s="1"/>
  <c r="M76" i="16" s="1"/>
  <c r="B13" i="224" s="1"/>
  <c r="G66" i="224"/>
  <c r="M73" i="205"/>
  <c r="K65" i="216"/>
  <c r="K66" i="216" s="1"/>
  <c r="J16" i="16" s="1"/>
  <c r="J76" i="16" s="1"/>
  <c r="B13" i="216" s="1"/>
  <c r="T102" i="117" l="1"/>
  <c r="Q102" i="117"/>
  <c r="B13" i="373"/>
  <c r="AD13" i="373" s="1"/>
  <c r="C68" i="205"/>
  <c r="T103" i="117" l="1"/>
  <c r="Q103" i="117"/>
  <c r="B13" i="209"/>
  <c r="U24" i="66"/>
  <c r="B74" i="66" s="1"/>
  <c r="U23" i="66"/>
  <c r="B73" i="66" s="1"/>
  <c r="U22" i="66"/>
  <c r="B72" i="66" s="1"/>
  <c r="U21" i="66"/>
  <c r="B71" i="66" s="1"/>
  <c r="U20" i="66"/>
  <c r="B70" i="66" s="1"/>
  <c r="U19" i="66"/>
  <c r="B69" i="66" s="1"/>
  <c r="U18" i="66"/>
  <c r="B68" i="66" s="1"/>
  <c r="U17" i="66"/>
  <c r="B67" i="66" s="1"/>
  <c r="U16" i="66"/>
  <c r="B66" i="66" s="1"/>
  <c r="U15" i="66"/>
  <c r="B65" i="66" s="1"/>
  <c r="U14" i="66"/>
  <c r="B64" i="66" s="1"/>
  <c r="Z13" i="66"/>
  <c r="V13" i="66"/>
  <c r="U13" i="66"/>
  <c r="B63" i="66" s="1"/>
  <c r="U12" i="66"/>
  <c r="B62" i="66" s="1"/>
  <c r="U11" i="66"/>
  <c r="B61" i="66" s="1"/>
  <c r="U10" i="66"/>
  <c r="B60" i="66" s="1"/>
  <c r="U9" i="66"/>
  <c r="B59" i="66" s="1"/>
  <c r="U8" i="66"/>
  <c r="B58" i="66" s="1"/>
  <c r="U7" i="66"/>
  <c r="B57" i="66" s="1"/>
  <c r="U6" i="66"/>
  <c r="B56" i="66" s="1"/>
  <c r="U5" i="66"/>
  <c r="B55" i="66" s="1"/>
  <c r="U4" i="66"/>
  <c r="B54" i="66" s="1"/>
  <c r="U3" i="66"/>
  <c r="B53" i="66" s="1"/>
  <c r="U103" i="61"/>
  <c r="U24" i="61"/>
  <c r="B74" i="61" s="1"/>
  <c r="U23" i="61"/>
  <c r="B73" i="61" s="1"/>
  <c r="U22" i="61"/>
  <c r="B72" i="61" s="1"/>
  <c r="U21" i="61"/>
  <c r="B71" i="61" s="1"/>
  <c r="U20" i="61"/>
  <c r="B70" i="61" s="1"/>
  <c r="U19" i="61"/>
  <c r="B69" i="61" s="1"/>
  <c r="U18" i="61"/>
  <c r="B68" i="61" s="1"/>
  <c r="U17" i="61"/>
  <c r="B67" i="61" s="1"/>
  <c r="U16" i="61"/>
  <c r="B66" i="61" s="1"/>
  <c r="U15" i="61"/>
  <c r="B65" i="61" s="1"/>
  <c r="U14" i="61"/>
  <c r="B64" i="61" s="1"/>
  <c r="Z13" i="61"/>
  <c r="Z14" i="61" s="1"/>
  <c r="Z15" i="61" s="1"/>
  <c r="V13" i="61"/>
  <c r="V14" i="61" s="1"/>
  <c r="U13" i="61"/>
  <c r="B63" i="61" s="1"/>
  <c r="U12" i="61"/>
  <c r="B62" i="61" s="1"/>
  <c r="U11" i="61"/>
  <c r="B61" i="61" s="1"/>
  <c r="U10" i="61"/>
  <c r="B60" i="61" s="1"/>
  <c r="U9" i="61"/>
  <c r="B59" i="61" s="1"/>
  <c r="U8" i="61"/>
  <c r="B58" i="61" s="1"/>
  <c r="U7" i="61"/>
  <c r="B57" i="61" s="1"/>
  <c r="U6" i="61"/>
  <c r="B56" i="61" s="1"/>
  <c r="U5" i="61"/>
  <c r="B55" i="61" s="1"/>
  <c r="U4" i="61"/>
  <c r="B54" i="61" s="1"/>
  <c r="U3" i="61"/>
  <c r="B53" i="61" s="1"/>
  <c r="V104" i="35"/>
  <c r="V105" i="35" s="1"/>
  <c r="V106" i="35" s="1"/>
  <c r="V107" i="35" s="1"/>
  <c r="V108" i="35" s="1"/>
  <c r="V109" i="35" s="1"/>
  <c r="V110" i="35" s="1"/>
  <c r="V111" i="35" s="1"/>
  <c r="V112" i="35" s="1"/>
  <c r="V113" i="35" s="1"/>
  <c r="U24" i="35"/>
  <c r="B74" i="35" s="1"/>
  <c r="U23" i="35"/>
  <c r="B73" i="35" s="1"/>
  <c r="U22" i="35"/>
  <c r="B72" i="35" s="1"/>
  <c r="U21" i="35"/>
  <c r="B71" i="35" s="1"/>
  <c r="U20" i="35"/>
  <c r="B70" i="35" s="1"/>
  <c r="U19" i="35"/>
  <c r="B69" i="35" s="1"/>
  <c r="U18" i="35"/>
  <c r="B68" i="35" s="1"/>
  <c r="U17" i="35"/>
  <c r="B67" i="35" s="1"/>
  <c r="U16" i="35"/>
  <c r="B66" i="35" s="1"/>
  <c r="U15" i="35"/>
  <c r="B65" i="35" s="1"/>
  <c r="U14" i="35"/>
  <c r="B64" i="35" s="1"/>
  <c r="Z13" i="35"/>
  <c r="Z14" i="35" s="1"/>
  <c r="V13" i="35"/>
  <c r="V14" i="35" s="1"/>
  <c r="V15" i="35" s="1"/>
  <c r="U13" i="35"/>
  <c r="B63" i="35" s="1"/>
  <c r="U12" i="35"/>
  <c r="B62" i="35" s="1"/>
  <c r="U11" i="35"/>
  <c r="B61" i="35" s="1"/>
  <c r="U10" i="35"/>
  <c r="B60" i="35" s="1"/>
  <c r="U9" i="35"/>
  <c r="B59" i="35" s="1"/>
  <c r="U8" i="35"/>
  <c r="B58" i="35" s="1"/>
  <c r="U7" i="35"/>
  <c r="B57" i="35" s="1"/>
  <c r="U6" i="35"/>
  <c r="B56" i="35" s="1"/>
  <c r="U5" i="35"/>
  <c r="B55" i="35" s="1"/>
  <c r="U4" i="35"/>
  <c r="B54" i="35" s="1"/>
  <c r="U3" i="35"/>
  <c r="B53" i="35" s="1"/>
  <c r="U103" i="60"/>
  <c r="U104" i="60" s="1"/>
  <c r="U105" i="60" s="1"/>
  <c r="U106" i="60" s="1"/>
  <c r="U107" i="60" s="1"/>
  <c r="U108" i="60" s="1"/>
  <c r="U109" i="60" s="1"/>
  <c r="U110" i="60" s="1"/>
  <c r="U111" i="60" s="1"/>
  <c r="U112" i="60" s="1"/>
  <c r="U24" i="60"/>
  <c r="B74" i="60" s="1"/>
  <c r="U23" i="60"/>
  <c r="B73" i="60" s="1"/>
  <c r="U22" i="60"/>
  <c r="B72" i="60" s="1"/>
  <c r="U21" i="60"/>
  <c r="B71" i="60" s="1"/>
  <c r="U20" i="60"/>
  <c r="B70" i="60" s="1"/>
  <c r="U19" i="60"/>
  <c r="B69" i="60" s="1"/>
  <c r="U18" i="60"/>
  <c r="B68" i="60" s="1"/>
  <c r="U17" i="60"/>
  <c r="B67" i="60" s="1"/>
  <c r="U16" i="60"/>
  <c r="B66" i="60" s="1"/>
  <c r="U15" i="60"/>
  <c r="B65" i="60" s="1"/>
  <c r="U14" i="60"/>
  <c r="B64" i="60" s="1"/>
  <c r="Z13" i="60"/>
  <c r="Z14" i="60" s="1"/>
  <c r="Z15" i="60" s="1"/>
  <c r="Z16" i="60" s="1"/>
  <c r="V13" i="60"/>
  <c r="V14" i="60" s="1"/>
  <c r="U13" i="60"/>
  <c r="B63" i="60" s="1"/>
  <c r="U12" i="60"/>
  <c r="B62" i="60" s="1"/>
  <c r="U11" i="60"/>
  <c r="B61" i="60" s="1"/>
  <c r="U10" i="60"/>
  <c r="B60" i="60" s="1"/>
  <c r="U9" i="60"/>
  <c r="B59" i="60" s="1"/>
  <c r="U8" i="60"/>
  <c r="B58" i="60" s="1"/>
  <c r="U7" i="60"/>
  <c r="B57" i="60" s="1"/>
  <c r="U6" i="60"/>
  <c r="B56" i="60" s="1"/>
  <c r="U5" i="60"/>
  <c r="B55" i="60" s="1"/>
  <c r="U4" i="60"/>
  <c r="B54" i="60" s="1"/>
  <c r="U3" i="60"/>
  <c r="B53" i="60" s="1"/>
  <c r="U98" i="49"/>
  <c r="U99" i="49" s="1"/>
  <c r="U100" i="49" s="1"/>
  <c r="U101" i="49" s="1"/>
  <c r="U102" i="49" s="1"/>
  <c r="U103" i="49" s="1"/>
  <c r="U104" i="49" s="1"/>
  <c r="U105" i="49" s="1"/>
  <c r="U106" i="49" s="1"/>
  <c r="U107" i="49" s="1"/>
  <c r="U108" i="49" s="1"/>
  <c r="U109" i="49" s="1"/>
  <c r="U110" i="49" s="1"/>
  <c r="U111" i="49" s="1"/>
  <c r="U112" i="49" s="1"/>
  <c r="U113" i="49" s="1"/>
  <c r="U114" i="49" s="1"/>
  <c r="U115" i="49" s="1"/>
  <c r="U116" i="49" s="1"/>
  <c r="U117" i="49" s="1"/>
  <c r="U118" i="49" s="1"/>
  <c r="U119" i="49" s="1"/>
  <c r="U120" i="49" s="1"/>
  <c r="U121" i="49" s="1"/>
  <c r="U122" i="49" s="1"/>
  <c r="U24" i="49"/>
  <c r="B75" i="49" s="1"/>
  <c r="B206" i="49" s="1"/>
  <c r="U23" i="49"/>
  <c r="B74" i="49" s="1"/>
  <c r="B205" i="49" s="1"/>
  <c r="U22" i="49"/>
  <c r="B73" i="49" s="1"/>
  <c r="B204" i="49" s="1"/>
  <c r="U21" i="49"/>
  <c r="B72" i="49" s="1"/>
  <c r="B203" i="49" s="1"/>
  <c r="U20" i="49"/>
  <c r="B71" i="49" s="1"/>
  <c r="B202" i="49" s="1"/>
  <c r="U19" i="49"/>
  <c r="B70" i="49" s="1"/>
  <c r="B201" i="49" s="1"/>
  <c r="U18" i="49"/>
  <c r="B69" i="49" s="1"/>
  <c r="B200" i="49" s="1"/>
  <c r="U17" i="49"/>
  <c r="B68" i="49" s="1"/>
  <c r="B199" i="49" s="1"/>
  <c r="U16" i="49"/>
  <c r="B67" i="49" s="1"/>
  <c r="B198" i="49" s="1"/>
  <c r="U15" i="49"/>
  <c r="B66" i="49" s="1"/>
  <c r="B197" i="49" s="1"/>
  <c r="U14" i="49"/>
  <c r="B65" i="49" s="1"/>
  <c r="B196" i="49" s="1"/>
  <c r="Z13" i="49"/>
  <c r="Z14" i="49" s="1"/>
  <c r="Z15" i="49" s="1"/>
  <c r="V13" i="49"/>
  <c r="V14" i="49" s="1"/>
  <c r="U13" i="49"/>
  <c r="B64" i="49" s="1"/>
  <c r="B195" i="49" s="1"/>
  <c r="U12" i="49"/>
  <c r="B63" i="49" s="1"/>
  <c r="B194" i="49" s="1"/>
  <c r="U11" i="49"/>
  <c r="B62" i="49" s="1"/>
  <c r="B193" i="49" s="1"/>
  <c r="U10" i="49"/>
  <c r="B61" i="49" s="1"/>
  <c r="B192" i="49" s="1"/>
  <c r="U9" i="49"/>
  <c r="B60" i="49" s="1"/>
  <c r="B191" i="49" s="1"/>
  <c r="U8" i="49"/>
  <c r="B59" i="49" s="1"/>
  <c r="B190" i="49" s="1"/>
  <c r="U7" i="49"/>
  <c r="B58" i="49" s="1"/>
  <c r="B189" i="49" s="1"/>
  <c r="U6" i="49"/>
  <c r="B57" i="49" s="1"/>
  <c r="B188" i="49" s="1"/>
  <c r="U5" i="49"/>
  <c r="B56" i="49" s="1"/>
  <c r="B187" i="49" s="1"/>
  <c r="U4" i="49"/>
  <c r="B55" i="49" s="1"/>
  <c r="B186" i="49" s="1"/>
  <c r="U3" i="49"/>
  <c r="B54" i="49" s="1"/>
  <c r="U106" i="64"/>
  <c r="U107" i="64" s="1"/>
  <c r="U108" i="64" s="1"/>
  <c r="U109" i="64" s="1"/>
  <c r="U110" i="64" s="1"/>
  <c r="U111" i="64" s="1"/>
  <c r="U112" i="64" s="1"/>
  <c r="U113" i="64" s="1"/>
  <c r="U114" i="64" s="1"/>
  <c r="U115" i="64" s="1"/>
  <c r="U24" i="64"/>
  <c r="B74" i="64" s="1"/>
  <c r="U23" i="64"/>
  <c r="B73" i="64" s="1"/>
  <c r="U22" i="64"/>
  <c r="B72" i="64" s="1"/>
  <c r="U21" i="64"/>
  <c r="B71" i="64" s="1"/>
  <c r="U20" i="64"/>
  <c r="B70" i="64" s="1"/>
  <c r="U19" i="64"/>
  <c r="B69" i="64" s="1"/>
  <c r="U18" i="64"/>
  <c r="B68" i="64" s="1"/>
  <c r="U17" i="64"/>
  <c r="B67" i="64" s="1"/>
  <c r="U16" i="64"/>
  <c r="B66" i="64" s="1"/>
  <c r="U15" i="64"/>
  <c r="B65" i="64" s="1"/>
  <c r="U14" i="64"/>
  <c r="B64" i="64" s="1"/>
  <c r="Z13" i="64"/>
  <c r="V13" i="64"/>
  <c r="V14" i="64" s="1"/>
  <c r="U13" i="64"/>
  <c r="B63" i="64" s="1"/>
  <c r="U12" i="64"/>
  <c r="B62" i="64" s="1"/>
  <c r="U11" i="64"/>
  <c r="B61" i="64" s="1"/>
  <c r="U10" i="64"/>
  <c r="B60" i="64" s="1"/>
  <c r="U9" i="64"/>
  <c r="B59" i="64" s="1"/>
  <c r="U8" i="64"/>
  <c r="B58" i="64" s="1"/>
  <c r="U7" i="64"/>
  <c r="B57" i="64" s="1"/>
  <c r="U6" i="64"/>
  <c r="B56" i="64" s="1"/>
  <c r="U5" i="64"/>
  <c r="B55" i="64" s="1"/>
  <c r="U4" i="64"/>
  <c r="B54" i="64" s="1"/>
  <c r="U3" i="64"/>
  <c r="B53" i="64" s="1"/>
  <c r="W106" i="33"/>
  <c r="W107" i="33" s="1"/>
  <c r="W108" i="33" s="1"/>
  <c r="W109" i="33" s="1"/>
  <c r="W110" i="33" s="1"/>
  <c r="W111" i="33" s="1"/>
  <c r="W112" i="33" s="1"/>
  <c r="W113" i="33" s="1"/>
  <c r="W114" i="33" s="1"/>
  <c r="W115" i="33" s="1"/>
  <c r="U24" i="33"/>
  <c r="B75" i="33" s="1"/>
  <c r="U23" i="33"/>
  <c r="B74" i="33" s="1"/>
  <c r="U22" i="33"/>
  <c r="B73" i="33" s="1"/>
  <c r="U21" i="33"/>
  <c r="B72" i="33" s="1"/>
  <c r="U20" i="33"/>
  <c r="B71" i="33" s="1"/>
  <c r="U19" i="33"/>
  <c r="B70" i="33" s="1"/>
  <c r="U18" i="33"/>
  <c r="B69" i="33" s="1"/>
  <c r="U17" i="33"/>
  <c r="B68" i="33" s="1"/>
  <c r="U16" i="33"/>
  <c r="B67" i="33" s="1"/>
  <c r="U15" i="33"/>
  <c r="B66" i="33" s="1"/>
  <c r="U14" i="33"/>
  <c r="B65" i="33" s="1"/>
  <c r="Z13" i="33"/>
  <c r="Z14" i="33" s="1"/>
  <c r="Z15" i="33" s="1"/>
  <c r="Z16" i="33" s="1"/>
  <c r="V13" i="33"/>
  <c r="V14" i="33" s="1"/>
  <c r="V15" i="33" s="1"/>
  <c r="U13" i="33"/>
  <c r="B64" i="33" s="1"/>
  <c r="U12" i="33"/>
  <c r="B63" i="33" s="1"/>
  <c r="U11" i="33"/>
  <c r="B62" i="33" s="1"/>
  <c r="U10" i="33"/>
  <c r="B61" i="33" s="1"/>
  <c r="U9" i="33"/>
  <c r="B60" i="33" s="1"/>
  <c r="U8" i="33"/>
  <c r="B59" i="33" s="1"/>
  <c r="U7" i="33"/>
  <c r="B58" i="33" s="1"/>
  <c r="U6" i="33"/>
  <c r="B57" i="33" s="1"/>
  <c r="U5" i="33"/>
  <c r="B56" i="33" s="1"/>
  <c r="U4" i="33"/>
  <c r="B55" i="33" s="1"/>
  <c r="U3" i="33"/>
  <c r="B54" i="33" s="1"/>
  <c r="T106" i="65"/>
  <c r="T107" i="65" s="1"/>
  <c r="T108" i="65" s="1"/>
  <c r="T109" i="65" s="1"/>
  <c r="T110" i="65" s="1"/>
  <c r="T111" i="65" s="1"/>
  <c r="T112" i="65" s="1"/>
  <c r="T113" i="65" s="1"/>
  <c r="T114" i="65" s="1"/>
  <c r="T115" i="65" s="1"/>
  <c r="U24" i="65"/>
  <c r="B74" i="65" s="1"/>
  <c r="U23" i="65"/>
  <c r="B73" i="65" s="1"/>
  <c r="U22" i="65"/>
  <c r="B72" i="65" s="1"/>
  <c r="U21" i="65"/>
  <c r="B71" i="65" s="1"/>
  <c r="U20" i="65"/>
  <c r="B70" i="65" s="1"/>
  <c r="U19" i="65"/>
  <c r="B69" i="65" s="1"/>
  <c r="U18" i="65"/>
  <c r="B68" i="65" s="1"/>
  <c r="U17" i="65"/>
  <c r="B67" i="65" s="1"/>
  <c r="U16" i="65"/>
  <c r="B66" i="65" s="1"/>
  <c r="U15" i="65"/>
  <c r="B65" i="65" s="1"/>
  <c r="U14" i="65"/>
  <c r="B64" i="65" s="1"/>
  <c r="Z13" i="65"/>
  <c r="Z14" i="65" s="1"/>
  <c r="V13" i="65"/>
  <c r="V14" i="65" s="1"/>
  <c r="V15" i="65" s="1"/>
  <c r="V16" i="65" s="1"/>
  <c r="V17" i="65" s="1"/>
  <c r="U13" i="65"/>
  <c r="B63" i="65" s="1"/>
  <c r="U12" i="65"/>
  <c r="B62" i="65" s="1"/>
  <c r="U11" i="65"/>
  <c r="B61" i="65" s="1"/>
  <c r="U10" i="65"/>
  <c r="B60" i="65" s="1"/>
  <c r="U9" i="65"/>
  <c r="B59" i="65" s="1"/>
  <c r="U8" i="65"/>
  <c r="B58" i="65" s="1"/>
  <c r="U7" i="65"/>
  <c r="B57" i="65" s="1"/>
  <c r="U6" i="65"/>
  <c r="B56" i="65" s="1"/>
  <c r="U5" i="65"/>
  <c r="B55" i="65" s="1"/>
  <c r="U4" i="65"/>
  <c r="B54" i="65" s="1"/>
  <c r="U3" i="65"/>
  <c r="B53" i="65" s="1"/>
  <c r="T103" i="63"/>
  <c r="T104" i="63" s="1"/>
  <c r="T105" i="63" s="1"/>
  <c r="T106" i="63" s="1"/>
  <c r="T107" i="63" s="1"/>
  <c r="T108" i="63" s="1"/>
  <c r="T109" i="63" s="1"/>
  <c r="T110" i="63" s="1"/>
  <c r="T111" i="63" s="1"/>
  <c r="T112" i="63" s="1"/>
  <c r="U24" i="63"/>
  <c r="B74" i="63" s="1"/>
  <c r="U23" i="63"/>
  <c r="B73" i="63" s="1"/>
  <c r="U22" i="63"/>
  <c r="B72" i="63" s="1"/>
  <c r="U21" i="63"/>
  <c r="B71" i="63" s="1"/>
  <c r="U20" i="63"/>
  <c r="B70" i="63" s="1"/>
  <c r="U19" i="63"/>
  <c r="B69" i="63" s="1"/>
  <c r="U18" i="63"/>
  <c r="B68" i="63" s="1"/>
  <c r="U17" i="63"/>
  <c r="B67" i="63" s="1"/>
  <c r="U16" i="63"/>
  <c r="B66" i="63" s="1"/>
  <c r="U15" i="63"/>
  <c r="B65" i="63" s="1"/>
  <c r="U14" i="63"/>
  <c r="B64" i="63" s="1"/>
  <c r="Z13" i="63"/>
  <c r="Z14" i="63" s="1"/>
  <c r="Z15" i="63" s="1"/>
  <c r="Z16" i="63" s="1"/>
  <c r="V13" i="63"/>
  <c r="V14" i="63" s="1"/>
  <c r="V15" i="63" s="1"/>
  <c r="V16" i="63" s="1"/>
  <c r="U13" i="63"/>
  <c r="B63" i="63" s="1"/>
  <c r="U12" i="63"/>
  <c r="B62" i="63" s="1"/>
  <c r="U11" i="63"/>
  <c r="B61" i="63" s="1"/>
  <c r="U10" i="63"/>
  <c r="B60" i="63" s="1"/>
  <c r="U9" i="63"/>
  <c r="B59" i="63" s="1"/>
  <c r="U8" i="63"/>
  <c r="B58" i="63" s="1"/>
  <c r="U7" i="63"/>
  <c r="B57" i="63" s="1"/>
  <c r="U6" i="63"/>
  <c r="B56" i="63" s="1"/>
  <c r="U5" i="63"/>
  <c r="B55" i="63" s="1"/>
  <c r="U4" i="63"/>
  <c r="B54" i="63" s="1"/>
  <c r="U3" i="63"/>
  <c r="B53" i="63" s="1"/>
  <c r="U101" i="59"/>
  <c r="U102" i="59" s="1"/>
  <c r="U103" i="59" s="1"/>
  <c r="U104" i="59" s="1"/>
  <c r="U105" i="59" s="1"/>
  <c r="U106" i="59" s="1"/>
  <c r="U107" i="59" s="1"/>
  <c r="U108" i="59" s="1"/>
  <c r="U109" i="59" s="1"/>
  <c r="U110" i="59" s="1"/>
  <c r="U24" i="59"/>
  <c r="B74" i="59" s="1"/>
  <c r="U23" i="59"/>
  <c r="B73" i="59" s="1"/>
  <c r="U22" i="59"/>
  <c r="B72" i="59" s="1"/>
  <c r="U21" i="59"/>
  <c r="B71" i="59" s="1"/>
  <c r="U20" i="59"/>
  <c r="B70" i="59" s="1"/>
  <c r="U19" i="59"/>
  <c r="B69" i="59" s="1"/>
  <c r="U18" i="59"/>
  <c r="B68" i="59" s="1"/>
  <c r="U17" i="59"/>
  <c r="B67" i="59" s="1"/>
  <c r="U16" i="59"/>
  <c r="B66" i="59" s="1"/>
  <c r="U15" i="59"/>
  <c r="B65" i="59" s="1"/>
  <c r="U14" i="59"/>
  <c r="B64" i="59" s="1"/>
  <c r="Z13" i="59"/>
  <c r="Z14" i="59" s="1"/>
  <c r="Z15" i="59" s="1"/>
  <c r="Z16" i="59" s="1"/>
  <c r="V13" i="59"/>
  <c r="V14" i="59" s="1"/>
  <c r="V15" i="59" s="1"/>
  <c r="U13" i="59"/>
  <c r="B63" i="59" s="1"/>
  <c r="U12" i="59"/>
  <c r="B62" i="59" s="1"/>
  <c r="U11" i="59"/>
  <c r="B61" i="59" s="1"/>
  <c r="U10" i="59"/>
  <c r="B60" i="59" s="1"/>
  <c r="U9" i="59"/>
  <c r="B59" i="59" s="1"/>
  <c r="U8" i="59"/>
  <c r="B58" i="59" s="1"/>
  <c r="U7" i="59"/>
  <c r="B57" i="59" s="1"/>
  <c r="U6" i="59"/>
  <c r="B56" i="59" s="1"/>
  <c r="U5" i="59"/>
  <c r="B55" i="59" s="1"/>
  <c r="U4" i="59"/>
  <c r="B54" i="59" s="1"/>
  <c r="U3" i="59"/>
  <c r="B53" i="59" s="1"/>
  <c r="U101" i="58"/>
  <c r="U102" i="58" s="1"/>
  <c r="U103" i="58" s="1"/>
  <c r="U104" i="58" s="1"/>
  <c r="U105" i="58" s="1"/>
  <c r="U106" i="58" s="1"/>
  <c r="U107" i="58" s="1"/>
  <c r="U108" i="58" s="1"/>
  <c r="U109" i="58" s="1"/>
  <c r="U110" i="58" s="1"/>
  <c r="U24" i="58"/>
  <c r="B74" i="58" s="1"/>
  <c r="U23" i="58"/>
  <c r="B73" i="58" s="1"/>
  <c r="U22" i="58"/>
  <c r="B72" i="58" s="1"/>
  <c r="U21" i="58"/>
  <c r="B71" i="58" s="1"/>
  <c r="U20" i="58"/>
  <c r="B70" i="58" s="1"/>
  <c r="U19" i="58"/>
  <c r="B69" i="58" s="1"/>
  <c r="U18" i="58"/>
  <c r="B68" i="58" s="1"/>
  <c r="U17" i="58"/>
  <c r="B67" i="58" s="1"/>
  <c r="U16" i="58"/>
  <c r="B66" i="58" s="1"/>
  <c r="U15" i="58"/>
  <c r="B65" i="58" s="1"/>
  <c r="U14" i="58"/>
  <c r="B64" i="58" s="1"/>
  <c r="Z13" i="58"/>
  <c r="Z14" i="58" s="1"/>
  <c r="Z15" i="58" s="1"/>
  <c r="Z16" i="58" s="1"/>
  <c r="V13" i="58"/>
  <c r="V14" i="58" s="1"/>
  <c r="V15" i="58" s="1"/>
  <c r="U13" i="58"/>
  <c r="B63" i="58" s="1"/>
  <c r="U12" i="58"/>
  <c r="B62" i="58" s="1"/>
  <c r="U11" i="58"/>
  <c r="B61" i="58" s="1"/>
  <c r="U10" i="58"/>
  <c r="B60" i="58" s="1"/>
  <c r="U9" i="58"/>
  <c r="B59" i="58" s="1"/>
  <c r="U8" i="58"/>
  <c r="B58" i="58" s="1"/>
  <c r="U7" i="58"/>
  <c r="B57" i="58" s="1"/>
  <c r="U6" i="58"/>
  <c r="B56" i="58" s="1"/>
  <c r="U5" i="58"/>
  <c r="B55" i="58" s="1"/>
  <c r="U4" i="58"/>
  <c r="B54" i="58" s="1"/>
  <c r="U3" i="58"/>
  <c r="B53" i="58" s="1"/>
  <c r="U103" i="62"/>
  <c r="U104" i="62" s="1"/>
  <c r="U105" i="62" s="1"/>
  <c r="U106" i="62" s="1"/>
  <c r="U107" i="62" s="1"/>
  <c r="U108" i="62" s="1"/>
  <c r="U109" i="62" s="1"/>
  <c r="U110" i="62" s="1"/>
  <c r="U111" i="62" s="1"/>
  <c r="U112" i="62" s="1"/>
  <c r="U24" i="62"/>
  <c r="B74" i="62" s="1"/>
  <c r="U23" i="62"/>
  <c r="B73" i="62" s="1"/>
  <c r="U22" i="62"/>
  <c r="B72" i="62" s="1"/>
  <c r="U21" i="62"/>
  <c r="B71" i="62" s="1"/>
  <c r="U20" i="62"/>
  <c r="B70" i="62" s="1"/>
  <c r="U19" i="62"/>
  <c r="B69" i="62" s="1"/>
  <c r="U18" i="62"/>
  <c r="B68" i="62" s="1"/>
  <c r="U17" i="62"/>
  <c r="B67" i="62" s="1"/>
  <c r="U16" i="62"/>
  <c r="B66" i="62" s="1"/>
  <c r="U15" i="62"/>
  <c r="B65" i="62" s="1"/>
  <c r="U14" i="62"/>
  <c r="B64" i="62" s="1"/>
  <c r="Z13" i="62"/>
  <c r="Z14" i="62" s="1"/>
  <c r="Z15" i="62" s="1"/>
  <c r="Z16" i="62" s="1"/>
  <c r="V13" i="62"/>
  <c r="V14" i="62" s="1"/>
  <c r="U13" i="62"/>
  <c r="B63" i="62" s="1"/>
  <c r="U12" i="62"/>
  <c r="B62" i="62" s="1"/>
  <c r="U11" i="62"/>
  <c r="B61" i="62" s="1"/>
  <c r="U10" i="62"/>
  <c r="B60" i="62" s="1"/>
  <c r="U9" i="62"/>
  <c r="B59" i="62" s="1"/>
  <c r="U8" i="62"/>
  <c r="B58" i="62" s="1"/>
  <c r="U7" i="62"/>
  <c r="B57" i="62" s="1"/>
  <c r="U6" i="62"/>
  <c r="B56" i="62" s="1"/>
  <c r="U5" i="62"/>
  <c r="B55" i="62" s="1"/>
  <c r="U4" i="62"/>
  <c r="B54" i="62" s="1"/>
  <c r="U3" i="62"/>
  <c r="B53" i="62" s="1"/>
  <c r="U24" i="52"/>
  <c r="B74" i="52" s="1"/>
  <c r="U23" i="52"/>
  <c r="B73" i="52" s="1"/>
  <c r="U22" i="52"/>
  <c r="B72" i="52" s="1"/>
  <c r="U21" i="52"/>
  <c r="B71" i="52" s="1"/>
  <c r="U20" i="52"/>
  <c r="B70" i="52" s="1"/>
  <c r="U19" i="52"/>
  <c r="B69" i="52" s="1"/>
  <c r="U18" i="52"/>
  <c r="B68" i="52" s="1"/>
  <c r="U17" i="52"/>
  <c r="B67" i="52" s="1"/>
  <c r="U16" i="52"/>
  <c r="B66" i="52" s="1"/>
  <c r="U15" i="52"/>
  <c r="B65" i="52" s="1"/>
  <c r="U14" i="52"/>
  <c r="B64" i="52" s="1"/>
  <c r="Z13" i="52"/>
  <c r="Z14" i="52" s="1"/>
  <c r="Z15" i="52" s="1"/>
  <c r="Z16" i="52" s="1"/>
  <c r="V13" i="52"/>
  <c r="V14" i="52" s="1"/>
  <c r="V15" i="52" s="1"/>
  <c r="U13" i="52"/>
  <c r="B63" i="52" s="1"/>
  <c r="U12" i="52"/>
  <c r="B62" i="52" s="1"/>
  <c r="U11" i="52"/>
  <c r="B61" i="52" s="1"/>
  <c r="U10" i="52"/>
  <c r="B60" i="52" s="1"/>
  <c r="U9" i="52"/>
  <c r="B59" i="52" s="1"/>
  <c r="U8" i="52"/>
  <c r="B58" i="52" s="1"/>
  <c r="U7" i="52"/>
  <c r="B57" i="52" s="1"/>
  <c r="U6" i="52"/>
  <c r="B56" i="52" s="1"/>
  <c r="U5" i="52"/>
  <c r="B55" i="52" s="1"/>
  <c r="U4" i="52"/>
  <c r="B54" i="52" s="1"/>
  <c r="U3" i="52"/>
  <c r="B53" i="52" s="1"/>
  <c r="U102" i="51"/>
  <c r="U103" i="51" s="1"/>
  <c r="U104" i="51" s="1"/>
  <c r="U105" i="51" s="1"/>
  <c r="U106" i="51" s="1"/>
  <c r="U107" i="51" s="1"/>
  <c r="U108" i="51" s="1"/>
  <c r="U109" i="51" s="1"/>
  <c r="U110" i="51" s="1"/>
  <c r="U111" i="51" s="1"/>
  <c r="U24" i="51"/>
  <c r="B74" i="51" s="1"/>
  <c r="U23" i="51"/>
  <c r="B73" i="51" s="1"/>
  <c r="U22" i="51"/>
  <c r="B72" i="51" s="1"/>
  <c r="U21" i="51"/>
  <c r="B71" i="51" s="1"/>
  <c r="U20" i="51"/>
  <c r="B70" i="51" s="1"/>
  <c r="U19" i="51"/>
  <c r="B69" i="51" s="1"/>
  <c r="U18" i="51"/>
  <c r="B68" i="51" s="1"/>
  <c r="U17" i="51"/>
  <c r="B67" i="51" s="1"/>
  <c r="U16" i="51"/>
  <c r="B66" i="51" s="1"/>
  <c r="U15" i="51"/>
  <c r="B65" i="51" s="1"/>
  <c r="U14" i="51"/>
  <c r="B64" i="51" s="1"/>
  <c r="Z13" i="51"/>
  <c r="Z14" i="51" s="1"/>
  <c r="Z15" i="51" s="1"/>
  <c r="Z16" i="51" s="1"/>
  <c r="V13" i="51"/>
  <c r="U13" i="51"/>
  <c r="B63" i="51" s="1"/>
  <c r="U12" i="51"/>
  <c r="B62" i="51" s="1"/>
  <c r="U11" i="51"/>
  <c r="B61" i="51" s="1"/>
  <c r="U10" i="51"/>
  <c r="B60" i="51" s="1"/>
  <c r="U9" i="51"/>
  <c r="B59" i="51" s="1"/>
  <c r="U8" i="51"/>
  <c r="B58" i="51" s="1"/>
  <c r="U7" i="51"/>
  <c r="B57" i="51" s="1"/>
  <c r="U6" i="51"/>
  <c r="B56" i="51" s="1"/>
  <c r="U5" i="51"/>
  <c r="B55" i="51" s="1"/>
  <c r="U4" i="51"/>
  <c r="B54" i="51" s="1"/>
  <c r="U3" i="51"/>
  <c r="B53" i="51" s="1"/>
  <c r="U101" i="53"/>
  <c r="U102" i="53" s="1"/>
  <c r="U103" i="53" s="1"/>
  <c r="U104" i="53" s="1"/>
  <c r="U105" i="53" s="1"/>
  <c r="U106" i="53" s="1"/>
  <c r="U107" i="53" s="1"/>
  <c r="U108" i="53" s="1"/>
  <c r="U109" i="53" s="1"/>
  <c r="U110" i="53" s="1"/>
  <c r="U24" i="53"/>
  <c r="B74" i="53" s="1"/>
  <c r="U23" i="53"/>
  <c r="B73" i="53" s="1"/>
  <c r="U22" i="53"/>
  <c r="B72" i="53" s="1"/>
  <c r="U21" i="53"/>
  <c r="B71" i="53" s="1"/>
  <c r="U20" i="53"/>
  <c r="B70" i="53" s="1"/>
  <c r="U19" i="53"/>
  <c r="B69" i="53" s="1"/>
  <c r="U18" i="53"/>
  <c r="B68" i="53" s="1"/>
  <c r="U17" i="53"/>
  <c r="B67" i="53" s="1"/>
  <c r="U16" i="53"/>
  <c r="B66" i="53" s="1"/>
  <c r="U15" i="53"/>
  <c r="B65" i="53" s="1"/>
  <c r="U14" i="53"/>
  <c r="B64" i="53" s="1"/>
  <c r="Z13" i="53"/>
  <c r="V13" i="53"/>
  <c r="V14" i="53" s="1"/>
  <c r="V15" i="53" s="1"/>
  <c r="U13" i="53"/>
  <c r="B63" i="53" s="1"/>
  <c r="U12" i="53"/>
  <c r="B62" i="53" s="1"/>
  <c r="U11" i="53"/>
  <c r="B61" i="53" s="1"/>
  <c r="U10" i="53"/>
  <c r="B60" i="53" s="1"/>
  <c r="U9" i="53"/>
  <c r="B59" i="53" s="1"/>
  <c r="U8" i="53"/>
  <c r="B58" i="53" s="1"/>
  <c r="U7" i="53"/>
  <c r="B57" i="53" s="1"/>
  <c r="U6" i="53"/>
  <c r="B56" i="53" s="1"/>
  <c r="U5" i="53"/>
  <c r="B55" i="53" s="1"/>
  <c r="U4" i="53"/>
  <c r="B54" i="53" s="1"/>
  <c r="U3" i="53"/>
  <c r="B53" i="53" s="1"/>
  <c r="U24" i="54"/>
  <c r="B74" i="54" s="1"/>
  <c r="U23" i="54"/>
  <c r="B73" i="54" s="1"/>
  <c r="U22" i="54"/>
  <c r="B72" i="54" s="1"/>
  <c r="U21" i="54"/>
  <c r="B71" i="54" s="1"/>
  <c r="U20" i="54"/>
  <c r="B70" i="54" s="1"/>
  <c r="U19" i="54"/>
  <c r="B69" i="54" s="1"/>
  <c r="U18" i="54"/>
  <c r="B68" i="54" s="1"/>
  <c r="U17" i="54"/>
  <c r="B67" i="54" s="1"/>
  <c r="U16" i="54"/>
  <c r="B66" i="54" s="1"/>
  <c r="U15" i="54"/>
  <c r="B65" i="54" s="1"/>
  <c r="U14" i="54"/>
  <c r="B64" i="54" s="1"/>
  <c r="Z13" i="54"/>
  <c r="Z14" i="54" s="1"/>
  <c r="V13" i="54"/>
  <c r="V14" i="54" s="1"/>
  <c r="V15" i="54" s="1"/>
  <c r="U13" i="54"/>
  <c r="B63" i="54" s="1"/>
  <c r="U12" i="54"/>
  <c r="B62" i="54" s="1"/>
  <c r="U11" i="54"/>
  <c r="B61" i="54" s="1"/>
  <c r="U10" i="54"/>
  <c r="B60" i="54" s="1"/>
  <c r="U9" i="54"/>
  <c r="B59" i="54" s="1"/>
  <c r="U8" i="54"/>
  <c r="B58" i="54" s="1"/>
  <c r="U7" i="54"/>
  <c r="B57" i="54" s="1"/>
  <c r="U6" i="54"/>
  <c r="B56" i="54" s="1"/>
  <c r="C56" i="54" s="1"/>
  <c r="U5" i="54"/>
  <c r="B55" i="54" s="1"/>
  <c r="U4" i="54"/>
  <c r="B54" i="54" s="1"/>
  <c r="U3" i="54"/>
  <c r="B53" i="54" s="1"/>
  <c r="U24" i="98"/>
  <c r="B74" i="98" s="1"/>
  <c r="U23" i="98"/>
  <c r="B73" i="98" s="1"/>
  <c r="U22" i="98"/>
  <c r="B72" i="98" s="1"/>
  <c r="U21" i="98"/>
  <c r="B71" i="98" s="1"/>
  <c r="U20" i="98"/>
  <c r="B70" i="98" s="1"/>
  <c r="U19" i="98"/>
  <c r="B69" i="98" s="1"/>
  <c r="U18" i="98"/>
  <c r="B68" i="98" s="1"/>
  <c r="U17" i="98"/>
  <c r="B67" i="98" s="1"/>
  <c r="U16" i="98"/>
  <c r="B66" i="98" s="1"/>
  <c r="U15" i="98"/>
  <c r="B65" i="98" s="1"/>
  <c r="U14" i="98"/>
  <c r="B64" i="98" s="1"/>
  <c r="Z13" i="98"/>
  <c r="V13" i="98"/>
  <c r="V14" i="98" s="1"/>
  <c r="V15" i="98" s="1"/>
  <c r="U13" i="98"/>
  <c r="B63" i="98" s="1"/>
  <c r="U12" i="98"/>
  <c r="B62" i="98" s="1"/>
  <c r="U11" i="98"/>
  <c r="B61" i="98" s="1"/>
  <c r="U10" i="98"/>
  <c r="B60" i="98" s="1"/>
  <c r="U9" i="98"/>
  <c r="B59" i="98" s="1"/>
  <c r="U8" i="98"/>
  <c r="B58" i="98" s="1"/>
  <c r="U7" i="98"/>
  <c r="B57" i="98" s="1"/>
  <c r="U6" i="98"/>
  <c r="B56" i="98" s="1"/>
  <c r="U5" i="98"/>
  <c r="B55" i="98" s="1"/>
  <c r="U4" i="98"/>
  <c r="B54" i="98" s="1"/>
  <c r="U3" i="98"/>
  <c r="B53" i="98" s="1"/>
  <c r="AC99" i="57"/>
  <c r="AC100" i="57" s="1"/>
  <c r="AC101" i="57" s="1"/>
  <c r="AC102" i="57" s="1"/>
  <c r="AC103" i="57" s="1"/>
  <c r="AC104" i="57" s="1"/>
  <c r="AC105" i="57" s="1"/>
  <c r="AC106" i="57" s="1"/>
  <c r="AC107" i="57" s="1"/>
  <c r="AC108" i="57" s="1"/>
  <c r="AB99" i="57"/>
  <c r="AA99" i="57"/>
  <c r="AA100" i="57" s="1"/>
  <c r="AA101" i="57" s="1"/>
  <c r="AA102" i="57" s="1"/>
  <c r="AA103" i="57" s="1"/>
  <c r="AA104" i="57" s="1"/>
  <c r="AA105" i="57" s="1"/>
  <c r="AA106" i="57" s="1"/>
  <c r="AA107" i="57" s="1"/>
  <c r="AA108" i="57" s="1"/>
  <c r="U24" i="57"/>
  <c r="B74" i="57" s="1"/>
  <c r="U23" i="57"/>
  <c r="B73" i="57" s="1"/>
  <c r="U22" i="57"/>
  <c r="B72" i="57" s="1"/>
  <c r="U21" i="57"/>
  <c r="B71" i="57" s="1"/>
  <c r="U20" i="57"/>
  <c r="B70" i="57" s="1"/>
  <c r="U19" i="57"/>
  <c r="B69" i="57" s="1"/>
  <c r="U18" i="57"/>
  <c r="B68" i="57" s="1"/>
  <c r="U17" i="57"/>
  <c r="B67" i="57" s="1"/>
  <c r="U16" i="57"/>
  <c r="B66" i="57" s="1"/>
  <c r="U15" i="57"/>
  <c r="B65" i="57" s="1"/>
  <c r="U14" i="57"/>
  <c r="B64" i="57" s="1"/>
  <c r="Z13" i="57"/>
  <c r="Z14" i="57" s="1"/>
  <c r="Z15" i="57" s="1"/>
  <c r="V13" i="57"/>
  <c r="V14" i="57" s="1"/>
  <c r="U13" i="57"/>
  <c r="B63" i="57" s="1"/>
  <c r="U12" i="57"/>
  <c r="B62" i="57" s="1"/>
  <c r="U11" i="57"/>
  <c r="B61" i="57" s="1"/>
  <c r="U10" i="57"/>
  <c r="B60" i="57" s="1"/>
  <c r="U9" i="57"/>
  <c r="B59" i="57" s="1"/>
  <c r="U8" i="57"/>
  <c r="B58" i="57" s="1"/>
  <c r="U7" i="57"/>
  <c r="B57" i="57" s="1"/>
  <c r="U6" i="57"/>
  <c r="B56" i="57" s="1"/>
  <c r="U5" i="57"/>
  <c r="B55" i="57" s="1"/>
  <c r="U4" i="57"/>
  <c r="B54" i="57" s="1"/>
  <c r="U3" i="57"/>
  <c r="B53" i="57" s="1"/>
  <c r="AB101" i="55"/>
  <c r="AC101" i="55"/>
  <c r="AC102" i="55" s="1"/>
  <c r="AC103" i="55" s="1"/>
  <c r="AC104" i="55" s="1"/>
  <c r="AC105" i="55" s="1"/>
  <c r="AC106" i="55" s="1"/>
  <c r="AC107" i="55" s="1"/>
  <c r="AC108" i="55" s="1"/>
  <c r="AC109" i="55" s="1"/>
  <c r="AC110" i="55" s="1"/>
  <c r="AA101" i="55"/>
  <c r="AA102" i="55" s="1"/>
  <c r="AA103" i="55" s="1"/>
  <c r="AA104" i="55" s="1"/>
  <c r="AA105" i="55" s="1"/>
  <c r="AA106" i="55" s="1"/>
  <c r="AA107" i="55" s="1"/>
  <c r="AA108" i="55" s="1"/>
  <c r="AA109" i="55" s="1"/>
  <c r="AA110" i="55" s="1"/>
  <c r="AB100" i="50"/>
  <c r="AC100" i="50"/>
  <c r="AC101" i="50" s="1"/>
  <c r="AC102" i="50" s="1"/>
  <c r="AC103" i="50" s="1"/>
  <c r="AC104" i="50" s="1"/>
  <c r="AC105" i="50" s="1"/>
  <c r="AC106" i="50" s="1"/>
  <c r="AC107" i="50" s="1"/>
  <c r="AC108" i="50" s="1"/>
  <c r="AC109" i="50" s="1"/>
  <c r="AA100" i="50"/>
  <c r="AA101" i="50" s="1"/>
  <c r="AA102" i="50" s="1"/>
  <c r="AA103" i="50" s="1"/>
  <c r="AA104" i="50" s="1"/>
  <c r="AA105" i="50" s="1"/>
  <c r="AA106" i="50" s="1"/>
  <c r="AA107" i="50" s="1"/>
  <c r="AA108" i="50" s="1"/>
  <c r="AA109" i="50" s="1"/>
  <c r="T4" i="55"/>
  <c r="B56" i="55" s="1"/>
  <c r="T5" i="55"/>
  <c r="B57" i="55" s="1"/>
  <c r="T6" i="55"/>
  <c r="B58" i="55" s="1"/>
  <c r="T7" i="55"/>
  <c r="B59" i="55" s="1"/>
  <c r="T8" i="55"/>
  <c r="B60" i="55" s="1"/>
  <c r="T9" i="55"/>
  <c r="B61" i="55" s="1"/>
  <c r="T10" i="55"/>
  <c r="B62" i="55" s="1"/>
  <c r="T11" i="55"/>
  <c r="B63" i="55" s="1"/>
  <c r="T12" i="55"/>
  <c r="B64" i="55" s="1"/>
  <c r="T13" i="55"/>
  <c r="B65" i="55" s="1"/>
  <c r="T14" i="55"/>
  <c r="B66" i="55" s="1"/>
  <c r="T15" i="55"/>
  <c r="B67" i="55" s="1"/>
  <c r="T16" i="55"/>
  <c r="B68" i="55" s="1"/>
  <c r="T17" i="55"/>
  <c r="B69" i="55" s="1"/>
  <c r="T18" i="55"/>
  <c r="B70" i="55" s="1"/>
  <c r="T19" i="55"/>
  <c r="B71" i="55" s="1"/>
  <c r="T20" i="55"/>
  <c r="B72" i="55" s="1"/>
  <c r="T21" i="55"/>
  <c r="B73" i="55" s="1"/>
  <c r="T22" i="55"/>
  <c r="B74" i="55" s="1"/>
  <c r="T23" i="55"/>
  <c r="B75" i="55" s="1"/>
  <c r="T24" i="55"/>
  <c r="B76" i="55" s="1"/>
  <c r="T3" i="55"/>
  <c r="B55" i="55" s="1"/>
  <c r="AB100" i="57" l="1"/>
  <c r="AD13" i="209"/>
  <c r="H76" i="16"/>
  <c r="H16" i="16" s="1"/>
  <c r="T104" i="117"/>
  <c r="Q104" i="117"/>
  <c r="V14" i="66"/>
  <c r="V15" i="66" s="1"/>
  <c r="V16" i="66" s="1"/>
  <c r="AB101" i="50"/>
  <c r="AB102" i="55"/>
  <c r="B185" i="49"/>
  <c r="C54" i="49"/>
  <c r="C185" i="49" s="1"/>
  <c r="Z14" i="66"/>
  <c r="Z15" i="66" s="1"/>
  <c r="Z16" i="66" s="1"/>
  <c r="U104" i="61"/>
  <c r="U105" i="61" s="1"/>
  <c r="U106" i="61" s="1"/>
  <c r="U107" i="61" s="1"/>
  <c r="U108" i="61" s="1"/>
  <c r="U109" i="61" s="1"/>
  <c r="U110" i="61" s="1"/>
  <c r="U111" i="61" s="1"/>
  <c r="U112" i="61" s="1"/>
  <c r="Z16" i="61"/>
  <c r="V15" i="61"/>
  <c r="V16" i="35"/>
  <c r="Z15" i="35"/>
  <c r="Z16" i="35" s="1"/>
  <c r="V15" i="60"/>
  <c r="Z17" i="60"/>
  <c r="Z18" i="60" s="1"/>
  <c r="Z19" i="60" s="1"/>
  <c r="V15" i="49"/>
  <c r="Z16" i="49"/>
  <c r="V15" i="64"/>
  <c r="Z14" i="64"/>
  <c r="Z15" i="64" s="1"/>
  <c r="Z17" i="33"/>
  <c r="V16" i="33"/>
  <c r="V17" i="33" s="1"/>
  <c r="V18" i="65"/>
  <c r="V19" i="65" s="1"/>
  <c r="Z15" i="65"/>
  <c r="Z16" i="65" s="1"/>
  <c r="V17" i="63"/>
  <c r="V18" i="63" s="1"/>
  <c r="Z17" i="63"/>
  <c r="Z18" i="63" s="1"/>
  <c r="Z19" i="63" s="1"/>
  <c r="Z20" i="63" s="1"/>
  <c r="Z17" i="59"/>
  <c r="Z18" i="59" s="1"/>
  <c r="Z19" i="59" s="1"/>
  <c r="Z20" i="59" s="1"/>
  <c r="V16" i="59"/>
  <c r="Z17" i="58"/>
  <c r="V16" i="58"/>
  <c r="V15" i="62"/>
  <c r="Z17" i="62"/>
  <c r="Z18" i="62" s="1"/>
  <c r="Z19" i="62" s="1"/>
  <c r="Z17" i="52"/>
  <c r="V16" i="52"/>
  <c r="Z17" i="51"/>
  <c r="Z18" i="51" s="1"/>
  <c r="Z19" i="51" s="1"/>
  <c r="Z20" i="51" s="1"/>
  <c r="V14" i="51"/>
  <c r="V15" i="51" s="1"/>
  <c r="V16" i="53"/>
  <c r="Z14" i="53"/>
  <c r="Z15" i="53" s="1"/>
  <c r="Z16" i="53" s="1"/>
  <c r="V16" i="54"/>
  <c r="V17" i="54" s="1"/>
  <c r="V18" i="54" s="1"/>
  <c r="V19" i="54" s="1"/>
  <c r="Z15" i="54"/>
  <c r="Z16" i="54" s="1"/>
  <c r="V16" i="98"/>
  <c r="V17" i="98" s="1"/>
  <c r="V18" i="98" s="1"/>
  <c r="V19" i="98" s="1"/>
  <c r="Z14" i="98"/>
  <c r="Z15" i="98" s="1"/>
  <c r="Z16" i="98" s="1"/>
  <c r="Z16" i="57"/>
  <c r="V15" i="57"/>
  <c r="AB101" i="57" l="1"/>
  <c r="AB102" i="50"/>
  <c r="AB103" i="55"/>
  <c r="T105" i="117"/>
  <c r="Q105" i="117"/>
  <c r="V17" i="66"/>
  <c r="Z17" i="66"/>
  <c r="V16" i="61"/>
  <c r="Z17" i="61"/>
  <c r="V17" i="35"/>
  <c r="Z17" i="35"/>
  <c r="Z20" i="60"/>
  <c r="V16" i="60"/>
  <c r="V16" i="49"/>
  <c r="Z17" i="49"/>
  <c r="Z16" i="64"/>
  <c r="V16" i="64"/>
  <c r="Z18" i="33"/>
  <c r="V18" i="33"/>
  <c r="V20" i="65"/>
  <c r="Z17" i="65"/>
  <c r="Z21" i="63"/>
  <c r="V19" i="63"/>
  <c r="V17" i="59"/>
  <c r="Z21" i="59"/>
  <c r="Z18" i="58"/>
  <c r="V17" i="58"/>
  <c r="V16" i="62"/>
  <c r="Z20" i="62"/>
  <c r="Z18" i="52"/>
  <c r="V17" i="52"/>
  <c r="Z21" i="51"/>
  <c r="V16" i="51"/>
  <c r="V17" i="53"/>
  <c r="Z17" i="53"/>
  <c r="V20" i="54"/>
  <c r="Z17" i="54"/>
  <c r="Z17" i="98"/>
  <c r="V20" i="98"/>
  <c r="V16" i="57"/>
  <c r="Z17" i="57"/>
  <c r="AB102" i="57" l="1"/>
  <c r="AB103" i="50"/>
  <c r="AB104" i="55"/>
  <c r="T106" i="117"/>
  <c r="Q106" i="117"/>
  <c r="Z18" i="66"/>
  <c r="V18" i="66"/>
  <c r="V17" i="61"/>
  <c r="Z18" i="61"/>
  <c r="Z18" i="35"/>
  <c r="V18" i="35"/>
  <c r="Z21" i="60"/>
  <c r="V17" i="60"/>
  <c r="Z18" i="49"/>
  <c r="V17" i="49"/>
  <c r="V17" i="64"/>
  <c r="Z17" i="64"/>
  <c r="Z19" i="33"/>
  <c r="V19" i="33"/>
  <c r="Z18" i="65"/>
  <c r="V21" i="65"/>
  <c r="V20" i="63"/>
  <c r="Z22" i="63"/>
  <c r="Z22" i="59"/>
  <c r="V18" i="59"/>
  <c r="V18" i="58"/>
  <c r="Z19" i="58"/>
  <c r="Z21" i="62"/>
  <c r="V17" i="62"/>
  <c r="V18" i="52"/>
  <c r="Z19" i="52"/>
  <c r="V17" i="51"/>
  <c r="Z22" i="51"/>
  <c r="Z18" i="53"/>
  <c r="V18" i="53"/>
  <c r="Z18" i="54"/>
  <c r="V21" i="54"/>
  <c r="V21" i="98"/>
  <c r="Z18" i="98"/>
  <c r="V17" i="57"/>
  <c r="Z18" i="57"/>
  <c r="AB103" i="57" l="1"/>
  <c r="AB104" i="50"/>
  <c r="AB105" i="55"/>
  <c r="V19" i="66"/>
  <c r="Z19" i="66"/>
  <c r="Z19" i="61"/>
  <c r="V18" i="61"/>
  <c r="V19" i="35"/>
  <c r="Z19" i="35"/>
  <c r="V18" i="60"/>
  <c r="Z22" i="60"/>
  <c r="V18" i="49"/>
  <c r="Z19" i="49"/>
  <c r="Z18" i="64"/>
  <c r="V18" i="64"/>
  <c r="Z20" i="33"/>
  <c r="V20" i="33"/>
  <c r="V22" i="65"/>
  <c r="Z19" i="65"/>
  <c r="Z23" i="63"/>
  <c r="V21" i="63"/>
  <c r="Z23" i="59"/>
  <c r="V19" i="59"/>
  <c r="Z20" i="58"/>
  <c r="V19" i="58"/>
  <c r="Z22" i="62"/>
  <c r="V18" i="62"/>
  <c r="V19" i="52"/>
  <c r="Z20" i="52"/>
  <c r="V18" i="51"/>
  <c r="Z23" i="51"/>
  <c r="V19" i="53"/>
  <c r="Z19" i="53"/>
  <c r="V22" i="54"/>
  <c r="Z19" i="54"/>
  <c r="V22" i="98"/>
  <c r="Z19" i="98"/>
  <c r="Z19" i="57"/>
  <c r="V18" i="57"/>
  <c r="AB104" i="57" l="1"/>
  <c r="AB105" i="50"/>
  <c r="AB106" i="55"/>
  <c r="Z20" i="66"/>
  <c r="V20" i="66"/>
  <c r="V19" i="61"/>
  <c r="Z20" i="61"/>
  <c r="Z20" i="35"/>
  <c r="V20" i="35"/>
  <c r="Z23" i="60"/>
  <c r="V19" i="60"/>
  <c r="Z20" i="49"/>
  <c r="V19" i="49"/>
  <c r="V19" i="64"/>
  <c r="Z19" i="64"/>
  <c r="Z21" i="33"/>
  <c r="V21" i="33"/>
  <c r="V23" i="65"/>
  <c r="Z20" i="65"/>
  <c r="V22" i="63"/>
  <c r="V20" i="59"/>
  <c r="V20" i="58"/>
  <c r="Z21" i="58"/>
  <c r="Z23" i="62"/>
  <c r="V19" i="62"/>
  <c r="V20" i="52"/>
  <c r="Z21" i="52"/>
  <c r="V19" i="51"/>
  <c r="V20" i="53"/>
  <c r="Z20" i="53"/>
  <c r="Z20" i="54"/>
  <c r="V23" i="54"/>
  <c r="V23" i="98"/>
  <c r="Z20" i="98"/>
  <c r="V19" i="57"/>
  <c r="Z20" i="57"/>
  <c r="AB105" i="57" l="1"/>
  <c r="AB106" i="50"/>
  <c r="AB107" i="55"/>
  <c r="V21" i="66"/>
  <c r="Z21" i="66"/>
  <c r="Z21" i="61"/>
  <c r="V20" i="61"/>
  <c r="V21" i="35"/>
  <c r="Z21" i="35"/>
  <c r="V20" i="60"/>
  <c r="V20" i="49"/>
  <c r="Z21" i="49"/>
  <c r="V20" i="64"/>
  <c r="Z20" i="64"/>
  <c r="Z22" i="33"/>
  <c r="V22" i="33"/>
  <c r="Z21" i="65"/>
  <c r="V23" i="63"/>
  <c r="V21" i="59"/>
  <c r="Z22" i="58"/>
  <c r="V21" i="58"/>
  <c r="V20" i="62"/>
  <c r="V21" i="52"/>
  <c r="Z22" i="52"/>
  <c r="V20" i="51"/>
  <c r="V21" i="53"/>
  <c r="Z21" i="53"/>
  <c r="Z21" i="54"/>
  <c r="Z21" i="98"/>
  <c r="V20" i="57"/>
  <c r="Z21" i="57"/>
  <c r="AB106" i="57" l="1"/>
  <c r="AB107" i="50"/>
  <c r="AB108" i="55"/>
  <c r="Z22" i="66"/>
  <c r="V22" i="66"/>
  <c r="Z22" i="61"/>
  <c r="V21" i="61"/>
  <c r="Z22" i="35"/>
  <c r="V22" i="35"/>
  <c r="V21" i="60"/>
  <c r="Z22" i="49"/>
  <c r="V21" i="49"/>
  <c r="Z21" i="64"/>
  <c r="V21" i="64"/>
  <c r="Z23" i="33"/>
  <c r="V23" i="33"/>
  <c r="Z22" i="65"/>
  <c r="V22" i="59"/>
  <c r="V22" i="58"/>
  <c r="Z23" i="58"/>
  <c r="V21" i="62"/>
  <c r="Z23" i="52"/>
  <c r="V22" i="52"/>
  <c r="V21" i="51"/>
  <c r="Z22" i="53"/>
  <c r="V22" i="53"/>
  <c r="Z22" i="54"/>
  <c r="Z22" i="98"/>
  <c r="Z22" i="57"/>
  <c r="V21" i="57"/>
  <c r="AB107" i="57" l="1"/>
  <c r="AB108" i="50"/>
  <c r="AB109" i="55"/>
  <c r="Z23" i="66"/>
  <c r="V23" i="66"/>
  <c r="Z23" i="61"/>
  <c r="V22" i="61"/>
  <c r="Z23" i="35"/>
  <c r="V23" i="35"/>
  <c r="V22" i="60"/>
  <c r="V22" i="49"/>
  <c r="Z23" i="49"/>
  <c r="V22" i="64"/>
  <c r="Z22" i="64"/>
  <c r="Z23" i="65"/>
  <c r="V23" i="59"/>
  <c r="V23" i="58"/>
  <c r="V22" i="62"/>
  <c r="V23" i="52"/>
  <c r="V22" i="51"/>
  <c r="V23" i="53"/>
  <c r="Z23" i="53"/>
  <c r="Z23" i="54"/>
  <c r="Z23" i="98"/>
  <c r="Z23" i="57"/>
  <c r="V22" i="57"/>
  <c r="AB108" i="57" l="1"/>
  <c r="AB109" i="50"/>
  <c r="AB110" i="55"/>
  <c r="V23" i="61"/>
  <c r="V23" i="60"/>
  <c r="V23" i="49"/>
  <c r="V23" i="64"/>
  <c r="Z23" i="64"/>
  <c r="V23" i="62"/>
  <c r="V23" i="51"/>
  <c r="V23" i="57"/>
  <c r="U4" i="50" l="1"/>
  <c r="B54" i="50" s="1"/>
  <c r="U5" i="50"/>
  <c r="B55" i="50" s="1"/>
  <c r="U6" i="50"/>
  <c r="B56" i="50" s="1"/>
  <c r="U7" i="50"/>
  <c r="B57" i="50" s="1"/>
  <c r="U8" i="50"/>
  <c r="B58" i="50" s="1"/>
  <c r="C58" i="50" s="1"/>
  <c r="U9" i="50"/>
  <c r="B59" i="50" s="1"/>
  <c r="U10" i="50"/>
  <c r="B60" i="50" s="1"/>
  <c r="U11" i="50"/>
  <c r="B61" i="50" s="1"/>
  <c r="U12" i="50"/>
  <c r="B62" i="50" s="1"/>
  <c r="U13" i="50"/>
  <c r="B63" i="50" s="1"/>
  <c r="U14" i="50"/>
  <c r="B64" i="50" s="1"/>
  <c r="U15" i="50"/>
  <c r="B65" i="50" s="1"/>
  <c r="U16" i="50"/>
  <c r="B66" i="50" s="1"/>
  <c r="U17" i="50"/>
  <c r="B67" i="50" s="1"/>
  <c r="U18" i="50"/>
  <c r="B68" i="50" s="1"/>
  <c r="U19" i="50"/>
  <c r="B69" i="50" s="1"/>
  <c r="U20" i="50"/>
  <c r="B70" i="50" s="1"/>
  <c r="U21" i="50"/>
  <c r="B71" i="50" s="1"/>
  <c r="U22" i="50"/>
  <c r="B72" i="50" s="1"/>
  <c r="U23" i="50"/>
  <c r="B73" i="50" s="1"/>
  <c r="U24" i="50"/>
  <c r="B74" i="50" s="1"/>
  <c r="U3" i="50"/>
  <c r="B53" i="50" s="1"/>
  <c r="Z13" i="50"/>
  <c r="Z14" i="50" s="1"/>
  <c r="Z15" i="50" s="1"/>
  <c r="V13" i="50"/>
  <c r="V14" i="50" s="1"/>
  <c r="Y13" i="55"/>
  <c r="Y14" i="55" s="1"/>
  <c r="Y15" i="55" s="1"/>
  <c r="Y16" i="55" s="1"/>
  <c r="Y17" i="55" s="1"/>
  <c r="U13" i="55"/>
  <c r="V98" i="48"/>
  <c r="V99" i="48" s="1"/>
  <c r="V100" i="48" s="1"/>
  <c r="V101" i="48" s="1"/>
  <c r="V102" i="48" s="1"/>
  <c r="V103" i="48" s="1"/>
  <c r="V104" i="48" s="1"/>
  <c r="V105" i="48" s="1"/>
  <c r="V106" i="48" s="1"/>
  <c r="V107" i="48" s="1"/>
  <c r="V15" i="50" l="1"/>
  <c r="Z16" i="50"/>
  <c r="Z17" i="50" s="1"/>
  <c r="Z18" i="50" s="1"/>
  <c r="Y18" i="55"/>
  <c r="Y19" i="55" s="1"/>
  <c r="Y20" i="55" s="1"/>
  <c r="Y21" i="55" s="1"/>
  <c r="U14" i="55"/>
  <c r="U15" i="55" s="1"/>
  <c r="AA13" i="48"/>
  <c r="AA14" i="48" s="1"/>
  <c r="AA15" i="48" s="1"/>
  <c r="AA16" i="48" s="1"/>
  <c r="AA17" i="48" s="1"/>
  <c r="AA18" i="48" s="1"/>
  <c r="AA19" i="48" s="1"/>
  <c r="AA20" i="48" s="1"/>
  <c r="AA21" i="48" s="1"/>
  <c r="W13" i="48"/>
  <c r="W14" i="48" s="1"/>
  <c r="W15" i="48" s="1"/>
  <c r="V16" i="50" l="1"/>
  <c r="Z19" i="50"/>
  <c r="Y22" i="55"/>
  <c r="U16" i="55"/>
  <c r="AA22" i="48"/>
  <c r="AA23" i="48" s="1"/>
  <c r="W16" i="48"/>
  <c r="W17" i="48" s="1"/>
  <c r="W18" i="48" s="1"/>
  <c r="W19" i="48" s="1"/>
  <c r="AE7" i="134"/>
  <c r="AE8" i="134"/>
  <c r="AE9" i="134"/>
  <c r="AE10" i="134"/>
  <c r="AE11" i="134"/>
  <c r="AE12" i="134"/>
  <c r="AE13" i="134"/>
  <c r="AE14" i="134"/>
  <c r="AE15" i="134"/>
  <c r="AE16" i="134"/>
  <c r="AE17" i="134"/>
  <c r="AE18" i="134"/>
  <c r="AE19" i="134"/>
  <c r="AE20" i="134"/>
  <c r="AE21" i="134"/>
  <c r="AE22" i="134"/>
  <c r="AE23" i="134"/>
  <c r="AE24" i="134"/>
  <c r="AE25" i="134"/>
  <c r="AE26" i="134"/>
  <c r="AE27" i="134"/>
  <c r="AE28" i="134"/>
  <c r="AE29" i="134"/>
  <c r="AE30" i="134"/>
  <c r="AE31" i="134"/>
  <c r="AE32" i="134"/>
  <c r="AE33" i="134"/>
  <c r="AE34" i="134"/>
  <c r="AE35" i="134"/>
  <c r="AE36" i="134"/>
  <c r="AE37" i="134"/>
  <c r="AE38" i="134"/>
  <c r="AE39" i="134"/>
  <c r="AE40" i="134"/>
  <c r="AE41" i="134"/>
  <c r="AE42" i="134"/>
  <c r="AE43" i="134"/>
  <c r="AE44" i="134"/>
  <c r="AE45" i="134"/>
  <c r="AE46" i="134"/>
  <c r="AE47" i="134"/>
  <c r="AE48" i="134"/>
  <c r="AE49" i="134"/>
  <c r="AE6" i="134"/>
  <c r="AD13" i="134"/>
  <c r="AE8" i="214"/>
  <c r="AE9" i="214"/>
  <c r="AE10" i="214"/>
  <c r="AE11" i="214"/>
  <c r="AE12" i="214"/>
  <c r="AE13" i="214"/>
  <c r="AE14" i="214"/>
  <c r="AE15" i="214"/>
  <c r="AE16" i="214"/>
  <c r="AE17" i="214"/>
  <c r="AE18" i="214"/>
  <c r="AE19" i="214"/>
  <c r="AE20" i="214"/>
  <c r="AE21" i="214"/>
  <c r="AE22" i="214"/>
  <c r="AE23" i="214"/>
  <c r="AE24" i="214"/>
  <c r="AE25" i="214"/>
  <c r="AE26" i="214"/>
  <c r="AE27" i="214"/>
  <c r="AE28" i="214"/>
  <c r="AE29" i="214"/>
  <c r="AE30" i="214"/>
  <c r="AE31" i="214"/>
  <c r="AE32" i="214"/>
  <c r="AE33" i="214"/>
  <c r="AE34" i="214"/>
  <c r="AE35" i="214"/>
  <c r="AE36" i="214"/>
  <c r="AE37" i="214"/>
  <c r="AE38" i="214"/>
  <c r="AE39" i="214"/>
  <c r="AE40" i="214"/>
  <c r="AE41" i="214"/>
  <c r="AE42" i="214"/>
  <c r="AE43" i="214"/>
  <c r="AE44" i="214"/>
  <c r="AE45" i="214"/>
  <c r="AE46" i="214"/>
  <c r="AE47" i="214"/>
  <c r="AE48" i="214"/>
  <c r="AE49" i="214"/>
  <c r="AE50" i="214"/>
  <c r="AE7" i="214"/>
  <c r="V17" i="50" l="1"/>
  <c r="Z20" i="50"/>
  <c r="Y23" i="55"/>
  <c r="U17" i="55"/>
  <c r="W20" i="48"/>
  <c r="AI9" i="48"/>
  <c r="AI13" i="48"/>
  <c r="AI14" i="48"/>
  <c r="AI15" i="48"/>
  <c r="AI16" i="48"/>
  <c r="AI17" i="48"/>
  <c r="AI18" i="48"/>
  <c r="AI19" i="48"/>
  <c r="AI20" i="48"/>
  <c r="AI21" i="48"/>
  <c r="AI22" i="48"/>
  <c r="AI23" i="48"/>
  <c r="AI24" i="48"/>
  <c r="V18" i="50" l="1"/>
  <c r="Z21" i="50"/>
  <c r="U18" i="55"/>
  <c r="W21" i="48"/>
  <c r="N13" i="49"/>
  <c r="N14" i="49"/>
  <c r="N15" i="49"/>
  <c r="N16" i="49"/>
  <c r="N17" i="49"/>
  <c r="N18" i="49"/>
  <c r="N19" i="49"/>
  <c r="N20" i="49"/>
  <c r="N21" i="49"/>
  <c r="N22" i="49"/>
  <c r="N23" i="49"/>
  <c r="N24" i="49"/>
  <c r="N25" i="49"/>
  <c r="M12" i="49"/>
  <c r="AM13" i="49"/>
  <c r="AM14" i="49"/>
  <c r="AM15" i="49"/>
  <c r="AM16" i="49"/>
  <c r="AM17" i="49"/>
  <c r="AM18" i="49"/>
  <c r="AM19" i="49"/>
  <c r="AM20" i="49"/>
  <c r="AM21" i="49"/>
  <c r="AM22" i="49"/>
  <c r="AM23" i="49"/>
  <c r="AM24" i="49"/>
  <c r="AM25" i="49"/>
  <c r="V19" i="50" l="1"/>
  <c r="Z22" i="50"/>
  <c r="U19" i="55"/>
  <c r="W22" i="48"/>
  <c r="V20" i="50" l="1"/>
  <c r="Z23" i="50"/>
  <c r="U20" i="55"/>
  <c r="W23" i="48"/>
  <c r="V21" i="50" l="1"/>
  <c r="U21" i="55"/>
  <c r="AD13" i="37"/>
  <c r="AD14" i="37" s="1"/>
  <c r="AD15" i="37" s="1"/>
  <c r="AD16" i="37" s="1"/>
  <c r="AD17" i="37" s="1"/>
  <c r="AD18" i="37" s="1"/>
  <c r="AD19" i="37" s="1"/>
  <c r="AD20" i="37" s="1"/>
  <c r="AD21" i="37" s="1"/>
  <c r="AD22" i="37" s="1"/>
  <c r="AD23" i="37" s="1"/>
  <c r="Z13" i="37"/>
  <c r="Z14" i="37" s="1"/>
  <c r="Z15" i="37" s="1"/>
  <c r="Z16" i="37" s="1"/>
  <c r="Z17" i="37" s="1"/>
  <c r="Z18" i="37" s="1"/>
  <c r="Z19" i="37" s="1"/>
  <c r="Z20" i="37" s="1"/>
  <c r="Z21" i="37" s="1"/>
  <c r="Z22" i="37" s="1"/>
  <c r="Z23" i="37" s="1"/>
  <c r="V22" i="50" l="1"/>
  <c r="U22" i="55"/>
  <c r="V23" i="50" l="1"/>
  <c r="U23" i="55"/>
  <c r="AA8" i="413" l="1"/>
  <c r="AA9" i="413"/>
  <c r="AA10" i="413"/>
  <c r="AA11" i="413"/>
  <c r="AA12" i="413"/>
  <c r="AA13" i="413"/>
  <c r="AA14" i="413"/>
  <c r="AA15" i="413"/>
  <c r="AA16" i="413"/>
  <c r="AA17" i="413"/>
  <c r="AA18" i="413"/>
  <c r="AA19" i="413"/>
  <c r="AA20" i="413"/>
  <c r="AA21" i="413"/>
  <c r="AA22" i="413"/>
  <c r="AA23" i="413"/>
  <c r="AA24" i="413"/>
  <c r="AA25" i="413"/>
  <c r="AA26" i="413"/>
  <c r="AA27" i="413"/>
  <c r="AA28" i="413"/>
  <c r="AA29" i="413"/>
  <c r="AA30" i="413"/>
  <c r="AA31" i="413"/>
  <c r="AA32" i="413"/>
  <c r="AA33" i="413"/>
  <c r="AA34" i="413"/>
  <c r="AA35" i="413"/>
  <c r="AA36" i="413"/>
  <c r="AA37" i="413"/>
  <c r="AA38" i="413"/>
  <c r="AA39" i="413"/>
  <c r="AA40" i="413"/>
  <c r="AA41" i="413"/>
  <c r="AA42" i="413"/>
  <c r="AA43" i="413"/>
  <c r="AA44" i="413"/>
  <c r="AA45" i="413"/>
  <c r="AA7" i="413"/>
  <c r="V16" i="5" l="1"/>
  <c r="S57" i="69" l="1"/>
  <c r="T57" i="69"/>
  <c r="U57" i="69"/>
  <c r="V57" i="69"/>
  <c r="W57" i="69"/>
  <c r="AL12" i="66" s="1"/>
  <c r="R57" i="69"/>
  <c r="D57" i="69"/>
  <c r="E57" i="69"/>
  <c r="F57" i="69"/>
  <c r="G57" i="69"/>
  <c r="H57" i="69"/>
  <c r="I57" i="69"/>
  <c r="J57" i="69"/>
  <c r="K57" i="69"/>
  <c r="L57" i="69"/>
  <c r="M57" i="69"/>
  <c r="N57" i="69"/>
  <c r="O57" i="69"/>
  <c r="P57" i="69"/>
  <c r="C57" i="69"/>
  <c r="B59" i="69"/>
  <c r="Q59" i="69" l="1"/>
  <c r="Q57" i="69"/>
  <c r="B57" i="69"/>
  <c r="W4" i="97" l="1"/>
  <c r="W29" i="97" s="1"/>
  <c r="W54" i="97" s="1"/>
  <c r="B4" i="97"/>
  <c r="C4" i="97"/>
  <c r="C29" i="97" s="1"/>
  <c r="C54" i="97" s="1"/>
  <c r="D4" i="97"/>
  <c r="D29" i="97" s="1"/>
  <c r="D54" i="97" s="1"/>
  <c r="E4" i="97"/>
  <c r="E29" i="97" s="1"/>
  <c r="E54" i="97" s="1"/>
  <c r="G4" i="97"/>
  <c r="G29" i="97" s="1"/>
  <c r="G54" i="97" s="1"/>
  <c r="H4" i="97"/>
  <c r="H29" i="97" s="1"/>
  <c r="H54" i="97" s="1"/>
  <c r="I4" i="97"/>
  <c r="I29" i="97" s="1"/>
  <c r="I54" i="97" s="1"/>
  <c r="J4" i="97"/>
  <c r="J29" i="97" s="1"/>
  <c r="J54" i="97" s="1"/>
  <c r="K4" i="97"/>
  <c r="K29" i="97" s="1"/>
  <c r="K54" i="97" s="1"/>
  <c r="L4" i="97"/>
  <c r="L29" i="97" s="1"/>
  <c r="L54" i="97" s="1"/>
  <c r="M4" i="97"/>
  <c r="M29" i="97" s="1"/>
  <c r="M54" i="97" s="1"/>
  <c r="N4" i="97"/>
  <c r="N29" i="97" s="1"/>
  <c r="N54" i="97" s="1"/>
  <c r="O4" i="97"/>
  <c r="O29" i="97" s="1"/>
  <c r="O54" i="97" s="1"/>
  <c r="P4" i="97"/>
  <c r="P29" i="97" s="1"/>
  <c r="P54" i="97" s="1"/>
  <c r="Q4" i="97"/>
  <c r="Q29" i="97" s="1"/>
  <c r="Q54" i="97" s="1"/>
  <c r="R4" i="97"/>
  <c r="R29" i="97" s="1"/>
  <c r="R54" i="97" s="1"/>
  <c r="S4" i="97"/>
  <c r="S29" i="97" s="1"/>
  <c r="S54" i="97" s="1"/>
  <c r="T4" i="97"/>
  <c r="T29" i="97" s="1"/>
  <c r="T54" i="97" s="1"/>
  <c r="U4" i="97"/>
  <c r="U29" i="97" s="1"/>
  <c r="U54" i="97" s="1"/>
  <c r="V4" i="97"/>
  <c r="V29" i="97" s="1"/>
  <c r="V54" i="97" s="1"/>
  <c r="B5" i="97"/>
  <c r="C5" i="97"/>
  <c r="C30" i="97" s="1"/>
  <c r="C55" i="97" s="1"/>
  <c r="D5" i="97"/>
  <c r="D30" i="97" s="1"/>
  <c r="D55" i="97" s="1"/>
  <c r="E5" i="97"/>
  <c r="E30" i="97" s="1"/>
  <c r="E55" i="97" s="1"/>
  <c r="G5" i="97"/>
  <c r="G30" i="97" s="1"/>
  <c r="G55" i="97" s="1"/>
  <c r="H5" i="97"/>
  <c r="H30" i="97" s="1"/>
  <c r="H55" i="97" s="1"/>
  <c r="I5" i="97"/>
  <c r="I30" i="97" s="1"/>
  <c r="I55" i="97" s="1"/>
  <c r="J5" i="97"/>
  <c r="J30" i="97" s="1"/>
  <c r="J55" i="97" s="1"/>
  <c r="K5" i="97"/>
  <c r="K30" i="97" s="1"/>
  <c r="K55" i="97" s="1"/>
  <c r="L5" i="97"/>
  <c r="L30" i="97" s="1"/>
  <c r="L55" i="97" s="1"/>
  <c r="M5" i="97"/>
  <c r="M30" i="97" s="1"/>
  <c r="M55" i="97" s="1"/>
  <c r="N5" i="97"/>
  <c r="N30" i="97" s="1"/>
  <c r="N55" i="97" s="1"/>
  <c r="O5" i="97"/>
  <c r="O30" i="97" s="1"/>
  <c r="O55" i="97" s="1"/>
  <c r="P5" i="97"/>
  <c r="P30" i="97" s="1"/>
  <c r="P55" i="97" s="1"/>
  <c r="Q5" i="97"/>
  <c r="Q30" i="97" s="1"/>
  <c r="Q55" i="97" s="1"/>
  <c r="R5" i="97"/>
  <c r="R30" i="97" s="1"/>
  <c r="R55" i="97" s="1"/>
  <c r="S5" i="97"/>
  <c r="S30" i="97" s="1"/>
  <c r="S55" i="97" s="1"/>
  <c r="T5" i="97"/>
  <c r="T30" i="97" s="1"/>
  <c r="T55" i="97" s="1"/>
  <c r="U5" i="97"/>
  <c r="U30" i="97" s="1"/>
  <c r="U55" i="97" s="1"/>
  <c r="V5" i="97"/>
  <c r="V30" i="97" s="1"/>
  <c r="V55" i="97" s="1"/>
  <c r="W5" i="97"/>
  <c r="W30" i="97" s="1"/>
  <c r="W55" i="97" s="1"/>
  <c r="B6" i="97"/>
  <c r="C6" i="97"/>
  <c r="C31" i="97" s="1"/>
  <c r="C56" i="97" s="1"/>
  <c r="D6" i="97"/>
  <c r="D31" i="97" s="1"/>
  <c r="D56" i="97" s="1"/>
  <c r="E6" i="97"/>
  <c r="E31" i="97" s="1"/>
  <c r="E56" i="97" s="1"/>
  <c r="G6" i="97"/>
  <c r="G31" i="97" s="1"/>
  <c r="G56" i="97" s="1"/>
  <c r="H6" i="97"/>
  <c r="H31" i="97" s="1"/>
  <c r="H56" i="97" s="1"/>
  <c r="I6" i="97"/>
  <c r="I31" i="97" s="1"/>
  <c r="I56" i="97" s="1"/>
  <c r="J6" i="97"/>
  <c r="J31" i="97" s="1"/>
  <c r="J56" i="97" s="1"/>
  <c r="K6" i="97"/>
  <c r="K31" i="97" s="1"/>
  <c r="K56" i="97" s="1"/>
  <c r="L6" i="97"/>
  <c r="L31" i="97" s="1"/>
  <c r="L56" i="97" s="1"/>
  <c r="M6" i="97"/>
  <c r="M31" i="97" s="1"/>
  <c r="M56" i="97" s="1"/>
  <c r="N6" i="97"/>
  <c r="N31" i="97" s="1"/>
  <c r="N56" i="97" s="1"/>
  <c r="O6" i="97"/>
  <c r="O31" i="97" s="1"/>
  <c r="O56" i="97" s="1"/>
  <c r="P6" i="97"/>
  <c r="P31" i="97" s="1"/>
  <c r="P56" i="97" s="1"/>
  <c r="Q6" i="97"/>
  <c r="Q31" i="97" s="1"/>
  <c r="Q56" i="97" s="1"/>
  <c r="R6" i="97"/>
  <c r="R31" i="97" s="1"/>
  <c r="R56" i="97" s="1"/>
  <c r="S6" i="97"/>
  <c r="S31" i="97" s="1"/>
  <c r="S56" i="97" s="1"/>
  <c r="T6" i="97"/>
  <c r="T31" i="97" s="1"/>
  <c r="T56" i="97" s="1"/>
  <c r="U6" i="97"/>
  <c r="U31" i="97" s="1"/>
  <c r="U56" i="97" s="1"/>
  <c r="V6" i="97"/>
  <c r="V31" i="97" s="1"/>
  <c r="V56" i="97" s="1"/>
  <c r="W6" i="97"/>
  <c r="W31" i="97" s="1"/>
  <c r="W56" i="97" s="1"/>
  <c r="B7" i="97"/>
  <c r="C7" i="97"/>
  <c r="C32" i="97" s="1"/>
  <c r="C57" i="97" s="1"/>
  <c r="D7" i="97"/>
  <c r="D32" i="97" s="1"/>
  <c r="D57" i="97" s="1"/>
  <c r="E7" i="97"/>
  <c r="E32" i="97" s="1"/>
  <c r="E57" i="97" s="1"/>
  <c r="G7" i="97"/>
  <c r="G32" i="97" s="1"/>
  <c r="G57" i="97" s="1"/>
  <c r="H7" i="97"/>
  <c r="H32" i="97" s="1"/>
  <c r="H57" i="97" s="1"/>
  <c r="I7" i="97"/>
  <c r="I32" i="97" s="1"/>
  <c r="I57" i="97" s="1"/>
  <c r="J7" i="97"/>
  <c r="J32" i="97" s="1"/>
  <c r="J57" i="97" s="1"/>
  <c r="K7" i="97"/>
  <c r="K32" i="97" s="1"/>
  <c r="K57" i="97" s="1"/>
  <c r="L7" i="97"/>
  <c r="L32" i="97" s="1"/>
  <c r="L57" i="97" s="1"/>
  <c r="M7" i="97"/>
  <c r="M32" i="97" s="1"/>
  <c r="M57" i="97" s="1"/>
  <c r="N7" i="97"/>
  <c r="N32" i="97" s="1"/>
  <c r="N57" i="97" s="1"/>
  <c r="O7" i="97"/>
  <c r="O32" i="97" s="1"/>
  <c r="O57" i="97" s="1"/>
  <c r="P7" i="97"/>
  <c r="P32" i="97" s="1"/>
  <c r="P57" i="97" s="1"/>
  <c r="Q7" i="97"/>
  <c r="Q32" i="97" s="1"/>
  <c r="Q57" i="97" s="1"/>
  <c r="R7" i="97"/>
  <c r="R32" i="97" s="1"/>
  <c r="R57" i="97" s="1"/>
  <c r="S7" i="97"/>
  <c r="S32" i="97" s="1"/>
  <c r="S57" i="97" s="1"/>
  <c r="T7" i="97"/>
  <c r="T32" i="97" s="1"/>
  <c r="T57" i="97" s="1"/>
  <c r="U7" i="97"/>
  <c r="U32" i="97" s="1"/>
  <c r="U57" i="97" s="1"/>
  <c r="V7" i="97"/>
  <c r="V32" i="97" s="1"/>
  <c r="V57" i="97" s="1"/>
  <c r="W7" i="97"/>
  <c r="W32" i="97" s="1"/>
  <c r="W57" i="97" s="1"/>
  <c r="B8" i="97"/>
  <c r="C8" i="97"/>
  <c r="C33" i="97" s="1"/>
  <c r="C58" i="97" s="1"/>
  <c r="D8" i="97"/>
  <c r="D33" i="97" s="1"/>
  <c r="D58" i="97" s="1"/>
  <c r="E8" i="97"/>
  <c r="E33" i="97" s="1"/>
  <c r="E58" i="97" s="1"/>
  <c r="G8" i="97"/>
  <c r="G33" i="97" s="1"/>
  <c r="G58" i="97" s="1"/>
  <c r="H8" i="97"/>
  <c r="H33" i="97" s="1"/>
  <c r="H58" i="97" s="1"/>
  <c r="I8" i="97"/>
  <c r="I33" i="97" s="1"/>
  <c r="I58" i="97" s="1"/>
  <c r="J8" i="97"/>
  <c r="J33" i="97" s="1"/>
  <c r="J58" i="97" s="1"/>
  <c r="K8" i="97"/>
  <c r="K33" i="97" s="1"/>
  <c r="K58" i="97" s="1"/>
  <c r="L8" i="97"/>
  <c r="L33" i="97" s="1"/>
  <c r="L58" i="97" s="1"/>
  <c r="M8" i="97"/>
  <c r="M33" i="97" s="1"/>
  <c r="M58" i="97" s="1"/>
  <c r="N8" i="97"/>
  <c r="N33" i="97" s="1"/>
  <c r="N58" i="97" s="1"/>
  <c r="O8" i="97"/>
  <c r="O33" i="97" s="1"/>
  <c r="O58" i="97" s="1"/>
  <c r="P8" i="97"/>
  <c r="P33" i="97" s="1"/>
  <c r="P58" i="97" s="1"/>
  <c r="Q8" i="97"/>
  <c r="Q33" i="97" s="1"/>
  <c r="Q58" i="97" s="1"/>
  <c r="R8" i="97"/>
  <c r="R33" i="97" s="1"/>
  <c r="R58" i="97" s="1"/>
  <c r="S8" i="97"/>
  <c r="S33" i="97" s="1"/>
  <c r="S58" i="97" s="1"/>
  <c r="T8" i="97"/>
  <c r="T33" i="97" s="1"/>
  <c r="T58" i="97" s="1"/>
  <c r="U8" i="97"/>
  <c r="U33" i="97" s="1"/>
  <c r="U58" i="97" s="1"/>
  <c r="V8" i="97"/>
  <c r="V33" i="97" s="1"/>
  <c r="V58" i="97" s="1"/>
  <c r="W8" i="97"/>
  <c r="W33" i="97" s="1"/>
  <c r="W58" i="97" s="1"/>
  <c r="B9" i="97"/>
  <c r="C9" i="97"/>
  <c r="C34" i="97" s="1"/>
  <c r="C59" i="97" s="1"/>
  <c r="D9" i="97"/>
  <c r="D34" i="97" s="1"/>
  <c r="D59" i="97" s="1"/>
  <c r="E9" i="97"/>
  <c r="E34" i="97" s="1"/>
  <c r="E59" i="97" s="1"/>
  <c r="G9" i="97"/>
  <c r="G34" i="97" s="1"/>
  <c r="G59" i="97" s="1"/>
  <c r="H9" i="97"/>
  <c r="H34" i="97" s="1"/>
  <c r="H59" i="97" s="1"/>
  <c r="I9" i="97"/>
  <c r="I34" i="97" s="1"/>
  <c r="I59" i="97" s="1"/>
  <c r="J9" i="97"/>
  <c r="J34" i="97" s="1"/>
  <c r="J59" i="97" s="1"/>
  <c r="K9" i="97"/>
  <c r="K34" i="97" s="1"/>
  <c r="K59" i="97" s="1"/>
  <c r="L9" i="97"/>
  <c r="L34" i="97" s="1"/>
  <c r="L59" i="97" s="1"/>
  <c r="M9" i="97"/>
  <c r="M34" i="97" s="1"/>
  <c r="M59" i="97" s="1"/>
  <c r="N9" i="97"/>
  <c r="N34" i="97" s="1"/>
  <c r="N59" i="97" s="1"/>
  <c r="O9" i="97"/>
  <c r="O34" i="97" s="1"/>
  <c r="O59" i="97" s="1"/>
  <c r="P9" i="97"/>
  <c r="P34" i="97" s="1"/>
  <c r="P59" i="97" s="1"/>
  <c r="Q9" i="97"/>
  <c r="Q34" i="97" s="1"/>
  <c r="Q59" i="97" s="1"/>
  <c r="R9" i="97"/>
  <c r="R34" i="97" s="1"/>
  <c r="R59" i="97" s="1"/>
  <c r="S9" i="97"/>
  <c r="S34" i="97" s="1"/>
  <c r="S59" i="97" s="1"/>
  <c r="T9" i="97"/>
  <c r="T34" i="97" s="1"/>
  <c r="T59" i="97" s="1"/>
  <c r="U9" i="97"/>
  <c r="U34" i="97" s="1"/>
  <c r="U59" i="97" s="1"/>
  <c r="V9" i="97"/>
  <c r="V34" i="97" s="1"/>
  <c r="V59" i="97" s="1"/>
  <c r="W9" i="97"/>
  <c r="W34" i="97" s="1"/>
  <c r="W59" i="97" s="1"/>
  <c r="B10" i="97"/>
  <c r="C10" i="97"/>
  <c r="C35" i="97" s="1"/>
  <c r="C60" i="97" s="1"/>
  <c r="D10" i="97"/>
  <c r="D35" i="97" s="1"/>
  <c r="D60" i="97" s="1"/>
  <c r="E10" i="97"/>
  <c r="E35" i="97" s="1"/>
  <c r="E60" i="97" s="1"/>
  <c r="G10" i="97"/>
  <c r="G35" i="97" s="1"/>
  <c r="G60" i="97" s="1"/>
  <c r="H10" i="97"/>
  <c r="H35" i="97" s="1"/>
  <c r="H60" i="97" s="1"/>
  <c r="I10" i="97"/>
  <c r="I35" i="97" s="1"/>
  <c r="I60" i="97" s="1"/>
  <c r="J10" i="97"/>
  <c r="J35" i="97" s="1"/>
  <c r="J60" i="97" s="1"/>
  <c r="K10" i="97"/>
  <c r="K35" i="97" s="1"/>
  <c r="K60" i="97" s="1"/>
  <c r="L10" i="97"/>
  <c r="L35" i="97" s="1"/>
  <c r="L60" i="97" s="1"/>
  <c r="M10" i="97"/>
  <c r="M35" i="97" s="1"/>
  <c r="M60" i="97" s="1"/>
  <c r="N10" i="97"/>
  <c r="N35" i="97" s="1"/>
  <c r="N60" i="97" s="1"/>
  <c r="O10" i="97"/>
  <c r="O35" i="97" s="1"/>
  <c r="O60" i="97" s="1"/>
  <c r="P10" i="97"/>
  <c r="P35" i="97" s="1"/>
  <c r="P60" i="97" s="1"/>
  <c r="Q10" i="97"/>
  <c r="Q35" i="97" s="1"/>
  <c r="Q60" i="97" s="1"/>
  <c r="R10" i="97"/>
  <c r="R35" i="97" s="1"/>
  <c r="R60" i="97" s="1"/>
  <c r="S10" i="97"/>
  <c r="S35" i="97" s="1"/>
  <c r="S60" i="97" s="1"/>
  <c r="T10" i="97"/>
  <c r="T35" i="97" s="1"/>
  <c r="T60" i="97" s="1"/>
  <c r="U10" i="97"/>
  <c r="U35" i="97" s="1"/>
  <c r="U60" i="97" s="1"/>
  <c r="V10" i="97"/>
  <c r="V35" i="97" s="1"/>
  <c r="V60" i="97" s="1"/>
  <c r="W10" i="97"/>
  <c r="W35" i="97" s="1"/>
  <c r="W60" i="97" s="1"/>
  <c r="B11" i="97"/>
  <c r="C11" i="97"/>
  <c r="C36" i="97" s="1"/>
  <c r="C61" i="97" s="1"/>
  <c r="D11" i="97"/>
  <c r="D36" i="97" s="1"/>
  <c r="D61" i="97" s="1"/>
  <c r="E11" i="97"/>
  <c r="E36" i="97" s="1"/>
  <c r="E61" i="97" s="1"/>
  <c r="G11" i="97"/>
  <c r="G36" i="97" s="1"/>
  <c r="G61" i="97" s="1"/>
  <c r="H11" i="97"/>
  <c r="H36" i="97" s="1"/>
  <c r="H61" i="97" s="1"/>
  <c r="I11" i="97"/>
  <c r="I36" i="97" s="1"/>
  <c r="I61" i="97" s="1"/>
  <c r="J11" i="97"/>
  <c r="J36" i="97" s="1"/>
  <c r="J61" i="97" s="1"/>
  <c r="K11" i="97"/>
  <c r="K36" i="97" s="1"/>
  <c r="K61" i="97" s="1"/>
  <c r="L11" i="97"/>
  <c r="L36" i="97" s="1"/>
  <c r="L61" i="97" s="1"/>
  <c r="M11" i="97"/>
  <c r="M36" i="97" s="1"/>
  <c r="M61" i="97" s="1"/>
  <c r="N11" i="97"/>
  <c r="N36" i="97" s="1"/>
  <c r="N61" i="97" s="1"/>
  <c r="O11" i="97"/>
  <c r="O36" i="97" s="1"/>
  <c r="O61" i="97" s="1"/>
  <c r="P11" i="97"/>
  <c r="P36" i="97" s="1"/>
  <c r="P61" i="97" s="1"/>
  <c r="Q11" i="97"/>
  <c r="Q36" i="97" s="1"/>
  <c r="Q61" i="97" s="1"/>
  <c r="R11" i="97"/>
  <c r="R36" i="97" s="1"/>
  <c r="R61" i="97" s="1"/>
  <c r="S11" i="97"/>
  <c r="S36" i="97" s="1"/>
  <c r="S61" i="97" s="1"/>
  <c r="T11" i="97"/>
  <c r="T36" i="97" s="1"/>
  <c r="T61" i="97" s="1"/>
  <c r="U11" i="97"/>
  <c r="U36" i="97" s="1"/>
  <c r="U61" i="97" s="1"/>
  <c r="V11" i="97"/>
  <c r="V36" i="97" s="1"/>
  <c r="V61" i="97" s="1"/>
  <c r="W11" i="97"/>
  <c r="W36" i="97" s="1"/>
  <c r="W61" i="97" s="1"/>
  <c r="C3" i="97"/>
  <c r="C28" i="97" s="1"/>
  <c r="C53" i="97" s="1"/>
  <c r="D3" i="97"/>
  <c r="D28" i="97" s="1"/>
  <c r="D53" i="97" s="1"/>
  <c r="E3" i="97"/>
  <c r="E28" i="97" s="1"/>
  <c r="E53" i="97" s="1"/>
  <c r="G3" i="97"/>
  <c r="G28" i="97" s="1"/>
  <c r="G53" i="97" s="1"/>
  <c r="H3" i="97"/>
  <c r="H28" i="97" s="1"/>
  <c r="H53" i="97" s="1"/>
  <c r="I3" i="97"/>
  <c r="I28" i="97" s="1"/>
  <c r="I53" i="97" s="1"/>
  <c r="J3" i="97"/>
  <c r="J28" i="97" s="1"/>
  <c r="J53" i="97" s="1"/>
  <c r="K3" i="97"/>
  <c r="K28" i="97" s="1"/>
  <c r="K53" i="97" s="1"/>
  <c r="L3" i="97"/>
  <c r="L28" i="97" s="1"/>
  <c r="L53" i="97" s="1"/>
  <c r="M3" i="97"/>
  <c r="M28" i="97" s="1"/>
  <c r="M53" i="97" s="1"/>
  <c r="N3" i="97"/>
  <c r="N28" i="97" s="1"/>
  <c r="N53" i="97" s="1"/>
  <c r="O3" i="97"/>
  <c r="O28" i="97" s="1"/>
  <c r="O53" i="97" s="1"/>
  <c r="P3" i="97"/>
  <c r="P28" i="97" s="1"/>
  <c r="P53" i="97" s="1"/>
  <c r="Q3" i="97"/>
  <c r="Q28" i="97" s="1"/>
  <c r="Q53" i="97" s="1"/>
  <c r="R3" i="97"/>
  <c r="R28" i="97" s="1"/>
  <c r="R53" i="97" s="1"/>
  <c r="S3" i="97"/>
  <c r="S28" i="97" s="1"/>
  <c r="S53" i="97" s="1"/>
  <c r="T3" i="97"/>
  <c r="T28" i="97" s="1"/>
  <c r="T53" i="97" s="1"/>
  <c r="U3" i="97"/>
  <c r="U28" i="97" s="1"/>
  <c r="U53" i="97" s="1"/>
  <c r="V3" i="97"/>
  <c r="V28" i="97" s="1"/>
  <c r="V53" i="97" s="1"/>
  <c r="W3" i="97"/>
  <c r="W28" i="97" s="1"/>
  <c r="W53" i="97" s="1"/>
  <c r="G71" i="117" l="1"/>
  <c r="R36" i="380" l="1"/>
  <c r="O36" i="380" s="1"/>
  <c r="G36" i="380" s="1"/>
  <c r="S36" i="380"/>
  <c r="R37" i="380"/>
  <c r="O37" i="380" s="1"/>
  <c r="G37" i="380" s="1"/>
  <c r="S37" i="380"/>
  <c r="R38" i="380"/>
  <c r="O38" i="380" s="1"/>
  <c r="G38" i="380" s="1"/>
  <c r="S38" i="380"/>
  <c r="R39" i="380"/>
  <c r="O39" i="380" s="1"/>
  <c r="G39" i="380" s="1"/>
  <c r="S39" i="380"/>
  <c r="R40" i="380"/>
  <c r="O40" i="380" s="1"/>
  <c r="G40" i="380" s="1"/>
  <c r="S40" i="380"/>
  <c r="R41" i="380"/>
  <c r="O41" i="380" s="1"/>
  <c r="G41" i="380" s="1"/>
  <c r="S41" i="380"/>
  <c r="R42" i="380"/>
  <c r="O42" i="380" s="1"/>
  <c r="G42" i="380" s="1"/>
  <c r="S42" i="380"/>
  <c r="R43" i="380"/>
  <c r="O43" i="380" s="1"/>
  <c r="G43" i="380" s="1"/>
  <c r="S43" i="380"/>
  <c r="R44" i="380"/>
  <c r="O44" i="380" s="1"/>
  <c r="G44" i="380" s="1"/>
  <c r="S44" i="380"/>
  <c r="R45" i="380"/>
  <c r="O45" i="380" s="1"/>
  <c r="G45" i="380" s="1"/>
  <c r="S45" i="380"/>
  <c r="R46" i="380"/>
  <c r="O46" i="380" s="1"/>
  <c r="G46" i="380" s="1"/>
  <c r="S46" i="380"/>
  <c r="R47" i="380"/>
  <c r="O47" i="380" s="1"/>
  <c r="G47" i="380" s="1"/>
  <c r="S47" i="380"/>
  <c r="R48" i="380"/>
  <c r="O48" i="380" s="1"/>
  <c r="G48" i="380" s="1"/>
  <c r="S48" i="380"/>
  <c r="R49" i="380"/>
  <c r="O49" i="380" s="1"/>
  <c r="G49" i="380" s="1"/>
  <c r="S49" i="380"/>
  <c r="R50" i="380"/>
  <c r="O50" i="380" s="1"/>
  <c r="G50" i="380" s="1"/>
  <c r="S50" i="380"/>
  <c r="F36" i="380"/>
  <c r="F37" i="380" s="1"/>
  <c r="F38" i="380" s="1"/>
  <c r="F39" i="380" s="1"/>
  <c r="F40" i="380" s="1"/>
  <c r="F41" i="380" s="1"/>
  <c r="F42" i="380" s="1"/>
  <c r="F43" i="380" s="1"/>
  <c r="F44" i="380" s="1"/>
  <c r="F45" i="380" s="1"/>
  <c r="F46" i="380" s="1"/>
  <c r="F47" i="380" s="1"/>
  <c r="F48" i="380" s="1"/>
  <c r="F49" i="380" s="1"/>
  <c r="F50" i="380" s="1"/>
  <c r="F16" i="380"/>
  <c r="F17" i="380" l="1"/>
  <c r="F18" i="380" l="1"/>
  <c r="I36" i="377"/>
  <c r="I37" i="377" s="1"/>
  <c r="I38" i="377" s="1"/>
  <c r="I39" i="377" s="1"/>
  <c r="I40" i="377" s="1"/>
  <c r="I41" i="377" s="1"/>
  <c r="I42" i="377" s="1"/>
  <c r="I43" i="377" s="1"/>
  <c r="I44" i="377" s="1"/>
  <c r="I45" i="377" s="1"/>
  <c r="I46" i="377" s="1"/>
  <c r="I47" i="377" s="1"/>
  <c r="I48" i="377" s="1"/>
  <c r="I49" i="377" s="1"/>
  <c r="I50" i="377" s="1"/>
  <c r="I16" i="377"/>
  <c r="I17" i="377" s="1"/>
  <c r="AF36" i="377"/>
  <c r="AF37" i="377"/>
  <c r="AF38" i="377"/>
  <c r="AF39" i="377"/>
  <c r="AF40" i="377"/>
  <c r="AF41" i="377"/>
  <c r="AF42" i="377"/>
  <c r="AF43" i="377"/>
  <c r="AF44" i="377"/>
  <c r="AF45" i="377"/>
  <c r="AF46" i="377"/>
  <c r="AF47" i="377"/>
  <c r="AF48" i="377"/>
  <c r="AF49" i="377"/>
  <c r="I36" i="375"/>
  <c r="I16" i="375"/>
  <c r="AB36" i="375"/>
  <c r="AF36" i="375"/>
  <c r="AB37" i="375"/>
  <c r="AF37" i="375"/>
  <c r="AB38" i="375"/>
  <c r="AF38" i="375"/>
  <c r="AB39" i="375"/>
  <c r="AF39" i="375"/>
  <c r="AB40" i="375"/>
  <c r="AF40" i="375"/>
  <c r="AB41" i="375"/>
  <c r="AF41" i="375"/>
  <c r="AB42" i="375"/>
  <c r="AF42" i="375"/>
  <c r="AB43" i="375"/>
  <c r="AF43" i="375"/>
  <c r="AB44" i="375"/>
  <c r="AF44" i="375"/>
  <c r="AB45" i="375"/>
  <c r="AF45" i="375"/>
  <c r="AB46" i="375"/>
  <c r="AF46" i="375"/>
  <c r="AB47" i="375"/>
  <c r="AF47" i="375"/>
  <c r="AB48" i="375"/>
  <c r="AF48" i="375"/>
  <c r="AB49" i="375"/>
  <c r="AF49" i="375"/>
  <c r="AB50" i="375"/>
  <c r="AF50" i="375"/>
  <c r="I36" i="373"/>
  <c r="I37" i="373" s="1"/>
  <c r="I38" i="373" s="1"/>
  <c r="I39" i="373" s="1"/>
  <c r="I40" i="373" s="1"/>
  <c r="I41" i="373" s="1"/>
  <c r="I42" i="373" s="1"/>
  <c r="I43" i="373" s="1"/>
  <c r="I44" i="373" s="1"/>
  <c r="I45" i="373" s="1"/>
  <c r="I46" i="373" s="1"/>
  <c r="I47" i="373" s="1"/>
  <c r="I48" i="373" s="1"/>
  <c r="I49" i="373" s="1"/>
  <c r="I50" i="373" s="1"/>
  <c r="I16" i="373"/>
  <c r="AE36" i="373"/>
  <c r="AF36" i="373" s="1"/>
  <c r="AE37" i="373"/>
  <c r="AF37" i="373" s="1"/>
  <c r="AE38" i="373"/>
  <c r="AF38" i="373" s="1"/>
  <c r="AE39" i="373"/>
  <c r="AF39" i="373" s="1"/>
  <c r="AE40" i="373"/>
  <c r="AF40" i="373" s="1"/>
  <c r="AE41" i="373"/>
  <c r="AF41" i="373" s="1"/>
  <c r="AE42" i="373"/>
  <c r="AF42" i="373" s="1"/>
  <c r="AE43" i="373"/>
  <c r="AB43" i="373" s="1"/>
  <c r="AE44" i="373"/>
  <c r="AF44" i="373" s="1"/>
  <c r="AE45" i="373"/>
  <c r="AF45" i="373" s="1"/>
  <c r="AE46" i="373"/>
  <c r="AF46" i="373" s="1"/>
  <c r="AE47" i="373"/>
  <c r="AB47" i="373" s="1"/>
  <c r="AE48" i="373"/>
  <c r="AF48" i="373" s="1"/>
  <c r="AE49" i="373"/>
  <c r="AF49" i="373" s="1"/>
  <c r="AE50" i="373"/>
  <c r="AF50" i="373" s="1"/>
  <c r="I36" i="370"/>
  <c r="I37" i="370" s="1"/>
  <c r="I38" i="370" s="1"/>
  <c r="I39" i="370" s="1"/>
  <c r="I40" i="370" s="1"/>
  <c r="I41" i="370" s="1"/>
  <c r="I42" i="370" s="1"/>
  <c r="I43" i="370" s="1"/>
  <c r="I44" i="370" s="1"/>
  <c r="I45" i="370" s="1"/>
  <c r="I46" i="370" s="1"/>
  <c r="I47" i="370" s="1"/>
  <c r="I48" i="370" s="1"/>
  <c r="I49" i="370" s="1"/>
  <c r="I50" i="370" s="1"/>
  <c r="I16" i="370"/>
  <c r="I17" i="370" s="1"/>
  <c r="AE36" i="370"/>
  <c r="AE37" i="370"/>
  <c r="AE38" i="370"/>
  <c r="AB38" i="370" s="1"/>
  <c r="AE39" i="370"/>
  <c r="AE40" i="370"/>
  <c r="AE41" i="370"/>
  <c r="AE42" i="370"/>
  <c r="AB42" i="370" s="1"/>
  <c r="AE43" i="370"/>
  <c r="AE44" i="370"/>
  <c r="AE45" i="370"/>
  <c r="AE46" i="370"/>
  <c r="AB46" i="370" s="1"/>
  <c r="AE47" i="370"/>
  <c r="AF47" i="370" s="1"/>
  <c r="AE48" i="370"/>
  <c r="AF48" i="370" s="1"/>
  <c r="AE49" i="370"/>
  <c r="AF49" i="370" s="1"/>
  <c r="AE50" i="370"/>
  <c r="AB50" i="370" s="1"/>
  <c r="I36" i="365"/>
  <c r="I37" i="365" s="1"/>
  <c r="I38" i="365" s="1"/>
  <c r="I39" i="365" s="1"/>
  <c r="I40" i="365" s="1"/>
  <c r="I41" i="365" s="1"/>
  <c r="I42" i="365" s="1"/>
  <c r="I43" i="365" s="1"/>
  <c r="I44" i="365" s="1"/>
  <c r="I45" i="365" s="1"/>
  <c r="I46" i="365" s="1"/>
  <c r="I47" i="365" s="1"/>
  <c r="I48" i="365" s="1"/>
  <c r="I49" i="365" s="1"/>
  <c r="I50" i="365" s="1"/>
  <c r="I16" i="365"/>
  <c r="I17" i="365" s="1"/>
  <c r="AB50" i="365"/>
  <c r="AE36" i="365"/>
  <c r="AB36" i="365" s="1"/>
  <c r="AF36" i="365"/>
  <c r="AE37" i="365"/>
  <c r="AB37" i="365" s="1"/>
  <c r="AF37" i="365"/>
  <c r="AE38" i="365"/>
  <c r="AB38" i="365" s="1"/>
  <c r="AF38" i="365"/>
  <c r="AE39" i="365"/>
  <c r="AB39" i="365" s="1"/>
  <c r="AF39" i="365"/>
  <c r="AE40" i="365"/>
  <c r="AB40" i="365" s="1"/>
  <c r="AF40" i="365"/>
  <c r="AE41" i="365"/>
  <c r="AB41" i="365" s="1"/>
  <c r="AF41" i="365"/>
  <c r="AE42" i="365"/>
  <c r="AB42" i="365" s="1"/>
  <c r="AF42" i="365"/>
  <c r="AE43" i="365"/>
  <c r="AB43" i="365" s="1"/>
  <c r="AF43" i="365"/>
  <c r="AE44" i="365"/>
  <c r="AB44" i="365" s="1"/>
  <c r="AF44" i="365"/>
  <c r="AE45" i="365"/>
  <c r="AB45" i="365" s="1"/>
  <c r="AF45" i="365"/>
  <c r="AE46" i="365"/>
  <c r="AB46" i="365" s="1"/>
  <c r="AF46" i="365"/>
  <c r="AE47" i="365"/>
  <c r="AB47" i="365" s="1"/>
  <c r="AF47" i="365"/>
  <c r="AE48" i="365"/>
  <c r="AB48" i="365" s="1"/>
  <c r="AF48" i="365"/>
  <c r="AE49" i="365"/>
  <c r="AB49" i="365" s="1"/>
  <c r="AF49" i="365"/>
  <c r="AF50" i="365"/>
  <c r="I36" i="325"/>
  <c r="I37" i="325" s="1"/>
  <c r="I38" i="325" s="1"/>
  <c r="I39" i="325" s="1"/>
  <c r="I40" i="325" s="1"/>
  <c r="I41" i="325" s="1"/>
  <c r="I42" i="325" s="1"/>
  <c r="I43" i="325" s="1"/>
  <c r="I44" i="325" s="1"/>
  <c r="I45" i="325" s="1"/>
  <c r="I46" i="325" s="1"/>
  <c r="I47" i="325" s="1"/>
  <c r="I48" i="325" s="1"/>
  <c r="I49" i="325" s="1"/>
  <c r="I50" i="325" s="1"/>
  <c r="I16" i="325"/>
  <c r="I17" i="325" s="1"/>
  <c r="AF36" i="325"/>
  <c r="AB36" i="325" s="1"/>
  <c r="BL36" i="413" s="1"/>
  <c r="AG36" i="325"/>
  <c r="AF37" i="325"/>
  <c r="AB37" i="325" s="1"/>
  <c r="BL37" i="413" s="1"/>
  <c r="AG37" i="325"/>
  <c r="AF38" i="325"/>
  <c r="AB38" i="325" s="1"/>
  <c r="BL38" i="413" s="1"/>
  <c r="AG38" i="325"/>
  <c r="AF39" i="325"/>
  <c r="AB39" i="325" s="1"/>
  <c r="BL39" i="413" s="1"/>
  <c r="AG39" i="325"/>
  <c r="AF40" i="325"/>
  <c r="AB40" i="325" s="1"/>
  <c r="BL40" i="413" s="1"/>
  <c r="AG40" i="325"/>
  <c r="AF41" i="325"/>
  <c r="AB41" i="325" s="1"/>
  <c r="BL41" i="413" s="1"/>
  <c r="AG41" i="325"/>
  <c r="AF42" i="325"/>
  <c r="AB42" i="325" s="1"/>
  <c r="BL42" i="413" s="1"/>
  <c r="AG42" i="325"/>
  <c r="AF43" i="325"/>
  <c r="AB43" i="325" s="1"/>
  <c r="BL43" i="413" s="1"/>
  <c r="AG43" i="325"/>
  <c r="AF44" i="325"/>
  <c r="AB44" i="325" s="1"/>
  <c r="BL44" i="413" s="1"/>
  <c r="AG44" i="325"/>
  <c r="AF45" i="325"/>
  <c r="AB45" i="325" s="1"/>
  <c r="BL45" i="413" s="1"/>
  <c r="AG45" i="325"/>
  <c r="AF46" i="325"/>
  <c r="AB46" i="325" s="1"/>
  <c r="AG46" i="325"/>
  <c r="AF47" i="325"/>
  <c r="AB47" i="325" s="1"/>
  <c r="AG47" i="325"/>
  <c r="AF48" i="325"/>
  <c r="AB48" i="325" s="1"/>
  <c r="AG48" i="325"/>
  <c r="AF49" i="325"/>
  <c r="AB49" i="325" s="1"/>
  <c r="AG49" i="325"/>
  <c r="AF50" i="325"/>
  <c r="AB50" i="325" s="1"/>
  <c r="AG50" i="325"/>
  <c r="AF36" i="226"/>
  <c r="AB36" i="226" s="1"/>
  <c r="AG36" i="226"/>
  <c r="AF37" i="226"/>
  <c r="AB37" i="226" s="1"/>
  <c r="AG37" i="226"/>
  <c r="AF38" i="226"/>
  <c r="AB38" i="226" s="1"/>
  <c r="AG38" i="226"/>
  <c r="AF39" i="226"/>
  <c r="AB39" i="226" s="1"/>
  <c r="AG39" i="226"/>
  <c r="AF40" i="226"/>
  <c r="AB40" i="226" s="1"/>
  <c r="AG40" i="226"/>
  <c r="AF41" i="226"/>
  <c r="AB41" i="226" s="1"/>
  <c r="AG41" i="226"/>
  <c r="AF42" i="226"/>
  <c r="AB42" i="226" s="1"/>
  <c r="AG42" i="226"/>
  <c r="AF43" i="226"/>
  <c r="AB43" i="226" s="1"/>
  <c r="AG43" i="226"/>
  <c r="AF44" i="226"/>
  <c r="AB44" i="226" s="1"/>
  <c r="AG44" i="226"/>
  <c r="AF45" i="226"/>
  <c r="AB45" i="226" s="1"/>
  <c r="AG45" i="226"/>
  <c r="AF46" i="226"/>
  <c r="AB46" i="226" s="1"/>
  <c r="AG46" i="226"/>
  <c r="AF47" i="226"/>
  <c r="AB47" i="226" s="1"/>
  <c r="AG47" i="226"/>
  <c r="AF48" i="226"/>
  <c r="AB48" i="226" s="1"/>
  <c r="AG48" i="226"/>
  <c r="AF49" i="226"/>
  <c r="AB49" i="226" s="1"/>
  <c r="AG49" i="226"/>
  <c r="AF50" i="226"/>
  <c r="AB50" i="226" s="1"/>
  <c r="AG50" i="226"/>
  <c r="I36" i="226"/>
  <c r="I37" i="226" s="1"/>
  <c r="I38" i="226" s="1"/>
  <c r="I39" i="226" s="1"/>
  <c r="I40" i="226" s="1"/>
  <c r="I41" i="226" s="1"/>
  <c r="I42" i="226" s="1"/>
  <c r="I43" i="226" s="1"/>
  <c r="I44" i="226" s="1"/>
  <c r="I45" i="226" s="1"/>
  <c r="I46" i="226" s="1"/>
  <c r="I47" i="226" s="1"/>
  <c r="I48" i="226" s="1"/>
  <c r="I49" i="226" s="1"/>
  <c r="I50" i="226" s="1"/>
  <c r="I16" i="226"/>
  <c r="I17" i="226" s="1"/>
  <c r="AB40" i="224"/>
  <c r="AB48" i="224"/>
  <c r="I36" i="224"/>
  <c r="I37" i="224" s="1"/>
  <c r="I38" i="224" s="1"/>
  <c r="I39" i="224" s="1"/>
  <c r="I40" i="224" s="1"/>
  <c r="I41" i="224" s="1"/>
  <c r="I42" i="224" s="1"/>
  <c r="I43" i="224" s="1"/>
  <c r="I44" i="224" s="1"/>
  <c r="I45" i="224" s="1"/>
  <c r="I46" i="224" s="1"/>
  <c r="I47" i="224" s="1"/>
  <c r="I48" i="224" s="1"/>
  <c r="I49" i="224" s="1"/>
  <c r="I50" i="224" s="1"/>
  <c r="I16" i="224"/>
  <c r="I17" i="224" s="1"/>
  <c r="AB37" i="224"/>
  <c r="AB38" i="224"/>
  <c r="AB39" i="224"/>
  <c r="AB41" i="224"/>
  <c r="AB42" i="224"/>
  <c r="AB43" i="224"/>
  <c r="AB44" i="224"/>
  <c r="AB45" i="224"/>
  <c r="AB46" i="224"/>
  <c r="AB47" i="224"/>
  <c r="AB49" i="224"/>
  <c r="AB50" i="224"/>
  <c r="I36" i="221"/>
  <c r="I37" i="221" s="1"/>
  <c r="I38" i="221" s="1"/>
  <c r="I39" i="221" s="1"/>
  <c r="I40" i="221" s="1"/>
  <c r="I41" i="221" s="1"/>
  <c r="I42" i="221" s="1"/>
  <c r="I43" i="221" s="1"/>
  <c r="I44" i="221" s="1"/>
  <c r="I45" i="221" s="1"/>
  <c r="I46" i="221" s="1"/>
  <c r="I47" i="221" s="1"/>
  <c r="I48" i="221" s="1"/>
  <c r="I49" i="221" s="1"/>
  <c r="I50" i="221" s="1"/>
  <c r="I16" i="221"/>
  <c r="I17" i="221" s="1"/>
  <c r="I18" i="221" s="1"/>
  <c r="I19" i="221" s="1"/>
  <c r="I20" i="221" s="1"/>
  <c r="I21" i="221" s="1"/>
  <c r="I22" i="221" s="1"/>
  <c r="I23" i="221" s="1"/>
  <c r="I24" i="221" s="1"/>
  <c r="I25" i="221" s="1"/>
  <c r="I26" i="221" s="1"/>
  <c r="I27" i="221" s="1"/>
  <c r="I28" i="221" s="1"/>
  <c r="I29" i="221" s="1"/>
  <c r="I30" i="221" s="1"/>
  <c r="I31" i="221" s="1"/>
  <c r="I32" i="221" s="1"/>
  <c r="I33" i="221" s="1"/>
  <c r="I34" i="221" s="1"/>
  <c r="AE36" i="221"/>
  <c r="AB36" i="221" s="1"/>
  <c r="AE37" i="221"/>
  <c r="AB37" i="221" s="1"/>
  <c r="AE38" i="221"/>
  <c r="AB38" i="221" s="1"/>
  <c r="AE39" i="221"/>
  <c r="AB39" i="221" s="1"/>
  <c r="AE40" i="221"/>
  <c r="AB40" i="221" s="1"/>
  <c r="AE41" i="221"/>
  <c r="AB41" i="221" s="1"/>
  <c r="AE42" i="221"/>
  <c r="AB42" i="221" s="1"/>
  <c r="AE43" i="221"/>
  <c r="AB43" i="221" s="1"/>
  <c r="AE44" i="221"/>
  <c r="AB44" i="221" s="1"/>
  <c r="AE45" i="221"/>
  <c r="AB45" i="221" s="1"/>
  <c r="AE46" i="221"/>
  <c r="AB46" i="221" s="1"/>
  <c r="AE47" i="221"/>
  <c r="AB47" i="221" s="1"/>
  <c r="AE48" i="221"/>
  <c r="AB48" i="221" s="1"/>
  <c r="AE49" i="221"/>
  <c r="AB49" i="221" s="1"/>
  <c r="AE50" i="221"/>
  <c r="AB50" i="221" s="1"/>
  <c r="I36" i="218"/>
  <c r="I37" i="218" s="1"/>
  <c r="I38" i="218" s="1"/>
  <c r="I39" i="218" s="1"/>
  <c r="I40" i="218" s="1"/>
  <c r="I41" i="218" s="1"/>
  <c r="I42" i="218" s="1"/>
  <c r="I43" i="218" s="1"/>
  <c r="I44" i="218" s="1"/>
  <c r="I45" i="218" s="1"/>
  <c r="I46" i="218" s="1"/>
  <c r="I47" i="218" s="1"/>
  <c r="I48" i="218" s="1"/>
  <c r="I49" i="218" s="1"/>
  <c r="I50" i="218" s="1"/>
  <c r="I16" i="218"/>
  <c r="I17" i="218" s="1"/>
  <c r="I18" i="218" s="1"/>
  <c r="AE36" i="218"/>
  <c r="AB36" i="218" s="1"/>
  <c r="AE37" i="218"/>
  <c r="AB37" i="218" s="1"/>
  <c r="AE38" i="218"/>
  <c r="AB38" i="218" s="1"/>
  <c r="AE39" i="218"/>
  <c r="AB39" i="218" s="1"/>
  <c r="AE40" i="218"/>
  <c r="AB40" i="218" s="1"/>
  <c r="AE41" i="218"/>
  <c r="AB41" i="218" s="1"/>
  <c r="AE42" i="218"/>
  <c r="AB42" i="218" s="1"/>
  <c r="AE43" i="218"/>
  <c r="AB43" i="218" s="1"/>
  <c r="AE44" i="218"/>
  <c r="AB44" i="218" s="1"/>
  <c r="AE45" i="218"/>
  <c r="AB45" i="218" s="1"/>
  <c r="AE46" i="218"/>
  <c r="AB46" i="218" s="1"/>
  <c r="AE47" i="218"/>
  <c r="AB47" i="218" s="1"/>
  <c r="AE48" i="218"/>
  <c r="AB48" i="218" s="1"/>
  <c r="AE49" i="218"/>
  <c r="AB49" i="218" s="1"/>
  <c r="AE50" i="218"/>
  <c r="AB50" i="218" s="1"/>
  <c r="I36" i="216"/>
  <c r="I37" i="216" s="1"/>
  <c r="I38" i="216" s="1"/>
  <c r="I39" i="216" s="1"/>
  <c r="I40" i="216" s="1"/>
  <c r="I41" i="216" s="1"/>
  <c r="I42" i="216" s="1"/>
  <c r="I43" i="216" s="1"/>
  <c r="I44" i="216" s="1"/>
  <c r="I45" i="216" s="1"/>
  <c r="I46" i="216" s="1"/>
  <c r="I47" i="216" s="1"/>
  <c r="I48" i="216" s="1"/>
  <c r="I49" i="216" s="1"/>
  <c r="I50" i="216" s="1"/>
  <c r="I16" i="216"/>
  <c r="I17" i="216" s="1"/>
  <c r="I18" i="216" s="1"/>
  <c r="I19" i="216" s="1"/>
  <c r="I20" i="216" s="1"/>
  <c r="I21" i="216" s="1"/>
  <c r="I22" i="216" s="1"/>
  <c r="I23" i="216" s="1"/>
  <c r="I24" i="216" s="1"/>
  <c r="I25" i="216" s="1"/>
  <c r="I26" i="216" s="1"/>
  <c r="I27" i="216" s="1"/>
  <c r="I28" i="216" s="1"/>
  <c r="I29" i="216" s="1"/>
  <c r="I30" i="216" s="1"/>
  <c r="I31" i="216" s="1"/>
  <c r="I32" i="216" s="1"/>
  <c r="I33" i="216" s="1"/>
  <c r="I34" i="216" s="1"/>
  <c r="AB36" i="216"/>
  <c r="AB37" i="216"/>
  <c r="AB38" i="216"/>
  <c r="AB39" i="216"/>
  <c r="AB40" i="216"/>
  <c r="AB41" i="216"/>
  <c r="AB42" i="216"/>
  <c r="AB43" i="216"/>
  <c r="AB44" i="216"/>
  <c r="AB45" i="216"/>
  <c r="AB46" i="216"/>
  <c r="AB47" i="216"/>
  <c r="AB48" i="216"/>
  <c r="AB49" i="216"/>
  <c r="AB50" i="216"/>
  <c r="I36" i="214"/>
  <c r="I37" i="214" s="1"/>
  <c r="I38" i="214" s="1"/>
  <c r="I39" i="214" s="1"/>
  <c r="I40" i="214" s="1"/>
  <c r="I41" i="214" s="1"/>
  <c r="I42" i="214" s="1"/>
  <c r="I43" i="214" s="1"/>
  <c r="I44" i="214" s="1"/>
  <c r="I45" i="214" s="1"/>
  <c r="I46" i="214" s="1"/>
  <c r="I47" i="214" s="1"/>
  <c r="I48" i="214" s="1"/>
  <c r="I49" i="214" s="1"/>
  <c r="I50" i="214" s="1"/>
  <c r="I16" i="214"/>
  <c r="I17" i="214" s="1"/>
  <c r="I18" i="214" s="1"/>
  <c r="I19" i="214" s="1"/>
  <c r="I20" i="214" s="1"/>
  <c r="I21" i="214" s="1"/>
  <c r="I22" i="214" s="1"/>
  <c r="I23" i="214" s="1"/>
  <c r="I24" i="214" s="1"/>
  <c r="I25" i="214" s="1"/>
  <c r="I26" i="214" s="1"/>
  <c r="I27" i="214" s="1"/>
  <c r="I28" i="214" s="1"/>
  <c r="I29" i="214" s="1"/>
  <c r="I30" i="214" s="1"/>
  <c r="I31" i="214" s="1"/>
  <c r="I32" i="214" s="1"/>
  <c r="I33" i="214" s="1"/>
  <c r="I34" i="214" s="1"/>
  <c r="AB36" i="214"/>
  <c r="AB37" i="214"/>
  <c r="AB38" i="214"/>
  <c r="AB39" i="214"/>
  <c r="AB40" i="214"/>
  <c r="AB41" i="214"/>
  <c r="AB42" i="214"/>
  <c r="AB43" i="214"/>
  <c r="AB44" i="214"/>
  <c r="AB45" i="214"/>
  <c r="AB46" i="214"/>
  <c r="AB47" i="214"/>
  <c r="AB48" i="214"/>
  <c r="AB49" i="214"/>
  <c r="AB50" i="214"/>
  <c r="I36" i="209"/>
  <c r="I37" i="209" s="1"/>
  <c r="I38" i="209" s="1"/>
  <c r="I39" i="209" s="1"/>
  <c r="I40" i="209" s="1"/>
  <c r="I41" i="209" s="1"/>
  <c r="I42" i="209" s="1"/>
  <c r="I43" i="209" s="1"/>
  <c r="I44" i="209" s="1"/>
  <c r="I45" i="209" s="1"/>
  <c r="I46" i="209" s="1"/>
  <c r="I47" i="209" s="1"/>
  <c r="I48" i="209" s="1"/>
  <c r="I49" i="209" s="1"/>
  <c r="I50" i="209" s="1"/>
  <c r="I16" i="209"/>
  <c r="I17" i="209" s="1"/>
  <c r="I18" i="209" s="1"/>
  <c r="I19" i="209" s="1"/>
  <c r="I20" i="209" s="1"/>
  <c r="I21" i="209" s="1"/>
  <c r="I22" i="209" s="1"/>
  <c r="I23" i="209" s="1"/>
  <c r="I24" i="209" s="1"/>
  <c r="I25" i="209" s="1"/>
  <c r="I26" i="209" s="1"/>
  <c r="I27" i="209" s="1"/>
  <c r="I28" i="209" s="1"/>
  <c r="I29" i="209" s="1"/>
  <c r="I30" i="209" s="1"/>
  <c r="I31" i="209" s="1"/>
  <c r="I32" i="209" s="1"/>
  <c r="I33" i="209" s="1"/>
  <c r="I34" i="209" s="1"/>
  <c r="AB36" i="209"/>
  <c r="AB37" i="209"/>
  <c r="AB38" i="209"/>
  <c r="AB39" i="209"/>
  <c r="AB40" i="209"/>
  <c r="AB41" i="209"/>
  <c r="AB42" i="209"/>
  <c r="AB43" i="209"/>
  <c r="AB44" i="209"/>
  <c r="AB45" i="209"/>
  <c r="AB46" i="209"/>
  <c r="AB47" i="209"/>
  <c r="AB48" i="209"/>
  <c r="AB49" i="209"/>
  <c r="AB50" i="209"/>
  <c r="I36" i="200"/>
  <c r="I37" i="200" s="1"/>
  <c r="I38" i="200" s="1"/>
  <c r="I39" i="200" s="1"/>
  <c r="I40" i="200" s="1"/>
  <c r="I41" i="200" s="1"/>
  <c r="I42" i="200" s="1"/>
  <c r="I43" i="200" s="1"/>
  <c r="I44" i="200" s="1"/>
  <c r="I45" i="200" s="1"/>
  <c r="I46" i="200" s="1"/>
  <c r="I47" i="200" s="1"/>
  <c r="I48" i="200" s="1"/>
  <c r="I49" i="200" s="1"/>
  <c r="I50" i="200" s="1"/>
  <c r="I16" i="200"/>
  <c r="I17" i="200" s="1"/>
  <c r="I18" i="200" s="1"/>
  <c r="I19" i="200" s="1"/>
  <c r="I20" i="200" s="1"/>
  <c r="I21" i="200" s="1"/>
  <c r="I22" i="200" s="1"/>
  <c r="I23" i="200" s="1"/>
  <c r="I24" i="200" s="1"/>
  <c r="I25" i="200" s="1"/>
  <c r="I26" i="200" s="1"/>
  <c r="I27" i="200" s="1"/>
  <c r="I28" i="200" s="1"/>
  <c r="I29" i="200" s="1"/>
  <c r="I30" i="200" s="1"/>
  <c r="I31" i="200" s="1"/>
  <c r="I32" i="200" s="1"/>
  <c r="I33" i="200" s="1"/>
  <c r="I34" i="200" s="1"/>
  <c r="AB36" i="200"/>
  <c r="AB37" i="200"/>
  <c r="AB38" i="200"/>
  <c r="AB39" i="200"/>
  <c r="AB40" i="200"/>
  <c r="AB41" i="200"/>
  <c r="AB42" i="200"/>
  <c r="AB43" i="200"/>
  <c r="AB44" i="200"/>
  <c r="AB45" i="200"/>
  <c r="AB46" i="200"/>
  <c r="AB47" i="200"/>
  <c r="AB48" i="200"/>
  <c r="AB49" i="200"/>
  <c r="AB50" i="200"/>
  <c r="I36" i="140"/>
  <c r="I37" i="140" s="1"/>
  <c r="I38" i="140" s="1"/>
  <c r="I39" i="140" s="1"/>
  <c r="I40" i="140" s="1"/>
  <c r="I41" i="140" s="1"/>
  <c r="I42" i="140" s="1"/>
  <c r="I43" i="140" s="1"/>
  <c r="I44" i="140" s="1"/>
  <c r="I45" i="140" s="1"/>
  <c r="I46" i="140" s="1"/>
  <c r="I47" i="140" s="1"/>
  <c r="I48" i="140" s="1"/>
  <c r="I49" i="140" s="1"/>
  <c r="I50" i="140" s="1"/>
  <c r="I16" i="140"/>
  <c r="I17" i="140" s="1"/>
  <c r="I18" i="140" s="1"/>
  <c r="I19" i="140" s="1"/>
  <c r="I20" i="140" s="1"/>
  <c r="I21" i="140" s="1"/>
  <c r="I22" i="140" s="1"/>
  <c r="I23" i="140" s="1"/>
  <c r="I24" i="140" s="1"/>
  <c r="I25" i="140" s="1"/>
  <c r="I26" i="140" s="1"/>
  <c r="I27" i="140" s="1"/>
  <c r="I28" i="140" s="1"/>
  <c r="I29" i="140" s="1"/>
  <c r="I30" i="140" s="1"/>
  <c r="I31" i="140" s="1"/>
  <c r="I32" i="140" s="1"/>
  <c r="I33" i="140" s="1"/>
  <c r="I34" i="140" s="1"/>
  <c r="AB50" i="140"/>
  <c r="AB36" i="140"/>
  <c r="AB37" i="140"/>
  <c r="AB38" i="140"/>
  <c r="AB39" i="140"/>
  <c r="AB40" i="140"/>
  <c r="AB41" i="140"/>
  <c r="AB42" i="140"/>
  <c r="AB43" i="140"/>
  <c r="AB44" i="140"/>
  <c r="AB45" i="140"/>
  <c r="AB46" i="140"/>
  <c r="AB47" i="140"/>
  <c r="AB48" i="140"/>
  <c r="AB49" i="140"/>
  <c r="AB36" i="134"/>
  <c r="AW36" i="134" s="1"/>
  <c r="AB37" i="134"/>
  <c r="AW37" i="134" s="1"/>
  <c r="AB38" i="134"/>
  <c r="AW38" i="134" s="1"/>
  <c r="AB39" i="134"/>
  <c r="AW39" i="134" s="1"/>
  <c r="AB40" i="134"/>
  <c r="AW40" i="134" s="1"/>
  <c r="AB41" i="134"/>
  <c r="AW41" i="134" s="1"/>
  <c r="AB42" i="134"/>
  <c r="AW42" i="134" s="1"/>
  <c r="AB43" i="134"/>
  <c r="AW43" i="134" s="1"/>
  <c r="AB44" i="134"/>
  <c r="AW44" i="134" s="1"/>
  <c r="AB45" i="134"/>
  <c r="AW45" i="134" s="1"/>
  <c r="AB46" i="134"/>
  <c r="AW46" i="134" s="1"/>
  <c r="AB47" i="134"/>
  <c r="AW47" i="134" s="1"/>
  <c r="AB48" i="134"/>
  <c r="AW48" i="134" s="1"/>
  <c r="AB49" i="134"/>
  <c r="AW49" i="134" s="1"/>
  <c r="AB50" i="134"/>
  <c r="AW50" i="134" s="1"/>
  <c r="I36" i="134"/>
  <c r="I37" i="134" s="1"/>
  <c r="I38" i="134" s="1"/>
  <c r="I39" i="134" s="1"/>
  <c r="I40" i="134" s="1"/>
  <c r="I41" i="134" s="1"/>
  <c r="I42" i="134" s="1"/>
  <c r="I43" i="134" s="1"/>
  <c r="I44" i="134" s="1"/>
  <c r="I45" i="134" s="1"/>
  <c r="I46" i="134" s="1"/>
  <c r="I47" i="134" s="1"/>
  <c r="I48" i="134" s="1"/>
  <c r="I49" i="134" s="1"/>
  <c r="I50" i="134" s="1"/>
  <c r="I16" i="134"/>
  <c r="I17" i="134" s="1"/>
  <c r="I18" i="134" s="1"/>
  <c r="I19" i="134" s="1"/>
  <c r="I20" i="134" s="1"/>
  <c r="I21" i="134" s="1"/>
  <c r="I22" i="134" s="1"/>
  <c r="I23" i="134" s="1"/>
  <c r="I24" i="134" s="1"/>
  <c r="I25" i="134" s="1"/>
  <c r="I26" i="134" s="1"/>
  <c r="I27" i="134" s="1"/>
  <c r="I28" i="134" s="1"/>
  <c r="I29" i="134" s="1"/>
  <c r="I30" i="134" s="1"/>
  <c r="I31" i="134" s="1"/>
  <c r="I32" i="134" s="1"/>
  <c r="I33" i="134" s="1"/>
  <c r="I34" i="134" s="1"/>
  <c r="AF42" i="370" l="1"/>
  <c r="AB48" i="370"/>
  <c r="AB47" i="370"/>
  <c r="AF38" i="370"/>
  <c r="I17" i="375"/>
  <c r="I37" i="375"/>
  <c r="AF46" i="370"/>
  <c r="AF40" i="370"/>
  <c r="AB40" i="370"/>
  <c r="AF39" i="370"/>
  <c r="AB39" i="370"/>
  <c r="AF45" i="370"/>
  <c r="AB45" i="370"/>
  <c r="AF50" i="370"/>
  <c r="AF44" i="370"/>
  <c r="AB44" i="370"/>
  <c r="AF43" i="370"/>
  <c r="AB43" i="370"/>
  <c r="AF37" i="370"/>
  <c r="AB37" i="370"/>
  <c r="AF36" i="370"/>
  <c r="AB36" i="370"/>
  <c r="AF41" i="370"/>
  <c r="AB41" i="370"/>
  <c r="AB49" i="370"/>
  <c r="AB39" i="373"/>
  <c r="AB50" i="373"/>
  <c r="AB49" i="373"/>
  <c r="AF47" i="373"/>
  <c r="AB41" i="373"/>
  <c r="AB48" i="373"/>
  <c r="AB40" i="373"/>
  <c r="AB46" i="373"/>
  <c r="AB38" i="373"/>
  <c r="AB42" i="373"/>
  <c r="AB45" i="373"/>
  <c r="AB37" i="373"/>
  <c r="AF43" i="373"/>
  <c r="AB44" i="373"/>
  <c r="AB36" i="373"/>
  <c r="F19" i="380"/>
  <c r="I18" i="377"/>
  <c r="I19" i="377" s="1"/>
  <c r="I20" i="377" s="1"/>
  <c r="I21" i="377" s="1"/>
  <c r="I22" i="377" s="1"/>
  <c r="I23" i="377" s="1"/>
  <c r="I24" i="377" s="1"/>
  <c r="I25" i="377" s="1"/>
  <c r="I26" i="377" s="1"/>
  <c r="I27" i="377" s="1"/>
  <c r="I28" i="377" s="1"/>
  <c r="I29" i="377" s="1"/>
  <c r="I30" i="377" s="1"/>
  <c r="I31" i="377" s="1"/>
  <c r="I32" i="377" s="1"/>
  <c r="I33" i="377" s="1"/>
  <c r="I34" i="377" s="1"/>
  <c r="I17" i="373"/>
  <c r="I18" i="373" s="1"/>
  <c r="I19" i="373" s="1"/>
  <c r="I20" i="373" s="1"/>
  <c r="I21" i="373" s="1"/>
  <c r="I22" i="373" s="1"/>
  <c r="I23" i="373" s="1"/>
  <c r="I24" i="373" s="1"/>
  <c r="I25" i="373" s="1"/>
  <c r="I26" i="373" s="1"/>
  <c r="I27" i="373" s="1"/>
  <c r="I28" i="373" s="1"/>
  <c r="I29" i="373" s="1"/>
  <c r="I30" i="373" s="1"/>
  <c r="I31" i="373" s="1"/>
  <c r="I32" i="373" s="1"/>
  <c r="I33" i="373" s="1"/>
  <c r="I34" i="373" s="1"/>
  <c r="I18" i="370"/>
  <c r="I19" i="370" s="1"/>
  <c r="I20" i="370" s="1"/>
  <c r="I21" i="370" s="1"/>
  <c r="I22" i="370" s="1"/>
  <c r="I23" i="370" s="1"/>
  <c r="I24" i="370" s="1"/>
  <c r="I25" i="370" s="1"/>
  <c r="I26" i="370" s="1"/>
  <c r="I27" i="370" s="1"/>
  <c r="I28" i="370" s="1"/>
  <c r="I29" i="370" s="1"/>
  <c r="I30" i="370" s="1"/>
  <c r="I31" i="370" s="1"/>
  <c r="I32" i="370" s="1"/>
  <c r="I33" i="370" s="1"/>
  <c r="I34" i="370" s="1"/>
  <c r="I18" i="365"/>
  <c r="I19" i="365" s="1"/>
  <c r="I20" i="365" s="1"/>
  <c r="I21" i="365" s="1"/>
  <c r="I22" i="365" s="1"/>
  <c r="I23" i="365" s="1"/>
  <c r="I24" i="365" s="1"/>
  <c r="I25" i="365" s="1"/>
  <c r="I26" i="365" s="1"/>
  <c r="I27" i="365" s="1"/>
  <c r="I28" i="365" s="1"/>
  <c r="I29" i="365" s="1"/>
  <c r="I30" i="365" s="1"/>
  <c r="I31" i="365" s="1"/>
  <c r="I32" i="365" s="1"/>
  <c r="I33" i="365" s="1"/>
  <c r="I34" i="365" s="1"/>
  <c r="I18" i="325"/>
  <c r="I19" i="325" s="1"/>
  <c r="I20" i="325" s="1"/>
  <c r="I21" i="325" s="1"/>
  <c r="I22" i="325" s="1"/>
  <c r="I23" i="325" s="1"/>
  <c r="I24" i="325" s="1"/>
  <c r="I25" i="325" s="1"/>
  <c r="I26" i="325" s="1"/>
  <c r="I27" i="325" s="1"/>
  <c r="I28" i="325" s="1"/>
  <c r="I29" i="325" s="1"/>
  <c r="I30" i="325" s="1"/>
  <c r="I31" i="325" s="1"/>
  <c r="I32" i="325" s="1"/>
  <c r="I33" i="325" s="1"/>
  <c r="I34" i="325" s="1"/>
  <c r="I18" i="226"/>
  <c r="I19" i="226" s="1"/>
  <c r="I20" i="226" s="1"/>
  <c r="I21" i="226" s="1"/>
  <c r="I22" i="226" s="1"/>
  <c r="I23" i="226" s="1"/>
  <c r="I24" i="226" s="1"/>
  <c r="I25" i="226" s="1"/>
  <c r="I26" i="226" s="1"/>
  <c r="I27" i="226" s="1"/>
  <c r="I28" i="226" s="1"/>
  <c r="I29" i="226" s="1"/>
  <c r="I30" i="226" s="1"/>
  <c r="I31" i="226" s="1"/>
  <c r="I32" i="226" s="1"/>
  <c r="I33" i="226" s="1"/>
  <c r="I34" i="226" s="1"/>
  <c r="I18" i="224"/>
  <c r="I19" i="224" s="1"/>
  <c r="I20" i="224" s="1"/>
  <c r="I21" i="224" s="1"/>
  <c r="I22" i="224" s="1"/>
  <c r="I23" i="224" s="1"/>
  <c r="I24" i="224" s="1"/>
  <c r="I25" i="224" s="1"/>
  <c r="I26" i="224" s="1"/>
  <c r="I27" i="224" s="1"/>
  <c r="I28" i="224" s="1"/>
  <c r="I29" i="224" s="1"/>
  <c r="I30" i="224" s="1"/>
  <c r="I31" i="224" s="1"/>
  <c r="I32" i="224" s="1"/>
  <c r="I33" i="224" s="1"/>
  <c r="I34" i="224" s="1"/>
  <c r="I19" i="218"/>
  <c r="I20" i="218" s="1"/>
  <c r="I21" i="218" s="1"/>
  <c r="I22" i="218" s="1"/>
  <c r="I23" i="218" s="1"/>
  <c r="I24" i="218" s="1"/>
  <c r="I25" i="218" s="1"/>
  <c r="I26" i="218" s="1"/>
  <c r="I27" i="218" s="1"/>
  <c r="I28" i="218" s="1"/>
  <c r="I29" i="218" s="1"/>
  <c r="I30" i="218" s="1"/>
  <c r="I31" i="218" s="1"/>
  <c r="I32" i="218" s="1"/>
  <c r="I33" i="218" s="1"/>
  <c r="I34" i="218" s="1"/>
  <c r="I36" i="130"/>
  <c r="I37" i="130" s="1"/>
  <c r="I38" i="130" s="1"/>
  <c r="I39" i="130" s="1"/>
  <c r="I40" i="130" s="1"/>
  <c r="I41" i="130" s="1"/>
  <c r="I42" i="130" s="1"/>
  <c r="I43" i="130" s="1"/>
  <c r="I44" i="130" s="1"/>
  <c r="I45" i="130" s="1"/>
  <c r="I46" i="130" s="1"/>
  <c r="I47" i="130" s="1"/>
  <c r="I48" i="130" s="1"/>
  <c r="I49" i="130" s="1"/>
  <c r="I50" i="130" s="1"/>
  <c r="I16" i="130"/>
  <c r="I17" i="130" s="1"/>
  <c r="I18" i="130" s="1"/>
  <c r="I19" i="130" s="1"/>
  <c r="I20" i="130" s="1"/>
  <c r="I21" i="130" s="1"/>
  <c r="I22" i="130" s="1"/>
  <c r="I23" i="130" s="1"/>
  <c r="I24" i="130" s="1"/>
  <c r="I25" i="130" s="1"/>
  <c r="I26" i="130" s="1"/>
  <c r="I27" i="130" s="1"/>
  <c r="I28" i="130" s="1"/>
  <c r="I29" i="130" s="1"/>
  <c r="I30" i="130" s="1"/>
  <c r="I31" i="130" s="1"/>
  <c r="I32" i="130" s="1"/>
  <c r="I33" i="130" s="1"/>
  <c r="I34" i="130" s="1"/>
  <c r="AE36" i="130"/>
  <c r="AB36" i="130" s="1"/>
  <c r="AE37" i="130"/>
  <c r="AB37" i="130" s="1"/>
  <c r="AE38" i="130"/>
  <c r="AB38" i="130" s="1"/>
  <c r="AE39" i="130"/>
  <c r="AB39" i="130" s="1"/>
  <c r="AE40" i="130"/>
  <c r="AB40" i="130" s="1"/>
  <c r="AE41" i="130"/>
  <c r="AB41" i="130" s="1"/>
  <c r="AE42" i="130"/>
  <c r="AB42" i="130" s="1"/>
  <c r="AE43" i="130"/>
  <c r="AB43" i="130" s="1"/>
  <c r="AE44" i="130"/>
  <c r="AB44" i="130" s="1"/>
  <c r="AE45" i="130"/>
  <c r="AB45" i="130" s="1"/>
  <c r="AE46" i="130"/>
  <c r="AB46" i="130" s="1"/>
  <c r="AE47" i="130"/>
  <c r="AB47" i="130" s="1"/>
  <c r="AE48" i="130"/>
  <c r="AB48" i="130" s="1"/>
  <c r="AE49" i="130"/>
  <c r="AB49" i="130" s="1"/>
  <c r="AE50" i="130"/>
  <c r="AB50" i="130" s="1"/>
  <c r="AB43" i="126"/>
  <c r="AB44" i="126"/>
  <c r="AB46" i="126"/>
  <c r="AB36" i="126"/>
  <c r="AB37" i="126"/>
  <c r="AB38" i="126"/>
  <c r="AB39" i="126"/>
  <c r="AB40" i="126"/>
  <c r="AB41" i="126"/>
  <c r="AB42" i="126"/>
  <c r="AB45" i="126"/>
  <c r="AB47" i="126"/>
  <c r="AB48" i="126"/>
  <c r="AB49" i="126"/>
  <c r="AB50" i="126"/>
  <c r="I36" i="126"/>
  <c r="I37" i="126" s="1"/>
  <c r="I38" i="126" s="1"/>
  <c r="I39" i="126" s="1"/>
  <c r="I40" i="126" s="1"/>
  <c r="I41" i="126" s="1"/>
  <c r="I42" i="126" s="1"/>
  <c r="I43" i="126" s="1"/>
  <c r="I44" i="126" s="1"/>
  <c r="I45" i="126" s="1"/>
  <c r="I46" i="126" s="1"/>
  <c r="I47" i="126" s="1"/>
  <c r="I48" i="126" s="1"/>
  <c r="I49" i="126" s="1"/>
  <c r="I50" i="126" s="1"/>
  <c r="I16" i="126"/>
  <c r="I38" i="375" l="1"/>
  <c r="I18" i="375"/>
  <c r="I17" i="126"/>
  <c r="F20" i="380"/>
  <c r="F21" i="380" s="1"/>
  <c r="F22" i="380" s="1"/>
  <c r="F23" i="380" s="1"/>
  <c r="F24" i="380" s="1"/>
  <c r="F25" i="380" s="1"/>
  <c r="F26" i="380" s="1"/>
  <c r="F27" i="380" s="1"/>
  <c r="F28" i="380" s="1"/>
  <c r="F29" i="380" s="1"/>
  <c r="F30" i="380" s="1"/>
  <c r="F31" i="380" s="1"/>
  <c r="F32" i="380" s="1"/>
  <c r="F33" i="380" s="1"/>
  <c r="F34" i="380" s="1"/>
  <c r="P47" i="347"/>
  <c r="AH87" i="347"/>
  <c r="U87" i="347" s="1"/>
  <c r="AI83" i="347"/>
  <c r="AI84" i="347"/>
  <c r="AI85" i="347"/>
  <c r="AI86" i="347"/>
  <c r="AI87" i="347"/>
  <c r="AI88" i="347"/>
  <c r="AI89" i="347"/>
  <c r="AI90" i="347"/>
  <c r="AI91" i="347"/>
  <c r="AI92" i="347"/>
  <c r="AI93" i="347"/>
  <c r="AI94" i="347"/>
  <c r="AI95" i="347"/>
  <c r="AI96" i="347"/>
  <c r="AI97" i="347"/>
  <c r="AI98" i="347"/>
  <c r="AI99" i="347"/>
  <c r="AI100" i="347"/>
  <c r="AI101" i="347"/>
  <c r="AI102" i="347"/>
  <c r="AI103" i="347"/>
  <c r="AI104" i="347"/>
  <c r="AI106" i="347"/>
  <c r="AI107" i="347"/>
  <c r="AI108" i="347"/>
  <c r="AI109" i="347"/>
  <c r="AI110" i="347"/>
  <c r="AI111" i="347"/>
  <c r="AI112" i="347"/>
  <c r="AI113" i="347"/>
  <c r="AI114" i="347"/>
  <c r="AI115" i="347"/>
  <c r="AI116" i="347"/>
  <c r="AI117" i="347"/>
  <c r="AI118" i="347"/>
  <c r="AI119" i="347"/>
  <c r="AI120" i="347"/>
  <c r="AI121" i="347"/>
  <c r="AI122" i="347"/>
  <c r="AI123" i="347"/>
  <c r="AI124" i="347"/>
  <c r="AI125" i="347"/>
  <c r="AI126" i="347"/>
  <c r="AI127" i="347"/>
  <c r="AI128" i="347"/>
  <c r="AH83" i="347"/>
  <c r="AH84" i="347"/>
  <c r="U84" i="347" s="1"/>
  <c r="AH85" i="347"/>
  <c r="E85" i="347" s="1"/>
  <c r="AH86" i="347"/>
  <c r="U86" i="347" s="1"/>
  <c r="AH88" i="347"/>
  <c r="U88" i="347" s="1"/>
  <c r="AH89" i="347"/>
  <c r="U89" i="347" s="1"/>
  <c r="AH90" i="347"/>
  <c r="AH91" i="347"/>
  <c r="AH92" i="347"/>
  <c r="U92" i="347" s="1"/>
  <c r="AH93" i="347"/>
  <c r="U93" i="347" s="1"/>
  <c r="AH94" i="347"/>
  <c r="U94" i="347" s="1"/>
  <c r="AH95" i="347"/>
  <c r="U95" i="347" s="1"/>
  <c r="AH96" i="347"/>
  <c r="U96" i="347" s="1"/>
  <c r="AH97" i="347"/>
  <c r="AH98" i="347"/>
  <c r="U98" i="347" s="1"/>
  <c r="AH99" i="347"/>
  <c r="U99" i="347" s="1"/>
  <c r="AH100" i="347"/>
  <c r="U100" i="347" s="1"/>
  <c r="AH101" i="347"/>
  <c r="U101" i="347" s="1"/>
  <c r="AH102" i="347"/>
  <c r="U102" i="347" s="1"/>
  <c r="AH103" i="347"/>
  <c r="U103" i="347" s="1"/>
  <c r="AH104" i="347"/>
  <c r="U104" i="347" s="1"/>
  <c r="U105" i="347"/>
  <c r="AH106" i="347"/>
  <c r="U106" i="347" s="1"/>
  <c r="AH107" i="347"/>
  <c r="U107" i="347" s="1"/>
  <c r="AH108" i="347"/>
  <c r="U108" i="347" s="1"/>
  <c r="AH109" i="347"/>
  <c r="U109" i="347" s="1"/>
  <c r="AH110" i="347"/>
  <c r="U110" i="347" s="1"/>
  <c r="AH111" i="347"/>
  <c r="U111" i="347" s="1"/>
  <c r="AH112" i="347"/>
  <c r="U112" i="347" s="1"/>
  <c r="AH113" i="347"/>
  <c r="U113" i="347" s="1"/>
  <c r="AH114" i="347"/>
  <c r="AH115" i="347"/>
  <c r="AH116" i="347"/>
  <c r="AH117" i="347"/>
  <c r="AH118" i="347"/>
  <c r="AH119" i="347"/>
  <c r="AH120" i="347"/>
  <c r="AH121" i="347"/>
  <c r="AH122" i="347"/>
  <c r="AH123" i="347"/>
  <c r="AH124" i="347"/>
  <c r="AH125" i="347"/>
  <c r="AH126" i="347"/>
  <c r="AH127" i="347"/>
  <c r="AH128" i="347"/>
  <c r="L114" i="347"/>
  <c r="L115" i="347" s="1"/>
  <c r="L116" i="347" s="1"/>
  <c r="L117" i="347" s="1"/>
  <c r="L118" i="347" s="1"/>
  <c r="L119" i="347" s="1"/>
  <c r="L120" i="347" s="1"/>
  <c r="L121" i="347" s="1"/>
  <c r="L94" i="347"/>
  <c r="O46" i="20"/>
  <c r="O47" i="20" s="1"/>
  <c r="O48" i="20" s="1"/>
  <c r="O49" i="20" s="1"/>
  <c r="O50" i="20" s="1"/>
  <c r="O51" i="20" s="1"/>
  <c r="O52" i="20" s="1"/>
  <c r="O53" i="20" s="1"/>
  <c r="O54" i="20" s="1"/>
  <c r="O55" i="20" s="1"/>
  <c r="O56" i="20" s="1"/>
  <c r="O57" i="20" s="1"/>
  <c r="O58" i="20" s="1"/>
  <c r="O59" i="20" s="1"/>
  <c r="O60" i="20" s="1"/>
  <c r="AN47" i="20"/>
  <c r="AN48" i="20"/>
  <c r="AN49" i="20"/>
  <c r="AN50" i="20"/>
  <c r="AN51" i="20"/>
  <c r="AN52" i="20"/>
  <c r="AN53" i="20"/>
  <c r="AN54" i="20"/>
  <c r="AN55" i="20"/>
  <c r="AN56" i="20"/>
  <c r="AN57" i="20"/>
  <c r="AN58" i="20"/>
  <c r="AN59" i="20"/>
  <c r="AO60" i="20" s="1"/>
  <c r="H60" i="20" s="1"/>
  <c r="AN46" i="20"/>
  <c r="AM20" i="20"/>
  <c r="AI20" i="20" s="1"/>
  <c r="F45" i="205"/>
  <c r="N45" i="205" s="1"/>
  <c r="F46" i="205"/>
  <c r="N46" i="205" s="1"/>
  <c r="F47" i="205"/>
  <c r="N47" i="205" s="1"/>
  <c r="F48" i="205"/>
  <c r="N48" i="205" s="1"/>
  <c r="F49" i="205"/>
  <c r="N49" i="205" s="1"/>
  <c r="F50" i="205"/>
  <c r="N50" i="205" s="1"/>
  <c r="F51" i="205"/>
  <c r="N51" i="205" s="1"/>
  <c r="F52" i="205"/>
  <c r="N52" i="205" s="1"/>
  <c r="F53" i="205"/>
  <c r="N53" i="205" s="1"/>
  <c r="F54" i="205"/>
  <c r="N54" i="205" s="1"/>
  <c r="F55" i="205"/>
  <c r="N55" i="205" s="1"/>
  <c r="F56" i="205"/>
  <c r="N56" i="205" s="1"/>
  <c r="F57" i="205"/>
  <c r="N57" i="205" s="1"/>
  <c r="F58" i="205"/>
  <c r="N58" i="205" s="1"/>
  <c r="F59" i="205"/>
  <c r="N59" i="205" s="1"/>
  <c r="U45" i="205"/>
  <c r="U46" i="205" s="1"/>
  <c r="U47" i="205" s="1"/>
  <c r="U48" i="205" s="1"/>
  <c r="U49" i="205" s="1"/>
  <c r="U50" i="205" s="1"/>
  <c r="U51" i="205" s="1"/>
  <c r="U52" i="205" s="1"/>
  <c r="U53" i="205" s="1"/>
  <c r="U54" i="205" s="1"/>
  <c r="U55" i="205" s="1"/>
  <c r="U56" i="205" s="1"/>
  <c r="U57" i="205" s="1"/>
  <c r="U58" i="205" s="1"/>
  <c r="U59" i="205" s="1"/>
  <c r="U25" i="205"/>
  <c r="F20" i="205"/>
  <c r="N20" i="205" s="1"/>
  <c r="J92" i="117"/>
  <c r="J93" i="117" s="1"/>
  <c r="J94" i="117" s="1"/>
  <c r="J95" i="117" s="1"/>
  <c r="J96" i="117" s="1"/>
  <c r="J97" i="117" s="1"/>
  <c r="J98" i="117" s="1"/>
  <c r="J99" i="117" s="1"/>
  <c r="J100" i="117" s="1"/>
  <c r="J101" i="117" s="1"/>
  <c r="J102" i="117" s="1"/>
  <c r="J103" i="117" s="1"/>
  <c r="J104" i="117" s="1"/>
  <c r="J105" i="117" s="1"/>
  <c r="J106" i="117" s="1"/>
  <c r="G92" i="117"/>
  <c r="C92" i="117" s="1"/>
  <c r="G93" i="117"/>
  <c r="C93" i="117" s="1"/>
  <c r="G94" i="117"/>
  <c r="C94" i="117" s="1"/>
  <c r="G95" i="117"/>
  <c r="C95" i="117" s="1"/>
  <c r="G96" i="117"/>
  <c r="C96" i="117" s="1"/>
  <c r="G97" i="117"/>
  <c r="C97" i="117" s="1"/>
  <c r="G98" i="117"/>
  <c r="C98" i="117" s="1"/>
  <c r="G99" i="117"/>
  <c r="C99" i="117" s="1"/>
  <c r="G100" i="117"/>
  <c r="C100" i="117" s="1"/>
  <c r="G101" i="117"/>
  <c r="C101" i="117" s="1"/>
  <c r="G102" i="117"/>
  <c r="C102" i="117" s="1"/>
  <c r="G103" i="117"/>
  <c r="C103" i="117" s="1"/>
  <c r="G104" i="117"/>
  <c r="C104" i="117" s="1"/>
  <c r="G105" i="117"/>
  <c r="C105" i="117" s="1"/>
  <c r="G106" i="117"/>
  <c r="C106" i="117" s="1"/>
  <c r="J72" i="117"/>
  <c r="G74" i="117"/>
  <c r="C74" i="117" s="1"/>
  <c r="K36" i="413"/>
  <c r="K16" i="413"/>
  <c r="AI13" i="413"/>
  <c r="AI6" i="413"/>
  <c r="AI7" i="413"/>
  <c r="AI8" i="413"/>
  <c r="AI9" i="413"/>
  <c r="AI10" i="413"/>
  <c r="AI11" i="413"/>
  <c r="AI12" i="413"/>
  <c r="AI5" i="413"/>
  <c r="I19" i="375" l="1"/>
  <c r="I39" i="375"/>
  <c r="I18" i="126"/>
  <c r="L122" i="347"/>
  <c r="L123" i="347" s="1"/>
  <c r="L124" i="347" s="1"/>
  <c r="L125" i="347" s="1"/>
  <c r="L126" i="347" s="1"/>
  <c r="L127" i="347" s="1"/>
  <c r="L128" i="347" s="1"/>
  <c r="AO51" i="20"/>
  <c r="H51" i="20" s="1"/>
  <c r="AO59" i="20"/>
  <c r="H59" i="20" s="1"/>
  <c r="AO47" i="20"/>
  <c r="H47" i="20" s="1"/>
  <c r="AO54" i="20"/>
  <c r="H54" i="20" s="1"/>
  <c r="E122" i="347"/>
  <c r="U122" i="347"/>
  <c r="E114" i="347"/>
  <c r="U114" i="347"/>
  <c r="E90" i="347"/>
  <c r="U90" i="347"/>
  <c r="E123" i="347"/>
  <c r="U123" i="347"/>
  <c r="E97" i="347"/>
  <c r="U97" i="347"/>
  <c r="E128" i="347"/>
  <c r="U128" i="347"/>
  <c r="E120" i="347"/>
  <c r="U120" i="347"/>
  <c r="E127" i="347"/>
  <c r="U127" i="347"/>
  <c r="E119" i="347"/>
  <c r="U119" i="347"/>
  <c r="E115" i="347"/>
  <c r="U115" i="347"/>
  <c r="E121" i="347"/>
  <c r="U121" i="347"/>
  <c r="E126" i="347"/>
  <c r="U126" i="347"/>
  <c r="E118" i="347"/>
  <c r="U118" i="347"/>
  <c r="U85" i="347"/>
  <c r="E125" i="347"/>
  <c r="U125" i="347"/>
  <c r="E117" i="347"/>
  <c r="U117" i="347"/>
  <c r="E91" i="347"/>
  <c r="U91" i="347"/>
  <c r="E124" i="347"/>
  <c r="U124" i="347"/>
  <c r="E116" i="347"/>
  <c r="U116" i="347"/>
  <c r="E83" i="347"/>
  <c r="U83" i="347"/>
  <c r="U26" i="205"/>
  <c r="U27" i="205" s="1"/>
  <c r="U28" i="205" s="1"/>
  <c r="U29" i="205" s="1"/>
  <c r="U30" i="205" s="1"/>
  <c r="U31" i="205" s="1"/>
  <c r="U32" i="205" s="1"/>
  <c r="U33" i="205" s="1"/>
  <c r="U34" i="205" s="1"/>
  <c r="U35" i="205" s="1"/>
  <c r="U36" i="205" s="1"/>
  <c r="U37" i="205" s="1"/>
  <c r="U38" i="205" s="1"/>
  <c r="U39" i="205" s="1"/>
  <c r="U40" i="205" s="1"/>
  <c r="U41" i="205" s="1"/>
  <c r="U42" i="205" s="1"/>
  <c r="U43" i="205" s="1"/>
  <c r="D47" i="413"/>
  <c r="AD47" i="413"/>
  <c r="D46" i="413"/>
  <c r="AD46" i="413"/>
  <c r="D50" i="413"/>
  <c r="AD50" i="413"/>
  <c r="D49" i="413"/>
  <c r="AD49" i="413"/>
  <c r="D48" i="413"/>
  <c r="AD48" i="413"/>
  <c r="AO48" i="20"/>
  <c r="H48" i="20" s="1"/>
  <c r="E46" i="380"/>
  <c r="D46" i="380" s="1"/>
  <c r="E47" i="380"/>
  <c r="D47" i="380" s="1"/>
  <c r="E38" i="380"/>
  <c r="D38" i="380" s="1"/>
  <c r="E37" i="380"/>
  <c r="D37" i="380" s="1"/>
  <c r="E42" i="380"/>
  <c r="D42" i="380" s="1"/>
  <c r="E44" i="380"/>
  <c r="D44" i="380" s="1"/>
  <c r="E40" i="380"/>
  <c r="D40" i="380" s="1"/>
  <c r="E45" i="380"/>
  <c r="D45" i="380" s="1"/>
  <c r="E36" i="380"/>
  <c r="D36" i="380" s="1"/>
  <c r="E43" i="380"/>
  <c r="D43" i="380" s="1"/>
  <c r="E50" i="380"/>
  <c r="D50" i="380" s="1"/>
  <c r="E49" i="380"/>
  <c r="D49" i="380" s="1"/>
  <c r="E41" i="380"/>
  <c r="D41" i="380" s="1"/>
  <c r="E48" i="380"/>
  <c r="D48" i="380" s="1"/>
  <c r="E39" i="380"/>
  <c r="D39" i="380" s="1"/>
  <c r="C50" i="413"/>
  <c r="C49" i="413"/>
  <c r="B5" i="96"/>
  <c r="V5" i="489" s="1"/>
  <c r="C47" i="413"/>
  <c r="C48" i="413"/>
  <c r="C46" i="413"/>
  <c r="K17" i="413"/>
  <c r="K18" i="413" s="1"/>
  <c r="K19" i="413" s="1"/>
  <c r="K20" i="413" s="1"/>
  <c r="K21" i="413" s="1"/>
  <c r="K22" i="413" s="1"/>
  <c r="K23" i="413" s="1"/>
  <c r="K24" i="413" s="1"/>
  <c r="K25" i="413" s="1"/>
  <c r="K26" i="413" s="1"/>
  <c r="K27" i="413" s="1"/>
  <c r="K28" i="413" s="1"/>
  <c r="K29" i="413" s="1"/>
  <c r="K30" i="413" s="1"/>
  <c r="K31" i="413" s="1"/>
  <c r="K32" i="413" s="1"/>
  <c r="K33" i="413" s="1"/>
  <c r="K34" i="413" s="1"/>
  <c r="L95" i="347"/>
  <c r="AO57" i="20"/>
  <c r="H57" i="20" s="1"/>
  <c r="AO49" i="20"/>
  <c r="H49" i="20" s="1"/>
  <c r="AO53" i="20"/>
  <c r="H53" i="20" s="1"/>
  <c r="AO58" i="20"/>
  <c r="H58" i="20" s="1"/>
  <c r="AO50" i="20"/>
  <c r="H50" i="20" s="1"/>
  <c r="AO56" i="20"/>
  <c r="H56" i="20" s="1"/>
  <c r="AO55" i="20"/>
  <c r="H55" i="20" s="1"/>
  <c r="AO52" i="20"/>
  <c r="H52" i="20" s="1"/>
  <c r="J73" i="117"/>
  <c r="AD14" i="413"/>
  <c r="BK14" i="413" s="1"/>
  <c r="AD15" i="413"/>
  <c r="BK15" i="413" s="1"/>
  <c r="AD21" i="413"/>
  <c r="BK21" i="413" s="1"/>
  <c r="AD22" i="413"/>
  <c r="BK22" i="413" s="1"/>
  <c r="AD23" i="413"/>
  <c r="BK23" i="413" s="1"/>
  <c r="K37" i="413"/>
  <c r="AX45" i="413"/>
  <c r="AX25" i="413"/>
  <c r="BG12" i="413"/>
  <c r="BF12" i="413"/>
  <c r="BG11" i="413"/>
  <c r="BF11" i="413"/>
  <c r="BG10" i="413"/>
  <c r="BF10" i="413"/>
  <c r="BG9" i="413"/>
  <c r="BF9" i="413"/>
  <c r="BG8" i="413"/>
  <c r="BF8" i="413"/>
  <c r="BG7" i="413"/>
  <c r="BF7" i="413"/>
  <c r="BG6" i="413"/>
  <c r="BF6" i="413"/>
  <c r="BG5" i="413"/>
  <c r="BF5" i="413"/>
  <c r="BF4" i="413"/>
  <c r="BF3" i="413"/>
  <c r="D6" i="413"/>
  <c r="AD9" i="413"/>
  <c r="BK9" i="413" s="1"/>
  <c r="AD8" i="413"/>
  <c r="BK8" i="413" s="1"/>
  <c r="I40" i="375" l="1"/>
  <c r="I20" i="375"/>
  <c r="I19" i="126"/>
  <c r="AX26" i="413"/>
  <c r="AX27" i="413" s="1"/>
  <c r="AD7" i="413"/>
  <c r="BK7" i="413" s="1"/>
  <c r="D40" i="413"/>
  <c r="AD40" i="413"/>
  <c r="BK40" i="413" s="1"/>
  <c r="D32" i="413"/>
  <c r="AD32" i="413"/>
  <c r="BK32" i="413" s="1"/>
  <c r="D24" i="413"/>
  <c r="AD24" i="413"/>
  <c r="BK24" i="413" s="1"/>
  <c r="D16" i="413"/>
  <c r="AD16" i="413"/>
  <c r="BK16" i="413" s="1"/>
  <c r="D12" i="413"/>
  <c r="AD12" i="413"/>
  <c r="BK12" i="413" s="1"/>
  <c r="D38" i="413"/>
  <c r="AD38" i="413"/>
  <c r="BK38" i="413" s="1"/>
  <c r="D30" i="413"/>
  <c r="AD30" i="413"/>
  <c r="BK30" i="413" s="1"/>
  <c r="D45" i="413"/>
  <c r="AD45" i="413"/>
  <c r="BK45" i="413" s="1"/>
  <c r="D37" i="413"/>
  <c r="AD37" i="413"/>
  <c r="BK37" i="413" s="1"/>
  <c r="D29" i="413"/>
  <c r="AD29" i="413"/>
  <c r="BK29" i="413" s="1"/>
  <c r="D13" i="413"/>
  <c r="AD13" i="413"/>
  <c r="BK13" i="413" s="1"/>
  <c r="D31" i="413"/>
  <c r="AD31" i="413"/>
  <c r="BK31" i="413" s="1"/>
  <c r="D44" i="413"/>
  <c r="AD44" i="413"/>
  <c r="BK44" i="413" s="1"/>
  <c r="D36" i="413"/>
  <c r="AD36" i="413"/>
  <c r="BK36" i="413" s="1"/>
  <c r="D28" i="413"/>
  <c r="AD28" i="413"/>
  <c r="BK28" i="413" s="1"/>
  <c r="D20" i="413"/>
  <c r="AD20" i="413"/>
  <c r="BK20" i="413" s="1"/>
  <c r="D43" i="413"/>
  <c r="AD43" i="413"/>
  <c r="BK43" i="413" s="1"/>
  <c r="D35" i="413"/>
  <c r="AD35" i="413"/>
  <c r="BK35" i="413" s="1"/>
  <c r="D27" i="413"/>
  <c r="AD27" i="413"/>
  <c r="BK27" i="413" s="1"/>
  <c r="D19" i="413"/>
  <c r="AD19" i="413"/>
  <c r="BK19" i="413" s="1"/>
  <c r="D42" i="413"/>
  <c r="AD42" i="413"/>
  <c r="BK42" i="413" s="1"/>
  <c r="D34" i="413"/>
  <c r="AD34" i="413"/>
  <c r="BK34" i="413" s="1"/>
  <c r="D26" i="413"/>
  <c r="AD26" i="413"/>
  <c r="BK26" i="413" s="1"/>
  <c r="D18" i="413"/>
  <c r="AD18" i="413"/>
  <c r="BK18" i="413" s="1"/>
  <c r="D39" i="413"/>
  <c r="AD39" i="413"/>
  <c r="BK39" i="413" s="1"/>
  <c r="D41" i="413"/>
  <c r="AD41" i="413"/>
  <c r="BK41" i="413" s="1"/>
  <c r="D33" i="413"/>
  <c r="AD33" i="413"/>
  <c r="BK33" i="413" s="1"/>
  <c r="D25" i="413"/>
  <c r="AD25" i="413"/>
  <c r="BK25" i="413" s="1"/>
  <c r="D17" i="413"/>
  <c r="AD17" i="413"/>
  <c r="BK17" i="413" s="1"/>
  <c r="D11" i="413"/>
  <c r="AD11" i="413"/>
  <c r="BK11" i="413" s="1"/>
  <c r="D10" i="413"/>
  <c r="AD10" i="413"/>
  <c r="BK10" i="413" s="1"/>
  <c r="C21" i="413"/>
  <c r="B21" i="96" s="1"/>
  <c r="V21" i="489" s="1"/>
  <c r="D21" i="413"/>
  <c r="C9" i="413"/>
  <c r="B9" i="96" s="1"/>
  <c r="V9" i="489" s="1"/>
  <c r="D9" i="413"/>
  <c r="C13" i="413"/>
  <c r="B13" i="96" s="1"/>
  <c r="V13" i="489" s="1"/>
  <c r="C8" i="413"/>
  <c r="B8" i="96" s="1"/>
  <c r="V8" i="489" s="1"/>
  <c r="D8" i="413"/>
  <c r="C23" i="413"/>
  <c r="B23" i="96" s="1"/>
  <c r="V23" i="489" s="1"/>
  <c r="D23" i="413"/>
  <c r="C15" i="413"/>
  <c r="B15" i="96" s="1"/>
  <c r="V15" i="489" s="1"/>
  <c r="D15" i="413"/>
  <c r="C22" i="413"/>
  <c r="B22" i="96" s="1"/>
  <c r="V22" i="489" s="1"/>
  <c r="D22" i="413"/>
  <c r="C14" i="413"/>
  <c r="B14" i="96" s="1"/>
  <c r="V14" i="489" s="1"/>
  <c r="D14" i="413"/>
  <c r="C50" i="380"/>
  <c r="C49" i="380"/>
  <c r="C40" i="380"/>
  <c r="C39" i="380"/>
  <c r="C48" i="380"/>
  <c r="C42" i="380"/>
  <c r="C43" i="380"/>
  <c r="C47" i="380"/>
  <c r="C44" i="380"/>
  <c r="C45" i="380"/>
  <c r="C41" i="380"/>
  <c r="C46" i="380"/>
  <c r="C44" i="413"/>
  <c r="C43" i="413"/>
  <c r="C35" i="413"/>
  <c r="B35" i="96" s="1"/>
  <c r="V35" i="489" s="1"/>
  <c r="C42" i="413"/>
  <c r="C34" i="413"/>
  <c r="B34" i="96" s="1"/>
  <c r="V34" i="489" s="1"/>
  <c r="C41" i="413"/>
  <c r="C36" i="413"/>
  <c r="C40" i="413"/>
  <c r="C38" i="413"/>
  <c r="C30" i="413"/>
  <c r="B30" i="96" s="1"/>
  <c r="V30" i="489" s="1"/>
  <c r="C39" i="413"/>
  <c r="C31" i="413"/>
  <c r="B31" i="96" s="1"/>
  <c r="V31" i="489" s="1"/>
  <c r="C45" i="413"/>
  <c r="C37" i="413"/>
  <c r="C29" i="413"/>
  <c r="B29" i="96" s="1"/>
  <c r="V29" i="489" s="1"/>
  <c r="C10" i="413"/>
  <c r="B10" i="96" s="1"/>
  <c r="V10" i="489" s="1"/>
  <c r="BC18" i="96"/>
  <c r="C18" i="413"/>
  <c r="B18" i="96" s="1"/>
  <c r="V18" i="489" s="1"/>
  <c r="C6" i="413"/>
  <c r="B6" i="96" s="1"/>
  <c r="V6" i="489" s="1"/>
  <c r="BC28" i="96"/>
  <c r="C28" i="413"/>
  <c r="B28" i="96" s="1"/>
  <c r="V28" i="489" s="1"/>
  <c r="BC20" i="96"/>
  <c r="C20" i="413"/>
  <c r="B20" i="96" s="1"/>
  <c r="V20" i="489" s="1"/>
  <c r="BC27" i="96"/>
  <c r="C27" i="413"/>
  <c r="B27" i="96" s="1"/>
  <c r="V27" i="489" s="1"/>
  <c r="BC19" i="96"/>
  <c r="C19" i="413"/>
  <c r="B19" i="96" s="1"/>
  <c r="V19" i="489" s="1"/>
  <c r="BC11" i="96"/>
  <c r="C11" i="413"/>
  <c r="B11" i="96" s="1"/>
  <c r="V11" i="489" s="1"/>
  <c r="BC33" i="96"/>
  <c r="C33" i="413"/>
  <c r="B33" i="96" s="1"/>
  <c r="V33" i="489" s="1"/>
  <c r="BC25" i="96"/>
  <c r="C25" i="413"/>
  <c r="B25" i="96" s="1"/>
  <c r="V25" i="489" s="1"/>
  <c r="BC17" i="96"/>
  <c r="C17" i="413"/>
  <c r="B17" i="96" s="1"/>
  <c r="V17" i="489" s="1"/>
  <c r="BC7" i="96"/>
  <c r="B7" i="96"/>
  <c r="V7" i="489" s="1"/>
  <c r="BC26" i="96"/>
  <c r="C26" i="413"/>
  <c r="B26" i="96" s="1"/>
  <c r="V26" i="489" s="1"/>
  <c r="BC12" i="96"/>
  <c r="C12" i="413"/>
  <c r="B12" i="96" s="1"/>
  <c r="V12" i="489" s="1"/>
  <c r="BC32" i="96"/>
  <c r="C32" i="413"/>
  <c r="B32" i="96" s="1"/>
  <c r="V32" i="489" s="1"/>
  <c r="BC24" i="96"/>
  <c r="C24" i="413"/>
  <c r="B24" i="96" s="1"/>
  <c r="V24" i="489" s="1"/>
  <c r="BC16" i="96"/>
  <c r="C16" i="413"/>
  <c r="B16" i="96" s="1"/>
  <c r="BC34" i="96"/>
  <c r="L96" i="347"/>
  <c r="J74" i="117"/>
  <c r="I74" i="117" s="1"/>
  <c r="K38" i="413"/>
  <c r="K39" i="413" s="1"/>
  <c r="K40" i="413" s="1"/>
  <c r="K41" i="413" s="1"/>
  <c r="K42" i="413" s="1"/>
  <c r="K43" i="413" s="1"/>
  <c r="K44" i="413" s="1"/>
  <c r="K45" i="413" s="1"/>
  <c r="K46" i="413" s="1"/>
  <c r="K47" i="413" s="1"/>
  <c r="K48" i="413" s="1"/>
  <c r="K49" i="413" s="1"/>
  <c r="K50" i="413" s="1"/>
  <c r="BC35" i="96"/>
  <c r="AX28" i="413"/>
  <c r="BC8" i="96"/>
  <c r="BC10" i="96"/>
  <c r="BC14" i="96"/>
  <c r="BC9" i="96"/>
  <c r="BC31" i="96"/>
  <c r="BC23" i="96"/>
  <c r="BC15" i="96"/>
  <c r="BC30" i="96"/>
  <c r="BC5" i="96"/>
  <c r="BC29" i="96"/>
  <c r="BC21" i="96"/>
  <c r="BC13" i="96"/>
  <c r="BC22" i="96"/>
  <c r="BC6" i="96"/>
  <c r="D81" i="96" l="1"/>
  <c r="V16" i="489"/>
  <c r="I21" i="375"/>
  <c r="I41" i="375"/>
  <c r="I20" i="126"/>
  <c r="D74" i="117"/>
  <c r="L97" i="347"/>
  <c r="J75" i="117"/>
  <c r="AX29" i="413"/>
  <c r="I22" i="375" l="1"/>
  <c r="I42" i="375"/>
  <c r="I21" i="126"/>
  <c r="L98" i="347"/>
  <c r="J76" i="117"/>
  <c r="AX30" i="413"/>
  <c r="I43" i="375" l="1"/>
  <c r="I23" i="375"/>
  <c r="I22" i="126"/>
  <c r="L99" i="347"/>
  <c r="J77" i="117"/>
  <c r="AX31" i="413"/>
  <c r="I24" i="375" l="1"/>
  <c r="I44" i="375"/>
  <c r="I23" i="126"/>
  <c r="L100" i="347"/>
  <c r="J78" i="117"/>
  <c r="AX32" i="413"/>
  <c r="AQ14" i="205"/>
  <c r="F44" i="205"/>
  <c r="I11" i="96"/>
  <c r="M11" i="489" s="1"/>
  <c r="I5" i="96"/>
  <c r="M5" i="489" s="1"/>
  <c r="BF25" i="205"/>
  <c r="BE25" i="205"/>
  <c r="BE24" i="205"/>
  <c r="F16" i="205"/>
  <c r="F19" i="205"/>
  <c r="F21" i="205"/>
  <c r="N21" i="205" s="1"/>
  <c r="F23" i="205"/>
  <c r="F24" i="205"/>
  <c r="N24" i="205" s="1"/>
  <c r="F25" i="205"/>
  <c r="N25" i="205" s="1"/>
  <c r="F26" i="205"/>
  <c r="F27" i="205"/>
  <c r="N27" i="205" s="1"/>
  <c r="F28" i="205"/>
  <c r="N28" i="205" s="1"/>
  <c r="F29" i="205"/>
  <c r="N29" i="205" s="1"/>
  <c r="F30" i="205"/>
  <c r="F31" i="205"/>
  <c r="F32" i="205"/>
  <c r="F33" i="205"/>
  <c r="F35" i="205"/>
  <c r="N35" i="205" s="1"/>
  <c r="F36" i="205"/>
  <c r="N36" i="205" s="1"/>
  <c r="F37" i="205"/>
  <c r="N37" i="205" s="1"/>
  <c r="F38" i="205"/>
  <c r="N38" i="205" s="1"/>
  <c r="F39" i="205"/>
  <c r="F40" i="205"/>
  <c r="N40" i="205" s="1"/>
  <c r="F41" i="205"/>
  <c r="F42" i="205"/>
  <c r="N42" i="205" s="1"/>
  <c r="F43" i="205"/>
  <c r="AN15" i="205"/>
  <c r="I25" i="375" l="1"/>
  <c r="I45" i="375"/>
  <c r="I24" i="126"/>
  <c r="F22" i="205"/>
  <c r="N22" i="205" s="1"/>
  <c r="N16" i="205"/>
  <c r="F34" i="205"/>
  <c r="I25" i="96" s="1"/>
  <c r="M25" i="489" s="1"/>
  <c r="N26" i="205"/>
  <c r="N32" i="205"/>
  <c r="L101" i="347"/>
  <c r="I35" i="96"/>
  <c r="M35" i="489" s="1"/>
  <c r="N44" i="205"/>
  <c r="N39" i="205"/>
  <c r="N19" i="205"/>
  <c r="I21" i="96"/>
  <c r="M21" i="489" s="1"/>
  <c r="N30" i="205"/>
  <c r="I34" i="96"/>
  <c r="M34" i="489" s="1"/>
  <c r="N43" i="205"/>
  <c r="N23" i="205"/>
  <c r="N31" i="205"/>
  <c r="I32" i="96"/>
  <c r="M32" i="489" s="1"/>
  <c r="N41" i="205"/>
  <c r="I24" i="96"/>
  <c r="M24" i="489" s="1"/>
  <c r="N33" i="205"/>
  <c r="I16" i="96"/>
  <c r="M16" i="489" s="1"/>
  <c r="F15" i="205"/>
  <c r="E15" i="205" s="1"/>
  <c r="I29" i="96"/>
  <c r="M29" i="489" s="1"/>
  <c r="I13" i="96"/>
  <c r="M13" i="489" s="1"/>
  <c r="I10" i="96"/>
  <c r="I20" i="96"/>
  <c r="M20" i="489" s="1"/>
  <c r="I27" i="96"/>
  <c r="M27" i="489" s="1"/>
  <c r="I19" i="96"/>
  <c r="M19" i="489" s="1"/>
  <c r="I26" i="96"/>
  <c r="M26" i="489" s="1"/>
  <c r="I18" i="96"/>
  <c r="M18" i="489" s="1"/>
  <c r="I28" i="96"/>
  <c r="M28" i="489" s="1"/>
  <c r="I12" i="96"/>
  <c r="M12" i="489" s="1"/>
  <c r="I33" i="96"/>
  <c r="M33" i="489" s="1"/>
  <c r="I17" i="96"/>
  <c r="M17" i="489" s="1"/>
  <c r="I31" i="96"/>
  <c r="M31" i="489" s="1"/>
  <c r="I23" i="96"/>
  <c r="M23" i="489" s="1"/>
  <c r="I15" i="96"/>
  <c r="M15" i="489" s="1"/>
  <c r="I30" i="96"/>
  <c r="M30" i="489" s="1"/>
  <c r="I22" i="96"/>
  <c r="M22" i="489" s="1"/>
  <c r="I14" i="96"/>
  <c r="M14" i="489" s="1"/>
  <c r="J79" i="117"/>
  <c r="AX33" i="413"/>
  <c r="E88" i="347"/>
  <c r="BQ21" i="205"/>
  <c r="BQ20" i="205"/>
  <c r="BL5" i="205"/>
  <c r="BL6" i="205"/>
  <c r="BM6" i="205" s="1"/>
  <c r="BL7" i="205"/>
  <c r="BM7" i="205" s="1"/>
  <c r="BL8" i="205"/>
  <c r="BM8" i="205" s="1"/>
  <c r="BL9" i="205"/>
  <c r="BM9" i="205" s="1"/>
  <c r="BL10" i="205"/>
  <c r="BM10" i="205" s="1"/>
  <c r="BL11" i="205"/>
  <c r="BM11" i="205" s="1"/>
  <c r="BL12" i="205"/>
  <c r="BL13" i="205"/>
  <c r="BM13" i="205" s="1"/>
  <c r="BL14" i="205"/>
  <c r="BM14" i="205" s="1"/>
  <c r="BM15" i="205" s="1"/>
  <c r="BL15" i="205"/>
  <c r="BL16" i="205"/>
  <c r="BL17" i="205"/>
  <c r="BL18" i="205"/>
  <c r="BL19" i="205"/>
  <c r="BL20" i="205"/>
  <c r="BL21" i="205"/>
  <c r="BL22" i="205"/>
  <c r="BL23" i="205"/>
  <c r="BL4" i="205"/>
  <c r="BM4" i="205" s="1"/>
  <c r="M10" i="489" l="1"/>
  <c r="D85" i="96"/>
  <c r="I26" i="375"/>
  <c r="I46" i="375"/>
  <c r="I25" i="126"/>
  <c r="BP20" i="205"/>
  <c r="N34" i="205"/>
  <c r="BP18" i="205"/>
  <c r="BP21" i="205"/>
  <c r="BP19" i="205"/>
  <c r="BM12" i="205"/>
  <c r="BQ19" i="205" s="1"/>
  <c r="BP17" i="205"/>
  <c r="BM5" i="205"/>
  <c r="BQ17" i="205" s="1"/>
  <c r="BQ18" i="205"/>
  <c r="L102" i="347"/>
  <c r="N15" i="205"/>
  <c r="P15" i="205" s="1"/>
  <c r="I6" i="96"/>
  <c r="J80" i="117"/>
  <c r="AX34" i="413"/>
  <c r="J8" i="96" l="1"/>
  <c r="N8" i="489" s="1"/>
  <c r="M6" i="489"/>
  <c r="I27" i="375"/>
  <c r="I47" i="375"/>
  <c r="I26" i="126"/>
  <c r="Q15" i="205"/>
  <c r="L103" i="347"/>
  <c r="J81" i="117"/>
  <c r="J82" i="117" s="1"/>
  <c r="AX35" i="413"/>
  <c r="I28" i="375" l="1"/>
  <c r="I48" i="375"/>
  <c r="I27" i="126"/>
  <c r="L104" i="347"/>
  <c r="J83" i="117"/>
  <c r="AX36" i="413"/>
  <c r="S10" i="96"/>
  <c r="G10" i="489" s="1"/>
  <c r="AS11" i="347"/>
  <c r="AB74" i="347" s="1"/>
  <c r="AB72" i="347"/>
  <c r="AC72" i="347"/>
  <c r="AD72" i="347"/>
  <c r="AB73" i="347"/>
  <c r="AC73" i="347"/>
  <c r="AD73" i="347"/>
  <c r="AC74" i="347"/>
  <c r="AD74" i="347"/>
  <c r="AB75" i="347"/>
  <c r="AC75" i="347"/>
  <c r="AD75" i="347"/>
  <c r="AB76" i="347"/>
  <c r="AC76" i="347"/>
  <c r="AD76" i="347"/>
  <c r="AF76" i="347" s="1"/>
  <c r="AA76" i="347"/>
  <c r="AA75" i="347"/>
  <c r="AA74" i="347"/>
  <c r="AE74" i="347" s="1"/>
  <c r="AA73" i="347"/>
  <c r="AA72" i="347"/>
  <c r="S12" i="96"/>
  <c r="G12" i="489" s="1"/>
  <c r="S5" i="96"/>
  <c r="G5" i="489" s="1"/>
  <c r="AR83" i="347"/>
  <c r="AR84" i="347"/>
  <c r="AR85" i="347"/>
  <c r="AR87" i="347"/>
  <c r="AR82" i="347"/>
  <c r="B88" i="347"/>
  <c r="L11" i="33"/>
  <c r="E123" i="33" s="1"/>
  <c r="L12" i="33"/>
  <c r="E124" i="33" s="1"/>
  <c r="L13" i="33"/>
  <c r="E125" i="33" s="1"/>
  <c r="L14" i="33"/>
  <c r="E126" i="33" s="1"/>
  <c r="L15" i="33"/>
  <c r="E127" i="33" s="1"/>
  <c r="L16" i="33"/>
  <c r="E128" i="33" s="1"/>
  <c r="L17" i="33"/>
  <c r="E129" i="33" s="1"/>
  <c r="L18" i="33"/>
  <c r="E130" i="33" s="1"/>
  <c r="L19" i="33"/>
  <c r="E131" i="33" s="1"/>
  <c r="L20" i="33"/>
  <c r="E132" i="33" s="1"/>
  <c r="L21" i="33"/>
  <c r="E133" i="33" s="1"/>
  <c r="L22" i="33"/>
  <c r="E134" i="33" s="1"/>
  <c r="L23" i="33"/>
  <c r="E135" i="33" s="1"/>
  <c r="L24" i="33"/>
  <c r="E136" i="33" s="1"/>
  <c r="L25" i="33"/>
  <c r="E137" i="33" s="1"/>
  <c r="J30" i="33"/>
  <c r="J31" i="33"/>
  <c r="J32" i="33"/>
  <c r="J33" i="33"/>
  <c r="J34" i="33"/>
  <c r="J35" i="33"/>
  <c r="J36" i="33"/>
  <c r="J29" i="33"/>
  <c r="I36" i="33"/>
  <c r="I37" i="33"/>
  <c r="L37" i="33" s="1"/>
  <c r="E92" i="33" s="1"/>
  <c r="T127" i="33" s="1"/>
  <c r="I38" i="33"/>
  <c r="L38" i="33" s="1"/>
  <c r="E93" i="33" s="1"/>
  <c r="T128" i="33" s="1"/>
  <c r="I39" i="33"/>
  <c r="L39" i="33" s="1"/>
  <c r="E94" i="33" s="1"/>
  <c r="T129" i="33" s="1"/>
  <c r="I40" i="33"/>
  <c r="L40" i="33" s="1"/>
  <c r="E95" i="33" s="1"/>
  <c r="T130" i="33" s="1"/>
  <c r="I41" i="33"/>
  <c r="L41" i="33" s="1"/>
  <c r="E96" i="33" s="1"/>
  <c r="T131" i="33" s="1"/>
  <c r="I42" i="33"/>
  <c r="L42" i="33" s="1"/>
  <c r="E97" i="33" s="1"/>
  <c r="T132" i="33" s="1"/>
  <c r="I43" i="33"/>
  <c r="L43" i="33" s="1"/>
  <c r="E98" i="33" s="1"/>
  <c r="T133" i="33" s="1"/>
  <c r="I44" i="33"/>
  <c r="L44" i="33" s="1"/>
  <c r="E99" i="33" s="1"/>
  <c r="T134" i="33" s="1"/>
  <c r="I45" i="33"/>
  <c r="L45" i="33" s="1"/>
  <c r="E100" i="33" s="1"/>
  <c r="T135" i="33" s="1"/>
  <c r="I46" i="33"/>
  <c r="L46" i="33" s="1"/>
  <c r="E101" i="33" s="1"/>
  <c r="T136" i="33" s="1"/>
  <c r="I47" i="33"/>
  <c r="L47" i="33" s="1"/>
  <c r="E102" i="33" s="1"/>
  <c r="T137" i="33" s="1"/>
  <c r="I48" i="33"/>
  <c r="L48" i="33" s="1"/>
  <c r="E103" i="33" s="1"/>
  <c r="T138" i="33" s="1"/>
  <c r="I49" i="33"/>
  <c r="L49" i="33" s="1"/>
  <c r="E104" i="33" s="1"/>
  <c r="T139" i="33" s="1"/>
  <c r="I50" i="33"/>
  <c r="L50" i="33" s="1"/>
  <c r="E105" i="33" s="1"/>
  <c r="T140" i="33" s="1"/>
  <c r="I5" i="33"/>
  <c r="I30" i="33" s="1"/>
  <c r="L30" i="33" s="1"/>
  <c r="I6" i="33"/>
  <c r="L6" i="33" s="1"/>
  <c r="I7" i="33"/>
  <c r="L7" i="33" s="1"/>
  <c r="E119" i="33" s="1"/>
  <c r="I8" i="33"/>
  <c r="I33" i="33" s="1"/>
  <c r="I9" i="33"/>
  <c r="L9" i="33" s="1"/>
  <c r="E121" i="33" s="1"/>
  <c r="I10" i="33"/>
  <c r="L10" i="33" s="1"/>
  <c r="E122" i="33" s="1"/>
  <c r="I4" i="33"/>
  <c r="L4" i="33" s="1"/>
  <c r="I49" i="375" l="1"/>
  <c r="I29" i="375"/>
  <c r="I28" i="126"/>
  <c r="AE72" i="347"/>
  <c r="AF73" i="347"/>
  <c r="AE73" i="347"/>
  <c r="L33" i="33"/>
  <c r="E88" i="33" s="1"/>
  <c r="T123" i="33" s="1"/>
  <c r="AF75" i="347"/>
  <c r="AR89" i="347" s="1"/>
  <c r="AF72" i="347"/>
  <c r="AR86" i="347" s="1"/>
  <c r="AE75" i="347"/>
  <c r="AF74" i="347"/>
  <c r="AR88" i="347" s="1"/>
  <c r="AE76" i="347"/>
  <c r="I34" i="33"/>
  <c r="L34" i="33" s="1"/>
  <c r="E89" i="33" s="1"/>
  <c r="T124" i="33" s="1"/>
  <c r="I29" i="33"/>
  <c r="L29" i="33" s="1"/>
  <c r="L36" i="33"/>
  <c r="E91" i="33" s="1"/>
  <c r="T126" i="33" s="1"/>
  <c r="I32" i="33"/>
  <c r="L32" i="33" s="1"/>
  <c r="E87" i="33" s="1"/>
  <c r="T122" i="33" s="1"/>
  <c r="I31" i="33"/>
  <c r="L31" i="33" s="1"/>
  <c r="L105" i="347"/>
  <c r="J84" i="117"/>
  <c r="AX37" i="413"/>
  <c r="L8" i="33"/>
  <c r="E120" i="33" s="1"/>
  <c r="I35" i="33"/>
  <c r="L35" i="33" s="1"/>
  <c r="E90" i="33" s="1"/>
  <c r="T125" i="33" s="1"/>
  <c r="L5" i="33"/>
  <c r="D7" i="347"/>
  <c r="D85" i="347" s="1"/>
  <c r="P5" i="347"/>
  <c r="P6" i="347"/>
  <c r="P7" i="347"/>
  <c r="P8" i="347"/>
  <c r="P9" i="347"/>
  <c r="P10" i="347"/>
  <c r="P11" i="347"/>
  <c r="P12" i="347"/>
  <c r="P4" i="347"/>
  <c r="R5" i="347"/>
  <c r="D5" i="347" s="1"/>
  <c r="R6" i="347"/>
  <c r="D6" i="347" s="1"/>
  <c r="D84" i="347" s="1"/>
  <c r="R7" i="347"/>
  <c r="R8" i="347"/>
  <c r="D8" i="347" s="1"/>
  <c r="D86" i="347" s="1"/>
  <c r="R9" i="347"/>
  <c r="D9" i="347" s="1"/>
  <c r="D87" i="347" s="1"/>
  <c r="R10" i="347"/>
  <c r="D10" i="347" s="1"/>
  <c r="D88" i="347" s="1"/>
  <c r="R11" i="347"/>
  <c r="R12" i="347"/>
  <c r="D12" i="347" s="1"/>
  <c r="D90" i="347" s="1"/>
  <c r="R13" i="347"/>
  <c r="D13" i="347" s="1"/>
  <c r="R14" i="347"/>
  <c r="D14" i="347" s="1"/>
  <c r="R15" i="347"/>
  <c r="D15" i="347" s="1"/>
  <c r="R16" i="347"/>
  <c r="D16" i="347" s="1"/>
  <c r="R17" i="347"/>
  <c r="R18" i="347"/>
  <c r="D18" i="347" s="1"/>
  <c r="R19" i="347"/>
  <c r="D19" i="347" s="1"/>
  <c r="R20" i="347"/>
  <c r="D20" i="347" s="1"/>
  <c r="R21" i="347"/>
  <c r="D21" i="347" s="1"/>
  <c r="R22" i="347"/>
  <c r="D22" i="347" s="1"/>
  <c r="R23" i="347"/>
  <c r="D23" i="347" s="1"/>
  <c r="R24" i="347"/>
  <c r="D24" i="347" s="1"/>
  <c r="R25" i="347"/>
  <c r="R26" i="347"/>
  <c r="D26" i="347" s="1"/>
  <c r="R27" i="347"/>
  <c r="D27" i="347" s="1"/>
  <c r="R28" i="347"/>
  <c r="D28" i="347" s="1"/>
  <c r="R29" i="347"/>
  <c r="D29" i="347" s="1"/>
  <c r="R30" i="347"/>
  <c r="D30" i="347" s="1"/>
  <c r="R31" i="347"/>
  <c r="D31" i="347" s="1"/>
  <c r="R32" i="347"/>
  <c r="D32" i="347" s="1"/>
  <c r="R33" i="347"/>
  <c r="R34" i="347"/>
  <c r="D34" i="347" s="1"/>
  <c r="R35" i="347"/>
  <c r="D35" i="347" s="1"/>
  <c r="R4" i="347"/>
  <c r="D4" i="347" s="1"/>
  <c r="Q4" i="347"/>
  <c r="C4" i="347" s="1"/>
  <c r="I17" i="301"/>
  <c r="V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82" i="59"/>
  <c r="E83" i="59"/>
  <c r="T121" i="59" s="1"/>
  <c r="E82" i="59"/>
  <c r="T120" i="59" s="1"/>
  <c r="U85" i="63"/>
  <c r="V85" i="63"/>
  <c r="M85" i="63" s="1"/>
  <c r="Z123" i="63" s="1"/>
  <c r="V86" i="63"/>
  <c r="V87" i="63"/>
  <c r="V88" i="63"/>
  <c r="V89" i="63"/>
  <c r="V90" i="63"/>
  <c r="V91" i="63"/>
  <c r="V92" i="63"/>
  <c r="V93" i="63"/>
  <c r="V94" i="63"/>
  <c r="V95" i="63"/>
  <c r="V96" i="63"/>
  <c r="V97" i="63"/>
  <c r="V98" i="63"/>
  <c r="V99" i="63"/>
  <c r="V100" i="63"/>
  <c r="V101" i="63"/>
  <c r="V102" i="63"/>
  <c r="V103" i="63"/>
  <c r="V104" i="63"/>
  <c r="V105" i="63"/>
  <c r="V106" i="63"/>
  <c r="V107" i="63"/>
  <c r="V108" i="63"/>
  <c r="V109" i="63"/>
  <c r="V110" i="63"/>
  <c r="V111" i="63"/>
  <c r="V112" i="63"/>
  <c r="V84" i="63"/>
  <c r="V85" i="62"/>
  <c r="W87" i="62"/>
  <c r="W88" i="62"/>
  <c r="W89" i="62"/>
  <c r="W90" i="62"/>
  <c r="W91" i="62"/>
  <c r="W92" i="62"/>
  <c r="W93" i="62"/>
  <c r="W94" i="62"/>
  <c r="W95" i="62"/>
  <c r="W96" i="62"/>
  <c r="W97" i="62"/>
  <c r="W98" i="62"/>
  <c r="W99" i="62"/>
  <c r="W100" i="62"/>
  <c r="W101" i="62"/>
  <c r="W102" i="62"/>
  <c r="W103" i="62"/>
  <c r="W104" i="62"/>
  <c r="W105" i="62"/>
  <c r="W106" i="62"/>
  <c r="W107" i="62"/>
  <c r="W108" i="62"/>
  <c r="W109" i="62"/>
  <c r="W110" i="62"/>
  <c r="W111" i="62"/>
  <c r="W112" i="62"/>
  <c r="X85" i="66"/>
  <c r="Y87" i="66"/>
  <c r="E102" i="66"/>
  <c r="T140" i="66" s="1"/>
  <c r="E101" i="66"/>
  <c r="T139" i="66" s="1"/>
  <c r="E100" i="66"/>
  <c r="T138" i="66" s="1"/>
  <c r="E99" i="66"/>
  <c r="T137" i="66" s="1"/>
  <c r="E98" i="66"/>
  <c r="T136" i="66" s="1"/>
  <c r="E97" i="66"/>
  <c r="T135" i="66" s="1"/>
  <c r="E96" i="66"/>
  <c r="T134" i="66" s="1"/>
  <c r="E95" i="66"/>
  <c r="T133" i="66" s="1"/>
  <c r="E94" i="66"/>
  <c r="T132" i="66" s="1"/>
  <c r="E93" i="66"/>
  <c r="T131" i="66" s="1"/>
  <c r="E92" i="66"/>
  <c r="T130" i="66" s="1"/>
  <c r="E91" i="66"/>
  <c r="T129" i="66" s="1"/>
  <c r="E90" i="66"/>
  <c r="T128" i="66" s="1"/>
  <c r="E89" i="66"/>
  <c r="T127" i="66" s="1"/>
  <c r="E88" i="66"/>
  <c r="T126" i="66" s="1"/>
  <c r="E87" i="66"/>
  <c r="T125" i="66" s="1"/>
  <c r="E86" i="66"/>
  <c r="T124" i="66" s="1"/>
  <c r="E85" i="66"/>
  <c r="T123" i="66" s="1"/>
  <c r="E84" i="66"/>
  <c r="T122" i="66" s="1"/>
  <c r="W85" i="61"/>
  <c r="W86" i="61"/>
  <c r="W87" i="61"/>
  <c r="W88" i="61"/>
  <c r="W89" i="61"/>
  <c r="W90" i="61"/>
  <c r="W91" i="61"/>
  <c r="W92" i="61"/>
  <c r="W93" i="61"/>
  <c r="W94" i="61"/>
  <c r="W95" i="61"/>
  <c r="W96" i="61"/>
  <c r="W97" i="61"/>
  <c r="W98" i="61"/>
  <c r="W99" i="61"/>
  <c r="W100" i="61"/>
  <c r="W101" i="61"/>
  <c r="W102" i="61"/>
  <c r="W103" i="61"/>
  <c r="W104" i="61"/>
  <c r="W105" i="61"/>
  <c r="W106" i="61"/>
  <c r="W107" i="61"/>
  <c r="W108" i="61"/>
  <c r="W109" i="61"/>
  <c r="W110" i="61"/>
  <c r="W111" i="61"/>
  <c r="W112" i="61"/>
  <c r="W84" i="61"/>
  <c r="X86" i="35"/>
  <c r="X87" i="35"/>
  <c r="X88" i="35"/>
  <c r="X89" i="35"/>
  <c r="X90" i="35"/>
  <c r="X91" i="35"/>
  <c r="X92" i="35"/>
  <c r="X93" i="35"/>
  <c r="X94" i="35"/>
  <c r="X95" i="35"/>
  <c r="X96" i="35"/>
  <c r="X97" i="35"/>
  <c r="X98" i="35"/>
  <c r="X99" i="35"/>
  <c r="X100" i="35"/>
  <c r="X101" i="35"/>
  <c r="X102" i="35"/>
  <c r="X103" i="35"/>
  <c r="X104" i="35"/>
  <c r="X105" i="35"/>
  <c r="X106" i="35"/>
  <c r="X107" i="35"/>
  <c r="X108" i="35"/>
  <c r="X109" i="35"/>
  <c r="X110" i="35"/>
  <c r="X111" i="35"/>
  <c r="X112" i="35"/>
  <c r="X113" i="35"/>
  <c r="X85" i="35"/>
  <c r="W86" i="60"/>
  <c r="W87" i="60"/>
  <c r="W88" i="60"/>
  <c r="W89" i="60"/>
  <c r="W90" i="60"/>
  <c r="W91" i="60"/>
  <c r="W92" i="60"/>
  <c r="W93" i="60"/>
  <c r="W94" i="60"/>
  <c r="W95" i="60"/>
  <c r="W96" i="60"/>
  <c r="W97" i="60"/>
  <c r="W98" i="60"/>
  <c r="W99" i="60"/>
  <c r="W100" i="60"/>
  <c r="W101" i="60"/>
  <c r="W102" i="60"/>
  <c r="W103" i="60"/>
  <c r="W104" i="60"/>
  <c r="W105" i="60"/>
  <c r="W106" i="60"/>
  <c r="W107" i="60"/>
  <c r="W108" i="60"/>
  <c r="W109" i="60"/>
  <c r="W110" i="60"/>
  <c r="W111" i="60"/>
  <c r="W112" i="60"/>
  <c r="W84" i="60"/>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87" i="64"/>
  <c r="E88" i="64"/>
  <c r="T126" i="64" s="1"/>
  <c r="E89" i="64"/>
  <c r="T127" i="64" s="1"/>
  <c r="E90" i="64"/>
  <c r="T128" i="64" s="1"/>
  <c r="E91" i="64"/>
  <c r="T129" i="64" s="1"/>
  <c r="E92" i="64"/>
  <c r="T130" i="64" s="1"/>
  <c r="E87" i="64"/>
  <c r="T125" i="64" s="1"/>
  <c r="AB35" i="134"/>
  <c r="AW35" i="134" s="1"/>
  <c r="AB34" i="134"/>
  <c r="AW34" i="134" s="1"/>
  <c r="AB33" i="134"/>
  <c r="AW33" i="134" s="1"/>
  <c r="AB32" i="134"/>
  <c r="AW32" i="134" s="1"/>
  <c r="AB31" i="134"/>
  <c r="AW31" i="134" s="1"/>
  <c r="AB30" i="134"/>
  <c r="AW30" i="134" s="1"/>
  <c r="AB29" i="134"/>
  <c r="AW29" i="134" s="1"/>
  <c r="AB28" i="134"/>
  <c r="AW28" i="134" s="1"/>
  <c r="AB27" i="134"/>
  <c r="AW27" i="134" s="1"/>
  <c r="AB26" i="134"/>
  <c r="AW26" i="134" s="1"/>
  <c r="AB25" i="134"/>
  <c r="AW25" i="134" s="1"/>
  <c r="AB24" i="134"/>
  <c r="AW24" i="134" s="1"/>
  <c r="AB23" i="134"/>
  <c r="AW23" i="134" s="1"/>
  <c r="AB22" i="134"/>
  <c r="AW22" i="134" s="1"/>
  <c r="AB21" i="134"/>
  <c r="AW21" i="134" s="1"/>
  <c r="AB20" i="134"/>
  <c r="AW20" i="134" s="1"/>
  <c r="AB19" i="134"/>
  <c r="AB18" i="134"/>
  <c r="AW18" i="134" s="1"/>
  <c r="AB17" i="134"/>
  <c r="AW17" i="134" s="1"/>
  <c r="AB16" i="134"/>
  <c r="AW16" i="134" s="1"/>
  <c r="AB15" i="134"/>
  <c r="AW15" i="134" s="1"/>
  <c r="AB14" i="134"/>
  <c r="AB13" i="134"/>
  <c r="AW13" i="134" s="1"/>
  <c r="AB12" i="134"/>
  <c r="AB11" i="134"/>
  <c r="AW11" i="134" s="1"/>
  <c r="AB10" i="134"/>
  <c r="AB9" i="134"/>
  <c r="AB8" i="134"/>
  <c r="AB7" i="134"/>
  <c r="AB6" i="134"/>
  <c r="Y5" i="96"/>
  <c r="T5" i="489" s="1"/>
  <c r="AF13" i="375"/>
  <c r="BW13" i="96" s="1"/>
  <c r="AF14" i="375"/>
  <c r="BW14" i="96" s="1"/>
  <c r="AF15" i="375"/>
  <c r="BW15" i="96" s="1"/>
  <c r="AF16" i="375"/>
  <c r="BW16" i="96" s="1"/>
  <c r="AF17" i="375"/>
  <c r="BW17" i="96" s="1"/>
  <c r="AF18" i="375"/>
  <c r="BW18" i="96" s="1"/>
  <c r="AF19" i="375"/>
  <c r="BW19" i="96" s="1"/>
  <c r="AF20" i="375"/>
  <c r="BW20" i="96" s="1"/>
  <c r="AF21" i="375"/>
  <c r="BW21" i="96" s="1"/>
  <c r="AF22" i="375"/>
  <c r="BW22" i="96" s="1"/>
  <c r="AF23" i="375"/>
  <c r="BW23" i="96" s="1"/>
  <c r="AF24" i="375"/>
  <c r="BW24" i="96" s="1"/>
  <c r="AF25" i="375"/>
  <c r="BW25" i="96" s="1"/>
  <c r="AF26" i="375"/>
  <c r="BW26" i="96" s="1"/>
  <c r="AF27" i="375"/>
  <c r="BW27" i="96" s="1"/>
  <c r="AF28" i="375"/>
  <c r="BW28" i="96" s="1"/>
  <c r="AF29" i="375"/>
  <c r="BW29" i="96" s="1"/>
  <c r="AF30" i="375"/>
  <c r="BW30" i="96" s="1"/>
  <c r="AF31" i="375"/>
  <c r="BW31" i="96" s="1"/>
  <c r="AF32" i="375"/>
  <c r="BW32" i="96" s="1"/>
  <c r="AF33" i="375"/>
  <c r="BW33" i="96" s="1"/>
  <c r="AF34" i="375"/>
  <c r="BW34" i="96" s="1"/>
  <c r="AF35" i="375"/>
  <c r="BW35" i="96" s="1"/>
  <c r="S13" i="380"/>
  <c r="BY13" i="96" s="1"/>
  <c r="S14" i="380"/>
  <c r="BY14" i="96" s="1"/>
  <c r="S15" i="380"/>
  <c r="BY15" i="96" s="1"/>
  <c r="S16" i="380"/>
  <c r="BY16" i="96" s="1"/>
  <c r="S17" i="380"/>
  <c r="BY17" i="96" s="1"/>
  <c r="S18" i="380"/>
  <c r="BY18" i="96" s="1"/>
  <c r="S19" i="380"/>
  <c r="BY19" i="96" s="1"/>
  <c r="S20" i="380"/>
  <c r="BY20" i="96" s="1"/>
  <c r="S21" i="380"/>
  <c r="BY21" i="96" s="1"/>
  <c r="S22" i="380"/>
  <c r="BY22" i="96" s="1"/>
  <c r="S23" i="380"/>
  <c r="BY23" i="96" s="1"/>
  <c r="S24" i="380"/>
  <c r="BY24" i="96" s="1"/>
  <c r="S25" i="380"/>
  <c r="BY25" i="96" s="1"/>
  <c r="S26" i="380"/>
  <c r="BY26" i="96" s="1"/>
  <c r="S27" i="380"/>
  <c r="BY27" i="96" s="1"/>
  <c r="S28" i="380"/>
  <c r="BY28" i="96" s="1"/>
  <c r="S29" i="380"/>
  <c r="BY29" i="96" s="1"/>
  <c r="S30" i="380"/>
  <c r="BY30" i="96" s="1"/>
  <c r="S31" i="380"/>
  <c r="BY31" i="96" s="1"/>
  <c r="S32" i="380"/>
  <c r="BY32" i="96" s="1"/>
  <c r="S33" i="380"/>
  <c r="BY33" i="96" s="1"/>
  <c r="S34" i="380"/>
  <c r="BY34" i="96" s="1"/>
  <c r="S35" i="380"/>
  <c r="BY35" i="96" s="1"/>
  <c r="S5" i="380"/>
  <c r="O5" i="380" s="1"/>
  <c r="AA5" i="96" s="1"/>
  <c r="S5" i="489" s="1"/>
  <c r="S6" i="380"/>
  <c r="O6" i="380" s="1"/>
  <c r="AA6" i="96" s="1"/>
  <c r="S6" i="489" s="1"/>
  <c r="R5" i="380"/>
  <c r="R6" i="380"/>
  <c r="AF13" i="377"/>
  <c r="BX13" i="96" s="1"/>
  <c r="AF14" i="377"/>
  <c r="BX14" i="96" s="1"/>
  <c r="AF15" i="377"/>
  <c r="BX15" i="96" s="1"/>
  <c r="AF16" i="377"/>
  <c r="BX16" i="96" s="1"/>
  <c r="AF17" i="377"/>
  <c r="BX17" i="96" s="1"/>
  <c r="AF18" i="377"/>
  <c r="BX18" i="96" s="1"/>
  <c r="AF19" i="377"/>
  <c r="BX19" i="96" s="1"/>
  <c r="AF20" i="377"/>
  <c r="BX20" i="96" s="1"/>
  <c r="AF21" i="377"/>
  <c r="BX21" i="96" s="1"/>
  <c r="AF22" i="377"/>
  <c r="BX22" i="96" s="1"/>
  <c r="AF23" i="377"/>
  <c r="BX23" i="96" s="1"/>
  <c r="AF24" i="377"/>
  <c r="BX24" i="96" s="1"/>
  <c r="AF25" i="377"/>
  <c r="BX25" i="96" s="1"/>
  <c r="AF26" i="377"/>
  <c r="BX26" i="96" s="1"/>
  <c r="AF27" i="377"/>
  <c r="BX27" i="96" s="1"/>
  <c r="AF28" i="377"/>
  <c r="BX28" i="96" s="1"/>
  <c r="AF29" i="377"/>
  <c r="BX29" i="96" s="1"/>
  <c r="AF30" i="377"/>
  <c r="BX30" i="96" s="1"/>
  <c r="AF31" i="377"/>
  <c r="BX31" i="96" s="1"/>
  <c r="AF32" i="377"/>
  <c r="BX32" i="96" s="1"/>
  <c r="AF33" i="377"/>
  <c r="BX33" i="96" s="1"/>
  <c r="AF34" i="377"/>
  <c r="BX34" i="96" s="1"/>
  <c r="AF35" i="377"/>
  <c r="BX35" i="96" s="1"/>
  <c r="AF5" i="377"/>
  <c r="BX5" i="96" s="1"/>
  <c r="AF6" i="377"/>
  <c r="BX6" i="96" s="1"/>
  <c r="AF5" i="375"/>
  <c r="BW5" i="96" s="1"/>
  <c r="AF6" i="375"/>
  <c r="BW6" i="96" s="1"/>
  <c r="AE6" i="373"/>
  <c r="AF6" i="373" s="1"/>
  <c r="AE5" i="373"/>
  <c r="AF5" i="373" s="1"/>
  <c r="AE5" i="370"/>
  <c r="AF5" i="370" s="1"/>
  <c r="AE6" i="370"/>
  <c r="AF6" i="370" s="1"/>
  <c r="AB6" i="370" s="1"/>
  <c r="AE7" i="370"/>
  <c r="AF7" i="370" s="1"/>
  <c r="AB7" i="370" s="1"/>
  <c r="BT13" i="96"/>
  <c r="AF14" i="365"/>
  <c r="BT14" i="96" s="1"/>
  <c r="AF15" i="365"/>
  <c r="BT15" i="96" s="1"/>
  <c r="AF16" i="365"/>
  <c r="BT16" i="96" s="1"/>
  <c r="AF17" i="365"/>
  <c r="AF18" i="365"/>
  <c r="BT18" i="96" s="1"/>
  <c r="AF19" i="365"/>
  <c r="BT19" i="96" s="1"/>
  <c r="AF20" i="365"/>
  <c r="AF21" i="365"/>
  <c r="BT21" i="96" s="1"/>
  <c r="AF22" i="365"/>
  <c r="BT22" i="96" s="1"/>
  <c r="AF23" i="365"/>
  <c r="BT23" i="96" s="1"/>
  <c r="AF24" i="365"/>
  <c r="BT24" i="96" s="1"/>
  <c r="AF25" i="365"/>
  <c r="AF26" i="365"/>
  <c r="BT26" i="96" s="1"/>
  <c r="AF27" i="365"/>
  <c r="BT27" i="96" s="1"/>
  <c r="AF28" i="365"/>
  <c r="AF29" i="365"/>
  <c r="BT29" i="96" s="1"/>
  <c r="AF30" i="365"/>
  <c r="BT30" i="96" s="1"/>
  <c r="AF31" i="365"/>
  <c r="BT31" i="96" s="1"/>
  <c r="AF32" i="365"/>
  <c r="BT32" i="96" s="1"/>
  <c r="AF33" i="365"/>
  <c r="AF34" i="365"/>
  <c r="BT34" i="96" s="1"/>
  <c r="AF35" i="365"/>
  <c r="BT35" i="96" s="1"/>
  <c r="BT17" i="96"/>
  <c r="BT20" i="96"/>
  <c r="BT25" i="96"/>
  <c r="BT28" i="96"/>
  <c r="BT33" i="96"/>
  <c r="AE5" i="365"/>
  <c r="AE6" i="365"/>
  <c r="AE7" i="365"/>
  <c r="AE8" i="365"/>
  <c r="AF5" i="365"/>
  <c r="AB5" i="365" s="1"/>
  <c r="U5" i="96" s="1"/>
  <c r="P5" i="489" s="1"/>
  <c r="AF6" i="365"/>
  <c r="AB6" i="365" s="1"/>
  <c r="U6" i="96" s="1"/>
  <c r="P6" i="489" s="1"/>
  <c r="AF7" i="365"/>
  <c r="AB7" i="365" s="1"/>
  <c r="U7" i="96" s="1"/>
  <c r="P7" i="489" s="1"/>
  <c r="AF8" i="365"/>
  <c r="BT8" i="96" s="1"/>
  <c r="BS7" i="96"/>
  <c r="BS8" i="96"/>
  <c r="BS9" i="96"/>
  <c r="BS10" i="96"/>
  <c r="BS11" i="96"/>
  <c r="BS12" i="96"/>
  <c r="BS13" i="96"/>
  <c r="BS14" i="96"/>
  <c r="BS15" i="96"/>
  <c r="BS16" i="96"/>
  <c r="BS17" i="96"/>
  <c r="BS18" i="96"/>
  <c r="BS19" i="96"/>
  <c r="BS20" i="96"/>
  <c r="BS21" i="96"/>
  <c r="BS22" i="96"/>
  <c r="BS23" i="96"/>
  <c r="BS24" i="96"/>
  <c r="BS25" i="96"/>
  <c r="BS26" i="96"/>
  <c r="BS27" i="96"/>
  <c r="BS28" i="96"/>
  <c r="BS29" i="96"/>
  <c r="BS30" i="96"/>
  <c r="BS31" i="96"/>
  <c r="BS32" i="96"/>
  <c r="BS33" i="96"/>
  <c r="BS34" i="96"/>
  <c r="BS35" i="96"/>
  <c r="BS5" i="96"/>
  <c r="AG5" i="325"/>
  <c r="AF5" i="325"/>
  <c r="BR5" i="96" s="1"/>
  <c r="B4" i="380"/>
  <c r="R35" i="380"/>
  <c r="O35" i="380" s="1"/>
  <c r="R34" i="380"/>
  <c r="O34" i="380" s="1"/>
  <c r="R33" i="380"/>
  <c r="O33" i="380" s="1"/>
  <c r="R32" i="380"/>
  <c r="O32" i="380" s="1"/>
  <c r="R31" i="380"/>
  <c r="O31" i="380" s="1"/>
  <c r="R30" i="380"/>
  <c r="O30" i="380" s="1"/>
  <c r="G30" i="380" s="1"/>
  <c r="E30" i="380" s="1"/>
  <c r="D30" i="380" s="1"/>
  <c r="R29" i="380"/>
  <c r="O29" i="380" s="1"/>
  <c r="R28" i="380"/>
  <c r="O28" i="380" s="1"/>
  <c r="R27" i="380"/>
  <c r="O27" i="380" s="1"/>
  <c r="R26" i="380"/>
  <c r="O26" i="380" s="1"/>
  <c r="R25" i="380"/>
  <c r="O25" i="380" s="1"/>
  <c r="R24" i="380"/>
  <c r="O24" i="380" s="1"/>
  <c r="R23" i="380"/>
  <c r="O23" i="380" s="1"/>
  <c r="R22" i="380"/>
  <c r="O22" i="380" s="1"/>
  <c r="R21" i="380"/>
  <c r="O21" i="380" s="1"/>
  <c r="R20" i="380"/>
  <c r="O20" i="380" s="1"/>
  <c r="R19" i="380"/>
  <c r="O19" i="380" s="1"/>
  <c r="R18" i="380"/>
  <c r="O18" i="380" s="1"/>
  <c r="R17" i="380"/>
  <c r="O17" i="380" s="1"/>
  <c r="R16" i="380"/>
  <c r="O16" i="380" s="1"/>
  <c r="R15" i="380"/>
  <c r="O15" i="380" s="1"/>
  <c r="R14" i="380"/>
  <c r="O14" i="380" s="1"/>
  <c r="R13" i="380"/>
  <c r="O13" i="380" s="1"/>
  <c r="S12" i="380"/>
  <c r="BY12" i="96" s="1"/>
  <c r="R12" i="380"/>
  <c r="O12" i="380" s="1"/>
  <c r="S11" i="380"/>
  <c r="BY11" i="96" s="1"/>
  <c r="R11" i="380"/>
  <c r="O11" i="380" s="1"/>
  <c r="S10" i="380"/>
  <c r="BY10" i="96" s="1"/>
  <c r="R10" i="380"/>
  <c r="O10" i="380" s="1"/>
  <c r="S9" i="380"/>
  <c r="O9" i="380" s="1"/>
  <c r="R9" i="380"/>
  <c r="S8" i="380"/>
  <c r="O8" i="380" s="1"/>
  <c r="R8" i="380"/>
  <c r="S7" i="380"/>
  <c r="O7" i="380" s="1"/>
  <c r="R7" i="380"/>
  <c r="Z35" i="96"/>
  <c r="AB35" i="489" s="1"/>
  <c r="Z34" i="96"/>
  <c r="AB34" i="489" s="1"/>
  <c r="Z33" i="96"/>
  <c r="AB33" i="489" s="1"/>
  <c r="Z32" i="96"/>
  <c r="AB32" i="489" s="1"/>
  <c r="Z31" i="96"/>
  <c r="AB31" i="489" s="1"/>
  <c r="Z30" i="96"/>
  <c r="AB30" i="489" s="1"/>
  <c r="Z29" i="96"/>
  <c r="AB29" i="489" s="1"/>
  <c r="Z28" i="96"/>
  <c r="AB28" i="489" s="1"/>
  <c r="Z27" i="96"/>
  <c r="AB27" i="489" s="1"/>
  <c r="Z26" i="96"/>
  <c r="AB26" i="489" s="1"/>
  <c r="Z25" i="96"/>
  <c r="AB25" i="489" s="1"/>
  <c r="Z24" i="96"/>
  <c r="AB24" i="489" s="1"/>
  <c r="Z23" i="96"/>
  <c r="AB23" i="489" s="1"/>
  <c r="Z22" i="96"/>
  <c r="AB22" i="489" s="1"/>
  <c r="Z21" i="96"/>
  <c r="AB21" i="489" s="1"/>
  <c r="Z20" i="96"/>
  <c r="AB20" i="489" s="1"/>
  <c r="Z19" i="96"/>
  <c r="AB19" i="489" s="1"/>
  <c r="Z18" i="96"/>
  <c r="AB18" i="489" s="1"/>
  <c r="Z17" i="96"/>
  <c r="AB17" i="489" s="1"/>
  <c r="Z16" i="96"/>
  <c r="AB16" i="489" s="1"/>
  <c r="Z15" i="96"/>
  <c r="AB15" i="489" s="1"/>
  <c r="Z14" i="96"/>
  <c r="AB14" i="489" s="1"/>
  <c r="Z13" i="96"/>
  <c r="AB13" i="489" s="1"/>
  <c r="AF12" i="377"/>
  <c r="BX12" i="96" s="1"/>
  <c r="Z12" i="96"/>
  <c r="AF11" i="377"/>
  <c r="BX11" i="96" s="1"/>
  <c r="Z11" i="96"/>
  <c r="AB11" i="489" s="1"/>
  <c r="AF10" i="377"/>
  <c r="BX10" i="96" s="1"/>
  <c r="Z10" i="96"/>
  <c r="AB10" i="489" s="1"/>
  <c r="AF9" i="377"/>
  <c r="Z9" i="96" s="1"/>
  <c r="AB9" i="489" s="1"/>
  <c r="AF8" i="377"/>
  <c r="BX8" i="96" s="1"/>
  <c r="AF7" i="377"/>
  <c r="Z7" i="96" s="1"/>
  <c r="AB7" i="489" s="1"/>
  <c r="B4" i="375"/>
  <c r="AB35" i="375"/>
  <c r="X35" i="96" s="1"/>
  <c r="R35" i="489" s="1"/>
  <c r="AB34" i="375"/>
  <c r="X34" i="96" s="1"/>
  <c r="R34" i="489" s="1"/>
  <c r="AB33" i="375"/>
  <c r="X33" i="96" s="1"/>
  <c r="R33" i="489" s="1"/>
  <c r="AB32" i="375"/>
  <c r="X32" i="96" s="1"/>
  <c r="R32" i="489" s="1"/>
  <c r="AB31" i="375"/>
  <c r="X31" i="96" s="1"/>
  <c r="R31" i="489" s="1"/>
  <c r="AB30" i="375"/>
  <c r="X30" i="96" s="1"/>
  <c r="R30" i="489" s="1"/>
  <c r="AB29" i="375"/>
  <c r="X29" i="96" s="1"/>
  <c r="R29" i="489" s="1"/>
  <c r="AB28" i="375"/>
  <c r="X28" i="96" s="1"/>
  <c r="R28" i="489" s="1"/>
  <c r="AB27" i="375"/>
  <c r="X27" i="96" s="1"/>
  <c r="R27" i="489" s="1"/>
  <c r="AB26" i="375"/>
  <c r="X26" i="96" s="1"/>
  <c r="R26" i="489" s="1"/>
  <c r="AB25" i="375"/>
  <c r="X25" i="96" s="1"/>
  <c r="R25" i="489" s="1"/>
  <c r="AB24" i="375"/>
  <c r="X24" i="96" s="1"/>
  <c r="R24" i="489" s="1"/>
  <c r="AB23" i="375"/>
  <c r="X23" i="96" s="1"/>
  <c r="R23" i="489" s="1"/>
  <c r="AB22" i="375"/>
  <c r="X22" i="96" s="1"/>
  <c r="R22" i="489" s="1"/>
  <c r="AB21" i="375"/>
  <c r="X21" i="96" s="1"/>
  <c r="R21" i="489" s="1"/>
  <c r="AB20" i="375"/>
  <c r="X20" i="96" s="1"/>
  <c r="R20" i="489" s="1"/>
  <c r="AB19" i="375"/>
  <c r="X19" i="96" s="1"/>
  <c r="R19" i="489" s="1"/>
  <c r="AB18" i="375"/>
  <c r="X18" i="96" s="1"/>
  <c r="R18" i="489" s="1"/>
  <c r="AB17" i="375"/>
  <c r="X17" i="96" s="1"/>
  <c r="R17" i="489" s="1"/>
  <c r="AB16" i="375"/>
  <c r="X16" i="96" s="1"/>
  <c r="R16" i="489" s="1"/>
  <c r="AB15" i="375"/>
  <c r="X15" i="96" s="1"/>
  <c r="R15" i="489" s="1"/>
  <c r="AB14" i="375"/>
  <c r="X14" i="96" s="1"/>
  <c r="R14" i="489" s="1"/>
  <c r="AB13" i="375"/>
  <c r="AF12" i="375"/>
  <c r="BW12" i="96" s="1"/>
  <c r="AB12" i="375"/>
  <c r="AF11" i="375"/>
  <c r="BW11" i="96" s="1"/>
  <c r="AB11" i="375"/>
  <c r="AF10" i="375"/>
  <c r="BW10" i="96" s="1"/>
  <c r="AB10" i="375"/>
  <c r="AF9" i="375"/>
  <c r="AB9" i="375" s="1"/>
  <c r="AF8" i="375"/>
  <c r="BW8" i="96" s="1"/>
  <c r="AF7" i="375"/>
  <c r="AB7" i="375" s="1"/>
  <c r="AE7" i="373"/>
  <c r="AF7" i="373" s="1"/>
  <c r="AE35" i="373"/>
  <c r="AB35" i="373" s="1"/>
  <c r="W35" i="96" s="1"/>
  <c r="Q35" i="489" s="1"/>
  <c r="AE34" i="373"/>
  <c r="AB34" i="373" s="1"/>
  <c r="W34" i="96" s="1"/>
  <c r="Q34" i="489" s="1"/>
  <c r="AE33" i="373"/>
  <c r="AF33" i="373" s="1"/>
  <c r="BV33" i="96" s="1"/>
  <c r="AE32" i="373"/>
  <c r="AB32" i="373" s="1"/>
  <c r="W32" i="96" s="1"/>
  <c r="Q32" i="489" s="1"/>
  <c r="AE31" i="373"/>
  <c r="AB31" i="373" s="1"/>
  <c r="W31" i="96" s="1"/>
  <c r="Q31" i="489" s="1"/>
  <c r="AE30" i="373"/>
  <c r="AB30" i="373" s="1"/>
  <c r="W30" i="96" s="1"/>
  <c r="Q30" i="489" s="1"/>
  <c r="AE29" i="373"/>
  <c r="AB29" i="373" s="1"/>
  <c r="W29" i="96" s="1"/>
  <c r="Q29" i="489" s="1"/>
  <c r="AE28" i="373"/>
  <c r="AB28" i="373" s="1"/>
  <c r="W28" i="96" s="1"/>
  <c r="Q28" i="489" s="1"/>
  <c r="AE27" i="373"/>
  <c r="AF27" i="373" s="1"/>
  <c r="BV27" i="96" s="1"/>
  <c r="AE26" i="373"/>
  <c r="AB26" i="373" s="1"/>
  <c r="W26" i="96" s="1"/>
  <c r="Q26" i="489" s="1"/>
  <c r="AE25" i="373"/>
  <c r="AF25" i="373" s="1"/>
  <c r="BV25" i="96" s="1"/>
  <c r="AE24" i="373"/>
  <c r="AB24" i="373" s="1"/>
  <c r="W24" i="96" s="1"/>
  <c r="Q24" i="489" s="1"/>
  <c r="AE23" i="373"/>
  <c r="AB23" i="373" s="1"/>
  <c r="W23" i="96" s="1"/>
  <c r="Q23" i="489" s="1"/>
  <c r="AE22" i="373"/>
  <c r="AB22" i="373" s="1"/>
  <c r="W22" i="96" s="1"/>
  <c r="Q22" i="489" s="1"/>
  <c r="AE21" i="373"/>
  <c r="AB21" i="373" s="1"/>
  <c r="W21" i="96" s="1"/>
  <c r="Q21" i="489" s="1"/>
  <c r="AE20" i="373"/>
  <c r="AB20" i="373" s="1"/>
  <c r="W20" i="96" s="1"/>
  <c r="Q20" i="489" s="1"/>
  <c r="AE19" i="373"/>
  <c r="AB19" i="373" s="1"/>
  <c r="W19" i="96" s="1"/>
  <c r="Q19" i="489" s="1"/>
  <c r="AE18" i="373"/>
  <c r="AB18" i="373" s="1"/>
  <c r="W18" i="96" s="1"/>
  <c r="Q18" i="489" s="1"/>
  <c r="AE17" i="373"/>
  <c r="AF17" i="373" s="1"/>
  <c r="BV17" i="96" s="1"/>
  <c r="AE16" i="373"/>
  <c r="AB16" i="373" s="1"/>
  <c r="W16" i="96" s="1"/>
  <c r="Q16" i="489" s="1"/>
  <c r="AE15" i="373"/>
  <c r="AB15" i="373" s="1"/>
  <c r="AE14" i="373"/>
  <c r="AB14" i="373" s="1"/>
  <c r="AE13" i="373"/>
  <c r="AB13" i="373" s="1"/>
  <c r="AE12" i="373"/>
  <c r="AF12" i="373" s="1"/>
  <c r="BV12" i="96" s="1"/>
  <c r="AE11" i="373"/>
  <c r="AB11" i="373" s="1"/>
  <c r="C11" i="373" s="1"/>
  <c r="AV11" i="96" s="1"/>
  <c r="AE10" i="373"/>
  <c r="AB10" i="373" s="1"/>
  <c r="C10" i="373" s="1"/>
  <c r="AV10" i="96" s="1"/>
  <c r="AE9" i="373"/>
  <c r="AF9" i="373" s="1"/>
  <c r="AE8" i="373"/>
  <c r="AF8" i="373" s="1"/>
  <c r="AB8" i="373" s="1"/>
  <c r="C8" i="373" s="1"/>
  <c r="AV8" i="96" s="1"/>
  <c r="AE8" i="370"/>
  <c r="AF8" i="370" s="1"/>
  <c r="AB8" i="370" s="1"/>
  <c r="AE35" i="370"/>
  <c r="AE34" i="370"/>
  <c r="AE33" i="370"/>
  <c r="AE32" i="370"/>
  <c r="AE31" i="370"/>
  <c r="AE30" i="370"/>
  <c r="AE29" i="370"/>
  <c r="AE28" i="370"/>
  <c r="AE27" i="370"/>
  <c r="AE26" i="370"/>
  <c r="AE25" i="370"/>
  <c r="AE24" i="370"/>
  <c r="AE23" i="370"/>
  <c r="AE22" i="370"/>
  <c r="AE21" i="370"/>
  <c r="AE20" i="370"/>
  <c r="AE19" i="370"/>
  <c r="AE18" i="370"/>
  <c r="AE17" i="370"/>
  <c r="AE16" i="370"/>
  <c r="AE15" i="370"/>
  <c r="AE14" i="370"/>
  <c r="AE13" i="370"/>
  <c r="AE12" i="370"/>
  <c r="AE11" i="370"/>
  <c r="AE10" i="370"/>
  <c r="AE9" i="370"/>
  <c r="AF9" i="370" s="1"/>
  <c r="AB9" i="370" s="1"/>
  <c r="AN16" i="20"/>
  <c r="AM22" i="20"/>
  <c r="AI22" i="20" s="1"/>
  <c r="AF10" i="365"/>
  <c r="BT10" i="96" s="1"/>
  <c r="AF11" i="365"/>
  <c r="BT11" i="96" s="1"/>
  <c r="AF12" i="365"/>
  <c r="BT12" i="96" s="1"/>
  <c r="AB9" i="365"/>
  <c r="U9" i="96" s="1"/>
  <c r="P9" i="489" s="1"/>
  <c r="AE9" i="365"/>
  <c r="AE35" i="365"/>
  <c r="AB35" i="365" s="1"/>
  <c r="U35" i="96" s="1"/>
  <c r="P35" i="489" s="1"/>
  <c r="AE34" i="365"/>
  <c r="AB34" i="365" s="1"/>
  <c r="U34" i="96" s="1"/>
  <c r="P34" i="489" s="1"/>
  <c r="AE33" i="365"/>
  <c r="AB33" i="365" s="1"/>
  <c r="U33" i="96" s="1"/>
  <c r="P33" i="489" s="1"/>
  <c r="AE32" i="365"/>
  <c r="AB32" i="365" s="1"/>
  <c r="U32" i="96" s="1"/>
  <c r="P32" i="489" s="1"/>
  <c r="AE31" i="365"/>
  <c r="AB31" i="365" s="1"/>
  <c r="U31" i="96" s="1"/>
  <c r="P31" i="489" s="1"/>
  <c r="AE30" i="365"/>
  <c r="AB30" i="365" s="1"/>
  <c r="U30" i="96" s="1"/>
  <c r="P30" i="489" s="1"/>
  <c r="AE29" i="365"/>
  <c r="AB29" i="365" s="1"/>
  <c r="U29" i="96" s="1"/>
  <c r="P29" i="489" s="1"/>
  <c r="AE28" i="365"/>
  <c r="AB28" i="365" s="1"/>
  <c r="U28" i="96" s="1"/>
  <c r="P28" i="489" s="1"/>
  <c r="AE27" i="365"/>
  <c r="AB27" i="365" s="1"/>
  <c r="U27" i="96" s="1"/>
  <c r="P27" i="489" s="1"/>
  <c r="AE26" i="365"/>
  <c r="AB26" i="365" s="1"/>
  <c r="U26" i="96" s="1"/>
  <c r="P26" i="489" s="1"/>
  <c r="AE25" i="365"/>
  <c r="AB25" i="365" s="1"/>
  <c r="U25" i="96" s="1"/>
  <c r="P25" i="489" s="1"/>
  <c r="AE24" i="365"/>
  <c r="AB24" i="365" s="1"/>
  <c r="U24" i="96" s="1"/>
  <c r="P24" i="489" s="1"/>
  <c r="AE23" i="365"/>
  <c r="AB23" i="365" s="1"/>
  <c r="U23" i="96" s="1"/>
  <c r="P23" i="489" s="1"/>
  <c r="AE22" i="365"/>
  <c r="AB22" i="365" s="1"/>
  <c r="U22" i="96" s="1"/>
  <c r="P22" i="489" s="1"/>
  <c r="AE21" i="365"/>
  <c r="AB21" i="365" s="1"/>
  <c r="U21" i="96" s="1"/>
  <c r="P21" i="489" s="1"/>
  <c r="AE20" i="365"/>
  <c r="AB20" i="365" s="1"/>
  <c r="U20" i="96" s="1"/>
  <c r="P20" i="489" s="1"/>
  <c r="AE19" i="365"/>
  <c r="AB19" i="365" s="1"/>
  <c r="U19" i="96" s="1"/>
  <c r="P19" i="489" s="1"/>
  <c r="AE18" i="365"/>
  <c r="AB18" i="365" s="1"/>
  <c r="U18" i="96" s="1"/>
  <c r="P18" i="489" s="1"/>
  <c r="AE17" i="365"/>
  <c r="AB17" i="365" s="1"/>
  <c r="U17" i="96" s="1"/>
  <c r="P17" i="489" s="1"/>
  <c r="AE16" i="365"/>
  <c r="AB16" i="365" s="1"/>
  <c r="U16" i="96" s="1"/>
  <c r="P16" i="489" s="1"/>
  <c r="AE15" i="365"/>
  <c r="AB15" i="365" s="1"/>
  <c r="U15" i="96" s="1"/>
  <c r="AE14" i="365"/>
  <c r="AB14" i="365" s="1"/>
  <c r="U14" i="96" s="1"/>
  <c r="P14" i="489" s="1"/>
  <c r="AE13" i="365"/>
  <c r="AB13" i="365" s="1"/>
  <c r="U13" i="96" s="1"/>
  <c r="P13" i="489" s="1"/>
  <c r="AE12" i="365"/>
  <c r="AB12" i="365" s="1"/>
  <c r="U12" i="96" s="1"/>
  <c r="P12" i="489" s="1"/>
  <c r="AE11" i="365"/>
  <c r="AB11" i="365" s="1"/>
  <c r="U11" i="96" s="1"/>
  <c r="P11" i="489" s="1"/>
  <c r="AE10" i="365"/>
  <c r="AB10" i="365" s="1"/>
  <c r="U10" i="96" s="1"/>
  <c r="P10" i="489" s="1"/>
  <c r="P43" i="347"/>
  <c r="B83" i="347"/>
  <c r="C83" i="347" s="1"/>
  <c r="AG83" i="347" s="1"/>
  <c r="B84" i="347"/>
  <c r="C84" i="347" s="1"/>
  <c r="AG84" i="347" s="1"/>
  <c r="B85" i="347"/>
  <c r="C85" i="347" s="1"/>
  <c r="AG85" i="347" s="1"/>
  <c r="B86" i="347"/>
  <c r="B87" i="347"/>
  <c r="B89" i="347"/>
  <c r="F143" i="347" s="1"/>
  <c r="I143" i="347" s="1"/>
  <c r="B90" i="347"/>
  <c r="H143" i="347" s="1"/>
  <c r="K143" i="347" s="1"/>
  <c r="C132" i="347" s="1"/>
  <c r="B82" i="347"/>
  <c r="C82" i="347" s="1"/>
  <c r="X4" i="347"/>
  <c r="X5" i="347"/>
  <c r="X6" i="347"/>
  <c r="X7" i="347"/>
  <c r="X8" i="347"/>
  <c r="X9" i="347"/>
  <c r="X10" i="347"/>
  <c r="X11" i="347"/>
  <c r="X12" i="347"/>
  <c r="C31" i="68"/>
  <c r="D31" i="68"/>
  <c r="C32" i="68"/>
  <c r="D32" i="68"/>
  <c r="C33" i="68"/>
  <c r="D33" i="68"/>
  <c r="C34" i="68"/>
  <c r="D34" i="68"/>
  <c r="C35" i="68"/>
  <c r="D35" i="68"/>
  <c r="C36" i="68"/>
  <c r="D36" i="68"/>
  <c r="C37" i="68"/>
  <c r="D37" i="68"/>
  <c r="C38" i="68"/>
  <c r="D38" i="68"/>
  <c r="C39" i="68"/>
  <c r="D39" i="68"/>
  <c r="D30" i="68"/>
  <c r="C30" i="68"/>
  <c r="B32" i="68"/>
  <c r="B33" i="68"/>
  <c r="B34" i="68"/>
  <c r="B35" i="68"/>
  <c r="B36" i="68"/>
  <c r="B37" i="68"/>
  <c r="B38" i="68"/>
  <c r="B39" i="68"/>
  <c r="B31" i="68"/>
  <c r="P15" i="489" l="1"/>
  <c r="D88" i="96"/>
  <c r="AB12" i="489"/>
  <c r="D97" i="96"/>
  <c r="I30" i="375"/>
  <c r="I50" i="375"/>
  <c r="I29" i="126"/>
  <c r="AA30" i="96"/>
  <c r="S30" i="489" s="1"/>
  <c r="AB8" i="375"/>
  <c r="V20" i="96"/>
  <c r="AA20" i="489" s="1"/>
  <c r="AB20" i="370"/>
  <c r="AB28" i="370"/>
  <c r="V28" i="96" s="1"/>
  <c r="AA28" i="489" s="1"/>
  <c r="AF13" i="370"/>
  <c r="BU13" i="96" s="1"/>
  <c r="AB13" i="370"/>
  <c r="AB14" i="370"/>
  <c r="V14" i="96" s="1"/>
  <c r="AA14" i="489" s="1"/>
  <c r="AF21" i="370"/>
  <c r="BU21" i="96" s="1"/>
  <c r="AB21" i="370"/>
  <c r="AF29" i="370"/>
  <c r="BU29" i="96" s="1"/>
  <c r="AB29" i="370"/>
  <c r="AB15" i="370"/>
  <c r="V15" i="96" s="1"/>
  <c r="AA15" i="489" s="1"/>
  <c r="AB22" i="370"/>
  <c r="V22" i="96" s="1"/>
  <c r="AA22" i="489" s="1"/>
  <c r="AB30" i="370"/>
  <c r="V30" i="96" s="1"/>
  <c r="AA30" i="489" s="1"/>
  <c r="AB16" i="370"/>
  <c r="V16" i="96" s="1"/>
  <c r="AF23" i="370"/>
  <c r="BU23" i="96" s="1"/>
  <c r="AB23" i="370"/>
  <c r="AF31" i="370"/>
  <c r="BU31" i="96" s="1"/>
  <c r="AB31" i="370"/>
  <c r="V31" i="96" s="1"/>
  <c r="AA31" i="489" s="1"/>
  <c r="AB24" i="370"/>
  <c r="V24" i="96" s="1"/>
  <c r="AA24" i="489" s="1"/>
  <c r="AB32" i="370"/>
  <c r="V32" i="96" s="1"/>
  <c r="AA32" i="489" s="1"/>
  <c r="AB10" i="370"/>
  <c r="V10" i="96" s="1"/>
  <c r="AA10" i="489" s="1"/>
  <c r="AF17" i="370"/>
  <c r="BU17" i="96" s="1"/>
  <c r="AB17" i="370"/>
  <c r="V17" i="96" s="1"/>
  <c r="AA17" i="489" s="1"/>
  <c r="AF25" i="370"/>
  <c r="BU25" i="96" s="1"/>
  <c r="AB25" i="370"/>
  <c r="V33" i="96"/>
  <c r="AA33" i="489" s="1"/>
  <c r="AB33" i="370"/>
  <c r="AB11" i="370"/>
  <c r="V11" i="96" s="1"/>
  <c r="AA11" i="489" s="1"/>
  <c r="AB18" i="370"/>
  <c r="V18" i="96" s="1"/>
  <c r="AA18" i="489" s="1"/>
  <c r="AB26" i="370"/>
  <c r="V26" i="96" s="1"/>
  <c r="AA26" i="489" s="1"/>
  <c r="V34" i="96"/>
  <c r="AA34" i="489" s="1"/>
  <c r="AB34" i="370"/>
  <c r="AB12" i="370"/>
  <c r="V12" i="96" s="1"/>
  <c r="AA12" i="489" s="1"/>
  <c r="AB19" i="370"/>
  <c r="V19" i="96" s="1"/>
  <c r="AA19" i="489" s="1"/>
  <c r="V27" i="96"/>
  <c r="AA27" i="489" s="1"/>
  <c r="AB27" i="370"/>
  <c r="AB35" i="370"/>
  <c r="V35" i="96" s="1"/>
  <c r="AA35" i="489" s="1"/>
  <c r="C8" i="134"/>
  <c r="AW8" i="134"/>
  <c r="C9" i="134"/>
  <c r="AW9" i="134"/>
  <c r="C10" i="134"/>
  <c r="AW10" i="134"/>
  <c r="Y19" i="96"/>
  <c r="T19" i="489" s="1"/>
  <c r="AW19" i="134"/>
  <c r="C12" i="134"/>
  <c r="AW12" i="134"/>
  <c r="C7" i="134"/>
  <c r="AW7" i="134"/>
  <c r="Y6" i="96"/>
  <c r="T6" i="489" s="1"/>
  <c r="AW6" i="134"/>
  <c r="AV6" i="134" s="1"/>
  <c r="C14" i="134"/>
  <c r="AW14" i="134"/>
  <c r="D83" i="347"/>
  <c r="B91" i="347"/>
  <c r="P76" i="16" s="1"/>
  <c r="P16" i="16" s="1"/>
  <c r="C91" i="347"/>
  <c r="D11" i="347"/>
  <c r="D89" i="347" s="1"/>
  <c r="Y13" i="96"/>
  <c r="T13" i="489" s="1"/>
  <c r="C13" i="134"/>
  <c r="Y11" i="96"/>
  <c r="T11" i="489" s="1"/>
  <c r="C11" i="134"/>
  <c r="W10" i="96"/>
  <c r="Q10" i="489" s="1"/>
  <c r="W11" i="96"/>
  <c r="Q11" i="489" s="1"/>
  <c r="W13" i="96"/>
  <c r="Q13" i="489" s="1"/>
  <c r="W14" i="96"/>
  <c r="Q14" i="489" s="1"/>
  <c r="W8" i="96"/>
  <c r="Q8" i="489" s="1"/>
  <c r="W15" i="96"/>
  <c r="Q15" i="489" s="1"/>
  <c r="X8" i="96"/>
  <c r="R8" i="489" s="1"/>
  <c r="C8" i="375"/>
  <c r="AW8" i="96" s="1"/>
  <c r="X11" i="96"/>
  <c r="C11" i="375"/>
  <c r="AW11" i="96" s="1"/>
  <c r="X12" i="96"/>
  <c r="R12" i="489" s="1"/>
  <c r="C12" i="375"/>
  <c r="AW12" i="96" s="1"/>
  <c r="X9" i="96"/>
  <c r="R9" i="489" s="1"/>
  <c r="C9" i="375"/>
  <c r="AW9" i="96" s="1"/>
  <c r="X13" i="96"/>
  <c r="R13" i="489" s="1"/>
  <c r="X7" i="96"/>
  <c r="R7" i="489" s="1"/>
  <c r="C7" i="375"/>
  <c r="AW7" i="96" s="1"/>
  <c r="X10" i="96"/>
  <c r="R10" i="489" s="1"/>
  <c r="C10" i="375"/>
  <c r="AW10" i="96" s="1"/>
  <c r="AA15" i="96"/>
  <c r="S15" i="489" s="1"/>
  <c r="G15" i="380"/>
  <c r="E15" i="380" s="1"/>
  <c r="D15" i="380" s="1"/>
  <c r="AA33" i="96"/>
  <c r="S33" i="489" s="1"/>
  <c r="G33" i="380"/>
  <c r="E33" i="380" s="1"/>
  <c r="D33" i="380" s="1"/>
  <c r="AA34" i="96"/>
  <c r="S34" i="489" s="1"/>
  <c r="G34" i="380"/>
  <c r="E34" i="380" s="1"/>
  <c r="D34" i="380" s="1"/>
  <c r="AA13" i="96"/>
  <c r="S13" i="489" s="1"/>
  <c r="G13" i="380"/>
  <c r="E13" i="380" s="1"/>
  <c r="D13" i="380" s="1"/>
  <c r="AA20" i="96"/>
  <c r="S20" i="489" s="1"/>
  <c r="G20" i="380"/>
  <c r="E20" i="380" s="1"/>
  <c r="D20" i="380" s="1"/>
  <c r="AA28" i="96"/>
  <c r="S28" i="489" s="1"/>
  <c r="G28" i="380"/>
  <c r="E28" i="380" s="1"/>
  <c r="D28" i="380" s="1"/>
  <c r="AA35" i="96"/>
  <c r="S35" i="489" s="1"/>
  <c r="G35" i="380"/>
  <c r="E35" i="380" s="1"/>
  <c r="D35" i="380" s="1"/>
  <c r="C38" i="380" s="1"/>
  <c r="AA26" i="96"/>
  <c r="S26" i="489" s="1"/>
  <c r="G26" i="380"/>
  <c r="E26" i="380" s="1"/>
  <c r="D26" i="380" s="1"/>
  <c r="AA9" i="96"/>
  <c r="S9" i="489" s="1"/>
  <c r="G9" i="380"/>
  <c r="E9" i="380" s="1"/>
  <c r="D9" i="380" s="1"/>
  <c r="C9" i="380" s="1"/>
  <c r="AZ9" i="96" s="1"/>
  <c r="AA27" i="96"/>
  <c r="S27" i="489" s="1"/>
  <c r="G27" i="380"/>
  <c r="E27" i="380" s="1"/>
  <c r="D27" i="380" s="1"/>
  <c r="AA10" i="96"/>
  <c r="S10" i="489" s="1"/>
  <c r="G10" i="380"/>
  <c r="E10" i="380" s="1"/>
  <c r="D10" i="380" s="1"/>
  <c r="C10" i="380" s="1"/>
  <c r="AZ10" i="96" s="1"/>
  <c r="AA14" i="96"/>
  <c r="S14" i="489" s="1"/>
  <c r="G14" i="380"/>
  <c r="E14" i="380" s="1"/>
  <c r="D14" i="380" s="1"/>
  <c r="AA21" i="96"/>
  <c r="S21" i="489" s="1"/>
  <c r="G21" i="380"/>
  <c r="E21" i="380" s="1"/>
  <c r="D21" i="380" s="1"/>
  <c r="AA29" i="96"/>
  <c r="S29" i="489" s="1"/>
  <c r="G29" i="380"/>
  <c r="E29" i="380" s="1"/>
  <c r="D29" i="380" s="1"/>
  <c r="AA22" i="96"/>
  <c r="S22" i="489" s="1"/>
  <c r="G22" i="380"/>
  <c r="E22" i="380" s="1"/>
  <c r="D22" i="380" s="1"/>
  <c r="AA18" i="96"/>
  <c r="S18" i="489" s="1"/>
  <c r="G18" i="380"/>
  <c r="E18" i="380" s="1"/>
  <c r="D18" i="380" s="1"/>
  <c r="AA7" i="96"/>
  <c r="S7" i="489" s="1"/>
  <c r="G7" i="380"/>
  <c r="E7" i="380" s="1"/>
  <c r="D7" i="380" s="1"/>
  <c r="C7" i="380" s="1"/>
  <c r="AZ7" i="96" s="1"/>
  <c r="AA19" i="96"/>
  <c r="S19" i="489" s="1"/>
  <c r="G19" i="380"/>
  <c r="E19" i="380" s="1"/>
  <c r="D19" i="380" s="1"/>
  <c r="AA11" i="96"/>
  <c r="S11" i="489" s="1"/>
  <c r="G11" i="380"/>
  <c r="E11" i="380" s="1"/>
  <c r="D11" i="380" s="1"/>
  <c r="AA23" i="96"/>
  <c r="S23" i="489" s="1"/>
  <c r="G23" i="380"/>
  <c r="E23" i="380" s="1"/>
  <c r="D23" i="380" s="1"/>
  <c r="AA31" i="96"/>
  <c r="S31" i="489" s="1"/>
  <c r="G31" i="380"/>
  <c r="E31" i="380" s="1"/>
  <c r="D31" i="380" s="1"/>
  <c r="AA16" i="96"/>
  <c r="S16" i="489" s="1"/>
  <c r="G16" i="380"/>
  <c r="E16" i="380" s="1"/>
  <c r="D16" i="380" s="1"/>
  <c r="AA24" i="96"/>
  <c r="S24" i="489" s="1"/>
  <c r="G24" i="380"/>
  <c r="E24" i="380" s="1"/>
  <c r="D24" i="380" s="1"/>
  <c r="AA12" i="96"/>
  <c r="S12" i="489" s="1"/>
  <c r="G12" i="380"/>
  <c r="E12" i="380" s="1"/>
  <c r="D12" i="380" s="1"/>
  <c r="AA8" i="96"/>
  <c r="S8" i="489" s="1"/>
  <c r="G8" i="380"/>
  <c r="E8" i="380" s="1"/>
  <c r="D8" i="380" s="1"/>
  <c r="C8" i="380" s="1"/>
  <c r="AZ8" i="96" s="1"/>
  <c r="AA17" i="96"/>
  <c r="S17" i="489" s="1"/>
  <c r="G17" i="380"/>
  <c r="E17" i="380" s="1"/>
  <c r="D17" i="380" s="1"/>
  <c r="AA25" i="96"/>
  <c r="S25" i="489" s="1"/>
  <c r="G25" i="380"/>
  <c r="E25" i="380" s="1"/>
  <c r="D25" i="380" s="1"/>
  <c r="AA32" i="96"/>
  <c r="S32" i="489" s="1"/>
  <c r="G32" i="380"/>
  <c r="E32" i="380" s="1"/>
  <c r="D32" i="380" s="1"/>
  <c r="BY7" i="96"/>
  <c r="BY5" i="96"/>
  <c r="BY6" i="96"/>
  <c r="BY9" i="96"/>
  <c r="BY8" i="96"/>
  <c r="Z5" i="96"/>
  <c r="AB5" i="489" s="1"/>
  <c r="Z6" i="96"/>
  <c r="AB6" i="489" s="1"/>
  <c r="Z8" i="96"/>
  <c r="AB8" i="489" s="1"/>
  <c r="BX9" i="96"/>
  <c r="BX7" i="96"/>
  <c r="AF23" i="373"/>
  <c r="BV23" i="96" s="1"/>
  <c r="AB25" i="373"/>
  <c r="W25" i="96" s="1"/>
  <c r="Q25" i="489" s="1"/>
  <c r="AB27" i="373"/>
  <c r="W27" i="96" s="1"/>
  <c r="Q27" i="489" s="1"/>
  <c r="AF31" i="373"/>
  <c r="BV31" i="96" s="1"/>
  <c r="AB12" i="373"/>
  <c r="C12" i="373" s="1"/>
  <c r="AV12" i="96" s="1"/>
  <c r="AB5" i="373"/>
  <c r="W5" i="96" s="1"/>
  <c r="Q5" i="489" s="1"/>
  <c r="BV5" i="96"/>
  <c r="BV9" i="96"/>
  <c r="AB9" i="373"/>
  <c r="C9" i="373" s="1"/>
  <c r="AV9" i="96" s="1"/>
  <c r="AB6" i="373"/>
  <c r="W6" i="96" s="1"/>
  <c r="Q6" i="489" s="1"/>
  <c r="BV6" i="96"/>
  <c r="AB7" i="373"/>
  <c r="BV7" i="96"/>
  <c r="AF32" i="373"/>
  <c r="BV32" i="96" s="1"/>
  <c r="AF24" i="373"/>
  <c r="BV24" i="96" s="1"/>
  <c r="AF16" i="373"/>
  <c r="BV16" i="96" s="1"/>
  <c r="BV8" i="96"/>
  <c r="AF30" i="373"/>
  <c r="BV30" i="96" s="1"/>
  <c r="AF22" i="373"/>
  <c r="BV22" i="96" s="1"/>
  <c r="AF14" i="373"/>
  <c r="BV14" i="96" s="1"/>
  <c r="AB17" i="373"/>
  <c r="W17" i="96" s="1"/>
  <c r="Q17" i="489" s="1"/>
  <c r="AF29" i="373"/>
  <c r="BV29" i="96" s="1"/>
  <c r="AF21" i="373"/>
  <c r="BV21" i="96" s="1"/>
  <c r="AF13" i="373"/>
  <c r="BV13" i="96" s="1"/>
  <c r="AF28" i="373"/>
  <c r="BV28" i="96" s="1"/>
  <c r="AF20" i="373"/>
  <c r="BV20" i="96" s="1"/>
  <c r="AF15" i="373"/>
  <c r="BV15" i="96" s="1"/>
  <c r="AF35" i="373"/>
  <c r="BV35" i="96" s="1"/>
  <c r="AF19" i="373"/>
  <c r="BV19" i="96" s="1"/>
  <c r="AB33" i="373"/>
  <c r="W33" i="96" s="1"/>
  <c r="Q33" i="489" s="1"/>
  <c r="AF11" i="373"/>
  <c r="BV11" i="96" s="1"/>
  <c r="AF34" i="373"/>
  <c r="BV34" i="96" s="1"/>
  <c r="AF26" i="373"/>
  <c r="BV26" i="96" s="1"/>
  <c r="AF18" i="373"/>
  <c r="BV18" i="96" s="1"/>
  <c r="AF10" i="373"/>
  <c r="BV10" i="96" s="1"/>
  <c r="V29" i="96"/>
  <c r="AA29" i="489" s="1"/>
  <c r="V23" i="96"/>
  <c r="AA23" i="489" s="1"/>
  <c r="AF32" i="370"/>
  <c r="BU32" i="96" s="1"/>
  <c r="AF24" i="370"/>
  <c r="BU24" i="96" s="1"/>
  <c r="V25" i="96"/>
  <c r="AA25" i="489" s="1"/>
  <c r="AF16" i="370"/>
  <c r="BU16" i="96" s="1"/>
  <c r="V21" i="96"/>
  <c r="AA21" i="489" s="1"/>
  <c r="BU6" i="96"/>
  <c r="V6" i="96"/>
  <c r="AA6" i="489" s="1"/>
  <c r="BU9" i="96"/>
  <c r="V9" i="96"/>
  <c r="AA9" i="489" s="1"/>
  <c r="BU5" i="96"/>
  <c r="V5" i="96"/>
  <c r="AA5" i="489" s="1"/>
  <c r="V8" i="96"/>
  <c r="AA8" i="489" s="1"/>
  <c r="BU8" i="96"/>
  <c r="V7" i="96"/>
  <c r="AA7" i="489" s="1"/>
  <c r="BU7" i="96"/>
  <c r="V13" i="96"/>
  <c r="AA13" i="489" s="1"/>
  <c r="AF33" i="370"/>
  <c r="BU33" i="96" s="1"/>
  <c r="AF15" i="370"/>
  <c r="BU15" i="96" s="1"/>
  <c r="AF30" i="370"/>
  <c r="BU30" i="96" s="1"/>
  <c r="AF22" i="370"/>
  <c r="BU22" i="96" s="1"/>
  <c r="AF14" i="370"/>
  <c r="BU14" i="96" s="1"/>
  <c r="AF28" i="370"/>
  <c r="BU28" i="96" s="1"/>
  <c r="AF20" i="370"/>
  <c r="BU20" i="96" s="1"/>
  <c r="AF12" i="370"/>
  <c r="BU12" i="96" s="1"/>
  <c r="AF35" i="370"/>
  <c r="BU35" i="96" s="1"/>
  <c r="AF27" i="370"/>
  <c r="BU27" i="96" s="1"/>
  <c r="AF19" i="370"/>
  <c r="BU19" i="96" s="1"/>
  <c r="AF11" i="370"/>
  <c r="BU11" i="96" s="1"/>
  <c r="AF34" i="370"/>
  <c r="BU34" i="96" s="1"/>
  <c r="AF26" i="370"/>
  <c r="BU26" i="96" s="1"/>
  <c r="AF18" i="370"/>
  <c r="BU18" i="96" s="1"/>
  <c r="AF10" i="370"/>
  <c r="BU10" i="96" s="1"/>
  <c r="AB8" i="365"/>
  <c r="U8" i="96" s="1"/>
  <c r="P8" i="489" s="1"/>
  <c r="BT7" i="96"/>
  <c r="BT6" i="96"/>
  <c r="BT5" i="96"/>
  <c r="BT9" i="96"/>
  <c r="AB5" i="325"/>
  <c r="BL5" i="413" s="1"/>
  <c r="Y30" i="96"/>
  <c r="T30" i="489" s="1"/>
  <c r="Y21" i="96"/>
  <c r="T21" i="489" s="1"/>
  <c r="Y29" i="96"/>
  <c r="T29" i="489" s="1"/>
  <c r="Y27" i="96"/>
  <c r="T27" i="489" s="1"/>
  <c r="Y7" i="96"/>
  <c r="T7" i="489" s="1"/>
  <c r="Y8" i="96"/>
  <c r="T8" i="489" s="1"/>
  <c r="Y15" i="96"/>
  <c r="T15" i="489" s="1"/>
  <c r="Y23" i="96"/>
  <c r="T23" i="489" s="1"/>
  <c r="Y31" i="96"/>
  <c r="T31" i="489" s="1"/>
  <c r="Y9" i="96"/>
  <c r="T9" i="489" s="1"/>
  <c r="Y16" i="96"/>
  <c r="T16" i="489" s="1"/>
  <c r="Y24" i="96"/>
  <c r="T24" i="489" s="1"/>
  <c r="Y32" i="96"/>
  <c r="T32" i="489" s="1"/>
  <c r="Y14" i="96"/>
  <c r="T14" i="489" s="1"/>
  <c r="Y10" i="96"/>
  <c r="T10" i="489" s="1"/>
  <c r="Y17" i="96"/>
  <c r="T17" i="489" s="1"/>
  <c r="Y25" i="96"/>
  <c r="T25" i="489" s="1"/>
  <c r="Y33" i="96"/>
  <c r="T33" i="489" s="1"/>
  <c r="Y18" i="96"/>
  <c r="T18" i="489" s="1"/>
  <c r="Y26" i="96"/>
  <c r="T26" i="489" s="1"/>
  <c r="Y34" i="96"/>
  <c r="T34" i="489" s="1"/>
  <c r="Y35" i="96"/>
  <c r="T35" i="489" s="1"/>
  <c r="Y22" i="96"/>
  <c r="T22" i="489" s="1"/>
  <c r="Y12" i="96"/>
  <c r="Y20" i="96"/>
  <c r="T20" i="489" s="1"/>
  <c r="Y28" i="96"/>
  <c r="T28" i="489" s="1"/>
  <c r="L106" i="347"/>
  <c r="J85" i="117"/>
  <c r="AX38" i="413"/>
  <c r="D33" i="347"/>
  <c r="D25" i="347"/>
  <c r="D17" i="347"/>
  <c r="BS6" i="96"/>
  <c r="BW9" i="96"/>
  <c r="BW7" i="96"/>
  <c r="AB6" i="375"/>
  <c r="X6" i="96" s="1"/>
  <c r="R6" i="489" s="1"/>
  <c r="AB5" i="375"/>
  <c r="X5" i="96" s="1"/>
  <c r="R5" i="489" s="1"/>
  <c r="AA16" i="489" l="1"/>
  <c r="D96" i="96"/>
  <c r="T12" i="489"/>
  <c r="D91" i="96"/>
  <c r="R11" i="489"/>
  <c r="D90" i="96"/>
  <c r="I31" i="375"/>
  <c r="I30" i="126"/>
  <c r="AV14" i="134"/>
  <c r="AX14" i="96"/>
  <c r="AX13" i="96"/>
  <c r="AV13" i="134"/>
  <c r="AX10" i="96"/>
  <c r="AV10" i="134"/>
  <c r="AV7" i="134"/>
  <c r="AX7" i="96"/>
  <c r="AX9" i="96"/>
  <c r="AV9" i="134"/>
  <c r="AX11" i="96"/>
  <c r="AV11" i="134"/>
  <c r="AX12" i="96"/>
  <c r="AV12" i="134"/>
  <c r="AX8" i="96"/>
  <c r="AV8" i="134"/>
  <c r="W9" i="96"/>
  <c r="W12" i="96"/>
  <c r="Q12" i="489" s="1"/>
  <c r="W7" i="96"/>
  <c r="Q7" i="489" s="1"/>
  <c r="C7" i="373"/>
  <c r="AV7" i="96" s="1"/>
  <c r="C29" i="380"/>
  <c r="AZ29" i="96" s="1"/>
  <c r="C17" i="380"/>
  <c r="AZ17" i="96" s="1"/>
  <c r="C33" i="380"/>
  <c r="AZ33" i="96" s="1"/>
  <c r="C15" i="380"/>
  <c r="AZ15" i="96" s="1"/>
  <c r="C28" i="380"/>
  <c r="AZ28" i="96" s="1"/>
  <c r="C27" i="380"/>
  <c r="AZ27" i="96" s="1"/>
  <c r="C11" i="380"/>
  <c r="AZ11" i="96" s="1"/>
  <c r="C13" i="380"/>
  <c r="C25" i="380"/>
  <c r="AZ25" i="96" s="1"/>
  <c r="C37" i="380"/>
  <c r="C20" i="380"/>
  <c r="AZ20" i="96" s="1"/>
  <c r="C19" i="380"/>
  <c r="AZ19" i="96" s="1"/>
  <c r="C16" i="380"/>
  <c r="AZ16" i="96" s="1"/>
  <c r="C22" i="380"/>
  <c r="AZ22" i="96" s="1"/>
  <c r="C31" i="380"/>
  <c r="AZ31" i="96" s="1"/>
  <c r="C32" i="380"/>
  <c r="AZ32" i="96" s="1"/>
  <c r="C30" i="380"/>
  <c r="AZ30" i="96" s="1"/>
  <c r="C36" i="380"/>
  <c r="C34" i="380"/>
  <c r="AZ34" i="96" s="1"/>
  <c r="C18" i="380"/>
  <c r="AZ18" i="96" s="1"/>
  <c r="C24" i="380"/>
  <c r="AZ24" i="96" s="1"/>
  <c r="C23" i="380"/>
  <c r="AZ23" i="96" s="1"/>
  <c r="C35" i="380"/>
  <c r="AZ35" i="96" s="1"/>
  <c r="C12" i="380"/>
  <c r="AZ12" i="96" s="1"/>
  <c r="C14" i="380"/>
  <c r="AZ14" i="96" s="1"/>
  <c r="C26" i="380"/>
  <c r="AZ26" i="96" s="1"/>
  <c r="C21" i="380"/>
  <c r="AZ21" i="96" s="1"/>
  <c r="L107" i="347"/>
  <c r="J86" i="117"/>
  <c r="AX39" i="413"/>
  <c r="Q9" i="489" l="1"/>
  <c r="D89" i="96"/>
  <c r="I32" i="375"/>
  <c r="I31" i="126"/>
  <c r="AZ13" i="96"/>
  <c r="X76" i="16"/>
  <c r="L108" i="347"/>
  <c r="J87" i="117"/>
  <c r="AX40" i="413"/>
  <c r="I33" i="375" l="1"/>
  <c r="I32" i="126"/>
  <c r="L109" i="347"/>
  <c r="J88" i="117"/>
  <c r="AX41" i="413"/>
  <c r="Q13" i="347"/>
  <c r="C13" i="347" s="1"/>
  <c r="Q14" i="347"/>
  <c r="C14" i="347" s="1"/>
  <c r="Q15" i="347"/>
  <c r="C15" i="347" s="1"/>
  <c r="Q16" i="347"/>
  <c r="C16" i="347" s="1"/>
  <c r="Q17" i="347"/>
  <c r="C17" i="347" s="1"/>
  <c r="Q18" i="347"/>
  <c r="C18" i="347" s="1"/>
  <c r="Q19" i="347"/>
  <c r="C19" i="347" s="1"/>
  <c r="Q20" i="347"/>
  <c r="C20" i="347" s="1"/>
  <c r="Q21" i="347"/>
  <c r="C21" i="347" s="1"/>
  <c r="Q22" i="347"/>
  <c r="C22" i="347" s="1"/>
  <c r="Q23" i="347"/>
  <c r="C23" i="347" s="1"/>
  <c r="Q24" i="347"/>
  <c r="C24" i="347" s="1"/>
  <c r="Q25" i="347"/>
  <c r="C25" i="347" s="1"/>
  <c r="Q26" i="347"/>
  <c r="C26" i="347" s="1"/>
  <c r="Q27" i="347"/>
  <c r="C27" i="347" s="1"/>
  <c r="Q28" i="347"/>
  <c r="C28" i="347" s="1"/>
  <c r="Q29" i="347"/>
  <c r="C29" i="347" s="1"/>
  <c r="Q30" i="347"/>
  <c r="C30" i="347" s="1"/>
  <c r="Q31" i="347"/>
  <c r="C31" i="347" s="1"/>
  <c r="Q32" i="347"/>
  <c r="C32" i="347" s="1"/>
  <c r="Q33" i="347"/>
  <c r="C33" i="347" s="1"/>
  <c r="Q34" i="347"/>
  <c r="C34" i="347" s="1"/>
  <c r="Q35" i="347"/>
  <c r="C35" i="347" s="1"/>
  <c r="P48" i="347"/>
  <c r="P46" i="347"/>
  <c r="P45" i="347"/>
  <c r="P44" i="347"/>
  <c r="Q5" i="347"/>
  <c r="C5" i="347" s="1"/>
  <c r="Q6" i="347"/>
  <c r="C6" i="347" s="1"/>
  <c r="Q7" i="347"/>
  <c r="C7" i="347" s="1"/>
  <c r="Q8" i="347"/>
  <c r="C8" i="347" s="1"/>
  <c r="Q9" i="347"/>
  <c r="C9" i="347" s="1"/>
  <c r="Q10" i="347"/>
  <c r="C10" i="347" s="1"/>
  <c r="Q11" i="347"/>
  <c r="C11" i="347" s="1"/>
  <c r="Q12" i="347"/>
  <c r="C12" i="347" s="1"/>
  <c r="W83" i="58"/>
  <c r="W84" i="58"/>
  <c r="W85" i="58"/>
  <c r="W86" i="58"/>
  <c r="W87" i="58"/>
  <c r="W88" i="58"/>
  <c r="W89" i="58"/>
  <c r="W90" i="58"/>
  <c r="W91" i="58"/>
  <c r="W92" i="58"/>
  <c r="W93" i="58"/>
  <c r="W94" i="58"/>
  <c r="W95" i="58"/>
  <c r="W96" i="58"/>
  <c r="W97" i="58"/>
  <c r="W98" i="58"/>
  <c r="W99" i="58"/>
  <c r="W100" i="58"/>
  <c r="W101" i="58"/>
  <c r="W102" i="58"/>
  <c r="W103" i="58"/>
  <c r="W104" i="58"/>
  <c r="W105" i="58"/>
  <c r="W106" i="58"/>
  <c r="W107" i="58"/>
  <c r="W108" i="58"/>
  <c r="W109" i="58"/>
  <c r="W110" i="58"/>
  <c r="W82" i="58"/>
  <c r="I8" i="65"/>
  <c r="I7" i="65" s="1"/>
  <c r="I6" i="65" s="1"/>
  <c r="I5" i="65" s="1"/>
  <c r="V88"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87" i="65"/>
  <c r="I12" i="301"/>
  <c r="AM24" i="20"/>
  <c r="AC106" i="16"/>
  <c r="AC107" i="16"/>
  <c r="AC108" i="16"/>
  <c r="AC109" i="16"/>
  <c r="AC110" i="16"/>
  <c r="AC111" i="16"/>
  <c r="AC112" i="16"/>
  <c r="AC113" i="16"/>
  <c r="AC105" i="16"/>
  <c r="AA25" i="346"/>
  <c r="AC25" i="346" s="1"/>
  <c r="P25" i="346"/>
  <c r="P24" i="346"/>
  <c r="P23" i="346"/>
  <c r="P22" i="346"/>
  <c r="P21" i="346"/>
  <c r="P20" i="346"/>
  <c r="P19" i="346"/>
  <c r="P18" i="346"/>
  <c r="P17" i="346"/>
  <c r="P16" i="346"/>
  <c r="P15" i="346"/>
  <c r="P14" i="346"/>
  <c r="P13" i="346"/>
  <c r="P12" i="346"/>
  <c r="P11" i="346"/>
  <c r="P10" i="346"/>
  <c r="P9" i="346"/>
  <c r="P8" i="346"/>
  <c r="P7" i="346"/>
  <c r="P6" i="346"/>
  <c r="Y5" i="346"/>
  <c r="Y6" i="346" s="1"/>
  <c r="P5" i="346"/>
  <c r="AA4" i="346"/>
  <c r="AC4" i="346" s="1"/>
  <c r="P4" i="346"/>
  <c r="AA5" i="346" l="1"/>
  <c r="AC5" i="346" s="1"/>
  <c r="G24" i="20"/>
  <c r="AI24" i="20"/>
  <c r="I34" i="375"/>
  <c r="I33" i="126"/>
  <c r="M88" i="65"/>
  <c r="Z126" i="65" s="1"/>
  <c r="L110" i="347"/>
  <c r="J89" i="117"/>
  <c r="AX42" i="413"/>
  <c r="Y7" i="346"/>
  <c r="AA6" i="346"/>
  <c r="AC6" i="346" s="1"/>
  <c r="I34" i="126" l="1"/>
  <c r="L111" i="347"/>
  <c r="J90" i="117"/>
  <c r="AX43" i="413"/>
  <c r="Y8" i="346"/>
  <c r="AA7" i="346"/>
  <c r="AC7" i="346" s="1"/>
  <c r="L112" i="347" l="1"/>
  <c r="I95" i="117"/>
  <c r="I105" i="117"/>
  <c r="D105" i="117" s="1"/>
  <c r="I98" i="117"/>
  <c r="I100" i="117"/>
  <c r="I96" i="117"/>
  <c r="I101" i="117"/>
  <c r="I103" i="117"/>
  <c r="I92" i="117"/>
  <c r="I104" i="117"/>
  <c r="D104" i="117" s="1"/>
  <c r="I99" i="117"/>
  <c r="I97" i="117"/>
  <c r="I106" i="117"/>
  <c r="D106" i="117" s="1"/>
  <c r="I94" i="117"/>
  <c r="I102" i="117"/>
  <c r="I93" i="117"/>
  <c r="AX44" i="413"/>
  <c r="Y9" i="346"/>
  <c r="AA8" i="346"/>
  <c r="AC8" i="346" s="1"/>
  <c r="D100" i="117" l="1"/>
  <c r="H103" i="117"/>
  <c r="E103" i="117" s="1"/>
  <c r="BO47" i="413" s="1"/>
  <c r="D96" i="117"/>
  <c r="H99" i="117"/>
  <c r="E99" i="117" s="1"/>
  <c r="BO43" i="413" s="1"/>
  <c r="D97" i="117"/>
  <c r="H100" i="117"/>
  <c r="E100" i="117" s="1"/>
  <c r="BO44" i="413" s="1"/>
  <c r="D99" i="117"/>
  <c r="H102" i="117"/>
  <c r="E102" i="117" s="1"/>
  <c r="BO46" i="413" s="1"/>
  <c r="D92" i="117"/>
  <c r="H95" i="117"/>
  <c r="E95" i="117" s="1"/>
  <c r="BO39" i="413" s="1"/>
  <c r="D94" i="117"/>
  <c r="H97" i="117"/>
  <c r="E97" i="117" s="1"/>
  <c r="BO41" i="413" s="1"/>
  <c r="D98" i="117"/>
  <c r="H101" i="117"/>
  <c r="E101" i="117" s="1"/>
  <c r="BO45" i="413" s="1"/>
  <c r="D95" i="117"/>
  <c r="H98" i="117"/>
  <c r="E98" i="117" s="1"/>
  <c r="BO42" i="413" s="1"/>
  <c r="D93" i="117"/>
  <c r="H96" i="117"/>
  <c r="E96" i="117" s="1"/>
  <c r="BO40" i="413" s="1"/>
  <c r="D103" i="117"/>
  <c r="H106" i="117"/>
  <c r="E106" i="117" s="1"/>
  <c r="BO50" i="413" s="1"/>
  <c r="D102" i="117"/>
  <c r="H105" i="117"/>
  <c r="E105" i="117" s="1"/>
  <c r="BO49" i="413" s="1"/>
  <c r="D101" i="117"/>
  <c r="H104" i="117"/>
  <c r="E104" i="117" s="1"/>
  <c r="BO48" i="413" s="1"/>
  <c r="AA9" i="346"/>
  <c r="AC9" i="346" s="1"/>
  <c r="Y10" i="346"/>
  <c r="Y11" i="346" l="1"/>
  <c r="AA10" i="346"/>
  <c r="AC10" i="346" s="1"/>
  <c r="Y115"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87" i="33"/>
  <c r="Y12" i="346" l="1"/>
  <c r="AA11" i="346"/>
  <c r="AC11" i="346" s="1"/>
  <c r="AA12" i="346" l="1"/>
  <c r="AC12" i="346" s="1"/>
  <c r="Y13" i="346"/>
  <c r="AA13" i="346" l="1"/>
  <c r="AC13" i="346" s="1"/>
  <c r="Y14" i="346"/>
  <c r="R5" i="96"/>
  <c r="E5" i="489" s="1"/>
  <c r="AA14" i="346" l="1"/>
  <c r="AC14" i="346" s="1"/>
  <c r="Y15" i="346"/>
  <c r="B4" i="325"/>
  <c r="AG35" i="325"/>
  <c r="AF35" i="325"/>
  <c r="BR35" i="96" s="1"/>
  <c r="AG34" i="325"/>
  <c r="AF34" i="325"/>
  <c r="AG33" i="325"/>
  <c r="AF33" i="325"/>
  <c r="AG32" i="325"/>
  <c r="AF32" i="325"/>
  <c r="AG31" i="325"/>
  <c r="AF31" i="325"/>
  <c r="BR31" i="96" s="1"/>
  <c r="AG30" i="325"/>
  <c r="AF30" i="325"/>
  <c r="AG29" i="325"/>
  <c r="AF29" i="325"/>
  <c r="BR29" i="96" s="1"/>
  <c r="AG28" i="325"/>
  <c r="AF28" i="325"/>
  <c r="AG27" i="325"/>
  <c r="AF27" i="325"/>
  <c r="AG26" i="325"/>
  <c r="AF26" i="325"/>
  <c r="AG25" i="325"/>
  <c r="AF25" i="325"/>
  <c r="AG24" i="325"/>
  <c r="AF24" i="325"/>
  <c r="AG23" i="325"/>
  <c r="AF23" i="325"/>
  <c r="AG22" i="325"/>
  <c r="AF22" i="325"/>
  <c r="AG21" i="325"/>
  <c r="AF21" i="325"/>
  <c r="BR21" i="96" s="1"/>
  <c r="AG20" i="325"/>
  <c r="AF20" i="325"/>
  <c r="AG19" i="325"/>
  <c r="AF19" i="325"/>
  <c r="BR19" i="96" s="1"/>
  <c r="AG18" i="325"/>
  <c r="AF18" i="325"/>
  <c r="AG17" i="325"/>
  <c r="AF17" i="325"/>
  <c r="AG16" i="325"/>
  <c r="AF16" i="325"/>
  <c r="AG15" i="325"/>
  <c r="AF15" i="325"/>
  <c r="BR15" i="96" s="1"/>
  <c r="AG14" i="325"/>
  <c r="AF14" i="325"/>
  <c r="AG13" i="325"/>
  <c r="BR13" i="96"/>
  <c r="AB13" i="325"/>
  <c r="AG12" i="325"/>
  <c r="AF12" i="325"/>
  <c r="AG11" i="325"/>
  <c r="AF11" i="325"/>
  <c r="AG10" i="325"/>
  <c r="AF10" i="325"/>
  <c r="AG9" i="325"/>
  <c r="AF9" i="325"/>
  <c r="AG8" i="325"/>
  <c r="AF8" i="325"/>
  <c r="AG7" i="325"/>
  <c r="AF7" i="325"/>
  <c r="AG6" i="325"/>
  <c r="AF6" i="325"/>
  <c r="R13" i="96" l="1"/>
  <c r="BL13" i="413"/>
  <c r="AB21" i="325"/>
  <c r="AB15" i="325"/>
  <c r="AB19" i="325"/>
  <c r="AB6" i="325"/>
  <c r="BR6" i="96"/>
  <c r="AB30" i="325"/>
  <c r="BR30" i="96"/>
  <c r="AB16" i="325"/>
  <c r="BR16" i="96"/>
  <c r="AB23" i="325"/>
  <c r="BR23" i="96"/>
  <c r="AB27" i="325"/>
  <c r="BR27" i="96"/>
  <c r="AB34" i="325"/>
  <c r="BR34" i="96"/>
  <c r="AB26" i="325"/>
  <c r="BR26" i="96"/>
  <c r="AB7" i="325"/>
  <c r="BR7" i="96"/>
  <c r="AB20" i="325"/>
  <c r="BR20" i="96"/>
  <c r="AB31" i="325"/>
  <c r="AB22" i="325"/>
  <c r="BR22" i="96"/>
  <c r="AB17" i="325"/>
  <c r="BR17" i="96"/>
  <c r="AB24" i="325"/>
  <c r="BR24" i="96"/>
  <c r="AB28" i="325"/>
  <c r="BR28" i="96"/>
  <c r="AB35" i="325"/>
  <c r="AB12" i="325"/>
  <c r="BR12" i="96"/>
  <c r="AB8" i="325"/>
  <c r="BR8" i="96"/>
  <c r="AB14" i="325"/>
  <c r="BR14" i="96"/>
  <c r="AB9" i="325"/>
  <c r="BR9" i="96"/>
  <c r="AB33" i="325"/>
  <c r="BR33" i="96"/>
  <c r="AB10" i="325"/>
  <c r="BR10" i="96"/>
  <c r="AB11" i="325"/>
  <c r="BR11" i="96"/>
  <c r="AB18" i="325"/>
  <c r="BR18" i="96"/>
  <c r="AB25" i="325"/>
  <c r="BR25" i="96"/>
  <c r="AB29" i="325"/>
  <c r="AB32" i="325"/>
  <c r="BR32" i="96"/>
  <c r="AA15" i="346"/>
  <c r="AC15" i="346" s="1"/>
  <c r="Y16" i="346"/>
  <c r="C18" i="96"/>
  <c r="BD18" i="96"/>
  <c r="AE18" i="221"/>
  <c r="AB18" i="221" s="1"/>
  <c r="O18" i="96" s="1"/>
  <c r="O18" i="489" s="1"/>
  <c r="AE5" i="221"/>
  <c r="AB5" i="221" s="1"/>
  <c r="O5" i="96" s="1"/>
  <c r="O5" i="489" s="1"/>
  <c r="AG35" i="226"/>
  <c r="BQ35" i="96" s="1"/>
  <c r="AF35" i="226"/>
  <c r="AB35" i="226" s="1"/>
  <c r="AG34" i="226"/>
  <c r="BQ34" i="96" s="1"/>
  <c r="AF34" i="226"/>
  <c r="AB34" i="226" s="1"/>
  <c r="AG33" i="226"/>
  <c r="BQ33" i="96" s="1"/>
  <c r="AF33" i="226"/>
  <c r="AB33" i="226" s="1"/>
  <c r="AG32" i="226"/>
  <c r="BQ32" i="96" s="1"/>
  <c r="AF32" i="226"/>
  <c r="AB32" i="226" s="1"/>
  <c r="AG31" i="226"/>
  <c r="BQ31" i="96" s="1"/>
  <c r="AF31" i="226"/>
  <c r="AB31" i="226" s="1"/>
  <c r="AG30" i="226"/>
  <c r="BQ30" i="96" s="1"/>
  <c r="AF30" i="226"/>
  <c r="AB30" i="226" s="1"/>
  <c r="AG29" i="226"/>
  <c r="BQ29" i="96" s="1"/>
  <c r="AF29" i="226"/>
  <c r="AB29" i="226" s="1"/>
  <c r="AG28" i="226"/>
  <c r="BQ28" i="96" s="1"/>
  <c r="AF28" i="226"/>
  <c r="AB28" i="226" s="1"/>
  <c r="AG27" i="226"/>
  <c r="BQ27" i="96" s="1"/>
  <c r="AF27" i="226"/>
  <c r="AB27" i="226" s="1"/>
  <c r="AG26" i="226"/>
  <c r="BQ26" i="96" s="1"/>
  <c r="AF26" i="226"/>
  <c r="AB26" i="226" s="1"/>
  <c r="AG25" i="226"/>
  <c r="BQ25" i="96" s="1"/>
  <c r="AF25" i="226"/>
  <c r="AB25" i="226" s="1"/>
  <c r="Q25" i="96" s="1"/>
  <c r="Z25" i="489" s="1"/>
  <c r="AG24" i="226"/>
  <c r="BQ24" i="96" s="1"/>
  <c r="AF24" i="226"/>
  <c r="AB24" i="226" s="1"/>
  <c r="AG23" i="226"/>
  <c r="BQ23" i="96" s="1"/>
  <c r="AF23" i="226"/>
  <c r="AB23" i="226" s="1"/>
  <c r="AG22" i="226"/>
  <c r="BQ22" i="96" s="1"/>
  <c r="AF22" i="226"/>
  <c r="AB22" i="226" s="1"/>
  <c r="AG21" i="226"/>
  <c r="BQ21" i="96" s="1"/>
  <c r="AF21" i="226"/>
  <c r="AB21" i="226" s="1"/>
  <c r="AG20" i="226"/>
  <c r="BQ20" i="96" s="1"/>
  <c r="AF20" i="226"/>
  <c r="AB20" i="226" s="1"/>
  <c r="Q20" i="96" s="1"/>
  <c r="Z20" i="489" s="1"/>
  <c r="AG19" i="226"/>
  <c r="BQ19" i="96" s="1"/>
  <c r="AF19" i="226"/>
  <c r="AB19" i="226" s="1"/>
  <c r="AG18" i="226"/>
  <c r="BQ18" i="96" s="1"/>
  <c r="AF18" i="226"/>
  <c r="AB18" i="226" s="1"/>
  <c r="AG17" i="226"/>
  <c r="BQ17" i="96" s="1"/>
  <c r="AF17" i="226"/>
  <c r="AB17" i="226" s="1"/>
  <c r="AG16" i="226"/>
  <c r="BQ16" i="96" s="1"/>
  <c r="AF16" i="226"/>
  <c r="AB16" i="226" s="1"/>
  <c r="AG15" i="226"/>
  <c r="BQ15" i="96" s="1"/>
  <c r="AF15" i="226"/>
  <c r="AB15" i="226" s="1"/>
  <c r="AG14" i="226"/>
  <c r="BQ14" i="96" s="1"/>
  <c r="AF14" i="226"/>
  <c r="AB14" i="226" s="1"/>
  <c r="AG13" i="226"/>
  <c r="BQ13" i="96" s="1"/>
  <c r="AF13" i="226"/>
  <c r="AB13" i="226" s="1"/>
  <c r="AG12" i="226"/>
  <c r="BQ12" i="96" s="1"/>
  <c r="AF12" i="226"/>
  <c r="AB12" i="226" s="1"/>
  <c r="AG11" i="226"/>
  <c r="BQ11" i="96" s="1"/>
  <c r="AF11" i="226"/>
  <c r="AB11" i="226" s="1"/>
  <c r="AG10" i="226"/>
  <c r="BQ10" i="96" s="1"/>
  <c r="AF10" i="226"/>
  <c r="AB10" i="226" s="1"/>
  <c r="AG9" i="226"/>
  <c r="BQ9" i="96" s="1"/>
  <c r="AF9" i="226"/>
  <c r="AB9" i="226" s="1"/>
  <c r="Q9" i="96" s="1"/>
  <c r="Z9" i="489" s="1"/>
  <c r="AG8" i="226"/>
  <c r="BQ8" i="96" s="1"/>
  <c r="AF8" i="226"/>
  <c r="AB8" i="226" s="1"/>
  <c r="Q8" i="96" s="1"/>
  <c r="Z8" i="489" s="1"/>
  <c r="AG7" i="226"/>
  <c r="BQ7" i="96" s="1"/>
  <c r="AF7" i="226"/>
  <c r="AB7" i="226" s="1"/>
  <c r="AG6" i="226"/>
  <c r="BQ6" i="96" s="1"/>
  <c r="AF6" i="226"/>
  <c r="AB6" i="226" s="1"/>
  <c r="AG5" i="226"/>
  <c r="BQ5" i="96" s="1"/>
  <c r="AF5" i="226"/>
  <c r="BP7" i="96"/>
  <c r="BP23" i="96"/>
  <c r="BP6" i="96"/>
  <c r="BP8" i="96"/>
  <c r="BP9" i="96"/>
  <c r="BP10" i="96"/>
  <c r="BP11" i="96"/>
  <c r="BP12" i="96"/>
  <c r="BP13" i="96"/>
  <c r="BP14" i="96"/>
  <c r="BP15" i="96"/>
  <c r="BP16" i="96"/>
  <c r="BP17" i="96"/>
  <c r="BP18" i="96"/>
  <c r="BP19" i="96"/>
  <c r="BP20" i="96"/>
  <c r="BP21" i="96"/>
  <c r="BP22" i="96"/>
  <c r="BP24" i="96"/>
  <c r="BP25" i="96"/>
  <c r="BP26" i="96"/>
  <c r="BP27" i="96"/>
  <c r="BP28" i="96"/>
  <c r="BP29" i="96"/>
  <c r="BP30" i="96"/>
  <c r="BP31" i="96"/>
  <c r="BP32" i="96"/>
  <c r="BP33" i="96"/>
  <c r="BP34" i="96"/>
  <c r="BP35" i="96"/>
  <c r="BP5" i="96"/>
  <c r="AB6" i="224"/>
  <c r="P5" i="96" s="1"/>
  <c r="U5" i="489" s="1"/>
  <c r="AB7" i="224"/>
  <c r="AB8" i="224"/>
  <c r="AB11" i="224"/>
  <c r="AB12" i="224"/>
  <c r="AB13" i="224"/>
  <c r="AB14" i="224"/>
  <c r="P13" i="96" s="1"/>
  <c r="U13" i="489" s="1"/>
  <c r="AB15" i="224"/>
  <c r="P14" i="96" s="1"/>
  <c r="U14" i="489" s="1"/>
  <c r="AB16" i="224"/>
  <c r="P15" i="96" s="1"/>
  <c r="AB20" i="224"/>
  <c r="P19" i="96" s="1"/>
  <c r="U19" i="489" s="1"/>
  <c r="AB21" i="224"/>
  <c r="P20" i="96" s="1"/>
  <c r="U20" i="489" s="1"/>
  <c r="AB22" i="224"/>
  <c r="P21" i="96" s="1"/>
  <c r="U21" i="489" s="1"/>
  <c r="AB23" i="224"/>
  <c r="P22" i="96" s="1"/>
  <c r="U22" i="489" s="1"/>
  <c r="AB24" i="224"/>
  <c r="P23" i="96" s="1"/>
  <c r="U23" i="489" s="1"/>
  <c r="AB27" i="224"/>
  <c r="P26" i="96" s="1"/>
  <c r="U26" i="489" s="1"/>
  <c r="AB28" i="224"/>
  <c r="P27" i="96" s="1"/>
  <c r="U27" i="489" s="1"/>
  <c r="AB29" i="224"/>
  <c r="P28" i="96" s="1"/>
  <c r="U28" i="489" s="1"/>
  <c r="AB31" i="224"/>
  <c r="P30" i="96" s="1"/>
  <c r="U30" i="489" s="1"/>
  <c r="AB32" i="224"/>
  <c r="P31" i="96" s="1"/>
  <c r="U31" i="489" s="1"/>
  <c r="AB33" i="224"/>
  <c r="P32" i="96" s="1"/>
  <c r="U32" i="489" s="1"/>
  <c r="AB34" i="224"/>
  <c r="P33" i="96" s="1"/>
  <c r="U33" i="489" s="1"/>
  <c r="AB35" i="224"/>
  <c r="P34" i="96" s="1"/>
  <c r="U34" i="489" s="1"/>
  <c r="AB36" i="224"/>
  <c r="AB30" i="224"/>
  <c r="P29" i="96" s="1"/>
  <c r="U29" i="489" s="1"/>
  <c r="AB26" i="224"/>
  <c r="P25" i="96" s="1"/>
  <c r="U25" i="489" s="1"/>
  <c r="AB25" i="224"/>
  <c r="P24" i="96" s="1"/>
  <c r="U24" i="489" s="1"/>
  <c r="AB19" i="224"/>
  <c r="P18" i="96" s="1"/>
  <c r="U18" i="489" s="1"/>
  <c r="AB18" i="224"/>
  <c r="P17" i="96" s="1"/>
  <c r="U17" i="489" s="1"/>
  <c r="AB17" i="224"/>
  <c r="P16" i="96" s="1"/>
  <c r="U16" i="489" s="1"/>
  <c r="AB10" i="224"/>
  <c r="AB9" i="224"/>
  <c r="BJ5" i="96"/>
  <c r="AE34" i="221"/>
  <c r="AB34" i="221" s="1"/>
  <c r="O34" i="96" s="1"/>
  <c r="O34" i="489" s="1"/>
  <c r="AE35" i="221"/>
  <c r="BO35" i="96" s="1"/>
  <c r="AE13" i="221"/>
  <c r="AB13" i="221" s="1"/>
  <c r="O13" i="96" s="1"/>
  <c r="O13" i="489" s="1"/>
  <c r="AE6" i="221"/>
  <c r="AB6" i="221" s="1"/>
  <c r="O6" i="96" s="1"/>
  <c r="O6" i="489" s="1"/>
  <c r="AE33" i="221"/>
  <c r="AB33" i="221" s="1"/>
  <c r="O33" i="96" s="1"/>
  <c r="O33" i="489" s="1"/>
  <c r="AE32" i="221"/>
  <c r="AB32" i="221" s="1"/>
  <c r="O32" i="96" s="1"/>
  <c r="O32" i="489" s="1"/>
  <c r="AE31" i="221"/>
  <c r="AB31" i="221" s="1"/>
  <c r="O31" i="96" s="1"/>
  <c r="O31" i="489" s="1"/>
  <c r="AE30" i="221"/>
  <c r="BO30" i="96" s="1"/>
  <c r="AE29" i="221"/>
  <c r="AB29" i="221" s="1"/>
  <c r="O29" i="96" s="1"/>
  <c r="O29" i="489" s="1"/>
  <c r="AE28" i="221"/>
  <c r="AB28" i="221" s="1"/>
  <c r="O28" i="96" s="1"/>
  <c r="O28" i="489" s="1"/>
  <c r="AE27" i="221"/>
  <c r="AB27" i="221" s="1"/>
  <c r="O27" i="96" s="1"/>
  <c r="O27" i="489" s="1"/>
  <c r="AE26" i="221"/>
  <c r="BO26" i="96" s="1"/>
  <c r="AE25" i="221"/>
  <c r="AB25" i="221" s="1"/>
  <c r="O25" i="96" s="1"/>
  <c r="O25" i="489" s="1"/>
  <c r="AE24" i="221"/>
  <c r="AB24" i="221" s="1"/>
  <c r="O24" i="96" s="1"/>
  <c r="O24" i="489" s="1"/>
  <c r="AE23" i="221"/>
  <c r="AB23" i="221" s="1"/>
  <c r="O23" i="96" s="1"/>
  <c r="O23" i="489" s="1"/>
  <c r="AE22" i="221"/>
  <c r="AB22" i="221" s="1"/>
  <c r="O22" i="96" s="1"/>
  <c r="O22" i="489" s="1"/>
  <c r="AE21" i="221"/>
  <c r="AB21" i="221" s="1"/>
  <c r="O21" i="96" s="1"/>
  <c r="O21" i="489" s="1"/>
  <c r="AE20" i="221"/>
  <c r="AB20" i="221" s="1"/>
  <c r="O20" i="96" s="1"/>
  <c r="O20" i="489" s="1"/>
  <c r="AE19" i="221"/>
  <c r="AB19" i="221" s="1"/>
  <c r="O19" i="96" s="1"/>
  <c r="O19" i="489" s="1"/>
  <c r="AE17" i="221"/>
  <c r="AB17" i="221" s="1"/>
  <c r="O17" i="96" s="1"/>
  <c r="O17" i="489" s="1"/>
  <c r="AE16" i="221"/>
  <c r="AB16" i="221" s="1"/>
  <c r="O16" i="96" s="1"/>
  <c r="O16" i="489" s="1"/>
  <c r="AE15" i="221"/>
  <c r="AB15" i="221" s="1"/>
  <c r="O15" i="96" s="1"/>
  <c r="O15" i="489" s="1"/>
  <c r="AE14" i="221"/>
  <c r="AB14" i="221" s="1"/>
  <c r="O14" i="96" s="1"/>
  <c r="AE12" i="221"/>
  <c r="BO12" i="96" s="1"/>
  <c r="AE11" i="221"/>
  <c r="AB11" i="221" s="1"/>
  <c r="AE10" i="221"/>
  <c r="AB10" i="221" s="1"/>
  <c r="AE9" i="221"/>
  <c r="AB9" i="221" s="1"/>
  <c r="AE8" i="221"/>
  <c r="BO8" i="96" s="1"/>
  <c r="AE7" i="221"/>
  <c r="AB7" i="221" s="1"/>
  <c r="R32" i="96" l="1"/>
  <c r="E32" i="489" s="1"/>
  <c r="BL32" i="413"/>
  <c r="R24" i="96"/>
  <c r="E24" i="489" s="1"/>
  <c r="BL24" i="413"/>
  <c r="R19" i="96"/>
  <c r="E19" i="489" s="1"/>
  <c r="BL19" i="413"/>
  <c r="R29" i="96"/>
  <c r="E29" i="489" s="1"/>
  <c r="BL29" i="413"/>
  <c r="R10" i="96"/>
  <c r="E10" i="489" s="1"/>
  <c r="BL10" i="413"/>
  <c r="R8" i="96"/>
  <c r="E8" i="489" s="1"/>
  <c r="BL8" i="413"/>
  <c r="R7" i="96"/>
  <c r="E7" i="489" s="1"/>
  <c r="BL7" i="413"/>
  <c r="R23" i="96"/>
  <c r="E23" i="489" s="1"/>
  <c r="BL23" i="413"/>
  <c r="R15" i="96"/>
  <c r="E15" i="489" s="1"/>
  <c r="BL15" i="413"/>
  <c r="R17" i="96"/>
  <c r="E17" i="489" s="1"/>
  <c r="BL17" i="413"/>
  <c r="R21" i="96"/>
  <c r="E21" i="489" s="1"/>
  <c r="BL21" i="413"/>
  <c r="U15" i="489"/>
  <c r="D94" i="96"/>
  <c r="R25" i="96"/>
  <c r="E25" i="489" s="1"/>
  <c r="BL25" i="413"/>
  <c r="R33" i="96"/>
  <c r="E33" i="489" s="1"/>
  <c r="BL33" i="413"/>
  <c r="R12" i="96"/>
  <c r="E12" i="489" s="1"/>
  <c r="BL12" i="413"/>
  <c r="R26" i="96"/>
  <c r="E26" i="489" s="1"/>
  <c r="BL26" i="413"/>
  <c r="R16" i="96"/>
  <c r="E16" i="489" s="1"/>
  <c r="BL16" i="413"/>
  <c r="R35" i="96"/>
  <c r="E35" i="489" s="1"/>
  <c r="BL35" i="413"/>
  <c r="R22" i="96"/>
  <c r="E22" i="489" s="1"/>
  <c r="BL22" i="413"/>
  <c r="R18" i="96"/>
  <c r="E18" i="489" s="1"/>
  <c r="BL18" i="413"/>
  <c r="R9" i="96"/>
  <c r="E9" i="489" s="1"/>
  <c r="BL9" i="413"/>
  <c r="R31" i="96"/>
  <c r="E31" i="489" s="1"/>
  <c r="BL31" i="413"/>
  <c r="R34" i="96"/>
  <c r="E34" i="489" s="1"/>
  <c r="BL34" i="413"/>
  <c r="R30" i="96"/>
  <c r="E30" i="489" s="1"/>
  <c r="BL30" i="413"/>
  <c r="O14" i="489"/>
  <c r="D87" i="96"/>
  <c r="R28" i="96"/>
  <c r="E28" i="489" s="1"/>
  <c r="BL28" i="413"/>
  <c r="R11" i="96"/>
  <c r="E11" i="489" s="1"/>
  <c r="BL11" i="413"/>
  <c r="R14" i="96"/>
  <c r="E14" i="489" s="1"/>
  <c r="BL14" i="413"/>
  <c r="R20" i="96"/>
  <c r="E20" i="489" s="1"/>
  <c r="BL20" i="413"/>
  <c r="R27" i="96"/>
  <c r="E27" i="489" s="1"/>
  <c r="BL27" i="413"/>
  <c r="R6" i="96"/>
  <c r="E6" i="489" s="1"/>
  <c r="BL6" i="413"/>
  <c r="E13" i="489"/>
  <c r="AB5" i="226"/>
  <c r="Q5" i="96" s="1"/>
  <c r="Z5" i="489" s="1"/>
  <c r="O10" i="96"/>
  <c r="O10" i="489" s="1"/>
  <c r="C10" i="221"/>
  <c r="AO10" i="96" s="1"/>
  <c r="O7" i="96"/>
  <c r="O7" i="489" s="1"/>
  <c r="C7" i="221"/>
  <c r="AO7" i="96" s="1"/>
  <c r="O9" i="96"/>
  <c r="O9" i="489" s="1"/>
  <c r="C9" i="221"/>
  <c r="AO9" i="96" s="1"/>
  <c r="O11" i="96"/>
  <c r="O11" i="489" s="1"/>
  <c r="C11" i="221"/>
  <c r="AO11" i="96" s="1"/>
  <c r="P10" i="96"/>
  <c r="U10" i="489" s="1"/>
  <c r="C11" i="224"/>
  <c r="AP11" i="96" s="1"/>
  <c r="P7" i="96"/>
  <c r="U7" i="489" s="1"/>
  <c r="C8" i="224"/>
  <c r="AP8" i="96" s="1"/>
  <c r="P6" i="96"/>
  <c r="U6" i="489" s="1"/>
  <c r="C7" i="224"/>
  <c r="AP7" i="96" s="1"/>
  <c r="P8" i="96"/>
  <c r="U8" i="489" s="1"/>
  <c r="C9" i="224"/>
  <c r="AP9" i="96" s="1"/>
  <c r="P9" i="96"/>
  <c r="U9" i="489" s="1"/>
  <c r="C10" i="224"/>
  <c r="AP10" i="96" s="1"/>
  <c r="P12" i="96"/>
  <c r="U12" i="489" s="1"/>
  <c r="C13" i="224"/>
  <c r="AP13" i="96" s="1"/>
  <c r="P11" i="96"/>
  <c r="U11" i="489" s="1"/>
  <c r="C12" i="224"/>
  <c r="AP12" i="96" s="1"/>
  <c r="P35" i="96"/>
  <c r="U35" i="489" s="1"/>
  <c r="Q35" i="96"/>
  <c r="Z35" i="489" s="1"/>
  <c r="Q7" i="96"/>
  <c r="Z7" i="489" s="1"/>
  <c r="Q19" i="96"/>
  <c r="Z19" i="489" s="1"/>
  <c r="Q12" i="96"/>
  <c r="Z12" i="489" s="1"/>
  <c r="Q16" i="96"/>
  <c r="Z16" i="489" s="1"/>
  <c r="Q24" i="96"/>
  <c r="Z24" i="489" s="1"/>
  <c r="Q28" i="96"/>
  <c r="Z28" i="489" s="1"/>
  <c r="Q32" i="96"/>
  <c r="Z32" i="489" s="1"/>
  <c r="Q31" i="96"/>
  <c r="Z31" i="489" s="1"/>
  <c r="Q23" i="96"/>
  <c r="Z23" i="489" s="1"/>
  <c r="Q17" i="96"/>
  <c r="Z17" i="489" s="1"/>
  <c r="Q21" i="96"/>
  <c r="Z21" i="489" s="1"/>
  <c r="Q29" i="96"/>
  <c r="Z29" i="489" s="1"/>
  <c r="Q33" i="96"/>
  <c r="Z33" i="489" s="1"/>
  <c r="Q15" i="96"/>
  <c r="Z15" i="489" s="1"/>
  <c r="Q13" i="96"/>
  <c r="Z13" i="489" s="1"/>
  <c r="Q11" i="96"/>
  <c r="Z11" i="489" s="1"/>
  <c r="Q27" i="96"/>
  <c r="Z27" i="489" s="1"/>
  <c r="Q6" i="96"/>
  <c r="Z6" i="489" s="1"/>
  <c r="Q10" i="96"/>
  <c r="Z10" i="489" s="1"/>
  <c r="Q14" i="96"/>
  <c r="Q18" i="96"/>
  <c r="Z18" i="489" s="1"/>
  <c r="Q22" i="96"/>
  <c r="Z22" i="489" s="1"/>
  <c r="Q26" i="96"/>
  <c r="Z26" i="489" s="1"/>
  <c r="Q30" i="96"/>
  <c r="Z30" i="489" s="1"/>
  <c r="Q34" i="96"/>
  <c r="Z34" i="489" s="1"/>
  <c r="AB8" i="221"/>
  <c r="Y17" i="346"/>
  <c r="AA16" i="346"/>
  <c r="AC16" i="346" s="1"/>
  <c r="BO21" i="96"/>
  <c r="AB30" i="221"/>
  <c r="O30" i="96" s="1"/>
  <c r="O30" i="489" s="1"/>
  <c r="BO27" i="96"/>
  <c r="BO22" i="96"/>
  <c r="BO14" i="96"/>
  <c r="BO29" i="96"/>
  <c r="BO13" i="96"/>
  <c r="AB12" i="221"/>
  <c r="AB26" i="221"/>
  <c r="O26" i="96" s="1"/>
  <c r="O26" i="489" s="1"/>
  <c r="BO5" i="96"/>
  <c r="BO28" i="96"/>
  <c r="BO20" i="96"/>
  <c r="BO19" i="96"/>
  <c r="BO34" i="96"/>
  <c r="BO18" i="96"/>
  <c r="BO10" i="96"/>
  <c r="BO11" i="96"/>
  <c r="BO33" i="96"/>
  <c r="BO25" i="96"/>
  <c r="BO17" i="96"/>
  <c r="BO9" i="96"/>
  <c r="BO6" i="96"/>
  <c r="BO32" i="96"/>
  <c r="BO24" i="96"/>
  <c r="BO16" i="96"/>
  <c r="BO31" i="96"/>
  <c r="BO23" i="96"/>
  <c r="BO15" i="96"/>
  <c r="BO7" i="96"/>
  <c r="AB35" i="221"/>
  <c r="O35" i="96" s="1"/>
  <c r="O35" i="489" s="1"/>
  <c r="AE5" i="218"/>
  <c r="BN5" i="96" s="1"/>
  <c r="AE35" i="218"/>
  <c r="AE34" i="218"/>
  <c r="AE33" i="218"/>
  <c r="AE32" i="218"/>
  <c r="AE31" i="218"/>
  <c r="AE30" i="218"/>
  <c r="AE29" i="218"/>
  <c r="AE28" i="218"/>
  <c r="AE27" i="218"/>
  <c r="AE26" i="218"/>
  <c r="AE25" i="218"/>
  <c r="AE24" i="218"/>
  <c r="AE23" i="218"/>
  <c r="AE22" i="218"/>
  <c r="BN22" i="96" s="1"/>
  <c r="AE21" i="218"/>
  <c r="AE20" i="218"/>
  <c r="AE19" i="218"/>
  <c r="AE18" i="218"/>
  <c r="AE17" i="218"/>
  <c r="BN17" i="96" s="1"/>
  <c r="AE16" i="218"/>
  <c r="AE15" i="218"/>
  <c r="AE14" i="218"/>
  <c r="AE13" i="218"/>
  <c r="AE12" i="218"/>
  <c r="AE11" i="218"/>
  <c r="BN11" i="96" s="1"/>
  <c r="AE10" i="218"/>
  <c r="AE9" i="218"/>
  <c r="AE8" i="218"/>
  <c r="BN8" i="96" s="1"/>
  <c r="AE7" i="218"/>
  <c r="AE6" i="218"/>
  <c r="AB5" i="218"/>
  <c r="N5" i="96" s="1"/>
  <c r="Y5" i="489" s="1"/>
  <c r="BM5" i="96"/>
  <c r="AB35" i="216"/>
  <c r="M35" i="96" s="1"/>
  <c r="D35" i="489" s="1"/>
  <c r="AB34" i="216"/>
  <c r="M34" i="96" s="1"/>
  <c r="D34" i="489" s="1"/>
  <c r="AB33" i="216"/>
  <c r="M33" i="96" s="1"/>
  <c r="D33" i="489" s="1"/>
  <c r="AB32" i="216"/>
  <c r="M32" i="96" s="1"/>
  <c r="D32" i="489" s="1"/>
  <c r="AB31" i="216"/>
  <c r="M31" i="96" s="1"/>
  <c r="D31" i="489" s="1"/>
  <c r="AB30" i="216"/>
  <c r="M30" i="96" s="1"/>
  <c r="D30" i="489" s="1"/>
  <c r="AB29" i="216"/>
  <c r="M29" i="96" s="1"/>
  <c r="D29" i="489" s="1"/>
  <c r="AB28" i="216"/>
  <c r="M28" i="96" s="1"/>
  <c r="D28" i="489" s="1"/>
  <c r="AB27" i="216"/>
  <c r="M27" i="96" s="1"/>
  <c r="D27" i="489" s="1"/>
  <c r="AB26" i="216"/>
  <c r="M26" i="96" s="1"/>
  <c r="D26" i="489" s="1"/>
  <c r="AB25" i="216"/>
  <c r="M25" i="96" s="1"/>
  <c r="D25" i="489" s="1"/>
  <c r="AB24" i="216"/>
  <c r="M24" i="96" s="1"/>
  <c r="D24" i="489" s="1"/>
  <c r="AB23" i="216"/>
  <c r="M23" i="96" s="1"/>
  <c r="D23" i="489" s="1"/>
  <c r="AB22" i="216"/>
  <c r="M22" i="96" s="1"/>
  <c r="D22" i="489" s="1"/>
  <c r="AB21" i="216"/>
  <c r="M21" i="96" s="1"/>
  <c r="D21" i="489" s="1"/>
  <c r="AB20" i="216"/>
  <c r="M20" i="96" s="1"/>
  <c r="D20" i="489" s="1"/>
  <c r="AB19" i="216"/>
  <c r="M19" i="96" s="1"/>
  <c r="D19" i="489" s="1"/>
  <c r="AB18" i="216"/>
  <c r="M18" i="96" s="1"/>
  <c r="D18" i="489" s="1"/>
  <c r="AB17" i="216"/>
  <c r="M17" i="96" s="1"/>
  <c r="D17" i="489" s="1"/>
  <c r="AB16" i="216"/>
  <c r="M16" i="96" s="1"/>
  <c r="D16" i="489" s="1"/>
  <c r="AB15" i="216"/>
  <c r="M15" i="96" s="1"/>
  <c r="D15" i="489" s="1"/>
  <c r="AB14" i="216"/>
  <c r="M14" i="96" s="1"/>
  <c r="D14" i="489" s="1"/>
  <c r="AB13" i="216"/>
  <c r="M13" i="96" s="1"/>
  <c r="D13" i="489" s="1"/>
  <c r="AB12" i="216"/>
  <c r="M12" i="96" s="1"/>
  <c r="AB11" i="216"/>
  <c r="M11" i="96" s="1"/>
  <c r="D11" i="489" s="1"/>
  <c r="AB10" i="216"/>
  <c r="M10" i="96" s="1"/>
  <c r="D10" i="489" s="1"/>
  <c r="AB9" i="216"/>
  <c r="M9" i="96" s="1"/>
  <c r="D9" i="489" s="1"/>
  <c r="AB8" i="216"/>
  <c r="M8" i="96" s="1"/>
  <c r="D8" i="489" s="1"/>
  <c r="AB7" i="216"/>
  <c r="M7" i="96" s="1"/>
  <c r="D7" i="489" s="1"/>
  <c r="AB6" i="216"/>
  <c r="M6" i="96" s="1"/>
  <c r="D6" i="489" s="1"/>
  <c r="AB5" i="216"/>
  <c r="M5" i="96" s="1"/>
  <c r="D5" i="489" s="1"/>
  <c r="D78" i="96" l="1"/>
  <c r="Z14" i="489"/>
  <c r="D95" i="96"/>
  <c r="D12" i="489"/>
  <c r="D77" i="96"/>
  <c r="AB17" i="218"/>
  <c r="N17" i="96" s="1"/>
  <c r="Y17" i="489" s="1"/>
  <c r="O8" i="96"/>
  <c r="O8" i="489" s="1"/>
  <c r="C8" i="221"/>
  <c r="AO8" i="96" s="1"/>
  <c r="O12" i="96"/>
  <c r="O12" i="489" s="1"/>
  <c r="C12" i="221"/>
  <c r="AO12" i="96" s="1"/>
  <c r="BM32" i="96"/>
  <c r="AB19" i="218"/>
  <c r="N19" i="96" s="1"/>
  <c r="Y19" i="489" s="1"/>
  <c r="BN19" i="96"/>
  <c r="AB15" i="218"/>
  <c r="N15" i="96" s="1"/>
  <c r="Y15" i="489" s="1"/>
  <c r="BN15" i="96"/>
  <c r="AB22" i="218"/>
  <c r="N22" i="96" s="1"/>
  <c r="AB29" i="218"/>
  <c r="N29" i="96" s="1"/>
  <c r="Y29" i="489" s="1"/>
  <c r="BN29" i="96"/>
  <c r="AB23" i="218"/>
  <c r="N23" i="96" s="1"/>
  <c r="Y23" i="489" s="1"/>
  <c r="BN23" i="96"/>
  <c r="AB31" i="218"/>
  <c r="N31" i="96" s="1"/>
  <c r="Y31" i="489" s="1"/>
  <c r="BN31" i="96"/>
  <c r="AB11" i="218"/>
  <c r="N11" i="96" s="1"/>
  <c r="Y11" i="489" s="1"/>
  <c r="AB24" i="218"/>
  <c r="N24" i="96" s="1"/>
  <c r="Y24" i="489" s="1"/>
  <c r="BN24" i="96"/>
  <c r="AB32" i="218"/>
  <c r="N32" i="96" s="1"/>
  <c r="Y32" i="489" s="1"/>
  <c r="BN32" i="96"/>
  <c r="AB16" i="218"/>
  <c r="N16" i="96" s="1"/>
  <c r="Y16" i="489" s="1"/>
  <c r="BN16" i="96"/>
  <c r="AB18" i="218"/>
  <c r="N18" i="96" s="1"/>
  <c r="Y18" i="489" s="1"/>
  <c r="BN18" i="96"/>
  <c r="AB25" i="218"/>
  <c r="N25" i="96" s="1"/>
  <c r="Y25" i="489" s="1"/>
  <c r="BN25" i="96"/>
  <c r="AB33" i="218"/>
  <c r="N33" i="96" s="1"/>
  <c r="Y33" i="489" s="1"/>
  <c r="BN33" i="96"/>
  <c r="AB9" i="218"/>
  <c r="N9" i="96" s="1"/>
  <c r="Y9" i="489" s="1"/>
  <c r="BN9" i="96"/>
  <c r="AB30" i="218"/>
  <c r="N30" i="96" s="1"/>
  <c r="Y30" i="489" s="1"/>
  <c r="BN30" i="96"/>
  <c r="AB10" i="218"/>
  <c r="N10" i="96" s="1"/>
  <c r="Y10" i="489" s="1"/>
  <c r="BN10" i="96"/>
  <c r="AB12" i="218"/>
  <c r="N12" i="96" s="1"/>
  <c r="Y12" i="489" s="1"/>
  <c r="BN12" i="96"/>
  <c r="AB34" i="218"/>
  <c r="N34" i="96" s="1"/>
  <c r="Y34" i="489" s="1"/>
  <c r="BN34" i="96"/>
  <c r="AB7" i="218"/>
  <c r="N7" i="96" s="1"/>
  <c r="Y7" i="489" s="1"/>
  <c r="BN7" i="96"/>
  <c r="AB13" i="218"/>
  <c r="N13" i="96" s="1"/>
  <c r="Y13" i="489" s="1"/>
  <c r="BN13" i="96"/>
  <c r="AB20" i="218"/>
  <c r="N20" i="96" s="1"/>
  <c r="Y20" i="489" s="1"/>
  <c r="BN20" i="96"/>
  <c r="AB27" i="218"/>
  <c r="N27" i="96" s="1"/>
  <c r="Y27" i="489" s="1"/>
  <c r="BN27" i="96"/>
  <c r="AB35" i="218"/>
  <c r="N35" i="96" s="1"/>
  <c r="Y35" i="489" s="1"/>
  <c r="BN35" i="96"/>
  <c r="AB6" i="218"/>
  <c r="N6" i="96" s="1"/>
  <c r="Y6" i="489" s="1"/>
  <c r="BN6" i="96"/>
  <c r="AB26" i="218"/>
  <c r="N26" i="96" s="1"/>
  <c r="Y26" i="489" s="1"/>
  <c r="BN26" i="96"/>
  <c r="AB8" i="218"/>
  <c r="N8" i="96" s="1"/>
  <c r="Y8" i="489" s="1"/>
  <c r="AB14" i="218"/>
  <c r="N14" i="96" s="1"/>
  <c r="Y14" i="489" s="1"/>
  <c r="BN14" i="96"/>
  <c r="AB21" i="218"/>
  <c r="N21" i="96" s="1"/>
  <c r="Y21" i="489" s="1"/>
  <c r="BN21" i="96"/>
  <c r="AB28" i="218"/>
  <c r="N28" i="96" s="1"/>
  <c r="Y28" i="489" s="1"/>
  <c r="BN28" i="96"/>
  <c r="BM24" i="96"/>
  <c r="BM8" i="96"/>
  <c r="BM30" i="96"/>
  <c r="BM16" i="96"/>
  <c r="BM33" i="96"/>
  <c r="BM25" i="96"/>
  <c r="BM17" i="96"/>
  <c r="BM9" i="96"/>
  <c r="BM31" i="96"/>
  <c r="BM23" i="96"/>
  <c r="BM15" i="96"/>
  <c r="BM7" i="96"/>
  <c r="BM22" i="96"/>
  <c r="BM14" i="96"/>
  <c r="BM6" i="96"/>
  <c r="BM29" i="96"/>
  <c r="BM21" i="96"/>
  <c r="BM13" i="96"/>
  <c r="BM28" i="96"/>
  <c r="BM20" i="96"/>
  <c r="BM12" i="96"/>
  <c r="BM35" i="96"/>
  <c r="BM27" i="96"/>
  <c r="BM19" i="96"/>
  <c r="BM11" i="96"/>
  <c r="BM34" i="96"/>
  <c r="BM26" i="96"/>
  <c r="BM18" i="96"/>
  <c r="BM10" i="96"/>
  <c r="Y18" i="346"/>
  <c r="AA17" i="346"/>
  <c r="AC17" i="346" s="1"/>
  <c r="BL6" i="96"/>
  <c r="BL7" i="96"/>
  <c r="BL8" i="96"/>
  <c r="BL15" i="96"/>
  <c r="BL16" i="96"/>
  <c r="BL17" i="96"/>
  <c r="BL18" i="96"/>
  <c r="BL19" i="96"/>
  <c r="BL20" i="96"/>
  <c r="BL23" i="96"/>
  <c r="BL24" i="96"/>
  <c r="BL27" i="96"/>
  <c r="BL31" i="96"/>
  <c r="BL32" i="96"/>
  <c r="BL34" i="96"/>
  <c r="BL35" i="96"/>
  <c r="AB7" i="214"/>
  <c r="L6" i="96"/>
  <c r="AC6" i="489" s="1"/>
  <c r="BK5" i="96"/>
  <c r="BK6" i="96"/>
  <c r="AB35" i="209"/>
  <c r="AB34" i="209"/>
  <c r="AB33" i="209"/>
  <c r="AB32" i="209"/>
  <c r="AB31" i="209"/>
  <c r="AB30" i="209"/>
  <c r="AB29" i="209"/>
  <c r="AB28" i="209"/>
  <c r="AB27" i="209"/>
  <c r="BK26" i="96"/>
  <c r="AB25" i="209"/>
  <c r="AB24" i="209"/>
  <c r="K24" i="96" s="1"/>
  <c r="F24" i="489" s="1"/>
  <c r="AB23" i="209"/>
  <c r="AB22" i="209"/>
  <c r="K22" i="96" s="1"/>
  <c r="F22" i="489" s="1"/>
  <c r="AB21" i="209"/>
  <c r="AB20" i="209"/>
  <c r="BK19" i="96"/>
  <c r="AB18" i="209"/>
  <c r="AB17" i="209"/>
  <c r="AB16" i="209"/>
  <c r="K16" i="96" s="1"/>
  <c r="F16" i="489" s="1"/>
  <c r="AB15" i="209"/>
  <c r="BK14" i="96"/>
  <c r="AB13" i="209"/>
  <c r="C13" i="209" s="1"/>
  <c r="AK13" i="96" s="1"/>
  <c r="AB12" i="209"/>
  <c r="C12" i="209" s="1"/>
  <c r="AK12" i="96" s="1"/>
  <c r="AB11" i="209"/>
  <c r="C11" i="209" s="1"/>
  <c r="AK11" i="96" s="1"/>
  <c r="AB10" i="209"/>
  <c r="AB9" i="209"/>
  <c r="C9" i="209" s="1"/>
  <c r="AK9" i="96" s="1"/>
  <c r="AB8" i="209"/>
  <c r="C8" i="209" s="1"/>
  <c r="AK8" i="96" s="1"/>
  <c r="AB7" i="209"/>
  <c r="C7" i="209" s="1"/>
  <c r="AK7" i="96" s="1"/>
  <c r="BJ10" i="96"/>
  <c r="AN20" i="205"/>
  <c r="AN21" i="205"/>
  <c r="AN22" i="205"/>
  <c r="AN23" i="205"/>
  <c r="AN24" i="205"/>
  <c r="AN25" i="205"/>
  <c r="AN26" i="205"/>
  <c r="AN27" i="205"/>
  <c r="AN28" i="205"/>
  <c r="AN29" i="205"/>
  <c r="AN30" i="205"/>
  <c r="AN31" i="205"/>
  <c r="AN32" i="205"/>
  <c r="AN33" i="205"/>
  <c r="AN34" i="205"/>
  <c r="AN35" i="205"/>
  <c r="AN36" i="205"/>
  <c r="AN37" i="205"/>
  <c r="AN38" i="205"/>
  <c r="AN39" i="205"/>
  <c r="AN40" i="205"/>
  <c r="AN41" i="205"/>
  <c r="AN42" i="205"/>
  <c r="AN43" i="205"/>
  <c r="AN44" i="205"/>
  <c r="Y22" i="489" l="1"/>
  <c r="D93" i="96"/>
  <c r="K10" i="96"/>
  <c r="F10" i="489" s="1"/>
  <c r="C10" i="209"/>
  <c r="AK10" i="96" s="1"/>
  <c r="L7" i="96"/>
  <c r="AC7" i="489" s="1"/>
  <c r="AB8" i="214"/>
  <c r="AB15" i="214"/>
  <c r="AB23" i="214"/>
  <c r="AB19" i="214"/>
  <c r="AB24" i="214"/>
  <c r="AB18" i="214"/>
  <c r="AB32" i="214"/>
  <c r="AB16" i="214"/>
  <c r="AB35" i="214"/>
  <c r="AB31" i="214"/>
  <c r="AB17" i="214"/>
  <c r="K29" i="96"/>
  <c r="F29" i="489" s="1"/>
  <c r="K12" i="96"/>
  <c r="F12" i="489" s="1"/>
  <c r="K20" i="96"/>
  <c r="F20" i="489" s="1"/>
  <c r="K28" i="96"/>
  <c r="F28" i="489" s="1"/>
  <c r="K31" i="96"/>
  <c r="F31" i="489" s="1"/>
  <c r="K21" i="96"/>
  <c r="F21" i="489" s="1"/>
  <c r="K32" i="96"/>
  <c r="F32" i="489" s="1"/>
  <c r="K13" i="96"/>
  <c r="F13" i="489" s="1"/>
  <c r="K15" i="96"/>
  <c r="F15" i="489" s="1"/>
  <c r="K9" i="96"/>
  <c r="F9" i="489" s="1"/>
  <c r="K17" i="96"/>
  <c r="F17" i="489" s="1"/>
  <c r="K25" i="96"/>
  <c r="F25" i="489" s="1"/>
  <c r="K33" i="96"/>
  <c r="F33" i="489" s="1"/>
  <c r="K23" i="96"/>
  <c r="F23" i="489" s="1"/>
  <c r="K18" i="96"/>
  <c r="F18" i="489" s="1"/>
  <c r="K34" i="96"/>
  <c r="F34" i="489" s="1"/>
  <c r="K30" i="96"/>
  <c r="F30" i="489" s="1"/>
  <c r="K7" i="96"/>
  <c r="F7" i="489" s="1"/>
  <c r="K8" i="96"/>
  <c r="F8" i="489" s="1"/>
  <c r="K11" i="96"/>
  <c r="K27" i="96"/>
  <c r="F27" i="489" s="1"/>
  <c r="K35" i="96"/>
  <c r="F35" i="489" s="1"/>
  <c r="BK21" i="96"/>
  <c r="AB5" i="209"/>
  <c r="K5" i="96" s="1"/>
  <c r="F5" i="489" s="1"/>
  <c r="AN19" i="205"/>
  <c r="AN18" i="205"/>
  <c r="F18" i="205"/>
  <c r="E18" i="205" s="1"/>
  <c r="AN17" i="205"/>
  <c r="F17" i="205"/>
  <c r="AN16" i="205"/>
  <c r="I7" i="96"/>
  <c r="BJ34" i="96"/>
  <c r="BJ26" i="96"/>
  <c r="BJ18" i="96"/>
  <c r="Y19" i="346"/>
  <c r="AA18" i="346"/>
  <c r="AC18" i="346" s="1"/>
  <c r="BJ35" i="96"/>
  <c r="BJ27" i="96"/>
  <c r="BJ19" i="96"/>
  <c r="BJ11" i="96"/>
  <c r="BJ33" i="96"/>
  <c r="BJ25" i="96"/>
  <c r="BJ17" i="96"/>
  <c r="BJ9" i="96"/>
  <c r="BJ32" i="96"/>
  <c r="BJ24" i="96"/>
  <c r="BJ16" i="96"/>
  <c r="BJ8" i="96"/>
  <c r="BJ31" i="96"/>
  <c r="BJ23" i="96"/>
  <c r="BJ15" i="96"/>
  <c r="BJ7" i="96"/>
  <c r="BJ30" i="96"/>
  <c r="BJ22" i="96"/>
  <c r="BJ14" i="96"/>
  <c r="BJ29" i="96"/>
  <c r="BJ21" i="96"/>
  <c r="BJ13" i="96"/>
  <c r="BJ6" i="96"/>
  <c r="BJ28" i="96"/>
  <c r="BJ20" i="96"/>
  <c r="BJ12" i="96"/>
  <c r="AB20" i="214"/>
  <c r="AB27" i="214"/>
  <c r="AB29" i="214"/>
  <c r="BL29" i="96"/>
  <c r="AB21" i="214"/>
  <c r="BL21" i="96"/>
  <c r="AB13" i="214"/>
  <c r="BL13" i="96"/>
  <c r="AB30" i="214"/>
  <c r="BL30" i="96"/>
  <c r="AB14" i="214"/>
  <c r="BL14" i="96"/>
  <c r="L5" i="96"/>
  <c r="AC5" i="489" s="1"/>
  <c r="BL5" i="96"/>
  <c r="AB28" i="214"/>
  <c r="BL28" i="96"/>
  <c r="AB12" i="214"/>
  <c r="BL12" i="96"/>
  <c r="AB34" i="214"/>
  <c r="AB22" i="214"/>
  <c r="BL22" i="96"/>
  <c r="AB11" i="214"/>
  <c r="BL11" i="96"/>
  <c r="AB10" i="214"/>
  <c r="BL10" i="96"/>
  <c r="AB33" i="214"/>
  <c r="BL33" i="96"/>
  <c r="AB25" i="214"/>
  <c r="BL25" i="96"/>
  <c r="AB9" i="214"/>
  <c r="BL9" i="96"/>
  <c r="AB26" i="214"/>
  <c r="BL26" i="96"/>
  <c r="AB26" i="209"/>
  <c r="BK18" i="96"/>
  <c r="AB14" i="209"/>
  <c r="BK15" i="96"/>
  <c r="BK13" i="96"/>
  <c r="BK10" i="96"/>
  <c r="BK34" i="96"/>
  <c r="BK7" i="96"/>
  <c r="BK31" i="96"/>
  <c r="BK28" i="96"/>
  <c r="BK20" i="96"/>
  <c r="BK12" i="96"/>
  <c r="BK29" i="96"/>
  <c r="AB19" i="209"/>
  <c r="BK35" i="96"/>
  <c r="BK27" i="96"/>
  <c r="BK11" i="96"/>
  <c r="BK33" i="96"/>
  <c r="BK25" i="96"/>
  <c r="BK17" i="96"/>
  <c r="BK9" i="96"/>
  <c r="AB6" i="209"/>
  <c r="BK32" i="96"/>
  <c r="BK24" i="96"/>
  <c r="BK16" i="96"/>
  <c r="BK8" i="96"/>
  <c r="BK23" i="96"/>
  <c r="BK30" i="96"/>
  <c r="BK22" i="96"/>
  <c r="F11" i="489" l="1"/>
  <c r="D76" i="96"/>
  <c r="J9" i="96"/>
  <c r="N9" i="489" s="1"/>
  <c r="M7" i="489"/>
  <c r="N18" i="205"/>
  <c r="O18" i="205" s="1"/>
  <c r="L12" i="96"/>
  <c r="L10" i="96"/>
  <c r="AC10" i="489" s="1"/>
  <c r="L8" i="96"/>
  <c r="AC8" i="489" s="1"/>
  <c r="L9" i="96"/>
  <c r="AC9" i="489" s="1"/>
  <c r="L11" i="96"/>
  <c r="AC11" i="489" s="1"/>
  <c r="L32" i="96"/>
  <c r="AC32" i="489" s="1"/>
  <c r="L24" i="96"/>
  <c r="AC24" i="489" s="1"/>
  <c r="L34" i="96"/>
  <c r="AC34" i="489" s="1"/>
  <c r="L14" i="96"/>
  <c r="AC14" i="489" s="1"/>
  <c r="L29" i="96"/>
  <c r="AC29" i="489" s="1"/>
  <c r="L19" i="96"/>
  <c r="AC19" i="489" s="1"/>
  <c r="L18" i="96"/>
  <c r="AC18" i="489" s="1"/>
  <c r="L23" i="96"/>
  <c r="AC23" i="489" s="1"/>
  <c r="L33" i="96"/>
  <c r="AC33" i="489" s="1"/>
  <c r="L15" i="96"/>
  <c r="AC15" i="489" s="1"/>
  <c r="L22" i="96"/>
  <c r="AC22" i="489" s="1"/>
  <c r="L27" i="96"/>
  <c r="AC27" i="489" s="1"/>
  <c r="L20" i="96"/>
  <c r="AC20" i="489" s="1"/>
  <c r="L35" i="96"/>
  <c r="AC35" i="489" s="1"/>
  <c r="L21" i="96"/>
  <c r="AC21" i="489" s="1"/>
  <c r="L25" i="96"/>
  <c r="AC25" i="489" s="1"/>
  <c r="L17" i="96"/>
  <c r="AC17" i="489" s="1"/>
  <c r="L30" i="96"/>
  <c r="AC30" i="489" s="1"/>
  <c r="L31" i="96"/>
  <c r="AC31" i="489" s="1"/>
  <c r="L26" i="96"/>
  <c r="AC26" i="489" s="1"/>
  <c r="L28" i="96"/>
  <c r="AC28" i="489" s="1"/>
  <c r="L13" i="96"/>
  <c r="AC13" i="489" s="1"/>
  <c r="L16" i="96"/>
  <c r="AC16" i="489" s="1"/>
  <c r="K6" i="96"/>
  <c r="F6" i="489" s="1"/>
  <c r="K14" i="96"/>
  <c r="F14" i="489" s="1"/>
  <c r="K19" i="96"/>
  <c r="F19" i="489" s="1"/>
  <c r="K26" i="96"/>
  <c r="F26" i="489" s="1"/>
  <c r="N17" i="205"/>
  <c r="I8" i="96"/>
  <c r="I9" i="96"/>
  <c r="M9" i="489" s="1"/>
  <c r="Y20" i="346"/>
  <c r="AA19" i="346"/>
  <c r="AC19" i="346" s="1"/>
  <c r="BI35" i="96"/>
  <c r="BI13" i="96"/>
  <c r="BI14" i="96"/>
  <c r="BI15" i="96"/>
  <c r="BI16" i="96"/>
  <c r="BI17" i="96"/>
  <c r="BI18" i="96"/>
  <c r="BI19" i="96"/>
  <c r="BI20" i="96"/>
  <c r="BI21" i="96"/>
  <c r="BI22" i="96"/>
  <c r="BI23" i="96"/>
  <c r="BI24" i="96"/>
  <c r="BI25" i="96"/>
  <c r="BI26" i="96"/>
  <c r="BI27" i="96"/>
  <c r="BI28" i="96"/>
  <c r="BI29" i="96"/>
  <c r="BI30" i="96"/>
  <c r="BI31" i="96"/>
  <c r="BI32" i="96"/>
  <c r="BI33" i="96"/>
  <c r="BI34" i="96"/>
  <c r="AB7" i="200"/>
  <c r="H7" i="96" s="1"/>
  <c r="L7" i="489" s="1"/>
  <c r="AB8" i="200"/>
  <c r="BI9" i="96"/>
  <c r="AB10" i="200"/>
  <c r="H10" i="96" s="1"/>
  <c r="L10" i="489" s="1"/>
  <c r="AB11" i="200"/>
  <c r="H11" i="96" s="1"/>
  <c r="AB12" i="200"/>
  <c r="H12" i="96" s="1"/>
  <c r="L12" i="489" s="1"/>
  <c r="BI6" i="96"/>
  <c r="AC12" i="489" l="1"/>
  <c r="D92" i="96"/>
  <c r="J10" i="96"/>
  <c r="N10" i="489" s="1"/>
  <c r="M8" i="489"/>
  <c r="L11" i="489"/>
  <c r="D84" i="96"/>
  <c r="H8" i="96"/>
  <c r="L8" i="489" s="1"/>
  <c r="AB6" i="200"/>
  <c r="H6" i="96" s="1"/>
  <c r="L6" i="489" s="1"/>
  <c r="BI8" i="96"/>
  <c r="BI7" i="96"/>
  <c r="AA20" i="346"/>
  <c r="AC20" i="346" s="1"/>
  <c r="Y21" i="346"/>
  <c r="AB9" i="200"/>
  <c r="H9" i="96" s="1"/>
  <c r="L9" i="489" s="1"/>
  <c r="BI12" i="96"/>
  <c r="BI11" i="96"/>
  <c r="BI10" i="96"/>
  <c r="AB35" i="200"/>
  <c r="H35" i="96" s="1"/>
  <c r="L35" i="489" s="1"/>
  <c r="AB34" i="200"/>
  <c r="H34" i="96" s="1"/>
  <c r="L34" i="489" s="1"/>
  <c r="AB33" i="200"/>
  <c r="H33" i="96" s="1"/>
  <c r="L33" i="489" s="1"/>
  <c r="AB32" i="200"/>
  <c r="H32" i="96" s="1"/>
  <c r="L32" i="489" s="1"/>
  <c r="AB31" i="200"/>
  <c r="H31" i="96" s="1"/>
  <c r="L31" i="489" s="1"/>
  <c r="AB30" i="200"/>
  <c r="H30" i="96" s="1"/>
  <c r="L30" i="489" s="1"/>
  <c r="AB29" i="200"/>
  <c r="H29" i="96" s="1"/>
  <c r="L29" i="489" s="1"/>
  <c r="AB28" i="200"/>
  <c r="H28" i="96" s="1"/>
  <c r="L28" i="489" s="1"/>
  <c r="AB27" i="200"/>
  <c r="H27" i="96" s="1"/>
  <c r="L27" i="489" s="1"/>
  <c r="AB26" i="200"/>
  <c r="H26" i="96" s="1"/>
  <c r="L26" i="489" s="1"/>
  <c r="AB25" i="200"/>
  <c r="H25" i="96" s="1"/>
  <c r="L25" i="489" s="1"/>
  <c r="AB24" i="200"/>
  <c r="H24" i="96" s="1"/>
  <c r="L24" i="489" s="1"/>
  <c r="AB23" i="200"/>
  <c r="H23" i="96" s="1"/>
  <c r="L23" i="489" s="1"/>
  <c r="AB22" i="200"/>
  <c r="H22" i="96" s="1"/>
  <c r="L22" i="489" s="1"/>
  <c r="AB21" i="200"/>
  <c r="H21" i="96" s="1"/>
  <c r="L21" i="489" s="1"/>
  <c r="AB20" i="200"/>
  <c r="H20" i="96" s="1"/>
  <c r="L20" i="489" s="1"/>
  <c r="AB19" i="200"/>
  <c r="H19" i="96" s="1"/>
  <c r="L19" i="489" s="1"/>
  <c r="AB18" i="200"/>
  <c r="H18" i="96" s="1"/>
  <c r="L18" i="489" s="1"/>
  <c r="AB17" i="200"/>
  <c r="H17" i="96" s="1"/>
  <c r="L17" i="489" s="1"/>
  <c r="AB16" i="200"/>
  <c r="H16" i="96" s="1"/>
  <c r="L16" i="489" s="1"/>
  <c r="AB15" i="200"/>
  <c r="H15" i="96" s="1"/>
  <c r="L15" i="489" s="1"/>
  <c r="AB14" i="200"/>
  <c r="H14" i="96" s="1"/>
  <c r="L14" i="489" s="1"/>
  <c r="AB13" i="200"/>
  <c r="H13" i="96" s="1"/>
  <c r="L13" i="489" s="1"/>
  <c r="BI5" i="96"/>
  <c r="AB5" i="200"/>
  <c r="H5" i="96" s="1"/>
  <c r="L5" i="489" s="1"/>
  <c r="AB10" i="126"/>
  <c r="C10" i="126" l="1"/>
  <c r="AF10" i="96" s="1"/>
  <c r="Y22" i="346"/>
  <c r="AA21" i="346"/>
  <c r="AC21" i="346" s="1"/>
  <c r="I9" i="301"/>
  <c r="I15" i="301"/>
  <c r="Q27" i="301"/>
  <c r="R27" i="301" s="1"/>
  <c r="Q11" i="301"/>
  <c r="R11" i="301" s="1"/>
  <c r="Q9" i="301"/>
  <c r="R9" i="301"/>
  <c r="T9" i="301" s="1"/>
  <c r="Q15" i="301"/>
  <c r="R15" i="301" s="1"/>
  <c r="AA22" i="346" l="1"/>
  <c r="AC22" i="346" s="1"/>
  <c r="Y23" i="346"/>
  <c r="Y24" i="346" l="1"/>
  <c r="AA24" i="346" s="1"/>
  <c r="AC24" i="346" s="1"/>
  <c r="AA23" i="346"/>
  <c r="AC23" i="346" s="1"/>
  <c r="Q13" i="301" l="1"/>
  <c r="R13" i="301" s="1"/>
  <c r="E19" i="301"/>
  <c r="E35" i="301"/>
  <c r="E43" i="301"/>
  <c r="F34" i="288"/>
  <c r="D9" i="301"/>
  <c r="I10" i="301"/>
  <c r="D10" i="301" s="1"/>
  <c r="I11" i="301"/>
  <c r="D11" i="301" s="1"/>
  <c r="D12" i="301"/>
  <c r="S10" i="301" s="1"/>
  <c r="I13" i="301"/>
  <c r="D13" i="301" s="1"/>
  <c r="I14" i="301"/>
  <c r="D14" i="301" s="1"/>
  <c r="S11" i="301" s="1"/>
  <c r="D15" i="301"/>
  <c r="I22" i="301"/>
  <c r="D22" i="301" s="1"/>
  <c r="I23" i="301"/>
  <c r="D23" i="301" s="1"/>
  <c r="S16" i="301" s="1"/>
  <c r="I24" i="301"/>
  <c r="D24" i="301" s="1"/>
  <c r="I25" i="301"/>
  <c r="D25" i="301" s="1"/>
  <c r="S17" i="301" s="1"/>
  <c r="I26" i="301"/>
  <c r="D26" i="301" s="1"/>
  <c r="I27" i="301"/>
  <c r="D27" i="301" s="1"/>
  <c r="S18" i="301" s="1"/>
  <c r="I28" i="301"/>
  <c r="D28" i="301" s="1"/>
  <c r="I29" i="301"/>
  <c r="D29" i="301" s="1"/>
  <c r="S19" i="301" s="1"/>
  <c r="I30" i="301"/>
  <c r="D30" i="301" s="1"/>
  <c r="S20" i="301" s="1"/>
  <c r="I31" i="301"/>
  <c r="D31" i="301" s="1"/>
  <c r="I32" i="301"/>
  <c r="D32" i="301" s="1"/>
  <c r="S21" i="301" s="1"/>
  <c r="I33" i="301"/>
  <c r="D33" i="301" s="1"/>
  <c r="I34" i="301"/>
  <c r="D34" i="301" s="1"/>
  <c r="S22" i="301" s="1"/>
  <c r="I35" i="301"/>
  <c r="D35" i="301" s="1"/>
  <c r="I36" i="301"/>
  <c r="D36" i="301" s="1"/>
  <c r="S23" i="301" s="1"/>
  <c r="I37" i="301"/>
  <c r="D37" i="301" s="1"/>
  <c r="I38" i="301"/>
  <c r="D38" i="301" s="1"/>
  <c r="S24" i="301" s="1"/>
  <c r="I39" i="301"/>
  <c r="D39" i="301" s="1"/>
  <c r="I40" i="301"/>
  <c r="D40" i="301" s="1"/>
  <c r="S25" i="301" s="1"/>
  <c r="I41" i="301"/>
  <c r="D41" i="301" s="1"/>
  <c r="I42" i="301"/>
  <c r="D42" i="301" s="1"/>
  <c r="S26" i="301" s="1"/>
  <c r="I43" i="301"/>
  <c r="D43" i="301" s="1"/>
  <c r="S27" i="301" s="1"/>
  <c r="I44" i="301"/>
  <c r="D44" i="301" s="1"/>
  <c r="I45" i="301"/>
  <c r="D45" i="301" s="1"/>
  <c r="I46" i="301"/>
  <c r="D46" i="301" s="1"/>
  <c r="I47" i="301"/>
  <c r="D47" i="301" s="1"/>
  <c r="I48" i="301"/>
  <c r="D48" i="301" s="1"/>
  <c r="I49" i="301"/>
  <c r="D49" i="301" s="1"/>
  <c r="I50" i="301"/>
  <c r="D50" i="301" s="1"/>
  <c r="I51" i="301"/>
  <c r="D51" i="301" s="1"/>
  <c r="I52" i="301"/>
  <c r="D52" i="301" s="1"/>
  <c r="I53" i="301"/>
  <c r="D53" i="301" s="1"/>
  <c r="I54" i="301"/>
  <c r="D54" i="301" s="1"/>
  <c r="I16" i="301"/>
  <c r="D16" i="301" s="1"/>
  <c r="S12" i="301" s="1"/>
  <c r="D17" i="301"/>
  <c r="I18" i="301"/>
  <c r="D18" i="301" s="1"/>
  <c r="S13" i="301" s="1"/>
  <c r="I19" i="301"/>
  <c r="D19" i="301" s="1"/>
  <c r="S14" i="301" s="1"/>
  <c r="I20" i="301"/>
  <c r="D20" i="301" s="1"/>
  <c r="I21" i="301"/>
  <c r="D21" i="301" s="1"/>
  <c r="S15" i="301" s="1"/>
  <c r="H6" i="288"/>
  <c r="H7" i="288"/>
  <c r="E7" i="288" s="1"/>
  <c r="E17" i="301" s="1"/>
  <c r="H8" i="288"/>
  <c r="H9" i="288"/>
  <c r="E9" i="288" s="1"/>
  <c r="H10" i="288"/>
  <c r="E10" i="288" s="1"/>
  <c r="E20" i="301" s="1"/>
  <c r="H11" i="288"/>
  <c r="H12" i="288"/>
  <c r="E12" i="288" s="1"/>
  <c r="E22" i="301" s="1"/>
  <c r="H13" i="288"/>
  <c r="E13" i="288" s="1"/>
  <c r="E23" i="301" s="1"/>
  <c r="H14" i="288"/>
  <c r="H15" i="288"/>
  <c r="E15" i="288" s="1"/>
  <c r="E25" i="301" s="1"/>
  <c r="H16" i="288"/>
  <c r="H17" i="288"/>
  <c r="E17" i="288" s="1"/>
  <c r="E27" i="301" s="1"/>
  <c r="H18" i="288"/>
  <c r="E18" i="288" s="1"/>
  <c r="E28" i="301" s="1"/>
  <c r="H19" i="288"/>
  <c r="H20" i="288"/>
  <c r="E20" i="288" s="1"/>
  <c r="E30" i="301" s="1"/>
  <c r="H21" i="288"/>
  <c r="E21" i="288" s="1"/>
  <c r="E31" i="301" s="1"/>
  <c r="H22" i="288"/>
  <c r="H23" i="288"/>
  <c r="H24" i="288"/>
  <c r="H25" i="288"/>
  <c r="H26" i="288"/>
  <c r="E26" i="288" s="1"/>
  <c r="E36" i="301" s="1"/>
  <c r="H27" i="288"/>
  <c r="E27" i="288" s="1"/>
  <c r="E37" i="301" s="1"/>
  <c r="H28" i="288"/>
  <c r="E28" i="288" s="1"/>
  <c r="E38" i="301" s="1"/>
  <c r="H29" i="288"/>
  <c r="E29" i="288" s="1"/>
  <c r="E39" i="301" s="1"/>
  <c r="H30" i="288"/>
  <c r="H31" i="288"/>
  <c r="E31" i="288" s="1"/>
  <c r="E41" i="301" s="1"/>
  <c r="H32" i="288"/>
  <c r="H33" i="288"/>
  <c r="E33" i="288" s="1"/>
  <c r="H34" i="288"/>
  <c r="E34" i="288" s="1"/>
  <c r="E44" i="301" s="1"/>
  <c r="H35" i="288"/>
  <c r="E35" i="288" s="1"/>
  <c r="E45" i="301" s="1"/>
  <c r="H36" i="288"/>
  <c r="E36" i="288" s="1"/>
  <c r="E46" i="301" s="1"/>
  <c r="H37" i="288"/>
  <c r="E37" i="288" s="1"/>
  <c r="E47" i="301" s="1"/>
  <c r="H38" i="288"/>
  <c r="H39" i="288"/>
  <c r="E39" i="288" s="1"/>
  <c r="E49" i="301" s="1"/>
  <c r="H40" i="288"/>
  <c r="H41" i="288"/>
  <c r="E41" i="288" s="1"/>
  <c r="E51" i="301" s="1"/>
  <c r="H42" i="288"/>
  <c r="E42" i="288" s="1"/>
  <c r="E52" i="301" s="1"/>
  <c r="H43" i="288"/>
  <c r="H44" i="288"/>
  <c r="E44" i="288" s="1"/>
  <c r="E54" i="301" s="1"/>
  <c r="H5" i="288"/>
  <c r="E5" i="288" s="1"/>
  <c r="E15" i="301" s="1"/>
  <c r="E11" i="288"/>
  <c r="E21" i="301" s="1"/>
  <c r="E14" i="288"/>
  <c r="E24" i="301" s="1"/>
  <c r="E19" i="288"/>
  <c r="E29" i="301" s="1"/>
  <c r="E22" i="288"/>
  <c r="E32" i="301" s="1"/>
  <c r="E25" i="288"/>
  <c r="E30" i="288"/>
  <c r="E40" i="301" s="1"/>
  <c r="E38" i="288"/>
  <c r="E48" i="301" s="1"/>
  <c r="Q13" i="288"/>
  <c r="E40" i="288"/>
  <c r="E50" i="301" s="1"/>
  <c r="E43" i="288"/>
  <c r="E53" i="301" s="1"/>
  <c r="E6" i="288"/>
  <c r="E16" i="301" s="1"/>
  <c r="E8" i="288"/>
  <c r="E18" i="301" s="1"/>
  <c r="E16" i="288"/>
  <c r="E26" i="301" s="1"/>
  <c r="E23" i="288"/>
  <c r="E33" i="301" s="1"/>
  <c r="E24" i="288"/>
  <c r="E34" i="301" s="1"/>
  <c r="E32" i="288"/>
  <c r="E42" i="301" s="1"/>
  <c r="S13" i="288"/>
  <c r="S12" i="288"/>
  <c r="Q12" i="288" s="1"/>
  <c r="S5" i="288"/>
  <c r="Q5" i="288" s="1"/>
  <c r="S6" i="288"/>
  <c r="Q6" i="288" s="1"/>
  <c r="S7" i="288"/>
  <c r="Q7" i="288" s="1"/>
  <c r="S8" i="288"/>
  <c r="Q8" i="288" s="1"/>
  <c r="S9" i="288"/>
  <c r="Q9" i="288" s="1"/>
  <c r="S10" i="288"/>
  <c r="Q10" i="288" s="1"/>
  <c r="S11" i="288"/>
  <c r="Q11" i="288" s="1"/>
  <c r="S4" i="288"/>
  <c r="O13" i="288"/>
  <c r="P13" i="288" s="1"/>
  <c r="Z11" i="16"/>
  <c r="Z12" i="16"/>
  <c r="Z13" i="16"/>
  <c r="Z14" i="16"/>
  <c r="Z15" i="16"/>
  <c r="Z16" i="16"/>
  <c r="Z10" i="16"/>
  <c r="AN1" i="258"/>
  <c r="AO1" i="258"/>
  <c r="AP1" i="258"/>
  <c r="AQ1" i="258"/>
  <c r="AI1" i="258"/>
  <c r="R13" i="258"/>
  <c r="U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84" i="52"/>
  <c r="V84" i="51"/>
  <c r="W85" i="51"/>
  <c r="W86" i="51"/>
  <c r="W87" i="51"/>
  <c r="W88" i="51"/>
  <c r="W89" i="51"/>
  <c r="W90" i="51"/>
  <c r="W91" i="51"/>
  <c r="W92" i="51"/>
  <c r="W93" i="51"/>
  <c r="W94" i="51"/>
  <c r="W95" i="51"/>
  <c r="W96" i="51"/>
  <c r="W97" i="51"/>
  <c r="W98" i="51"/>
  <c r="W99" i="51"/>
  <c r="W100" i="51"/>
  <c r="W101" i="51"/>
  <c r="W102" i="51"/>
  <c r="W103" i="51"/>
  <c r="W104" i="51"/>
  <c r="W105" i="51"/>
  <c r="W106" i="51"/>
  <c r="W107" i="51"/>
  <c r="W108" i="51"/>
  <c r="W109" i="51"/>
  <c r="W110" i="51"/>
  <c r="W111" i="51"/>
  <c r="W83" i="51"/>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82" i="53"/>
  <c r="X81" i="54"/>
  <c r="X82" i="54"/>
  <c r="X83" i="54"/>
  <c r="X84" i="54"/>
  <c r="X85" i="54"/>
  <c r="X86" i="54"/>
  <c r="X87" i="54"/>
  <c r="X88" i="54"/>
  <c r="X89" i="54"/>
  <c r="X90" i="54"/>
  <c r="X91" i="54"/>
  <c r="X92" i="54"/>
  <c r="X93" i="54"/>
  <c r="X94" i="54"/>
  <c r="X95" i="54"/>
  <c r="X96" i="54"/>
  <c r="X97" i="54"/>
  <c r="X98" i="54"/>
  <c r="X99" i="54"/>
  <c r="X100" i="54"/>
  <c r="X101" i="54"/>
  <c r="X102" i="54"/>
  <c r="X103" i="54"/>
  <c r="X104" i="54"/>
  <c r="X105" i="54"/>
  <c r="X106" i="54"/>
  <c r="X107" i="54"/>
  <c r="X108" i="54"/>
  <c r="X80" i="54"/>
  <c r="W80" i="98"/>
  <c r="X84" i="98"/>
  <c r="X107" i="98"/>
  <c r="V81" i="57"/>
  <c r="V82" i="50"/>
  <c r="W83" i="50"/>
  <c r="W84" i="50"/>
  <c r="W85" i="50"/>
  <c r="W86" i="50"/>
  <c r="W87" i="50"/>
  <c r="W88" i="50"/>
  <c r="W89" i="50"/>
  <c r="W90" i="50"/>
  <c r="W91" i="50"/>
  <c r="W92" i="50"/>
  <c r="W93" i="50"/>
  <c r="W94" i="50"/>
  <c r="W95" i="50"/>
  <c r="W96" i="50"/>
  <c r="W97" i="50"/>
  <c r="W98" i="50"/>
  <c r="W99" i="50"/>
  <c r="W100" i="50"/>
  <c r="W101" i="50"/>
  <c r="W102" i="50"/>
  <c r="W103" i="50"/>
  <c r="W104" i="50"/>
  <c r="W105" i="50"/>
  <c r="W106" i="50"/>
  <c r="W107" i="50"/>
  <c r="W108" i="50"/>
  <c r="W109" i="50"/>
  <c r="W81" i="50"/>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82" i="55"/>
  <c r="X98" i="48"/>
  <c r="X99" i="48"/>
  <c r="X100" i="48"/>
  <c r="X101" i="48"/>
  <c r="X102" i="48"/>
  <c r="X103" i="48"/>
  <c r="X104" i="48"/>
  <c r="X105" i="48"/>
  <c r="X106" i="48"/>
  <c r="X107" i="48"/>
  <c r="X81" i="48"/>
  <c r="X82" i="48"/>
  <c r="X83" i="48"/>
  <c r="X84" i="48"/>
  <c r="X85" i="48"/>
  <c r="X86" i="48"/>
  <c r="X87" i="48"/>
  <c r="X88" i="48"/>
  <c r="X89" i="48"/>
  <c r="X90" i="48"/>
  <c r="X91" i="48"/>
  <c r="X92" i="48"/>
  <c r="X93" i="48"/>
  <c r="X94" i="48"/>
  <c r="X95" i="48"/>
  <c r="X96" i="48"/>
  <c r="X97" i="48"/>
  <c r="X79" i="48"/>
  <c r="AB55" i="258"/>
  <c r="AC61" i="258" s="1"/>
  <c r="AE67" i="258" s="1"/>
  <c r="AF73" i="258" s="1"/>
  <c r="AH79" i="258" s="1"/>
  <c r="AJ85" i="258" s="1"/>
  <c r="AL91" i="258" s="1"/>
  <c r="AB56" i="258"/>
  <c r="AC62" i="258" s="1"/>
  <c r="AE68" i="258" s="1"/>
  <c r="AF74" i="258" s="1"/>
  <c r="AH80" i="258" s="1"/>
  <c r="AJ86" i="258" s="1"/>
  <c r="AL92" i="258" s="1"/>
  <c r="AB57" i="258"/>
  <c r="AC63" i="258" s="1"/>
  <c r="AE69" i="258" s="1"/>
  <c r="AF75" i="258" s="1"/>
  <c r="AH81" i="258" s="1"/>
  <c r="AJ87" i="258" s="1"/>
  <c r="AL93" i="258" s="1"/>
  <c r="AB58" i="258"/>
  <c r="AC64" i="258" s="1"/>
  <c r="AE70" i="258" s="1"/>
  <c r="AF76" i="258" s="1"/>
  <c r="AH82" i="258" s="1"/>
  <c r="AJ88" i="258" s="1"/>
  <c r="AL94" i="258" s="1"/>
  <c r="AB59" i="258"/>
  <c r="AC65" i="258" s="1"/>
  <c r="AE71" i="258" s="1"/>
  <c r="AF77" i="258" s="1"/>
  <c r="AH83" i="258" s="1"/>
  <c r="AJ89" i="258" s="1"/>
  <c r="AL95" i="258" s="1"/>
  <c r="AB54" i="258"/>
  <c r="AC60" i="258" s="1"/>
  <c r="AE66" i="258" s="1"/>
  <c r="AF72" i="258" s="1"/>
  <c r="AH78" i="258" s="1"/>
  <c r="AJ84" i="258" s="1"/>
  <c r="AL90" i="258" s="1"/>
  <c r="AE6" i="130"/>
  <c r="AA49" i="258"/>
  <c r="AA50" i="258"/>
  <c r="AA51" i="258"/>
  <c r="AA52" i="258"/>
  <c r="AA53" i="258"/>
  <c r="AA48" i="258"/>
  <c r="X37" i="258"/>
  <c r="X38" i="258"/>
  <c r="X39" i="258"/>
  <c r="X40" i="258"/>
  <c r="X41" i="258"/>
  <c r="X36" i="258"/>
  <c r="AN4" i="20"/>
  <c r="AN5" i="20"/>
  <c r="AN6" i="20"/>
  <c r="AN7" i="20"/>
  <c r="AN8" i="20"/>
  <c r="AN9" i="20"/>
  <c r="AN10" i="20"/>
  <c r="AN11" i="20"/>
  <c r="AN12" i="20"/>
  <c r="B44" i="301" l="1"/>
  <c r="S28" i="301"/>
  <c r="AO10" i="20"/>
  <c r="H10" i="20" s="1"/>
  <c r="J10" i="20" s="1"/>
  <c r="I10" i="20" s="1"/>
  <c r="AO9" i="20"/>
  <c r="H9" i="20" s="1"/>
  <c r="J9" i="20" s="1"/>
  <c r="I9" i="20" s="1"/>
  <c r="AO6" i="20"/>
  <c r="H6" i="20" s="1"/>
  <c r="J6" i="20" s="1"/>
  <c r="I6" i="20" s="1"/>
  <c r="AO5" i="20"/>
  <c r="H5" i="20" s="1"/>
  <c r="J5" i="20" s="1"/>
  <c r="I5" i="20" s="1"/>
  <c r="AO8" i="20"/>
  <c r="H8" i="20" s="1"/>
  <c r="J8" i="20" s="1"/>
  <c r="I8" i="20" s="1"/>
  <c r="AO7" i="20"/>
  <c r="H7" i="20" s="1"/>
  <c r="J7" i="20" s="1"/>
  <c r="I7" i="20" s="1"/>
  <c r="AO11" i="20"/>
  <c r="H11" i="20" s="1"/>
  <c r="J11" i="20" s="1"/>
  <c r="I11" i="20" s="1"/>
  <c r="F45" i="301"/>
  <c r="V13" i="258"/>
  <c r="O8" i="301" l="1"/>
  <c r="O5" i="301"/>
  <c r="O9" i="301"/>
  <c r="O6" i="301"/>
  <c r="O7" i="301"/>
  <c r="O10" i="301"/>
  <c r="Q10" i="301" s="1"/>
  <c r="R10" i="301" s="1"/>
  <c r="T10" i="301" s="1"/>
  <c r="O4" i="301"/>
  <c r="F46" i="301"/>
  <c r="B45" i="301"/>
  <c r="T11" i="301" l="1"/>
  <c r="F47" i="301"/>
  <c r="B46" i="301"/>
  <c r="F48" i="301" l="1"/>
  <c r="B47" i="301"/>
  <c r="F49" i="301" l="1"/>
  <c r="B48" i="301"/>
  <c r="F50" i="301" l="1"/>
  <c r="B49" i="301"/>
  <c r="F51" i="301" l="1"/>
  <c r="B50" i="301"/>
  <c r="T8" i="247"/>
  <c r="W86" i="35" s="1"/>
  <c r="N86" i="35" s="1"/>
  <c r="AA124" i="35" s="1"/>
  <c r="U8" i="247"/>
  <c r="V85" i="61" s="1"/>
  <c r="M85" i="61" s="1"/>
  <c r="Z123" i="61" s="1"/>
  <c r="S8" i="247"/>
  <c r="Q8" i="247"/>
  <c r="P8" i="247"/>
  <c r="X88" i="33" s="1"/>
  <c r="M88" i="33" s="1"/>
  <c r="Z123" i="33" s="1"/>
  <c r="L8" i="247"/>
  <c r="X9" i="247"/>
  <c r="X11" i="247"/>
  <c r="X12" i="247" l="1"/>
  <c r="V83" i="58"/>
  <c r="M83" i="58" s="1"/>
  <c r="Z121" i="58" s="1"/>
  <c r="V88" i="64"/>
  <c r="M88" i="64" s="1"/>
  <c r="Z126" i="64" s="1"/>
  <c r="V85" i="60"/>
  <c r="F52" i="301"/>
  <c r="B51" i="301"/>
  <c r="X13" i="247" l="1"/>
  <c r="F53" i="301"/>
  <c r="B52" i="301"/>
  <c r="X14" i="247" l="1"/>
  <c r="F54" i="301"/>
  <c r="B54" i="301" s="1"/>
  <c r="B53" i="301"/>
  <c r="X15" i="247" l="1"/>
  <c r="X16" i="247" l="1"/>
  <c r="W8" i="248"/>
  <c r="W9" i="248"/>
  <c r="Y86" i="66" s="1"/>
  <c r="E5" i="248"/>
  <c r="E6" i="248" s="1"/>
  <c r="E7" i="248" s="1"/>
  <c r="K9" i="248"/>
  <c r="W86" i="62" s="1"/>
  <c r="W11" i="248"/>
  <c r="F13" i="248"/>
  <c r="F6" i="248"/>
  <c r="F7" i="248" s="1"/>
  <c r="E8" i="248" l="1"/>
  <c r="W80" i="57"/>
  <c r="F8" i="248"/>
  <c r="X79" i="98"/>
  <c r="W12" i="248"/>
  <c r="Y88" i="66"/>
  <c r="W7" i="248"/>
  <c r="Y85" i="66"/>
  <c r="K8" i="248"/>
  <c r="F14" i="248"/>
  <c r="X85" i="98"/>
  <c r="X17" i="247"/>
  <c r="V8" i="248"/>
  <c r="W82" i="50" s="1"/>
  <c r="S8" i="248"/>
  <c r="W85" i="60" s="1"/>
  <c r="M85" i="60" s="1"/>
  <c r="Z123" i="60" s="1"/>
  <c r="M8" i="248"/>
  <c r="W83" i="59" s="1"/>
  <c r="M83" i="59" s="1"/>
  <c r="Z121" i="59" s="1"/>
  <c r="J8" i="248"/>
  <c r="V85" i="52" s="1"/>
  <c r="I8" i="248"/>
  <c r="W84" i="51" s="1"/>
  <c r="C8" i="248"/>
  <c r="X80" i="48" s="1"/>
  <c r="V6" i="248"/>
  <c r="V4" i="248"/>
  <c r="S6" i="248"/>
  <c r="S4" i="248"/>
  <c r="M6" i="248"/>
  <c r="M4" i="248"/>
  <c r="J6" i="248"/>
  <c r="J4" i="248"/>
  <c r="I6" i="248"/>
  <c r="I4" i="248"/>
  <c r="C6" i="248"/>
  <c r="C4" i="248"/>
  <c r="C8" i="247"/>
  <c r="R8" i="247"/>
  <c r="H8" i="247"/>
  <c r="D8" i="247"/>
  <c r="G8" i="247"/>
  <c r="W142" i="37"/>
  <c r="Y144" i="37"/>
  <c r="Y145" i="37"/>
  <c r="Y146" i="37"/>
  <c r="Y147" i="37"/>
  <c r="Y148" i="37"/>
  <c r="Y149" i="37"/>
  <c r="Y150" i="37"/>
  <c r="Y151" i="37"/>
  <c r="Y152" i="37"/>
  <c r="Y153" i="37"/>
  <c r="Y154" i="37"/>
  <c r="Y155" i="37"/>
  <c r="Y156" i="37"/>
  <c r="Y157" i="37"/>
  <c r="Y158" i="37"/>
  <c r="Y159" i="37"/>
  <c r="Y160" i="37"/>
  <c r="Y143" i="37"/>
  <c r="Y142" i="37"/>
  <c r="X8" i="201"/>
  <c r="M9" i="52"/>
  <c r="M34" i="52" s="1"/>
  <c r="M10" i="52"/>
  <c r="M35" i="52" s="1"/>
  <c r="M11" i="52"/>
  <c r="M36" i="52" s="1"/>
  <c r="M12" i="52"/>
  <c r="M37" i="52" s="1"/>
  <c r="M13" i="52"/>
  <c r="M38" i="52" s="1"/>
  <c r="M14" i="52"/>
  <c r="M39" i="52" s="1"/>
  <c r="M15" i="52"/>
  <c r="M40" i="52" s="1"/>
  <c r="M16" i="52"/>
  <c r="M41" i="52" s="1"/>
  <c r="M17" i="52"/>
  <c r="M42" i="52" s="1"/>
  <c r="M18" i="52"/>
  <c r="M43" i="52" s="1"/>
  <c r="M19" i="52"/>
  <c r="M44" i="52" s="1"/>
  <c r="M20" i="52"/>
  <c r="M45" i="52" s="1"/>
  <c r="M21" i="52"/>
  <c r="M46" i="52" s="1"/>
  <c r="M22" i="52"/>
  <c r="M47" i="52" s="1"/>
  <c r="M23" i="52"/>
  <c r="M48" i="52" s="1"/>
  <c r="M24" i="52"/>
  <c r="M49" i="52" s="1"/>
  <c r="M8" i="52"/>
  <c r="M33" i="52" s="1"/>
  <c r="M7" i="52"/>
  <c r="M32" i="52" s="1"/>
  <c r="M6" i="52"/>
  <c r="M31" i="52" s="1"/>
  <c r="M4" i="52"/>
  <c r="M29" i="52" s="1"/>
  <c r="M5" i="52"/>
  <c r="M30" i="52" s="1"/>
  <c r="M3" i="52"/>
  <c r="M28" i="52" s="1"/>
  <c r="L9" i="50"/>
  <c r="L34" i="50" s="1"/>
  <c r="L10" i="50"/>
  <c r="L35" i="50" s="1"/>
  <c r="L11" i="50"/>
  <c r="L36" i="50" s="1"/>
  <c r="L12" i="50"/>
  <c r="L37" i="50" s="1"/>
  <c r="L13" i="50"/>
  <c r="L38" i="50" s="1"/>
  <c r="L14" i="50"/>
  <c r="L39" i="50" s="1"/>
  <c r="L15" i="50"/>
  <c r="L16" i="50"/>
  <c r="L41" i="50" s="1"/>
  <c r="L17" i="50"/>
  <c r="L42" i="50" s="1"/>
  <c r="L18" i="50"/>
  <c r="L43" i="50" s="1"/>
  <c r="L19" i="50"/>
  <c r="L44" i="50" s="1"/>
  <c r="L20" i="50"/>
  <c r="L45" i="50" s="1"/>
  <c r="L21" i="50"/>
  <c r="L22" i="50"/>
  <c r="L47" i="50" s="1"/>
  <c r="L23" i="50"/>
  <c r="L24" i="50"/>
  <c r="L49" i="50" s="1"/>
  <c r="L8" i="50"/>
  <c r="L33" i="50" s="1"/>
  <c r="L7" i="50"/>
  <c r="L32" i="50" s="1"/>
  <c r="L4" i="50"/>
  <c r="M4" i="50" s="1"/>
  <c r="L5" i="50"/>
  <c r="L30" i="50" s="1"/>
  <c r="L6" i="50"/>
  <c r="L31" i="50"/>
  <c r="L40" i="50"/>
  <c r="L3" i="50"/>
  <c r="L28" i="50" s="1"/>
  <c r="M28" i="50" s="1"/>
  <c r="V83" i="55" l="1"/>
  <c r="V83" i="53"/>
  <c r="W6" i="248"/>
  <c r="W5" i="248" s="1"/>
  <c r="W4" i="248" s="1"/>
  <c r="W3" i="248" s="1"/>
  <c r="Y84" i="66"/>
  <c r="V80" i="49"/>
  <c r="W80" i="48"/>
  <c r="X18" i="247"/>
  <c r="W13" i="248"/>
  <c r="Y89" i="66"/>
  <c r="F9" i="248"/>
  <c r="X80" i="98"/>
  <c r="F15" i="248"/>
  <c r="X86" i="98"/>
  <c r="W81" i="54"/>
  <c r="K7" i="248"/>
  <c r="W85" i="62"/>
  <c r="N85" i="62" s="1"/>
  <c r="Z121" i="62" s="1"/>
  <c r="E9" i="248"/>
  <c r="W81" i="57"/>
  <c r="L29" i="50"/>
  <c r="M29" i="50" s="1"/>
  <c r="M3" i="50"/>
  <c r="L48" i="50"/>
  <c r="L46" i="50"/>
  <c r="M5" i="49"/>
  <c r="M6" i="49"/>
  <c r="M7" i="49"/>
  <c r="M8" i="49"/>
  <c r="M9" i="49"/>
  <c r="M10" i="49"/>
  <c r="M11" i="49"/>
  <c r="M4" i="49"/>
  <c r="AI3" i="48"/>
  <c r="N5" i="49"/>
  <c r="N6" i="49"/>
  <c r="N7" i="49"/>
  <c r="N8" i="49"/>
  <c r="N9" i="49"/>
  <c r="N10" i="49"/>
  <c r="N11" i="49"/>
  <c r="N12" i="49"/>
  <c r="N4" i="49"/>
  <c r="D172" i="49"/>
  <c r="D173" i="49"/>
  <c r="D174" i="49"/>
  <c r="D175" i="49"/>
  <c r="D176" i="49"/>
  <c r="D177" i="49"/>
  <c r="D178" i="49"/>
  <c r="D179" i="49"/>
  <c r="D180" i="49"/>
  <c r="D171" i="49"/>
  <c r="F10" i="248" l="1"/>
  <c r="X81" i="98"/>
  <c r="E10" i="248"/>
  <c r="W82" i="57"/>
  <c r="W14" i="248"/>
  <c r="Y90" i="66"/>
  <c r="F16" i="248"/>
  <c r="X87" i="98"/>
  <c r="K6" i="248"/>
  <c r="K5" i="248" s="1"/>
  <c r="K4" i="248" s="1"/>
  <c r="K3" i="248" s="1"/>
  <c r="W84" i="62"/>
  <c r="X19" i="247"/>
  <c r="M85" i="52"/>
  <c r="Z121" i="52" s="1"/>
  <c r="N84" i="51"/>
  <c r="Z120" i="51" s="1"/>
  <c r="M83" i="53"/>
  <c r="Z119" i="53" s="1"/>
  <c r="M81" i="57"/>
  <c r="Z119" i="57" s="1"/>
  <c r="M83" i="55"/>
  <c r="AA120" i="55" s="1"/>
  <c r="E100" i="55"/>
  <c r="U137" i="55" s="1"/>
  <c r="E99" i="55"/>
  <c r="U136" i="55" s="1"/>
  <c r="E98" i="55"/>
  <c r="U135" i="55" s="1"/>
  <c r="E97" i="55"/>
  <c r="U134" i="55" s="1"/>
  <c r="E96" i="55"/>
  <c r="U133" i="55" s="1"/>
  <c r="E95" i="55"/>
  <c r="U132" i="55" s="1"/>
  <c r="E94" i="55"/>
  <c r="U131" i="55" s="1"/>
  <c r="E93" i="55"/>
  <c r="U130" i="55" s="1"/>
  <c r="E92" i="55"/>
  <c r="U129" i="55" s="1"/>
  <c r="E91" i="55"/>
  <c r="U128" i="55" s="1"/>
  <c r="E90" i="55"/>
  <c r="U127" i="55" s="1"/>
  <c r="E89" i="55"/>
  <c r="U126" i="55" s="1"/>
  <c r="E88" i="55"/>
  <c r="U125" i="55" s="1"/>
  <c r="E87" i="55"/>
  <c r="U124" i="55" s="1"/>
  <c r="E86" i="55"/>
  <c r="U123" i="55" s="1"/>
  <c r="E85" i="55"/>
  <c r="U122" i="55" s="1"/>
  <c r="E84" i="55"/>
  <c r="U121" i="55" s="1"/>
  <c r="E83" i="55"/>
  <c r="U120" i="55" s="1"/>
  <c r="E82" i="55"/>
  <c r="U119" i="55" s="1"/>
  <c r="M142" i="37"/>
  <c r="AA190" i="37" s="1"/>
  <c r="D10" i="228"/>
  <c r="E10" i="228" s="1"/>
  <c r="I12" i="228"/>
  <c r="I11" i="228"/>
  <c r="I10" i="228"/>
  <c r="I9" i="228"/>
  <c r="I8" i="228"/>
  <c r="I7" i="228"/>
  <c r="B4" i="228"/>
  <c r="B3" i="228"/>
  <c r="F17" i="248" l="1"/>
  <c r="X88" i="98"/>
  <c r="W15" i="248"/>
  <c r="Y91" i="66"/>
  <c r="X20" i="247"/>
  <c r="E11" i="248"/>
  <c r="W83" i="57"/>
  <c r="F11" i="248"/>
  <c r="X83" i="98" s="1"/>
  <c r="X82" i="98"/>
  <c r="M80" i="98"/>
  <c r="Z116" i="98" s="1"/>
  <c r="M82" i="50"/>
  <c r="Y120" i="50" s="1"/>
  <c r="M80" i="48"/>
  <c r="AA116" i="48" s="1"/>
  <c r="M80" i="49"/>
  <c r="X21" i="247" l="1"/>
  <c r="E12" i="248"/>
  <c r="W84" i="57"/>
  <c r="W16" i="248"/>
  <c r="Y92" i="66"/>
  <c r="F18" i="248"/>
  <c r="X89" i="98"/>
  <c r="F19" i="248" l="1"/>
  <c r="X90" i="98"/>
  <c r="W17" i="248"/>
  <c r="Y93" i="66"/>
  <c r="X22" i="247"/>
  <c r="E13" i="248"/>
  <c r="W85" i="57"/>
  <c r="W18" i="248" l="1"/>
  <c r="Y94" i="66"/>
  <c r="E14" i="248"/>
  <c r="W86" i="57"/>
  <c r="X23" i="247"/>
  <c r="F20" i="248"/>
  <c r="X91" i="98"/>
  <c r="B4" i="200"/>
  <c r="AE35" i="130"/>
  <c r="AB35" i="130" s="1"/>
  <c r="G35" i="96" s="1"/>
  <c r="C35" i="489" s="1"/>
  <c r="AE34" i="130"/>
  <c r="AB34" i="130" s="1"/>
  <c r="G34" i="96" s="1"/>
  <c r="C34" i="489" s="1"/>
  <c r="AE33" i="130"/>
  <c r="AB33" i="130" s="1"/>
  <c r="G33" i="96" s="1"/>
  <c r="C33" i="489" s="1"/>
  <c r="AE32" i="130"/>
  <c r="AB32" i="130" s="1"/>
  <c r="G32" i="96" s="1"/>
  <c r="C32" i="489" s="1"/>
  <c r="AE31" i="130"/>
  <c r="AB31" i="130" s="1"/>
  <c r="G31" i="96" s="1"/>
  <c r="C31" i="489" s="1"/>
  <c r="AE30" i="130"/>
  <c r="AB30" i="130" s="1"/>
  <c r="G30" i="96" s="1"/>
  <c r="C30" i="489" s="1"/>
  <c r="AE29" i="130"/>
  <c r="AB29" i="130" s="1"/>
  <c r="G29" i="96" s="1"/>
  <c r="C29" i="489" s="1"/>
  <c r="AE28" i="130"/>
  <c r="AB28" i="130" s="1"/>
  <c r="G28" i="96" s="1"/>
  <c r="C28" i="489" s="1"/>
  <c r="AE27" i="130"/>
  <c r="AB27" i="130" s="1"/>
  <c r="G27" i="96" s="1"/>
  <c r="C27" i="489" s="1"/>
  <c r="AE26" i="130"/>
  <c r="AB26" i="130" s="1"/>
  <c r="G26" i="96" s="1"/>
  <c r="C26" i="489" s="1"/>
  <c r="AE25" i="130"/>
  <c r="AB25" i="130" s="1"/>
  <c r="G25" i="96" s="1"/>
  <c r="C25" i="489" s="1"/>
  <c r="AE24" i="130"/>
  <c r="AE23" i="130"/>
  <c r="AB23" i="130" s="1"/>
  <c r="G23" i="96" s="1"/>
  <c r="C23" i="489" s="1"/>
  <c r="AE22" i="130"/>
  <c r="AB22" i="130" s="1"/>
  <c r="G22" i="96" s="1"/>
  <c r="C22" i="489" s="1"/>
  <c r="AE21" i="130"/>
  <c r="AB21" i="130" s="1"/>
  <c r="G21" i="96" s="1"/>
  <c r="C21" i="489" s="1"/>
  <c r="AE20" i="130"/>
  <c r="AB20" i="130" s="1"/>
  <c r="G20" i="96" s="1"/>
  <c r="C20" i="489" s="1"/>
  <c r="AE19" i="130"/>
  <c r="AB19" i="130" s="1"/>
  <c r="G19" i="96" s="1"/>
  <c r="C19" i="489" s="1"/>
  <c r="AE18" i="130"/>
  <c r="AB18" i="130" s="1"/>
  <c r="G18" i="96" s="1"/>
  <c r="C18" i="489" s="1"/>
  <c r="AE17" i="130"/>
  <c r="AB17" i="130" s="1"/>
  <c r="G17" i="96" s="1"/>
  <c r="C17" i="489" s="1"/>
  <c r="AE16" i="130"/>
  <c r="AB16" i="130" s="1"/>
  <c r="G16" i="96" s="1"/>
  <c r="C16" i="489" s="1"/>
  <c r="AE15" i="130"/>
  <c r="AB15" i="130" s="1"/>
  <c r="G15" i="96" s="1"/>
  <c r="C15" i="489" s="1"/>
  <c r="AE14" i="130"/>
  <c r="AB14" i="130" s="1"/>
  <c r="G14" i="96" s="1"/>
  <c r="C14" i="489" s="1"/>
  <c r="AE13" i="130"/>
  <c r="AB13" i="130" s="1"/>
  <c r="G13" i="96" s="1"/>
  <c r="C13" i="489" s="1"/>
  <c r="AE12" i="130"/>
  <c r="AB12" i="130" s="1"/>
  <c r="G12" i="96" s="1"/>
  <c r="C12" i="489" s="1"/>
  <c r="AE11" i="130"/>
  <c r="AB11" i="130" s="1"/>
  <c r="AE10" i="130"/>
  <c r="AB10" i="130" s="1"/>
  <c r="AE9" i="130"/>
  <c r="AB9" i="130" s="1"/>
  <c r="G9" i="96" s="1"/>
  <c r="C9" i="489" s="1"/>
  <c r="AE8" i="130"/>
  <c r="AB8" i="130" s="1"/>
  <c r="G8" i="96" s="1"/>
  <c r="C8" i="489" s="1"/>
  <c r="AE7" i="130"/>
  <c r="AB7" i="130" s="1"/>
  <c r="G7" i="96" s="1"/>
  <c r="C7" i="489" s="1"/>
  <c r="AB6" i="130"/>
  <c r="G6" i="96" s="1"/>
  <c r="C6" i="489" s="1"/>
  <c r="AE5" i="130"/>
  <c r="AB5" i="130" s="1"/>
  <c r="G5" i="96" s="1"/>
  <c r="C5" i="489" s="1"/>
  <c r="AN36" i="20"/>
  <c r="AN37" i="20"/>
  <c r="AN38" i="20"/>
  <c r="AN39" i="20"/>
  <c r="AN40" i="20"/>
  <c r="AN41" i="20"/>
  <c r="BE31" i="96" s="1"/>
  <c r="AN42" i="20"/>
  <c r="BE32" i="96" s="1"/>
  <c r="AN43" i="20"/>
  <c r="AN44" i="20"/>
  <c r="AN45" i="20"/>
  <c r="AM25" i="20"/>
  <c r="AI25" i="20" s="1"/>
  <c r="AM12" i="20"/>
  <c r="G12" i="20" s="1"/>
  <c r="R12" i="20" s="1"/>
  <c r="AL12" i="130"/>
  <c r="AM12" i="130" s="1"/>
  <c r="AL11" i="130"/>
  <c r="AM11" i="130" s="1"/>
  <c r="AL10" i="130"/>
  <c r="AM10" i="130" s="1"/>
  <c r="AL9" i="130"/>
  <c r="AM9" i="130" s="1"/>
  <c r="AL7" i="130"/>
  <c r="AM7" i="130" s="1"/>
  <c r="AL8" i="130"/>
  <c r="AM8" i="130" s="1"/>
  <c r="AN13" i="20"/>
  <c r="AN14" i="20"/>
  <c r="AN15" i="20"/>
  <c r="BE5" i="96" s="1"/>
  <c r="BE6" i="96"/>
  <c r="AN17" i="20"/>
  <c r="AN18" i="20"/>
  <c r="AN19" i="20"/>
  <c r="AN20" i="20"/>
  <c r="AN21" i="20"/>
  <c r="AN22" i="20"/>
  <c r="AN23" i="20"/>
  <c r="AN24" i="20"/>
  <c r="AN25" i="20"/>
  <c r="AN26" i="20"/>
  <c r="AN27" i="20"/>
  <c r="AN28" i="20"/>
  <c r="AN29" i="20"/>
  <c r="AN30" i="20"/>
  <c r="AN31" i="20"/>
  <c r="AN32" i="20"/>
  <c r="AN33" i="20"/>
  <c r="AN34" i="20"/>
  <c r="AN35" i="20"/>
  <c r="G82" i="117"/>
  <c r="I82" i="117" s="1"/>
  <c r="G83" i="117"/>
  <c r="I83" i="117" s="1"/>
  <c r="G84" i="117"/>
  <c r="I84" i="117" s="1"/>
  <c r="G85" i="117"/>
  <c r="I85" i="117" s="1"/>
  <c r="G86" i="117"/>
  <c r="I86" i="117" s="1"/>
  <c r="G87" i="117"/>
  <c r="I87" i="117" s="1"/>
  <c r="G88" i="117"/>
  <c r="I88" i="117" s="1"/>
  <c r="G89" i="117"/>
  <c r="I89" i="117" s="1"/>
  <c r="G90" i="117"/>
  <c r="I90" i="117" s="1"/>
  <c r="G91" i="117"/>
  <c r="I91" i="117" s="1"/>
  <c r="X24" i="247" l="1"/>
  <c r="F21" i="248"/>
  <c r="X92" i="98"/>
  <c r="E15" i="248"/>
  <c r="W87" i="57"/>
  <c r="W19" i="248"/>
  <c r="Y95" i="66"/>
  <c r="AO45" i="20"/>
  <c r="H45" i="20" s="1"/>
  <c r="G11" i="96"/>
  <c r="AO37" i="20"/>
  <c r="H37" i="20" s="1"/>
  <c r="D27" i="96" s="1"/>
  <c r="B27" i="489" s="1"/>
  <c r="AO16" i="20"/>
  <c r="H16" i="20" s="1"/>
  <c r="G10" i="96"/>
  <c r="C10" i="489" s="1"/>
  <c r="AB24" i="130"/>
  <c r="G24" i="96" s="1"/>
  <c r="C24" i="489" s="1"/>
  <c r="D85" i="117"/>
  <c r="H88" i="117"/>
  <c r="E88" i="117" s="1"/>
  <c r="BO32" i="413" s="1"/>
  <c r="D86" i="117"/>
  <c r="H89" i="117"/>
  <c r="E89" i="117" s="1"/>
  <c r="BO33" i="413" s="1"/>
  <c r="D87" i="117"/>
  <c r="H90" i="117"/>
  <c r="E90" i="117" s="1"/>
  <c r="BO34" i="413" s="1"/>
  <c r="D84" i="117"/>
  <c r="H87" i="117"/>
  <c r="E87" i="117" s="1"/>
  <c r="BO31" i="413" s="1"/>
  <c r="D91" i="117"/>
  <c r="H94" i="117"/>
  <c r="E94" i="117" s="1"/>
  <c r="BO38" i="413" s="1"/>
  <c r="D90" i="117"/>
  <c r="H93" i="117"/>
  <c r="E93" i="117" s="1"/>
  <c r="BO37" i="413" s="1"/>
  <c r="D89" i="117"/>
  <c r="H92" i="117"/>
  <c r="E92" i="117" s="1"/>
  <c r="BO36" i="413" s="1"/>
  <c r="D83" i="117"/>
  <c r="H86" i="117"/>
  <c r="E86" i="117" s="1"/>
  <c r="BO30" i="413" s="1"/>
  <c r="D82" i="117"/>
  <c r="H85" i="117"/>
  <c r="E85" i="117" s="1"/>
  <c r="BO29" i="413" s="1"/>
  <c r="D88" i="117"/>
  <c r="H91" i="117"/>
  <c r="E91" i="117" s="1"/>
  <c r="BO35" i="413" s="1"/>
  <c r="AO41" i="20"/>
  <c r="H41" i="20" s="1"/>
  <c r="D31" i="96" s="1"/>
  <c r="B31" i="489" s="1"/>
  <c r="BE35" i="96"/>
  <c r="AO46" i="20"/>
  <c r="H46" i="20" s="1"/>
  <c r="AO29" i="20"/>
  <c r="H29" i="20" s="1"/>
  <c r="O28" i="301" s="1"/>
  <c r="Q28" i="301" s="1"/>
  <c r="R28" i="301" s="1"/>
  <c r="T28" i="301" s="1"/>
  <c r="AO21" i="20"/>
  <c r="H21" i="20" s="1"/>
  <c r="D11" i="96" s="1"/>
  <c r="B11" i="489" s="1"/>
  <c r="AO40" i="20"/>
  <c r="H40" i="20" s="1"/>
  <c r="D30" i="96" s="1"/>
  <c r="B30" i="489" s="1"/>
  <c r="BE9" i="96"/>
  <c r="AO20" i="20"/>
  <c r="H20" i="20" s="1"/>
  <c r="BE16" i="96"/>
  <c r="AO27" i="20"/>
  <c r="H27" i="20" s="1"/>
  <c r="AO39" i="20"/>
  <c r="H39" i="20" s="1"/>
  <c r="BE30" i="96"/>
  <c r="BE25" i="96"/>
  <c r="AO36" i="20"/>
  <c r="H36" i="20" s="1"/>
  <c r="BE24" i="96"/>
  <c r="AO35" i="20"/>
  <c r="H35" i="20" s="1"/>
  <c r="BE8" i="96"/>
  <c r="AO19" i="20"/>
  <c r="H19" i="20" s="1"/>
  <c r="BE23" i="96"/>
  <c r="AO34" i="20"/>
  <c r="H34" i="20" s="1"/>
  <c r="BE15" i="96"/>
  <c r="AO26" i="20"/>
  <c r="H26" i="20" s="1"/>
  <c r="BE7" i="96"/>
  <c r="AO18" i="20"/>
  <c r="H18" i="20" s="1"/>
  <c r="AO17" i="20"/>
  <c r="H17" i="20" s="1"/>
  <c r="AO38" i="20"/>
  <c r="H38" i="20" s="1"/>
  <c r="BE29" i="96"/>
  <c r="BE28" i="96"/>
  <c r="BE17" i="96"/>
  <c r="AO28" i="20"/>
  <c r="H28" i="20" s="1"/>
  <c r="AO44" i="20"/>
  <c r="H44" i="20" s="1"/>
  <c r="BE27" i="96"/>
  <c r="BE22" i="96"/>
  <c r="AO33" i="20"/>
  <c r="H33" i="20" s="1"/>
  <c r="BE14" i="96"/>
  <c r="AO25" i="20"/>
  <c r="H25" i="20" s="1"/>
  <c r="BE13" i="96"/>
  <c r="AO24" i="20"/>
  <c r="H24" i="20" s="1"/>
  <c r="BE20" i="96"/>
  <c r="AO31" i="20"/>
  <c r="H31" i="20" s="1"/>
  <c r="BE12" i="96"/>
  <c r="AO23" i="20"/>
  <c r="H23" i="20" s="1"/>
  <c r="AO15" i="20"/>
  <c r="H15" i="20" s="1"/>
  <c r="AO43" i="20"/>
  <c r="H43" i="20" s="1"/>
  <c r="BE34" i="96"/>
  <c r="BE26" i="96"/>
  <c r="D35" i="96"/>
  <c r="B35" i="489" s="1"/>
  <c r="BE21" i="96"/>
  <c r="AO32" i="20"/>
  <c r="H32" i="20" s="1"/>
  <c r="BE19" i="96"/>
  <c r="AO30" i="20"/>
  <c r="H30" i="20" s="1"/>
  <c r="BE11" i="96"/>
  <c r="AO22" i="20"/>
  <c r="H22" i="20" s="1"/>
  <c r="AO14" i="20"/>
  <c r="AO12" i="20"/>
  <c r="H12" i="20" s="1"/>
  <c r="J12" i="20" s="1"/>
  <c r="I12" i="20" s="1"/>
  <c r="AO13" i="20"/>
  <c r="AO42" i="20"/>
  <c r="H42" i="20" s="1"/>
  <c r="BE33" i="96"/>
  <c r="C87" i="117"/>
  <c r="C31" i="96" s="1"/>
  <c r="BD31" i="96"/>
  <c r="C86" i="117"/>
  <c r="C30" i="96" s="1"/>
  <c r="BD30" i="96"/>
  <c r="C88" i="117"/>
  <c r="C32" i="96" s="1"/>
  <c r="BD32" i="96"/>
  <c r="C85" i="117"/>
  <c r="C29" i="96" s="1"/>
  <c r="BD29" i="96"/>
  <c r="C84" i="117"/>
  <c r="C28" i="96" s="1"/>
  <c r="BD28" i="96"/>
  <c r="C83" i="117"/>
  <c r="C27" i="96" s="1"/>
  <c r="BD27" i="96"/>
  <c r="C82" i="117"/>
  <c r="C26" i="96" s="1"/>
  <c r="BD26" i="96"/>
  <c r="C91" i="117"/>
  <c r="C35" i="96" s="1"/>
  <c r="BD35" i="96"/>
  <c r="C90" i="117"/>
  <c r="C34" i="96" s="1"/>
  <c r="BD34" i="96"/>
  <c r="C89" i="117"/>
  <c r="C33" i="96" s="1"/>
  <c r="BD33" i="96"/>
  <c r="C56" i="201"/>
  <c r="C56" i="183"/>
  <c r="C51" i="201"/>
  <c r="C51" i="183"/>
  <c r="C53" i="201"/>
  <c r="C53" i="183"/>
  <c r="C54" i="201"/>
  <c r="C54" i="183"/>
  <c r="C55" i="201"/>
  <c r="C55" i="183"/>
  <c r="C52" i="201"/>
  <c r="C52" i="183"/>
  <c r="BE10" i="96"/>
  <c r="B20" i="228"/>
  <c r="B28" i="228"/>
  <c r="B32" i="228"/>
  <c r="B30" i="228"/>
  <c r="B22" i="228"/>
  <c r="B14" i="228"/>
  <c r="B29" i="228"/>
  <c r="B21" i="228"/>
  <c r="B13" i="228"/>
  <c r="B35" i="228"/>
  <c r="B27" i="228"/>
  <c r="B19" i="228"/>
  <c r="B11" i="228"/>
  <c r="B5" i="228"/>
  <c r="B34" i="228"/>
  <c r="B26" i="228"/>
  <c r="B18" i="228"/>
  <c r="B10" i="228"/>
  <c r="B12" i="228"/>
  <c r="B33" i="228"/>
  <c r="B25" i="228"/>
  <c r="B17" i="228"/>
  <c r="B24" i="228"/>
  <c r="B16" i="228"/>
  <c r="B31" i="228"/>
  <c r="B15" i="228"/>
  <c r="BE18" i="96"/>
  <c r="B8" i="228"/>
  <c r="AB7" i="140"/>
  <c r="AB8" i="140"/>
  <c r="AB9" i="140"/>
  <c r="AB10" i="140"/>
  <c r="AB11" i="140"/>
  <c r="AB12" i="140"/>
  <c r="AB14" i="140"/>
  <c r="F14" i="96" s="1"/>
  <c r="K14" i="489" s="1"/>
  <c r="AB16" i="140"/>
  <c r="F16" i="96" s="1"/>
  <c r="K16" i="489" s="1"/>
  <c r="AB17" i="140"/>
  <c r="F17" i="96" s="1"/>
  <c r="K17" i="489" s="1"/>
  <c r="AB18" i="140"/>
  <c r="F18" i="96" s="1"/>
  <c r="K18" i="489" s="1"/>
  <c r="AB19" i="140"/>
  <c r="F19" i="96" s="1"/>
  <c r="K19" i="489" s="1"/>
  <c r="AB20" i="140"/>
  <c r="F20" i="96" s="1"/>
  <c r="K20" i="489" s="1"/>
  <c r="AB21" i="140"/>
  <c r="F21" i="96" s="1"/>
  <c r="K21" i="489" s="1"/>
  <c r="AB22" i="140"/>
  <c r="F22" i="96" s="1"/>
  <c r="K22" i="489" s="1"/>
  <c r="AB23" i="140"/>
  <c r="F23" i="96" s="1"/>
  <c r="K23" i="489" s="1"/>
  <c r="AB24" i="140"/>
  <c r="F24" i="96" s="1"/>
  <c r="K24" i="489" s="1"/>
  <c r="AB25" i="140"/>
  <c r="F25" i="96" s="1"/>
  <c r="K25" i="489" s="1"/>
  <c r="AB26" i="140"/>
  <c r="F26" i="96" s="1"/>
  <c r="K26" i="489" s="1"/>
  <c r="AB27" i="140"/>
  <c r="F27" i="96" s="1"/>
  <c r="K27" i="489" s="1"/>
  <c r="AB28" i="140"/>
  <c r="F28" i="96" s="1"/>
  <c r="K28" i="489" s="1"/>
  <c r="AB30" i="140"/>
  <c r="F30" i="96" s="1"/>
  <c r="K30" i="489" s="1"/>
  <c r="AB32" i="140"/>
  <c r="F32" i="96" s="1"/>
  <c r="K32" i="489" s="1"/>
  <c r="AB33" i="140"/>
  <c r="F33" i="96" s="1"/>
  <c r="K33" i="489" s="1"/>
  <c r="AB35" i="140"/>
  <c r="F35" i="96" s="1"/>
  <c r="K35" i="489" s="1"/>
  <c r="AB6" i="140"/>
  <c r="F6" i="96" s="1"/>
  <c r="K6" i="489" s="1"/>
  <c r="AB15" i="140"/>
  <c r="F15" i="96" s="1"/>
  <c r="K15" i="489" s="1"/>
  <c r="AB29" i="140"/>
  <c r="F29" i="96" s="1"/>
  <c r="K29" i="489" s="1"/>
  <c r="AB31" i="140"/>
  <c r="F31" i="96" s="1"/>
  <c r="K31" i="489" s="1"/>
  <c r="AB34" i="140"/>
  <c r="F34" i="96" s="1"/>
  <c r="K34" i="489" s="1"/>
  <c r="AB5" i="140"/>
  <c r="AB13" i="126"/>
  <c r="AB14" i="126"/>
  <c r="AB15" i="126"/>
  <c r="AB16" i="126"/>
  <c r="AB17" i="126"/>
  <c r="AB18" i="126"/>
  <c r="AB19" i="126"/>
  <c r="AB20" i="126"/>
  <c r="AB21" i="126"/>
  <c r="AB22" i="126"/>
  <c r="AB23" i="126"/>
  <c r="AB24" i="126"/>
  <c r="AB25" i="126"/>
  <c r="AB26" i="126"/>
  <c r="AB27" i="126"/>
  <c r="AB28" i="126"/>
  <c r="AB29" i="126"/>
  <c r="AB30" i="126"/>
  <c r="AB31" i="126"/>
  <c r="AB32" i="126"/>
  <c r="AB33" i="126"/>
  <c r="AB34" i="126"/>
  <c r="AB35" i="126"/>
  <c r="AB6" i="126"/>
  <c r="E6" i="96" s="1"/>
  <c r="J6" i="489" s="1"/>
  <c r="AB7" i="126"/>
  <c r="AB8" i="126"/>
  <c r="AB9" i="126"/>
  <c r="E10" i="96"/>
  <c r="J10" i="489" s="1"/>
  <c r="AB11" i="126"/>
  <c r="AB12" i="126"/>
  <c r="E5" i="96"/>
  <c r="J5" i="489" s="1"/>
  <c r="F22" i="248" l="1"/>
  <c r="X93" i="98"/>
  <c r="C11" i="489"/>
  <c r="D75" i="96"/>
  <c r="W20" i="248"/>
  <c r="Y96" i="66"/>
  <c r="D19" i="96"/>
  <c r="B19" i="489" s="1"/>
  <c r="E16" i="248"/>
  <c r="W88" i="57"/>
  <c r="X25" i="247"/>
  <c r="O20" i="301"/>
  <c r="O15" i="301"/>
  <c r="D6" i="96"/>
  <c r="H14" i="20"/>
  <c r="H13" i="20"/>
  <c r="J13" i="20" s="1"/>
  <c r="I13" i="20" s="1"/>
  <c r="F13" i="96"/>
  <c r="K13" i="489" s="1"/>
  <c r="C13" i="140"/>
  <c r="AG13" i="96" s="1"/>
  <c r="F12" i="96"/>
  <c r="K12" i="489" s="1"/>
  <c r="C12" i="140"/>
  <c r="AG12" i="96" s="1"/>
  <c r="F11" i="96"/>
  <c r="C11" i="140"/>
  <c r="AG11" i="96" s="1"/>
  <c r="F10" i="96"/>
  <c r="K10" i="489" s="1"/>
  <c r="C10" i="140"/>
  <c r="AG10" i="96" s="1"/>
  <c r="F9" i="96"/>
  <c r="K9" i="489" s="1"/>
  <c r="C9" i="140"/>
  <c r="AG9" i="96" s="1"/>
  <c r="F7" i="96"/>
  <c r="K7" i="489" s="1"/>
  <c r="C7" i="140"/>
  <c r="AG7" i="96" s="1"/>
  <c r="F8" i="96"/>
  <c r="K8" i="489" s="1"/>
  <c r="C8" i="140"/>
  <c r="AG8" i="96" s="1"/>
  <c r="E18" i="96"/>
  <c r="J18" i="489" s="1"/>
  <c r="E26" i="96"/>
  <c r="J26" i="489" s="1"/>
  <c r="E25" i="96"/>
  <c r="J25" i="489" s="1"/>
  <c r="E17" i="96"/>
  <c r="J17" i="489" s="1"/>
  <c r="E9" i="96"/>
  <c r="J9" i="489" s="1"/>
  <c r="C9" i="126"/>
  <c r="AF9" i="96" s="1"/>
  <c r="E32" i="96"/>
  <c r="J32" i="489" s="1"/>
  <c r="E8" i="96"/>
  <c r="J8" i="489" s="1"/>
  <c r="C8" i="126"/>
  <c r="AF8" i="96" s="1"/>
  <c r="E23" i="96"/>
  <c r="J23" i="489" s="1"/>
  <c r="E15" i="96"/>
  <c r="J15" i="489" s="1"/>
  <c r="E11" i="96"/>
  <c r="C11" i="126"/>
  <c r="AF11" i="96" s="1"/>
  <c r="E31" i="96"/>
  <c r="J31" i="489" s="1"/>
  <c r="E7" i="96"/>
  <c r="J7" i="489" s="1"/>
  <c r="C7" i="126"/>
  <c r="AF7" i="96" s="1"/>
  <c r="E30" i="96"/>
  <c r="J30" i="489" s="1"/>
  <c r="E22" i="96"/>
  <c r="J22" i="489" s="1"/>
  <c r="E14" i="96"/>
  <c r="J14" i="489" s="1"/>
  <c r="E16" i="96"/>
  <c r="J16" i="489" s="1"/>
  <c r="E29" i="96"/>
  <c r="J29" i="489" s="1"/>
  <c r="E21" i="96"/>
  <c r="J21" i="489" s="1"/>
  <c r="E13" i="96"/>
  <c r="J13" i="489" s="1"/>
  <c r="E34" i="96"/>
  <c r="J34" i="489" s="1"/>
  <c r="E24" i="96"/>
  <c r="J24" i="489" s="1"/>
  <c r="E28" i="96"/>
  <c r="J28" i="489" s="1"/>
  <c r="E20" i="96"/>
  <c r="J20" i="489" s="1"/>
  <c r="E33" i="96"/>
  <c r="J33" i="489" s="1"/>
  <c r="E12" i="96"/>
  <c r="J12" i="489" s="1"/>
  <c r="C12" i="126"/>
  <c r="AF12" i="96" s="1"/>
  <c r="E35" i="96"/>
  <c r="J35" i="489" s="1"/>
  <c r="E27" i="96"/>
  <c r="J27" i="489" s="1"/>
  <c r="E19" i="96"/>
  <c r="J19" i="489" s="1"/>
  <c r="F5" i="96"/>
  <c r="K5" i="489" s="1"/>
  <c r="D8" i="96"/>
  <c r="B8" i="489" s="1"/>
  <c r="O17" i="301"/>
  <c r="D12" i="96"/>
  <c r="B12" i="489" s="1"/>
  <c r="O21" i="301"/>
  <c r="Q21" i="301" s="1"/>
  <c r="D14" i="96"/>
  <c r="B14" i="489" s="1"/>
  <c r="O23" i="301"/>
  <c r="D7" i="96"/>
  <c r="B7" i="489" s="1"/>
  <c r="O16" i="301"/>
  <c r="D20" i="96"/>
  <c r="B20" i="489" s="1"/>
  <c r="O29" i="301"/>
  <c r="D33" i="96"/>
  <c r="B33" i="489" s="1"/>
  <c r="D15" i="96"/>
  <c r="B15" i="489" s="1"/>
  <c r="O24" i="301"/>
  <c r="D18" i="96"/>
  <c r="B18" i="489" s="1"/>
  <c r="O27" i="301"/>
  <c r="D5" i="96"/>
  <c r="B5" i="489" s="1"/>
  <c r="O14" i="301"/>
  <c r="Q14" i="301" s="1"/>
  <c r="R14" i="301" s="1"/>
  <c r="D16" i="96"/>
  <c r="B16" i="489" s="1"/>
  <c r="O25" i="301"/>
  <c r="Q25" i="301" s="1"/>
  <c r="D26" i="96"/>
  <c r="B26" i="489" s="1"/>
  <c r="D10" i="96"/>
  <c r="B10" i="489" s="1"/>
  <c r="O19" i="301"/>
  <c r="D32" i="96"/>
  <c r="B32" i="489" s="1"/>
  <c r="D22" i="96"/>
  <c r="B22" i="489" s="1"/>
  <c r="O31" i="301"/>
  <c r="D13" i="96"/>
  <c r="B13" i="489" s="1"/>
  <c r="O22" i="301"/>
  <c r="D23" i="96"/>
  <c r="B23" i="489" s="1"/>
  <c r="O32" i="301"/>
  <c r="D24" i="96"/>
  <c r="B24" i="489" s="1"/>
  <c r="O33" i="301"/>
  <c r="D25" i="96"/>
  <c r="B25" i="489" s="1"/>
  <c r="O34" i="301"/>
  <c r="O11" i="301"/>
  <c r="D21" i="96"/>
  <c r="B21" i="489" s="1"/>
  <c r="O30" i="301"/>
  <c r="D29" i="96"/>
  <c r="B29" i="489" s="1"/>
  <c r="D34" i="96"/>
  <c r="B34" i="489" s="1"/>
  <c r="D28" i="96"/>
  <c r="B28" i="489" s="1"/>
  <c r="D9" i="96"/>
  <c r="B9" i="489" s="1"/>
  <c r="O18" i="301"/>
  <c r="Q18" i="301" s="1"/>
  <c r="D17" i="96"/>
  <c r="B17" i="489" s="1"/>
  <c r="O26" i="301"/>
  <c r="B6" i="228"/>
  <c r="B9" i="228"/>
  <c r="B23" i="228"/>
  <c r="X11" i="201"/>
  <c r="B6" i="489" l="1"/>
  <c r="D74" i="96"/>
  <c r="K11" i="489"/>
  <c r="D83" i="96"/>
  <c r="X26" i="247"/>
  <c r="W21" i="248"/>
  <c r="Y97" i="66"/>
  <c r="J11" i="489"/>
  <c r="D82" i="96"/>
  <c r="E17" i="248"/>
  <c r="W89" i="57"/>
  <c r="F23" i="248"/>
  <c r="X94" i="98"/>
  <c r="O13" i="301"/>
  <c r="O12" i="301"/>
  <c r="Q12" i="301" s="1"/>
  <c r="R12" i="301" s="1"/>
  <c r="T13" i="301" s="1"/>
  <c r="R18" i="301"/>
  <c r="Q19" i="301"/>
  <c r="Q16" i="301"/>
  <c r="T14" i="301"/>
  <c r="T15" i="301"/>
  <c r="Q22" i="301"/>
  <c r="R21" i="301"/>
  <c r="R25" i="301"/>
  <c r="Q26" i="301"/>
  <c r="R26" i="301" s="1"/>
  <c r="B7" i="228"/>
  <c r="B4" i="140"/>
  <c r="BF5" i="140"/>
  <c r="BF6" i="140"/>
  <c r="BF7" i="140"/>
  <c r="BF8" i="140"/>
  <c r="BF9" i="140"/>
  <c r="BF10" i="140"/>
  <c r="BF11" i="140"/>
  <c r="BE4" i="140"/>
  <c r="BE5" i="140"/>
  <c r="BE6" i="140"/>
  <c r="BE7" i="140"/>
  <c r="BE8" i="140"/>
  <c r="BE9" i="140"/>
  <c r="BE10" i="140"/>
  <c r="BE11" i="140"/>
  <c r="BE12" i="140"/>
  <c r="BE3" i="140"/>
  <c r="BG5" i="130"/>
  <c r="BG6" i="130"/>
  <c r="BG7" i="130"/>
  <c r="BG8" i="130"/>
  <c r="BG9" i="130"/>
  <c r="BG10" i="130"/>
  <c r="BG11" i="130"/>
  <c r="BF4" i="130"/>
  <c r="BF5" i="130"/>
  <c r="BF6" i="130"/>
  <c r="BF7" i="130"/>
  <c r="BF8" i="130"/>
  <c r="BF9" i="130"/>
  <c r="BF10" i="130"/>
  <c r="BF11" i="130"/>
  <c r="BF12" i="130"/>
  <c r="BF3" i="130"/>
  <c r="BC5" i="126"/>
  <c r="BC6" i="126"/>
  <c r="BC7" i="126"/>
  <c r="BC8" i="126"/>
  <c r="BC9" i="126"/>
  <c r="BC10" i="126"/>
  <c r="BC11" i="126"/>
  <c r="BB4" i="126"/>
  <c r="BB5" i="126"/>
  <c r="BB6" i="126"/>
  <c r="BB7" i="126"/>
  <c r="BB8" i="126"/>
  <c r="BB9" i="126"/>
  <c r="BB10" i="126"/>
  <c r="BB11" i="126"/>
  <c r="BB12" i="126"/>
  <c r="BB3" i="126"/>
  <c r="X27" i="247" l="1"/>
  <c r="W22" i="248"/>
  <c r="Y98" i="66"/>
  <c r="T12" i="301"/>
  <c r="F24" i="248"/>
  <c r="X95" i="98"/>
  <c r="E18" i="248"/>
  <c r="W90" i="57"/>
  <c r="Q17" i="301"/>
  <c r="R17" i="301" s="1"/>
  <c r="T18" i="301" s="1"/>
  <c r="R16" i="301"/>
  <c r="T16" i="301" s="1"/>
  <c r="Q23" i="301"/>
  <c r="R22" i="301"/>
  <c r="T22" i="301" s="1"/>
  <c r="Q20" i="301"/>
  <c r="R20" i="301" s="1"/>
  <c r="T21" i="301" s="1"/>
  <c r="R19" i="301"/>
  <c r="T19" i="301" s="1"/>
  <c r="U8" i="301"/>
  <c r="T27" i="301"/>
  <c r="T26" i="301"/>
  <c r="X9" i="201"/>
  <c r="E19" i="248" l="1"/>
  <c r="W91" i="57"/>
  <c r="F25" i="248"/>
  <c r="X96" i="98"/>
  <c r="W23" i="248"/>
  <c r="Y99" i="66"/>
  <c r="X28" i="247"/>
  <c r="T20" i="301"/>
  <c r="Q24" i="301"/>
  <c r="R24" i="301" s="1"/>
  <c r="R23" i="301"/>
  <c r="T23" i="301" s="1"/>
  <c r="T17" i="301"/>
  <c r="I71" i="117"/>
  <c r="G70" i="117"/>
  <c r="AA25" i="116"/>
  <c r="AC25" i="116" s="1"/>
  <c r="AA4" i="116"/>
  <c r="AC4" i="116" s="1"/>
  <c r="Y5" i="116"/>
  <c r="Y6" i="116" s="1"/>
  <c r="Y7" i="116" s="1"/>
  <c r="Y8" i="116" s="1"/>
  <c r="Y9" i="116" s="1"/>
  <c r="Y10" i="116" s="1"/>
  <c r="Y11" i="116" s="1"/>
  <c r="Y12" i="116" s="1"/>
  <c r="Y13" i="116" s="1"/>
  <c r="X29" i="247" l="1"/>
  <c r="Y14" i="116"/>
  <c r="Y15" i="116" s="1"/>
  <c r="Y16" i="116" s="1"/>
  <c r="Y17" i="116" s="1"/>
  <c r="Y18" i="116" s="1"/>
  <c r="Y19" i="116" s="1"/>
  <c r="Y20" i="116" s="1"/>
  <c r="Y21" i="116" s="1"/>
  <c r="Y22" i="116" s="1"/>
  <c r="Y23" i="116" s="1"/>
  <c r="Y24" i="116" s="1"/>
  <c r="AA24" i="116" s="1"/>
  <c r="AC24" i="116" s="1"/>
  <c r="AA13" i="116"/>
  <c r="F26" i="248"/>
  <c r="X97" i="98"/>
  <c r="W24" i="248"/>
  <c r="Y100" i="66"/>
  <c r="E20" i="248"/>
  <c r="W92" i="57"/>
  <c r="I70" i="117"/>
  <c r="D70" i="117" s="1"/>
  <c r="C70" i="117"/>
  <c r="D71" i="117"/>
  <c r="T24" i="301"/>
  <c r="T25" i="301"/>
  <c r="U9" i="301"/>
  <c r="U10" i="301" s="1"/>
  <c r="U11" i="301" s="1"/>
  <c r="U12" i="301" s="1"/>
  <c r="U13" i="301" s="1"/>
  <c r="U14" i="301" s="1"/>
  <c r="U15" i="301" s="1"/>
  <c r="U16" i="301" s="1"/>
  <c r="U17" i="301" s="1"/>
  <c r="U18" i="301" s="1"/>
  <c r="U19" i="301" s="1"/>
  <c r="U20" i="301" s="1"/>
  <c r="U21" i="301" s="1"/>
  <c r="U22" i="301" s="1"/>
  <c r="U23" i="301" s="1"/>
  <c r="U24" i="301" s="1"/>
  <c r="U25" i="301" s="1"/>
  <c r="U26" i="301" s="1"/>
  <c r="U27" i="301" s="1"/>
  <c r="U28" i="301" s="1"/>
  <c r="C14" i="96"/>
  <c r="BD14" i="96"/>
  <c r="C71" i="117"/>
  <c r="C15" i="96" s="1"/>
  <c r="BD15" i="96"/>
  <c r="AA11" i="116"/>
  <c r="AC11" i="116" s="1"/>
  <c r="AA10" i="116"/>
  <c r="AC10" i="116" s="1"/>
  <c r="AA9" i="116"/>
  <c r="AC9" i="116" s="1"/>
  <c r="AA16" i="116"/>
  <c r="AC16" i="116" s="1"/>
  <c r="AA8" i="116"/>
  <c r="AC8" i="116" s="1"/>
  <c r="AA15" i="116"/>
  <c r="AC15" i="116" s="1"/>
  <c r="AA7" i="116"/>
  <c r="AC7" i="116" s="1"/>
  <c r="AA6" i="116"/>
  <c r="AC6" i="116" s="1"/>
  <c r="AC13" i="116"/>
  <c r="AA5" i="116"/>
  <c r="AC5" i="116" s="1"/>
  <c r="AA12" i="116"/>
  <c r="AC12" i="116" s="1"/>
  <c r="G72" i="117"/>
  <c r="I72" i="117" s="1"/>
  <c r="E21" i="248" l="1"/>
  <c r="W93" i="57"/>
  <c r="AA20" i="116"/>
  <c r="AC20" i="116" s="1"/>
  <c r="AA19" i="116"/>
  <c r="AC19" i="116" s="1"/>
  <c r="AA14" i="116"/>
  <c r="AC14" i="116" s="1"/>
  <c r="AA17" i="116"/>
  <c r="AC17" i="116" s="1"/>
  <c r="AA21" i="116"/>
  <c r="AC21" i="116" s="1"/>
  <c r="W25" i="248"/>
  <c r="Y101" i="66"/>
  <c r="AA23" i="116"/>
  <c r="AC23" i="116" s="1"/>
  <c r="AA22" i="116"/>
  <c r="AC22" i="116" s="1"/>
  <c r="AA18" i="116"/>
  <c r="AC18" i="116" s="1"/>
  <c r="F27" i="248"/>
  <c r="X98" i="98"/>
  <c r="X30" i="247"/>
  <c r="D72" i="117"/>
  <c r="AU15" i="130"/>
  <c r="AT15" i="140"/>
  <c r="AQ15" i="126"/>
  <c r="C72" i="117"/>
  <c r="C16" i="96" s="1"/>
  <c r="BD16" i="96"/>
  <c r="AU14" i="130"/>
  <c r="AT14" i="140"/>
  <c r="AQ14" i="126"/>
  <c r="I73" i="117"/>
  <c r="W26" i="248" l="1"/>
  <c r="Y102" i="66"/>
  <c r="X31" i="247"/>
  <c r="F28" i="248"/>
  <c r="X99" i="98"/>
  <c r="E22" i="248"/>
  <c r="W94" i="57"/>
  <c r="D73" i="117"/>
  <c r="C73" i="117"/>
  <c r="C17" i="96" s="1"/>
  <c r="BD17" i="96"/>
  <c r="AT16" i="140"/>
  <c r="AQ16" i="126"/>
  <c r="AU16" i="130"/>
  <c r="X32" i="247" l="1"/>
  <c r="F29" i="248"/>
  <c r="X100" i="98"/>
  <c r="E23" i="248"/>
  <c r="W95" i="57"/>
  <c r="W27" i="248"/>
  <c r="Y103" i="66"/>
  <c r="AU17" i="130"/>
  <c r="AT17" i="140"/>
  <c r="AQ17" i="126"/>
  <c r="AT18" i="140"/>
  <c r="AU18" i="130"/>
  <c r="AQ18" i="126"/>
  <c r="G75" i="117"/>
  <c r="I75" i="117" s="1"/>
  <c r="E24" i="248" l="1"/>
  <c r="W96" i="57"/>
  <c r="F30" i="248"/>
  <c r="X101" i="98"/>
  <c r="W28" i="248"/>
  <c r="Y104" i="66"/>
  <c r="X33" i="247"/>
  <c r="U99" i="54"/>
  <c r="D75" i="117"/>
  <c r="C75" i="117"/>
  <c r="C19" i="96" s="1"/>
  <c r="BD19" i="96"/>
  <c r="G76" i="117"/>
  <c r="I76" i="117" s="1"/>
  <c r="D76" i="117" s="1"/>
  <c r="X34" i="247" l="1"/>
  <c r="W29" i="248"/>
  <c r="Y105" i="66"/>
  <c r="F31" i="248"/>
  <c r="X102" i="98"/>
  <c r="E25" i="248"/>
  <c r="W97" i="57"/>
  <c r="H73" i="117"/>
  <c r="E73" i="117" s="1"/>
  <c r="BO17" i="413" s="1"/>
  <c r="U100" i="54"/>
  <c r="AQ19" i="126"/>
  <c r="AU19" i="130"/>
  <c r="AT19" i="140"/>
  <c r="C76" i="117"/>
  <c r="C20" i="96" s="1"/>
  <c r="BD20" i="96"/>
  <c r="G77" i="117"/>
  <c r="I77" i="117" s="1"/>
  <c r="W30" i="248" l="1"/>
  <c r="Y106" i="66"/>
  <c r="E26" i="248"/>
  <c r="W98" i="57"/>
  <c r="F32" i="248"/>
  <c r="X103" i="98"/>
  <c r="X35" i="247"/>
  <c r="U101" i="54"/>
  <c r="D77" i="117"/>
  <c r="H74" i="117"/>
  <c r="E74" i="117" s="1"/>
  <c r="BO18" i="413" s="1"/>
  <c r="AU20" i="130"/>
  <c r="AQ20" i="126"/>
  <c r="AT20" i="140"/>
  <c r="C77" i="117"/>
  <c r="C21" i="96" s="1"/>
  <c r="BD21" i="96"/>
  <c r="G78" i="117"/>
  <c r="I78" i="117" s="1"/>
  <c r="F33" i="248" l="1"/>
  <c r="X104" i="98"/>
  <c r="E27" i="248"/>
  <c r="W99" i="57"/>
  <c r="W31" i="248"/>
  <c r="Y107" i="66"/>
  <c r="U102" i="54"/>
  <c r="D78" i="117"/>
  <c r="H75" i="117"/>
  <c r="E75" i="117" s="1"/>
  <c r="BO19" i="413" s="1"/>
  <c r="AT21" i="140"/>
  <c r="AQ21" i="126"/>
  <c r="AU21" i="130"/>
  <c r="C78" i="117"/>
  <c r="C22" i="96" s="1"/>
  <c r="BD22" i="96"/>
  <c r="G79" i="117"/>
  <c r="I79" i="117" s="1"/>
  <c r="H76" i="117" s="1"/>
  <c r="E76" i="117" s="1"/>
  <c r="BO20" i="413" s="1"/>
  <c r="E28" i="248" l="1"/>
  <c r="W100" i="57"/>
  <c r="W32" i="248"/>
  <c r="Y108" i="66"/>
  <c r="F34" i="248"/>
  <c r="X106" i="98" s="1"/>
  <c r="X105" i="98"/>
  <c r="U103" i="54"/>
  <c r="D79" i="117"/>
  <c r="AU22" i="130"/>
  <c r="AT22" i="140"/>
  <c r="AQ22" i="126"/>
  <c r="C79" i="117"/>
  <c r="C23" i="96" s="1"/>
  <c r="BD23" i="96"/>
  <c r="G81" i="117"/>
  <c r="I81" i="117" s="1"/>
  <c r="G80" i="117"/>
  <c r="I80" i="117" s="1"/>
  <c r="W33" i="248" l="1"/>
  <c r="Y109" i="66"/>
  <c r="E29" i="248"/>
  <c r="W101" i="57"/>
  <c r="H78" i="117"/>
  <c r="E78" i="117" s="1"/>
  <c r="BO22" i="413" s="1"/>
  <c r="U104" i="54"/>
  <c r="D80" i="117"/>
  <c r="H83" i="117"/>
  <c r="E83" i="117" s="1"/>
  <c r="BO27" i="413" s="1"/>
  <c r="H81" i="117"/>
  <c r="E81" i="117" s="1"/>
  <c r="BO25" i="413" s="1"/>
  <c r="D81" i="117"/>
  <c r="H84" i="117"/>
  <c r="E84" i="117" s="1"/>
  <c r="BO28" i="413" s="1"/>
  <c r="H79" i="117"/>
  <c r="E79" i="117" s="1"/>
  <c r="BO23" i="413" s="1"/>
  <c r="H77" i="117"/>
  <c r="E77" i="117" s="1"/>
  <c r="BO21" i="413" s="1"/>
  <c r="H80" i="117"/>
  <c r="E80" i="117" s="1"/>
  <c r="BO24" i="413" s="1"/>
  <c r="H82" i="117"/>
  <c r="E82" i="117" s="1"/>
  <c r="BO26" i="413" s="1"/>
  <c r="AU23" i="130"/>
  <c r="AT23" i="140"/>
  <c r="AQ23" i="126"/>
  <c r="C80" i="117"/>
  <c r="C24" i="96" s="1"/>
  <c r="BD24" i="96"/>
  <c r="C81" i="117"/>
  <c r="C25" i="96" s="1"/>
  <c r="BD25" i="96"/>
  <c r="E30" i="248" l="1"/>
  <c r="W102" i="57"/>
  <c r="W34" i="248"/>
  <c r="Y110" i="66"/>
  <c r="U105" i="54"/>
  <c r="AU25" i="130"/>
  <c r="AT25" i="140"/>
  <c r="AQ25" i="126"/>
  <c r="AU24" i="130"/>
  <c r="AQ24" i="126"/>
  <c r="AT24" i="140"/>
  <c r="P5" i="116"/>
  <c r="P6" i="116"/>
  <c r="P7" i="116"/>
  <c r="P8" i="116"/>
  <c r="P9" i="116"/>
  <c r="P10" i="116"/>
  <c r="P11" i="116"/>
  <c r="P12" i="116"/>
  <c r="P13" i="116"/>
  <c r="P14" i="116"/>
  <c r="P15" i="116"/>
  <c r="P16" i="116"/>
  <c r="P17" i="116"/>
  <c r="P18" i="116"/>
  <c r="P19" i="116"/>
  <c r="P20" i="116"/>
  <c r="P21" i="116"/>
  <c r="P22" i="116"/>
  <c r="P23" i="116"/>
  <c r="P24" i="116"/>
  <c r="P25" i="116"/>
  <c r="P4" i="116"/>
  <c r="Z4" i="67"/>
  <c r="Z30" i="67" s="1"/>
  <c r="Z56" i="67" s="1"/>
  <c r="Z5" i="67"/>
  <c r="Z31" i="67" s="1"/>
  <c r="Z57" i="67" s="1"/>
  <c r="Z6" i="67"/>
  <c r="Z32" i="67" s="1"/>
  <c r="Z58" i="67" s="1"/>
  <c r="Z7" i="67"/>
  <c r="Z33" i="67" s="1"/>
  <c r="Z59" i="67" s="1"/>
  <c r="Z8" i="67"/>
  <c r="Z34" i="67" s="1"/>
  <c r="Z60" i="67" s="1"/>
  <c r="Z9" i="67"/>
  <c r="Z35" i="67" s="1"/>
  <c r="Z61" i="67" s="1"/>
  <c r="Z10" i="67"/>
  <c r="Z36" i="67" s="1"/>
  <c r="Z62" i="67" s="1"/>
  <c r="Z11" i="67"/>
  <c r="Z37" i="67" s="1"/>
  <c r="Z63" i="67" s="1"/>
  <c r="Z12" i="67"/>
  <c r="Z38" i="67" s="1"/>
  <c r="Z64" i="67" s="1"/>
  <c r="Z13" i="67"/>
  <c r="Z39" i="67" s="1"/>
  <c r="Z65" i="67" s="1"/>
  <c r="Z14" i="67"/>
  <c r="Z40" i="67" s="1"/>
  <c r="Z66" i="67" s="1"/>
  <c r="Z15" i="67"/>
  <c r="Z41" i="67" s="1"/>
  <c r="Z67" i="67" s="1"/>
  <c r="Z16" i="67"/>
  <c r="Z42" i="67" s="1"/>
  <c r="Z68" i="67" s="1"/>
  <c r="Z17" i="67"/>
  <c r="Z43" i="67" s="1"/>
  <c r="Z69" i="67" s="1"/>
  <c r="Z18" i="67"/>
  <c r="Z44" i="67" s="1"/>
  <c r="Z70" i="67" s="1"/>
  <c r="Z19" i="67"/>
  <c r="Z45" i="67" s="1"/>
  <c r="Z71" i="67" s="1"/>
  <c r="Z20" i="67"/>
  <c r="Z46" i="67" s="1"/>
  <c r="Z72" i="67" s="1"/>
  <c r="Z21" i="67"/>
  <c r="Z47" i="67" s="1"/>
  <c r="Z73" i="67" s="1"/>
  <c r="Z22" i="67"/>
  <c r="Z48" i="67" s="1"/>
  <c r="Z74" i="67" s="1"/>
  <c r="Z23" i="67"/>
  <c r="Z49" i="67" s="1"/>
  <c r="Z75" i="67" s="1"/>
  <c r="Z24" i="67"/>
  <c r="Z50" i="67" s="1"/>
  <c r="Z76" i="67" s="1"/>
  <c r="Z3" i="67"/>
  <c r="Z29" i="67" s="1"/>
  <c r="Z55" i="67" s="1"/>
  <c r="BT76" i="67"/>
  <c r="BS76" i="67"/>
  <c r="BR76" i="67"/>
  <c r="BQ76" i="67"/>
  <c r="BP76" i="67"/>
  <c r="BO76" i="67"/>
  <c r="BN76" i="67"/>
  <c r="BM76" i="67"/>
  <c r="BL76" i="67"/>
  <c r="BK76" i="67"/>
  <c r="BJ76" i="67"/>
  <c r="BI76" i="67"/>
  <c r="BH76" i="67"/>
  <c r="BG76" i="67"/>
  <c r="BF76" i="67"/>
  <c r="BE76" i="67"/>
  <c r="BD76" i="67"/>
  <c r="BC76" i="67"/>
  <c r="BB76" i="67"/>
  <c r="BA76" i="67"/>
  <c r="AZ76" i="67"/>
  <c r="AY76" i="67"/>
  <c r="BT75" i="67"/>
  <c r="BS75" i="67"/>
  <c r="BR75" i="67"/>
  <c r="BQ75" i="67"/>
  <c r="BP75" i="67"/>
  <c r="BO75" i="67"/>
  <c r="BN75" i="67"/>
  <c r="BM75" i="67"/>
  <c r="BL75" i="67"/>
  <c r="BK75" i="67"/>
  <c r="BJ75" i="67"/>
  <c r="BI75" i="67"/>
  <c r="BH75" i="67"/>
  <c r="BG75" i="67"/>
  <c r="BF75" i="67"/>
  <c r="BE75" i="67"/>
  <c r="BD75" i="67"/>
  <c r="BC75" i="67"/>
  <c r="BB75" i="67"/>
  <c r="BA75" i="67"/>
  <c r="AZ75" i="67"/>
  <c r="AY75" i="67"/>
  <c r="BT74" i="67"/>
  <c r="BS74" i="67"/>
  <c r="BR74" i="67"/>
  <c r="BQ74" i="67"/>
  <c r="BP74" i="67"/>
  <c r="BO74" i="67"/>
  <c r="BN74" i="67"/>
  <c r="BM74" i="67"/>
  <c r="BL74" i="67"/>
  <c r="BK74" i="67"/>
  <c r="BJ74" i="67"/>
  <c r="BI74" i="67"/>
  <c r="BH74" i="67"/>
  <c r="BG74" i="67"/>
  <c r="BF74" i="67"/>
  <c r="BE74" i="67"/>
  <c r="BD74" i="67"/>
  <c r="BC74" i="67"/>
  <c r="BB74" i="67"/>
  <c r="BA74" i="67"/>
  <c r="AZ74" i="67"/>
  <c r="AY74" i="67"/>
  <c r="BT73" i="67"/>
  <c r="BS73" i="67"/>
  <c r="BR73" i="67"/>
  <c r="BQ73" i="67"/>
  <c r="BP73" i="67"/>
  <c r="BO73" i="67"/>
  <c r="BN73" i="67"/>
  <c r="BM73" i="67"/>
  <c r="BL73" i="67"/>
  <c r="BK73" i="67"/>
  <c r="BJ73" i="67"/>
  <c r="BI73" i="67"/>
  <c r="BH73" i="67"/>
  <c r="BG73" i="67"/>
  <c r="BF73" i="67"/>
  <c r="BE73" i="67"/>
  <c r="BD73" i="67"/>
  <c r="BC73" i="67"/>
  <c r="BB73" i="67"/>
  <c r="BA73" i="67"/>
  <c r="AZ73" i="67"/>
  <c r="AY73" i="67"/>
  <c r="BT72" i="67"/>
  <c r="BS72" i="67"/>
  <c r="BR72" i="67"/>
  <c r="BQ72" i="67"/>
  <c r="BP72" i="67"/>
  <c r="BO72" i="67"/>
  <c r="BN72" i="67"/>
  <c r="BM72" i="67"/>
  <c r="BL72" i="67"/>
  <c r="BK72" i="67"/>
  <c r="BJ72" i="67"/>
  <c r="BI72" i="67"/>
  <c r="BH72" i="67"/>
  <c r="BG72" i="67"/>
  <c r="BF72" i="67"/>
  <c r="BE72" i="67"/>
  <c r="BD72" i="67"/>
  <c r="BC72" i="67"/>
  <c r="BB72" i="67"/>
  <c r="BA72" i="67"/>
  <c r="AZ72" i="67"/>
  <c r="AY72" i="67"/>
  <c r="BT71" i="67"/>
  <c r="BS71" i="67"/>
  <c r="BR71" i="67"/>
  <c r="BQ71" i="67"/>
  <c r="BP71" i="67"/>
  <c r="BO71" i="67"/>
  <c r="BN71" i="67"/>
  <c r="BM71" i="67"/>
  <c r="BL71" i="67"/>
  <c r="BK71" i="67"/>
  <c r="BJ71" i="67"/>
  <c r="BI71" i="67"/>
  <c r="BH71" i="67"/>
  <c r="BG71" i="67"/>
  <c r="BF71" i="67"/>
  <c r="BE71" i="67"/>
  <c r="BD71" i="67"/>
  <c r="BC71" i="67"/>
  <c r="BB71" i="67"/>
  <c r="BA71" i="67"/>
  <c r="AZ71" i="67"/>
  <c r="AY71" i="67"/>
  <c r="BT70" i="67"/>
  <c r="BS70" i="67"/>
  <c r="BR70" i="67"/>
  <c r="BQ70" i="67"/>
  <c r="BP70" i="67"/>
  <c r="BO70" i="67"/>
  <c r="BN70" i="67"/>
  <c r="BM70" i="67"/>
  <c r="BL70" i="67"/>
  <c r="BK70" i="67"/>
  <c r="BJ70" i="67"/>
  <c r="BI70" i="67"/>
  <c r="BH70" i="67"/>
  <c r="BG70" i="67"/>
  <c r="BF70" i="67"/>
  <c r="BE70" i="67"/>
  <c r="BD70" i="67"/>
  <c r="BC70" i="67"/>
  <c r="BB70" i="67"/>
  <c r="BA70" i="67"/>
  <c r="AZ70" i="67"/>
  <c r="AY70" i="67"/>
  <c r="BT69" i="67"/>
  <c r="BS69" i="67"/>
  <c r="BR69" i="67"/>
  <c r="BQ69" i="67"/>
  <c r="BP69" i="67"/>
  <c r="BO69" i="67"/>
  <c r="BN69" i="67"/>
  <c r="BM69" i="67"/>
  <c r="BL69" i="67"/>
  <c r="BK69" i="67"/>
  <c r="BJ69" i="67"/>
  <c r="BI69" i="67"/>
  <c r="BH69" i="67"/>
  <c r="BG69" i="67"/>
  <c r="BF69" i="67"/>
  <c r="BE69" i="67"/>
  <c r="BD69" i="67"/>
  <c r="BC69" i="67"/>
  <c r="BB69" i="67"/>
  <c r="BA69" i="67"/>
  <c r="AZ69" i="67"/>
  <c r="AY69" i="67"/>
  <c r="BT68" i="67"/>
  <c r="BS68" i="67"/>
  <c r="BR68" i="67"/>
  <c r="BQ68" i="67"/>
  <c r="BP68" i="67"/>
  <c r="BO68" i="67"/>
  <c r="BN68" i="67"/>
  <c r="BM68" i="67"/>
  <c r="BL68" i="67"/>
  <c r="BK68" i="67"/>
  <c r="BJ68" i="67"/>
  <c r="BI68" i="67"/>
  <c r="BH68" i="67"/>
  <c r="BG68" i="67"/>
  <c r="BF68" i="67"/>
  <c r="BE68" i="67"/>
  <c r="BD68" i="67"/>
  <c r="BC68" i="67"/>
  <c r="BB68" i="67"/>
  <c r="BA68" i="67"/>
  <c r="AZ68" i="67"/>
  <c r="AY68" i="67"/>
  <c r="BT67" i="67"/>
  <c r="BS67" i="67"/>
  <c r="BR67" i="67"/>
  <c r="BQ67" i="67"/>
  <c r="BP67" i="67"/>
  <c r="BO67" i="67"/>
  <c r="BN67" i="67"/>
  <c r="BM67" i="67"/>
  <c r="BL67" i="67"/>
  <c r="BK67" i="67"/>
  <c r="BJ67" i="67"/>
  <c r="BI67" i="67"/>
  <c r="BH67" i="67"/>
  <c r="BG67" i="67"/>
  <c r="BF67" i="67"/>
  <c r="BE67" i="67"/>
  <c r="BD67" i="67"/>
  <c r="BC67" i="67"/>
  <c r="BB67" i="67"/>
  <c r="BA67" i="67"/>
  <c r="AZ67" i="67"/>
  <c r="AY67" i="67"/>
  <c r="BT66" i="67"/>
  <c r="BS66" i="67"/>
  <c r="BR66" i="67"/>
  <c r="BQ66" i="67"/>
  <c r="BP66" i="67"/>
  <c r="BO66" i="67"/>
  <c r="BN66" i="67"/>
  <c r="BM66" i="67"/>
  <c r="BL66" i="67"/>
  <c r="BK66" i="67"/>
  <c r="BJ66" i="67"/>
  <c r="BI66" i="67"/>
  <c r="BH66" i="67"/>
  <c r="BG66" i="67"/>
  <c r="BF66" i="67"/>
  <c r="BE66" i="67"/>
  <c r="BD66" i="67"/>
  <c r="BC66" i="67"/>
  <c r="BB66" i="67"/>
  <c r="BA66" i="67"/>
  <c r="AZ66" i="67"/>
  <c r="AY66" i="67"/>
  <c r="BT65" i="67"/>
  <c r="BS65" i="67"/>
  <c r="BR65" i="67"/>
  <c r="BQ65" i="67"/>
  <c r="BP65" i="67"/>
  <c r="BO65" i="67"/>
  <c r="BN65" i="67"/>
  <c r="BM65" i="67"/>
  <c r="BL65" i="67"/>
  <c r="BK65" i="67"/>
  <c r="BJ65" i="67"/>
  <c r="BI65" i="67"/>
  <c r="BH65" i="67"/>
  <c r="BG65" i="67"/>
  <c r="BF65" i="67"/>
  <c r="BE65" i="67"/>
  <c r="BD65" i="67"/>
  <c r="BC65" i="67"/>
  <c r="BB65" i="67"/>
  <c r="BA65" i="67"/>
  <c r="AZ65" i="67"/>
  <c r="AY65" i="67"/>
  <c r="BT64" i="67"/>
  <c r="BS64" i="67"/>
  <c r="BR64" i="67"/>
  <c r="BQ64" i="67"/>
  <c r="BP64" i="67"/>
  <c r="BO64" i="67"/>
  <c r="BN64" i="67"/>
  <c r="BM64" i="67"/>
  <c r="BL64" i="67"/>
  <c r="BK64" i="67"/>
  <c r="BJ64" i="67"/>
  <c r="BI64" i="67"/>
  <c r="BH64" i="67"/>
  <c r="BG64" i="67"/>
  <c r="BF64" i="67"/>
  <c r="BE64" i="67"/>
  <c r="BD64" i="67"/>
  <c r="BC64" i="67"/>
  <c r="BB64" i="67"/>
  <c r="BA64" i="67"/>
  <c r="AZ64" i="67"/>
  <c r="AY64" i="67"/>
  <c r="BT63" i="67"/>
  <c r="BS63" i="67"/>
  <c r="BR63" i="67"/>
  <c r="BQ63" i="67"/>
  <c r="BP63" i="67"/>
  <c r="BO63" i="67"/>
  <c r="BN63" i="67"/>
  <c r="BM63" i="67"/>
  <c r="BL63" i="67"/>
  <c r="BK63" i="67"/>
  <c r="BJ63" i="67"/>
  <c r="BI63" i="67"/>
  <c r="BH63" i="67"/>
  <c r="BG63" i="67"/>
  <c r="BF63" i="67"/>
  <c r="BE63" i="67"/>
  <c r="BD63" i="67"/>
  <c r="BC63" i="67"/>
  <c r="BB63" i="67"/>
  <c r="BA63" i="67"/>
  <c r="AZ63" i="67"/>
  <c r="AY63" i="67"/>
  <c r="BT62" i="67"/>
  <c r="BS62" i="67"/>
  <c r="BR62" i="67"/>
  <c r="BQ62" i="67"/>
  <c r="BP62" i="67"/>
  <c r="BO62" i="67"/>
  <c r="BN62" i="67"/>
  <c r="BM62" i="67"/>
  <c r="BL62" i="67"/>
  <c r="BK62" i="67"/>
  <c r="BJ62" i="67"/>
  <c r="BI62" i="67"/>
  <c r="BH62" i="67"/>
  <c r="BG62" i="67"/>
  <c r="BF62" i="67"/>
  <c r="BE62" i="67"/>
  <c r="BD62" i="67"/>
  <c r="BC62" i="67"/>
  <c r="BB62" i="67"/>
  <c r="BA62" i="67"/>
  <c r="AZ62" i="67"/>
  <c r="AY62" i="67"/>
  <c r="BT61" i="67"/>
  <c r="BS61" i="67"/>
  <c r="BR61" i="67"/>
  <c r="BQ61" i="67"/>
  <c r="BP61" i="67"/>
  <c r="BO61" i="67"/>
  <c r="BN61" i="67"/>
  <c r="BM61" i="67"/>
  <c r="BL61" i="67"/>
  <c r="BK61" i="67"/>
  <c r="BJ61" i="67"/>
  <c r="BI61" i="67"/>
  <c r="BH61" i="67"/>
  <c r="BG61" i="67"/>
  <c r="BF61" i="67"/>
  <c r="BE61" i="67"/>
  <c r="BD61" i="67"/>
  <c r="BC61" i="67"/>
  <c r="BB61" i="67"/>
  <c r="BA61" i="67"/>
  <c r="AZ61" i="67"/>
  <c r="AY61" i="67"/>
  <c r="BT60" i="67"/>
  <c r="BS60" i="67"/>
  <c r="BR60" i="67"/>
  <c r="BQ60" i="67"/>
  <c r="BP60" i="67"/>
  <c r="BO60" i="67"/>
  <c r="BN60" i="67"/>
  <c r="BM60" i="67"/>
  <c r="BL60" i="67"/>
  <c r="BK60" i="67"/>
  <c r="BJ60" i="67"/>
  <c r="BI60" i="67"/>
  <c r="BH60" i="67"/>
  <c r="BG60" i="67"/>
  <c r="BF60" i="67"/>
  <c r="BE60" i="67"/>
  <c r="BD60" i="67"/>
  <c r="BC60" i="67"/>
  <c r="BB60" i="67"/>
  <c r="BA60" i="67"/>
  <c r="AZ60" i="67"/>
  <c r="AY60" i="67"/>
  <c r="BT59" i="67"/>
  <c r="BS59" i="67"/>
  <c r="BR59" i="67"/>
  <c r="BQ59" i="67"/>
  <c r="BP59" i="67"/>
  <c r="BO59" i="67"/>
  <c r="BN59" i="67"/>
  <c r="BM59" i="67"/>
  <c r="BL59" i="67"/>
  <c r="BK59" i="67"/>
  <c r="BJ59" i="67"/>
  <c r="BI59" i="67"/>
  <c r="BH59" i="67"/>
  <c r="BG59" i="67"/>
  <c r="BF59" i="67"/>
  <c r="BE59" i="67"/>
  <c r="BD59" i="67"/>
  <c r="BC59" i="67"/>
  <c r="BB59" i="67"/>
  <c r="BA59" i="67"/>
  <c r="AZ59" i="67"/>
  <c r="AY59" i="67"/>
  <c r="BT58" i="67"/>
  <c r="BS58" i="67"/>
  <c r="BR58" i="67"/>
  <c r="BQ58" i="67"/>
  <c r="BP58" i="67"/>
  <c r="BO58" i="67"/>
  <c r="BN58" i="67"/>
  <c r="BM58" i="67"/>
  <c r="BL58" i="67"/>
  <c r="BK58" i="67"/>
  <c r="BJ58" i="67"/>
  <c r="BI58" i="67"/>
  <c r="BH58" i="67"/>
  <c r="BG58" i="67"/>
  <c r="BF58" i="67"/>
  <c r="BE58" i="67"/>
  <c r="BD58" i="67"/>
  <c r="BC58" i="67"/>
  <c r="BB58" i="67"/>
  <c r="BA58" i="67"/>
  <c r="AZ58" i="67"/>
  <c r="AY58" i="67"/>
  <c r="BT57" i="67"/>
  <c r="BS57" i="67"/>
  <c r="BR57" i="67"/>
  <c r="BQ57" i="67"/>
  <c r="BP57" i="67"/>
  <c r="BO57" i="67"/>
  <c r="BN57" i="67"/>
  <c r="BM57" i="67"/>
  <c r="BL57" i="67"/>
  <c r="BK57" i="67"/>
  <c r="BJ57" i="67"/>
  <c r="BI57" i="67"/>
  <c r="BH57" i="67"/>
  <c r="BG57" i="67"/>
  <c r="BF57" i="67"/>
  <c r="BE57" i="67"/>
  <c r="BD57" i="67"/>
  <c r="BC57" i="67"/>
  <c r="BB57" i="67"/>
  <c r="BA57" i="67"/>
  <c r="AZ57" i="67"/>
  <c r="AY57" i="67"/>
  <c r="BT56" i="67"/>
  <c r="BS56" i="67"/>
  <c r="BR56" i="67"/>
  <c r="BQ56" i="67"/>
  <c r="BP56" i="67"/>
  <c r="BO56" i="67"/>
  <c r="BN56" i="67"/>
  <c r="BM56" i="67"/>
  <c r="BL56" i="67"/>
  <c r="BK56" i="67"/>
  <c r="BJ56" i="67"/>
  <c r="BI56" i="67"/>
  <c r="BH56" i="67"/>
  <c r="BG56" i="67"/>
  <c r="BF56" i="67"/>
  <c r="BE56" i="67"/>
  <c r="BD56" i="67"/>
  <c r="BC56" i="67"/>
  <c r="BB56" i="67"/>
  <c r="BA56" i="67"/>
  <c r="AZ56" i="67"/>
  <c r="AY56" i="67"/>
  <c r="BT55" i="67"/>
  <c r="BS55" i="67"/>
  <c r="BR55" i="67"/>
  <c r="BQ55" i="67"/>
  <c r="BP55" i="67"/>
  <c r="BO55" i="67"/>
  <c r="BN55" i="67"/>
  <c r="BM55" i="67"/>
  <c r="BL55" i="67"/>
  <c r="BK55" i="67"/>
  <c r="BJ55" i="67"/>
  <c r="BI55" i="67"/>
  <c r="BH55" i="67"/>
  <c r="BG55" i="67"/>
  <c r="BF55" i="67"/>
  <c r="BE55" i="67"/>
  <c r="BD55" i="67"/>
  <c r="BC55" i="67"/>
  <c r="BB55" i="67"/>
  <c r="BA55" i="67"/>
  <c r="AZ55" i="67"/>
  <c r="AY55" i="67"/>
  <c r="BT50" i="67"/>
  <c r="BS50" i="67"/>
  <c r="BR50" i="67"/>
  <c r="BQ50" i="67"/>
  <c r="BP50" i="67"/>
  <c r="BO50" i="67"/>
  <c r="BN50" i="67"/>
  <c r="BM50" i="67"/>
  <c r="BL50" i="67"/>
  <c r="BK50" i="67"/>
  <c r="BJ50" i="67"/>
  <c r="BI50" i="67"/>
  <c r="BH50" i="67"/>
  <c r="BG50" i="67"/>
  <c r="BF50" i="67"/>
  <c r="BE50" i="67"/>
  <c r="BD50" i="67"/>
  <c r="BC50" i="67"/>
  <c r="BB50" i="67"/>
  <c r="BA50" i="67"/>
  <c r="AZ50" i="67"/>
  <c r="AY50" i="67"/>
  <c r="BT49" i="67"/>
  <c r="BS49" i="67"/>
  <c r="BR49" i="67"/>
  <c r="BQ49" i="67"/>
  <c r="BP49" i="67"/>
  <c r="BO49" i="67"/>
  <c r="BN49" i="67"/>
  <c r="BM49" i="67"/>
  <c r="BL49" i="67"/>
  <c r="BK49" i="67"/>
  <c r="BJ49" i="67"/>
  <c r="BI49" i="67"/>
  <c r="BH49" i="67"/>
  <c r="BG49" i="67"/>
  <c r="BF49" i="67"/>
  <c r="BE49" i="67"/>
  <c r="BD49" i="67"/>
  <c r="BC49" i="67"/>
  <c r="BB49" i="67"/>
  <c r="BA49" i="67"/>
  <c r="AZ49" i="67"/>
  <c r="AY49" i="67"/>
  <c r="BT48" i="67"/>
  <c r="BS48" i="67"/>
  <c r="BR48" i="67"/>
  <c r="BQ48" i="67"/>
  <c r="BP48" i="67"/>
  <c r="BO48" i="67"/>
  <c r="BN48" i="67"/>
  <c r="BM48" i="67"/>
  <c r="BL48" i="67"/>
  <c r="BK48" i="67"/>
  <c r="BJ48" i="67"/>
  <c r="BI48" i="67"/>
  <c r="BH48" i="67"/>
  <c r="BG48" i="67"/>
  <c r="BF48" i="67"/>
  <c r="BE48" i="67"/>
  <c r="BD48" i="67"/>
  <c r="BC48" i="67"/>
  <c r="BB48" i="67"/>
  <c r="BA48" i="67"/>
  <c r="AZ48" i="67"/>
  <c r="AY48" i="67"/>
  <c r="BT47" i="67"/>
  <c r="BS47" i="67"/>
  <c r="BR47" i="67"/>
  <c r="BQ47" i="67"/>
  <c r="BP47" i="67"/>
  <c r="BO47" i="67"/>
  <c r="BN47" i="67"/>
  <c r="BM47" i="67"/>
  <c r="BL47" i="67"/>
  <c r="BK47" i="67"/>
  <c r="BJ47" i="67"/>
  <c r="BI47" i="67"/>
  <c r="BH47" i="67"/>
  <c r="BG47" i="67"/>
  <c r="BF47" i="67"/>
  <c r="BE47" i="67"/>
  <c r="BD47" i="67"/>
  <c r="BC47" i="67"/>
  <c r="BB47" i="67"/>
  <c r="BA47" i="67"/>
  <c r="AZ47" i="67"/>
  <c r="AY47" i="67"/>
  <c r="BT46" i="67"/>
  <c r="BS46" i="67"/>
  <c r="BR46" i="67"/>
  <c r="BQ46" i="67"/>
  <c r="BP46" i="67"/>
  <c r="BO46" i="67"/>
  <c r="BN46" i="67"/>
  <c r="BM46" i="67"/>
  <c r="BL46" i="67"/>
  <c r="BK46" i="67"/>
  <c r="BJ46" i="67"/>
  <c r="BI46" i="67"/>
  <c r="BH46" i="67"/>
  <c r="BG46" i="67"/>
  <c r="BF46" i="67"/>
  <c r="BE46" i="67"/>
  <c r="BD46" i="67"/>
  <c r="BC46" i="67"/>
  <c r="BB46" i="67"/>
  <c r="BA46" i="67"/>
  <c r="AZ46" i="67"/>
  <c r="AY46" i="67"/>
  <c r="BT45" i="67"/>
  <c r="BS45" i="67"/>
  <c r="BR45" i="67"/>
  <c r="BQ45" i="67"/>
  <c r="BP45" i="67"/>
  <c r="BO45" i="67"/>
  <c r="BN45" i="67"/>
  <c r="BM45" i="67"/>
  <c r="BL45" i="67"/>
  <c r="BK45" i="67"/>
  <c r="BJ45" i="67"/>
  <c r="BI45" i="67"/>
  <c r="BH45" i="67"/>
  <c r="BG45" i="67"/>
  <c r="BF45" i="67"/>
  <c r="BE45" i="67"/>
  <c r="BD45" i="67"/>
  <c r="BC45" i="67"/>
  <c r="BB45" i="67"/>
  <c r="BA45" i="67"/>
  <c r="AZ45" i="67"/>
  <c r="AY45" i="67"/>
  <c r="BT44" i="67"/>
  <c r="BS44" i="67"/>
  <c r="BR44" i="67"/>
  <c r="BQ44" i="67"/>
  <c r="BP44" i="67"/>
  <c r="BO44" i="67"/>
  <c r="BN44" i="67"/>
  <c r="BM44" i="67"/>
  <c r="BL44" i="67"/>
  <c r="BK44" i="67"/>
  <c r="BJ44" i="67"/>
  <c r="BI44" i="67"/>
  <c r="BH44" i="67"/>
  <c r="BG44" i="67"/>
  <c r="BF44" i="67"/>
  <c r="BE44" i="67"/>
  <c r="BD44" i="67"/>
  <c r="BC44" i="67"/>
  <c r="BB44" i="67"/>
  <c r="BA44" i="67"/>
  <c r="AZ44" i="67"/>
  <c r="AY44" i="67"/>
  <c r="BT43" i="67"/>
  <c r="BS43" i="67"/>
  <c r="BR43" i="67"/>
  <c r="BQ43" i="67"/>
  <c r="BP43" i="67"/>
  <c r="BO43" i="67"/>
  <c r="BN43" i="67"/>
  <c r="BM43" i="67"/>
  <c r="BL43" i="67"/>
  <c r="BK43" i="67"/>
  <c r="BJ43" i="67"/>
  <c r="BI43" i="67"/>
  <c r="BH43" i="67"/>
  <c r="BG43" i="67"/>
  <c r="BF43" i="67"/>
  <c r="BE43" i="67"/>
  <c r="BD43" i="67"/>
  <c r="BC43" i="67"/>
  <c r="BB43" i="67"/>
  <c r="BA43" i="67"/>
  <c r="AZ43" i="67"/>
  <c r="AY43" i="67"/>
  <c r="BT42" i="67"/>
  <c r="BS42" i="67"/>
  <c r="BR42" i="67"/>
  <c r="BQ42" i="67"/>
  <c r="BP42" i="67"/>
  <c r="BO42" i="67"/>
  <c r="BN42" i="67"/>
  <c r="BM42" i="67"/>
  <c r="BL42" i="67"/>
  <c r="BK42" i="67"/>
  <c r="BJ42" i="67"/>
  <c r="BI42" i="67"/>
  <c r="BH42" i="67"/>
  <c r="BG42" i="67"/>
  <c r="BF42" i="67"/>
  <c r="BE42" i="67"/>
  <c r="BD42" i="67"/>
  <c r="BC42" i="67"/>
  <c r="BB42" i="67"/>
  <c r="BA42" i="67"/>
  <c r="AZ42" i="67"/>
  <c r="AY42" i="67"/>
  <c r="BT41" i="67"/>
  <c r="BS41" i="67"/>
  <c r="BR41" i="67"/>
  <c r="BQ41" i="67"/>
  <c r="BP41" i="67"/>
  <c r="BO41" i="67"/>
  <c r="BN41" i="67"/>
  <c r="BM41" i="67"/>
  <c r="BL41" i="67"/>
  <c r="BK41" i="67"/>
  <c r="BJ41" i="67"/>
  <c r="BI41" i="67"/>
  <c r="BH41" i="67"/>
  <c r="BG41" i="67"/>
  <c r="BF41" i="67"/>
  <c r="BE41" i="67"/>
  <c r="BD41" i="67"/>
  <c r="BC41" i="67"/>
  <c r="BB41" i="67"/>
  <c r="BA41" i="67"/>
  <c r="AZ41" i="67"/>
  <c r="AY41" i="67"/>
  <c r="BT40" i="67"/>
  <c r="BS40" i="67"/>
  <c r="BR40" i="67"/>
  <c r="BQ40" i="67"/>
  <c r="BP40" i="67"/>
  <c r="BO40" i="67"/>
  <c r="BN40" i="67"/>
  <c r="BM40" i="67"/>
  <c r="BL40" i="67"/>
  <c r="BK40" i="67"/>
  <c r="BJ40" i="67"/>
  <c r="BI40" i="67"/>
  <c r="BH40" i="67"/>
  <c r="BG40" i="67"/>
  <c r="BF40" i="67"/>
  <c r="BE40" i="67"/>
  <c r="BD40" i="67"/>
  <c r="BC40" i="67"/>
  <c r="BB40" i="67"/>
  <c r="BA40" i="67"/>
  <c r="AZ40" i="67"/>
  <c r="AY40" i="67"/>
  <c r="BT39" i="67"/>
  <c r="BS39" i="67"/>
  <c r="BR39" i="67"/>
  <c r="BQ39" i="67"/>
  <c r="BP39" i="67"/>
  <c r="BO39" i="67"/>
  <c r="BN39" i="67"/>
  <c r="BM39" i="67"/>
  <c r="BL39" i="67"/>
  <c r="BK39" i="67"/>
  <c r="BJ39" i="67"/>
  <c r="BI39" i="67"/>
  <c r="BH39" i="67"/>
  <c r="BG39" i="67"/>
  <c r="BF39" i="67"/>
  <c r="BE39" i="67"/>
  <c r="BD39" i="67"/>
  <c r="BC39" i="67"/>
  <c r="BB39" i="67"/>
  <c r="BA39" i="67"/>
  <c r="AZ39" i="67"/>
  <c r="AY39" i="67"/>
  <c r="BT38" i="67"/>
  <c r="BS38" i="67"/>
  <c r="BR38" i="67"/>
  <c r="BQ38" i="67"/>
  <c r="BP38" i="67"/>
  <c r="BO38" i="67"/>
  <c r="BN38" i="67"/>
  <c r="BM38" i="67"/>
  <c r="BL38" i="67"/>
  <c r="BK38" i="67"/>
  <c r="BJ38" i="67"/>
  <c r="BI38" i="67"/>
  <c r="BH38" i="67"/>
  <c r="BG38" i="67"/>
  <c r="BF38" i="67"/>
  <c r="BE38" i="67"/>
  <c r="BD38" i="67"/>
  <c r="BC38" i="67"/>
  <c r="BB38" i="67"/>
  <c r="BA38" i="67"/>
  <c r="AZ38" i="67"/>
  <c r="AY38" i="67"/>
  <c r="BT37" i="67"/>
  <c r="BS37" i="67"/>
  <c r="BR37" i="67"/>
  <c r="BQ37" i="67"/>
  <c r="BP37" i="67"/>
  <c r="BO37" i="67"/>
  <c r="BN37" i="67"/>
  <c r="BM37" i="67"/>
  <c r="BL37" i="67"/>
  <c r="BK37" i="67"/>
  <c r="BJ37" i="67"/>
  <c r="BI37" i="67"/>
  <c r="BH37" i="67"/>
  <c r="BG37" i="67"/>
  <c r="BF37" i="67"/>
  <c r="BE37" i="67"/>
  <c r="BD37" i="67"/>
  <c r="BC37" i="67"/>
  <c r="BB37" i="67"/>
  <c r="BA37" i="67"/>
  <c r="AZ37" i="67"/>
  <c r="AY37" i="67"/>
  <c r="BT36" i="67"/>
  <c r="BS36" i="67"/>
  <c r="BR36" i="67"/>
  <c r="BQ36" i="67"/>
  <c r="BP36" i="67"/>
  <c r="BO36" i="67"/>
  <c r="BN36" i="67"/>
  <c r="BM36" i="67"/>
  <c r="BL36" i="67"/>
  <c r="BK36" i="67"/>
  <c r="BJ36" i="67"/>
  <c r="BI36" i="67"/>
  <c r="BH36" i="67"/>
  <c r="BG36" i="67"/>
  <c r="BF36" i="67"/>
  <c r="BE36" i="67"/>
  <c r="BD36" i="67"/>
  <c r="BC36" i="67"/>
  <c r="BB36" i="67"/>
  <c r="BA36" i="67"/>
  <c r="AZ36" i="67"/>
  <c r="AY36" i="67"/>
  <c r="BT35" i="67"/>
  <c r="BS35" i="67"/>
  <c r="BR35" i="67"/>
  <c r="BQ35" i="67"/>
  <c r="BP35" i="67"/>
  <c r="BO35" i="67"/>
  <c r="BN35" i="67"/>
  <c r="BM35" i="67"/>
  <c r="BL35" i="67"/>
  <c r="BK35" i="67"/>
  <c r="BJ35" i="67"/>
  <c r="BI35" i="67"/>
  <c r="BH35" i="67"/>
  <c r="BG35" i="67"/>
  <c r="BF35" i="67"/>
  <c r="BE35" i="67"/>
  <c r="BD35" i="67"/>
  <c r="BC35" i="67"/>
  <c r="BB35" i="67"/>
  <c r="BA35" i="67"/>
  <c r="AZ35" i="67"/>
  <c r="AY35" i="67"/>
  <c r="BT34" i="67"/>
  <c r="BS34" i="67"/>
  <c r="BR34" i="67"/>
  <c r="BQ34" i="67"/>
  <c r="BP34" i="67"/>
  <c r="BO34" i="67"/>
  <c r="BN34" i="67"/>
  <c r="BM34" i="67"/>
  <c r="BL34" i="67"/>
  <c r="BK34" i="67"/>
  <c r="BJ34" i="67"/>
  <c r="BI34" i="67"/>
  <c r="BH34" i="67"/>
  <c r="BG34" i="67"/>
  <c r="BF34" i="67"/>
  <c r="BE34" i="67"/>
  <c r="BD34" i="67"/>
  <c r="BC34" i="67"/>
  <c r="BB34" i="67"/>
  <c r="BA34" i="67"/>
  <c r="AZ34" i="67"/>
  <c r="AY34" i="67"/>
  <c r="BT33" i="67"/>
  <c r="BS33" i="67"/>
  <c r="BR33" i="67"/>
  <c r="BQ33" i="67"/>
  <c r="BP33" i="67"/>
  <c r="BO33" i="67"/>
  <c r="BN33" i="67"/>
  <c r="BM33" i="67"/>
  <c r="BL33" i="67"/>
  <c r="BK33" i="67"/>
  <c r="BJ33" i="67"/>
  <c r="BI33" i="67"/>
  <c r="BH33" i="67"/>
  <c r="BG33" i="67"/>
  <c r="BF33" i="67"/>
  <c r="BE33" i="67"/>
  <c r="BD33" i="67"/>
  <c r="BC33" i="67"/>
  <c r="BB33" i="67"/>
  <c r="BA33" i="67"/>
  <c r="AZ33" i="67"/>
  <c r="AY33" i="67"/>
  <c r="BT32" i="67"/>
  <c r="BS32" i="67"/>
  <c r="BR32" i="67"/>
  <c r="BQ32" i="67"/>
  <c r="BP32" i="67"/>
  <c r="BO32" i="67"/>
  <c r="BN32" i="67"/>
  <c r="BM32" i="67"/>
  <c r="BL32" i="67"/>
  <c r="BK32" i="67"/>
  <c r="BJ32" i="67"/>
  <c r="BI32" i="67"/>
  <c r="BH32" i="67"/>
  <c r="BG32" i="67"/>
  <c r="BF32" i="67"/>
  <c r="BE32" i="67"/>
  <c r="BD32" i="67"/>
  <c r="BC32" i="67"/>
  <c r="BB32" i="67"/>
  <c r="BA32" i="67"/>
  <c r="AZ32" i="67"/>
  <c r="AY32" i="67"/>
  <c r="BT31" i="67"/>
  <c r="BS31" i="67"/>
  <c r="BR31" i="67"/>
  <c r="BQ31" i="67"/>
  <c r="BP31" i="67"/>
  <c r="BO31" i="67"/>
  <c r="BN31" i="67"/>
  <c r="BM31" i="67"/>
  <c r="BL31" i="67"/>
  <c r="BK31" i="67"/>
  <c r="BJ31" i="67"/>
  <c r="BI31" i="67"/>
  <c r="BH31" i="67"/>
  <c r="BG31" i="67"/>
  <c r="BF31" i="67"/>
  <c r="BE31" i="67"/>
  <c r="BD31" i="67"/>
  <c r="BC31" i="67"/>
  <c r="BB31" i="67"/>
  <c r="BA31" i="67"/>
  <c r="AZ31" i="67"/>
  <c r="AY31" i="67"/>
  <c r="BT30" i="67"/>
  <c r="BS30" i="67"/>
  <c r="BR30" i="67"/>
  <c r="BQ30" i="67"/>
  <c r="BP30" i="67"/>
  <c r="BO30" i="67"/>
  <c r="BN30" i="67"/>
  <c r="BM30" i="67"/>
  <c r="BL30" i="67"/>
  <c r="BK30" i="67"/>
  <c r="BJ30" i="67"/>
  <c r="BI30" i="67"/>
  <c r="BH30" i="67"/>
  <c r="BG30" i="67"/>
  <c r="BF30" i="67"/>
  <c r="BE30" i="67"/>
  <c r="BD30" i="67"/>
  <c r="BC30" i="67"/>
  <c r="BB30" i="67"/>
  <c r="BA30" i="67"/>
  <c r="AZ30" i="67"/>
  <c r="AY30" i="67"/>
  <c r="BT29" i="67"/>
  <c r="BS29" i="67"/>
  <c r="BR29" i="67"/>
  <c r="BQ29" i="67"/>
  <c r="BP29" i="67"/>
  <c r="BO29" i="67"/>
  <c r="BN29" i="67"/>
  <c r="BM29" i="67"/>
  <c r="BL29" i="67"/>
  <c r="BK29" i="67"/>
  <c r="BJ29" i="67"/>
  <c r="BI29" i="67"/>
  <c r="BH29" i="67"/>
  <c r="BG29" i="67"/>
  <c r="BF29" i="67"/>
  <c r="BE29" i="67"/>
  <c r="BD29" i="67"/>
  <c r="BC29" i="67"/>
  <c r="BB29" i="67"/>
  <c r="BA29" i="67"/>
  <c r="AZ29" i="67"/>
  <c r="AY29" i="67"/>
  <c r="BT24" i="67"/>
  <c r="BS24" i="67"/>
  <c r="BR24" i="67"/>
  <c r="BQ24" i="67"/>
  <c r="BP24" i="67"/>
  <c r="BO24" i="67"/>
  <c r="BN24" i="67"/>
  <c r="BM24" i="67"/>
  <c r="BL24" i="67"/>
  <c r="BK24" i="67"/>
  <c r="BJ24" i="67"/>
  <c r="BI24" i="67"/>
  <c r="BH24" i="67"/>
  <c r="BG24" i="67"/>
  <c r="BF24" i="67"/>
  <c r="BE24" i="67"/>
  <c r="BD24" i="67"/>
  <c r="BC24" i="67"/>
  <c r="BB24" i="67"/>
  <c r="BA24" i="67"/>
  <c r="AZ24" i="67"/>
  <c r="AY24" i="67"/>
  <c r="BT23" i="67"/>
  <c r="BS23" i="67"/>
  <c r="BR23" i="67"/>
  <c r="BQ23" i="67"/>
  <c r="BP23" i="67"/>
  <c r="BO23" i="67"/>
  <c r="BN23" i="67"/>
  <c r="BM23" i="67"/>
  <c r="BL23" i="67"/>
  <c r="BK23" i="67"/>
  <c r="BJ23" i="67"/>
  <c r="BI23" i="67"/>
  <c r="BH23" i="67"/>
  <c r="BG23" i="67"/>
  <c r="BF23" i="67"/>
  <c r="BE23" i="67"/>
  <c r="BD23" i="67"/>
  <c r="BC23" i="67"/>
  <c r="BB23" i="67"/>
  <c r="BA23" i="67"/>
  <c r="AZ23" i="67"/>
  <c r="AY23" i="67"/>
  <c r="BT22" i="67"/>
  <c r="BS22" i="67"/>
  <c r="BR22" i="67"/>
  <c r="BQ22" i="67"/>
  <c r="BP22" i="67"/>
  <c r="BO22" i="67"/>
  <c r="BN22" i="67"/>
  <c r="BM22" i="67"/>
  <c r="BL22" i="67"/>
  <c r="BK22" i="67"/>
  <c r="BJ22" i="67"/>
  <c r="BI22" i="67"/>
  <c r="BH22" i="67"/>
  <c r="BG22" i="67"/>
  <c r="BF22" i="67"/>
  <c r="BE22" i="67"/>
  <c r="BD22" i="67"/>
  <c r="BC22" i="67"/>
  <c r="BB22" i="67"/>
  <c r="BA22" i="67"/>
  <c r="AZ22" i="67"/>
  <c r="AY22" i="67"/>
  <c r="BT21" i="67"/>
  <c r="BS21" i="67"/>
  <c r="BR21" i="67"/>
  <c r="BQ21" i="67"/>
  <c r="BP21" i="67"/>
  <c r="BO21" i="67"/>
  <c r="BN21" i="67"/>
  <c r="BM21" i="67"/>
  <c r="BL21" i="67"/>
  <c r="BK21" i="67"/>
  <c r="BJ21" i="67"/>
  <c r="BI21" i="67"/>
  <c r="BH21" i="67"/>
  <c r="BG21" i="67"/>
  <c r="BF21" i="67"/>
  <c r="BE21" i="67"/>
  <c r="BD21" i="67"/>
  <c r="BC21" i="67"/>
  <c r="BB21" i="67"/>
  <c r="BA21" i="67"/>
  <c r="AZ21" i="67"/>
  <c r="AY21" i="67"/>
  <c r="BT20" i="67"/>
  <c r="BS20" i="67"/>
  <c r="BR20" i="67"/>
  <c r="BQ20" i="67"/>
  <c r="BP20" i="67"/>
  <c r="BO20" i="67"/>
  <c r="BN20" i="67"/>
  <c r="BM20" i="67"/>
  <c r="BL20" i="67"/>
  <c r="BK20" i="67"/>
  <c r="BJ20" i="67"/>
  <c r="BI20" i="67"/>
  <c r="BH20" i="67"/>
  <c r="BG20" i="67"/>
  <c r="BF20" i="67"/>
  <c r="BE20" i="67"/>
  <c r="BD20" i="67"/>
  <c r="BC20" i="67"/>
  <c r="BB20" i="67"/>
  <c r="BA20" i="67"/>
  <c r="AZ20" i="67"/>
  <c r="AY20" i="67"/>
  <c r="BT19" i="67"/>
  <c r="BS19" i="67"/>
  <c r="BR19" i="67"/>
  <c r="BQ19" i="67"/>
  <c r="BP19" i="67"/>
  <c r="BO19" i="67"/>
  <c r="BN19" i="67"/>
  <c r="BM19" i="67"/>
  <c r="BL19" i="67"/>
  <c r="BK19" i="67"/>
  <c r="BJ19" i="67"/>
  <c r="BI19" i="67"/>
  <c r="BH19" i="67"/>
  <c r="BG19" i="67"/>
  <c r="BF19" i="67"/>
  <c r="BE19" i="67"/>
  <c r="BD19" i="67"/>
  <c r="BC19" i="67"/>
  <c r="BB19" i="67"/>
  <c r="BA19" i="67"/>
  <c r="AZ19" i="67"/>
  <c r="AY19" i="67"/>
  <c r="BT18" i="67"/>
  <c r="BS18" i="67"/>
  <c r="BR18" i="67"/>
  <c r="BQ18" i="67"/>
  <c r="BP18" i="67"/>
  <c r="BO18" i="67"/>
  <c r="BN18" i="67"/>
  <c r="BM18" i="67"/>
  <c r="BL18" i="67"/>
  <c r="BK18" i="67"/>
  <c r="BJ18" i="67"/>
  <c r="BI18" i="67"/>
  <c r="BH18" i="67"/>
  <c r="BG18" i="67"/>
  <c r="BF18" i="67"/>
  <c r="BE18" i="67"/>
  <c r="BD18" i="67"/>
  <c r="BC18" i="67"/>
  <c r="BB18" i="67"/>
  <c r="BA18" i="67"/>
  <c r="AZ18" i="67"/>
  <c r="AY18" i="67"/>
  <c r="BT17" i="67"/>
  <c r="BS17" i="67"/>
  <c r="BR17" i="67"/>
  <c r="BQ17" i="67"/>
  <c r="BP17" i="67"/>
  <c r="BO17" i="67"/>
  <c r="BN17" i="67"/>
  <c r="BM17" i="67"/>
  <c r="BL17" i="67"/>
  <c r="BK17" i="67"/>
  <c r="BJ17" i="67"/>
  <c r="BI17" i="67"/>
  <c r="BH17" i="67"/>
  <c r="BG17" i="67"/>
  <c r="BF17" i="67"/>
  <c r="BE17" i="67"/>
  <c r="BD17" i="67"/>
  <c r="BC17" i="67"/>
  <c r="BB17" i="67"/>
  <c r="BA17" i="67"/>
  <c r="AZ17" i="67"/>
  <c r="AY17" i="67"/>
  <c r="BT16" i="67"/>
  <c r="BS16" i="67"/>
  <c r="BR16" i="67"/>
  <c r="BQ16" i="67"/>
  <c r="BP16" i="67"/>
  <c r="BO16" i="67"/>
  <c r="BN16" i="67"/>
  <c r="BM16" i="67"/>
  <c r="BL16" i="67"/>
  <c r="BK16" i="67"/>
  <c r="BJ16" i="67"/>
  <c r="BI16" i="67"/>
  <c r="BH16" i="67"/>
  <c r="BG16" i="67"/>
  <c r="BF16" i="67"/>
  <c r="BE16" i="67"/>
  <c r="BD16" i="67"/>
  <c r="BC16" i="67"/>
  <c r="BB16" i="67"/>
  <c r="BA16" i="67"/>
  <c r="AZ16" i="67"/>
  <c r="AY16" i="67"/>
  <c r="BT15" i="67"/>
  <c r="BS15" i="67"/>
  <c r="BR15" i="67"/>
  <c r="BQ15" i="67"/>
  <c r="BP15" i="67"/>
  <c r="BO15" i="67"/>
  <c r="BN15" i="67"/>
  <c r="BM15" i="67"/>
  <c r="BL15" i="67"/>
  <c r="BK15" i="67"/>
  <c r="BJ15" i="67"/>
  <c r="BI15" i="67"/>
  <c r="BH15" i="67"/>
  <c r="BG15" i="67"/>
  <c r="BF15" i="67"/>
  <c r="BE15" i="67"/>
  <c r="BD15" i="67"/>
  <c r="BC15" i="67"/>
  <c r="BB15" i="67"/>
  <c r="BA15" i="67"/>
  <c r="AZ15" i="67"/>
  <c r="AY15" i="67"/>
  <c r="BT14" i="67"/>
  <c r="BS14" i="67"/>
  <c r="BR14" i="67"/>
  <c r="BQ14" i="67"/>
  <c r="BP14" i="67"/>
  <c r="BO14" i="67"/>
  <c r="BN14" i="67"/>
  <c r="BM14" i="67"/>
  <c r="BL14" i="67"/>
  <c r="BK14" i="67"/>
  <c r="BJ14" i="67"/>
  <c r="BI14" i="67"/>
  <c r="BH14" i="67"/>
  <c r="BG14" i="67"/>
  <c r="BF14" i="67"/>
  <c r="BE14" i="67"/>
  <c r="BD14" i="67"/>
  <c r="BC14" i="67"/>
  <c r="BB14" i="67"/>
  <c r="BA14" i="67"/>
  <c r="AZ14" i="67"/>
  <c r="AY14" i="67"/>
  <c r="BT13" i="67"/>
  <c r="BS13" i="67"/>
  <c r="BR13" i="67"/>
  <c r="BQ13" i="67"/>
  <c r="BP13" i="67"/>
  <c r="BO13" i="67"/>
  <c r="BN13" i="67"/>
  <c r="BM13" i="67"/>
  <c r="BL13" i="67"/>
  <c r="BK13" i="67"/>
  <c r="BJ13" i="67"/>
  <c r="BI13" i="67"/>
  <c r="BH13" i="67"/>
  <c r="BG13" i="67"/>
  <c r="BF13" i="67"/>
  <c r="BE13" i="67"/>
  <c r="BD13" i="67"/>
  <c r="BC13" i="67"/>
  <c r="BB13" i="67"/>
  <c r="BA13" i="67"/>
  <c r="AZ13" i="67"/>
  <c r="AY13" i="67"/>
  <c r="BT12" i="67"/>
  <c r="BS12" i="67"/>
  <c r="BR12" i="67"/>
  <c r="BQ12" i="67"/>
  <c r="BP12" i="67"/>
  <c r="BO12" i="67"/>
  <c r="BN12" i="67"/>
  <c r="BM12" i="67"/>
  <c r="BL12" i="67"/>
  <c r="BK12" i="67"/>
  <c r="BJ12" i="67"/>
  <c r="BI12" i="67"/>
  <c r="BH12" i="67"/>
  <c r="BG12" i="67"/>
  <c r="BF12" i="67"/>
  <c r="BE12" i="67"/>
  <c r="BD12" i="67"/>
  <c r="BC12" i="67"/>
  <c r="BB12" i="67"/>
  <c r="BA12" i="67"/>
  <c r="AZ12" i="67"/>
  <c r="AY12" i="67"/>
  <c r="BT11" i="67"/>
  <c r="BS11" i="67"/>
  <c r="BR11" i="67"/>
  <c r="BQ11" i="67"/>
  <c r="BP11" i="67"/>
  <c r="BO11" i="67"/>
  <c r="BN11" i="67"/>
  <c r="BM11" i="67"/>
  <c r="BL11" i="67"/>
  <c r="BK11" i="67"/>
  <c r="BJ11" i="67"/>
  <c r="BI11" i="67"/>
  <c r="BH11" i="67"/>
  <c r="BG11" i="67"/>
  <c r="BF11" i="67"/>
  <c r="BE11" i="67"/>
  <c r="BD11" i="67"/>
  <c r="BC11" i="67"/>
  <c r="BB11" i="67"/>
  <c r="BA11" i="67"/>
  <c r="AZ11" i="67"/>
  <c r="AY11" i="67"/>
  <c r="BT10" i="67"/>
  <c r="BS10" i="67"/>
  <c r="BR10" i="67"/>
  <c r="BQ10" i="67"/>
  <c r="BP10" i="67"/>
  <c r="BO10" i="67"/>
  <c r="BN10" i="67"/>
  <c r="BM10" i="67"/>
  <c r="BL10" i="67"/>
  <c r="BK10" i="67"/>
  <c r="BJ10" i="67"/>
  <c r="BI10" i="67"/>
  <c r="BH10" i="67"/>
  <c r="BG10" i="67"/>
  <c r="BF10" i="67"/>
  <c r="BE10" i="67"/>
  <c r="BD10" i="67"/>
  <c r="BC10" i="67"/>
  <c r="BB10" i="67"/>
  <c r="BA10" i="67"/>
  <c r="AZ10" i="67"/>
  <c r="AY10" i="67"/>
  <c r="BT9" i="67"/>
  <c r="BS9" i="67"/>
  <c r="BR9" i="67"/>
  <c r="BQ9" i="67"/>
  <c r="BP9" i="67"/>
  <c r="BO9" i="67"/>
  <c r="BN9" i="67"/>
  <c r="BM9" i="67"/>
  <c r="BL9" i="67"/>
  <c r="BK9" i="67"/>
  <c r="BJ9" i="67"/>
  <c r="BI9" i="67"/>
  <c r="BH9" i="67"/>
  <c r="BG9" i="67"/>
  <c r="BF9" i="67"/>
  <c r="BE9" i="67"/>
  <c r="BD9" i="67"/>
  <c r="BC9" i="67"/>
  <c r="BB9" i="67"/>
  <c r="BA9" i="67"/>
  <c r="AZ9" i="67"/>
  <c r="AY9" i="67"/>
  <c r="BT8" i="67"/>
  <c r="BS8" i="67"/>
  <c r="BR8" i="67"/>
  <c r="BQ8" i="67"/>
  <c r="BP8" i="67"/>
  <c r="BO8" i="67"/>
  <c r="BN8" i="67"/>
  <c r="BM8" i="67"/>
  <c r="BL8" i="67"/>
  <c r="BK8" i="67"/>
  <c r="BJ8" i="67"/>
  <c r="BI8" i="67"/>
  <c r="BH8" i="67"/>
  <c r="BG8" i="67"/>
  <c r="BF8" i="67"/>
  <c r="BE8" i="67"/>
  <c r="BD8" i="67"/>
  <c r="BC8" i="67"/>
  <c r="BB8" i="67"/>
  <c r="BA8" i="67"/>
  <c r="AZ8" i="67"/>
  <c r="AY8" i="67"/>
  <c r="BT7" i="67"/>
  <c r="BS7" i="67"/>
  <c r="BR7" i="67"/>
  <c r="BQ7" i="67"/>
  <c r="BP7" i="67"/>
  <c r="BO7" i="67"/>
  <c r="BN7" i="67"/>
  <c r="BM7" i="67"/>
  <c r="BL7" i="67"/>
  <c r="BK7" i="67"/>
  <c r="BJ7" i="67"/>
  <c r="BI7" i="67"/>
  <c r="BH7" i="67"/>
  <c r="BG7" i="67"/>
  <c r="BF7" i="67"/>
  <c r="BE7" i="67"/>
  <c r="BD7" i="67"/>
  <c r="BC7" i="67"/>
  <c r="BB7" i="67"/>
  <c r="BA7" i="67"/>
  <c r="AZ7" i="67"/>
  <c r="AY7" i="67"/>
  <c r="BT6" i="67"/>
  <c r="BS6" i="67"/>
  <c r="BR6" i="67"/>
  <c r="BQ6" i="67"/>
  <c r="BP6" i="67"/>
  <c r="BO6" i="67"/>
  <c r="BN6" i="67"/>
  <c r="BM6" i="67"/>
  <c r="BL6" i="67"/>
  <c r="BK6" i="67"/>
  <c r="BJ6" i="67"/>
  <c r="BI6" i="67"/>
  <c r="BH6" i="67"/>
  <c r="BG6" i="67"/>
  <c r="BF6" i="67"/>
  <c r="BE6" i="67"/>
  <c r="BD6" i="67"/>
  <c r="BC6" i="67"/>
  <c r="BB6" i="67"/>
  <c r="BA6" i="67"/>
  <c r="AZ6" i="67"/>
  <c r="AY6" i="67"/>
  <c r="BT5" i="67"/>
  <c r="BS5" i="67"/>
  <c r="BR5" i="67"/>
  <c r="BQ5" i="67"/>
  <c r="BP5" i="67"/>
  <c r="BO5" i="67"/>
  <c r="BN5" i="67"/>
  <c r="BM5" i="67"/>
  <c r="BL5" i="67"/>
  <c r="BK5" i="67"/>
  <c r="BJ5" i="67"/>
  <c r="BI5" i="67"/>
  <c r="BH5" i="67"/>
  <c r="BG5" i="67"/>
  <c r="BF5" i="67"/>
  <c r="BE5" i="67"/>
  <c r="BD5" i="67"/>
  <c r="BC5" i="67"/>
  <c r="BB5" i="67"/>
  <c r="BA5" i="67"/>
  <c r="AZ5" i="67"/>
  <c r="AY5" i="67"/>
  <c r="BT4" i="67"/>
  <c r="BS4" i="67"/>
  <c r="BR4" i="67"/>
  <c r="BQ4" i="67"/>
  <c r="BP4" i="67"/>
  <c r="BO4" i="67"/>
  <c r="BN4" i="67"/>
  <c r="BM4" i="67"/>
  <c r="BL4" i="67"/>
  <c r="BK4" i="67"/>
  <c r="BJ4" i="67"/>
  <c r="BI4" i="67"/>
  <c r="BH4" i="67"/>
  <c r="BG4" i="67"/>
  <c r="BF4" i="67"/>
  <c r="BE4" i="67"/>
  <c r="BD4" i="67"/>
  <c r="BC4" i="67"/>
  <c r="BB4" i="67"/>
  <c r="BA4" i="67"/>
  <c r="AZ4" i="67"/>
  <c r="AY4" i="67"/>
  <c r="BT3" i="67"/>
  <c r="BS3" i="67"/>
  <c r="BR3" i="67"/>
  <c r="BQ3" i="67"/>
  <c r="BP3" i="67"/>
  <c r="BO3" i="67"/>
  <c r="BN3" i="67"/>
  <c r="BM3" i="67"/>
  <c r="BL3" i="67"/>
  <c r="BK3" i="67"/>
  <c r="BJ3" i="67"/>
  <c r="BI3" i="67"/>
  <c r="BH3" i="67"/>
  <c r="BG3" i="67"/>
  <c r="BF3" i="67"/>
  <c r="BE3" i="67"/>
  <c r="BD3" i="67"/>
  <c r="BC3" i="67"/>
  <c r="BB3" i="67"/>
  <c r="BA3" i="67"/>
  <c r="AZ3" i="67"/>
  <c r="AY3" i="67"/>
  <c r="AU76" i="67"/>
  <c r="AT76" i="67"/>
  <c r="AS76" i="67"/>
  <c r="AR76" i="67"/>
  <c r="AQ76" i="67"/>
  <c r="AP76" i="67"/>
  <c r="AO76" i="67"/>
  <c r="AN76" i="67"/>
  <c r="AM76" i="67"/>
  <c r="AL76" i="67"/>
  <c r="AK76" i="67"/>
  <c r="AJ76" i="67"/>
  <c r="AI76" i="67"/>
  <c r="AH76" i="67"/>
  <c r="AG76" i="67"/>
  <c r="AF76" i="67"/>
  <c r="AE76" i="67"/>
  <c r="AD76" i="67"/>
  <c r="AC76" i="67"/>
  <c r="AB76" i="67"/>
  <c r="AA76" i="67"/>
  <c r="AU75" i="67"/>
  <c r="AT75" i="67"/>
  <c r="AS75" i="67"/>
  <c r="AR75" i="67"/>
  <c r="AQ75" i="67"/>
  <c r="AP75" i="67"/>
  <c r="AO75" i="67"/>
  <c r="AN75" i="67"/>
  <c r="AM75" i="67"/>
  <c r="AL75" i="67"/>
  <c r="AK75" i="67"/>
  <c r="AJ75" i="67"/>
  <c r="AI75" i="67"/>
  <c r="AH75" i="67"/>
  <c r="AG75" i="67"/>
  <c r="AF75" i="67"/>
  <c r="AE75" i="67"/>
  <c r="AD75" i="67"/>
  <c r="AC75" i="67"/>
  <c r="AB75" i="67"/>
  <c r="AA75" i="67"/>
  <c r="AU74" i="67"/>
  <c r="AT74" i="67"/>
  <c r="AS74" i="67"/>
  <c r="AR74" i="67"/>
  <c r="AQ74" i="67"/>
  <c r="AP74" i="67"/>
  <c r="AO74" i="67"/>
  <c r="AN74" i="67"/>
  <c r="AM74" i="67"/>
  <c r="AL74" i="67"/>
  <c r="AK74" i="67"/>
  <c r="AJ74" i="67"/>
  <c r="AI74" i="67"/>
  <c r="AH74" i="67"/>
  <c r="AG74" i="67"/>
  <c r="AF74" i="67"/>
  <c r="AE74" i="67"/>
  <c r="AD74" i="67"/>
  <c r="AC74" i="67"/>
  <c r="AB74" i="67"/>
  <c r="AA74" i="67"/>
  <c r="AU73" i="67"/>
  <c r="AT73" i="67"/>
  <c r="AS73" i="67"/>
  <c r="AR73" i="67"/>
  <c r="AQ73" i="67"/>
  <c r="AP73" i="67"/>
  <c r="AO73" i="67"/>
  <c r="AN73" i="67"/>
  <c r="AM73" i="67"/>
  <c r="AL73" i="67"/>
  <c r="AK73" i="67"/>
  <c r="AJ73" i="67"/>
  <c r="AI73" i="67"/>
  <c r="AH73" i="67"/>
  <c r="AG73" i="67"/>
  <c r="AF73" i="67"/>
  <c r="AE73" i="67"/>
  <c r="AD73" i="67"/>
  <c r="AC73" i="67"/>
  <c r="AB73" i="67"/>
  <c r="AA73" i="67"/>
  <c r="AU72" i="67"/>
  <c r="AT72" i="67"/>
  <c r="AS72" i="67"/>
  <c r="AR72" i="67"/>
  <c r="AQ72" i="67"/>
  <c r="AP72" i="67"/>
  <c r="AO72" i="67"/>
  <c r="AN72" i="67"/>
  <c r="AM72" i="67"/>
  <c r="AL72" i="67"/>
  <c r="AK72" i="67"/>
  <c r="AJ72" i="67"/>
  <c r="AI72" i="67"/>
  <c r="AH72" i="67"/>
  <c r="AG72" i="67"/>
  <c r="AF72" i="67"/>
  <c r="AE72" i="67"/>
  <c r="AD72" i="67"/>
  <c r="AC72" i="67"/>
  <c r="AB72" i="67"/>
  <c r="AA72" i="67"/>
  <c r="AU71" i="67"/>
  <c r="AT71" i="67"/>
  <c r="AS71" i="67"/>
  <c r="AR71" i="67"/>
  <c r="AQ71" i="67"/>
  <c r="AP71" i="67"/>
  <c r="AO71" i="67"/>
  <c r="AN71" i="67"/>
  <c r="AM71" i="67"/>
  <c r="AL71" i="67"/>
  <c r="AK71" i="67"/>
  <c r="AJ71" i="67"/>
  <c r="AI71" i="67"/>
  <c r="AH71" i="67"/>
  <c r="AG71" i="67"/>
  <c r="AF71" i="67"/>
  <c r="AE71" i="67"/>
  <c r="AD71" i="67"/>
  <c r="AC71" i="67"/>
  <c r="AB71" i="67"/>
  <c r="AA71" i="67"/>
  <c r="AU70" i="67"/>
  <c r="AT70" i="67"/>
  <c r="AS70" i="67"/>
  <c r="AR70" i="67"/>
  <c r="AQ70" i="67"/>
  <c r="AP70" i="67"/>
  <c r="AO70" i="67"/>
  <c r="AN70" i="67"/>
  <c r="AM70" i="67"/>
  <c r="AL70" i="67"/>
  <c r="AK70" i="67"/>
  <c r="AJ70" i="67"/>
  <c r="AI70" i="67"/>
  <c r="AH70" i="67"/>
  <c r="AG70" i="67"/>
  <c r="AF70" i="67"/>
  <c r="AE70" i="67"/>
  <c r="AD70" i="67"/>
  <c r="AC70" i="67"/>
  <c r="AB70" i="67"/>
  <c r="AA70" i="67"/>
  <c r="AU69" i="67"/>
  <c r="AT69" i="67"/>
  <c r="AS69" i="67"/>
  <c r="AR69" i="67"/>
  <c r="AQ69" i="67"/>
  <c r="AP69" i="67"/>
  <c r="AO69" i="67"/>
  <c r="AN69" i="67"/>
  <c r="AM69" i="67"/>
  <c r="AL69" i="67"/>
  <c r="AK69" i="67"/>
  <c r="AJ69" i="67"/>
  <c r="AI69" i="67"/>
  <c r="AH69" i="67"/>
  <c r="AG69" i="67"/>
  <c r="AF69" i="67"/>
  <c r="AE69" i="67"/>
  <c r="AD69" i="67"/>
  <c r="AC69" i="67"/>
  <c r="AB69" i="67"/>
  <c r="AA69" i="67"/>
  <c r="AU68" i="67"/>
  <c r="AT68" i="67"/>
  <c r="AS68" i="67"/>
  <c r="AR68" i="67"/>
  <c r="AQ68" i="67"/>
  <c r="AP68" i="67"/>
  <c r="AO68" i="67"/>
  <c r="AN68" i="67"/>
  <c r="AM68" i="67"/>
  <c r="AL68" i="67"/>
  <c r="AK68" i="67"/>
  <c r="AJ68" i="67"/>
  <c r="AI68" i="67"/>
  <c r="AH68" i="67"/>
  <c r="AG68" i="67"/>
  <c r="AF68" i="67"/>
  <c r="AE68" i="67"/>
  <c r="AD68" i="67"/>
  <c r="AC68" i="67"/>
  <c r="AB68" i="67"/>
  <c r="AA68" i="67"/>
  <c r="AU67" i="67"/>
  <c r="AT67" i="67"/>
  <c r="AS67" i="67"/>
  <c r="AR67" i="67"/>
  <c r="AQ67" i="67"/>
  <c r="AP67" i="67"/>
  <c r="AO67" i="67"/>
  <c r="AN67" i="67"/>
  <c r="AM67" i="67"/>
  <c r="AL67" i="67"/>
  <c r="AK67" i="67"/>
  <c r="AJ67" i="67"/>
  <c r="AI67" i="67"/>
  <c r="AH67" i="67"/>
  <c r="AG67" i="67"/>
  <c r="AF67" i="67"/>
  <c r="AE67" i="67"/>
  <c r="AD67" i="67"/>
  <c r="AC67" i="67"/>
  <c r="AB67" i="67"/>
  <c r="AA67" i="67"/>
  <c r="AU66" i="67"/>
  <c r="AT66" i="67"/>
  <c r="AS66" i="67"/>
  <c r="AR66" i="67"/>
  <c r="AQ66" i="67"/>
  <c r="AP66" i="67"/>
  <c r="AO66" i="67"/>
  <c r="AN66" i="67"/>
  <c r="AM66" i="67"/>
  <c r="AL66" i="67"/>
  <c r="AK66" i="67"/>
  <c r="AJ66" i="67"/>
  <c r="AI66" i="67"/>
  <c r="AH66" i="67"/>
  <c r="AG66" i="67"/>
  <c r="AF66" i="67"/>
  <c r="AE66" i="67"/>
  <c r="AD66" i="67"/>
  <c r="AC66" i="67"/>
  <c r="AB66" i="67"/>
  <c r="AA66" i="67"/>
  <c r="AU65" i="67"/>
  <c r="AT65" i="67"/>
  <c r="AS65" i="67"/>
  <c r="AQ65" i="67"/>
  <c r="AP65" i="67"/>
  <c r="AO65" i="67"/>
  <c r="AN65" i="67"/>
  <c r="AM65" i="67"/>
  <c r="AL65" i="67"/>
  <c r="AK65" i="67"/>
  <c r="AJ65" i="67"/>
  <c r="AI65" i="67"/>
  <c r="AH65" i="67"/>
  <c r="AG65" i="67"/>
  <c r="AF65" i="67"/>
  <c r="AE65" i="67"/>
  <c r="AD65" i="67"/>
  <c r="AC65" i="67"/>
  <c r="AB65" i="67"/>
  <c r="AA65" i="67"/>
  <c r="AU64" i="67"/>
  <c r="AT64" i="67"/>
  <c r="AS64" i="67"/>
  <c r="AQ64" i="67"/>
  <c r="AP64" i="67"/>
  <c r="AO64" i="67"/>
  <c r="AN64" i="67"/>
  <c r="AM64" i="67"/>
  <c r="AL64" i="67"/>
  <c r="AK64" i="67"/>
  <c r="AJ64" i="67"/>
  <c r="AI64" i="67"/>
  <c r="AH64" i="67"/>
  <c r="AG64" i="67"/>
  <c r="AF64" i="67"/>
  <c r="AE64" i="67"/>
  <c r="AD64" i="67"/>
  <c r="AC64" i="67"/>
  <c r="AB64" i="67"/>
  <c r="AA64" i="67"/>
  <c r="AU63" i="67"/>
  <c r="AT63" i="67"/>
  <c r="AS63" i="67"/>
  <c r="AQ63" i="67"/>
  <c r="AP63" i="67"/>
  <c r="AO63" i="67"/>
  <c r="AN63" i="67"/>
  <c r="AM63" i="67"/>
  <c r="AL63" i="67"/>
  <c r="AK63" i="67"/>
  <c r="AJ63" i="67"/>
  <c r="AI63" i="67"/>
  <c r="AH63" i="67"/>
  <c r="AG63" i="67"/>
  <c r="AF63" i="67"/>
  <c r="AE63" i="67"/>
  <c r="AD63" i="67"/>
  <c r="AC63" i="67"/>
  <c r="AB63" i="67"/>
  <c r="AA63" i="67"/>
  <c r="AU62" i="67"/>
  <c r="AT62" i="67"/>
  <c r="AS62" i="67"/>
  <c r="AQ62" i="67"/>
  <c r="AP62" i="67"/>
  <c r="AO62" i="67"/>
  <c r="AN62" i="67"/>
  <c r="AM62" i="67"/>
  <c r="AL62" i="67"/>
  <c r="AK62" i="67"/>
  <c r="AJ62" i="67"/>
  <c r="AI62" i="67"/>
  <c r="AH62" i="67"/>
  <c r="AG62" i="67"/>
  <c r="AF62" i="67"/>
  <c r="AE62" i="67"/>
  <c r="AD62" i="67"/>
  <c r="AC62" i="67"/>
  <c r="AB62" i="67"/>
  <c r="AA62" i="67"/>
  <c r="AU61" i="67"/>
  <c r="AT61" i="67"/>
  <c r="AS61" i="67"/>
  <c r="AQ61" i="67"/>
  <c r="AP61" i="67"/>
  <c r="AO61" i="67"/>
  <c r="AN61" i="67"/>
  <c r="AM61" i="67"/>
  <c r="AL61" i="67"/>
  <c r="AK61" i="67"/>
  <c r="AJ61" i="67"/>
  <c r="AI61" i="67"/>
  <c r="AH61" i="67"/>
  <c r="AG61" i="67"/>
  <c r="AF61" i="67"/>
  <c r="AE61" i="67"/>
  <c r="AD61" i="67"/>
  <c r="AC61" i="67"/>
  <c r="AB61" i="67"/>
  <c r="AA61" i="67"/>
  <c r="AU60" i="67"/>
  <c r="AT60" i="67"/>
  <c r="AS60" i="67"/>
  <c r="AQ60" i="67"/>
  <c r="AP60" i="67"/>
  <c r="AO60" i="67"/>
  <c r="AN60" i="67"/>
  <c r="AM60" i="67"/>
  <c r="AL60" i="67"/>
  <c r="AK60" i="67"/>
  <c r="AJ60" i="67"/>
  <c r="AI60" i="67"/>
  <c r="AH60" i="67"/>
  <c r="AG60" i="67"/>
  <c r="AF60" i="67"/>
  <c r="AE60" i="67"/>
  <c r="AD60" i="67"/>
  <c r="AC60" i="67"/>
  <c r="AB60" i="67"/>
  <c r="AA60" i="67"/>
  <c r="AU59" i="67"/>
  <c r="AT59" i="67"/>
  <c r="AS59" i="67"/>
  <c r="AQ59" i="67"/>
  <c r="AP59" i="67"/>
  <c r="AO59" i="67"/>
  <c r="AN59" i="67"/>
  <c r="AM59" i="67"/>
  <c r="AL59" i="67"/>
  <c r="AK59" i="67"/>
  <c r="AJ59" i="67"/>
  <c r="AI59" i="67"/>
  <c r="AH59" i="67"/>
  <c r="AG59" i="67"/>
  <c r="AF59" i="67"/>
  <c r="AE59" i="67"/>
  <c r="AD59" i="67"/>
  <c r="AC59" i="67"/>
  <c r="AB59" i="67"/>
  <c r="AA59" i="67"/>
  <c r="AU58" i="67"/>
  <c r="AT58" i="67"/>
  <c r="AS58" i="67"/>
  <c r="AQ58" i="67"/>
  <c r="AP58" i="67"/>
  <c r="AO58" i="67"/>
  <c r="AN58" i="67"/>
  <c r="AM58" i="67"/>
  <c r="AL58" i="67"/>
  <c r="AK58" i="67"/>
  <c r="AJ58" i="67"/>
  <c r="AI58" i="67"/>
  <c r="AH58" i="67"/>
  <c r="AG58" i="67"/>
  <c r="AF58" i="67"/>
  <c r="AE58" i="67"/>
  <c r="AD58" i="67"/>
  <c r="AC58" i="67"/>
  <c r="AB58" i="67"/>
  <c r="AA58" i="67"/>
  <c r="AU57" i="67"/>
  <c r="AT57" i="67"/>
  <c r="AS57" i="67"/>
  <c r="AQ57" i="67"/>
  <c r="AP57" i="67"/>
  <c r="AO57" i="67"/>
  <c r="AN57" i="67"/>
  <c r="AM57" i="67"/>
  <c r="AL57" i="67"/>
  <c r="AK57" i="67"/>
  <c r="AJ57" i="67"/>
  <c r="AI57" i="67"/>
  <c r="AH57" i="67"/>
  <c r="AG57" i="67"/>
  <c r="AF57" i="67"/>
  <c r="AE57" i="67"/>
  <c r="AD57" i="67"/>
  <c r="AC57" i="67"/>
  <c r="AB57" i="67"/>
  <c r="AA57" i="67"/>
  <c r="AU56" i="67"/>
  <c r="AT56" i="67"/>
  <c r="AS56" i="67"/>
  <c r="AQ56" i="67"/>
  <c r="AP56" i="67"/>
  <c r="AO56" i="67"/>
  <c r="AN56" i="67"/>
  <c r="AM56" i="67"/>
  <c r="AL56" i="67"/>
  <c r="AK56" i="67"/>
  <c r="AJ56" i="67"/>
  <c r="AI56" i="67"/>
  <c r="AH56" i="67"/>
  <c r="AG56" i="67"/>
  <c r="AF56" i="67"/>
  <c r="AE56" i="67"/>
  <c r="AD56" i="67"/>
  <c r="AC56" i="67"/>
  <c r="AB56" i="67"/>
  <c r="AA56" i="67"/>
  <c r="AU55" i="67"/>
  <c r="AT55" i="67"/>
  <c r="AS55" i="67"/>
  <c r="AQ55" i="67"/>
  <c r="AP55" i="67"/>
  <c r="AO55" i="67"/>
  <c r="AN55" i="67"/>
  <c r="AM55" i="67"/>
  <c r="AL55" i="67"/>
  <c r="AK55" i="67"/>
  <c r="AJ55" i="67"/>
  <c r="AI55" i="67"/>
  <c r="AH55" i="67"/>
  <c r="AG55" i="67"/>
  <c r="AF55" i="67"/>
  <c r="AE55" i="67"/>
  <c r="AD55" i="67"/>
  <c r="AC55" i="67"/>
  <c r="AB55" i="67"/>
  <c r="AA55" i="67"/>
  <c r="AU50" i="67"/>
  <c r="AT50" i="67"/>
  <c r="AS50" i="67"/>
  <c r="AR50" i="67"/>
  <c r="AQ50" i="67"/>
  <c r="AP50" i="67"/>
  <c r="AO50" i="67"/>
  <c r="AN50" i="67"/>
  <c r="AM50" i="67"/>
  <c r="AL50" i="67"/>
  <c r="AK50" i="67"/>
  <c r="AJ50" i="67"/>
  <c r="AI50" i="67"/>
  <c r="AH50" i="67"/>
  <c r="AG50" i="67"/>
  <c r="AF50" i="67"/>
  <c r="AE50" i="67"/>
  <c r="AD50" i="67"/>
  <c r="AC50" i="67"/>
  <c r="AB50" i="67"/>
  <c r="AA50" i="67"/>
  <c r="AU49" i="67"/>
  <c r="AT49" i="67"/>
  <c r="AS49" i="67"/>
  <c r="AR49" i="67"/>
  <c r="AQ49" i="67"/>
  <c r="AP49" i="67"/>
  <c r="AO49" i="67"/>
  <c r="AN49" i="67"/>
  <c r="AM49" i="67"/>
  <c r="AL49" i="67"/>
  <c r="AK49" i="67"/>
  <c r="AJ49" i="67"/>
  <c r="AI49" i="67"/>
  <c r="AH49" i="67"/>
  <c r="AG49" i="67"/>
  <c r="AF49" i="67"/>
  <c r="AE49" i="67"/>
  <c r="AD49" i="67"/>
  <c r="AC49" i="67"/>
  <c r="AB49" i="67"/>
  <c r="AA49" i="67"/>
  <c r="AU48" i="67"/>
  <c r="AT48" i="67"/>
  <c r="AS48" i="67"/>
  <c r="AR48" i="67"/>
  <c r="AQ48" i="67"/>
  <c r="AP48" i="67"/>
  <c r="AO48" i="67"/>
  <c r="AN48" i="67"/>
  <c r="AM48" i="67"/>
  <c r="AL48" i="67"/>
  <c r="AK48" i="67"/>
  <c r="AJ48" i="67"/>
  <c r="AI48" i="67"/>
  <c r="AH48" i="67"/>
  <c r="AG48" i="67"/>
  <c r="AF48" i="67"/>
  <c r="AE48" i="67"/>
  <c r="AD48" i="67"/>
  <c r="AC48" i="67"/>
  <c r="AB48" i="67"/>
  <c r="AA48" i="67"/>
  <c r="AU47" i="67"/>
  <c r="AT47" i="67"/>
  <c r="AS47" i="67"/>
  <c r="AR47" i="67"/>
  <c r="AQ47" i="67"/>
  <c r="AP47" i="67"/>
  <c r="AO47" i="67"/>
  <c r="AN47" i="67"/>
  <c r="AM47" i="67"/>
  <c r="AL47" i="67"/>
  <c r="AK47" i="67"/>
  <c r="AJ47" i="67"/>
  <c r="AI47" i="67"/>
  <c r="AH47" i="67"/>
  <c r="AG47" i="67"/>
  <c r="AF47" i="67"/>
  <c r="AE47" i="67"/>
  <c r="AD47" i="67"/>
  <c r="AC47" i="67"/>
  <c r="AB47" i="67"/>
  <c r="AA47" i="67"/>
  <c r="AU46" i="67"/>
  <c r="AT46" i="67"/>
  <c r="AS46" i="67"/>
  <c r="AR46" i="67"/>
  <c r="AQ46" i="67"/>
  <c r="AP46" i="67"/>
  <c r="AO46" i="67"/>
  <c r="AN46" i="67"/>
  <c r="AM46" i="67"/>
  <c r="AL46" i="67"/>
  <c r="AK46" i="67"/>
  <c r="AJ46" i="67"/>
  <c r="AI46" i="67"/>
  <c r="AH46" i="67"/>
  <c r="AG46" i="67"/>
  <c r="AF46" i="67"/>
  <c r="AE46" i="67"/>
  <c r="AD46" i="67"/>
  <c r="AC46" i="67"/>
  <c r="AB46" i="67"/>
  <c r="AA46" i="67"/>
  <c r="AU45" i="67"/>
  <c r="AT45" i="67"/>
  <c r="AS45" i="67"/>
  <c r="AR45" i="67"/>
  <c r="AQ45" i="67"/>
  <c r="AP45" i="67"/>
  <c r="AO45" i="67"/>
  <c r="AN45" i="67"/>
  <c r="AM45" i="67"/>
  <c r="AL45" i="67"/>
  <c r="AK45" i="67"/>
  <c r="AJ45" i="67"/>
  <c r="AI45" i="67"/>
  <c r="AH45" i="67"/>
  <c r="AG45" i="67"/>
  <c r="AF45" i="67"/>
  <c r="AE45" i="67"/>
  <c r="AD45" i="67"/>
  <c r="AC45" i="67"/>
  <c r="AB45" i="67"/>
  <c r="AA45" i="67"/>
  <c r="AU44" i="67"/>
  <c r="AT44" i="67"/>
  <c r="AS44" i="67"/>
  <c r="AR44" i="67"/>
  <c r="AQ44" i="67"/>
  <c r="AP44" i="67"/>
  <c r="AO44" i="67"/>
  <c r="AN44" i="67"/>
  <c r="AM44" i="67"/>
  <c r="AL44" i="67"/>
  <c r="AK44" i="67"/>
  <c r="AJ44" i="67"/>
  <c r="AI44" i="67"/>
  <c r="AH44" i="67"/>
  <c r="AG44" i="67"/>
  <c r="AF44" i="67"/>
  <c r="AE44" i="67"/>
  <c r="AD44" i="67"/>
  <c r="AC44" i="67"/>
  <c r="AB44" i="67"/>
  <c r="AA44" i="67"/>
  <c r="AU43" i="67"/>
  <c r="AT43" i="67"/>
  <c r="AS43" i="67"/>
  <c r="AR43" i="67"/>
  <c r="AQ43" i="67"/>
  <c r="AP43" i="67"/>
  <c r="AO43" i="67"/>
  <c r="AN43" i="67"/>
  <c r="AM43" i="67"/>
  <c r="AL43" i="67"/>
  <c r="AK43" i="67"/>
  <c r="AJ43" i="67"/>
  <c r="AI43" i="67"/>
  <c r="AH43" i="67"/>
  <c r="AG43" i="67"/>
  <c r="AF43" i="67"/>
  <c r="AE43" i="67"/>
  <c r="AD43" i="67"/>
  <c r="AC43" i="67"/>
  <c r="AB43" i="67"/>
  <c r="AA43" i="67"/>
  <c r="AU42" i="67"/>
  <c r="AT42" i="67"/>
  <c r="AS42" i="67"/>
  <c r="AR42" i="67"/>
  <c r="AQ42" i="67"/>
  <c r="AP42" i="67"/>
  <c r="AO42" i="67"/>
  <c r="AN42" i="67"/>
  <c r="AM42" i="67"/>
  <c r="AL42" i="67"/>
  <c r="AK42" i="67"/>
  <c r="AJ42" i="67"/>
  <c r="AI42" i="67"/>
  <c r="AH42" i="67"/>
  <c r="AG42" i="67"/>
  <c r="AF42" i="67"/>
  <c r="AE42" i="67"/>
  <c r="AD42" i="67"/>
  <c r="AC42" i="67"/>
  <c r="AB42" i="67"/>
  <c r="AA42" i="67"/>
  <c r="AU41" i="67"/>
  <c r="AT41" i="67"/>
  <c r="AS41" i="67"/>
  <c r="AR41" i="67"/>
  <c r="AQ41" i="67"/>
  <c r="AP41" i="67"/>
  <c r="AO41" i="67"/>
  <c r="AN41" i="67"/>
  <c r="AM41" i="67"/>
  <c r="AL41" i="67"/>
  <c r="AK41" i="67"/>
  <c r="AJ41" i="67"/>
  <c r="AI41" i="67"/>
  <c r="AH41" i="67"/>
  <c r="AG41" i="67"/>
  <c r="AF41" i="67"/>
  <c r="AE41" i="67"/>
  <c r="AD41" i="67"/>
  <c r="AC41" i="67"/>
  <c r="AB41" i="67"/>
  <c r="AA41" i="67"/>
  <c r="AU40" i="67"/>
  <c r="AT40" i="67"/>
  <c r="AS40" i="67"/>
  <c r="AR40" i="67"/>
  <c r="AQ40" i="67"/>
  <c r="AP40" i="67"/>
  <c r="AO40" i="67"/>
  <c r="AN40" i="67"/>
  <c r="AM40" i="67"/>
  <c r="AL40" i="67"/>
  <c r="AK40" i="67"/>
  <c r="AJ40" i="67"/>
  <c r="AI40" i="67"/>
  <c r="AH40" i="67"/>
  <c r="AG40" i="67"/>
  <c r="AF40" i="67"/>
  <c r="AE40" i="67"/>
  <c r="AD40" i="67"/>
  <c r="AC40" i="67"/>
  <c r="AB40" i="67"/>
  <c r="AA40" i="67"/>
  <c r="AU39" i="67"/>
  <c r="AT39" i="67"/>
  <c r="AS39" i="67"/>
  <c r="AR39" i="67"/>
  <c r="AQ39" i="67"/>
  <c r="AP39" i="67"/>
  <c r="AO39" i="67"/>
  <c r="AN39" i="67"/>
  <c r="AM39" i="67"/>
  <c r="AL39" i="67"/>
  <c r="AK39" i="67"/>
  <c r="AJ39" i="67"/>
  <c r="AI39" i="67"/>
  <c r="AH39" i="67"/>
  <c r="AG39" i="67"/>
  <c r="AF39" i="67"/>
  <c r="AE39" i="67"/>
  <c r="AD39" i="67"/>
  <c r="AC39" i="67"/>
  <c r="AB39" i="67"/>
  <c r="AA39" i="67"/>
  <c r="AU38" i="67"/>
  <c r="AT38" i="67"/>
  <c r="AS38" i="67"/>
  <c r="AR38" i="67"/>
  <c r="AQ38" i="67"/>
  <c r="AP38" i="67"/>
  <c r="AO38" i="67"/>
  <c r="AN38" i="67"/>
  <c r="AM38" i="67"/>
  <c r="AL38" i="67"/>
  <c r="AK38" i="67"/>
  <c r="AJ38" i="67"/>
  <c r="AI38" i="67"/>
  <c r="AH38" i="67"/>
  <c r="AG38" i="67"/>
  <c r="AF38" i="67"/>
  <c r="AE38" i="67"/>
  <c r="AD38" i="67"/>
  <c r="AC38" i="67"/>
  <c r="AB38" i="67"/>
  <c r="AA38" i="67"/>
  <c r="AU37" i="67"/>
  <c r="AT37" i="67"/>
  <c r="AS37" i="67"/>
  <c r="AR37" i="67"/>
  <c r="AQ37" i="67"/>
  <c r="AP37" i="67"/>
  <c r="AO37" i="67"/>
  <c r="AN37" i="67"/>
  <c r="AM37" i="67"/>
  <c r="AL37" i="67"/>
  <c r="AK37" i="67"/>
  <c r="AJ37" i="67"/>
  <c r="AI37" i="67"/>
  <c r="AH37" i="67"/>
  <c r="AG37" i="67"/>
  <c r="AF37" i="67"/>
  <c r="AE37" i="67"/>
  <c r="AD37" i="67"/>
  <c r="AC37" i="67"/>
  <c r="AB37" i="67"/>
  <c r="AA37" i="67"/>
  <c r="AU36" i="67"/>
  <c r="AT36" i="67"/>
  <c r="AS36" i="67"/>
  <c r="AR36" i="67"/>
  <c r="AQ36" i="67"/>
  <c r="AP36" i="67"/>
  <c r="AO36" i="67"/>
  <c r="AN36" i="67"/>
  <c r="AM36" i="67"/>
  <c r="AL36" i="67"/>
  <c r="AK36" i="67"/>
  <c r="AJ36" i="67"/>
  <c r="AI36" i="67"/>
  <c r="AH36" i="67"/>
  <c r="AG36" i="67"/>
  <c r="AF36" i="67"/>
  <c r="AE36" i="67"/>
  <c r="AD36" i="67"/>
  <c r="AC36" i="67"/>
  <c r="AB36" i="67"/>
  <c r="AA36" i="67"/>
  <c r="AU35" i="67"/>
  <c r="AT35" i="67"/>
  <c r="AS35" i="67"/>
  <c r="AR35" i="67"/>
  <c r="AQ35" i="67"/>
  <c r="AP35" i="67"/>
  <c r="AO35" i="67"/>
  <c r="AN35" i="67"/>
  <c r="AM35" i="67"/>
  <c r="AL35" i="67"/>
  <c r="AK35" i="67"/>
  <c r="AJ35" i="67"/>
  <c r="AI35" i="67"/>
  <c r="AH35" i="67"/>
  <c r="AG35" i="67"/>
  <c r="AF35" i="67"/>
  <c r="AE35" i="67"/>
  <c r="AD35" i="67"/>
  <c r="AC35" i="67"/>
  <c r="AB35" i="67"/>
  <c r="AA35" i="67"/>
  <c r="AU34" i="67"/>
  <c r="AT34" i="67"/>
  <c r="AS34" i="67"/>
  <c r="AR34" i="67"/>
  <c r="AQ34" i="67"/>
  <c r="AP34" i="67"/>
  <c r="AO34" i="67"/>
  <c r="AN34" i="67"/>
  <c r="AM34" i="67"/>
  <c r="AL34" i="67"/>
  <c r="AK34" i="67"/>
  <c r="AJ34" i="67"/>
  <c r="AI34" i="67"/>
  <c r="AH34" i="67"/>
  <c r="AG34" i="67"/>
  <c r="AF34" i="67"/>
  <c r="AE34" i="67"/>
  <c r="AD34" i="67"/>
  <c r="AC34" i="67"/>
  <c r="AB34" i="67"/>
  <c r="AA34" i="67"/>
  <c r="AU33" i="67"/>
  <c r="AT33" i="67"/>
  <c r="AS33" i="67"/>
  <c r="AR33" i="67"/>
  <c r="AQ33" i="67"/>
  <c r="AP33" i="67"/>
  <c r="AO33" i="67"/>
  <c r="AN33" i="67"/>
  <c r="AM33" i="67"/>
  <c r="AL33" i="67"/>
  <c r="AK33" i="67"/>
  <c r="AJ33" i="67"/>
  <c r="AI33" i="67"/>
  <c r="AH33" i="67"/>
  <c r="AG33" i="67"/>
  <c r="AF33" i="67"/>
  <c r="AE33" i="67"/>
  <c r="AD33" i="67"/>
  <c r="AC33" i="67"/>
  <c r="AB33" i="67"/>
  <c r="AA33" i="67"/>
  <c r="AU32" i="67"/>
  <c r="AT32" i="67"/>
  <c r="AS32" i="67"/>
  <c r="AR32" i="67"/>
  <c r="AQ32" i="67"/>
  <c r="AP32" i="67"/>
  <c r="AO32" i="67"/>
  <c r="AN32" i="67"/>
  <c r="AM32" i="67"/>
  <c r="AL32" i="67"/>
  <c r="AK32" i="67"/>
  <c r="AJ32" i="67"/>
  <c r="AI32" i="67"/>
  <c r="AH32" i="67"/>
  <c r="AG32" i="67"/>
  <c r="AF32" i="67"/>
  <c r="AE32" i="67"/>
  <c r="AD32" i="67"/>
  <c r="AC32" i="67"/>
  <c r="AB32" i="67"/>
  <c r="AA32" i="67"/>
  <c r="AU31" i="67"/>
  <c r="AT31" i="67"/>
  <c r="AS31" i="67"/>
  <c r="AR31" i="67"/>
  <c r="AQ31" i="67"/>
  <c r="AP31" i="67"/>
  <c r="AO31" i="67"/>
  <c r="AN31" i="67"/>
  <c r="AM31" i="67"/>
  <c r="AL31" i="67"/>
  <c r="AK31" i="67"/>
  <c r="AJ31" i="67"/>
  <c r="AI31" i="67"/>
  <c r="AH31" i="67"/>
  <c r="AG31" i="67"/>
  <c r="AF31" i="67"/>
  <c r="AE31" i="67"/>
  <c r="AD31" i="67"/>
  <c r="AC31" i="67"/>
  <c r="AB31" i="67"/>
  <c r="AA31" i="67"/>
  <c r="AU30" i="67"/>
  <c r="AT30" i="67"/>
  <c r="AS30" i="67"/>
  <c r="AR30" i="67"/>
  <c r="AQ30" i="67"/>
  <c r="AP30" i="67"/>
  <c r="AO30" i="67"/>
  <c r="AN30" i="67"/>
  <c r="AM30" i="67"/>
  <c r="AL30" i="67"/>
  <c r="AK30" i="67"/>
  <c r="AJ30" i="67"/>
  <c r="AI30" i="67"/>
  <c r="AH30" i="67"/>
  <c r="AG30" i="67"/>
  <c r="AF30" i="67"/>
  <c r="AE30" i="67"/>
  <c r="AD30" i="67"/>
  <c r="AC30" i="67"/>
  <c r="AB30" i="67"/>
  <c r="AA30" i="67"/>
  <c r="AU29" i="67"/>
  <c r="AT29" i="67"/>
  <c r="AS29" i="67"/>
  <c r="AR29" i="67"/>
  <c r="AQ29" i="67"/>
  <c r="AP29" i="67"/>
  <c r="AO29" i="67"/>
  <c r="AN29" i="67"/>
  <c r="AM29" i="67"/>
  <c r="AL29" i="67"/>
  <c r="AK29" i="67"/>
  <c r="AJ29" i="67"/>
  <c r="AI29" i="67"/>
  <c r="AH29" i="67"/>
  <c r="AG29" i="67"/>
  <c r="AF29" i="67"/>
  <c r="AE29" i="67"/>
  <c r="AD29" i="67"/>
  <c r="AC29" i="67"/>
  <c r="AB29" i="67"/>
  <c r="AA29" i="67"/>
  <c r="AU24" i="67"/>
  <c r="AT24" i="67"/>
  <c r="AS24" i="67"/>
  <c r="AR24" i="67"/>
  <c r="AQ24" i="67"/>
  <c r="AP24" i="67"/>
  <c r="AO24" i="67"/>
  <c r="AN24" i="67"/>
  <c r="AM24" i="67"/>
  <c r="AL24" i="67"/>
  <c r="AK24" i="67"/>
  <c r="AJ24" i="67"/>
  <c r="AI24" i="67"/>
  <c r="AH24" i="67"/>
  <c r="AG24" i="67"/>
  <c r="AF24" i="67"/>
  <c r="AE24" i="67"/>
  <c r="AD24" i="67"/>
  <c r="AC24" i="67"/>
  <c r="AB24" i="67"/>
  <c r="AA24" i="67"/>
  <c r="AU23" i="67"/>
  <c r="AT23" i="67"/>
  <c r="AS23" i="67"/>
  <c r="AR23" i="67"/>
  <c r="AQ23" i="67"/>
  <c r="AP23" i="67"/>
  <c r="AO23" i="67"/>
  <c r="AN23" i="67"/>
  <c r="AM23" i="67"/>
  <c r="AL23" i="67"/>
  <c r="AK23" i="67"/>
  <c r="AJ23" i="67"/>
  <c r="AI23" i="67"/>
  <c r="AH23" i="67"/>
  <c r="AG23" i="67"/>
  <c r="AF23" i="67"/>
  <c r="AE23" i="67"/>
  <c r="AD23" i="67"/>
  <c r="AC23" i="67"/>
  <c r="AB23" i="67"/>
  <c r="AA23" i="67"/>
  <c r="AU22" i="67"/>
  <c r="AT22" i="67"/>
  <c r="AS22" i="67"/>
  <c r="AR22" i="67"/>
  <c r="AQ22" i="67"/>
  <c r="AP22" i="67"/>
  <c r="AO22" i="67"/>
  <c r="AN22" i="67"/>
  <c r="AM22" i="67"/>
  <c r="AL22" i="67"/>
  <c r="AK22" i="67"/>
  <c r="AJ22" i="67"/>
  <c r="AI22" i="67"/>
  <c r="AH22" i="67"/>
  <c r="AG22" i="67"/>
  <c r="AF22" i="67"/>
  <c r="AE22" i="67"/>
  <c r="AD22" i="67"/>
  <c r="AC22" i="67"/>
  <c r="AB22" i="67"/>
  <c r="AA22" i="67"/>
  <c r="AU21" i="67"/>
  <c r="AT21" i="67"/>
  <c r="AS21" i="67"/>
  <c r="AR21" i="67"/>
  <c r="AQ21" i="67"/>
  <c r="AP21" i="67"/>
  <c r="AO21" i="67"/>
  <c r="AN21" i="67"/>
  <c r="AM21" i="67"/>
  <c r="AL21" i="67"/>
  <c r="AK21" i="67"/>
  <c r="AJ21" i="67"/>
  <c r="AI21" i="67"/>
  <c r="AH21" i="67"/>
  <c r="AG21" i="67"/>
  <c r="AF21" i="67"/>
  <c r="AE21" i="67"/>
  <c r="AD21" i="67"/>
  <c r="AC21" i="67"/>
  <c r="AB21" i="67"/>
  <c r="AA21" i="67"/>
  <c r="AU20" i="67"/>
  <c r="AT20" i="67"/>
  <c r="AS20" i="67"/>
  <c r="AR20" i="67"/>
  <c r="AQ20" i="67"/>
  <c r="AP20" i="67"/>
  <c r="AO20" i="67"/>
  <c r="AN20" i="67"/>
  <c r="AM20" i="67"/>
  <c r="AL20" i="67"/>
  <c r="AK20" i="67"/>
  <c r="AJ20" i="67"/>
  <c r="AI20" i="67"/>
  <c r="AH20" i="67"/>
  <c r="AG20" i="67"/>
  <c r="AF20" i="67"/>
  <c r="AE20" i="67"/>
  <c r="AD20" i="67"/>
  <c r="AC20" i="67"/>
  <c r="AB20" i="67"/>
  <c r="AA20" i="67"/>
  <c r="AU19" i="67"/>
  <c r="AT19" i="67"/>
  <c r="AS19" i="67"/>
  <c r="AR19" i="67"/>
  <c r="AQ19" i="67"/>
  <c r="AP19" i="67"/>
  <c r="AO19" i="67"/>
  <c r="AN19" i="67"/>
  <c r="AM19" i="67"/>
  <c r="AL19" i="67"/>
  <c r="AK19" i="67"/>
  <c r="AJ19" i="67"/>
  <c r="AI19" i="67"/>
  <c r="AH19" i="67"/>
  <c r="AG19" i="67"/>
  <c r="AF19" i="67"/>
  <c r="AE19" i="67"/>
  <c r="AD19" i="67"/>
  <c r="AC19" i="67"/>
  <c r="AB19" i="67"/>
  <c r="AA19" i="67"/>
  <c r="AU18" i="67"/>
  <c r="AT18" i="67"/>
  <c r="AS18" i="67"/>
  <c r="AR18" i="67"/>
  <c r="AQ18" i="67"/>
  <c r="AP18" i="67"/>
  <c r="AO18" i="67"/>
  <c r="AN18" i="67"/>
  <c r="AM18" i="67"/>
  <c r="AL18" i="67"/>
  <c r="AK18" i="67"/>
  <c r="AJ18" i="67"/>
  <c r="AI18" i="67"/>
  <c r="AH18" i="67"/>
  <c r="AG18" i="67"/>
  <c r="AF18" i="67"/>
  <c r="AE18" i="67"/>
  <c r="AD18" i="67"/>
  <c r="AC18" i="67"/>
  <c r="AB18" i="67"/>
  <c r="AA18" i="67"/>
  <c r="AU17" i="67"/>
  <c r="AT17" i="67"/>
  <c r="AS17" i="67"/>
  <c r="AR17" i="67"/>
  <c r="AQ17" i="67"/>
  <c r="AP17" i="67"/>
  <c r="AO17" i="67"/>
  <c r="AN17" i="67"/>
  <c r="AM17" i="67"/>
  <c r="AL17" i="67"/>
  <c r="AK17" i="67"/>
  <c r="AJ17" i="67"/>
  <c r="AI17" i="67"/>
  <c r="AH17" i="67"/>
  <c r="AG17" i="67"/>
  <c r="AF17" i="67"/>
  <c r="AE17" i="67"/>
  <c r="AD17" i="67"/>
  <c r="AC17" i="67"/>
  <c r="AB17" i="67"/>
  <c r="AA17" i="67"/>
  <c r="AU16" i="67"/>
  <c r="AT16" i="67"/>
  <c r="AS16" i="67"/>
  <c r="AR16" i="67"/>
  <c r="AQ16" i="67"/>
  <c r="AP16" i="67"/>
  <c r="AO16" i="67"/>
  <c r="AN16" i="67"/>
  <c r="AM16" i="67"/>
  <c r="AL16" i="67"/>
  <c r="AK16" i="67"/>
  <c r="AJ16" i="67"/>
  <c r="AI16" i="67"/>
  <c r="AH16" i="67"/>
  <c r="AG16" i="67"/>
  <c r="AF16" i="67"/>
  <c r="AE16" i="67"/>
  <c r="AD16" i="67"/>
  <c r="AC16" i="67"/>
  <c r="AB16" i="67"/>
  <c r="AA16" i="67"/>
  <c r="AU15" i="67"/>
  <c r="AT15" i="67"/>
  <c r="AS15" i="67"/>
  <c r="AR15" i="67"/>
  <c r="AQ15" i="67"/>
  <c r="AP15" i="67"/>
  <c r="AO15" i="67"/>
  <c r="AN15" i="67"/>
  <c r="AM15" i="67"/>
  <c r="AL15" i="67"/>
  <c r="AK15" i="67"/>
  <c r="AJ15" i="67"/>
  <c r="AI15" i="67"/>
  <c r="AH15" i="67"/>
  <c r="AG15" i="67"/>
  <c r="AF15" i="67"/>
  <c r="AE15" i="67"/>
  <c r="AD15" i="67"/>
  <c r="AC15" i="67"/>
  <c r="AB15" i="67"/>
  <c r="AA15" i="67"/>
  <c r="AU14" i="67"/>
  <c r="AT14" i="67"/>
  <c r="AS14" i="67"/>
  <c r="AR14" i="67"/>
  <c r="AQ14" i="67"/>
  <c r="AP14" i="67"/>
  <c r="AO14" i="67"/>
  <c r="AN14" i="67"/>
  <c r="AM14" i="67"/>
  <c r="AL14" i="67"/>
  <c r="AK14" i="67"/>
  <c r="AJ14" i="67"/>
  <c r="AI14" i="67"/>
  <c r="AH14" i="67"/>
  <c r="AG14" i="67"/>
  <c r="AF14" i="67"/>
  <c r="AE14" i="67"/>
  <c r="AD14" i="67"/>
  <c r="AC14" i="67"/>
  <c r="AB14" i="67"/>
  <c r="AA14" i="67"/>
  <c r="AU13" i="67"/>
  <c r="AT13" i="67"/>
  <c r="AS13" i="67"/>
  <c r="AR13" i="67"/>
  <c r="AQ13" i="67"/>
  <c r="AP13" i="67"/>
  <c r="AO13" i="67"/>
  <c r="AN13" i="67"/>
  <c r="AM13" i="67"/>
  <c r="AL13" i="67"/>
  <c r="AK13" i="67"/>
  <c r="AJ13" i="67"/>
  <c r="AI13" i="67"/>
  <c r="AH13" i="67"/>
  <c r="AG13" i="67"/>
  <c r="AF13" i="67"/>
  <c r="AE13" i="67"/>
  <c r="AD13" i="67"/>
  <c r="AC13" i="67"/>
  <c r="AB13" i="67"/>
  <c r="AA13" i="67"/>
  <c r="AU12" i="67"/>
  <c r="AT12" i="67"/>
  <c r="AS12" i="67"/>
  <c r="AR12" i="67"/>
  <c r="AQ12" i="67"/>
  <c r="AP12" i="67"/>
  <c r="AO12" i="67"/>
  <c r="AN12" i="67"/>
  <c r="AM12" i="67"/>
  <c r="AL12" i="67"/>
  <c r="AK12" i="67"/>
  <c r="AJ12" i="67"/>
  <c r="AI12" i="67"/>
  <c r="AH12" i="67"/>
  <c r="AG12" i="67"/>
  <c r="AF12" i="67"/>
  <c r="AE12" i="67"/>
  <c r="AD12" i="67"/>
  <c r="AC12" i="67"/>
  <c r="AB12" i="67"/>
  <c r="AA12" i="67"/>
  <c r="AU11" i="67"/>
  <c r="AT11" i="67"/>
  <c r="AS11" i="67"/>
  <c r="AR11" i="67"/>
  <c r="AQ11" i="67"/>
  <c r="AP11" i="67"/>
  <c r="AO11" i="67"/>
  <c r="AN11" i="67"/>
  <c r="AM11" i="67"/>
  <c r="AL11" i="67"/>
  <c r="AK11" i="67"/>
  <c r="AJ11" i="67"/>
  <c r="AI11" i="67"/>
  <c r="AH11" i="67"/>
  <c r="AG11" i="67"/>
  <c r="AF11" i="67"/>
  <c r="AE11" i="67"/>
  <c r="AD11" i="67"/>
  <c r="AC11" i="67"/>
  <c r="AB11" i="67"/>
  <c r="AA11" i="67"/>
  <c r="AU10" i="67"/>
  <c r="AT10" i="67"/>
  <c r="AS10" i="67"/>
  <c r="AR10" i="67"/>
  <c r="AQ10" i="67"/>
  <c r="AP10" i="67"/>
  <c r="AO10" i="67"/>
  <c r="AN10" i="67"/>
  <c r="AM10" i="67"/>
  <c r="AL10" i="67"/>
  <c r="AK10" i="67"/>
  <c r="AJ10" i="67"/>
  <c r="AI10" i="67"/>
  <c r="AH10" i="67"/>
  <c r="AG10" i="67"/>
  <c r="AF10" i="67"/>
  <c r="AE10" i="67"/>
  <c r="AD10" i="67"/>
  <c r="AC10" i="67"/>
  <c r="AB10" i="67"/>
  <c r="AA10" i="67"/>
  <c r="AU9" i="67"/>
  <c r="AT9" i="67"/>
  <c r="AS9" i="67"/>
  <c r="AR9" i="67"/>
  <c r="AQ9" i="67"/>
  <c r="AP9" i="67"/>
  <c r="AO9" i="67"/>
  <c r="AN9" i="67"/>
  <c r="AM9" i="67"/>
  <c r="AL9" i="67"/>
  <c r="AK9" i="67"/>
  <c r="AJ9" i="67"/>
  <c r="AI9" i="67"/>
  <c r="AH9" i="67"/>
  <c r="AG9" i="67"/>
  <c r="AF9" i="67"/>
  <c r="AE9" i="67"/>
  <c r="AD9" i="67"/>
  <c r="AC9" i="67"/>
  <c r="AB9" i="67"/>
  <c r="AA9" i="67"/>
  <c r="AU8" i="67"/>
  <c r="AT8" i="67"/>
  <c r="AS8" i="67"/>
  <c r="AR8" i="67"/>
  <c r="AQ8" i="67"/>
  <c r="AP8" i="67"/>
  <c r="AO8" i="67"/>
  <c r="AN8" i="67"/>
  <c r="AM8" i="67"/>
  <c r="AL8" i="67"/>
  <c r="AK8" i="67"/>
  <c r="AJ8" i="67"/>
  <c r="AI8" i="67"/>
  <c r="AH8" i="67"/>
  <c r="AG8" i="67"/>
  <c r="AF8" i="67"/>
  <c r="AE8" i="67"/>
  <c r="AD8" i="67"/>
  <c r="AC8" i="67"/>
  <c r="AB8" i="67"/>
  <c r="AA8" i="67"/>
  <c r="AU7" i="67"/>
  <c r="AT7" i="67"/>
  <c r="AS7" i="67"/>
  <c r="AR7" i="67"/>
  <c r="AQ7" i="67"/>
  <c r="AP7" i="67"/>
  <c r="AO7" i="67"/>
  <c r="AN7" i="67"/>
  <c r="AM7" i="67"/>
  <c r="AL7" i="67"/>
  <c r="AK7" i="67"/>
  <c r="AJ7" i="67"/>
  <c r="AI7" i="67"/>
  <c r="AH7" i="67"/>
  <c r="AG7" i="67"/>
  <c r="AF7" i="67"/>
  <c r="AE7" i="67"/>
  <c r="AD7" i="67"/>
  <c r="AC7" i="67"/>
  <c r="AB7" i="67"/>
  <c r="AA7" i="67"/>
  <c r="AU6" i="67"/>
  <c r="AT6" i="67"/>
  <c r="AS6" i="67"/>
  <c r="AR6" i="67"/>
  <c r="AQ6" i="67"/>
  <c r="AP6" i="67"/>
  <c r="AO6" i="67"/>
  <c r="AN6" i="67"/>
  <c r="AM6" i="67"/>
  <c r="AL6" i="67"/>
  <c r="AK6" i="67"/>
  <c r="AJ6" i="67"/>
  <c r="AI6" i="67"/>
  <c r="AH6" i="67"/>
  <c r="AG6" i="67"/>
  <c r="AF6" i="67"/>
  <c r="AE6" i="67"/>
  <c r="AD6" i="67"/>
  <c r="AC6" i="67"/>
  <c r="AB6" i="67"/>
  <c r="AA6" i="67"/>
  <c r="AU5" i="67"/>
  <c r="AT5" i="67"/>
  <c r="AS5" i="67"/>
  <c r="AR5" i="67"/>
  <c r="AQ5" i="67"/>
  <c r="AP5" i="67"/>
  <c r="AO5" i="67"/>
  <c r="AN5" i="67"/>
  <c r="AM5" i="67"/>
  <c r="AL5" i="67"/>
  <c r="AK5" i="67"/>
  <c r="AJ5" i="67"/>
  <c r="AI5" i="67"/>
  <c r="AH5" i="67"/>
  <c r="AG5" i="67"/>
  <c r="AF5" i="67"/>
  <c r="AE5" i="67"/>
  <c r="AD5" i="67"/>
  <c r="AC5" i="67"/>
  <c r="AB5" i="67"/>
  <c r="AA5" i="67"/>
  <c r="AU4" i="67"/>
  <c r="AT4" i="67"/>
  <c r="AS4" i="67"/>
  <c r="AR4" i="67"/>
  <c r="AQ4" i="67"/>
  <c r="AP4" i="67"/>
  <c r="AO4" i="67"/>
  <c r="AN4" i="67"/>
  <c r="AM4" i="67"/>
  <c r="AL4" i="67"/>
  <c r="AK4" i="67"/>
  <c r="AJ4" i="67"/>
  <c r="AI4" i="67"/>
  <c r="AH4" i="67"/>
  <c r="AG4" i="67"/>
  <c r="AF4" i="67"/>
  <c r="AE4" i="67"/>
  <c r="AD4" i="67"/>
  <c r="AC4" i="67"/>
  <c r="AB4" i="67"/>
  <c r="AA4" i="67"/>
  <c r="AU3" i="67"/>
  <c r="AT3" i="67"/>
  <c r="AS3" i="67"/>
  <c r="AR3" i="67"/>
  <c r="AQ3" i="67"/>
  <c r="AP3" i="67"/>
  <c r="AO3" i="67"/>
  <c r="AN3" i="67"/>
  <c r="AM3" i="67"/>
  <c r="AL3" i="67"/>
  <c r="AK3" i="67"/>
  <c r="AJ3" i="67"/>
  <c r="AI3" i="67"/>
  <c r="AH3" i="67"/>
  <c r="AG3" i="67"/>
  <c r="AF3" i="67"/>
  <c r="AE3" i="67"/>
  <c r="AD3" i="67"/>
  <c r="AC3" i="67"/>
  <c r="AB3" i="67"/>
  <c r="AA3" i="67"/>
  <c r="W35" i="248" l="1"/>
  <c r="Y112" i="66" s="1"/>
  <c r="Y111" i="66"/>
  <c r="E31" i="248"/>
  <c r="W103" i="57"/>
  <c r="U106" i="54"/>
  <c r="L13" i="49"/>
  <c r="L14" i="49"/>
  <c r="L15" i="49"/>
  <c r="L16" i="49"/>
  <c r="L17" i="49"/>
  <c r="L18" i="49"/>
  <c r="L19" i="49"/>
  <c r="L20" i="49"/>
  <c r="L21" i="49"/>
  <c r="L22" i="49"/>
  <c r="L23" i="49"/>
  <c r="L24" i="49"/>
  <c r="L25" i="49"/>
  <c r="W47" i="32"/>
  <c r="K29" i="54"/>
  <c r="K30" i="54"/>
  <c r="K31" i="54"/>
  <c r="K32" i="54"/>
  <c r="K33" i="54"/>
  <c r="K34" i="54"/>
  <c r="K35" i="54"/>
  <c r="K36" i="54"/>
  <c r="K37" i="54"/>
  <c r="K38" i="54"/>
  <c r="K39" i="54"/>
  <c r="K40" i="54"/>
  <c r="K41" i="54"/>
  <c r="K42" i="54"/>
  <c r="K43" i="54"/>
  <c r="K44" i="54"/>
  <c r="K45" i="54"/>
  <c r="K46" i="54"/>
  <c r="K47" i="54"/>
  <c r="K48" i="54"/>
  <c r="K49" i="54"/>
  <c r="K28" i="54"/>
  <c r="K4" i="54"/>
  <c r="K5" i="54"/>
  <c r="K6" i="54"/>
  <c r="K7" i="54"/>
  <c r="E81" i="54" s="1"/>
  <c r="T118" i="54" s="1"/>
  <c r="K8" i="54"/>
  <c r="K9" i="54"/>
  <c r="K10" i="54"/>
  <c r="K11" i="54"/>
  <c r="K12" i="54"/>
  <c r="K13" i="54"/>
  <c r="K14" i="54"/>
  <c r="E88" i="54" s="1"/>
  <c r="T125" i="54" s="1"/>
  <c r="K15" i="54"/>
  <c r="K16" i="54"/>
  <c r="K17" i="54"/>
  <c r="K18" i="54"/>
  <c r="K19" i="54"/>
  <c r="E93" i="54" s="1"/>
  <c r="T130" i="54" s="1"/>
  <c r="K20" i="54"/>
  <c r="E94" i="54" s="1"/>
  <c r="T131" i="54" s="1"/>
  <c r="K21" i="54"/>
  <c r="K22" i="54"/>
  <c r="E96" i="54" s="1"/>
  <c r="T133" i="54" s="1"/>
  <c r="K23" i="54"/>
  <c r="K24" i="54"/>
  <c r="K3" i="54"/>
  <c r="E86" i="54" l="1"/>
  <c r="T123" i="54" s="1"/>
  <c r="E32" i="248"/>
  <c r="W104" i="57"/>
  <c r="E85" i="54"/>
  <c r="T122" i="54" s="1"/>
  <c r="E98" i="54"/>
  <c r="T135" i="54" s="1"/>
  <c r="E97" i="54"/>
  <c r="T134" i="54" s="1"/>
  <c r="E95" i="54"/>
  <c r="T132" i="54" s="1"/>
  <c r="E89" i="54"/>
  <c r="T126" i="54" s="1"/>
  <c r="E80" i="54"/>
  <c r="T117" i="54" s="1"/>
  <c r="E87" i="54"/>
  <c r="T124" i="54" s="1"/>
  <c r="E90" i="54"/>
  <c r="T127" i="54" s="1"/>
  <c r="E82" i="54"/>
  <c r="T119" i="54" s="1"/>
  <c r="O15" i="49"/>
  <c r="O24" i="49"/>
  <c r="O23" i="49"/>
  <c r="O22" i="49"/>
  <c r="O13" i="49"/>
  <c r="O19" i="49"/>
  <c r="O18" i="49"/>
  <c r="O16" i="49"/>
  <c r="O14" i="49"/>
  <c r="O21" i="49"/>
  <c r="O20" i="49"/>
  <c r="O25" i="49"/>
  <c r="O17" i="49"/>
  <c r="U107" i="54"/>
  <c r="E92" i="54"/>
  <c r="T129" i="54" s="1"/>
  <c r="E84" i="54"/>
  <c r="T121" i="54" s="1"/>
  <c r="E91" i="54"/>
  <c r="T128" i="54" s="1"/>
  <c r="E83" i="54"/>
  <c r="T120" i="54" s="1"/>
  <c r="L38" i="48"/>
  <c r="L39" i="48"/>
  <c r="L40" i="48"/>
  <c r="L41" i="48"/>
  <c r="L42" i="48"/>
  <c r="L43" i="48"/>
  <c r="L44" i="48"/>
  <c r="L45" i="48"/>
  <c r="L46" i="48"/>
  <c r="L47" i="48"/>
  <c r="L48" i="48"/>
  <c r="L49" i="48"/>
  <c r="L28" i="48"/>
  <c r="L13" i="48"/>
  <c r="E89" i="48" s="1"/>
  <c r="U125" i="48" s="1"/>
  <c r="L14" i="48"/>
  <c r="E90" i="48" s="1"/>
  <c r="U126" i="48" s="1"/>
  <c r="L15" i="48"/>
  <c r="E91" i="48" s="1"/>
  <c r="U127" i="48" s="1"/>
  <c r="L16" i="48"/>
  <c r="E92" i="48" s="1"/>
  <c r="U128" i="48" s="1"/>
  <c r="L17" i="48"/>
  <c r="E93" i="48" s="1"/>
  <c r="U129" i="48" s="1"/>
  <c r="L18" i="48"/>
  <c r="E94" i="48" s="1"/>
  <c r="U130" i="48" s="1"/>
  <c r="L19" i="48"/>
  <c r="E95" i="48" s="1"/>
  <c r="U131" i="48" s="1"/>
  <c r="L20" i="48"/>
  <c r="E96" i="48" s="1"/>
  <c r="U132" i="48" s="1"/>
  <c r="L21" i="48"/>
  <c r="E97" i="48" s="1"/>
  <c r="U133" i="48" s="1"/>
  <c r="L22" i="48"/>
  <c r="L23" i="48"/>
  <c r="L24" i="48"/>
  <c r="L3" i="48"/>
  <c r="AH4" i="61"/>
  <c r="AH5" i="61"/>
  <c r="AH6" i="61"/>
  <c r="AH7" i="61"/>
  <c r="AH8" i="61"/>
  <c r="AH9" i="61"/>
  <c r="AH10" i="61"/>
  <c r="AH11" i="61"/>
  <c r="AH12" i="61"/>
  <c r="AH13" i="61"/>
  <c r="AH14" i="61"/>
  <c r="AH15" i="61"/>
  <c r="AH16" i="61"/>
  <c r="AH17" i="61"/>
  <c r="AH18" i="61"/>
  <c r="AH19" i="61"/>
  <c r="AH20" i="61"/>
  <c r="AH21" i="61"/>
  <c r="AH22" i="61"/>
  <c r="AH23" i="61"/>
  <c r="AH24" i="61"/>
  <c r="AH3" i="61"/>
  <c r="AJ7" i="35"/>
  <c r="AJ8" i="35"/>
  <c r="AJ9" i="35"/>
  <c r="AJ10" i="35"/>
  <c r="AJ11" i="35"/>
  <c r="AJ12" i="35"/>
  <c r="AJ13" i="35"/>
  <c r="AJ14" i="35"/>
  <c r="AJ15" i="35"/>
  <c r="AJ16" i="35"/>
  <c r="AJ17" i="35"/>
  <c r="AJ18" i="35"/>
  <c r="AJ19" i="35"/>
  <c r="AJ20" i="35"/>
  <c r="AJ21" i="35"/>
  <c r="AJ22" i="35"/>
  <c r="AJ23" i="35"/>
  <c r="AJ24" i="35"/>
  <c r="AJ6" i="35"/>
  <c r="AI7" i="35"/>
  <c r="AI8" i="35"/>
  <c r="AI9" i="35"/>
  <c r="AI10" i="35"/>
  <c r="AI11" i="35"/>
  <c r="AI12" i="35"/>
  <c r="AI13" i="35"/>
  <c r="AI14" i="35"/>
  <c r="AI15" i="35"/>
  <c r="AI16" i="35"/>
  <c r="AI17" i="35"/>
  <c r="AI18" i="35"/>
  <c r="AI19" i="35"/>
  <c r="AI20" i="35"/>
  <c r="AI21" i="35"/>
  <c r="AI22" i="35"/>
  <c r="AI23" i="35"/>
  <c r="AI24" i="35"/>
  <c r="AI6" i="35"/>
  <c r="AM5" i="49"/>
  <c r="L5" i="49" s="1"/>
  <c r="AM6" i="49"/>
  <c r="L6" i="49" s="1"/>
  <c r="AM7" i="49"/>
  <c r="L7" i="49" s="1"/>
  <c r="AM8" i="49"/>
  <c r="L8" i="49" s="1"/>
  <c r="AM9" i="49"/>
  <c r="L9" i="49" s="1"/>
  <c r="AM10" i="49"/>
  <c r="L10" i="49" s="1"/>
  <c r="AM11" i="49"/>
  <c r="L11" i="49" s="1"/>
  <c r="AM12" i="49"/>
  <c r="L12" i="49" s="1"/>
  <c r="AM4" i="49"/>
  <c r="L4" i="49" s="1"/>
  <c r="AH13" i="64"/>
  <c r="J13" i="64" s="1"/>
  <c r="E94" i="64" s="1"/>
  <c r="T132" i="64" s="1"/>
  <c r="AH14" i="64"/>
  <c r="J14" i="64" s="1"/>
  <c r="E95" i="64" s="1"/>
  <c r="T133" i="64" s="1"/>
  <c r="AH15" i="64"/>
  <c r="J15" i="64" s="1"/>
  <c r="E96" i="64" s="1"/>
  <c r="T134" i="64" s="1"/>
  <c r="AH16" i="64"/>
  <c r="J16" i="64" s="1"/>
  <c r="E97" i="64" s="1"/>
  <c r="T135" i="64" s="1"/>
  <c r="AH17" i="64"/>
  <c r="J17" i="64" s="1"/>
  <c r="E98" i="64" s="1"/>
  <c r="T136" i="64" s="1"/>
  <c r="AH18" i="64"/>
  <c r="J18" i="64" s="1"/>
  <c r="E99" i="64" s="1"/>
  <c r="T137" i="64" s="1"/>
  <c r="AH19" i="64"/>
  <c r="J19" i="64" s="1"/>
  <c r="E100" i="64" s="1"/>
  <c r="T138" i="64" s="1"/>
  <c r="AH20" i="64"/>
  <c r="J20" i="64" s="1"/>
  <c r="E101" i="64" s="1"/>
  <c r="T139" i="64" s="1"/>
  <c r="AH21" i="64"/>
  <c r="J21" i="64" s="1"/>
  <c r="E102" i="64" s="1"/>
  <c r="T140" i="64" s="1"/>
  <c r="AH22" i="64"/>
  <c r="J22" i="64" s="1"/>
  <c r="E103" i="64" s="1"/>
  <c r="T141" i="64" s="1"/>
  <c r="AH23" i="64"/>
  <c r="J23" i="64" s="1"/>
  <c r="E104" i="64" s="1"/>
  <c r="T142" i="64" s="1"/>
  <c r="AH24" i="64"/>
  <c r="J24" i="64" s="1"/>
  <c r="E105" i="64" s="1"/>
  <c r="T143" i="64" s="1"/>
  <c r="AH12" i="64"/>
  <c r="J12" i="64" s="1"/>
  <c r="E93" i="64" s="1"/>
  <c r="T131" i="64" s="1"/>
  <c r="K34" i="59"/>
  <c r="K35" i="59"/>
  <c r="K36" i="59"/>
  <c r="K37" i="59"/>
  <c r="K38" i="59"/>
  <c r="K39" i="59"/>
  <c r="K40" i="59"/>
  <c r="K41" i="59"/>
  <c r="K42" i="59"/>
  <c r="K43" i="59"/>
  <c r="K44" i="59"/>
  <c r="K45" i="59"/>
  <c r="K46" i="59"/>
  <c r="K47" i="59"/>
  <c r="K48" i="59"/>
  <c r="K49" i="59"/>
  <c r="K33" i="59"/>
  <c r="K9" i="59"/>
  <c r="E85" i="59" s="1"/>
  <c r="T123" i="59" s="1"/>
  <c r="K10" i="59"/>
  <c r="E86" i="59" s="1"/>
  <c r="T124" i="59" s="1"/>
  <c r="K11" i="59"/>
  <c r="E87" i="59" s="1"/>
  <c r="T125" i="59" s="1"/>
  <c r="K12" i="59"/>
  <c r="E88" i="59" s="1"/>
  <c r="T126" i="59" s="1"/>
  <c r="K13" i="59"/>
  <c r="E89" i="59" s="1"/>
  <c r="T127" i="59" s="1"/>
  <c r="K14" i="59"/>
  <c r="E90" i="59" s="1"/>
  <c r="T128" i="59" s="1"/>
  <c r="K15" i="59"/>
  <c r="E91" i="59" s="1"/>
  <c r="T129" i="59" s="1"/>
  <c r="K16" i="59"/>
  <c r="E92" i="59" s="1"/>
  <c r="T130" i="59" s="1"/>
  <c r="K17" i="59"/>
  <c r="E93" i="59" s="1"/>
  <c r="T131" i="59" s="1"/>
  <c r="K18" i="59"/>
  <c r="E94" i="59" s="1"/>
  <c r="T132" i="59" s="1"/>
  <c r="K19" i="59"/>
  <c r="E95" i="59" s="1"/>
  <c r="T133" i="59" s="1"/>
  <c r="K20" i="59"/>
  <c r="E96" i="59" s="1"/>
  <c r="T134" i="59" s="1"/>
  <c r="K21" i="59"/>
  <c r="E97" i="59" s="1"/>
  <c r="T135" i="59" s="1"/>
  <c r="K22" i="59"/>
  <c r="E98" i="59" s="1"/>
  <c r="T136" i="59" s="1"/>
  <c r="K23" i="59"/>
  <c r="E99" i="59" s="1"/>
  <c r="T137" i="59" s="1"/>
  <c r="K24" i="59"/>
  <c r="E100" i="59" s="1"/>
  <c r="T138" i="59" s="1"/>
  <c r="K8" i="59"/>
  <c r="E84" i="59" s="1"/>
  <c r="T122" i="59" s="1"/>
  <c r="L4" i="52"/>
  <c r="N4" i="52" s="1"/>
  <c r="L5" i="52"/>
  <c r="N5" i="52" s="1"/>
  <c r="L6" i="52"/>
  <c r="N6" i="52" s="1"/>
  <c r="E84" i="52" s="1"/>
  <c r="T120" i="52" s="1"/>
  <c r="L7" i="52"/>
  <c r="N7" i="52" s="1"/>
  <c r="E85" i="52" s="1"/>
  <c r="T121" i="52" s="1"/>
  <c r="L8" i="52"/>
  <c r="N8" i="52" s="1"/>
  <c r="E86" i="52" s="1"/>
  <c r="T122" i="52" s="1"/>
  <c r="L9" i="52"/>
  <c r="N9" i="52" s="1"/>
  <c r="E87" i="52" s="1"/>
  <c r="T123" i="52" s="1"/>
  <c r="L10" i="52"/>
  <c r="N10" i="52" s="1"/>
  <c r="E88" i="52" s="1"/>
  <c r="T124" i="52" s="1"/>
  <c r="L11" i="52"/>
  <c r="N11" i="52" s="1"/>
  <c r="E89" i="52" s="1"/>
  <c r="T125" i="52" s="1"/>
  <c r="L12" i="52"/>
  <c r="N12" i="52" s="1"/>
  <c r="E90" i="52" s="1"/>
  <c r="T126" i="52" s="1"/>
  <c r="L13" i="52"/>
  <c r="N13" i="52" s="1"/>
  <c r="E91" i="52" s="1"/>
  <c r="T127" i="52" s="1"/>
  <c r="L14" i="52"/>
  <c r="N14" i="52" s="1"/>
  <c r="E92" i="52" s="1"/>
  <c r="T128" i="52" s="1"/>
  <c r="L15" i="52"/>
  <c r="N15" i="52" s="1"/>
  <c r="E93" i="52" s="1"/>
  <c r="T129" i="52" s="1"/>
  <c r="L16" i="52"/>
  <c r="N16" i="52" s="1"/>
  <c r="E94" i="52" s="1"/>
  <c r="T130" i="52" s="1"/>
  <c r="L17" i="52"/>
  <c r="N17" i="52" s="1"/>
  <c r="E95" i="52" s="1"/>
  <c r="T131" i="52" s="1"/>
  <c r="L18" i="52"/>
  <c r="N18" i="52" s="1"/>
  <c r="E96" i="52" s="1"/>
  <c r="T132" i="52" s="1"/>
  <c r="L19" i="52"/>
  <c r="N19" i="52" s="1"/>
  <c r="E97" i="52" s="1"/>
  <c r="T133" i="52" s="1"/>
  <c r="L20" i="52"/>
  <c r="N20" i="52" s="1"/>
  <c r="E98" i="52" s="1"/>
  <c r="T134" i="52" s="1"/>
  <c r="L21" i="52"/>
  <c r="N21" i="52" s="1"/>
  <c r="E99" i="52" s="1"/>
  <c r="T135" i="52" s="1"/>
  <c r="L22" i="52"/>
  <c r="N22" i="52" s="1"/>
  <c r="E100" i="52" s="1"/>
  <c r="T136" i="52" s="1"/>
  <c r="L23" i="52"/>
  <c r="N23" i="52" s="1"/>
  <c r="E101" i="52" s="1"/>
  <c r="T137" i="52" s="1"/>
  <c r="L24" i="52"/>
  <c r="N24" i="52" s="1"/>
  <c r="E102" i="52" s="1"/>
  <c r="T138" i="52" s="1"/>
  <c r="L3" i="52"/>
  <c r="N3" i="52" s="1"/>
  <c r="K41" i="50"/>
  <c r="M41" i="50" s="1"/>
  <c r="K42" i="50"/>
  <c r="M42" i="50" s="1"/>
  <c r="K40" i="50"/>
  <c r="M40" i="50" s="1"/>
  <c r="K31" i="50"/>
  <c r="M31" i="50" s="1"/>
  <c r="K32" i="50"/>
  <c r="M32" i="50" s="1"/>
  <c r="K33" i="50"/>
  <c r="M33" i="50" s="1"/>
  <c r="K34" i="50"/>
  <c r="M34" i="50" s="1"/>
  <c r="K35" i="50"/>
  <c r="M35" i="50" s="1"/>
  <c r="K36" i="50"/>
  <c r="M36" i="50" s="1"/>
  <c r="K37" i="50"/>
  <c r="M37" i="50" s="1"/>
  <c r="K38" i="50"/>
  <c r="M38" i="50" s="1"/>
  <c r="K39" i="50"/>
  <c r="M39" i="50" s="1"/>
  <c r="K30" i="50"/>
  <c r="M30" i="50" s="1"/>
  <c r="K6" i="50"/>
  <c r="M6" i="50" s="1"/>
  <c r="K7" i="50"/>
  <c r="M7" i="50" s="1"/>
  <c r="K8" i="50"/>
  <c r="M8" i="50" s="1"/>
  <c r="K9" i="50"/>
  <c r="M9" i="50" s="1"/>
  <c r="E84" i="50" s="1"/>
  <c r="S122" i="50" s="1"/>
  <c r="K10" i="50"/>
  <c r="M10" i="50" s="1"/>
  <c r="E85" i="50" s="1"/>
  <c r="S123" i="50" s="1"/>
  <c r="K11" i="50"/>
  <c r="M11" i="50" s="1"/>
  <c r="K12" i="50"/>
  <c r="M12" i="50" s="1"/>
  <c r="E87" i="50" s="1"/>
  <c r="S125" i="50" s="1"/>
  <c r="K13" i="50"/>
  <c r="M13" i="50" s="1"/>
  <c r="E88" i="50" s="1"/>
  <c r="S126" i="50" s="1"/>
  <c r="K14" i="50"/>
  <c r="M14" i="50" s="1"/>
  <c r="K15" i="50"/>
  <c r="M15" i="50" s="1"/>
  <c r="K5" i="50"/>
  <c r="M5" i="50" s="1"/>
  <c r="E86" i="50" l="1"/>
  <c r="S124" i="50" s="1"/>
  <c r="E33" i="248"/>
  <c r="W105" i="57"/>
  <c r="E89" i="50"/>
  <c r="S127" i="50" s="1"/>
  <c r="E81" i="50"/>
  <c r="S119" i="50" s="1"/>
  <c r="O12" i="49"/>
  <c r="O10" i="49"/>
  <c r="O9" i="49"/>
  <c r="O8" i="49"/>
  <c r="O11" i="49"/>
  <c r="O7" i="49"/>
  <c r="O6" i="49"/>
  <c r="O4" i="49"/>
  <c r="O5" i="49"/>
  <c r="K49" i="61"/>
  <c r="K24" i="61"/>
  <c r="E102" i="61" s="1"/>
  <c r="T140" i="61" s="1"/>
  <c r="K41" i="61"/>
  <c r="K16" i="61"/>
  <c r="E94" i="61" s="1"/>
  <c r="T132" i="61" s="1"/>
  <c r="K33" i="61"/>
  <c r="K8" i="61"/>
  <c r="E86" i="61" s="1"/>
  <c r="T124" i="61" s="1"/>
  <c r="K48" i="61"/>
  <c r="K23" i="61"/>
  <c r="E101" i="61" s="1"/>
  <c r="T139" i="61" s="1"/>
  <c r="K40" i="61"/>
  <c r="K15" i="61"/>
  <c r="E93" i="61" s="1"/>
  <c r="T131" i="61" s="1"/>
  <c r="K7" i="61"/>
  <c r="E85" i="61" s="1"/>
  <c r="T123" i="61" s="1"/>
  <c r="K32" i="61"/>
  <c r="K34" i="61"/>
  <c r="K9" i="61"/>
  <c r="E87" i="61" s="1"/>
  <c r="T125" i="61" s="1"/>
  <c r="K22" i="61"/>
  <c r="E100" i="61" s="1"/>
  <c r="T138" i="61" s="1"/>
  <c r="K47" i="61"/>
  <c r="K14" i="61"/>
  <c r="E92" i="61" s="1"/>
  <c r="T130" i="61" s="1"/>
  <c r="K39" i="61"/>
  <c r="K6" i="61"/>
  <c r="E84" i="61" s="1"/>
  <c r="T122" i="61" s="1"/>
  <c r="K31" i="61"/>
  <c r="K21" i="61"/>
  <c r="E99" i="61" s="1"/>
  <c r="T137" i="61" s="1"/>
  <c r="K46" i="61"/>
  <c r="K38" i="61"/>
  <c r="K13" i="61"/>
  <c r="E91" i="61" s="1"/>
  <c r="T129" i="61" s="1"/>
  <c r="K5" i="61"/>
  <c r="K30" i="61"/>
  <c r="K20" i="61"/>
  <c r="E98" i="61" s="1"/>
  <c r="T136" i="61" s="1"/>
  <c r="K45" i="61"/>
  <c r="K12" i="61"/>
  <c r="E90" i="61" s="1"/>
  <c r="T128" i="61" s="1"/>
  <c r="K37" i="61"/>
  <c r="K4" i="61"/>
  <c r="K29" i="61"/>
  <c r="K28" i="61"/>
  <c r="K3" i="61"/>
  <c r="K19" i="61"/>
  <c r="E97" i="61" s="1"/>
  <c r="T135" i="61" s="1"/>
  <c r="K44" i="61"/>
  <c r="K11" i="61"/>
  <c r="E89" i="61" s="1"/>
  <c r="T127" i="61" s="1"/>
  <c r="K36" i="61"/>
  <c r="K42" i="61"/>
  <c r="K17" i="61"/>
  <c r="E95" i="61" s="1"/>
  <c r="T133" i="61" s="1"/>
  <c r="K18" i="61"/>
  <c r="E96" i="61" s="1"/>
  <c r="T134" i="61" s="1"/>
  <c r="K43" i="61"/>
  <c r="K10" i="61"/>
  <c r="E88" i="61" s="1"/>
  <c r="T126" i="61" s="1"/>
  <c r="K35" i="61"/>
  <c r="U108" i="54"/>
  <c r="E90" i="50"/>
  <c r="S128" i="50" s="1"/>
  <c r="E83" i="50"/>
  <c r="S121" i="50" s="1"/>
  <c r="E82" i="50"/>
  <c r="S120" i="50" s="1"/>
  <c r="K16" i="50"/>
  <c r="M16" i="50" s="1"/>
  <c r="E91" i="50" s="1"/>
  <c r="S129" i="50" s="1"/>
  <c r="K43" i="50"/>
  <c r="M43" i="50" s="1"/>
  <c r="E34" i="248" l="1"/>
  <c r="W106" i="57"/>
  <c r="K17" i="50"/>
  <c r="M17" i="50" s="1"/>
  <c r="E92" i="50" s="1"/>
  <c r="S130" i="50" s="1"/>
  <c r="K44" i="50"/>
  <c r="M44" i="50" s="1"/>
  <c r="E35" i="248" l="1"/>
  <c r="W108" i="57" s="1"/>
  <c r="W107" i="57"/>
  <c r="K45" i="50"/>
  <c r="M45" i="50" s="1"/>
  <c r="K18" i="50"/>
  <c r="M18" i="50" s="1"/>
  <c r="E93" i="50" s="1"/>
  <c r="S131" i="50" s="1"/>
  <c r="K46" i="50" l="1"/>
  <c r="M46" i="50" s="1"/>
  <c r="K19" i="50"/>
  <c r="M19" i="50" s="1"/>
  <c r="E94" i="50" s="1"/>
  <c r="S132" i="50" s="1"/>
  <c r="F81" i="40"/>
  <c r="F50" i="40"/>
  <c r="F73" i="40" s="1"/>
  <c r="F51" i="40"/>
  <c r="F74" i="40" s="1"/>
  <c r="F52" i="40"/>
  <c r="F75" i="40" s="1"/>
  <c r="F53" i="40"/>
  <c r="F76" i="40" s="1"/>
  <c r="F54" i="40"/>
  <c r="F77" i="40" s="1"/>
  <c r="F55" i="40"/>
  <c r="F78" i="40" s="1"/>
  <c r="F56" i="40"/>
  <c r="F79" i="40" s="1"/>
  <c r="F57" i="40"/>
  <c r="F80" i="40" s="1"/>
  <c r="F58" i="40"/>
  <c r="F59" i="40"/>
  <c r="F82" i="40" s="1"/>
  <c r="F60" i="40"/>
  <c r="F83" i="40" s="1"/>
  <c r="F61" i="40"/>
  <c r="F84" i="40" s="1"/>
  <c r="F62" i="40"/>
  <c r="F85" i="40" s="1"/>
  <c r="F63" i="40"/>
  <c r="F86" i="40" s="1"/>
  <c r="F64" i="40"/>
  <c r="F87" i="40" s="1"/>
  <c r="F65" i="40"/>
  <c r="F88" i="40" s="1"/>
  <c r="F66" i="40"/>
  <c r="F89" i="40" s="1"/>
  <c r="F49" i="40"/>
  <c r="F72" i="40" s="1"/>
  <c r="AL4" i="66"/>
  <c r="AL5" i="66"/>
  <c r="AL6" i="66"/>
  <c r="AL7" i="66"/>
  <c r="AL8" i="66"/>
  <c r="AL9" i="66"/>
  <c r="AL10" i="66"/>
  <c r="C65" i="66"/>
  <c r="C66" i="66"/>
  <c r="C67" i="66"/>
  <c r="C68" i="66"/>
  <c r="C69" i="66"/>
  <c r="C70" i="66"/>
  <c r="E70" i="66" s="1"/>
  <c r="C71" i="66"/>
  <c r="E71" i="66" s="1"/>
  <c r="C72" i="66"/>
  <c r="C73" i="66"/>
  <c r="C74" i="66"/>
  <c r="E74" i="66" s="1"/>
  <c r="AI4" i="61"/>
  <c r="AI5" i="61"/>
  <c r="AI6" i="61"/>
  <c r="AI7" i="61"/>
  <c r="AI8" i="61"/>
  <c r="AI9" i="61"/>
  <c r="AI10" i="61"/>
  <c r="C65" i="61"/>
  <c r="C66" i="61"/>
  <c r="C67" i="61"/>
  <c r="C68" i="61"/>
  <c r="C69" i="61"/>
  <c r="C70" i="61"/>
  <c r="C71" i="61"/>
  <c r="C72" i="61"/>
  <c r="C73" i="61"/>
  <c r="C74" i="61"/>
  <c r="C65" i="35"/>
  <c r="F65" i="35" s="1"/>
  <c r="G65" i="35" s="1"/>
  <c r="C66" i="35"/>
  <c r="F66" i="35" s="1"/>
  <c r="G66" i="35" s="1"/>
  <c r="C67" i="35"/>
  <c r="F67" i="35" s="1"/>
  <c r="C68" i="35"/>
  <c r="C69" i="35"/>
  <c r="F69" i="35" s="1"/>
  <c r="G69" i="35" s="1"/>
  <c r="C70" i="35"/>
  <c r="F70" i="35" s="1"/>
  <c r="G70" i="35" s="1"/>
  <c r="C71" i="35"/>
  <c r="C72" i="35"/>
  <c r="C73" i="35"/>
  <c r="F73" i="35" s="1"/>
  <c r="G73" i="35" s="1"/>
  <c r="C74" i="35"/>
  <c r="F74" i="35" s="1"/>
  <c r="G74" i="35" s="1"/>
  <c r="AK4" i="35"/>
  <c r="AK5" i="35"/>
  <c r="AK6" i="35"/>
  <c r="AK7" i="35"/>
  <c r="AK8" i="35"/>
  <c r="AK9" i="35"/>
  <c r="AK10" i="35"/>
  <c r="C65" i="60"/>
  <c r="C66" i="60"/>
  <c r="C67" i="60"/>
  <c r="F67" i="60" s="1"/>
  <c r="C68" i="60"/>
  <c r="C69" i="60"/>
  <c r="C70" i="60"/>
  <c r="C71" i="60"/>
  <c r="C72" i="60"/>
  <c r="C73" i="60"/>
  <c r="C74" i="60"/>
  <c r="AI4" i="60"/>
  <c r="AI5" i="60"/>
  <c r="AI6" i="60"/>
  <c r="AI7" i="60"/>
  <c r="AI8" i="60"/>
  <c r="AI9" i="60"/>
  <c r="AI10" i="60"/>
  <c r="C64" i="49"/>
  <c r="C195" i="49" s="1"/>
  <c r="C65" i="49"/>
  <c r="C196" i="49" s="1"/>
  <c r="C66" i="49"/>
  <c r="C197" i="49" s="1"/>
  <c r="C67" i="49"/>
  <c r="C198" i="49" s="1"/>
  <c r="C68" i="49"/>
  <c r="C199" i="49" s="1"/>
  <c r="C69" i="49"/>
  <c r="C200" i="49" s="1"/>
  <c r="C70" i="49"/>
  <c r="C201" i="49" s="1"/>
  <c r="C71" i="49"/>
  <c r="C202" i="49" s="1"/>
  <c r="C72" i="49"/>
  <c r="C203" i="49" s="1"/>
  <c r="C73" i="49"/>
  <c r="C204" i="49" s="1"/>
  <c r="C74" i="49"/>
  <c r="C205" i="49" s="1"/>
  <c r="C75" i="49"/>
  <c r="C206" i="49" s="1"/>
  <c r="AN24" i="49"/>
  <c r="L49" i="49" s="1"/>
  <c r="AN14" i="49"/>
  <c r="L39" i="49" s="1"/>
  <c r="AN15" i="49"/>
  <c r="L40" i="49" s="1"/>
  <c r="AN16" i="49"/>
  <c r="AN17" i="49"/>
  <c r="L42" i="49" s="1"/>
  <c r="AN19" i="49"/>
  <c r="L44" i="49" s="1"/>
  <c r="AN21" i="49"/>
  <c r="L46" i="49" s="1"/>
  <c r="AN22" i="49"/>
  <c r="L47" i="49" s="1"/>
  <c r="AN23" i="49"/>
  <c r="L48" i="49" s="1"/>
  <c r="AN25" i="49"/>
  <c r="L50" i="49" s="1"/>
  <c r="AN13" i="49"/>
  <c r="L38" i="49" s="1"/>
  <c r="AN12" i="49"/>
  <c r="L37" i="49" s="1"/>
  <c r="AN9" i="49"/>
  <c r="L34" i="49" s="1"/>
  <c r="AN8" i="49"/>
  <c r="L33" i="49" s="1"/>
  <c r="AN7" i="49"/>
  <c r="L32" i="49" s="1"/>
  <c r="AN6" i="49"/>
  <c r="L31" i="49" s="1"/>
  <c r="AN4" i="49"/>
  <c r="L29" i="49" s="1"/>
  <c r="AO5" i="49"/>
  <c r="AO6" i="49"/>
  <c r="AO7" i="49"/>
  <c r="AO8" i="49"/>
  <c r="AO9" i="49"/>
  <c r="AO10" i="49"/>
  <c r="AO11" i="49"/>
  <c r="AI5" i="64"/>
  <c r="AI6" i="64"/>
  <c r="AI7" i="64"/>
  <c r="AI8" i="64"/>
  <c r="AI9" i="64"/>
  <c r="AI10" i="64"/>
  <c r="C63" i="64"/>
  <c r="C64" i="64"/>
  <c r="E64" i="64" s="1"/>
  <c r="F64" i="64" s="1"/>
  <c r="C65" i="64"/>
  <c r="C66" i="64"/>
  <c r="C67" i="64"/>
  <c r="E67" i="64" s="1"/>
  <c r="C68" i="64"/>
  <c r="E68" i="64" s="1"/>
  <c r="F68" i="64" s="1"/>
  <c r="C69" i="64"/>
  <c r="C70" i="64"/>
  <c r="C71" i="64"/>
  <c r="C72" i="64"/>
  <c r="E72" i="64" s="1"/>
  <c r="C73" i="64"/>
  <c r="C74" i="64"/>
  <c r="AI5" i="33"/>
  <c r="AI6" i="33"/>
  <c r="AI7" i="33"/>
  <c r="AI8" i="33"/>
  <c r="AI9" i="33"/>
  <c r="AI10" i="33"/>
  <c r="AI11" i="33"/>
  <c r="V80" i="98" l="1"/>
  <c r="W70" i="183"/>
  <c r="V79" i="98"/>
  <c r="W69" i="183"/>
  <c r="V81" i="98"/>
  <c r="V85" i="98" s="1"/>
  <c r="V86" i="98" s="1"/>
  <c r="V87" i="98" s="1"/>
  <c r="V88" i="98" s="1"/>
  <c r="V89" i="98" s="1"/>
  <c r="V90" i="98" s="1"/>
  <c r="V91" i="98" s="1"/>
  <c r="V92" i="98" s="1"/>
  <c r="V93" i="98" s="1"/>
  <c r="V94" i="98" s="1"/>
  <c r="V95" i="98" s="1"/>
  <c r="V96" i="98" s="1"/>
  <c r="V97" i="98" s="1"/>
  <c r="V98" i="98" s="1"/>
  <c r="V99" i="98" s="1"/>
  <c r="V100" i="98" s="1"/>
  <c r="V101" i="98" s="1"/>
  <c r="V102" i="98" s="1"/>
  <c r="V103" i="98" s="1"/>
  <c r="V104" i="98" s="1"/>
  <c r="V105" i="98" s="1"/>
  <c r="V106" i="98" s="1"/>
  <c r="V107" i="98" s="1"/>
  <c r="W71" i="183"/>
  <c r="V84" i="98"/>
  <c r="W74" i="183"/>
  <c r="V83" i="98"/>
  <c r="W73" i="183"/>
  <c r="V82" i="98"/>
  <c r="W72" i="183"/>
  <c r="AA150" i="49"/>
  <c r="E86" i="49"/>
  <c r="AA139" i="49" s="1"/>
  <c r="AA147" i="49"/>
  <c r="E79" i="49"/>
  <c r="AA132" i="49" s="1"/>
  <c r="AA146" i="49"/>
  <c r="AA149" i="49"/>
  <c r="E80" i="49"/>
  <c r="AA133" i="49" s="1"/>
  <c r="AA144" i="49"/>
  <c r="E81" i="49"/>
  <c r="AA134" i="49" s="1"/>
  <c r="AA142" i="49"/>
  <c r="AA148" i="49"/>
  <c r="E84" i="49"/>
  <c r="AA137" i="49" s="1"/>
  <c r="E85" i="49"/>
  <c r="AA138" i="49" s="1"/>
  <c r="E87" i="49"/>
  <c r="AA140" i="49" s="1"/>
  <c r="L41" i="49"/>
  <c r="F74" i="60"/>
  <c r="D74" i="60"/>
  <c r="F66" i="60"/>
  <c r="D66" i="60"/>
  <c r="D65" i="60"/>
  <c r="F65" i="60"/>
  <c r="F69" i="60"/>
  <c r="D69" i="60"/>
  <c r="D72" i="60"/>
  <c r="F72" i="60"/>
  <c r="D71" i="60"/>
  <c r="F71" i="60"/>
  <c r="F68" i="60"/>
  <c r="D68" i="60"/>
  <c r="D73" i="60"/>
  <c r="F73" i="60"/>
  <c r="D67" i="60"/>
  <c r="G67" i="60" s="1"/>
  <c r="P20" i="35"/>
  <c r="T72" i="67" s="1"/>
  <c r="J99" i="35"/>
  <c r="W137" i="35" s="1"/>
  <c r="F70" i="60"/>
  <c r="P19" i="35"/>
  <c r="T71" i="67" s="1"/>
  <c r="J98" i="35"/>
  <c r="W136" i="35" s="1"/>
  <c r="P24" i="35"/>
  <c r="T76" i="67" s="1"/>
  <c r="J103" i="35"/>
  <c r="W141" i="35" s="1"/>
  <c r="P16" i="35"/>
  <c r="T68" i="67" s="1"/>
  <c r="J95" i="35"/>
  <c r="W133" i="35" s="1"/>
  <c r="D70" i="60"/>
  <c r="P23" i="35"/>
  <c r="T75" i="67" s="1"/>
  <c r="J102" i="35"/>
  <c r="W140" i="35" s="1"/>
  <c r="P15" i="35"/>
  <c r="T67" i="67" s="1"/>
  <c r="J94" i="35"/>
  <c r="W132" i="35" s="1"/>
  <c r="O14" i="64"/>
  <c r="Q66" i="67" s="1"/>
  <c r="J95" i="64"/>
  <c r="W133" i="64" s="1"/>
  <c r="O18" i="64"/>
  <c r="Q70" i="67" s="1"/>
  <c r="J99" i="64"/>
  <c r="W137" i="64" s="1"/>
  <c r="F72" i="35"/>
  <c r="G72" i="35" s="1"/>
  <c r="F71" i="35"/>
  <c r="G71" i="35" s="1"/>
  <c r="F68" i="35"/>
  <c r="G68" i="35" s="1"/>
  <c r="G67" i="35"/>
  <c r="G64" i="49"/>
  <c r="G195" i="49" s="1"/>
  <c r="F64" i="49"/>
  <c r="F195" i="49" s="1"/>
  <c r="F66" i="49"/>
  <c r="F197" i="49" s="1"/>
  <c r="G66" i="49"/>
  <c r="G197" i="49" s="1"/>
  <c r="E66" i="49"/>
  <c r="E197" i="49" s="1"/>
  <c r="G73" i="49"/>
  <c r="G204" i="49" s="1"/>
  <c r="E73" i="49"/>
  <c r="E204" i="49" s="1"/>
  <c r="F73" i="49"/>
  <c r="F204" i="49" s="1"/>
  <c r="G65" i="49"/>
  <c r="G196" i="49" s="1"/>
  <c r="E65" i="49"/>
  <c r="E196" i="49" s="1"/>
  <c r="F65" i="49"/>
  <c r="F196" i="49" s="1"/>
  <c r="F74" i="49"/>
  <c r="F205" i="49" s="1"/>
  <c r="G74" i="49"/>
  <c r="G205" i="49" s="1"/>
  <c r="E74" i="49"/>
  <c r="E205" i="49" s="1"/>
  <c r="G71" i="49"/>
  <c r="G202" i="49" s="1"/>
  <c r="E71" i="49"/>
  <c r="E202" i="49" s="1"/>
  <c r="F71" i="49"/>
  <c r="F202" i="49" s="1"/>
  <c r="G70" i="49"/>
  <c r="G201" i="49" s="1"/>
  <c r="E70" i="49"/>
  <c r="E201" i="49" s="1"/>
  <c r="F70" i="49"/>
  <c r="F201" i="49" s="1"/>
  <c r="F68" i="49"/>
  <c r="F199" i="49" s="1"/>
  <c r="G68" i="49"/>
  <c r="G199" i="49" s="1"/>
  <c r="E68" i="49"/>
  <c r="E199" i="49" s="1"/>
  <c r="AN10" i="49"/>
  <c r="AN5" i="49"/>
  <c r="AN11" i="49"/>
  <c r="AN20" i="49"/>
  <c r="L45" i="49" s="1"/>
  <c r="E69" i="49"/>
  <c r="E200" i="49" s="1"/>
  <c r="G69" i="49"/>
  <c r="G200" i="49" s="1"/>
  <c r="AN18" i="49"/>
  <c r="L43" i="49" s="1"/>
  <c r="E75" i="49"/>
  <c r="E206" i="49" s="1"/>
  <c r="E67" i="49"/>
  <c r="E198" i="49" s="1"/>
  <c r="G75" i="49"/>
  <c r="G206" i="49" s="1"/>
  <c r="G67" i="49"/>
  <c r="G198" i="49" s="1"/>
  <c r="F69" i="49"/>
  <c r="F200" i="49" s="1"/>
  <c r="E72" i="49"/>
  <c r="E203" i="49" s="1"/>
  <c r="E64" i="49"/>
  <c r="E195" i="49" s="1"/>
  <c r="G72" i="49"/>
  <c r="G203" i="49" s="1"/>
  <c r="F72" i="49"/>
  <c r="F203" i="49" s="1"/>
  <c r="F75" i="49"/>
  <c r="F206" i="49" s="1"/>
  <c r="F67" i="49"/>
  <c r="F198" i="49" s="1"/>
  <c r="E74" i="64"/>
  <c r="F74" i="64" s="1"/>
  <c r="F67" i="64"/>
  <c r="E70" i="64"/>
  <c r="F70" i="64" s="1"/>
  <c r="E66" i="64"/>
  <c r="F66" i="64" s="1"/>
  <c r="E69" i="64"/>
  <c r="F69" i="64" s="1"/>
  <c r="F72" i="64"/>
  <c r="E63" i="64"/>
  <c r="F63" i="64" s="1"/>
  <c r="E71" i="64"/>
  <c r="F71" i="64" s="1"/>
  <c r="E65" i="64"/>
  <c r="F65" i="64" s="1"/>
  <c r="E73" i="64"/>
  <c r="F73" i="64" s="1"/>
  <c r="K47" i="50"/>
  <c r="M47" i="50" s="1"/>
  <c r="K20" i="50"/>
  <c r="M20" i="50" s="1"/>
  <c r="E95" i="50" s="1"/>
  <c r="S133" i="50" s="1"/>
  <c r="E66" i="66"/>
  <c r="F66" i="66" s="1"/>
  <c r="E73" i="66"/>
  <c r="F73" i="66" s="1"/>
  <c r="E72" i="66"/>
  <c r="F72" i="66" s="1"/>
  <c r="E65" i="66"/>
  <c r="F65" i="66" s="1"/>
  <c r="E69" i="66"/>
  <c r="F69" i="66" s="1"/>
  <c r="E68" i="66"/>
  <c r="F68" i="66" s="1"/>
  <c r="E67" i="66"/>
  <c r="F67" i="66" s="1"/>
  <c r="F71" i="66"/>
  <c r="F70" i="66"/>
  <c r="F74" i="66"/>
  <c r="D70" i="61"/>
  <c r="F70" i="61"/>
  <c r="D69" i="61"/>
  <c r="F69" i="61"/>
  <c r="D68" i="61"/>
  <c r="F68" i="61"/>
  <c r="D67" i="61"/>
  <c r="F67" i="61"/>
  <c r="F74" i="61"/>
  <c r="D74" i="61"/>
  <c r="F66" i="61"/>
  <c r="D66" i="61"/>
  <c r="F73" i="61"/>
  <c r="D73" i="61"/>
  <c r="F65" i="61"/>
  <c r="D65" i="61"/>
  <c r="F72" i="61"/>
  <c r="D72" i="61"/>
  <c r="F71" i="61"/>
  <c r="D71" i="61"/>
  <c r="C64" i="33"/>
  <c r="F64" i="33" s="1"/>
  <c r="C65" i="33"/>
  <c r="C66" i="33"/>
  <c r="F66" i="33" s="1"/>
  <c r="C67" i="33"/>
  <c r="C68" i="33"/>
  <c r="C69" i="33"/>
  <c r="C70" i="33"/>
  <c r="C71" i="33"/>
  <c r="F71" i="33" s="1"/>
  <c r="C72" i="33"/>
  <c r="D72" i="33" s="1"/>
  <c r="C73" i="33"/>
  <c r="C74" i="33"/>
  <c r="F74" i="33" s="1"/>
  <c r="C75" i="33"/>
  <c r="I37" i="65"/>
  <c r="I38" i="65"/>
  <c r="I39" i="65"/>
  <c r="I40" i="65"/>
  <c r="I41" i="65"/>
  <c r="I42" i="65"/>
  <c r="I43" i="65"/>
  <c r="I44" i="65"/>
  <c r="I45" i="65"/>
  <c r="I46" i="65"/>
  <c r="I47" i="65"/>
  <c r="I48" i="65"/>
  <c r="I49" i="65"/>
  <c r="I31" i="65"/>
  <c r="I32" i="65"/>
  <c r="I33" i="65"/>
  <c r="I34" i="65"/>
  <c r="I35" i="65"/>
  <c r="I36" i="65"/>
  <c r="I30" i="65"/>
  <c r="AI4" i="65"/>
  <c r="AI5" i="65"/>
  <c r="AI6" i="65"/>
  <c r="AI7" i="65"/>
  <c r="AI8" i="65"/>
  <c r="AI9" i="65"/>
  <c r="AI10" i="65"/>
  <c r="C63" i="65"/>
  <c r="C64" i="65"/>
  <c r="C65" i="65"/>
  <c r="C66" i="65"/>
  <c r="C67" i="65"/>
  <c r="C68" i="65"/>
  <c r="C69" i="65"/>
  <c r="C70" i="65"/>
  <c r="C71" i="65"/>
  <c r="C72" i="65"/>
  <c r="C73" i="65"/>
  <c r="C74" i="65"/>
  <c r="AG4" i="63"/>
  <c r="AG5" i="63"/>
  <c r="AG6" i="63"/>
  <c r="AG7" i="63"/>
  <c r="AG8" i="63"/>
  <c r="AG9" i="63"/>
  <c r="AG10" i="63"/>
  <c r="C65" i="63"/>
  <c r="E65" i="63" s="1"/>
  <c r="C66" i="63"/>
  <c r="C67" i="63"/>
  <c r="C68" i="63"/>
  <c r="C69" i="63"/>
  <c r="C70" i="63"/>
  <c r="C71" i="63"/>
  <c r="C72" i="63"/>
  <c r="C73" i="63"/>
  <c r="E73" i="63" s="1"/>
  <c r="C74" i="63"/>
  <c r="C65" i="59"/>
  <c r="E65" i="59" s="1"/>
  <c r="C66" i="59"/>
  <c r="C67" i="59"/>
  <c r="E67" i="59" s="1"/>
  <c r="C68" i="59"/>
  <c r="C69" i="59"/>
  <c r="C70" i="59"/>
  <c r="C71" i="59"/>
  <c r="C72" i="59"/>
  <c r="C73" i="59"/>
  <c r="E73" i="59" s="1"/>
  <c r="C74" i="59"/>
  <c r="AK4" i="58"/>
  <c r="AK5" i="58"/>
  <c r="AK6" i="58"/>
  <c r="AK7" i="58"/>
  <c r="AK8" i="58"/>
  <c r="AK9" i="58"/>
  <c r="AK10" i="58"/>
  <c r="C65" i="58"/>
  <c r="C66" i="58"/>
  <c r="C67" i="58"/>
  <c r="F67" i="58" s="1"/>
  <c r="C68" i="58"/>
  <c r="C69" i="58"/>
  <c r="C70" i="58"/>
  <c r="C71" i="58"/>
  <c r="C72" i="58"/>
  <c r="C73" i="58"/>
  <c r="C74" i="58"/>
  <c r="AI4" i="62"/>
  <c r="AI5" i="62"/>
  <c r="AI6" i="62"/>
  <c r="AI7" i="62"/>
  <c r="AI8" i="62"/>
  <c r="AI9" i="62"/>
  <c r="AI10" i="62"/>
  <c r="AI11" i="62"/>
  <c r="AI3" i="62"/>
  <c r="C65" i="62"/>
  <c r="F65" i="62" s="1"/>
  <c r="G65" i="62" s="1"/>
  <c r="C66" i="62"/>
  <c r="F66" i="62" s="1"/>
  <c r="G66" i="62" s="1"/>
  <c r="C67" i="62"/>
  <c r="C68" i="62"/>
  <c r="C69" i="62"/>
  <c r="F69" i="62" s="1"/>
  <c r="G69" i="62" s="1"/>
  <c r="C70" i="62"/>
  <c r="F70" i="62" s="1"/>
  <c r="G70" i="62" s="1"/>
  <c r="C71" i="62"/>
  <c r="C72" i="62"/>
  <c r="C73" i="62"/>
  <c r="F73" i="62" s="1"/>
  <c r="G73" i="62" s="1"/>
  <c r="C74" i="62"/>
  <c r="F74" i="62" s="1"/>
  <c r="G74" i="62" s="1"/>
  <c r="L38" i="52"/>
  <c r="N38" i="52" s="1"/>
  <c r="L39" i="52"/>
  <c r="N39" i="52" s="1"/>
  <c r="L40" i="52"/>
  <c r="N40" i="52" s="1"/>
  <c r="L41" i="52"/>
  <c r="N41" i="52" s="1"/>
  <c r="L42" i="52"/>
  <c r="N42" i="52" s="1"/>
  <c r="L43" i="52"/>
  <c r="N43" i="52" s="1"/>
  <c r="L44" i="52"/>
  <c r="N44" i="52" s="1"/>
  <c r="L45" i="52"/>
  <c r="N45" i="52" s="1"/>
  <c r="L46" i="52"/>
  <c r="N46" i="52" s="1"/>
  <c r="L47" i="52"/>
  <c r="N47" i="52" s="1"/>
  <c r="L48" i="52"/>
  <c r="N48" i="52" s="1"/>
  <c r="L49" i="52"/>
  <c r="N49" i="52" s="1"/>
  <c r="AK4" i="52"/>
  <c r="AK5" i="52"/>
  <c r="AK6" i="52"/>
  <c r="AK7" i="52"/>
  <c r="AK8" i="52"/>
  <c r="AK9" i="52"/>
  <c r="AK10" i="52"/>
  <c r="C63" i="52"/>
  <c r="G63" i="52" s="1"/>
  <c r="C64" i="52"/>
  <c r="G64" i="52" s="1"/>
  <c r="C65" i="52"/>
  <c r="G65" i="52" s="1"/>
  <c r="C66" i="52"/>
  <c r="G66" i="52" s="1"/>
  <c r="C67" i="52"/>
  <c r="G67" i="52" s="1"/>
  <c r="C68" i="52"/>
  <c r="G68" i="52" s="1"/>
  <c r="C69" i="52"/>
  <c r="G69" i="52" s="1"/>
  <c r="C70" i="52"/>
  <c r="G70" i="52" s="1"/>
  <c r="C71" i="52"/>
  <c r="G71" i="52" s="1"/>
  <c r="C72" i="52"/>
  <c r="G72" i="52" s="1"/>
  <c r="C73" i="52"/>
  <c r="G73" i="52" s="1"/>
  <c r="C74" i="52"/>
  <c r="G74" i="52" s="1"/>
  <c r="AG4" i="53"/>
  <c r="AG5" i="53"/>
  <c r="AG6" i="53"/>
  <c r="AG7" i="53"/>
  <c r="AG8" i="53"/>
  <c r="AG9" i="53"/>
  <c r="AG10" i="53"/>
  <c r="AF4" i="57"/>
  <c r="AF5" i="57"/>
  <c r="AF6" i="57"/>
  <c r="AF7" i="57"/>
  <c r="AF8" i="57"/>
  <c r="AF9" i="57"/>
  <c r="AF10" i="57"/>
  <c r="AJ4" i="51"/>
  <c r="AJ5" i="51"/>
  <c r="AJ6" i="51"/>
  <c r="AJ7" i="51"/>
  <c r="AJ8" i="51"/>
  <c r="AJ9" i="51"/>
  <c r="AJ10" i="51"/>
  <c r="C63" i="51"/>
  <c r="E63" i="51" s="1"/>
  <c r="C64" i="51"/>
  <c r="E64" i="51" s="1"/>
  <c r="C65" i="51"/>
  <c r="E65" i="51" s="1"/>
  <c r="C66" i="51"/>
  <c r="E66" i="51" s="1"/>
  <c r="C67" i="51"/>
  <c r="E67" i="51" s="1"/>
  <c r="C68" i="51"/>
  <c r="E68" i="51" s="1"/>
  <c r="C69" i="51"/>
  <c r="E69" i="51" s="1"/>
  <c r="C70" i="51"/>
  <c r="E70" i="51" s="1"/>
  <c r="C71" i="51"/>
  <c r="E71" i="51" s="1"/>
  <c r="C72" i="51"/>
  <c r="E72" i="51" s="1"/>
  <c r="C73" i="51"/>
  <c r="E73" i="51" s="1"/>
  <c r="C74" i="51"/>
  <c r="E74" i="51" s="1"/>
  <c r="C65" i="53"/>
  <c r="C66" i="53"/>
  <c r="C67" i="53"/>
  <c r="C68" i="53"/>
  <c r="C69" i="53"/>
  <c r="C70" i="53"/>
  <c r="C71" i="53"/>
  <c r="C72" i="53"/>
  <c r="C73" i="53"/>
  <c r="C74" i="53"/>
  <c r="D29" i="54"/>
  <c r="D30" i="54"/>
  <c r="D31" i="54"/>
  <c r="D32" i="54"/>
  <c r="D33" i="54"/>
  <c r="D34" i="54"/>
  <c r="D28" i="54"/>
  <c r="AE4" i="54"/>
  <c r="AE5" i="54"/>
  <c r="AE6" i="54"/>
  <c r="AE7" i="54"/>
  <c r="AE8" i="54"/>
  <c r="AE9" i="54"/>
  <c r="AE10" i="54"/>
  <c r="AE11" i="54"/>
  <c r="AE12" i="54"/>
  <c r="AE13" i="54"/>
  <c r="AE14" i="54"/>
  <c r="AE15" i="54"/>
  <c r="AE16" i="54"/>
  <c r="AE17" i="54"/>
  <c r="AE18" i="54"/>
  <c r="AE19" i="54"/>
  <c r="AE20" i="54"/>
  <c r="AE21" i="54"/>
  <c r="AE22" i="54"/>
  <c r="AE23" i="54"/>
  <c r="AE24" i="54"/>
  <c r="AE3" i="54"/>
  <c r="AJ4" i="54"/>
  <c r="AJ5" i="54"/>
  <c r="AJ6" i="54"/>
  <c r="AJ7" i="54"/>
  <c r="AJ8" i="54"/>
  <c r="AJ9" i="54"/>
  <c r="AJ10" i="54"/>
  <c r="C65" i="54"/>
  <c r="D65" i="54" s="1"/>
  <c r="D15" i="54" s="1"/>
  <c r="C66" i="54"/>
  <c r="D66" i="54" s="1"/>
  <c r="D16" i="54" s="1"/>
  <c r="C67" i="54"/>
  <c r="C68" i="54"/>
  <c r="D68" i="54" s="1"/>
  <c r="D18" i="54" s="1"/>
  <c r="C69" i="54"/>
  <c r="C70" i="54"/>
  <c r="D70" i="54" s="1"/>
  <c r="D20" i="54" s="1"/>
  <c r="C71" i="54"/>
  <c r="D71" i="54" s="1"/>
  <c r="D21" i="54" s="1"/>
  <c r="C72" i="54"/>
  <c r="D72" i="54" s="1"/>
  <c r="D22" i="54" s="1"/>
  <c r="C73" i="54"/>
  <c r="D73" i="54" s="1"/>
  <c r="D23" i="54" s="1"/>
  <c r="C74" i="54"/>
  <c r="D74" i="54" s="1"/>
  <c r="D24" i="54" s="1"/>
  <c r="C65" i="57"/>
  <c r="C66" i="57"/>
  <c r="F66" i="57" s="1"/>
  <c r="G66" i="57" s="1"/>
  <c r="C67" i="57"/>
  <c r="F67" i="57" s="1"/>
  <c r="G67" i="57" s="1"/>
  <c r="C68" i="57"/>
  <c r="F68" i="57" s="1"/>
  <c r="G68" i="57" s="1"/>
  <c r="C69" i="57"/>
  <c r="C70" i="57"/>
  <c r="F70" i="57" s="1"/>
  <c r="G70" i="57" s="1"/>
  <c r="C71" i="57"/>
  <c r="F71" i="57" s="1"/>
  <c r="G71" i="57" s="1"/>
  <c r="C72" i="57"/>
  <c r="F72" i="57" s="1"/>
  <c r="G72" i="57" s="1"/>
  <c r="C73" i="57"/>
  <c r="C74" i="57"/>
  <c r="F74" i="57" s="1"/>
  <c r="G74" i="57" s="1"/>
  <c r="AI4" i="50"/>
  <c r="AI29" i="50" s="1"/>
  <c r="AI5" i="50"/>
  <c r="AI30" i="50" s="1"/>
  <c r="AI6" i="50"/>
  <c r="AI31" i="50" s="1"/>
  <c r="AI7" i="50"/>
  <c r="AI32" i="50" s="1"/>
  <c r="AI8" i="50"/>
  <c r="AI33" i="50" s="1"/>
  <c r="AI9" i="50"/>
  <c r="AI34" i="50" s="1"/>
  <c r="AI10" i="50"/>
  <c r="AI35" i="50" s="1"/>
  <c r="C63" i="50"/>
  <c r="E63" i="50" s="1"/>
  <c r="F63" i="50" s="1"/>
  <c r="C64" i="50"/>
  <c r="C65" i="50"/>
  <c r="E65" i="50" s="1"/>
  <c r="F65" i="50" s="1"/>
  <c r="C66" i="50"/>
  <c r="C67" i="50"/>
  <c r="E67" i="50" s="1"/>
  <c r="C68" i="50"/>
  <c r="C69" i="50"/>
  <c r="C70" i="50"/>
  <c r="C71" i="50"/>
  <c r="E71" i="50" s="1"/>
  <c r="F71" i="50" s="1"/>
  <c r="C72" i="50"/>
  <c r="C73" i="50"/>
  <c r="E73" i="50" s="1"/>
  <c r="F73" i="50" s="1"/>
  <c r="C74" i="50"/>
  <c r="AG4" i="55"/>
  <c r="AG5" i="55"/>
  <c r="AG6" i="55"/>
  <c r="AG7" i="55"/>
  <c r="AG8" i="55"/>
  <c r="AG9" i="55"/>
  <c r="AG10" i="55"/>
  <c r="B63" i="48"/>
  <c r="B64" i="48"/>
  <c r="B65" i="48"/>
  <c r="B66" i="48"/>
  <c r="B67" i="48"/>
  <c r="B68" i="48"/>
  <c r="B69" i="48"/>
  <c r="B70" i="48"/>
  <c r="B71" i="48"/>
  <c r="B72" i="48"/>
  <c r="B73" i="48"/>
  <c r="B74" i="48"/>
  <c r="I42" i="48"/>
  <c r="I43" i="48"/>
  <c r="I44" i="48"/>
  <c r="I45" i="48"/>
  <c r="I46" i="48"/>
  <c r="I47" i="55" s="1"/>
  <c r="I47" i="48"/>
  <c r="I48" i="48"/>
  <c r="I48" i="53" s="1"/>
  <c r="I49" i="48"/>
  <c r="I17" i="48"/>
  <c r="I18" i="48"/>
  <c r="I18" i="63" s="1"/>
  <c r="I19" i="48"/>
  <c r="H19" i="59" s="1"/>
  <c r="I20" i="48"/>
  <c r="I21" i="48"/>
  <c r="I22" i="48"/>
  <c r="I23" i="48"/>
  <c r="I24" i="48"/>
  <c r="I24" i="52" s="1"/>
  <c r="AK4" i="48"/>
  <c r="AK5" i="48"/>
  <c r="AK6" i="48"/>
  <c r="AK7" i="48"/>
  <c r="AK8" i="48"/>
  <c r="AK9" i="48"/>
  <c r="AK10" i="48"/>
  <c r="C63" i="98"/>
  <c r="C64" i="98"/>
  <c r="C65" i="98"/>
  <c r="C66" i="98"/>
  <c r="C67" i="98"/>
  <c r="C68" i="98"/>
  <c r="C69" i="98"/>
  <c r="C70" i="98"/>
  <c r="C71" i="98"/>
  <c r="C72" i="98"/>
  <c r="C73" i="98"/>
  <c r="C74" i="98"/>
  <c r="AJ38" i="98"/>
  <c r="AI36" i="98"/>
  <c r="AI38" i="98" s="1"/>
  <c r="G74" i="60" l="1"/>
  <c r="G68" i="60"/>
  <c r="AI39" i="98"/>
  <c r="AI37" i="98"/>
  <c r="AA145" i="49"/>
  <c r="AA141" i="49"/>
  <c r="AA143" i="49"/>
  <c r="AJ10" i="62"/>
  <c r="H10" i="62" s="1"/>
  <c r="H35" i="62" s="1"/>
  <c r="H22" i="54"/>
  <c r="H47" i="54" s="1"/>
  <c r="C70" i="55"/>
  <c r="F70" i="55" s="1"/>
  <c r="G70" i="55" s="1"/>
  <c r="C69" i="55"/>
  <c r="F69" i="55" s="1"/>
  <c r="C76" i="55"/>
  <c r="F76" i="55" s="1"/>
  <c r="G76" i="55" s="1"/>
  <c r="J100" i="55" s="1"/>
  <c r="X137" i="55" s="1"/>
  <c r="C68" i="55"/>
  <c r="F68" i="55" s="1"/>
  <c r="G68" i="55" s="1"/>
  <c r="C75" i="55"/>
  <c r="F75" i="55" s="1"/>
  <c r="G75" i="55" s="1"/>
  <c r="C67" i="55"/>
  <c r="C74" i="55"/>
  <c r="F74" i="55" s="1"/>
  <c r="G74" i="55" s="1"/>
  <c r="C73" i="55"/>
  <c r="F73" i="55" s="1"/>
  <c r="G73" i="55" s="1"/>
  <c r="Q21" i="55" s="1"/>
  <c r="D73" i="67" s="1"/>
  <c r="C72" i="55"/>
  <c r="F72" i="55" s="1"/>
  <c r="G72" i="55" s="1"/>
  <c r="J96" i="55" s="1"/>
  <c r="X133" i="55" s="1"/>
  <c r="C71" i="55"/>
  <c r="C64" i="48"/>
  <c r="F64" i="48" s="1"/>
  <c r="V14" i="48"/>
  <c r="C70" i="48"/>
  <c r="V20" i="48"/>
  <c r="C63" i="48"/>
  <c r="V13" i="48"/>
  <c r="C69" i="48"/>
  <c r="F69" i="48" s="1"/>
  <c r="V19" i="48"/>
  <c r="C68" i="48"/>
  <c r="V18" i="48"/>
  <c r="C67" i="48"/>
  <c r="V17" i="48"/>
  <c r="C72" i="48"/>
  <c r="V22" i="48"/>
  <c r="C74" i="48"/>
  <c r="V24" i="48"/>
  <c r="C66" i="48"/>
  <c r="F66" i="48" s="1"/>
  <c r="V16" i="48"/>
  <c r="C71" i="48"/>
  <c r="V21" i="48"/>
  <c r="C73" i="48"/>
  <c r="V23" i="48"/>
  <c r="C65" i="48"/>
  <c r="V15" i="48"/>
  <c r="G73" i="60"/>
  <c r="J101" i="60" s="1"/>
  <c r="W139" i="60" s="1"/>
  <c r="G73" i="61"/>
  <c r="P23" i="61" s="1"/>
  <c r="U75" i="67" s="1"/>
  <c r="H72" i="49"/>
  <c r="G65" i="60"/>
  <c r="J93" i="60" s="1"/>
  <c r="W131" i="60" s="1"/>
  <c r="G70" i="60"/>
  <c r="Q20" i="60" s="1"/>
  <c r="S72" i="67" s="1"/>
  <c r="G71" i="60"/>
  <c r="J99" i="60" s="1"/>
  <c r="W137" i="60" s="1"/>
  <c r="G66" i="60"/>
  <c r="J94" i="60" s="1"/>
  <c r="W132" i="60" s="1"/>
  <c r="G72" i="60"/>
  <c r="Q22" i="60" s="1"/>
  <c r="S74" i="67" s="1"/>
  <c r="G69" i="60"/>
  <c r="J97" i="60" s="1"/>
  <c r="W135" i="60" s="1"/>
  <c r="D68" i="98"/>
  <c r="F68" i="98"/>
  <c r="D72" i="53"/>
  <c r="F72" i="53"/>
  <c r="F71" i="62"/>
  <c r="G71" i="62" s="1"/>
  <c r="K98" i="62"/>
  <c r="W134" i="62" s="1"/>
  <c r="Q20" i="62"/>
  <c r="K72" i="67" s="1"/>
  <c r="J96" i="60"/>
  <c r="W134" i="60" s="1"/>
  <c r="Q18" i="60"/>
  <c r="S70" i="67" s="1"/>
  <c r="K97" i="62"/>
  <c r="W133" i="62" s="1"/>
  <c r="Q19" i="62"/>
  <c r="K71" i="67" s="1"/>
  <c r="F74" i="98"/>
  <c r="D74" i="98"/>
  <c r="D70" i="53"/>
  <c r="F70" i="53"/>
  <c r="F73" i="98"/>
  <c r="D73" i="98"/>
  <c r="F65" i="98"/>
  <c r="D65" i="98"/>
  <c r="F68" i="62"/>
  <c r="G68" i="62" s="1"/>
  <c r="F72" i="98"/>
  <c r="D72" i="98"/>
  <c r="F68" i="53"/>
  <c r="D68" i="53"/>
  <c r="F67" i="62"/>
  <c r="G67" i="62" s="1"/>
  <c r="F71" i="98"/>
  <c r="D71" i="98"/>
  <c r="F67" i="53"/>
  <c r="D67" i="53"/>
  <c r="K102" i="62"/>
  <c r="W138" i="62" s="1"/>
  <c r="Q24" i="62"/>
  <c r="K76" i="67" s="1"/>
  <c r="K94" i="62"/>
  <c r="W130" i="62" s="1"/>
  <c r="Q16" i="62"/>
  <c r="K68" i="67" s="1"/>
  <c r="D71" i="53"/>
  <c r="F71" i="53"/>
  <c r="F74" i="53"/>
  <c r="D74" i="53"/>
  <c r="F66" i="53"/>
  <c r="D66" i="53"/>
  <c r="K101" i="62"/>
  <c r="W137" i="62" s="1"/>
  <c r="Q23" i="62"/>
  <c r="K75" i="67" s="1"/>
  <c r="K93" i="62"/>
  <c r="W129" i="62" s="1"/>
  <c r="Q15" i="62"/>
  <c r="K67" i="67" s="1"/>
  <c r="J102" i="60"/>
  <c r="W140" i="60" s="1"/>
  <c r="Q24" i="60"/>
  <c r="S76" i="67" s="1"/>
  <c r="D67" i="98"/>
  <c r="F67" i="98"/>
  <c r="F66" i="98"/>
  <c r="D66" i="98"/>
  <c r="F64" i="98"/>
  <c r="D64" i="98"/>
  <c r="F63" i="98"/>
  <c r="D63" i="98"/>
  <c r="D70" i="98"/>
  <c r="F70" i="98"/>
  <c r="D69" i="98"/>
  <c r="F69" i="98"/>
  <c r="F73" i="53"/>
  <c r="D73" i="53"/>
  <c r="F65" i="53"/>
  <c r="D65" i="53"/>
  <c r="F72" i="62"/>
  <c r="G72" i="62" s="1"/>
  <c r="P21" i="35"/>
  <c r="T73" i="67" s="1"/>
  <c r="J100" i="35"/>
  <c r="W138" i="35" s="1"/>
  <c r="L98" i="35"/>
  <c r="Y136" i="35" s="1"/>
  <c r="K98" i="35"/>
  <c r="X136" i="35" s="1"/>
  <c r="P22" i="35"/>
  <c r="T74" i="67" s="1"/>
  <c r="J101" i="35"/>
  <c r="W139" i="35" s="1"/>
  <c r="L102" i="35"/>
  <c r="Y140" i="35" s="1"/>
  <c r="K102" i="35"/>
  <c r="F69" i="54"/>
  <c r="D69" i="54"/>
  <c r="D19" i="54" s="1"/>
  <c r="F69" i="53"/>
  <c r="G69" i="61"/>
  <c r="K99" i="35"/>
  <c r="X137" i="35" s="1"/>
  <c r="L99" i="35"/>
  <c r="Y137" i="35" s="1"/>
  <c r="F67" i="54"/>
  <c r="D67" i="54"/>
  <c r="D17" i="54" s="1"/>
  <c r="L95" i="35"/>
  <c r="Y133" i="35" s="1"/>
  <c r="K95" i="35"/>
  <c r="X133" i="35" s="1"/>
  <c r="J95" i="60"/>
  <c r="W133" i="60" s="1"/>
  <c r="Q17" i="60"/>
  <c r="S69" i="67" s="1"/>
  <c r="G74" i="61"/>
  <c r="P17" i="35"/>
  <c r="T69" i="67" s="1"/>
  <c r="J96" i="35"/>
  <c r="W134" i="35" s="1"/>
  <c r="L103" i="35"/>
  <c r="Y141" i="35" s="1"/>
  <c r="K103" i="35"/>
  <c r="X141" i="35" s="1"/>
  <c r="D69" i="53"/>
  <c r="G67" i="61"/>
  <c r="H75" i="49"/>
  <c r="H68" i="49"/>
  <c r="P18" i="35"/>
  <c r="T70" i="67" s="1"/>
  <c r="J97" i="35"/>
  <c r="W135" i="35" s="1"/>
  <c r="L94" i="35"/>
  <c r="Y132" i="35" s="1"/>
  <c r="K94" i="35"/>
  <c r="X132" i="35" s="1"/>
  <c r="AJ11" i="62"/>
  <c r="H11" i="62" s="1"/>
  <c r="H36" i="62" s="1"/>
  <c r="AJ9" i="62"/>
  <c r="H9" i="62" s="1"/>
  <c r="H34" i="62" s="1"/>
  <c r="AJ8" i="62"/>
  <c r="H8" i="62" s="1"/>
  <c r="H33" i="62" s="1"/>
  <c r="AI12" i="62"/>
  <c r="AI13" i="62" s="1"/>
  <c r="AI14" i="62" s="1"/>
  <c r="AI15" i="62" s="1"/>
  <c r="AI16" i="62" s="1"/>
  <c r="AI17" i="62" s="1"/>
  <c r="J101" i="66"/>
  <c r="W139" i="66" s="1"/>
  <c r="Q23" i="66"/>
  <c r="W75" i="67" s="1"/>
  <c r="J94" i="66"/>
  <c r="W132" i="66" s="1"/>
  <c r="Q16" i="66"/>
  <c r="W68" i="67" s="1"/>
  <c r="J97" i="66"/>
  <c r="W135" i="66" s="1"/>
  <c r="Q19" i="66"/>
  <c r="W71" i="67" s="1"/>
  <c r="J93" i="66"/>
  <c r="W131" i="66" s="1"/>
  <c r="Q15" i="66"/>
  <c r="W67" i="67" s="1"/>
  <c r="J99" i="66"/>
  <c r="W137" i="66" s="1"/>
  <c r="Q21" i="66"/>
  <c r="W73" i="67" s="1"/>
  <c r="J98" i="66"/>
  <c r="W136" i="66" s="1"/>
  <c r="Q20" i="66"/>
  <c r="W72" i="67" s="1"/>
  <c r="J95" i="66"/>
  <c r="W133" i="66" s="1"/>
  <c r="Q17" i="66"/>
  <c r="W69" i="67" s="1"/>
  <c r="J100" i="66"/>
  <c r="W138" i="66" s="1"/>
  <c r="Q22" i="66"/>
  <c r="W74" i="67" s="1"/>
  <c r="J102" i="66"/>
  <c r="W140" i="66" s="1"/>
  <c r="Q24" i="66"/>
  <c r="W76" i="67" s="1"/>
  <c r="J96" i="66"/>
  <c r="W134" i="66" s="1"/>
  <c r="Q18" i="66"/>
  <c r="W70" i="67" s="1"/>
  <c r="O23" i="64"/>
  <c r="Q75" i="67" s="1"/>
  <c r="J104" i="64"/>
  <c r="W142" i="64" s="1"/>
  <c r="O22" i="64"/>
  <c r="Q74" i="67" s="1"/>
  <c r="J103" i="64"/>
  <c r="W141" i="64" s="1"/>
  <c r="O19" i="64"/>
  <c r="Q71" i="67" s="1"/>
  <c r="J100" i="64"/>
  <c r="W138" i="64" s="1"/>
  <c r="O21" i="64"/>
  <c r="Q73" i="67" s="1"/>
  <c r="J102" i="64"/>
  <c r="W140" i="64" s="1"/>
  <c r="O16" i="64"/>
  <c r="Q68" i="67" s="1"/>
  <c r="J97" i="64"/>
  <c r="W135" i="64" s="1"/>
  <c r="K99" i="64"/>
  <c r="X137" i="64" s="1"/>
  <c r="L99" i="64"/>
  <c r="Y137" i="64" s="1"/>
  <c r="O17" i="64"/>
  <c r="Q69" i="67" s="1"/>
  <c r="J98" i="64"/>
  <c r="W136" i="64" s="1"/>
  <c r="O13" i="64"/>
  <c r="Q65" i="67" s="1"/>
  <c r="J94" i="64"/>
  <c r="W132" i="64" s="1"/>
  <c r="L95" i="64"/>
  <c r="Y133" i="64" s="1"/>
  <c r="K95" i="64"/>
  <c r="X133" i="64" s="1"/>
  <c r="O15" i="64"/>
  <c r="Q67" i="67" s="1"/>
  <c r="J96" i="64"/>
  <c r="W134" i="64" s="1"/>
  <c r="O24" i="64"/>
  <c r="Q76" i="67" s="1"/>
  <c r="J105" i="64"/>
  <c r="W143" i="64" s="1"/>
  <c r="O20" i="64"/>
  <c r="Q72" i="67" s="1"/>
  <c r="J101" i="64"/>
  <c r="W139" i="64" s="1"/>
  <c r="Q18" i="57"/>
  <c r="E70" i="67" s="1"/>
  <c r="J92" i="57"/>
  <c r="W130" i="57" s="1"/>
  <c r="Q17" i="57"/>
  <c r="E69" i="67" s="1"/>
  <c r="J91" i="57"/>
  <c r="W129" i="57" s="1"/>
  <c r="Q24" i="57"/>
  <c r="E76" i="67" s="1"/>
  <c r="J98" i="57"/>
  <c r="W136" i="57" s="1"/>
  <c r="Q16" i="57"/>
  <c r="E68" i="67" s="1"/>
  <c r="J90" i="57"/>
  <c r="W128" i="57" s="1"/>
  <c r="F73" i="57"/>
  <c r="G73" i="57" s="1"/>
  <c r="F65" i="57"/>
  <c r="G65" i="57" s="1"/>
  <c r="Q22" i="57"/>
  <c r="E74" i="67" s="1"/>
  <c r="J96" i="57"/>
  <c r="W134" i="57" s="1"/>
  <c r="Q21" i="57"/>
  <c r="E73" i="67" s="1"/>
  <c r="J95" i="57"/>
  <c r="W133" i="57" s="1"/>
  <c r="Q20" i="57"/>
  <c r="E72" i="67" s="1"/>
  <c r="J94" i="57"/>
  <c r="W132" i="57" s="1"/>
  <c r="F69" i="57"/>
  <c r="G69" i="57" s="1"/>
  <c r="Q18" i="55"/>
  <c r="D70" i="67" s="1"/>
  <c r="J94" i="55"/>
  <c r="X131" i="55" s="1"/>
  <c r="Q24" i="55"/>
  <c r="D76" i="67" s="1"/>
  <c r="Q16" i="55"/>
  <c r="D68" i="67" s="1"/>
  <c r="J92" i="55"/>
  <c r="X129" i="55" s="1"/>
  <c r="Q23" i="55"/>
  <c r="D75" i="67" s="1"/>
  <c r="J99" i="55"/>
  <c r="X136" i="55" s="1"/>
  <c r="Q22" i="55"/>
  <c r="D74" i="67" s="1"/>
  <c r="J98" i="55"/>
  <c r="X135" i="55" s="1"/>
  <c r="Q20" i="55"/>
  <c r="D72" i="67" s="1"/>
  <c r="F72" i="48"/>
  <c r="S18" i="52"/>
  <c r="J70" i="67" s="1"/>
  <c r="J96" i="52"/>
  <c r="W132" i="52" s="1"/>
  <c r="S24" i="52"/>
  <c r="J76" i="67" s="1"/>
  <c r="J102" i="52"/>
  <c r="W138" i="52" s="1"/>
  <c r="S23" i="52"/>
  <c r="J75" i="67" s="1"/>
  <c r="J101" i="52"/>
  <c r="W137" i="52" s="1"/>
  <c r="S15" i="52"/>
  <c r="J67" i="67" s="1"/>
  <c r="J93" i="52"/>
  <c r="W129" i="52" s="1"/>
  <c r="S17" i="52"/>
  <c r="J69" i="67" s="1"/>
  <c r="J95" i="52"/>
  <c r="W131" i="52" s="1"/>
  <c r="S16" i="52"/>
  <c r="J68" i="67" s="1"/>
  <c r="J94" i="52"/>
  <c r="W130" i="52" s="1"/>
  <c r="S22" i="52"/>
  <c r="J74" i="67" s="1"/>
  <c r="J100" i="52"/>
  <c r="W136" i="52" s="1"/>
  <c r="S14" i="52"/>
  <c r="J66" i="67" s="1"/>
  <c r="J92" i="52"/>
  <c r="W128" i="52" s="1"/>
  <c r="S21" i="52"/>
  <c r="J73" i="67" s="1"/>
  <c r="J99" i="52"/>
  <c r="W135" i="52" s="1"/>
  <c r="S13" i="52"/>
  <c r="J65" i="67" s="1"/>
  <c r="J91" i="52"/>
  <c r="W127" i="52" s="1"/>
  <c r="S20" i="52"/>
  <c r="J72" i="67" s="1"/>
  <c r="J98" i="52"/>
  <c r="W134" i="52" s="1"/>
  <c r="S19" i="52"/>
  <c r="J71" i="67" s="1"/>
  <c r="J97" i="52"/>
  <c r="W133" i="52" s="1"/>
  <c r="K98" i="51"/>
  <c r="W134" i="51" s="1"/>
  <c r="R21" i="51"/>
  <c r="I73" i="67" s="1"/>
  <c r="K90" i="51"/>
  <c r="W126" i="51" s="1"/>
  <c r="R13" i="51"/>
  <c r="I65" i="67" s="1"/>
  <c r="K97" i="51"/>
  <c r="W133" i="51" s="1"/>
  <c r="R20" i="51"/>
  <c r="I72" i="67" s="1"/>
  <c r="K96" i="51"/>
  <c r="W132" i="51" s="1"/>
  <c r="R19" i="51"/>
  <c r="I71" i="67" s="1"/>
  <c r="K100" i="51"/>
  <c r="W136" i="51" s="1"/>
  <c r="R23" i="51"/>
  <c r="I75" i="67" s="1"/>
  <c r="K95" i="51"/>
  <c r="W131" i="51" s="1"/>
  <c r="R18" i="51"/>
  <c r="I70" i="67" s="1"/>
  <c r="K93" i="51"/>
  <c r="W129" i="51" s="1"/>
  <c r="R16" i="51"/>
  <c r="I68" i="67" s="1"/>
  <c r="K94" i="51"/>
  <c r="W130" i="51" s="1"/>
  <c r="R17" i="51"/>
  <c r="I69" i="67" s="1"/>
  <c r="K92" i="51"/>
  <c r="W128" i="51" s="1"/>
  <c r="R15" i="51"/>
  <c r="I67" i="67" s="1"/>
  <c r="K101" i="51"/>
  <c r="W137" i="51" s="1"/>
  <c r="R24" i="51"/>
  <c r="I76" i="67" s="1"/>
  <c r="K99" i="51"/>
  <c r="W135" i="51" s="1"/>
  <c r="R22" i="51"/>
  <c r="I74" i="67" s="1"/>
  <c r="K91" i="51"/>
  <c r="W127" i="51" s="1"/>
  <c r="R14" i="51"/>
  <c r="I66" i="67" s="1"/>
  <c r="R21" i="50"/>
  <c r="V73" i="67" s="1"/>
  <c r="J96" i="50"/>
  <c r="V134" i="50" s="1"/>
  <c r="R13" i="50"/>
  <c r="V65" i="67" s="1"/>
  <c r="J88" i="50"/>
  <c r="V126" i="50" s="1"/>
  <c r="R23" i="50"/>
  <c r="V75" i="67" s="1"/>
  <c r="J98" i="50"/>
  <c r="V136" i="50" s="1"/>
  <c r="R15" i="50"/>
  <c r="V67" i="67" s="1"/>
  <c r="J90" i="50"/>
  <c r="V128" i="50" s="1"/>
  <c r="L35" i="49"/>
  <c r="H65" i="49"/>
  <c r="H196" i="49" s="1"/>
  <c r="AD18" i="49"/>
  <c r="R69" i="67" s="1"/>
  <c r="H73" i="49"/>
  <c r="H204" i="49" s="1"/>
  <c r="L36" i="49"/>
  <c r="L30" i="49"/>
  <c r="H64" i="49"/>
  <c r="H195" i="49" s="1"/>
  <c r="H70" i="49"/>
  <c r="H201" i="49" s="1"/>
  <c r="H66" i="49"/>
  <c r="H197" i="49" s="1"/>
  <c r="G72" i="61"/>
  <c r="G66" i="61"/>
  <c r="G70" i="61"/>
  <c r="G71" i="61"/>
  <c r="G68" i="61"/>
  <c r="G65" i="61"/>
  <c r="H67" i="49"/>
  <c r="H198" i="49" s="1"/>
  <c r="H69" i="49"/>
  <c r="H200" i="49" s="1"/>
  <c r="H74" i="49"/>
  <c r="H205" i="49" s="1"/>
  <c r="H71" i="49"/>
  <c r="H202" i="49" s="1"/>
  <c r="E72" i="63"/>
  <c r="F72" i="63" s="1"/>
  <c r="E71" i="63"/>
  <c r="F71" i="63" s="1"/>
  <c r="E70" i="63"/>
  <c r="F70" i="63" s="1"/>
  <c r="E69" i="63"/>
  <c r="F69" i="63" s="1"/>
  <c r="E68" i="63"/>
  <c r="F68" i="63" s="1"/>
  <c r="E67" i="63"/>
  <c r="F67" i="63" s="1"/>
  <c r="E74" i="63"/>
  <c r="F74" i="63" s="1"/>
  <c r="E66" i="63"/>
  <c r="F66" i="63" s="1"/>
  <c r="F73" i="63"/>
  <c r="F65" i="63"/>
  <c r="E68" i="59"/>
  <c r="F68" i="59" s="1"/>
  <c r="E74" i="59"/>
  <c r="F74" i="59" s="1"/>
  <c r="E66" i="59"/>
  <c r="F66" i="59" s="1"/>
  <c r="E72" i="59"/>
  <c r="F72" i="59" s="1"/>
  <c r="E71" i="59"/>
  <c r="F71" i="59" s="1"/>
  <c r="E70" i="59"/>
  <c r="F70" i="59" s="1"/>
  <c r="E69" i="59"/>
  <c r="F69" i="59" s="1"/>
  <c r="F67" i="59"/>
  <c r="F65" i="59"/>
  <c r="F73" i="59"/>
  <c r="F67" i="52"/>
  <c r="F64" i="52"/>
  <c r="F72" i="52"/>
  <c r="D45" i="54"/>
  <c r="F74" i="54"/>
  <c r="F66" i="54"/>
  <c r="G66" i="54" s="1"/>
  <c r="F68" i="54"/>
  <c r="D46" i="54"/>
  <c r="F72" i="54"/>
  <c r="G72" i="54" s="1"/>
  <c r="F71" i="54"/>
  <c r="G71" i="54" s="1"/>
  <c r="D48" i="54"/>
  <c r="D40" i="54"/>
  <c r="F70" i="54"/>
  <c r="D47" i="54"/>
  <c r="F73" i="54"/>
  <c r="G73" i="54" s="1"/>
  <c r="F65" i="54"/>
  <c r="G65" i="54" s="1"/>
  <c r="K48" i="50"/>
  <c r="M48" i="50" s="1"/>
  <c r="K21" i="50"/>
  <c r="M21" i="50" s="1"/>
  <c r="E96" i="50" s="1"/>
  <c r="S134" i="50" s="1"/>
  <c r="I24" i="55"/>
  <c r="F70" i="48"/>
  <c r="F67" i="48"/>
  <c r="F73" i="48"/>
  <c r="F63" i="48"/>
  <c r="I45" i="60"/>
  <c r="G45" i="64"/>
  <c r="I45" i="63"/>
  <c r="H45" i="59"/>
  <c r="I45" i="53"/>
  <c r="I45" i="62"/>
  <c r="K45" i="65"/>
  <c r="G45" i="51"/>
  <c r="I46" i="55"/>
  <c r="G17" i="64"/>
  <c r="I17" i="60"/>
  <c r="I18" i="49"/>
  <c r="I147" i="49" s="1"/>
  <c r="H17" i="61"/>
  <c r="I17" i="52"/>
  <c r="H17" i="54"/>
  <c r="H42" i="54" s="1"/>
  <c r="H17" i="59"/>
  <c r="I17" i="53"/>
  <c r="I17" i="63"/>
  <c r="I17" i="62"/>
  <c r="G44" i="64"/>
  <c r="I44" i="60"/>
  <c r="I44" i="53"/>
  <c r="I44" i="62"/>
  <c r="I45" i="55"/>
  <c r="K44" i="65"/>
  <c r="G44" i="51"/>
  <c r="I44" i="52"/>
  <c r="I22" i="55"/>
  <c r="K17" i="65"/>
  <c r="I24" i="60"/>
  <c r="G24" i="64"/>
  <c r="I25" i="49"/>
  <c r="I154" i="49" s="1"/>
  <c r="H24" i="61"/>
  <c r="H24" i="54"/>
  <c r="H49" i="54" s="1"/>
  <c r="H24" i="59"/>
  <c r="I24" i="53"/>
  <c r="I24" i="63"/>
  <c r="I24" i="62"/>
  <c r="K24" i="65"/>
  <c r="G24" i="51"/>
  <c r="G43" i="64"/>
  <c r="I43" i="60"/>
  <c r="I43" i="53"/>
  <c r="I43" i="62"/>
  <c r="I44" i="55"/>
  <c r="K43" i="65"/>
  <c r="G43" i="51"/>
  <c r="I43" i="52"/>
  <c r="I43" i="63"/>
  <c r="H43" i="59"/>
  <c r="I21" i="55"/>
  <c r="I19" i="53"/>
  <c r="K46" i="65"/>
  <c r="G23" i="64"/>
  <c r="I24" i="49"/>
  <c r="I153" i="49" s="1"/>
  <c r="H23" i="61"/>
  <c r="I23" i="60"/>
  <c r="H23" i="54"/>
  <c r="H48" i="54" s="1"/>
  <c r="H23" i="59"/>
  <c r="I23" i="53"/>
  <c r="I23" i="63"/>
  <c r="I23" i="62"/>
  <c r="K23" i="65"/>
  <c r="G23" i="51"/>
  <c r="I23" i="55"/>
  <c r="I23" i="52"/>
  <c r="G42" i="64"/>
  <c r="I42" i="60"/>
  <c r="I42" i="53"/>
  <c r="I42" i="62"/>
  <c r="I43" i="55"/>
  <c r="K42" i="65"/>
  <c r="G42" i="51"/>
  <c r="I42" i="52"/>
  <c r="I42" i="63"/>
  <c r="H42" i="59"/>
  <c r="I17" i="55"/>
  <c r="I45" i="52"/>
  <c r="G22" i="64"/>
  <c r="I23" i="49"/>
  <c r="I152" i="49" s="1"/>
  <c r="H22" i="61"/>
  <c r="I22" i="60"/>
  <c r="H22" i="59"/>
  <c r="I22" i="53"/>
  <c r="I22" i="63"/>
  <c r="I22" i="62"/>
  <c r="K22" i="65"/>
  <c r="G22" i="51"/>
  <c r="I22" i="52"/>
  <c r="I49" i="60"/>
  <c r="G49" i="64"/>
  <c r="I49" i="53"/>
  <c r="I49" i="62"/>
  <c r="K49" i="65"/>
  <c r="G49" i="51"/>
  <c r="I50" i="55"/>
  <c r="I49" i="52"/>
  <c r="I49" i="63"/>
  <c r="H49" i="59"/>
  <c r="H44" i="59"/>
  <c r="G21" i="64"/>
  <c r="I22" i="49"/>
  <c r="I151" i="49" s="1"/>
  <c r="H21" i="61"/>
  <c r="I21" i="60"/>
  <c r="H21" i="59"/>
  <c r="I21" i="53"/>
  <c r="I21" i="63"/>
  <c r="I21" i="62"/>
  <c r="K21" i="65"/>
  <c r="G21" i="51"/>
  <c r="I21" i="52"/>
  <c r="H21" i="54"/>
  <c r="H46" i="54" s="1"/>
  <c r="G48" i="64"/>
  <c r="I48" i="60"/>
  <c r="I48" i="62"/>
  <c r="K48" i="65"/>
  <c r="G48" i="51"/>
  <c r="I49" i="55"/>
  <c r="I48" i="52"/>
  <c r="I48" i="63"/>
  <c r="H48" i="59"/>
  <c r="I44" i="63"/>
  <c r="H18" i="61"/>
  <c r="I18" i="60"/>
  <c r="I19" i="49"/>
  <c r="I148" i="49" s="1"/>
  <c r="G18" i="64"/>
  <c r="K18" i="65"/>
  <c r="G18" i="51"/>
  <c r="I18" i="55"/>
  <c r="I18" i="52"/>
  <c r="H18" i="54"/>
  <c r="H43" i="54" s="1"/>
  <c r="H18" i="59"/>
  <c r="I18" i="53"/>
  <c r="I21" i="49"/>
  <c r="I150" i="49" s="1"/>
  <c r="H20" i="61"/>
  <c r="I20" i="60"/>
  <c r="G20" i="64"/>
  <c r="H20" i="59"/>
  <c r="I20" i="53"/>
  <c r="I20" i="63"/>
  <c r="I20" i="62"/>
  <c r="K20" i="65"/>
  <c r="G20" i="51"/>
  <c r="I20" i="55"/>
  <c r="I20" i="52"/>
  <c r="H20" i="54"/>
  <c r="H45" i="54" s="1"/>
  <c r="I47" i="60"/>
  <c r="G47" i="64"/>
  <c r="K47" i="65"/>
  <c r="G47" i="51"/>
  <c r="I48" i="55"/>
  <c r="I47" i="52"/>
  <c r="I47" i="63"/>
  <c r="H47" i="59"/>
  <c r="I47" i="53"/>
  <c r="G17" i="51"/>
  <c r="I18" i="62"/>
  <c r="H19" i="61"/>
  <c r="I19" i="60"/>
  <c r="G19" i="64"/>
  <c r="I20" i="49"/>
  <c r="I149" i="49" s="1"/>
  <c r="I19" i="63"/>
  <c r="I19" i="62"/>
  <c r="K19" i="65"/>
  <c r="G19" i="51"/>
  <c r="I19" i="55"/>
  <c r="I19" i="52"/>
  <c r="H19" i="54"/>
  <c r="H44" i="54" s="1"/>
  <c r="I46" i="60"/>
  <c r="G46" i="64"/>
  <c r="I46" i="52"/>
  <c r="I46" i="63"/>
  <c r="H46" i="59"/>
  <c r="I46" i="53"/>
  <c r="I46" i="62"/>
  <c r="G46" i="51"/>
  <c r="I47" i="62"/>
  <c r="F75" i="33"/>
  <c r="D75" i="33"/>
  <c r="F67" i="33"/>
  <c r="D67" i="33"/>
  <c r="G67" i="33" s="1"/>
  <c r="D73" i="33"/>
  <c r="F73" i="33"/>
  <c r="F65" i="33"/>
  <c r="D65" i="33"/>
  <c r="F70" i="33"/>
  <c r="D70" i="33"/>
  <c r="D69" i="33"/>
  <c r="F69" i="33"/>
  <c r="G69" i="33" s="1"/>
  <c r="D68" i="33"/>
  <c r="F68" i="33"/>
  <c r="D74" i="33"/>
  <c r="G74" i="33" s="1"/>
  <c r="D66" i="33"/>
  <c r="G66" i="33" s="1"/>
  <c r="F72" i="33"/>
  <c r="G72" i="33" s="1"/>
  <c r="D64" i="33"/>
  <c r="G64" i="33" s="1"/>
  <c r="D71" i="33"/>
  <c r="G71" i="33" s="1"/>
  <c r="D68" i="65"/>
  <c r="H68" i="65" s="1"/>
  <c r="E68" i="65"/>
  <c r="D67" i="65"/>
  <c r="G67" i="65" s="1"/>
  <c r="E67" i="65"/>
  <c r="E74" i="65"/>
  <c r="D74" i="65"/>
  <c r="G74" i="65" s="1"/>
  <c r="E66" i="65"/>
  <c r="D66" i="65"/>
  <c r="H66" i="65" s="1"/>
  <c r="E73" i="65"/>
  <c r="D73" i="65"/>
  <c r="G73" i="65" s="1"/>
  <c r="E65" i="65"/>
  <c r="D65" i="65"/>
  <c r="H65" i="65" s="1"/>
  <c r="E72" i="65"/>
  <c r="D72" i="65"/>
  <c r="G72" i="65" s="1"/>
  <c r="E64" i="65"/>
  <c r="D64" i="65"/>
  <c r="H64" i="65" s="1"/>
  <c r="E71" i="65"/>
  <c r="D71" i="65"/>
  <c r="G71" i="65" s="1"/>
  <c r="E63" i="65"/>
  <c r="D63" i="65"/>
  <c r="H63" i="65" s="1"/>
  <c r="D70" i="65"/>
  <c r="H70" i="65" s="1"/>
  <c r="E70" i="65"/>
  <c r="E69" i="65"/>
  <c r="D69" i="65"/>
  <c r="G69" i="65" s="1"/>
  <c r="F69" i="58"/>
  <c r="D69" i="58"/>
  <c r="F68" i="58"/>
  <c r="D68" i="58"/>
  <c r="D74" i="58"/>
  <c r="F74" i="58"/>
  <c r="D66" i="58"/>
  <c r="F66" i="58"/>
  <c r="D71" i="58"/>
  <c r="F71" i="58"/>
  <c r="F70" i="58"/>
  <c r="D70" i="58"/>
  <c r="D73" i="58"/>
  <c r="F73" i="58"/>
  <c r="D65" i="58"/>
  <c r="F65" i="58"/>
  <c r="F72" i="58"/>
  <c r="D67" i="58"/>
  <c r="G67" i="58" s="1"/>
  <c r="D72" i="58"/>
  <c r="F73" i="52"/>
  <c r="F65" i="52"/>
  <c r="F71" i="52"/>
  <c r="F63" i="52"/>
  <c r="F70" i="52"/>
  <c r="F69" i="52"/>
  <c r="F68" i="52"/>
  <c r="F74" i="52"/>
  <c r="F66" i="52"/>
  <c r="E69" i="50"/>
  <c r="F69" i="50" s="1"/>
  <c r="E74" i="50"/>
  <c r="F74" i="50" s="1"/>
  <c r="E66" i="50"/>
  <c r="F66" i="50" s="1"/>
  <c r="E68" i="50"/>
  <c r="F68" i="50" s="1"/>
  <c r="E72" i="50"/>
  <c r="F72" i="50" s="1"/>
  <c r="E64" i="50"/>
  <c r="F64" i="50" s="1"/>
  <c r="E70" i="50"/>
  <c r="F70" i="50" s="1"/>
  <c r="F67" i="50"/>
  <c r="F67" i="55"/>
  <c r="G67" i="55" s="1"/>
  <c r="F71" i="55"/>
  <c r="G71" i="55" s="1"/>
  <c r="Q133" i="67"/>
  <c r="Q134" i="67"/>
  <c r="Q135" i="67"/>
  <c r="Q136" i="67"/>
  <c r="Q137" i="67"/>
  <c r="Q138" i="67"/>
  <c r="Q139" i="67"/>
  <c r="N140" i="67"/>
  <c r="Q140" i="67"/>
  <c r="N141" i="67"/>
  <c r="Q141" i="67"/>
  <c r="AK29" i="98"/>
  <c r="AK30" i="98"/>
  <c r="AK31" i="98"/>
  <c r="AK32" i="98"/>
  <c r="AK33" i="98"/>
  <c r="AK34" i="98"/>
  <c r="AK35" i="98"/>
  <c r="AO33" i="98"/>
  <c r="AI33" i="98"/>
  <c r="AI34" i="98"/>
  <c r="AI35" i="98"/>
  <c r="AI32" i="98"/>
  <c r="X140" i="35" l="1"/>
  <c r="J98" i="60"/>
  <c r="W136" i="60" s="1"/>
  <c r="Q15" i="60"/>
  <c r="S67" i="67" s="1"/>
  <c r="G65" i="98"/>
  <c r="J88" i="98" s="1"/>
  <c r="W124" i="98" s="1"/>
  <c r="G69" i="55"/>
  <c r="J97" i="55"/>
  <c r="X134" i="55" s="1"/>
  <c r="F68" i="48"/>
  <c r="E83" i="49"/>
  <c r="AA136" i="49" s="1"/>
  <c r="AD22" i="49"/>
  <c r="R73" i="67" s="1"/>
  <c r="H203" i="49"/>
  <c r="E82" i="49"/>
  <c r="AA135" i="49" s="1"/>
  <c r="J90" i="49"/>
  <c r="K90" i="49" s="1"/>
  <c r="H199" i="49"/>
  <c r="AD25" i="49"/>
  <c r="R76" i="67" s="1"/>
  <c r="H206" i="49"/>
  <c r="J101" i="61"/>
  <c r="W139" i="61" s="1"/>
  <c r="Q23" i="60"/>
  <c r="S75" i="67" s="1"/>
  <c r="J94" i="49"/>
  <c r="G69" i="54"/>
  <c r="F71" i="48"/>
  <c r="F65" i="48"/>
  <c r="F74" i="48"/>
  <c r="G67" i="54"/>
  <c r="Q17" i="54" s="1"/>
  <c r="G69" i="67" s="1"/>
  <c r="J100" i="60"/>
  <c r="W138" i="60" s="1"/>
  <c r="G74" i="53"/>
  <c r="Q24" i="53" s="1"/>
  <c r="H76" i="67" s="1"/>
  <c r="G67" i="53"/>
  <c r="J93" i="53" s="1"/>
  <c r="W129" i="53" s="1"/>
  <c r="G66" i="65"/>
  <c r="G69" i="98"/>
  <c r="J92" i="98" s="1"/>
  <c r="W128" i="98" s="1"/>
  <c r="Q21" i="60"/>
  <c r="S73" i="67" s="1"/>
  <c r="G72" i="98"/>
  <c r="R22" i="98" s="1"/>
  <c r="F74" i="67" s="1"/>
  <c r="G73" i="33"/>
  <c r="G71" i="53"/>
  <c r="J97" i="53" s="1"/>
  <c r="W133" i="53" s="1"/>
  <c r="G71" i="98"/>
  <c r="J94" i="98" s="1"/>
  <c r="W130" i="98" s="1"/>
  <c r="J97" i="49"/>
  <c r="J98" i="49" s="1"/>
  <c r="K98" i="49" s="1"/>
  <c r="Q19" i="60"/>
  <c r="S71" i="67" s="1"/>
  <c r="G67" i="98"/>
  <c r="J90" i="98" s="1"/>
  <c r="W126" i="98" s="1"/>
  <c r="H67" i="65"/>
  <c r="I67" i="65" s="1"/>
  <c r="G70" i="53"/>
  <c r="Q20" i="53" s="1"/>
  <c r="H72" i="67" s="1"/>
  <c r="G66" i="98"/>
  <c r="J89" i="98" s="1"/>
  <c r="W125" i="98" s="1"/>
  <c r="G73" i="98"/>
  <c r="R23" i="98" s="1"/>
  <c r="F75" i="67" s="1"/>
  <c r="G68" i="98"/>
  <c r="J91" i="98" s="1"/>
  <c r="W127" i="98" s="1"/>
  <c r="G70" i="98"/>
  <c r="J93" i="98" s="1"/>
  <c r="W129" i="98" s="1"/>
  <c r="Q16" i="60"/>
  <c r="S68" i="67" s="1"/>
  <c r="G63" i="98"/>
  <c r="J86" i="98" s="1"/>
  <c r="W122" i="98" s="1"/>
  <c r="G74" i="98"/>
  <c r="J97" i="98" s="1"/>
  <c r="W133" i="98" s="1"/>
  <c r="G64" i="98"/>
  <c r="J87" i="98" s="1"/>
  <c r="W123" i="98" s="1"/>
  <c r="G69" i="53"/>
  <c r="J95" i="53" s="1"/>
  <c r="W131" i="53" s="1"/>
  <c r="G72" i="53"/>
  <c r="J98" i="53" s="1"/>
  <c r="W134" i="53" s="1"/>
  <c r="J96" i="98"/>
  <c r="W132" i="98" s="1"/>
  <c r="R15" i="98"/>
  <c r="F67" i="67" s="1"/>
  <c r="K99" i="62"/>
  <c r="W135" i="62" s="1"/>
  <c r="Q21" i="62"/>
  <c r="K73" i="67" s="1"/>
  <c r="K95" i="62"/>
  <c r="W131" i="62" s="1"/>
  <c r="Q17" i="62"/>
  <c r="K69" i="67" s="1"/>
  <c r="J100" i="53"/>
  <c r="W136" i="53" s="1"/>
  <c r="J96" i="63"/>
  <c r="W134" i="63" s="1"/>
  <c r="Q18" i="63"/>
  <c r="N70" i="67" s="1"/>
  <c r="J93" i="63"/>
  <c r="W131" i="63" s="1"/>
  <c r="Q15" i="63"/>
  <c r="N67" i="67" s="1"/>
  <c r="K101" i="61"/>
  <c r="X139" i="61" s="1"/>
  <c r="L97" i="60"/>
  <c r="Y135" i="60" s="1"/>
  <c r="K97" i="60"/>
  <c r="X135" i="60" s="1"/>
  <c r="L99" i="60"/>
  <c r="Y137" i="60" s="1"/>
  <c r="K99" i="60"/>
  <c r="X137" i="60" s="1"/>
  <c r="L98" i="60"/>
  <c r="Y136" i="60" s="1"/>
  <c r="K98" i="60"/>
  <c r="X136" i="60" s="1"/>
  <c r="J101" i="63"/>
  <c r="W139" i="63" s="1"/>
  <c r="Q23" i="63"/>
  <c r="N75" i="67" s="1"/>
  <c r="J97" i="63"/>
  <c r="W135" i="63" s="1"/>
  <c r="Q19" i="63"/>
  <c r="N71" i="67" s="1"/>
  <c r="L97" i="35"/>
  <c r="Y135" i="35" s="1"/>
  <c r="K97" i="35"/>
  <c r="X135" i="35" s="1"/>
  <c r="L96" i="35"/>
  <c r="Y134" i="35" s="1"/>
  <c r="K96" i="35"/>
  <c r="X134" i="35" s="1"/>
  <c r="L93" i="60"/>
  <c r="Y131" i="60" s="1"/>
  <c r="K93" i="60"/>
  <c r="X131" i="60" s="1"/>
  <c r="K100" i="62"/>
  <c r="W136" i="62" s="1"/>
  <c r="Q22" i="62"/>
  <c r="K74" i="67" s="1"/>
  <c r="M101" i="62"/>
  <c r="Y137" i="62" s="1"/>
  <c r="L101" i="62"/>
  <c r="X137" i="62" s="1"/>
  <c r="D21" i="53"/>
  <c r="D46" i="53"/>
  <c r="K96" i="62"/>
  <c r="W132" i="62" s="1"/>
  <c r="Q18" i="62"/>
  <c r="K70" i="67" s="1"/>
  <c r="J94" i="63"/>
  <c r="W132" i="63" s="1"/>
  <c r="Q16" i="63"/>
  <c r="N68" i="67" s="1"/>
  <c r="J98" i="63"/>
  <c r="W136" i="63" s="1"/>
  <c r="Q20" i="63"/>
  <c r="N72" i="67" s="1"/>
  <c r="P15" i="61"/>
  <c r="U67" i="67" s="1"/>
  <c r="J93" i="61"/>
  <c r="W131" i="61" s="1"/>
  <c r="D15" i="53"/>
  <c r="D40" i="53"/>
  <c r="D41" i="53"/>
  <c r="D16" i="53"/>
  <c r="D20" i="53"/>
  <c r="D45" i="53"/>
  <c r="L97" i="62"/>
  <c r="X133" i="62" s="1"/>
  <c r="M97" i="62"/>
  <c r="Y133" i="62" s="1"/>
  <c r="P18" i="61"/>
  <c r="U70" i="67" s="1"/>
  <c r="J96" i="61"/>
  <c r="W134" i="61" s="1"/>
  <c r="P24" i="61"/>
  <c r="U76" i="67" s="1"/>
  <c r="J102" i="61"/>
  <c r="W140" i="61" s="1"/>
  <c r="L101" i="60"/>
  <c r="Y139" i="60" s="1"/>
  <c r="K101" i="60"/>
  <c r="X139" i="60" s="1"/>
  <c r="G65" i="53"/>
  <c r="L102" i="60"/>
  <c r="Y140" i="60" s="1"/>
  <c r="K102" i="60"/>
  <c r="X140" i="60" s="1"/>
  <c r="G66" i="53"/>
  <c r="D18" i="53"/>
  <c r="D43" i="53"/>
  <c r="D22" i="53"/>
  <c r="D47" i="53"/>
  <c r="J102" i="63"/>
  <c r="W140" i="63" s="1"/>
  <c r="Q24" i="63"/>
  <c r="N76" i="67" s="1"/>
  <c r="J99" i="63"/>
  <c r="W137" i="63" s="1"/>
  <c r="Q21" i="63"/>
  <c r="N73" i="67" s="1"/>
  <c r="P21" i="61"/>
  <c r="U73" i="67" s="1"/>
  <c r="J99" i="61"/>
  <c r="W137" i="61" s="1"/>
  <c r="P19" i="61"/>
  <c r="U71" i="67" s="1"/>
  <c r="J97" i="61"/>
  <c r="W135" i="61" s="1"/>
  <c r="L100" i="35"/>
  <c r="Y138" i="35" s="1"/>
  <c r="K100" i="35"/>
  <c r="X138" i="35" s="1"/>
  <c r="M94" i="62"/>
  <c r="Y130" i="62" s="1"/>
  <c r="L94" i="62"/>
  <c r="X130" i="62" s="1"/>
  <c r="G68" i="53"/>
  <c r="L96" i="60"/>
  <c r="Y134" i="60" s="1"/>
  <c r="K96" i="60"/>
  <c r="X134" i="60" s="1"/>
  <c r="J100" i="63"/>
  <c r="W138" i="63" s="1"/>
  <c r="Q22" i="63"/>
  <c r="N74" i="67" s="1"/>
  <c r="P20" i="61"/>
  <c r="U72" i="67" s="1"/>
  <c r="J98" i="61"/>
  <c r="W136" i="61" s="1"/>
  <c r="P17" i="61"/>
  <c r="U69" i="67" s="1"/>
  <c r="J95" i="61"/>
  <c r="W133" i="61" s="1"/>
  <c r="K95" i="60"/>
  <c r="X133" i="60" s="1"/>
  <c r="L95" i="60"/>
  <c r="Y133" i="60" s="1"/>
  <c r="D23" i="53"/>
  <c r="D48" i="53"/>
  <c r="K100" i="60"/>
  <c r="X138" i="60" s="1"/>
  <c r="L100" i="60"/>
  <c r="Y138" i="60" s="1"/>
  <c r="D49" i="53"/>
  <c r="D24" i="53"/>
  <c r="J95" i="63"/>
  <c r="W133" i="63" s="1"/>
  <c r="Q17" i="63"/>
  <c r="N69" i="67" s="1"/>
  <c r="P16" i="61"/>
  <c r="U68" i="67" s="1"/>
  <c r="J94" i="61"/>
  <c r="W132" i="61" s="1"/>
  <c r="D19" i="53"/>
  <c r="D44" i="53"/>
  <c r="L101" i="35"/>
  <c r="Y139" i="35" s="1"/>
  <c r="K101" i="35"/>
  <c r="X139" i="35" s="1"/>
  <c r="G73" i="53"/>
  <c r="M102" i="62"/>
  <c r="Y138" i="62" s="1"/>
  <c r="L102" i="62"/>
  <c r="X138" i="62" s="1"/>
  <c r="L94" i="60"/>
  <c r="Y132" i="60" s="1"/>
  <c r="K94" i="60"/>
  <c r="X132" i="60" s="1"/>
  <c r="M98" i="62"/>
  <c r="Y134" i="62" s="1"/>
  <c r="L98" i="62"/>
  <c r="P22" i="61"/>
  <c r="U74" i="67" s="1"/>
  <c r="J100" i="61"/>
  <c r="W138" i="61" s="1"/>
  <c r="M93" i="62"/>
  <c r="Y129" i="62" s="1"/>
  <c r="L93" i="62"/>
  <c r="X129" i="62" s="1"/>
  <c r="D42" i="53"/>
  <c r="D17" i="53"/>
  <c r="AJ15" i="62"/>
  <c r="H15" i="62" s="1"/>
  <c r="H40" i="62" s="1"/>
  <c r="AJ14" i="62"/>
  <c r="H14" i="62" s="1"/>
  <c r="H39" i="62" s="1"/>
  <c r="AJ16" i="62"/>
  <c r="H16" i="62" s="1"/>
  <c r="H41" i="62" s="1"/>
  <c r="AJ12" i="62"/>
  <c r="H12" i="62" s="1"/>
  <c r="H37" i="62" s="1"/>
  <c r="AJ13" i="62"/>
  <c r="H13" i="62" s="1"/>
  <c r="H38" i="62" s="1"/>
  <c r="AI18" i="62"/>
  <c r="AJ17" i="62"/>
  <c r="H17" i="62" s="1"/>
  <c r="H42" i="62" s="1"/>
  <c r="P22" i="59"/>
  <c r="M74" i="67" s="1"/>
  <c r="J98" i="59"/>
  <c r="W136" i="59" s="1"/>
  <c r="P15" i="59"/>
  <c r="M67" i="67" s="1"/>
  <c r="J91" i="59"/>
  <c r="W129" i="59" s="1"/>
  <c r="P18" i="59"/>
  <c r="M70" i="67" s="1"/>
  <c r="J94" i="59"/>
  <c r="W132" i="59" s="1"/>
  <c r="P21" i="59"/>
  <c r="M73" i="67" s="1"/>
  <c r="J97" i="59"/>
  <c r="W135" i="59" s="1"/>
  <c r="P19" i="59"/>
  <c r="M71" i="67" s="1"/>
  <c r="J95" i="59"/>
  <c r="W133" i="59" s="1"/>
  <c r="P20" i="59"/>
  <c r="M72" i="67" s="1"/>
  <c r="J96" i="59"/>
  <c r="W134" i="59" s="1"/>
  <c r="P16" i="59"/>
  <c r="M68" i="67" s="1"/>
  <c r="J92" i="59"/>
  <c r="W130" i="59" s="1"/>
  <c r="P23" i="59"/>
  <c r="M75" i="67" s="1"/>
  <c r="J99" i="59"/>
  <c r="W137" i="59" s="1"/>
  <c r="P17" i="59"/>
  <c r="M69" i="67" s="1"/>
  <c r="J93" i="59"/>
  <c r="W131" i="59" s="1"/>
  <c r="P24" i="59"/>
  <c r="M76" i="67" s="1"/>
  <c r="J100" i="59"/>
  <c r="W138" i="59" s="1"/>
  <c r="L99" i="66"/>
  <c r="Y137" i="66" s="1"/>
  <c r="K99" i="66"/>
  <c r="X137" i="66" s="1"/>
  <c r="L93" i="66"/>
  <c r="Y131" i="66" s="1"/>
  <c r="K93" i="66"/>
  <c r="X131" i="66" s="1"/>
  <c r="L96" i="66"/>
  <c r="Y134" i="66" s="1"/>
  <c r="K96" i="66"/>
  <c r="X134" i="66" s="1"/>
  <c r="L95" i="66"/>
  <c r="Y133" i="66" s="1"/>
  <c r="K95" i="66"/>
  <c r="X133" i="66" s="1"/>
  <c r="L97" i="66"/>
  <c r="Y135" i="66" s="1"/>
  <c r="K97" i="66"/>
  <c r="X135" i="66" s="1"/>
  <c r="L102" i="66"/>
  <c r="Y140" i="66" s="1"/>
  <c r="K102" i="66"/>
  <c r="X140" i="66" s="1"/>
  <c r="L98" i="66"/>
  <c r="Y136" i="66" s="1"/>
  <c r="K98" i="66"/>
  <c r="X136" i="66" s="1"/>
  <c r="K94" i="66"/>
  <c r="X132" i="66" s="1"/>
  <c r="L94" i="66"/>
  <c r="Y132" i="66" s="1"/>
  <c r="K100" i="66"/>
  <c r="X138" i="66" s="1"/>
  <c r="L100" i="66"/>
  <c r="Y138" i="66" s="1"/>
  <c r="L101" i="66"/>
  <c r="Y139" i="66" s="1"/>
  <c r="K101" i="66"/>
  <c r="X139" i="66" s="1"/>
  <c r="K101" i="64"/>
  <c r="X139" i="64" s="1"/>
  <c r="L101" i="64"/>
  <c r="Y139" i="64" s="1"/>
  <c r="L94" i="64"/>
  <c r="Y132" i="64" s="1"/>
  <c r="K94" i="64"/>
  <c r="X132" i="64" s="1"/>
  <c r="L102" i="64"/>
  <c r="Y140" i="64" s="1"/>
  <c r="K102" i="64"/>
  <c r="X140" i="64" s="1"/>
  <c r="K105" i="64"/>
  <c r="X143" i="64" s="1"/>
  <c r="L105" i="64"/>
  <c r="Y143" i="64" s="1"/>
  <c r="L98" i="64"/>
  <c r="Y136" i="64" s="1"/>
  <c r="K98" i="64"/>
  <c r="X136" i="64" s="1"/>
  <c r="L100" i="64"/>
  <c r="Y138" i="64" s="1"/>
  <c r="K100" i="64"/>
  <c r="X138" i="64" s="1"/>
  <c r="L96" i="64"/>
  <c r="Y134" i="64" s="1"/>
  <c r="K96" i="64"/>
  <c r="X134" i="64" s="1"/>
  <c r="K103" i="64"/>
  <c r="X141" i="64" s="1"/>
  <c r="L103" i="64"/>
  <c r="Y141" i="64" s="1"/>
  <c r="K97" i="64"/>
  <c r="X135" i="64" s="1"/>
  <c r="L97" i="64"/>
  <c r="Y135" i="64" s="1"/>
  <c r="L104" i="64"/>
  <c r="Y142" i="64" s="1"/>
  <c r="K104" i="64"/>
  <c r="X142" i="64" s="1"/>
  <c r="R24" i="33"/>
  <c r="P75" i="67" s="1"/>
  <c r="J104" i="33"/>
  <c r="W139" i="33" s="1"/>
  <c r="R23" i="33"/>
  <c r="P74" i="67" s="1"/>
  <c r="J103" i="33"/>
  <c r="W138" i="33" s="1"/>
  <c r="R19" i="33"/>
  <c r="P70" i="67" s="1"/>
  <c r="J99" i="33"/>
  <c r="W134" i="33" s="1"/>
  <c r="R17" i="33"/>
  <c r="P68" i="67" s="1"/>
  <c r="J97" i="33"/>
  <c r="W132" i="33" s="1"/>
  <c r="R22" i="33"/>
  <c r="P73" i="67" s="1"/>
  <c r="J102" i="33"/>
  <c r="W137" i="33" s="1"/>
  <c r="R16" i="33"/>
  <c r="P67" i="67" s="1"/>
  <c r="J96" i="33"/>
  <c r="W131" i="33" s="1"/>
  <c r="R21" i="33"/>
  <c r="P72" i="67" s="1"/>
  <c r="J101" i="33"/>
  <c r="W136" i="33" s="1"/>
  <c r="R14" i="33"/>
  <c r="P65" i="67" s="1"/>
  <c r="J94" i="33"/>
  <c r="W129" i="33" s="1"/>
  <c r="G75" i="33"/>
  <c r="R17" i="58"/>
  <c r="L69" i="67" s="1"/>
  <c r="J93" i="58"/>
  <c r="W131" i="58" s="1"/>
  <c r="Q15" i="57"/>
  <c r="E67" i="67" s="1"/>
  <c r="J89" i="57"/>
  <c r="W127" i="57" s="1"/>
  <c r="Q23" i="57"/>
  <c r="E75" i="67" s="1"/>
  <c r="J97" i="57"/>
  <c r="W135" i="57" s="1"/>
  <c r="Q19" i="57"/>
  <c r="E71" i="67" s="1"/>
  <c r="J93" i="57"/>
  <c r="W131" i="57" s="1"/>
  <c r="K90" i="57"/>
  <c r="X128" i="57" s="1"/>
  <c r="L90" i="57"/>
  <c r="Y128" i="57" s="1"/>
  <c r="L94" i="57"/>
  <c r="Y132" i="57" s="1"/>
  <c r="K94" i="57"/>
  <c r="X132" i="57" s="1"/>
  <c r="L95" i="57"/>
  <c r="Y133" i="57" s="1"/>
  <c r="K95" i="57"/>
  <c r="X133" i="57" s="1"/>
  <c r="K96" i="57"/>
  <c r="X134" i="57" s="1"/>
  <c r="L96" i="57"/>
  <c r="Y134" i="57" s="1"/>
  <c r="K98" i="57"/>
  <c r="X136" i="57" s="1"/>
  <c r="L98" i="57"/>
  <c r="Y136" i="57" s="1"/>
  <c r="L91" i="57"/>
  <c r="Y129" i="57" s="1"/>
  <c r="K91" i="57"/>
  <c r="X129" i="57" s="1"/>
  <c r="L92" i="57"/>
  <c r="Y130" i="57" s="1"/>
  <c r="K92" i="57"/>
  <c r="X130" i="57" s="1"/>
  <c r="Q15" i="55"/>
  <c r="D67" i="67" s="1"/>
  <c r="J91" i="55"/>
  <c r="X128" i="55" s="1"/>
  <c r="L98" i="55"/>
  <c r="Z135" i="55" s="1"/>
  <c r="K98" i="55"/>
  <c r="Y135" i="55" s="1"/>
  <c r="K92" i="55"/>
  <c r="Y129" i="55" s="1"/>
  <c r="L92" i="55"/>
  <c r="Z129" i="55" s="1"/>
  <c r="L94" i="55"/>
  <c r="Z131" i="55" s="1"/>
  <c r="K94" i="55"/>
  <c r="Y131" i="55" s="1"/>
  <c r="Q19" i="55"/>
  <c r="D71" i="67" s="1"/>
  <c r="J95" i="55"/>
  <c r="X132" i="55" s="1"/>
  <c r="K96" i="55"/>
  <c r="Y133" i="55" s="1"/>
  <c r="L96" i="55"/>
  <c r="Z133" i="55" s="1"/>
  <c r="Q17" i="55"/>
  <c r="D69" i="67" s="1"/>
  <c r="J93" i="55"/>
  <c r="X130" i="55" s="1"/>
  <c r="L99" i="55"/>
  <c r="Z136" i="55" s="1"/>
  <c r="K99" i="55"/>
  <c r="Y136" i="55" s="1"/>
  <c r="K100" i="55"/>
  <c r="Y137" i="55" s="1"/>
  <c r="L100" i="55"/>
  <c r="Z137" i="55" s="1"/>
  <c r="L92" i="52"/>
  <c r="Y128" i="52" s="1"/>
  <c r="K92" i="52"/>
  <c r="X128" i="52" s="1"/>
  <c r="K93" i="52"/>
  <c r="X129" i="52" s="1"/>
  <c r="L93" i="52"/>
  <c r="Y129" i="52" s="1"/>
  <c r="L98" i="52"/>
  <c r="Y134" i="52" s="1"/>
  <c r="K98" i="52"/>
  <c r="X134" i="52" s="1"/>
  <c r="L100" i="52"/>
  <c r="Y136" i="52" s="1"/>
  <c r="K100" i="52"/>
  <c r="X136" i="52" s="1"/>
  <c r="L101" i="52"/>
  <c r="Y137" i="52" s="1"/>
  <c r="K101" i="52"/>
  <c r="X137" i="52" s="1"/>
  <c r="L91" i="52"/>
  <c r="Y127" i="52" s="1"/>
  <c r="K91" i="52"/>
  <c r="X127" i="52" s="1"/>
  <c r="L94" i="52"/>
  <c r="Y130" i="52" s="1"/>
  <c r="K94" i="52"/>
  <c r="X130" i="52" s="1"/>
  <c r="L102" i="52"/>
  <c r="Y138" i="52" s="1"/>
  <c r="K102" i="52"/>
  <c r="X138" i="52" s="1"/>
  <c r="L99" i="52"/>
  <c r="Y135" i="52" s="1"/>
  <c r="K99" i="52"/>
  <c r="X135" i="52" s="1"/>
  <c r="L95" i="52"/>
  <c r="Y131" i="52" s="1"/>
  <c r="K95" i="52"/>
  <c r="X131" i="52" s="1"/>
  <c r="L96" i="52"/>
  <c r="Y132" i="52" s="1"/>
  <c r="K96" i="52"/>
  <c r="X132" i="52" s="1"/>
  <c r="L97" i="52"/>
  <c r="Y133" i="52" s="1"/>
  <c r="K97" i="52"/>
  <c r="X133" i="52" s="1"/>
  <c r="M96" i="51"/>
  <c r="Y132" i="51" s="1"/>
  <c r="L96" i="51"/>
  <c r="X132" i="51" s="1"/>
  <c r="M91" i="51"/>
  <c r="Y127" i="51" s="1"/>
  <c r="L91" i="51"/>
  <c r="X127" i="51" s="1"/>
  <c r="L94" i="51"/>
  <c r="X130" i="51" s="1"/>
  <c r="M94" i="51"/>
  <c r="Y130" i="51" s="1"/>
  <c r="M93" i="51"/>
  <c r="Y129" i="51" s="1"/>
  <c r="L93" i="51"/>
  <c r="X129" i="51" s="1"/>
  <c r="L97" i="51"/>
  <c r="X133" i="51" s="1"/>
  <c r="M97" i="51"/>
  <c r="Y133" i="51" s="1"/>
  <c r="L101" i="51"/>
  <c r="X137" i="51" s="1"/>
  <c r="M101" i="51"/>
  <c r="Y137" i="51" s="1"/>
  <c r="M95" i="51"/>
  <c r="Y131" i="51" s="1"/>
  <c r="L95" i="51"/>
  <c r="X131" i="51" s="1"/>
  <c r="M90" i="51"/>
  <c r="Y126" i="51" s="1"/>
  <c r="L90" i="51"/>
  <c r="X126" i="51" s="1"/>
  <c r="M99" i="51"/>
  <c r="Y135" i="51" s="1"/>
  <c r="L99" i="51"/>
  <c r="X135" i="51" s="1"/>
  <c r="M92" i="51"/>
  <c r="Y128" i="51" s="1"/>
  <c r="L92" i="51"/>
  <c r="X128" i="51" s="1"/>
  <c r="M100" i="51"/>
  <c r="Y136" i="51" s="1"/>
  <c r="L100" i="51"/>
  <c r="X136" i="51" s="1"/>
  <c r="M98" i="51"/>
  <c r="Y134" i="51" s="1"/>
  <c r="L98" i="51"/>
  <c r="X134" i="51" s="1"/>
  <c r="Q22" i="54"/>
  <c r="G74" i="67" s="1"/>
  <c r="J96" i="54"/>
  <c r="W133" i="54" s="1"/>
  <c r="Q21" i="54"/>
  <c r="G73" i="67" s="1"/>
  <c r="J95" i="54"/>
  <c r="W132" i="54" s="1"/>
  <c r="J91" i="54"/>
  <c r="W128" i="54" s="1"/>
  <c r="Q15" i="54"/>
  <c r="G67" i="67" s="1"/>
  <c r="J89" i="54"/>
  <c r="W126" i="54" s="1"/>
  <c r="G68" i="54"/>
  <c r="Q23" i="54"/>
  <c r="G75" i="67" s="1"/>
  <c r="J97" i="54"/>
  <c r="W134" i="54" s="1"/>
  <c r="Q19" i="54"/>
  <c r="G71" i="67" s="1"/>
  <c r="J93" i="54"/>
  <c r="W130" i="54" s="1"/>
  <c r="Q16" i="54"/>
  <c r="G68" i="67" s="1"/>
  <c r="J90" i="54"/>
  <c r="W127" i="54" s="1"/>
  <c r="R16" i="50"/>
  <c r="V68" i="67" s="1"/>
  <c r="J91" i="50"/>
  <c r="V129" i="50" s="1"/>
  <c r="L98" i="50"/>
  <c r="X136" i="50" s="1"/>
  <c r="K98" i="50"/>
  <c r="W136" i="50" s="1"/>
  <c r="R24" i="50"/>
  <c r="V76" i="67" s="1"/>
  <c r="J99" i="50"/>
  <c r="V137" i="50" s="1"/>
  <c r="R17" i="50"/>
  <c r="V69" i="67" s="1"/>
  <c r="J92" i="50"/>
  <c r="V130" i="50" s="1"/>
  <c r="L88" i="50"/>
  <c r="X126" i="50" s="1"/>
  <c r="K88" i="50"/>
  <c r="W126" i="50" s="1"/>
  <c r="R18" i="50"/>
  <c r="V70" i="67" s="1"/>
  <c r="J93" i="50"/>
  <c r="V131" i="50" s="1"/>
  <c r="R20" i="50"/>
  <c r="V72" i="67" s="1"/>
  <c r="J95" i="50"/>
  <c r="V133" i="50" s="1"/>
  <c r="R14" i="50"/>
  <c r="V66" i="67" s="1"/>
  <c r="J89" i="50"/>
  <c r="V127" i="50" s="1"/>
  <c r="K96" i="50"/>
  <c r="W134" i="50" s="1"/>
  <c r="L96" i="50"/>
  <c r="X134" i="50" s="1"/>
  <c r="R19" i="50"/>
  <c r="V71" i="67" s="1"/>
  <c r="J94" i="50"/>
  <c r="V132" i="50" s="1"/>
  <c r="R22" i="50"/>
  <c r="V74" i="67" s="1"/>
  <c r="J97" i="50"/>
  <c r="V135" i="50" s="1"/>
  <c r="L90" i="50"/>
  <c r="X128" i="50" s="1"/>
  <c r="K90" i="50"/>
  <c r="W128" i="50" s="1"/>
  <c r="AD17" i="49"/>
  <c r="R68" i="67" s="1"/>
  <c r="J89" i="49"/>
  <c r="AD20" i="49"/>
  <c r="R71" i="67" s="1"/>
  <c r="J92" i="49"/>
  <c r="AD14" i="49"/>
  <c r="R65" i="67" s="1"/>
  <c r="J86" i="49"/>
  <c r="AD23" i="49"/>
  <c r="R74" i="67" s="1"/>
  <c r="J95" i="49"/>
  <c r="AD21" i="49"/>
  <c r="R72" i="67" s="1"/>
  <c r="J93" i="49"/>
  <c r="AD15" i="49"/>
  <c r="R66" i="67" s="1"/>
  <c r="J87" i="49"/>
  <c r="AD24" i="49"/>
  <c r="R75" i="67" s="1"/>
  <c r="J96" i="49"/>
  <c r="AD19" i="49"/>
  <c r="R70" i="67" s="1"/>
  <c r="J91" i="49"/>
  <c r="AD16" i="49"/>
  <c r="R67" i="67" s="1"/>
  <c r="J88" i="49"/>
  <c r="L94" i="49"/>
  <c r="K94" i="49"/>
  <c r="G70" i="33"/>
  <c r="G68" i="33"/>
  <c r="G74" i="54"/>
  <c r="G70" i="54"/>
  <c r="D42" i="54"/>
  <c r="D49" i="54"/>
  <c r="D43" i="54"/>
  <c r="D44" i="54"/>
  <c r="K22" i="50"/>
  <c r="M22" i="50" s="1"/>
  <c r="E97" i="50" s="1"/>
  <c r="S135" i="50" s="1"/>
  <c r="K49" i="50"/>
  <c r="M49" i="50" s="1"/>
  <c r="I43" i="49"/>
  <c r="I173" i="49" s="1"/>
  <c r="H44" i="61"/>
  <c r="H45" i="61"/>
  <c r="I47" i="49"/>
  <c r="I177" i="49" s="1"/>
  <c r="H47" i="61"/>
  <c r="I49" i="49"/>
  <c r="I179" i="49" s="1"/>
  <c r="H46" i="61"/>
  <c r="I46" i="49"/>
  <c r="I176" i="49" s="1"/>
  <c r="I44" i="49"/>
  <c r="I174" i="49" s="1"/>
  <c r="I48" i="49"/>
  <c r="I178" i="49" s="1"/>
  <c r="H49" i="61"/>
  <c r="H43" i="61"/>
  <c r="I50" i="49"/>
  <c r="I180" i="49" s="1"/>
  <c r="H48" i="61"/>
  <c r="I45" i="49"/>
  <c r="I175" i="49" s="1"/>
  <c r="H42" i="61"/>
  <c r="G65" i="33"/>
  <c r="I66" i="65"/>
  <c r="H74" i="65"/>
  <c r="I74" i="65" s="1"/>
  <c r="H72" i="65"/>
  <c r="I72" i="65" s="1"/>
  <c r="H71" i="65"/>
  <c r="I71" i="65" s="1"/>
  <c r="G64" i="65"/>
  <c r="I64" i="65" s="1"/>
  <c r="G63" i="65"/>
  <c r="I63" i="65" s="1"/>
  <c r="H73" i="65"/>
  <c r="I73" i="65" s="1"/>
  <c r="G70" i="65"/>
  <c r="I70" i="65" s="1"/>
  <c r="G68" i="65"/>
  <c r="I68" i="65" s="1"/>
  <c r="G65" i="65"/>
  <c r="I65" i="65" s="1"/>
  <c r="H69" i="65"/>
  <c r="I69" i="65" s="1"/>
  <c r="G68" i="58"/>
  <c r="G71" i="58"/>
  <c r="G69" i="58"/>
  <c r="G72" i="58"/>
  <c r="G65" i="58"/>
  <c r="G66" i="58"/>
  <c r="G74" i="58"/>
  <c r="G73" i="58"/>
  <c r="G70" i="58"/>
  <c r="L101" i="61" l="1"/>
  <c r="Y139" i="61" s="1"/>
  <c r="L97" i="55"/>
  <c r="Z134" i="55" s="1"/>
  <c r="K97" i="55"/>
  <c r="Y134" i="55" s="1"/>
  <c r="X134" i="62"/>
  <c r="J95" i="98"/>
  <c r="W131" i="98" s="1"/>
  <c r="L90" i="49"/>
  <c r="Q17" i="53"/>
  <c r="H69" i="67" s="1"/>
  <c r="R21" i="98"/>
  <c r="F73" i="67" s="1"/>
  <c r="J96" i="53"/>
  <c r="R19" i="98"/>
  <c r="F71" i="67" s="1"/>
  <c r="L98" i="49"/>
  <c r="J99" i="49"/>
  <c r="K99" i="49" s="1"/>
  <c r="K97" i="49"/>
  <c r="R16" i="98"/>
  <c r="F68" i="67" s="1"/>
  <c r="R14" i="98"/>
  <c r="F66" i="67" s="1"/>
  <c r="L97" i="49"/>
  <c r="Q22" i="53"/>
  <c r="H74" i="67" s="1"/>
  <c r="R24" i="98"/>
  <c r="F76" i="67" s="1"/>
  <c r="Q21" i="53"/>
  <c r="H73" i="67" s="1"/>
  <c r="R17" i="98"/>
  <c r="F69" i="67" s="1"/>
  <c r="R18" i="98"/>
  <c r="F70" i="67" s="1"/>
  <c r="Q19" i="53"/>
  <c r="H71" i="67" s="1"/>
  <c r="R20" i="98"/>
  <c r="F72" i="67" s="1"/>
  <c r="R13" i="98"/>
  <c r="F65" i="67" s="1"/>
  <c r="L98" i="61"/>
  <c r="Y136" i="61" s="1"/>
  <c r="K98" i="61"/>
  <c r="X136" i="61" s="1"/>
  <c r="J94" i="53"/>
  <c r="W130" i="53" s="1"/>
  <c r="Q18" i="53"/>
  <c r="H70" i="67" s="1"/>
  <c r="J94" i="65"/>
  <c r="W132" i="65" s="1"/>
  <c r="R13" i="65"/>
  <c r="O65" i="67" s="1"/>
  <c r="L100" i="61"/>
  <c r="Y138" i="61" s="1"/>
  <c r="K100" i="61"/>
  <c r="X138" i="61" s="1"/>
  <c r="J99" i="53"/>
  <c r="W135" i="53" s="1"/>
  <c r="Q23" i="53"/>
  <c r="H75" i="67" s="1"/>
  <c r="L94" i="61"/>
  <c r="Y132" i="61" s="1"/>
  <c r="K94" i="61"/>
  <c r="L98" i="63"/>
  <c r="Y136" i="63" s="1"/>
  <c r="K98" i="63"/>
  <c r="X136" i="63" s="1"/>
  <c r="K93" i="53"/>
  <c r="X129" i="53" s="1"/>
  <c r="L93" i="53"/>
  <c r="Y129" i="53" s="1"/>
  <c r="L100" i="53"/>
  <c r="Y136" i="53" s="1"/>
  <c r="K100" i="53"/>
  <c r="L95" i="53"/>
  <c r="Y131" i="53" s="1"/>
  <c r="K95" i="53"/>
  <c r="X131" i="53" s="1"/>
  <c r="L97" i="98"/>
  <c r="Y133" i="98" s="1"/>
  <c r="K97" i="98"/>
  <c r="X133" i="98" s="1"/>
  <c r="L99" i="63"/>
  <c r="Y137" i="63" s="1"/>
  <c r="K99" i="63"/>
  <c r="X137" i="63" s="1"/>
  <c r="L102" i="61"/>
  <c r="Y140" i="61" s="1"/>
  <c r="K102" i="61"/>
  <c r="K101" i="63"/>
  <c r="X139" i="63" s="1"/>
  <c r="L101" i="63"/>
  <c r="Y139" i="63" s="1"/>
  <c r="L96" i="53"/>
  <c r="Y132" i="53" s="1"/>
  <c r="J104" i="65"/>
  <c r="W142" i="65" s="1"/>
  <c r="R23" i="65"/>
  <c r="O75" i="67" s="1"/>
  <c r="K91" i="98"/>
  <c r="X127" i="98" s="1"/>
  <c r="L91" i="98"/>
  <c r="Y127" i="98" s="1"/>
  <c r="J102" i="65"/>
  <c r="W140" i="65" s="1"/>
  <c r="R21" i="65"/>
  <c r="O73" i="67" s="1"/>
  <c r="K100" i="63"/>
  <c r="X138" i="63" s="1"/>
  <c r="L100" i="63"/>
  <c r="Y138" i="63" s="1"/>
  <c r="J92" i="53"/>
  <c r="W128" i="53" s="1"/>
  <c r="Q16" i="53"/>
  <c r="H68" i="67" s="1"/>
  <c r="L94" i="98"/>
  <c r="Y130" i="98" s="1"/>
  <c r="K94" i="98"/>
  <c r="X130" i="98" s="1"/>
  <c r="L89" i="98"/>
  <c r="Y125" i="98" s="1"/>
  <c r="K89" i="98"/>
  <c r="X125" i="98" s="1"/>
  <c r="M99" i="62"/>
  <c r="Y135" i="62" s="1"/>
  <c r="L99" i="62"/>
  <c r="X135" i="62" s="1"/>
  <c r="K86" i="98"/>
  <c r="X122" i="98" s="1"/>
  <c r="L86" i="98"/>
  <c r="Y122" i="98" s="1"/>
  <c r="J100" i="65"/>
  <c r="W138" i="65" s="1"/>
  <c r="R19" i="65"/>
  <c r="O71" i="67" s="1"/>
  <c r="K95" i="63"/>
  <c r="X133" i="63" s="1"/>
  <c r="L95" i="63"/>
  <c r="Y133" i="63" s="1"/>
  <c r="L96" i="61"/>
  <c r="Y134" i="61" s="1"/>
  <c r="K96" i="61"/>
  <c r="X134" i="61" s="1"/>
  <c r="K94" i="63"/>
  <c r="X132" i="63" s="1"/>
  <c r="L94" i="63"/>
  <c r="Y132" i="63" s="1"/>
  <c r="K95" i="98"/>
  <c r="X131" i="98" s="1"/>
  <c r="L95" i="98"/>
  <c r="Y131" i="98" s="1"/>
  <c r="J96" i="65"/>
  <c r="W134" i="65" s="1"/>
  <c r="R15" i="65"/>
  <c r="O67" i="67" s="1"/>
  <c r="J103" i="65"/>
  <c r="W141" i="65" s="1"/>
  <c r="R22" i="65"/>
  <c r="O74" i="67" s="1"/>
  <c r="J98" i="65"/>
  <c r="W136" i="65" s="1"/>
  <c r="R17" i="65"/>
  <c r="O69" i="67" s="1"/>
  <c r="L97" i="61"/>
  <c r="Y135" i="61" s="1"/>
  <c r="K97" i="61"/>
  <c r="X135" i="61" s="1"/>
  <c r="L102" i="63"/>
  <c r="Y140" i="63" s="1"/>
  <c r="K102" i="63"/>
  <c r="X140" i="63" s="1"/>
  <c r="L90" i="98"/>
  <c r="Y126" i="98" s="1"/>
  <c r="K90" i="98"/>
  <c r="X126" i="98" s="1"/>
  <c r="L93" i="63"/>
  <c r="Y131" i="63" s="1"/>
  <c r="K93" i="63"/>
  <c r="X131" i="63" s="1"/>
  <c r="K97" i="53"/>
  <c r="X133" i="53" s="1"/>
  <c r="L97" i="53"/>
  <c r="Y133" i="53" s="1"/>
  <c r="K98" i="53"/>
  <c r="X134" i="53" s="1"/>
  <c r="L98" i="53"/>
  <c r="Y134" i="53" s="1"/>
  <c r="K88" i="98"/>
  <c r="X124" i="98" s="1"/>
  <c r="L88" i="98"/>
  <c r="Y124" i="98" s="1"/>
  <c r="L93" i="98"/>
  <c r="Y129" i="98" s="1"/>
  <c r="K93" i="98"/>
  <c r="X129" i="98" s="1"/>
  <c r="J95" i="65"/>
  <c r="W133" i="65" s="1"/>
  <c r="R14" i="65"/>
  <c r="O66" i="67" s="1"/>
  <c r="J99" i="65"/>
  <c r="W137" i="65" s="1"/>
  <c r="R18" i="65"/>
  <c r="O70" i="67" s="1"/>
  <c r="J105" i="65"/>
  <c r="W143" i="65" s="1"/>
  <c r="R24" i="65"/>
  <c r="O76" i="67" s="1"/>
  <c r="L95" i="61"/>
  <c r="Y133" i="61" s="1"/>
  <c r="K95" i="61"/>
  <c r="X133" i="61" s="1"/>
  <c r="J91" i="53"/>
  <c r="W127" i="53" s="1"/>
  <c r="Q15" i="53"/>
  <c r="H67" i="67" s="1"/>
  <c r="L93" i="61"/>
  <c r="Y131" i="61" s="1"/>
  <c r="K93" i="61"/>
  <c r="X131" i="61" s="1"/>
  <c r="L96" i="63"/>
  <c r="Y134" i="63" s="1"/>
  <c r="K96" i="63"/>
  <c r="X134" i="63" s="1"/>
  <c r="J101" i="65"/>
  <c r="W139" i="65" s="1"/>
  <c r="R20" i="65"/>
  <c r="O72" i="67" s="1"/>
  <c r="J97" i="65"/>
  <c r="W135" i="65" s="1"/>
  <c r="R16" i="65"/>
  <c r="O68" i="67" s="1"/>
  <c r="L99" i="61"/>
  <c r="Y137" i="61" s="1"/>
  <c r="K99" i="61"/>
  <c r="X137" i="61" s="1"/>
  <c r="M96" i="62"/>
  <c r="Y132" i="62" s="1"/>
  <c r="L96" i="62"/>
  <c r="X132" i="62" s="1"/>
  <c r="L100" i="62"/>
  <c r="X136" i="62" s="1"/>
  <c r="M100" i="62"/>
  <c r="K97" i="63"/>
  <c r="X135" i="63" s="1"/>
  <c r="L97" i="63"/>
  <c r="Y135" i="63" s="1"/>
  <c r="L92" i="98"/>
  <c r="Y128" i="98" s="1"/>
  <c r="K92" i="98"/>
  <c r="X128" i="98" s="1"/>
  <c r="L95" i="62"/>
  <c r="X131" i="62" s="1"/>
  <c r="M95" i="62"/>
  <c r="Y131" i="62" s="1"/>
  <c r="K87" i="98"/>
  <c r="X123" i="98" s="1"/>
  <c r="L87" i="98"/>
  <c r="Y123" i="98" s="1"/>
  <c r="K96" i="98"/>
  <c r="X132" i="98" s="1"/>
  <c r="L96" i="98"/>
  <c r="Y132" i="98" s="1"/>
  <c r="AI19" i="62"/>
  <c r="AJ18" i="62"/>
  <c r="H18" i="62" s="1"/>
  <c r="L97" i="59"/>
  <c r="Y135" i="59" s="1"/>
  <c r="K97" i="59"/>
  <c r="X135" i="59" s="1"/>
  <c r="K94" i="59"/>
  <c r="X132" i="59" s="1"/>
  <c r="L94" i="59"/>
  <c r="Y132" i="59" s="1"/>
  <c r="K91" i="59"/>
  <c r="X129" i="59" s="1"/>
  <c r="L91" i="59"/>
  <c r="Y129" i="59" s="1"/>
  <c r="L92" i="59"/>
  <c r="Y130" i="59" s="1"/>
  <c r="K92" i="59"/>
  <c r="X130" i="59" s="1"/>
  <c r="L93" i="59"/>
  <c r="Y131" i="59" s="1"/>
  <c r="K93" i="59"/>
  <c r="X131" i="59" s="1"/>
  <c r="L96" i="59"/>
  <c r="Y134" i="59" s="1"/>
  <c r="K96" i="59"/>
  <c r="L95" i="59"/>
  <c r="Y133" i="59" s="1"/>
  <c r="K95" i="59"/>
  <c r="K98" i="59"/>
  <c r="X136" i="59" s="1"/>
  <c r="L98" i="59"/>
  <c r="Y136" i="59" s="1"/>
  <c r="L100" i="59"/>
  <c r="Y138" i="59" s="1"/>
  <c r="K100" i="59"/>
  <c r="X138" i="59" s="1"/>
  <c r="L99" i="59"/>
  <c r="Y137" i="59" s="1"/>
  <c r="K99" i="59"/>
  <c r="K101" i="33"/>
  <c r="X136" i="33" s="1"/>
  <c r="L101" i="33"/>
  <c r="Y136" i="33" s="1"/>
  <c r="R15" i="33"/>
  <c r="P66" i="67" s="1"/>
  <c r="J95" i="33"/>
  <c r="W130" i="33" s="1"/>
  <c r="L96" i="33"/>
  <c r="Y131" i="33" s="1"/>
  <c r="K96" i="33"/>
  <c r="X131" i="33" s="1"/>
  <c r="R20" i="33"/>
  <c r="P71" i="67" s="1"/>
  <c r="J100" i="33"/>
  <c r="W135" i="33" s="1"/>
  <c r="L102" i="33"/>
  <c r="Y137" i="33" s="1"/>
  <c r="K102" i="33"/>
  <c r="X137" i="33" s="1"/>
  <c r="K97" i="33"/>
  <c r="X132" i="33" s="1"/>
  <c r="L97" i="33"/>
  <c r="Y132" i="33" s="1"/>
  <c r="R25" i="33"/>
  <c r="P76" i="67" s="1"/>
  <c r="J105" i="33"/>
  <c r="W140" i="33" s="1"/>
  <c r="R18" i="33"/>
  <c r="P69" i="67" s="1"/>
  <c r="J98" i="33"/>
  <c r="W133" i="33" s="1"/>
  <c r="L94" i="33"/>
  <c r="Y129" i="33" s="1"/>
  <c r="K94" i="33"/>
  <c r="X129" i="33" s="1"/>
  <c r="K99" i="33"/>
  <c r="X134" i="33" s="1"/>
  <c r="L99" i="33"/>
  <c r="Y134" i="33" s="1"/>
  <c r="K103" i="33"/>
  <c r="X138" i="33" s="1"/>
  <c r="L103" i="33"/>
  <c r="Y138" i="33" s="1"/>
  <c r="L104" i="33"/>
  <c r="Y139" i="33" s="1"/>
  <c r="K104" i="33"/>
  <c r="X139" i="33" s="1"/>
  <c r="R22" i="58"/>
  <c r="L74" i="67" s="1"/>
  <c r="J98" i="58"/>
  <c r="W136" i="58" s="1"/>
  <c r="R19" i="58"/>
  <c r="L71" i="67" s="1"/>
  <c r="J95" i="58"/>
  <c r="W133" i="58" s="1"/>
  <c r="R20" i="58"/>
  <c r="L72" i="67" s="1"/>
  <c r="J96" i="58"/>
  <c r="W134" i="58" s="1"/>
  <c r="R18" i="58"/>
  <c r="L70" i="67" s="1"/>
  <c r="J94" i="58"/>
  <c r="W132" i="58" s="1"/>
  <c r="L93" i="58"/>
  <c r="Y131" i="58" s="1"/>
  <c r="K93" i="58"/>
  <c r="X131" i="58" s="1"/>
  <c r="R24" i="58"/>
  <c r="L76" i="67" s="1"/>
  <c r="J100" i="58"/>
  <c r="W138" i="58" s="1"/>
  <c r="R21" i="58"/>
  <c r="L73" i="67" s="1"/>
  <c r="J97" i="58"/>
  <c r="W135" i="58" s="1"/>
  <c r="R16" i="58"/>
  <c r="L68" i="67" s="1"/>
  <c r="J92" i="58"/>
  <c r="W130" i="58" s="1"/>
  <c r="R23" i="58"/>
  <c r="L75" i="67" s="1"/>
  <c r="J99" i="58"/>
  <c r="W137" i="58" s="1"/>
  <c r="R15" i="58"/>
  <c r="L67" i="67" s="1"/>
  <c r="J91" i="58"/>
  <c r="W129" i="58" s="1"/>
  <c r="L93" i="57"/>
  <c r="Y131" i="57" s="1"/>
  <c r="K93" i="57"/>
  <c r="X131" i="57" s="1"/>
  <c r="L97" i="57"/>
  <c r="Y135" i="57" s="1"/>
  <c r="K97" i="57"/>
  <c r="X135" i="57" s="1"/>
  <c r="K89" i="57"/>
  <c r="X127" i="57" s="1"/>
  <c r="L89" i="57"/>
  <c r="Y127" i="57" s="1"/>
  <c r="L95" i="55"/>
  <c r="Z132" i="55" s="1"/>
  <c r="K95" i="55"/>
  <c r="Y132" i="55" s="1"/>
  <c r="L93" i="55"/>
  <c r="Z130" i="55" s="1"/>
  <c r="K93" i="55"/>
  <c r="Y130" i="55" s="1"/>
  <c r="K91" i="55"/>
  <c r="Y128" i="55" s="1"/>
  <c r="L91" i="55"/>
  <c r="Z128" i="55" s="1"/>
  <c r="L93" i="54"/>
  <c r="Y130" i="54" s="1"/>
  <c r="K93" i="54"/>
  <c r="X130" i="54" s="1"/>
  <c r="L91" i="54"/>
  <c r="Y128" i="54" s="1"/>
  <c r="K91" i="54"/>
  <c r="X128" i="54" s="1"/>
  <c r="L97" i="54"/>
  <c r="Y134" i="54" s="1"/>
  <c r="K97" i="54"/>
  <c r="X134" i="54" s="1"/>
  <c r="L95" i="54"/>
  <c r="Y132" i="54" s="1"/>
  <c r="K95" i="54"/>
  <c r="Q18" i="54"/>
  <c r="G70" i="67" s="1"/>
  <c r="J92" i="54"/>
  <c r="W129" i="54" s="1"/>
  <c r="Q20" i="54"/>
  <c r="G72" i="67" s="1"/>
  <c r="J94" i="54"/>
  <c r="W131" i="54" s="1"/>
  <c r="L89" i="54"/>
  <c r="Y126" i="54" s="1"/>
  <c r="K89" i="54"/>
  <c r="X126" i="54" s="1"/>
  <c r="L96" i="54"/>
  <c r="Y133" i="54" s="1"/>
  <c r="K96" i="54"/>
  <c r="X133" i="54" s="1"/>
  <c r="Q24" i="54"/>
  <c r="G76" i="67" s="1"/>
  <c r="J98" i="54"/>
  <c r="W135" i="54" s="1"/>
  <c r="L90" i="54"/>
  <c r="Y127" i="54" s="1"/>
  <c r="K90" i="54"/>
  <c r="X127" i="54" s="1"/>
  <c r="L89" i="50"/>
  <c r="X127" i="50" s="1"/>
  <c r="K89" i="50"/>
  <c r="W127" i="50" s="1"/>
  <c r="L92" i="50"/>
  <c r="X130" i="50" s="1"/>
  <c r="K92" i="50"/>
  <c r="W130" i="50" s="1"/>
  <c r="K97" i="50"/>
  <c r="W135" i="50" s="1"/>
  <c r="L97" i="50"/>
  <c r="X135" i="50" s="1"/>
  <c r="L95" i="50"/>
  <c r="X133" i="50" s="1"/>
  <c r="K95" i="50"/>
  <c r="W133" i="50" s="1"/>
  <c r="L99" i="50"/>
  <c r="X137" i="50" s="1"/>
  <c r="K99" i="50"/>
  <c r="W137" i="50" s="1"/>
  <c r="L94" i="50"/>
  <c r="X132" i="50" s="1"/>
  <c r="K94" i="50"/>
  <c r="W132" i="50" s="1"/>
  <c r="K93" i="50"/>
  <c r="W131" i="50" s="1"/>
  <c r="L93" i="50"/>
  <c r="X131" i="50" s="1"/>
  <c r="L91" i="50"/>
  <c r="X129" i="50" s="1"/>
  <c r="K91" i="50"/>
  <c r="W129" i="50" s="1"/>
  <c r="L87" i="49"/>
  <c r="K87" i="49"/>
  <c r="L86" i="49"/>
  <c r="K86" i="49"/>
  <c r="K93" i="49"/>
  <c r="L93" i="49"/>
  <c r="L96" i="49"/>
  <c r="K96" i="49"/>
  <c r="L92" i="49"/>
  <c r="K92" i="49"/>
  <c r="L88" i="49"/>
  <c r="K88" i="49"/>
  <c r="L89" i="49"/>
  <c r="K89" i="49"/>
  <c r="K91" i="49"/>
  <c r="L91" i="49"/>
  <c r="L95" i="49"/>
  <c r="K95" i="49"/>
  <c r="D41" i="54"/>
  <c r="K23" i="50"/>
  <c r="M23" i="50" s="1"/>
  <c r="E98" i="50" s="1"/>
  <c r="S136" i="50" s="1"/>
  <c r="K24" i="50"/>
  <c r="M24" i="50" s="1"/>
  <c r="E99" i="50" s="1"/>
  <c r="S137" i="50" s="1"/>
  <c r="X137" i="59" l="1"/>
  <c r="X140" i="61"/>
  <c r="X132" i="61"/>
  <c r="X132" i="54"/>
  <c r="Y136" i="62"/>
  <c r="X134" i="59"/>
  <c r="X133" i="59"/>
  <c r="K96" i="53"/>
  <c r="X132" i="53" s="1"/>
  <c r="W132" i="53"/>
  <c r="X136" i="53"/>
  <c r="L99" i="49"/>
  <c r="J100" i="49"/>
  <c r="L100" i="49" s="1"/>
  <c r="K105" i="65"/>
  <c r="X143" i="65" s="1"/>
  <c r="L105" i="65"/>
  <c r="Y143" i="65" s="1"/>
  <c r="K103" i="65"/>
  <c r="X141" i="65" s="1"/>
  <c r="L103" i="65"/>
  <c r="Y141" i="65" s="1"/>
  <c r="L99" i="65"/>
  <c r="Y137" i="65" s="1"/>
  <c r="K99" i="65"/>
  <c r="X137" i="65" s="1"/>
  <c r="K97" i="65"/>
  <c r="X135" i="65" s="1"/>
  <c r="L97" i="65"/>
  <c r="Y135" i="65" s="1"/>
  <c r="L91" i="53"/>
  <c r="Y127" i="53" s="1"/>
  <c r="K91" i="53"/>
  <c r="X127" i="53" s="1"/>
  <c r="L96" i="65"/>
  <c r="Y134" i="65" s="1"/>
  <c r="K96" i="65"/>
  <c r="X134" i="65" s="1"/>
  <c r="L102" i="65"/>
  <c r="Y140" i="65" s="1"/>
  <c r="K102" i="65"/>
  <c r="X140" i="65" s="1"/>
  <c r="L94" i="65"/>
  <c r="Y132" i="65" s="1"/>
  <c r="K94" i="65"/>
  <c r="K95" i="65"/>
  <c r="X133" i="65" s="1"/>
  <c r="L95" i="65"/>
  <c r="Y133" i="65" s="1"/>
  <c r="L100" i="65"/>
  <c r="Y138" i="65" s="1"/>
  <c r="K100" i="65"/>
  <c r="X138" i="65" s="1"/>
  <c r="K101" i="65"/>
  <c r="X139" i="65" s="1"/>
  <c r="L101" i="65"/>
  <c r="Y139" i="65" s="1"/>
  <c r="K94" i="53"/>
  <c r="X130" i="53" s="1"/>
  <c r="L94" i="53"/>
  <c r="Y130" i="53" s="1"/>
  <c r="L98" i="65"/>
  <c r="Y136" i="65" s="1"/>
  <c r="K98" i="65"/>
  <c r="X136" i="65" s="1"/>
  <c r="L92" i="53"/>
  <c r="Y128" i="53" s="1"/>
  <c r="K92" i="53"/>
  <c r="X128" i="53" s="1"/>
  <c r="L104" i="65"/>
  <c r="Y142" i="65" s="1"/>
  <c r="K104" i="65"/>
  <c r="X142" i="65" s="1"/>
  <c r="K99" i="53"/>
  <c r="X135" i="53" s="1"/>
  <c r="L99" i="53"/>
  <c r="Y135" i="53" s="1"/>
  <c r="H43" i="62"/>
  <c r="AI20" i="62"/>
  <c r="AJ19" i="62"/>
  <c r="H19" i="62" s="1"/>
  <c r="L98" i="33"/>
  <c r="Y133" i="33" s="1"/>
  <c r="K98" i="33"/>
  <c r="X133" i="33" s="1"/>
  <c r="L100" i="33"/>
  <c r="Y135" i="33" s="1"/>
  <c r="K100" i="33"/>
  <c r="X135" i="33" s="1"/>
  <c r="K105" i="33"/>
  <c r="X140" i="33" s="1"/>
  <c r="L105" i="33"/>
  <c r="Y140" i="33" s="1"/>
  <c r="K95" i="33"/>
  <c r="X130" i="33" s="1"/>
  <c r="L95" i="33"/>
  <c r="Y130" i="33" s="1"/>
  <c r="L91" i="58"/>
  <c r="Y129" i="58" s="1"/>
  <c r="K91" i="58"/>
  <c r="X129" i="58" s="1"/>
  <c r="K94" i="58"/>
  <c r="X132" i="58" s="1"/>
  <c r="L94" i="58"/>
  <c r="Y132" i="58" s="1"/>
  <c r="L99" i="58"/>
  <c r="Y137" i="58" s="1"/>
  <c r="K99" i="58"/>
  <c r="X137" i="58" s="1"/>
  <c r="L96" i="58"/>
  <c r="Y134" i="58" s="1"/>
  <c r="K96" i="58"/>
  <c r="X134" i="58" s="1"/>
  <c r="K92" i="58"/>
  <c r="X130" i="58" s="1"/>
  <c r="L92" i="58"/>
  <c r="Y130" i="58" s="1"/>
  <c r="L95" i="58"/>
  <c r="Y133" i="58" s="1"/>
  <c r="K95" i="58"/>
  <c r="X133" i="58" s="1"/>
  <c r="L100" i="58"/>
  <c r="Y138" i="58" s="1"/>
  <c r="K100" i="58"/>
  <c r="X138" i="58" s="1"/>
  <c r="L97" i="58"/>
  <c r="Y135" i="58" s="1"/>
  <c r="K97" i="58"/>
  <c r="X135" i="58" s="1"/>
  <c r="K98" i="58"/>
  <c r="X136" i="58" s="1"/>
  <c r="L98" i="58"/>
  <c r="Y136" i="58" s="1"/>
  <c r="K92" i="54"/>
  <c r="X129" i="54" s="1"/>
  <c r="L92" i="54"/>
  <c r="Y129" i="54" s="1"/>
  <c r="K94" i="54"/>
  <c r="X131" i="54" s="1"/>
  <c r="L94" i="54"/>
  <c r="Y131" i="54" s="1"/>
  <c r="L98" i="54"/>
  <c r="Y135" i="54" s="1"/>
  <c r="K98" i="54"/>
  <c r="X135" i="54" s="1"/>
  <c r="C53" i="98"/>
  <c r="D53" i="98" s="1"/>
  <c r="C54" i="98"/>
  <c r="D54" i="98" s="1"/>
  <c r="C55" i="98"/>
  <c r="D55" i="98" s="1"/>
  <c r="C56" i="98"/>
  <c r="F56" i="98" s="1"/>
  <c r="C57" i="98"/>
  <c r="D57" i="98" s="1"/>
  <c r="C58" i="98"/>
  <c r="D58" i="98" s="1"/>
  <c r="C59" i="98"/>
  <c r="D59" i="98" s="1"/>
  <c r="C60" i="98"/>
  <c r="F60" i="98" s="1"/>
  <c r="C61" i="98"/>
  <c r="F61" i="98" s="1"/>
  <c r="C62" i="98"/>
  <c r="D62" i="98" s="1"/>
  <c r="X132" i="65" l="1"/>
  <c r="K100" i="49"/>
  <c r="J101" i="49"/>
  <c r="K101" i="49" s="1"/>
  <c r="F53" i="98"/>
  <c r="G53" i="98" s="1"/>
  <c r="R3" i="98" s="1"/>
  <c r="F55" i="67" s="1"/>
  <c r="F58" i="98"/>
  <c r="G58" i="98" s="1"/>
  <c r="F57" i="98"/>
  <c r="G57" i="98" s="1"/>
  <c r="AI21" i="62"/>
  <c r="AJ20" i="62"/>
  <c r="H20" i="62" s="1"/>
  <c r="H44" i="62"/>
  <c r="F54" i="98"/>
  <c r="G54" i="98" s="1"/>
  <c r="R4" i="98" s="1"/>
  <c r="F56" i="67" s="1"/>
  <c r="F55" i="98"/>
  <c r="G55" i="98" s="1"/>
  <c r="R5" i="98" s="1"/>
  <c r="F57" i="67" s="1"/>
  <c r="F59" i="98"/>
  <c r="G59" i="98" s="1"/>
  <c r="F62" i="98"/>
  <c r="G62" i="98" s="1"/>
  <c r="D61" i="98"/>
  <c r="G61" i="98" s="1"/>
  <c r="D60" i="98"/>
  <c r="G60" i="98" s="1"/>
  <c r="D56" i="98"/>
  <c r="G56" i="98" s="1"/>
  <c r="B36" i="97"/>
  <c r="B61" i="97" s="1"/>
  <c r="B35" i="97"/>
  <c r="B60" i="97" s="1"/>
  <c r="B34" i="97"/>
  <c r="B59" i="97" s="1"/>
  <c r="B33" i="97"/>
  <c r="B58" i="97" s="1"/>
  <c r="B32" i="97"/>
  <c r="B57" i="97" s="1"/>
  <c r="B31" i="97"/>
  <c r="B56" i="97" s="1"/>
  <c r="B30" i="97"/>
  <c r="B55" i="97" s="1"/>
  <c r="B29" i="97"/>
  <c r="B54" i="97" s="1"/>
  <c r="J102" i="49" l="1"/>
  <c r="L101" i="49"/>
  <c r="R7" i="98"/>
  <c r="F59" i="67" s="1"/>
  <c r="J80" i="98"/>
  <c r="W116" i="98" s="1"/>
  <c r="R8" i="98"/>
  <c r="F60" i="67" s="1"/>
  <c r="J81" i="98"/>
  <c r="W117" i="98" s="1"/>
  <c r="R11" i="98"/>
  <c r="F63" i="67" s="1"/>
  <c r="J84" i="98"/>
  <c r="W120" i="98" s="1"/>
  <c r="R9" i="98"/>
  <c r="F61" i="67" s="1"/>
  <c r="J82" i="98"/>
  <c r="W118" i="98" s="1"/>
  <c r="J103" i="49"/>
  <c r="L102" i="49"/>
  <c r="K102" i="49"/>
  <c r="R6" i="98"/>
  <c r="F58" i="67" s="1"/>
  <c r="J79" i="98"/>
  <c r="W115" i="98" s="1"/>
  <c r="R12" i="98"/>
  <c r="F64" i="67" s="1"/>
  <c r="J85" i="98"/>
  <c r="W121" i="98" s="1"/>
  <c r="R10" i="98"/>
  <c r="F62" i="67" s="1"/>
  <c r="J83" i="98"/>
  <c r="W119" i="98" s="1"/>
  <c r="H45" i="62"/>
  <c r="AI22" i="62"/>
  <c r="AJ21" i="62"/>
  <c r="H21" i="62" s="1"/>
  <c r="H70" i="37"/>
  <c r="H233" i="37" s="1"/>
  <c r="B105" i="37"/>
  <c r="B247" i="37" s="1"/>
  <c r="B106" i="37"/>
  <c r="B248" i="37" s="1"/>
  <c r="B107" i="37"/>
  <c r="B249" i="37" s="1"/>
  <c r="B108" i="37"/>
  <c r="B250" i="37" s="1"/>
  <c r="B109" i="37"/>
  <c r="B251" i="37" s="1"/>
  <c r="B110" i="37"/>
  <c r="B252" i="37" s="1"/>
  <c r="B111" i="37"/>
  <c r="B253" i="37" s="1"/>
  <c r="B112" i="37"/>
  <c r="B254" i="37" s="1"/>
  <c r="B113" i="37"/>
  <c r="B255" i="37" s="1"/>
  <c r="B114" i="37"/>
  <c r="B256" i="37" s="1"/>
  <c r="B115" i="37"/>
  <c r="B257" i="37" s="1"/>
  <c r="B116" i="37"/>
  <c r="B258" i="37" s="1"/>
  <c r="G6" i="68"/>
  <c r="C110" i="37" l="1"/>
  <c r="C252" i="37" s="1"/>
  <c r="Y18" i="37"/>
  <c r="C116" i="37"/>
  <c r="D116" i="37" s="1"/>
  <c r="Y24" i="37"/>
  <c r="K82" i="98"/>
  <c r="X118" i="98" s="1"/>
  <c r="L82" i="98"/>
  <c r="Y118" i="98" s="1"/>
  <c r="L81" i="98"/>
  <c r="Y117" i="98" s="1"/>
  <c r="K81" i="98"/>
  <c r="X117" i="98" s="1"/>
  <c r="C115" i="37"/>
  <c r="C257" i="37" s="1"/>
  <c r="Y23" i="37"/>
  <c r="C106" i="37"/>
  <c r="Y14" i="37"/>
  <c r="C114" i="37"/>
  <c r="Y22" i="37"/>
  <c r="C105" i="37"/>
  <c r="Y13" i="37"/>
  <c r="C112" i="37"/>
  <c r="C254" i="37" s="1"/>
  <c r="Y20" i="37"/>
  <c r="L80" i="98"/>
  <c r="Y116" i="98" s="1"/>
  <c r="K80" i="98"/>
  <c r="X116" i="98" s="1"/>
  <c r="C109" i="37"/>
  <c r="Y17" i="37"/>
  <c r="L85" i="98"/>
  <c r="Y121" i="98" s="1"/>
  <c r="K85" i="98"/>
  <c r="X121" i="98" s="1"/>
  <c r="C108" i="37"/>
  <c r="Y16" i="37"/>
  <c r="K84" i="98"/>
  <c r="X120" i="98" s="1"/>
  <c r="L84" i="98"/>
  <c r="Y120" i="98" s="1"/>
  <c r="C107" i="37"/>
  <c r="Y15" i="37"/>
  <c r="L79" i="98"/>
  <c r="Y115" i="98" s="1"/>
  <c r="K79" i="98"/>
  <c r="X115" i="98" s="1"/>
  <c r="C113" i="37"/>
  <c r="Y21" i="37"/>
  <c r="C111" i="37"/>
  <c r="Y19" i="37"/>
  <c r="K83" i="98"/>
  <c r="X119" i="98" s="1"/>
  <c r="L83" i="98"/>
  <c r="Y119" i="98" s="1"/>
  <c r="J104" i="49"/>
  <c r="L103" i="49"/>
  <c r="K103" i="49"/>
  <c r="H46" i="62"/>
  <c r="AI23" i="62"/>
  <c r="AJ22" i="62"/>
  <c r="H22" i="62" s="1"/>
  <c r="G19" i="68"/>
  <c r="F112" i="37"/>
  <c r="F254" i="37" s="1"/>
  <c r="F108" i="37"/>
  <c r="F113" i="37"/>
  <c r="J42" i="64"/>
  <c r="G7" i="68"/>
  <c r="G8" i="68"/>
  <c r="G9" i="68"/>
  <c r="G10" i="68"/>
  <c r="G11" i="68"/>
  <c r="G12" i="68"/>
  <c r="AI11" i="61"/>
  <c r="AK11" i="35"/>
  <c r="AI3" i="61"/>
  <c r="AJ3" i="61" s="1"/>
  <c r="AK3" i="35"/>
  <c r="BG4" i="413"/>
  <c r="G4" i="68"/>
  <c r="BF3" i="140"/>
  <c r="BG3" i="130"/>
  <c r="BC3" i="126"/>
  <c r="BG3" i="413"/>
  <c r="D112" i="37" l="1"/>
  <c r="D254" i="37" s="1"/>
  <c r="F110" i="37"/>
  <c r="F252" i="37" s="1"/>
  <c r="D110" i="37"/>
  <c r="D252" i="37" s="1"/>
  <c r="D115" i="37"/>
  <c r="D257" i="37" s="1"/>
  <c r="F255" i="37"/>
  <c r="F250" i="37"/>
  <c r="F109" i="37"/>
  <c r="F251" i="37" s="1"/>
  <c r="C251" i="37"/>
  <c r="F116" i="37"/>
  <c r="F258" i="37" s="1"/>
  <c r="C258" i="37"/>
  <c r="D258" i="37"/>
  <c r="F111" i="37"/>
  <c r="F253" i="37" s="1"/>
  <c r="C253" i="37"/>
  <c r="F114" i="37"/>
  <c r="F256" i="37" s="1"/>
  <c r="C256" i="37"/>
  <c r="D111" i="37"/>
  <c r="D253" i="37" s="1"/>
  <c r="D113" i="37"/>
  <c r="D255" i="37" s="1"/>
  <c r="C255" i="37"/>
  <c r="D105" i="37"/>
  <c r="D247" i="37" s="1"/>
  <c r="C247" i="37"/>
  <c r="D107" i="37"/>
  <c r="D249" i="37" s="1"/>
  <c r="C249" i="37"/>
  <c r="F106" i="37"/>
  <c r="F248" i="37" s="1"/>
  <c r="C248" i="37"/>
  <c r="D108" i="37"/>
  <c r="D250" i="37" s="1"/>
  <c r="C250" i="37"/>
  <c r="D106" i="37"/>
  <c r="F115" i="37"/>
  <c r="F257" i="37" s="1"/>
  <c r="D109" i="37"/>
  <c r="D251" i="37" s="1"/>
  <c r="N80" i="98"/>
  <c r="AA116" i="98" s="1"/>
  <c r="D114" i="37"/>
  <c r="J105" i="49"/>
  <c r="L104" i="49"/>
  <c r="K104" i="49"/>
  <c r="F105" i="37"/>
  <c r="F107" i="37"/>
  <c r="AJ3" i="54"/>
  <c r="AJ11" i="54"/>
  <c r="AK3" i="54" s="1"/>
  <c r="AJ11" i="61"/>
  <c r="AJ10" i="61"/>
  <c r="AJ6" i="61"/>
  <c r="AJ4" i="61"/>
  <c r="AJ7" i="61"/>
  <c r="AJ8" i="61"/>
  <c r="AI12" i="61"/>
  <c r="AI13" i="61" s="1"/>
  <c r="AI14" i="61" s="1"/>
  <c r="AI15" i="61" s="1"/>
  <c r="AI16" i="61" s="1"/>
  <c r="AI17" i="61" s="1"/>
  <c r="AI18" i="61" s="1"/>
  <c r="AI19" i="61" s="1"/>
  <c r="AI20" i="61" s="1"/>
  <c r="AI21" i="61" s="1"/>
  <c r="AJ9" i="61"/>
  <c r="AJ5" i="61"/>
  <c r="BF12" i="140"/>
  <c r="AU4" i="140" s="1"/>
  <c r="AF11" i="57"/>
  <c r="AG3" i="53"/>
  <c r="AG3" i="63"/>
  <c r="AG11" i="53"/>
  <c r="AG11" i="63"/>
  <c r="AO4" i="35"/>
  <c r="K29" i="35" s="1"/>
  <c r="AO8" i="35"/>
  <c r="K33" i="35" s="1"/>
  <c r="AN4" i="35"/>
  <c r="K4" i="35" s="1"/>
  <c r="AL7" i="35"/>
  <c r="H7" i="35" s="1"/>
  <c r="AL8" i="35"/>
  <c r="H8" i="35" s="1"/>
  <c r="AK12" i="35"/>
  <c r="AN12" i="35" s="1"/>
  <c r="K12" i="35" s="1"/>
  <c r="E91" i="35" s="1"/>
  <c r="T129" i="35" s="1"/>
  <c r="AM9" i="35"/>
  <c r="H34" i="35" s="1"/>
  <c r="AO10" i="35"/>
  <c r="K35" i="35" s="1"/>
  <c r="AO6" i="35"/>
  <c r="K31" i="35" s="1"/>
  <c r="AN8" i="35"/>
  <c r="K8" i="35" s="1"/>
  <c r="E87" i="35" s="1"/>
  <c r="T125" i="35" s="1"/>
  <c r="AN11" i="35"/>
  <c r="K11" i="35" s="1"/>
  <c r="E90" i="35" s="1"/>
  <c r="T128" i="35" s="1"/>
  <c r="AM6" i="35"/>
  <c r="H31" i="35" s="1"/>
  <c r="AL5" i="35"/>
  <c r="H5" i="35" s="1"/>
  <c r="AL9" i="35"/>
  <c r="H9" i="35" s="1"/>
  <c r="AL11" i="35"/>
  <c r="H11" i="35" s="1"/>
  <c r="AO11" i="35"/>
  <c r="K36" i="35" s="1"/>
  <c r="AN9" i="35"/>
  <c r="K9" i="35" s="1"/>
  <c r="E88" i="35" s="1"/>
  <c r="T126" i="35" s="1"/>
  <c r="AN10" i="35"/>
  <c r="K10" i="35" s="1"/>
  <c r="E89" i="35" s="1"/>
  <c r="T127" i="35" s="1"/>
  <c r="AM11" i="35"/>
  <c r="H36" i="35" s="1"/>
  <c r="AM8" i="35"/>
  <c r="H33" i="35" s="1"/>
  <c r="AL6" i="35"/>
  <c r="H6" i="35" s="1"/>
  <c r="AO5" i="35"/>
  <c r="K30" i="35" s="1"/>
  <c r="AM7" i="35"/>
  <c r="H32" i="35" s="1"/>
  <c r="AN7" i="35"/>
  <c r="K7" i="35" s="1"/>
  <c r="E86" i="35" s="1"/>
  <c r="T124" i="35" s="1"/>
  <c r="AO9" i="35"/>
  <c r="K34" i="35" s="1"/>
  <c r="AM5" i="35"/>
  <c r="H30" i="35" s="1"/>
  <c r="AL4" i="35"/>
  <c r="H4" i="35" s="1"/>
  <c r="AO7" i="35"/>
  <c r="K32" i="35" s="1"/>
  <c r="AN5" i="35"/>
  <c r="K5" i="35" s="1"/>
  <c r="AM4" i="35"/>
  <c r="H29" i="35" s="1"/>
  <c r="AM10" i="35"/>
  <c r="H35" i="35" s="1"/>
  <c r="AL10" i="35"/>
  <c r="H10" i="35" s="1"/>
  <c r="AJ3" i="51"/>
  <c r="AI3" i="65"/>
  <c r="AJ11" i="51"/>
  <c r="AL3" i="51" s="1"/>
  <c r="F28" i="51" s="1"/>
  <c r="AI11" i="65"/>
  <c r="AI12" i="65" s="1"/>
  <c r="AI13" i="65" s="1"/>
  <c r="AI14" i="65" s="1"/>
  <c r="AI15" i="65" s="1"/>
  <c r="AI16" i="65" s="1"/>
  <c r="AI17" i="65" s="1"/>
  <c r="AI18" i="65" s="1"/>
  <c r="AI19" i="65" s="1"/>
  <c r="AI20" i="65" s="1"/>
  <c r="AI21" i="65" s="1"/>
  <c r="AI22" i="65" s="1"/>
  <c r="AI23" i="65" s="1"/>
  <c r="AI24" i="65" s="1"/>
  <c r="AK36" i="98"/>
  <c r="AM34" i="98" s="1"/>
  <c r="H34" i="98" s="1"/>
  <c r="AL11" i="66"/>
  <c r="AK37" i="98"/>
  <c r="AK3" i="52"/>
  <c r="AI4" i="64"/>
  <c r="AK11" i="52"/>
  <c r="AI12" i="33"/>
  <c r="AI3" i="64"/>
  <c r="BC12" i="126"/>
  <c r="AK11" i="48"/>
  <c r="AI11" i="64"/>
  <c r="AO4" i="49"/>
  <c r="BG12" i="130"/>
  <c r="AG11" i="55"/>
  <c r="AO12" i="49"/>
  <c r="AK3" i="58"/>
  <c r="AI3" i="60"/>
  <c r="AI11" i="50"/>
  <c r="AK11" i="58"/>
  <c r="AI11" i="60"/>
  <c r="H47" i="62"/>
  <c r="AI24" i="62"/>
  <c r="AJ24" i="62" s="1"/>
  <c r="H24" i="62" s="1"/>
  <c r="AJ23" i="62"/>
  <c r="H23" i="62" s="1"/>
  <c r="G25" i="68"/>
  <c r="G23" i="68"/>
  <c r="G24" i="68"/>
  <c r="G22" i="68"/>
  <c r="G21" i="68"/>
  <c r="G20" i="68"/>
  <c r="G17" i="68"/>
  <c r="G115" i="37"/>
  <c r="G110" i="37"/>
  <c r="G112" i="37"/>
  <c r="G254" i="37" s="1"/>
  <c r="AI3" i="50"/>
  <c r="AI28" i="50" s="1"/>
  <c r="AF3" i="57"/>
  <c r="BF4" i="140"/>
  <c r="AG3" i="55"/>
  <c r="BG4" i="130"/>
  <c r="AK3" i="48"/>
  <c r="BC4" i="126"/>
  <c r="J43" i="64"/>
  <c r="AO3" i="35"/>
  <c r="K28" i="35" s="1"/>
  <c r="AN3" i="35"/>
  <c r="K3" i="35" s="1"/>
  <c r="AM3" i="35"/>
  <c r="H28" i="35" s="1"/>
  <c r="AL3" i="35"/>
  <c r="H3" i="35" s="1"/>
  <c r="AL3" i="54"/>
  <c r="AK28" i="98"/>
  <c r="AL3" i="66"/>
  <c r="AI4" i="33"/>
  <c r="G5" i="68"/>
  <c r="B3" i="97"/>
  <c r="B28" i="97" s="1"/>
  <c r="B53" i="97" s="1"/>
  <c r="AF12" i="57" l="1"/>
  <c r="AF13" i="57" s="1"/>
  <c r="AF14" i="57" s="1"/>
  <c r="AF15" i="57" s="1"/>
  <c r="AF16" i="57" s="1"/>
  <c r="AF17" i="57" s="1"/>
  <c r="AF18" i="57" s="1"/>
  <c r="AF19" i="57" s="1"/>
  <c r="AF20" i="57" s="1"/>
  <c r="AF21" i="57" s="1"/>
  <c r="AF22" i="57" s="1"/>
  <c r="AF23" i="57" s="1"/>
  <c r="AF24" i="57" s="1"/>
  <c r="J158" i="37"/>
  <c r="G257" i="37"/>
  <c r="G114" i="37"/>
  <c r="D256" i="37"/>
  <c r="G107" i="37"/>
  <c r="G249" i="37" s="1"/>
  <c r="F249" i="37"/>
  <c r="G108" i="37"/>
  <c r="G105" i="37"/>
  <c r="F247" i="37"/>
  <c r="J153" i="37"/>
  <c r="G252" i="37"/>
  <c r="G106" i="37"/>
  <c r="D248" i="37"/>
  <c r="G109" i="37"/>
  <c r="G111" i="37"/>
  <c r="G116" i="37"/>
  <c r="G113" i="37"/>
  <c r="AJ9" i="48"/>
  <c r="J106" i="49"/>
  <c r="K105" i="49"/>
  <c r="L105" i="49"/>
  <c r="Q18" i="37"/>
  <c r="B70" i="67" s="1"/>
  <c r="AK3" i="60"/>
  <c r="H28" i="60" s="1"/>
  <c r="AJ20" i="61"/>
  <c r="AP33" i="98"/>
  <c r="I3" i="98" s="1"/>
  <c r="I28" i="98" s="1"/>
  <c r="AK3" i="51"/>
  <c r="F3" i="51" s="1"/>
  <c r="AL35" i="98"/>
  <c r="AM33" i="98"/>
  <c r="H33" i="98" s="1"/>
  <c r="AJ14" i="61"/>
  <c r="AM32" i="98"/>
  <c r="H32" i="98" s="1"/>
  <c r="AL34" i="98"/>
  <c r="AM36" i="98"/>
  <c r="AK38" i="98"/>
  <c r="AK39" i="98" s="1"/>
  <c r="AK40" i="98" s="1"/>
  <c r="AK41" i="98" s="1"/>
  <c r="AM28" i="98"/>
  <c r="H28" i="98" s="1"/>
  <c r="AL32" i="98"/>
  <c r="H7" i="98" s="1"/>
  <c r="AM35" i="98"/>
  <c r="H35" i="98" s="1"/>
  <c r="AH3" i="55"/>
  <c r="H3" i="55" s="1"/>
  <c r="AM30" i="98"/>
  <c r="H30" i="98" s="1"/>
  <c r="AL31" i="98"/>
  <c r="H6" i="98" s="1"/>
  <c r="AL30" i="98"/>
  <c r="H5" i="98" s="1"/>
  <c r="AM31" i="98"/>
  <c r="H31" i="98" s="1"/>
  <c r="AL33" i="98"/>
  <c r="H8" i="98" s="1"/>
  <c r="AM29" i="98"/>
  <c r="H29" i="98" s="1"/>
  <c r="AL29" i="98"/>
  <c r="AL36" i="98"/>
  <c r="AJ28" i="50"/>
  <c r="AP4" i="49"/>
  <c r="AU5" i="140"/>
  <c r="AQ4" i="49"/>
  <c r="AL3" i="58"/>
  <c r="AM12" i="35"/>
  <c r="H37" i="35" s="1"/>
  <c r="AJ18" i="61"/>
  <c r="AJ12" i="61"/>
  <c r="AJ13" i="61"/>
  <c r="AI12" i="64"/>
  <c r="AI13" i="64" s="1"/>
  <c r="AI14" i="64" s="1"/>
  <c r="AI15" i="64" s="1"/>
  <c r="AI16" i="64" s="1"/>
  <c r="AI17" i="64" s="1"/>
  <c r="AI18" i="64" s="1"/>
  <c r="AI19" i="64" s="1"/>
  <c r="AI20" i="64" s="1"/>
  <c r="AI21" i="64" s="1"/>
  <c r="AK11" i="60"/>
  <c r="H36" i="60" s="1"/>
  <c r="AK9" i="60"/>
  <c r="H34" i="60" s="1"/>
  <c r="AK8" i="60"/>
  <c r="H33" i="60" s="1"/>
  <c r="AK7" i="60"/>
  <c r="H32" i="60" s="1"/>
  <c r="AK4" i="60"/>
  <c r="H29" i="60" s="1"/>
  <c r="AK5" i="60"/>
  <c r="H30" i="60" s="1"/>
  <c r="AK6" i="60"/>
  <c r="H31" i="60" s="1"/>
  <c r="AI12" i="60"/>
  <c r="AI13" i="60" s="1"/>
  <c r="AI14" i="60" s="1"/>
  <c r="AI15" i="60" s="1"/>
  <c r="AI16" i="60" s="1"/>
  <c r="AI17" i="60" s="1"/>
  <c r="AI18" i="60" s="1"/>
  <c r="AI19" i="60" s="1"/>
  <c r="AI20" i="60" s="1"/>
  <c r="AK20" i="60" s="1"/>
  <c r="H45" i="60" s="1"/>
  <c r="AK10" i="60"/>
  <c r="H35" i="60" s="1"/>
  <c r="AP10" i="49"/>
  <c r="AP9" i="49"/>
  <c r="AQ6" i="49"/>
  <c r="AP5" i="49"/>
  <c r="AQ7" i="49"/>
  <c r="AO13" i="49"/>
  <c r="AO14" i="49" s="1"/>
  <c r="AO15" i="49" s="1"/>
  <c r="AO16" i="49" s="1"/>
  <c r="AO17" i="49" s="1"/>
  <c r="AO18" i="49" s="1"/>
  <c r="AO19" i="49" s="1"/>
  <c r="AO20" i="49" s="1"/>
  <c r="AO21" i="49" s="1"/>
  <c r="AO22" i="49" s="1"/>
  <c r="AO23" i="49" s="1"/>
  <c r="AO24" i="49" s="1"/>
  <c r="AO25" i="49" s="1"/>
  <c r="AP25" i="49" s="1"/>
  <c r="AQ8" i="49"/>
  <c r="AQ9" i="49"/>
  <c r="AP7" i="49"/>
  <c r="AP6" i="49"/>
  <c r="AP11" i="49"/>
  <c r="AP12" i="49"/>
  <c r="AQ12" i="49"/>
  <c r="AP8" i="49"/>
  <c r="AQ5" i="49"/>
  <c r="AQ11" i="49"/>
  <c r="AQ10" i="49"/>
  <c r="AU8" i="140"/>
  <c r="AU7" i="140"/>
  <c r="AU13" i="140"/>
  <c r="AU6" i="140"/>
  <c r="AU10" i="140"/>
  <c r="AU11" i="140"/>
  <c r="AU12" i="140"/>
  <c r="AU9" i="140"/>
  <c r="AL11" i="58"/>
  <c r="AL9" i="58"/>
  <c r="AO6" i="58"/>
  <c r="AK12" i="58"/>
  <c r="AK13" i="58" s="1"/>
  <c r="AK14" i="58" s="1"/>
  <c r="AK15" i="58" s="1"/>
  <c r="AK16" i="58" s="1"/>
  <c r="AK17" i="58" s="1"/>
  <c r="AK18" i="58" s="1"/>
  <c r="AK19" i="58" s="1"/>
  <c r="AK20" i="58" s="1"/>
  <c r="AK21" i="58" s="1"/>
  <c r="AK22" i="58" s="1"/>
  <c r="AK23" i="58" s="1"/>
  <c r="AK24" i="58" s="1"/>
  <c r="AO24" i="58" s="1"/>
  <c r="J24" i="58" s="1"/>
  <c r="J49" i="58" s="1"/>
  <c r="AL5" i="58"/>
  <c r="AO5" i="58"/>
  <c r="AM8" i="58"/>
  <c r="D33" i="58" s="1"/>
  <c r="AM6" i="58"/>
  <c r="D31" i="58" s="1"/>
  <c r="AL6" i="58"/>
  <c r="AM7" i="58"/>
  <c r="D32" i="58" s="1"/>
  <c r="AN8" i="58"/>
  <c r="I8" i="58" s="1"/>
  <c r="AO11" i="58"/>
  <c r="AO7" i="58"/>
  <c r="AM11" i="58"/>
  <c r="D36" i="58" s="1"/>
  <c r="AL4" i="58"/>
  <c r="AN9" i="58"/>
  <c r="I9" i="58" s="1"/>
  <c r="I34" i="58" s="1"/>
  <c r="AO8" i="58"/>
  <c r="AL8" i="58"/>
  <c r="AN10" i="58"/>
  <c r="I10" i="58" s="1"/>
  <c r="I35" i="58" s="1"/>
  <c r="AN7" i="58"/>
  <c r="I7" i="58" s="1"/>
  <c r="AO9" i="58"/>
  <c r="AL10" i="58"/>
  <c r="AM5" i="58"/>
  <c r="D30" i="58" s="1"/>
  <c r="AN6" i="58"/>
  <c r="I6" i="58" s="1"/>
  <c r="AM9" i="58"/>
  <c r="D34" i="58" s="1"/>
  <c r="AN11" i="58"/>
  <c r="I11" i="58" s="1"/>
  <c r="I36" i="58" s="1"/>
  <c r="AL7" i="58"/>
  <c r="AM10" i="58"/>
  <c r="D35" i="58" s="1"/>
  <c r="AO10" i="58"/>
  <c r="AH6" i="55"/>
  <c r="H6" i="55" s="1"/>
  <c r="AH8" i="55"/>
  <c r="H8" i="55" s="1"/>
  <c r="AH10" i="55"/>
  <c r="H10" i="55" s="1"/>
  <c r="AH7" i="55"/>
  <c r="H7" i="55" s="1"/>
  <c r="AG12" i="55"/>
  <c r="AG13" i="55" s="1"/>
  <c r="AG14" i="55" s="1"/>
  <c r="AG15" i="55" s="1"/>
  <c r="AG16" i="55" s="1"/>
  <c r="AG17" i="55" s="1"/>
  <c r="AG18" i="55" s="1"/>
  <c r="AG19" i="55" s="1"/>
  <c r="AH5" i="55"/>
  <c r="H5" i="55" s="1"/>
  <c r="AH11" i="55"/>
  <c r="H11" i="55" s="1"/>
  <c r="AH9" i="55"/>
  <c r="H9" i="55" s="1"/>
  <c r="AH4" i="55"/>
  <c r="H4" i="55" s="1"/>
  <c r="L5" i="63"/>
  <c r="L4" i="63" s="1"/>
  <c r="L3" i="63" s="1"/>
  <c r="AG12" i="63"/>
  <c r="AG13" i="63" s="1"/>
  <c r="AG14" i="63" s="1"/>
  <c r="AG15" i="63" s="1"/>
  <c r="AG16" i="63" s="1"/>
  <c r="AG17" i="63" s="1"/>
  <c r="AG18" i="63" s="1"/>
  <c r="AG19" i="63" s="1"/>
  <c r="AG20" i="63" s="1"/>
  <c r="AG21" i="63" s="1"/>
  <c r="AG22" i="63" s="1"/>
  <c r="AG23" i="63" s="1"/>
  <c r="AG24" i="63" s="1"/>
  <c r="AJ19" i="61"/>
  <c r="AI36" i="50"/>
  <c r="AI12" i="50"/>
  <c r="AJ4" i="50"/>
  <c r="AJ29" i="50"/>
  <c r="AV6" i="130"/>
  <c r="AV13" i="130"/>
  <c r="AV11" i="130"/>
  <c r="AV12" i="130"/>
  <c r="AV7" i="130"/>
  <c r="AV10" i="130"/>
  <c r="AV8" i="130"/>
  <c r="AV9" i="130"/>
  <c r="AJ6" i="33"/>
  <c r="AJ11" i="33"/>
  <c r="AK12" i="33"/>
  <c r="AJ10" i="33"/>
  <c r="AK11" i="33"/>
  <c r="AK8" i="33"/>
  <c r="AK7" i="33"/>
  <c r="AJ5" i="33"/>
  <c r="AK6" i="33"/>
  <c r="AK10" i="33"/>
  <c r="AJ8" i="33"/>
  <c r="AJ9" i="33"/>
  <c r="AI13" i="33"/>
  <c r="AI14" i="33" s="1"/>
  <c r="AI15" i="33" s="1"/>
  <c r="AI16" i="33" s="1"/>
  <c r="AI17" i="33" s="1"/>
  <c r="AI18" i="33" s="1"/>
  <c r="AI19" i="33" s="1"/>
  <c r="AI20" i="33" s="1"/>
  <c r="AI21" i="33" s="1"/>
  <c r="AI22" i="33" s="1"/>
  <c r="AI23" i="33" s="1"/>
  <c r="AI24" i="33" s="1"/>
  <c r="AI25" i="33" s="1"/>
  <c r="AK25" i="33" s="1"/>
  <c r="AK5" i="33"/>
  <c r="AJ12" i="33"/>
  <c r="AJ7" i="33"/>
  <c r="AK9" i="33"/>
  <c r="AM6" i="66"/>
  <c r="G6" i="66" s="1"/>
  <c r="AO8" i="66"/>
  <c r="H8" i="66" s="1"/>
  <c r="AO7" i="66"/>
  <c r="H7" i="66" s="1"/>
  <c r="AP4" i="66"/>
  <c r="H29" i="66" s="1"/>
  <c r="AM5" i="66"/>
  <c r="G5" i="66" s="1"/>
  <c r="AN6" i="66"/>
  <c r="G31" i="66" s="1"/>
  <c r="AP9" i="66"/>
  <c r="H34" i="66" s="1"/>
  <c r="AN8" i="66"/>
  <c r="G33" i="66" s="1"/>
  <c r="AL13" i="66"/>
  <c r="AP8" i="66"/>
  <c r="H33" i="66" s="1"/>
  <c r="AP11" i="66"/>
  <c r="H36" i="66" s="1"/>
  <c r="AP5" i="66"/>
  <c r="H30" i="66" s="1"/>
  <c r="AN4" i="66"/>
  <c r="G29" i="66" s="1"/>
  <c r="AM10" i="66"/>
  <c r="G10" i="66" s="1"/>
  <c r="AO11" i="66"/>
  <c r="H11" i="66" s="1"/>
  <c r="AN10" i="66"/>
  <c r="G35" i="66" s="1"/>
  <c r="AP7" i="66"/>
  <c r="H32" i="66" s="1"/>
  <c r="AP10" i="66"/>
  <c r="H35" i="66" s="1"/>
  <c r="AN9" i="66"/>
  <c r="G34" i="66" s="1"/>
  <c r="AM8" i="66"/>
  <c r="G8" i="66" s="1"/>
  <c r="AM9" i="66"/>
  <c r="G9" i="66" s="1"/>
  <c r="AP6" i="66"/>
  <c r="H31" i="66" s="1"/>
  <c r="AO9" i="66"/>
  <c r="H9" i="66" s="1"/>
  <c r="AM11" i="66"/>
  <c r="G11" i="66" s="1"/>
  <c r="AN5" i="66"/>
  <c r="G30" i="66" s="1"/>
  <c r="AM4" i="66"/>
  <c r="G4" i="66" s="1"/>
  <c r="AO6" i="66"/>
  <c r="H6" i="66" s="1"/>
  <c r="AO5" i="66"/>
  <c r="H5" i="66" s="1"/>
  <c r="AM7" i="66"/>
  <c r="G7" i="66" s="1"/>
  <c r="AN11" i="66"/>
  <c r="G36" i="66" s="1"/>
  <c r="AO4" i="66"/>
  <c r="H4" i="66" s="1"/>
  <c r="AO10" i="66"/>
  <c r="H10" i="66" s="1"/>
  <c r="AN7" i="66"/>
  <c r="G32" i="66" s="1"/>
  <c r="AL12" i="35"/>
  <c r="H12" i="35" s="1"/>
  <c r="AK13" i="35"/>
  <c r="AG12" i="53"/>
  <c r="AG13" i="53" s="1"/>
  <c r="AG14" i="53" s="1"/>
  <c r="AG15" i="53" s="1"/>
  <c r="AG16" i="53" s="1"/>
  <c r="AG17" i="53" s="1"/>
  <c r="AG18" i="53" s="1"/>
  <c r="AK5" i="54"/>
  <c r="AL4" i="54"/>
  <c r="AK6" i="54"/>
  <c r="AL6" i="54"/>
  <c r="AK10" i="54"/>
  <c r="AL9" i="54"/>
  <c r="AL7" i="54"/>
  <c r="AL11" i="54"/>
  <c r="AK11" i="54"/>
  <c r="AK9" i="54"/>
  <c r="AK7" i="54"/>
  <c r="AL10" i="54"/>
  <c r="AL8" i="54"/>
  <c r="AK4" i="54"/>
  <c r="AK8" i="54"/>
  <c r="AL5" i="54"/>
  <c r="AJ12" i="54"/>
  <c r="AJ13" i="54" s="1"/>
  <c r="AJ14" i="54" s="1"/>
  <c r="AJ15" i="54" s="1"/>
  <c r="AJ16" i="54" s="1"/>
  <c r="AJ17" i="54" s="1"/>
  <c r="AJ18" i="54" s="1"/>
  <c r="AJ19" i="54" s="1"/>
  <c r="AJ20" i="54" s="1"/>
  <c r="AJ21" i="54" s="1"/>
  <c r="AJ22" i="54" s="1"/>
  <c r="AJ23" i="54" s="1"/>
  <c r="AJ24" i="54" s="1"/>
  <c r="AL11" i="52"/>
  <c r="E11" i="52" s="1"/>
  <c r="AM9" i="52"/>
  <c r="E34" i="52" s="1"/>
  <c r="AK12" i="52"/>
  <c r="AK13" i="52" s="1"/>
  <c r="AK14" i="52" s="1"/>
  <c r="AK15" i="52" s="1"/>
  <c r="AK16" i="52" s="1"/>
  <c r="AK17" i="52" s="1"/>
  <c r="AK18" i="52" s="1"/>
  <c r="AK19" i="52" s="1"/>
  <c r="AK20" i="52" s="1"/>
  <c r="AK21" i="52" s="1"/>
  <c r="AK22" i="52" s="1"/>
  <c r="AK23" i="52" s="1"/>
  <c r="AK24" i="52" s="1"/>
  <c r="AL24" i="52" s="1"/>
  <c r="E24" i="52" s="1"/>
  <c r="AL10" i="52"/>
  <c r="E10" i="52" s="1"/>
  <c r="AM8" i="52"/>
  <c r="E33" i="52" s="1"/>
  <c r="AL7" i="52"/>
  <c r="E7" i="52" s="1"/>
  <c r="AL9" i="52"/>
  <c r="E9" i="52" s="1"/>
  <c r="AM11" i="52"/>
  <c r="E36" i="52" s="1"/>
  <c r="AL8" i="52"/>
  <c r="E8" i="52" s="1"/>
  <c r="AM10" i="52"/>
  <c r="E35" i="52" s="1"/>
  <c r="AM7" i="52"/>
  <c r="E32" i="52" s="1"/>
  <c r="AJ17" i="61"/>
  <c r="AJ3" i="48"/>
  <c r="AJ16" i="61"/>
  <c r="AQ7" i="48"/>
  <c r="AK12" i="48"/>
  <c r="AK13" i="48" s="1"/>
  <c r="AK14" i="48" s="1"/>
  <c r="AK15" i="48" s="1"/>
  <c r="AK16" i="48" s="1"/>
  <c r="AK17" i="48" s="1"/>
  <c r="AK18" i="48" s="1"/>
  <c r="AK19" i="48" s="1"/>
  <c r="AK20" i="48" s="1"/>
  <c r="AK21" i="48" s="1"/>
  <c r="AK22" i="48" s="1"/>
  <c r="AK23" i="48" s="1"/>
  <c r="AK24" i="48" s="1"/>
  <c r="AP24" i="48" s="1"/>
  <c r="H24" i="48" s="1"/>
  <c r="AQ11" i="48"/>
  <c r="H36" i="48" s="1"/>
  <c r="AQ5" i="48"/>
  <c r="AQ6" i="48"/>
  <c r="AP4" i="48"/>
  <c r="AQ9" i="48"/>
  <c r="AP9" i="48"/>
  <c r="AQ10" i="48"/>
  <c r="AP8" i="48"/>
  <c r="AP6" i="48"/>
  <c r="AP11" i="48"/>
  <c r="H11" i="48" s="1"/>
  <c r="AQ4" i="48"/>
  <c r="AP10" i="48"/>
  <c r="AQ8" i="48"/>
  <c r="AP7" i="48"/>
  <c r="AP5" i="48"/>
  <c r="AV5" i="130"/>
  <c r="AV4" i="130"/>
  <c r="AK6" i="51"/>
  <c r="F6" i="51" s="1"/>
  <c r="AK11" i="51"/>
  <c r="F11" i="51" s="1"/>
  <c r="AK9" i="51"/>
  <c r="F9" i="51" s="1"/>
  <c r="AK7" i="51"/>
  <c r="F7" i="51" s="1"/>
  <c r="AL7" i="51"/>
  <c r="F32" i="51" s="1"/>
  <c r="AL4" i="51"/>
  <c r="F29" i="51" s="1"/>
  <c r="AL10" i="51"/>
  <c r="F35" i="51" s="1"/>
  <c r="AL8" i="51"/>
  <c r="F33" i="51" s="1"/>
  <c r="AL6" i="51"/>
  <c r="F31" i="51" s="1"/>
  <c r="AK5" i="51"/>
  <c r="F5" i="51" s="1"/>
  <c r="AK4" i="51"/>
  <c r="F4" i="51" s="1"/>
  <c r="AK10" i="51"/>
  <c r="F10" i="51" s="1"/>
  <c r="AK8" i="51"/>
  <c r="F8" i="51" s="1"/>
  <c r="AL5" i="51"/>
  <c r="F30" i="51" s="1"/>
  <c r="AL11" i="51"/>
  <c r="F36" i="51" s="1"/>
  <c r="AL9" i="51"/>
  <c r="F34" i="51" s="1"/>
  <c r="AJ12" i="51"/>
  <c r="AJ13" i="51" s="1"/>
  <c r="AJ14" i="51" s="1"/>
  <c r="AJ15" i="51" s="1"/>
  <c r="AJ16" i="51" s="1"/>
  <c r="AJ17" i="51" s="1"/>
  <c r="AJ18" i="51" s="1"/>
  <c r="AJ19" i="51" s="1"/>
  <c r="AJ20" i="51" s="1"/>
  <c r="AJ21" i="51" s="1"/>
  <c r="AJ22" i="51" s="1"/>
  <c r="AJ23" i="51" s="1"/>
  <c r="AJ24" i="51" s="1"/>
  <c r="AK24" i="51" s="1"/>
  <c r="F24" i="51" s="1"/>
  <c r="AJ15" i="61"/>
  <c r="H48" i="62"/>
  <c r="H49" i="62"/>
  <c r="G18" i="68"/>
  <c r="Q23" i="37"/>
  <c r="B75" i="67" s="1"/>
  <c r="AL28" i="98"/>
  <c r="H3" i="98" s="1"/>
  <c r="J155" i="37"/>
  <c r="Q20" i="37"/>
  <c r="B72" i="67" s="1"/>
  <c r="J150" i="37"/>
  <c r="K158" i="37"/>
  <c r="Y206" i="37" s="1"/>
  <c r="K153" i="37"/>
  <c r="Y201" i="37" s="1"/>
  <c r="AJ3" i="50"/>
  <c r="F3" i="50" s="1"/>
  <c r="AP3" i="48"/>
  <c r="AQ3" i="48"/>
  <c r="J44" i="64"/>
  <c r="AK4" i="33"/>
  <c r="AJ4" i="33"/>
  <c r="AP3" i="66"/>
  <c r="H28" i="66" s="1"/>
  <c r="AO3" i="66"/>
  <c r="H3" i="66" s="1"/>
  <c r="AN3" i="66"/>
  <c r="G28" i="66" s="1"/>
  <c r="AM3" i="66"/>
  <c r="G3" i="66" s="1"/>
  <c r="AI22" i="61"/>
  <c r="AJ21" i="61"/>
  <c r="I4" i="98"/>
  <c r="H10" i="98"/>
  <c r="H4" i="98"/>
  <c r="H9" i="98"/>
  <c r="BK81" i="16"/>
  <c r="AH50" i="16" s="1"/>
  <c r="Q92" i="16"/>
  <c r="Q93" i="16"/>
  <c r="Q94" i="16"/>
  <c r="Q95" i="16"/>
  <c r="Q96" i="16"/>
  <c r="Q97" i="16"/>
  <c r="Q98" i="16"/>
  <c r="N99" i="16"/>
  <c r="Q99" i="16"/>
  <c r="Q100" i="16"/>
  <c r="AL12" i="52" l="1"/>
  <c r="E12" i="52" s="1"/>
  <c r="H11" i="98"/>
  <c r="AL37" i="98"/>
  <c r="H36" i="98"/>
  <c r="AM37" i="98"/>
  <c r="H13" i="57"/>
  <c r="H38" i="57"/>
  <c r="AH12" i="55"/>
  <c r="Q15" i="37"/>
  <c r="B67" i="67" s="1"/>
  <c r="G258" i="37"/>
  <c r="Q24" i="37"/>
  <c r="B76" i="67" s="1"/>
  <c r="J159" i="37"/>
  <c r="J148" i="37"/>
  <c r="G247" i="37"/>
  <c r="J152" i="37"/>
  <c r="G251" i="37"/>
  <c r="J154" i="37"/>
  <c r="G253" i="37"/>
  <c r="Q19" i="37"/>
  <c r="B71" i="67" s="1"/>
  <c r="Q13" i="37"/>
  <c r="B65" i="67" s="1"/>
  <c r="G248" i="37"/>
  <c r="J149" i="37"/>
  <c r="Q14" i="37"/>
  <c r="B66" i="67" s="1"/>
  <c r="L150" i="37"/>
  <c r="Z198" i="37" s="1"/>
  <c r="X198" i="37"/>
  <c r="Q22" i="37"/>
  <c r="B74" i="67" s="1"/>
  <c r="G256" i="37"/>
  <c r="J157" i="37"/>
  <c r="Q17" i="37"/>
  <c r="B69" i="67" s="1"/>
  <c r="L153" i="37"/>
  <c r="Z201" i="37" s="1"/>
  <c r="X201" i="37"/>
  <c r="G250" i="37"/>
  <c r="J151" i="37"/>
  <c r="Q16" i="37"/>
  <c r="B68" i="67" s="1"/>
  <c r="L155" i="37"/>
  <c r="Z203" i="37" s="1"/>
  <c r="X203" i="37"/>
  <c r="G255" i="37"/>
  <c r="J156" i="37"/>
  <c r="Q21" i="37"/>
  <c r="B73" i="67" s="1"/>
  <c r="L158" i="37"/>
  <c r="Z206" i="37" s="1"/>
  <c r="X206" i="37"/>
  <c r="AQ16" i="49"/>
  <c r="AJ20" i="64"/>
  <c r="AJ13" i="48"/>
  <c r="AJ16" i="48"/>
  <c r="AJ18" i="48"/>
  <c r="AJ15" i="48"/>
  <c r="AJ20" i="48"/>
  <c r="AJ23" i="48"/>
  <c r="AJ19" i="48"/>
  <c r="AJ14" i="48"/>
  <c r="AJ21" i="48"/>
  <c r="AJ17" i="48"/>
  <c r="AJ24" i="48"/>
  <c r="AJ22" i="48"/>
  <c r="J107" i="49"/>
  <c r="K106" i="49"/>
  <c r="L106" i="49"/>
  <c r="AQ14" i="48"/>
  <c r="H39" i="48" s="1"/>
  <c r="AP16" i="48"/>
  <c r="H16" i="48" s="1"/>
  <c r="AP23" i="48"/>
  <c r="H23" i="48" s="1"/>
  <c r="AO12" i="58"/>
  <c r="AO18" i="58"/>
  <c r="J18" i="58" s="1"/>
  <c r="J43" i="58" s="1"/>
  <c r="AL13" i="58"/>
  <c r="AK17" i="33"/>
  <c r="AH16" i="55"/>
  <c r="H16" i="55" s="1"/>
  <c r="AL24" i="58"/>
  <c r="AH15" i="55"/>
  <c r="H15" i="55" s="1"/>
  <c r="AL14" i="58"/>
  <c r="AN18" i="58"/>
  <c r="I18" i="58" s="1"/>
  <c r="I43" i="58" s="1"/>
  <c r="AN14" i="58"/>
  <c r="I14" i="58" s="1"/>
  <c r="I39" i="58" s="1"/>
  <c r="AN12" i="58"/>
  <c r="I12" i="58" s="1"/>
  <c r="I37" i="58" s="1"/>
  <c r="AQ13" i="49"/>
  <c r="AP15" i="49"/>
  <c r="AL22" i="58"/>
  <c r="AQ17" i="48"/>
  <c r="H42" i="48" s="1"/>
  <c r="AP13" i="48"/>
  <c r="H13" i="48" s="1"/>
  <c r="AP21" i="49"/>
  <c r="AM15" i="52"/>
  <c r="E40" i="52" s="1"/>
  <c r="AQ24" i="48"/>
  <c r="H49" i="48" s="1"/>
  <c r="AJ14" i="33"/>
  <c r="AJ16" i="33"/>
  <c r="AN21" i="58"/>
  <c r="I21" i="58" s="1"/>
  <c r="I46" i="58" s="1"/>
  <c r="AM16" i="58"/>
  <c r="D41" i="58" s="1"/>
  <c r="AQ14" i="49"/>
  <c r="AH17" i="55"/>
  <c r="H17" i="55" s="1"/>
  <c r="AM18" i="58"/>
  <c r="D43" i="58" s="1"/>
  <c r="AM19" i="58"/>
  <c r="D44" i="58" s="1"/>
  <c r="AP16" i="49"/>
  <c r="AQ12" i="48"/>
  <c r="H37" i="48" s="1"/>
  <c r="AL17" i="52"/>
  <c r="E17" i="52" s="1"/>
  <c r="AH15" i="53"/>
  <c r="H15" i="53" s="1"/>
  <c r="H40" i="53" s="1"/>
  <c r="AP24" i="49"/>
  <c r="AQ19" i="49"/>
  <c r="AH14" i="53"/>
  <c r="H14" i="53" s="1"/>
  <c r="H39" i="53" s="1"/>
  <c r="AP17" i="49"/>
  <c r="AJ14" i="64"/>
  <c r="J39" i="64" s="1"/>
  <c r="AQ13" i="48"/>
  <c r="H38" i="48" s="1"/>
  <c r="AL19" i="52"/>
  <c r="E19" i="52" s="1"/>
  <c r="AK15" i="33"/>
  <c r="AP19" i="49"/>
  <c r="AK16" i="33"/>
  <c r="AL19" i="58"/>
  <c r="AN17" i="58"/>
  <c r="I17" i="58" s="1"/>
  <c r="I42" i="58" s="1"/>
  <c r="AQ25" i="49"/>
  <c r="AQ18" i="48"/>
  <c r="H43" i="48" s="1"/>
  <c r="AQ19" i="48"/>
  <c r="H44" i="48" s="1"/>
  <c r="AQ23" i="48"/>
  <c r="H48" i="48" s="1"/>
  <c r="AM17" i="52"/>
  <c r="E42" i="52" s="1"/>
  <c r="AH17" i="53"/>
  <c r="H17" i="53" s="1"/>
  <c r="H42" i="53" s="1"/>
  <c r="AJ13" i="64"/>
  <c r="J38" i="64" s="1"/>
  <c r="AP22" i="48"/>
  <c r="H22" i="48" s="1"/>
  <c r="AP14" i="48"/>
  <c r="H14" i="48" s="1"/>
  <c r="AQ22" i="48"/>
  <c r="H47" i="48" s="1"/>
  <c r="AJ12" i="64"/>
  <c r="J37" i="64" s="1"/>
  <c r="AP18" i="48"/>
  <c r="H18" i="48" s="1"/>
  <c r="AH13" i="53"/>
  <c r="H13" i="53" s="1"/>
  <c r="H38" i="53" s="1"/>
  <c r="AQ21" i="48"/>
  <c r="H46" i="48" s="1"/>
  <c r="AP17" i="48"/>
  <c r="H17" i="48" s="1"/>
  <c r="AH12" i="53"/>
  <c r="H12" i="53" s="1"/>
  <c r="H37" i="53" s="1"/>
  <c r="AO23" i="58"/>
  <c r="J23" i="58" s="1"/>
  <c r="J48" i="58" s="1"/>
  <c r="AN24" i="58"/>
  <c r="I24" i="58" s="1"/>
  <c r="I49" i="58" s="1"/>
  <c r="AP12" i="48"/>
  <c r="H12" i="48" s="1"/>
  <c r="AQ15" i="48"/>
  <c r="H40" i="48" s="1"/>
  <c r="AM17" i="58"/>
  <c r="D42" i="58" s="1"/>
  <c r="AM22" i="58"/>
  <c r="D47" i="58" s="1"/>
  <c r="AP23" i="49"/>
  <c r="AJ16" i="64"/>
  <c r="J41" i="64" s="1"/>
  <c r="AP15" i="48"/>
  <c r="H15" i="48" s="1"/>
  <c r="AQ16" i="48"/>
  <c r="H41" i="48" s="1"/>
  <c r="AP21" i="48"/>
  <c r="H21" i="48" s="1"/>
  <c r="AL22" i="52"/>
  <c r="E22" i="52" s="1"/>
  <c r="AK24" i="33"/>
  <c r="AL17" i="58"/>
  <c r="AO15" i="58"/>
  <c r="AJ15" i="64"/>
  <c r="J40" i="64" s="1"/>
  <c r="AP13" i="66"/>
  <c r="H38" i="66" s="1"/>
  <c r="AO13" i="66"/>
  <c r="H13" i="66" s="1"/>
  <c r="AL16" i="51"/>
  <c r="F41" i="51" s="1"/>
  <c r="AM13" i="52"/>
  <c r="E38" i="52" s="1"/>
  <c r="AJ24" i="33"/>
  <c r="AK21" i="33"/>
  <c r="AH14" i="55"/>
  <c r="H14" i="55" s="1"/>
  <c r="AP13" i="49"/>
  <c r="AP22" i="49"/>
  <c r="AQ23" i="49"/>
  <c r="AK20" i="51"/>
  <c r="F20" i="51" s="1"/>
  <c r="AQ20" i="48"/>
  <c r="H45" i="48" s="1"/>
  <c r="AL15" i="52"/>
  <c r="E15" i="52" s="1"/>
  <c r="AO12" i="66"/>
  <c r="H12" i="66" s="1"/>
  <c r="AK22" i="33"/>
  <c r="AK13" i="33"/>
  <c r="AH13" i="55"/>
  <c r="H13" i="55" s="1"/>
  <c r="AQ18" i="49"/>
  <c r="AQ24" i="49"/>
  <c r="AP18" i="49"/>
  <c r="AL22" i="51"/>
  <c r="F47" i="51" s="1"/>
  <c r="AP12" i="66"/>
  <c r="H37" i="66" s="1"/>
  <c r="AQ17" i="49"/>
  <c r="AQ15" i="49"/>
  <c r="AK22" i="51"/>
  <c r="F22" i="51" s="1"/>
  <c r="AK18" i="51"/>
  <c r="F18" i="51" s="1"/>
  <c r="AP20" i="48"/>
  <c r="H20" i="48" s="1"/>
  <c r="AL16" i="52"/>
  <c r="E16" i="52" s="1"/>
  <c r="AM21" i="52"/>
  <c r="E46" i="52" s="1"/>
  <c r="AK20" i="33"/>
  <c r="AQ21" i="49"/>
  <c r="AP20" i="49"/>
  <c r="AQ20" i="49"/>
  <c r="AL23" i="51"/>
  <c r="F48" i="51" s="1"/>
  <c r="AP19" i="48"/>
  <c r="H19" i="48" s="1"/>
  <c r="AM19" i="52"/>
  <c r="E44" i="52" s="1"/>
  <c r="AL13" i="52"/>
  <c r="E13" i="52" s="1"/>
  <c r="AH16" i="53"/>
  <c r="H16" i="53" s="1"/>
  <c r="H41" i="53" s="1"/>
  <c r="AK23" i="33"/>
  <c r="AH18" i="55"/>
  <c r="H18" i="55" s="1"/>
  <c r="AN22" i="58"/>
  <c r="I22" i="58" s="1"/>
  <c r="I47" i="58" s="1"/>
  <c r="AL20" i="58"/>
  <c r="AP14" i="49"/>
  <c r="AQ22" i="49"/>
  <c r="F4" i="50"/>
  <c r="F29" i="50"/>
  <c r="AK18" i="60"/>
  <c r="H43" i="60" s="1"/>
  <c r="AK14" i="60"/>
  <c r="H39" i="60" s="1"/>
  <c r="AK21" i="51"/>
  <c r="F21" i="51" s="1"/>
  <c r="AL18" i="51"/>
  <c r="F43" i="51" s="1"/>
  <c r="AL19" i="51"/>
  <c r="F44" i="51" s="1"/>
  <c r="AM20" i="52"/>
  <c r="E45" i="52" s="1"/>
  <c r="AM12" i="52"/>
  <c r="E37" i="52" s="1"/>
  <c r="AM16" i="52"/>
  <c r="E41" i="52" s="1"/>
  <c r="AM18" i="52"/>
  <c r="E43" i="52" s="1"/>
  <c r="AJ18" i="33"/>
  <c r="AJ15" i="33"/>
  <c r="AJ13" i="33"/>
  <c r="AJ12" i="50"/>
  <c r="F12" i="50" s="1"/>
  <c r="AI13" i="50"/>
  <c r="AI37" i="50"/>
  <c r="AM21" i="58"/>
  <c r="D46" i="58" s="1"/>
  <c r="AL21" i="58"/>
  <c r="AO17" i="58"/>
  <c r="J17" i="58" s="1"/>
  <c r="J42" i="58" s="1"/>
  <c r="AO13" i="58"/>
  <c r="AM24" i="58"/>
  <c r="D49" i="58" s="1"/>
  <c r="AK13" i="60"/>
  <c r="H38" i="60" s="1"/>
  <c r="AI21" i="60"/>
  <c r="AK14" i="51"/>
  <c r="F14" i="51" s="1"/>
  <c r="AK17" i="51"/>
  <c r="F17" i="51" s="1"/>
  <c r="AL17" i="51"/>
  <c r="F42" i="51" s="1"/>
  <c r="AJ19" i="33"/>
  <c r="AM20" i="58"/>
  <c r="D45" i="58" s="1"/>
  <c r="AK17" i="60"/>
  <c r="H42" i="60" s="1"/>
  <c r="AK14" i="35"/>
  <c r="AL13" i="35"/>
  <c r="H13" i="35" s="1"/>
  <c r="AN13" i="35"/>
  <c r="K13" i="35" s="1"/>
  <c r="E92" i="35" s="1"/>
  <c r="T130" i="35" s="1"/>
  <c r="AO13" i="35"/>
  <c r="K38" i="35" s="1"/>
  <c r="AM13" i="35"/>
  <c r="H38" i="35" s="1"/>
  <c r="AK13" i="51"/>
  <c r="F13" i="51" s="1"/>
  <c r="AK23" i="51"/>
  <c r="F23" i="51" s="1"/>
  <c r="AK16" i="51"/>
  <c r="F16" i="51" s="1"/>
  <c r="AL13" i="51"/>
  <c r="F38" i="51" s="1"/>
  <c r="AL18" i="52"/>
  <c r="E18" i="52" s="1"/>
  <c r="AL20" i="52"/>
  <c r="E20" i="52" s="1"/>
  <c r="AL14" i="52"/>
  <c r="E14" i="52" s="1"/>
  <c r="AJ23" i="33"/>
  <c r="AJ20" i="33"/>
  <c r="AJ17" i="33"/>
  <c r="AG20" i="55"/>
  <c r="AH19" i="55"/>
  <c r="H19" i="55" s="1"/>
  <c r="AN16" i="58"/>
  <c r="I16" i="58" s="1"/>
  <c r="I41" i="58" s="1"/>
  <c r="AN20" i="58"/>
  <c r="I20" i="58" s="1"/>
  <c r="I45" i="58" s="1"/>
  <c r="AO19" i="58"/>
  <c r="J19" i="58" s="1"/>
  <c r="J44" i="58" s="1"/>
  <c r="AL12" i="58"/>
  <c r="AN19" i="58"/>
  <c r="I19" i="58" s="1"/>
  <c r="I44" i="58" s="1"/>
  <c r="AM12" i="58"/>
  <c r="D37" i="58" s="1"/>
  <c r="AK12" i="60"/>
  <c r="H37" i="60" s="1"/>
  <c r="AK16" i="60"/>
  <c r="H41" i="60" s="1"/>
  <c r="AK15" i="51"/>
  <c r="F15" i="51" s="1"/>
  <c r="AL15" i="51"/>
  <c r="F40" i="51" s="1"/>
  <c r="AK12" i="51"/>
  <c r="F12" i="51" s="1"/>
  <c r="AL18" i="58"/>
  <c r="AN15" i="58"/>
  <c r="I15" i="58" s="1"/>
  <c r="I40" i="58" s="1"/>
  <c r="AM14" i="58"/>
  <c r="D39" i="58" s="1"/>
  <c r="AM13" i="58"/>
  <c r="D38" i="58" s="1"/>
  <c r="AK19" i="60"/>
  <c r="H44" i="60" s="1"/>
  <c r="AL24" i="51"/>
  <c r="F49" i="51" s="1"/>
  <c r="AL20" i="51"/>
  <c r="F45" i="51" s="1"/>
  <c r="AL21" i="51"/>
  <c r="F46" i="51" s="1"/>
  <c r="AL21" i="52"/>
  <c r="E21" i="52" s="1"/>
  <c r="AM14" i="52"/>
  <c r="E39" i="52" s="1"/>
  <c r="AM23" i="52"/>
  <c r="E48" i="52" s="1"/>
  <c r="AK12" i="54"/>
  <c r="AK13" i="54" s="1"/>
  <c r="AK14" i="54" s="1"/>
  <c r="AK15" i="54" s="1"/>
  <c r="AK16" i="54" s="1"/>
  <c r="AK17" i="54" s="1"/>
  <c r="AK18" i="54" s="1"/>
  <c r="AK19" i="54" s="1"/>
  <c r="AK20" i="54" s="1"/>
  <c r="AK19" i="33"/>
  <c r="AK14" i="33"/>
  <c r="AJ25" i="33"/>
  <c r="AN23" i="58"/>
  <c r="I23" i="58" s="1"/>
  <c r="I48" i="58" s="1"/>
  <c r="AM23" i="58"/>
  <c r="D48" i="58" s="1"/>
  <c r="AO21" i="58"/>
  <c r="J21" i="58" s="1"/>
  <c r="J46" i="58" s="1"/>
  <c r="AL15" i="58"/>
  <c r="AO16" i="58"/>
  <c r="AO20" i="58"/>
  <c r="J20" i="58" s="1"/>
  <c r="J45" i="58" s="1"/>
  <c r="AK15" i="60"/>
  <c r="H40" i="60" s="1"/>
  <c r="AJ18" i="64"/>
  <c r="AL14" i="51"/>
  <c r="F39" i="51" s="1"/>
  <c r="AK19" i="51"/>
  <c r="F19" i="51" s="1"/>
  <c r="AL12" i="51"/>
  <c r="F37" i="51" s="1"/>
  <c r="AL23" i="52"/>
  <c r="E23" i="52" s="1"/>
  <c r="AM24" i="52"/>
  <c r="E49" i="52" s="1"/>
  <c r="AM22" i="52"/>
  <c r="E47" i="52" s="1"/>
  <c r="AL12" i="54"/>
  <c r="AL13" i="54" s="1"/>
  <c r="AL14" i="54" s="1"/>
  <c r="AL15" i="54" s="1"/>
  <c r="AL16" i="54" s="1"/>
  <c r="AL17" i="54" s="1"/>
  <c r="AL18" i="54" s="1"/>
  <c r="AL19" i="54" s="1"/>
  <c r="AL20" i="54" s="1"/>
  <c r="AL21" i="54" s="1"/>
  <c r="AL22" i="54" s="1"/>
  <c r="AL23" i="54" s="1"/>
  <c r="AL24" i="54" s="1"/>
  <c r="AG19" i="53"/>
  <c r="AH18" i="53"/>
  <c r="H18" i="53" s="1"/>
  <c r="AL14" i="66"/>
  <c r="AJ21" i="33"/>
  <c r="AK18" i="33"/>
  <c r="AJ22" i="33"/>
  <c r="H12" i="55"/>
  <c r="AO22" i="58"/>
  <c r="J22" i="58" s="1"/>
  <c r="J47" i="58" s="1"/>
  <c r="AM15" i="58"/>
  <c r="D40" i="58" s="1"/>
  <c r="AN13" i="58"/>
  <c r="I13" i="58" s="1"/>
  <c r="I38" i="58" s="1"/>
  <c r="AO14" i="58"/>
  <c r="AL16" i="58"/>
  <c r="AL23" i="58"/>
  <c r="AJ17" i="64"/>
  <c r="AJ19" i="64"/>
  <c r="E92" i="16"/>
  <c r="AL4" i="140"/>
  <c r="AM4" i="140" s="1"/>
  <c r="E133" i="67"/>
  <c r="F28" i="50"/>
  <c r="K150" i="37"/>
  <c r="Y198" i="37" s="1"/>
  <c r="K155" i="37"/>
  <c r="Y203" i="37" s="1"/>
  <c r="J45" i="64"/>
  <c r="AI23" i="61"/>
  <c r="AJ22" i="61"/>
  <c r="AI22" i="64"/>
  <c r="AJ21" i="64"/>
  <c r="I5" i="98"/>
  <c r="I29" i="98"/>
  <c r="C64" i="66"/>
  <c r="C63" i="66"/>
  <c r="C62" i="66"/>
  <c r="C61" i="66"/>
  <c r="C60" i="66"/>
  <c r="C59" i="66"/>
  <c r="C58" i="66"/>
  <c r="C57" i="66"/>
  <c r="C56" i="66"/>
  <c r="C55" i="66"/>
  <c r="C54" i="66"/>
  <c r="C53" i="66"/>
  <c r="AM38" i="98" l="1"/>
  <c r="H37" i="98"/>
  <c r="AL38" i="98"/>
  <c r="H12" i="98"/>
  <c r="L151" i="37"/>
  <c r="Z199" i="37" s="1"/>
  <c r="X199" i="37"/>
  <c r="K151" i="37"/>
  <c r="Y199" i="37" s="1"/>
  <c r="L154" i="37"/>
  <c r="Z202" i="37" s="1"/>
  <c r="X202" i="37"/>
  <c r="K154" i="37"/>
  <c r="Y202" i="37" s="1"/>
  <c r="L152" i="37"/>
  <c r="Z200" i="37" s="1"/>
  <c r="X200" i="37"/>
  <c r="K152" i="37"/>
  <c r="Y200" i="37" s="1"/>
  <c r="L156" i="37"/>
  <c r="Z204" i="37" s="1"/>
  <c r="X204" i="37"/>
  <c r="K156" i="37"/>
  <c r="Y204" i="37" s="1"/>
  <c r="L149" i="37"/>
  <c r="Z197" i="37" s="1"/>
  <c r="X197" i="37"/>
  <c r="K149" i="37"/>
  <c r="Y197" i="37" s="1"/>
  <c r="L148" i="37"/>
  <c r="Z196" i="37" s="1"/>
  <c r="X196" i="37"/>
  <c r="K148" i="37"/>
  <c r="Y196" i="37" s="1"/>
  <c r="L157" i="37"/>
  <c r="Z205" i="37" s="1"/>
  <c r="X205" i="37"/>
  <c r="K157" i="37"/>
  <c r="Y205" i="37" s="1"/>
  <c r="L159" i="37"/>
  <c r="Z207" i="37" s="1"/>
  <c r="X207" i="37"/>
  <c r="K159" i="37"/>
  <c r="Y207" i="37" s="1"/>
  <c r="J108" i="49"/>
  <c r="K107" i="49"/>
  <c r="L107" i="49"/>
  <c r="AG21" i="55"/>
  <c r="AH20" i="55"/>
  <c r="H20" i="55" s="1"/>
  <c r="AK15" i="35"/>
  <c r="AL14" i="35"/>
  <c r="H14" i="35" s="1"/>
  <c r="AM14" i="35"/>
  <c r="H39" i="35" s="1"/>
  <c r="AN14" i="35"/>
  <c r="K14" i="35" s="1"/>
  <c r="E93" i="35" s="1"/>
  <c r="T131" i="35" s="1"/>
  <c r="AO14" i="35"/>
  <c r="K39" i="35" s="1"/>
  <c r="AL15" i="66"/>
  <c r="AP14" i="66"/>
  <c r="H39" i="66" s="1"/>
  <c r="AO14" i="66"/>
  <c r="H14" i="66" s="1"/>
  <c r="AI14" i="50"/>
  <c r="AI38" i="50"/>
  <c r="AJ13" i="50"/>
  <c r="F13" i="50" s="1"/>
  <c r="AI22" i="60"/>
  <c r="AK21" i="60"/>
  <c r="H46" i="60" s="1"/>
  <c r="H43" i="53"/>
  <c r="AG20" i="53"/>
  <c r="AH19" i="53"/>
  <c r="H19" i="53" s="1"/>
  <c r="J46" i="64"/>
  <c r="AK21" i="54"/>
  <c r="E64" i="66"/>
  <c r="F64" i="66" s="1"/>
  <c r="E63" i="66"/>
  <c r="F63" i="66" s="1"/>
  <c r="AI24" i="61"/>
  <c r="AJ24" i="61" s="1"/>
  <c r="AJ23" i="61"/>
  <c r="AI23" i="64"/>
  <c r="AJ22" i="64"/>
  <c r="I30" i="98"/>
  <c r="I6" i="98"/>
  <c r="E55" i="66"/>
  <c r="F55" i="66" s="1"/>
  <c r="E57" i="66"/>
  <c r="F57" i="66" s="1"/>
  <c r="E59" i="66"/>
  <c r="F59" i="66" s="1"/>
  <c r="J87" i="66" s="1"/>
  <c r="W125" i="66" s="1"/>
  <c r="E53" i="66"/>
  <c r="F53" i="66" s="1"/>
  <c r="E54" i="66"/>
  <c r="E58" i="66"/>
  <c r="F58" i="66" s="1"/>
  <c r="J86" i="66" s="1"/>
  <c r="W124" i="66" s="1"/>
  <c r="E56" i="66"/>
  <c r="E60" i="66"/>
  <c r="E61" i="66"/>
  <c r="E62" i="66"/>
  <c r="F62" i="66" s="1"/>
  <c r="J90" i="66" s="1"/>
  <c r="W128" i="66" s="1"/>
  <c r="AL39" i="98" l="1"/>
  <c r="H13" i="98"/>
  <c r="AM39" i="98"/>
  <c r="H38" i="98"/>
  <c r="J109" i="49"/>
  <c r="K108" i="49"/>
  <c r="L108" i="49"/>
  <c r="H44" i="53"/>
  <c r="AG21" i="53"/>
  <c r="AH20" i="53"/>
  <c r="H20" i="53" s="1"/>
  <c r="AI15" i="50"/>
  <c r="AI39" i="50"/>
  <c r="AJ14" i="50"/>
  <c r="F14" i="50" s="1"/>
  <c r="AG22" i="55"/>
  <c r="AH21" i="55"/>
  <c r="H21" i="55" s="1"/>
  <c r="AI23" i="60"/>
  <c r="AK22" i="60"/>
  <c r="H47" i="60" s="1"/>
  <c r="AL16" i="66"/>
  <c r="AP15" i="66"/>
  <c r="H40" i="66" s="1"/>
  <c r="AO15" i="66"/>
  <c r="H15" i="66" s="1"/>
  <c r="G40" i="66"/>
  <c r="AK16" i="35"/>
  <c r="AL15" i="35"/>
  <c r="H15" i="35" s="1"/>
  <c r="AM15" i="35"/>
  <c r="H40" i="35" s="1"/>
  <c r="AN15" i="35"/>
  <c r="K15" i="35" s="1"/>
  <c r="E94" i="35" s="1"/>
  <c r="T132" i="35" s="1"/>
  <c r="AO15" i="35"/>
  <c r="K40" i="35" s="1"/>
  <c r="Q7" i="66"/>
  <c r="W59" i="67" s="1"/>
  <c r="J85" i="66"/>
  <c r="W123" i="66" s="1"/>
  <c r="L86" i="66"/>
  <c r="Y124" i="66" s="1"/>
  <c r="K86" i="66"/>
  <c r="X124" i="66" s="1"/>
  <c r="J91" i="66"/>
  <c r="W129" i="66" s="1"/>
  <c r="Q13" i="66"/>
  <c r="W65" i="67" s="1"/>
  <c r="L90" i="66"/>
  <c r="Y128" i="66" s="1"/>
  <c r="K90" i="66"/>
  <c r="X128" i="66" s="1"/>
  <c r="J92" i="66"/>
  <c r="W130" i="66" s="1"/>
  <c r="Q14" i="66"/>
  <c r="W66" i="67" s="1"/>
  <c r="L87" i="66"/>
  <c r="Y125" i="66" s="1"/>
  <c r="K87" i="66"/>
  <c r="X125" i="66" s="1"/>
  <c r="J47" i="64"/>
  <c r="AK22" i="54"/>
  <c r="AI24" i="64"/>
  <c r="AJ24" i="64" s="1"/>
  <c r="AJ23" i="64"/>
  <c r="I7" i="98"/>
  <c r="I31" i="98"/>
  <c r="F54" i="66"/>
  <c r="Q4" i="66" s="1"/>
  <c r="W56" i="67" s="1"/>
  <c r="F56" i="66"/>
  <c r="F60" i="66"/>
  <c r="Q9" i="66"/>
  <c r="W61" i="67" s="1"/>
  <c r="Q8" i="66"/>
  <c r="W60" i="67" s="1"/>
  <c r="F61" i="66"/>
  <c r="Q12" i="66"/>
  <c r="W64" i="67" s="1"/>
  <c r="Q3" i="66"/>
  <c r="W55" i="67" s="1"/>
  <c r="Q5" i="66"/>
  <c r="W57" i="67" s="1"/>
  <c r="H39" i="98" l="1"/>
  <c r="AM40" i="98"/>
  <c r="AL40" i="98"/>
  <c r="H14" i="98"/>
  <c r="J110" i="49"/>
  <c r="L109" i="49"/>
  <c r="K109" i="49"/>
  <c r="AI16" i="50"/>
  <c r="AI40" i="50"/>
  <c r="AJ15" i="50"/>
  <c r="F15" i="50" s="1"/>
  <c r="AK17" i="35"/>
  <c r="AL16" i="35"/>
  <c r="H16" i="35" s="1"/>
  <c r="AO16" i="35"/>
  <c r="K41" i="35" s="1"/>
  <c r="AM16" i="35"/>
  <c r="H41" i="35" s="1"/>
  <c r="AN16" i="35"/>
  <c r="K16" i="35" s="1"/>
  <c r="E95" i="35" s="1"/>
  <c r="T133" i="35" s="1"/>
  <c r="AI24" i="60"/>
  <c r="AK23" i="60"/>
  <c r="H48" i="60" s="1"/>
  <c r="AL17" i="66"/>
  <c r="AN16" i="66"/>
  <c r="G41" i="66" s="1"/>
  <c r="AM16" i="66"/>
  <c r="G16" i="66" s="1"/>
  <c r="AO16" i="66"/>
  <c r="H16" i="66" s="1"/>
  <c r="AP16" i="66"/>
  <c r="H41" i="66" s="1"/>
  <c r="H45" i="53"/>
  <c r="AG23" i="55"/>
  <c r="AH22" i="55"/>
  <c r="H22" i="55" s="1"/>
  <c r="AG22" i="53"/>
  <c r="AH21" i="53"/>
  <c r="H21" i="53" s="1"/>
  <c r="L92" i="66"/>
  <c r="Y130" i="66" s="1"/>
  <c r="K92" i="66"/>
  <c r="X130" i="66" s="1"/>
  <c r="Q10" i="66"/>
  <c r="W62" i="67" s="1"/>
  <c r="J88" i="66"/>
  <c r="W126" i="66" s="1"/>
  <c r="Q11" i="66"/>
  <c r="W63" i="67" s="1"/>
  <c r="J89" i="66"/>
  <c r="W127" i="66" s="1"/>
  <c r="L91" i="66"/>
  <c r="Y129" i="66" s="1"/>
  <c r="K91" i="66"/>
  <c r="X129" i="66" s="1"/>
  <c r="Q6" i="66"/>
  <c r="W58" i="67" s="1"/>
  <c r="J84" i="66"/>
  <c r="W122" i="66" s="1"/>
  <c r="L85" i="66"/>
  <c r="Y123" i="66" s="1"/>
  <c r="K85" i="66"/>
  <c r="X123" i="66" s="1"/>
  <c r="J48" i="64"/>
  <c r="J49" i="64"/>
  <c r="AK23" i="54"/>
  <c r="I8" i="98"/>
  <c r="I32" i="98"/>
  <c r="AL41" i="98" l="1"/>
  <c r="H15" i="98"/>
  <c r="AM41" i="98"/>
  <c r="H40" i="98"/>
  <c r="J111" i="49"/>
  <c r="L110" i="49"/>
  <c r="K110" i="49"/>
  <c r="AG23" i="53"/>
  <c r="AH22" i="53"/>
  <c r="H22" i="53" s="1"/>
  <c r="AH23" i="55"/>
  <c r="H23" i="55" s="1"/>
  <c r="AG24" i="55"/>
  <c r="AH24" i="55" s="1"/>
  <c r="H24" i="55" s="1"/>
  <c r="AK18" i="35"/>
  <c r="AM17" i="35"/>
  <c r="H42" i="35" s="1"/>
  <c r="AN17" i="35"/>
  <c r="K17" i="35" s="1"/>
  <c r="E96" i="35" s="1"/>
  <c r="T134" i="35" s="1"/>
  <c r="AL17" i="35"/>
  <c r="H17" i="35" s="1"/>
  <c r="AO17" i="35"/>
  <c r="K42" i="35" s="1"/>
  <c r="AI17" i="50"/>
  <c r="AI41" i="50"/>
  <c r="AJ16" i="50"/>
  <c r="F16" i="50" s="1"/>
  <c r="AK24" i="60"/>
  <c r="H49" i="60" s="1"/>
  <c r="AL18" i="66"/>
  <c r="AM17" i="66"/>
  <c r="G17" i="66" s="1"/>
  <c r="AN17" i="66"/>
  <c r="G42" i="66" s="1"/>
  <c r="AO17" i="66"/>
  <c r="H17" i="66" s="1"/>
  <c r="AP17" i="66"/>
  <c r="H42" i="66" s="1"/>
  <c r="H46" i="53"/>
  <c r="L84" i="66"/>
  <c r="Y122" i="66" s="1"/>
  <c r="K84" i="66"/>
  <c r="X122" i="66" s="1"/>
  <c r="L89" i="66"/>
  <c r="Y127" i="66" s="1"/>
  <c r="K89" i="66"/>
  <c r="X127" i="66" s="1"/>
  <c r="L88" i="66"/>
  <c r="Y126" i="66" s="1"/>
  <c r="K88" i="66"/>
  <c r="X126" i="66" s="1"/>
  <c r="AK24" i="54"/>
  <c r="I9" i="98"/>
  <c r="I33" i="98"/>
  <c r="AM42" i="98" l="1"/>
  <c r="H41" i="98"/>
  <c r="AL42" i="98"/>
  <c r="H16" i="98"/>
  <c r="J112" i="49"/>
  <c r="L111" i="49"/>
  <c r="K111" i="49"/>
  <c r="AL19" i="66"/>
  <c r="AP18" i="66"/>
  <c r="H43" i="66" s="1"/>
  <c r="AO18" i="66"/>
  <c r="H18" i="66" s="1"/>
  <c r="AN18" i="66"/>
  <c r="G43" i="66" s="1"/>
  <c r="AM18" i="66"/>
  <c r="G18" i="66" s="1"/>
  <c r="AK19" i="35"/>
  <c r="AO18" i="35"/>
  <c r="K43" i="35" s="1"/>
  <c r="AN18" i="35"/>
  <c r="K18" i="35" s="1"/>
  <c r="E97" i="35" s="1"/>
  <c r="T135" i="35" s="1"/>
  <c r="AM18" i="35"/>
  <c r="H43" i="35" s="1"/>
  <c r="AL18" i="35"/>
  <c r="H18" i="35" s="1"/>
  <c r="H47" i="53"/>
  <c r="AG24" i="53"/>
  <c r="AH24" i="53" s="1"/>
  <c r="H24" i="53" s="1"/>
  <c r="AH23" i="53"/>
  <c r="H23" i="53" s="1"/>
  <c r="AI18" i="50"/>
  <c r="AI42" i="50"/>
  <c r="AJ17" i="50"/>
  <c r="F17" i="50" s="1"/>
  <c r="I10" i="98"/>
  <c r="I34" i="98"/>
  <c r="AL43" i="98" l="1"/>
  <c r="H17" i="98"/>
  <c r="AM43" i="98"/>
  <c r="H42" i="98"/>
  <c r="J113" i="49"/>
  <c r="L112" i="49"/>
  <c r="K112" i="49"/>
  <c r="H48" i="53"/>
  <c r="H49" i="53"/>
  <c r="AM19" i="35"/>
  <c r="H44" i="35" s="1"/>
  <c r="AK20" i="35"/>
  <c r="AL19" i="35"/>
  <c r="H19" i="35" s="1"/>
  <c r="AN19" i="35"/>
  <c r="K19" i="35" s="1"/>
  <c r="E98" i="35" s="1"/>
  <c r="T136" i="35" s="1"/>
  <c r="AO19" i="35"/>
  <c r="K44" i="35" s="1"/>
  <c r="AL20" i="66"/>
  <c r="AP19" i="66"/>
  <c r="H44" i="66" s="1"/>
  <c r="AO19" i="66"/>
  <c r="H19" i="66" s="1"/>
  <c r="AM19" i="66"/>
  <c r="G19" i="66" s="1"/>
  <c r="AN19" i="66"/>
  <c r="G44" i="66" s="1"/>
  <c r="AI19" i="50"/>
  <c r="AI43" i="50"/>
  <c r="AJ18" i="50"/>
  <c r="F18" i="50" s="1"/>
  <c r="I11" i="98"/>
  <c r="I35" i="98"/>
  <c r="AM44" i="98" l="1"/>
  <c r="H43" i="98"/>
  <c r="AL44" i="98"/>
  <c r="H18" i="98"/>
  <c r="J114" i="49"/>
  <c r="K113" i="49"/>
  <c r="L113" i="49"/>
  <c r="AM20" i="35"/>
  <c r="H45" i="35" s="1"/>
  <c r="AK21" i="35"/>
  <c r="AL20" i="35"/>
  <c r="H20" i="35" s="1"/>
  <c r="AN20" i="35"/>
  <c r="K20" i="35" s="1"/>
  <c r="E99" i="35" s="1"/>
  <c r="T137" i="35" s="1"/>
  <c r="AO20" i="35"/>
  <c r="K45" i="35" s="1"/>
  <c r="AO20" i="66"/>
  <c r="H20" i="66" s="1"/>
  <c r="AP20" i="66"/>
  <c r="H45" i="66" s="1"/>
  <c r="AL21" i="66"/>
  <c r="AN20" i="66"/>
  <c r="G45" i="66" s="1"/>
  <c r="AM20" i="66"/>
  <c r="G20" i="66" s="1"/>
  <c r="AI20" i="50"/>
  <c r="AI44" i="50"/>
  <c r="AJ19" i="50"/>
  <c r="F19" i="50" s="1"/>
  <c r="I12" i="98"/>
  <c r="I13" i="98" s="1"/>
  <c r="I36" i="98"/>
  <c r="AL45" i="98" l="1"/>
  <c r="AL46" i="98" s="1"/>
  <c r="AL47" i="98" s="1"/>
  <c r="AL48" i="98" s="1"/>
  <c r="H19" i="98"/>
  <c r="AM45" i="98"/>
  <c r="AM46" i="98" s="1"/>
  <c r="AM47" i="98" s="1"/>
  <c r="AM48" i="98" s="1"/>
  <c r="H44" i="98"/>
  <c r="J115" i="49"/>
  <c r="K114" i="49"/>
  <c r="L114" i="49"/>
  <c r="AI45" i="50"/>
  <c r="AI21" i="50"/>
  <c r="AJ20" i="50"/>
  <c r="F20" i="50" s="1"/>
  <c r="AK22" i="35"/>
  <c r="AM21" i="35"/>
  <c r="H46" i="35" s="1"/>
  <c r="AL21" i="35"/>
  <c r="H21" i="35" s="1"/>
  <c r="AN21" i="35"/>
  <c r="K21" i="35" s="1"/>
  <c r="E100" i="35" s="1"/>
  <c r="T138" i="35" s="1"/>
  <c r="AO21" i="35"/>
  <c r="K46" i="35" s="1"/>
  <c r="AN21" i="66"/>
  <c r="G46" i="66" s="1"/>
  <c r="AL22" i="66"/>
  <c r="AO21" i="66"/>
  <c r="H21" i="66" s="1"/>
  <c r="AP21" i="66"/>
  <c r="H46" i="66" s="1"/>
  <c r="AM21" i="66"/>
  <c r="G21" i="66" s="1"/>
  <c r="I14" i="98"/>
  <c r="I38" i="98"/>
  <c r="I37" i="98"/>
  <c r="H45" i="98" l="1"/>
  <c r="H20" i="98"/>
  <c r="J116" i="49"/>
  <c r="K115" i="49"/>
  <c r="L115" i="49"/>
  <c r="AI22" i="50"/>
  <c r="AI46" i="50"/>
  <c r="AJ21" i="50"/>
  <c r="F21" i="50" s="1"/>
  <c r="AN22" i="35"/>
  <c r="K22" i="35" s="1"/>
  <c r="E101" i="35" s="1"/>
  <c r="T139" i="35" s="1"/>
  <c r="AK23" i="35"/>
  <c r="AL22" i="35"/>
  <c r="H22" i="35" s="1"/>
  <c r="AO22" i="35"/>
  <c r="K47" i="35" s="1"/>
  <c r="AM22" i="35"/>
  <c r="H47" i="35" s="1"/>
  <c r="AN22" i="66"/>
  <c r="G47" i="66" s="1"/>
  <c r="AL23" i="66"/>
  <c r="AM22" i="66"/>
  <c r="G22" i="66" s="1"/>
  <c r="AO22" i="66"/>
  <c r="H22" i="66" s="1"/>
  <c r="AP22" i="66"/>
  <c r="H47" i="66" s="1"/>
  <c r="I15" i="98"/>
  <c r="I39" i="98"/>
  <c r="C64" i="61"/>
  <c r="C63" i="61"/>
  <c r="C62" i="61"/>
  <c r="D62" i="61" s="1"/>
  <c r="C61" i="61"/>
  <c r="D61" i="61" s="1"/>
  <c r="C60" i="61"/>
  <c r="D60" i="61" s="1"/>
  <c r="C59" i="61"/>
  <c r="D59" i="61" s="1"/>
  <c r="C58" i="61"/>
  <c r="D58" i="61" s="1"/>
  <c r="C57" i="61"/>
  <c r="D57" i="61" s="1"/>
  <c r="C56" i="61"/>
  <c r="D56" i="61" s="1"/>
  <c r="C55" i="61"/>
  <c r="D55" i="61" s="1"/>
  <c r="C54" i="61"/>
  <c r="D54" i="61" s="1"/>
  <c r="C53" i="61"/>
  <c r="D53" i="61" s="1"/>
  <c r="H21" i="98" l="1"/>
  <c r="H46" i="98"/>
  <c r="J117" i="49"/>
  <c r="K116" i="49"/>
  <c r="L116" i="49"/>
  <c r="AI47" i="50"/>
  <c r="AJ22" i="50"/>
  <c r="F22" i="50" s="1"/>
  <c r="AI23" i="50"/>
  <c r="AM23" i="35"/>
  <c r="H48" i="35" s="1"/>
  <c r="AO23" i="35"/>
  <c r="K48" i="35" s="1"/>
  <c r="AN23" i="35"/>
  <c r="K23" i="35" s="1"/>
  <c r="E102" i="35" s="1"/>
  <c r="T140" i="35" s="1"/>
  <c r="AK24" i="35"/>
  <c r="AL23" i="35"/>
  <c r="H23" i="35" s="1"/>
  <c r="AL24" i="66"/>
  <c r="AM23" i="66"/>
  <c r="G23" i="66" s="1"/>
  <c r="AN23" i="66"/>
  <c r="G48" i="66" s="1"/>
  <c r="AP23" i="66"/>
  <c r="H48" i="66" s="1"/>
  <c r="AO23" i="66"/>
  <c r="H23" i="66" s="1"/>
  <c r="I16" i="98"/>
  <c r="I40" i="98"/>
  <c r="F63" i="61"/>
  <c r="D63" i="61"/>
  <c r="G63" i="61" s="1"/>
  <c r="F64" i="61"/>
  <c r="D64" i="61"/>
  <c r="G64" i="61" s="1"/>
  <c r="F57" i="61"/>
  <c r="G57" i="61" s="1"/>
  <c r="F58" i="61"/>
  <c r="G58" i="61" s="1"/>
  <c r="F59" i="61"/>
  <c r="G59" i="61" s="1"/>
  <c r="F60" i="61"/>
  <c r="G60" i="61" s="1"/>
  <c r="F61" i="61"/>
  <c r="G61" i="61" s="1"/>
  <c r="F54" i="61"/>
  <c r="G54" i="61" s="1"/>
  <c r="P4" i="61" s="1"/>
  <c r="U56" i="67" s="1"/>
  <c r="F62" i="61"/>
  <c r="G62" i="61" s="1"/>
  <c r="F55" i="61"/>
  <c r="G55" i="61" s="1"/>
  <c r="P5" i="61" s="1"/>
  <c r="U57" i="67" s="1"/>
  <c r="F53" i="61"/>
  <c r="G53" i="61" s="1"/>
  <c r="P3" i="61" s="1"/>
  <c r="U55" i="67" s="1"/>
  <c r="F56" i="61"/>
  <c r="G56" i="61" s="1"/>
  <c r="C62" i="65"/>
  <c r="C61" i="65"/>
  <c r="C60" i="65"/>
  <c r="C59" i="65"/>
  <c r="C58" i="65"/>
  <c r="C57" i="65"/>
  <c r="C56" i="65"/>
  <c r="C55" i="65"/>
  <c r="C54" i="65"/>
  <c r="C53" i="65"/>
  <c r="H47" i="98" l="1"/>
  <c r="H22" i="98"/>
  <c r="P10" i="61"/>
  <c r="U62" i="67" s="1"/>
  <c r="J88" i="61"/>
  <c r="W126" i="61" s="1"/>
  <c r="P6" i="61"/>
  <c r="U58" i="67" s="1"/>
  <c r="J84" i="61"/>
  <c r="W122" i="61" s="1"/>
  <c r="P9" i="61"/>
  <c r="U61" i="67" s="1"/>
  <c r="J87" i="61"/>
  <c r="W125" i="61" s="1"/>
  <c r="P7" i="61"/>
  <c r="U59" i="67" s="1"/>
  <c r="J85" i="61"/>
  <c r="W123" i="61" s="1"/>
  <c r="P14" i="61"/>
  <c r="U66" i="67" s="1"/>
  <c r="J92" i="61"/>
  <c r="W130" i="61" s="1"/>
  <c r="J118" i="49"/>
  <c r="L117" i="49"/>
  <c r="K117" i="49"/>
  <c r="P13" i="61"/>
  <c r="U65" i="67" s="1"/>
  <c r="J91" i="61"/>
  <c r="W129" i="61" s="1"/>
  <c r="P11" i="61"/>
  <c r="U63" i="67" s="1"/>
  <c r="J89" i="61"/>
  <c r="W127" i="61" s="1"/>
  <c r="P8" i="61"/>
  <c r="U60" i="67" s="1"/>
  <c r="J86" i="61"/>
  <c r="W124" i="61" s="1"/>
  <c r="P12" i="61"/>
  <c r="U64" i="67" s="1"/>
  <c r="J90" i="61"/>
  <c r="W128" i="61" s="1"/>
  <c r="AO24" i="66"/>
  <c r="H24" i="66" s="1"/>
  <c r="AP24" i="66"/>
  <c r="H49" i="66" s="1"/>
  <c r="AN24" i="66"/>
  <c r="G49" i="66" s="1"/>
  <c r="AM24" i="66"/>
  <c r="G24" i="66" s="1"/>
  <c r="AM24" i="35"/>
  <c r="H49" i="35" s="1"/>
  <c r="AL24" i="35"/>
  <c r="H24" i="35" s="1"/>
  <c r="AO24" i="35"/>
  <c r="K49" i="35" s="1"/>
  <c r="AN24" i="35"/>
  <c r="K24" i="35" s="1"/>
  <c r="E103" i="35" s="1"/>
  <c r="T141" i="35" s="1"/>
  <c r="AJ23" i="50"/>
  <c r="F23" i="50" s="1"/>
  <c r="AI48" i="50"/>
  <c r="AI24" i="50"/>
  <c r="I17" i="98"/>
  <c r="I41" i="98"/>
  <c r="D59" i="65"/>
  <c r="H59" i="65" s="1"/>
  <c r="D58" i="65"/>
  <c r="H58" i="65" s="1"/>
  <c r="E58" i="65"/>
  <c r="D60" i="65"/>
  <c r="G60" i="65" s="1"/>
  <c r="E60" i="65"/>
  <c r="E59" i="65"/>
  <c r="D57" i="65"/>
  <c r="G57" i="65" s="1"/>
  <c r="E57" i="65"/>
  <c r="D53" i="65"/>
  <c r="H53" i="65" s="1"/>
  <c r="E53" i="65"/>
  <c r="D54" i="65"/>
  <c r="H54" i="65" s="1"/>
  <c r="E54" i="65"/>
  <c r="D62" i="65"/>
  <c r="H62" i="65" s="1"/>
  <c r="E62" i="65"/>
  <c r="D56" i="65"/>
  <c r="G56" i="65" s="1"/>
  <c r="E56" i="65"/>
  <c r="D61" i="65"/>
  <c r="E61" i="65"/>
  <c r="D55" i="65"/>
  <c r="H55" i="65" s="1"/>
  <c r="E55" i="65"/>
  <c r="AM49" i="98" l="1"/>
  <c r="H49" i="98" s="1"/>
  <c r="H48" i="98"/>
  <c r="AL49" i="98"/>
  <c r="H24" i="98" s="1"/>
  <c r="H23" i="98"/>
  <c r="G59" i="65"/>
  <c r="I59" i="65" s="1"/>
  <c r="L87" i="61"/>
  <c r="Y125" i="61" s="1"/>
  <c r="K87" i="61"/>
  <c r="X125" i="61" s="1"/>
  <c r="L90" i="61"/>
  <c r="Y128" i="61" s="1"/>
  <c r="K90" i="61"/>
  <c r="L84" i="61"/>
  <c r="Y122" i="61" s="1"/>
  <c r="K84" i="61"/>
  <c r="L89" i="61"/>
  <c r="Y127" i="61" s="1"/>
  <c r="K89" i="61"/>
  <c r="X127" i="61" s="1"/>
  <c r="K92" i="61"/>
  <c r="X130" i="61" s="1"/>
  <c r="L92" i="61"/>
  <c r="Y130" i="61" s="1"/>
  <c r="J119" i="49"/>
  <c r="L118" i="49"/>
  <c r="K118" i="49"/>
  <c r="K88" i="61"/>
  <c r="X126" i="61" s="1"/>
  <c r="L88" i="61"/>
  <c r="Y126" i="61" s="1"/>
  <c r="L86" i="61"/>
  <c r="Y124" i="61" s="1"/>
  <c r="K86" i="61"/>
  <c r="X124" i="61" s="1"/>
  <c r="L91" i="61"/>
  <c r="Y129" i="61" s="1"/>
  <c r="K91" i="61"/>
  <c r="X129" i="61" s="1"/>
  <c r="L85" i="61"/>
  <c r="Y123" i="61" s="1"/>
  <c r="K85" i="61"/>
  <c r="X123" i="61" s="1"/>
  <c r="AI49" i="50"/>
  <c r="AJ24" i="50"/>
  <c r="F24" i="50" s="1"/>
  <c r="I18" i="98"/>
  <c r="I42" i="98"/>
  <c r="G58" i="65"/>
  <c r="G62" i="65"/>
  <c r="I62" i="65" s="1"/>
  <c r="J93" i="65" s="1"/>
  <c r="W131" i="65" s="1"/>
  <c r="G53" i="65"/>
  <c r="I53" i="65" s="1"/>
  <c r="H61" i="65"/>
  <c r="H56" i="65"/>
  <c r="I56" i="65" s="1"/>
  <c r="J87" i="65" s="1"/>
  <c r="W125" i="65" s="1"/>
  <c r="H60" i="65"/>
  <c r="I60" i="65" s="1"/>
  <c r="J91" i="65" s="1"/>
  <c r="W129" i="65" s="1"/>
  <c r="G61" i="65"/>
  <c r="G55" i="65"/>
  <c r="I55" i="65" s="1"/>
  <c r="G54" i="65"/>
  <c r="I54" i="65" s="1"/>
  <c r="H57" i="65"/>
  <c r="I57" i="65" s="1"/>
  <c r="J88" i="65" s="1"/>
  <c r="W126" i="65" s="1"/>
  <c r="X122" i="61" l="1"/>
  <c r="X128" i="61"/>
  <c r="J90" i="65"/>
  <c r="W128" i="65" s="1"/>
  <c r="R9" i="65"/>
  <c r="O61" i="67" s="1"/>
  <c r="I61" i="65"/>
  <c r="J92" i="65" s="1"/>
  <c r="W130" i="65" s="1"/>
  <c r="N85" i="61"/>
  <c r="AA123" i="61" s="1"/>
  <c r="L92" i="65"/>
  <c r="Y130" i="65" s="1"/>
  <c r="K92" i="65"/>
  <c r="X130" i="65" s="1"/>
  <c r="L91" i="65"/>
  <c r="Y129" i="65" s="1"/>
  <c r="K91" i="65"/>
  <c r="X129" i="65" s="1"/>
  <c r="J120" i="49"/>
  <c r="L119" i="49"/>
  <c r="K119" i="49"/>
  <c r="L88" i="65"/>
  <c r="Y126" i="65" s="1"/>
  <c r="K88" i="65"/>
  <c r="K87" i="65"/>
  <c r="X125" i="65" s="1"/>
  <c r="L87" i="65"/>
  <c r="Y125" i="65" s="1"/>
  <c r="K93" i="65"/>
  <c r="X131" i="65" s="1"/>
  <c r="L93" i="65"/>
  <c r="Y131" i="65" s="1"/>
  <c r="I19" i="98"/>
  <c r="I43" i="98"/>
  <c r="I58" i="65"/>
  <c r="R10" i="65"/>
  <c r="O62" i="67" s="1"/>
  <c r="R12" i="65"/>
  <c r="O64" i="67" s="1"/>
  <c r="R6" i="65"/>
  <c r="O58" i="67" s="1"/>
  <c r="R4" i="65"/>
  <c r="O56" i="67" s="1"/>
  <c r="R3" i="65"/>
  <c r="O55" i="67" s="1"/>
  <c r="R7" i="65"/>
  <c r="O59" i="67" s="1"/>
  <c r="R11" i="65"/>
  <c r="O63" i="67" s="1"/>
  <c r="R5" i="65"/>
  <c r="O57" i="67" s="1"/>
  <c r="L30" i="63"/>
  <c r="L29" i="63" s="1"/>
  <c r="L28" i="63" s="1"/>
  <c r="W62" i="32"/>
  <c r="W63" i="32"/>
  <c r="W64" i="32"/>
  <c r="W65" i="32" s="1"/>
  <c r="W66" i="32" s="1"/>
  <c r="W67" i="32" s="1"/>
  <c r="W61" i="32"/>
  <c r="W48" i="32"/>
  <c r="L6" i="63" s="1"/>
  <c r="E84" i="63" s="1"/>
  <c r="T122" i="63" s="1"/>
  <c r="W49" i="32"/>
  <c r="L7" i="63" s="1"/>
  <c r="E85" i="63" s="1"/>
  <c r="T123" i="63" s="1"/>
  <c r="W50" i="32"/>
  <c r="L8" i="63" s="1"/>
  <c r="E86" i="63" s="1"/>
  <c r="T124" i="63" s="1"/>
  <c r="W51" i="32"/>
  <c r="L9" i="63" s="1"/>
  <c r="E87" i="63" s="1"/>
  <c r="T125" i="63" s="1"/>
  <c r="P58" i="32"/>
  <c r="P45" i="32"/>
  <c r="P46" i="32"/>
  <c r="J58" i="32"/>
  <c r="K58" i="32"/>
  <c r="J59" i="32"/>
  <c r="P59" i="32" s="1"/>
  <c r="K59" i="32"/>
  <c r="Q59" i="32" s="1"/>
  <c r="J60" i="32"/>
  <c r="P60" i="32" s="1"/>
  <c r="K60" i="32"/>
  <c r="Q60" i="32" s="1"/>
  <c r="K45" i="32"/>
  <c r="Q45" i="32" s="1"/>
  <c r="K46" i="32"/>
  <c r="M46" i="32" s="1"/>
  <c r="L46" i="32"/>
  <c r="L45" i="32" s="1"/>
  <c r="R45" i="32" s="1"/>
  <c r="R62" i="32"/>
  <c r="R63" i="32"/>
  <c r="P64" i="32"/>
  <c r="R64" i="32"/>
  <c r="P61" i="32"/>
  <c r="Q49" i="32"/>
  <c r="R50" i="32"/>
  <c r="P48" i="32"/>
  <c r="M49" i="32"/>
  <c r="M50" i="32"/>
  <c r="L64" i="32"/>
  <c r="K64" i="32"/>
  <c r="Q64" i="32" s="1"/>
  <c r="J64" i="32"/>
  <c r="L63" i="32"/>
  <c r="K63" i="32"/>
  <c r="Q63" i="32" s="1"/>
  <c r="J63" i="32"/>
  <c r="P63" i="32" s="1"/>
  <c r="L62" i="32"/>
  <c r="K62" i="32"/>
  <c r="M62" i="32" s="1"/>
  <c r="J62" i="32"/>
  <c r="P62" i="32" s="1"/>
  <c r="L61" i="32"/>
  <c r="L60" i="32" s="1"/>
  <c r="K61" i="32"/>
  <c r="J61" i="32"/>
  <c r="L48" i="32"/>
  <c r="R48" i="32" s="1"/>
  <c r="L49" i="32"/>
  <c r="R49" i="32" s="1"/>
  <c r="L50" i="32"/>
  <c r="L51" i="32"/>
  <c r="R51" i="32" s="1"/>
  <c r="L47" i="32"/>
  <c r="R47" i="32" s="1"/>
  <c r="K48" i="32"/>
  <c r="Q48" i="32" s="1"/>
  <c r="K49" i="32"/>
  <c r="K50" i="32"/>
  <c r="Q50" i="32" s="1"/>
  <c r="K51" i="32"/>
  <c r="Q51" i="32" s="1"/>
  <c r="K47" i="32"/>
  <c r="Q47" i="32" s="1"/>
  <c r="J48" i="32"/>
  <c r="M48" i="32" s="1"/>
  <c r="J49" i="32"/>
  <c r="P49" i="32" s="1"/>
  <c r="J50" i="32"/>
  <c r="P50" i="32" s="1"/>
  <c r="G8" i="63" s="1"/>
  <c r="J51" i="32"/>
  <c r="M51" i="32" s="1"/>
  <c r="J47" i="32"/>
  <c r="P47" i="32" s="1"/>
  <c r="C64" i="63"/>
  <c r="E64" i="63" s="1"/>
  <c r="F64" i="63" s="1"/>
  <c r="C63" i="63"/>
  <c r="C62" i="63"/>
  <c r="C61" i="63"/>
  <c r="C60" i="63"/>
  <c r="C59" i="63"/>
  <c r="C58" i="63"/>
  <c r="E58" i="63" s="1"/>
  <c r="C57" i="63"/>
  <c r="C56" i="63"/>
  <c r="E56" i="63" s="1"/>
  <c r="C55" i="63"/>
  <c r="C54" i="63"/>
  <c r="C53" i="63"/>
  <c r="G5" i="63" l="1"/>
  <c r="S47" i="32"/>
  <c r="S62" i="32"/>
  <c r="G32" i="63"/>
  <c r="S61" i="32"/>
  <c r="R60" i="32"/>
  <c r="G30" i="63" s="1"/>
  <c r="L59" i="32"/>
  <c r="S63" i="32"/>
  <c r="G33" i="63"/>
  <c r="S50" i="32"/>
  <c r="S45" i="32"/>
  <c r="M61" i="32"/>
  <c r="M64" i="32"/>
  <c r="Q61" i="32"/>
  <c r="M45" i="32"/>
  <c r="R46" i="32"/>
  <c r="G4" i="63" s="1"/>
  <c r="Q58" i="32"/>
  <c r="P51" i="32"/>
  <c r="G9" i="63" s="1"/>
  <c r="M60" i="32"/>
  <c r="L33" i="63"/>
  <c r="M59" i="32"/>
  <c r="L32" i="63"/>
  <c r="G7" i="63"/>
  <c r="M47" i="32"/>
  <c r="G6" i="63"/>
  <c r="L31" i="63"/>
  <c r="L34" i="63"/>
  <c r="M63" i="32"/>
  <c r="S64" i="32"/>
  <c r="G34" i="63"/>
  <c r="G3" i="63"/>
  <c r="W52" i="32"/>
  <c r="Q46" i="32"/>
  <c r="Q62" i="32"/>
  <c r="R61" i="32"/>
  <c r="G31" i="63" s="1"/>
  <c r="N88" i="65"/>
  <c r="AA126" i="65" s="1"/>
  <c r="X126" i="65"/>
  <c r="K90" i="65"/>
  <c r="X128" i="65" s="1"/>
  <c r="L90" i="65"/>
  <c r="Y128" i="65" s="1"/>
  <c r="R8" i="65"/>
  <c r="O60" i="67" s="1"/>
  <c r="J89" i="65"/>
  <c r="W127" i="65" s="1"/>
  <c r="J121" i="49"/>
  <c r="L120" i="49"/>
  <c r="K120" i="49"/>
  <c r="J92" i="63"/>
  <c r="W130" i="63" s="1"/>
  <c r="Q14" i="63"/>
  <c r="N66" i="67" s="1"/>
  <c r="I20" i="98"/>
  <c r="I44" i="98"/>
  <c r="E63" i="63"/>
  <c r="F63" i="63" s="1"/>
  <c r="C60" i="64"/>
  <c r="C53" i="64"/>
  <c r="C61" i="64"/>
  <c r="C54" i="64"/>
  <c r="C62" i="64"/>
  <c r="C55" i="64"/>
  <c r="C56" i="64"/>
  <c r="C57" i="64"/>
  <c r="C58" i="64"/>
  <c r="C59" i="64"/>
  <c r="F56" i="63"/>
  <c r="F58" i="63"/>
  <c r="S48" i="32"/>
  <c r="S49" i="32"/>
  <c r="E57" i="63"/>
  <c r="F57" i="63" s="1"/>
  <c r="E59" i="63"/>
  <c r="F59" i="63" s="1"/>
  <c r="E54" i="63"/>
  <c r="F54" i="63" s="1"/>
  <c r="Q4" i="63" s="1"/>
  <c r="E55" i="63"/>
  <c r="F55" i="63" s="1"/>
  <c r="Q5" i="63" s="1"/>
  <c r="E53" i="63"/>
  <c r="F53" i="63" s="1"/>
  <c r="Q3" i="63" s="1"/>
  <c r="E61" i="63"/>
  <c r="F61" i="63" s="1"/>
  <c r="E62" i="63"/>
  <c r="F62" i="63" s="1"/>
  <c r="E60" i="63"/>
  <c r="F60" i="63" s="1"/>
  <c r="S51" i="32" l="1"/>
  <c r="S60" i="32"/>
  <c r="L10" i="63"/>
  <c r="W53" i="32"/>
  <c r="S46" i="32"/>
  <c r="L58" i="32"/>
  <c r="R59" i="32"/>
  <c r="J89" i="63"/>
  <c r="W127" i="63" s="1"/>
  <c r="Q11" i="63"/>
  <c r="N63" i="67" s="1"/>
  <c r="J122" i="49"/>
  <c r="K121" i="49"/>
  <c r="L121" i="49"/>
  <c r="L92" i="63"/>
  <c r="Y130" i="63" s="1"/>
  <c r="K92" i="63"/>
  <c r="J91" i="63"/>
  <c r="W129" i="63" s="1"/>
  <c r="Q13" i="63"/>
  <c r="N65" i="67" s="1"/>
  <c r="J86" i="63"/>
  <c r="W124" i="63" s="1"/>
  <c r="Q8" i="63"/>
  <c r="N60" i="67" s="1"/>
  <c r="J84" i="63"/>
  <c r="W122" i="63" s="1"/>
  <c r="Q6" i="63"/>
  <c r="N58" i="67" s="1"/>
  <c r="J88" i="63"/>
  <c r="W126" i="63" s="1"/>
  <c r="Q10" i="63"/>
  <c r="N62" i="67" s="1"/>
  <c r="J87" i="63"/>
  <c r="W125" i="63" s="1"/>
  <c r="Q9" i="63"/>
  <c r="N61" i="67" s="1"/>
  <c r="L89" i="65"/>
  <c r="Y127" i="65" s="1"/>
  <c r="K89" i="65"/>
  <c r="J90" i="63"/>
  <c r="W128" i="63" s="1"/>
  <c r="Q12" i="63"/>
  <c r="J85" i="63"/>
  <c r="W123" i="63" s="1"/>
  <c r="Q7" i="63"/>
  <c r="N59" i="67" s="1"/>
  <c r="I21" i="98"/>
  <c r="I45" i="98"/>
  <c r="E55" i="64"/>
  <c r="F55" i="64" s="1"/>
  <c r="O5" i="64" s="1"/>
  <c r="Q57" i="67" s="1"/>
  <c r="E62" i="64"/>
  <c r="F62" i="64" s="1"/>
  <c r="E60" i="64"/>
  <c r="F60" i="64" s="1"/>
  <c r="E56" i="64"/>
  <c r="F56" i="64" s="1"/>
  <c r="E54" i="64"/>
  <c r="F54" i="64" s="1"/>
  <c r="O4" i="64" s="1"/>
  <c r="Q56" i="67" s="1"/>
  <c r="E61" i="64"/>
  <c r="F61" i="64" s="1"/>
  <c r="E59" i="64"/>
  <c r="F59" i="64" s="1"/>
  <c r="E53" i="64"/>
  <c r="F53" i="64" s="1"/>
  <c r="O3" i="64" s="1"/>
  <c r="Q55" i="67" s="1"/>
  <c r="E58" i="64"/>
  <c r="F58" i="64" s="1"/>
  <c r="E57" i="64"/>
  <c r="F57" i="64" s="1"/>
  <c r="N55" i="67"/>
  <c r="N64" i="67"/>
  <c r="N57" i="67"/>
  <c r="N56" i="67"/>
  <c r="R58" i="32" l="1"/>
  <c r="M58" i="32"/>
  <c r="E88" i="63"/>
  <c r="T126" i="63" s="1"/>
  <c r="L35" i="63"/>
  <c r="L11" i="63"/>
  <c r="W54" i="32"/>
  <c r="G29" i="63"/>
  <c r="S59" i="32"/>
  <c r="X127" i="65"/>
  <c r="X130" i="63"/>
  <c r="L88" i="63"/>
  <c r="Y126" i="63" s="1"/>
  <c r="K88" i="63"/>
  <c r="L90" i="63"/>
  <c r="Y128" i="63" s="1"/>
  <c r="K90" i="63"/>
  <c r="X128" i="63" s="1"/>
  <c r="L86" i="63"/>
  <c r="Y124" i="63" s="1"/>
  <c r="K86" i="63"/>
  <c r="X124" i="63" s="1"/>
  <c r="K122" i="49"/>
  <c r="L122" i="49"/>
  <c r="K85" i="63"/>
  <c r="X123" i="63" s="1"/>
  <c r="L85" i="63"/>
  <c r="Y123" i="63" s="1"/>
  <c r="L84" i="63"/>
  <c r="Y122" i="63" s="1"/>
  <c r="K84" i="63"/>
  <c r="L87" i="63"/>
  <c r="Y125" i="63" s="1"/>
  <c r="K87" i="63"/>
  <c r="X125" i="63" s="1"/>
  <c r="L91" i="63"/>
  <c r="Y129" i="63" s="1"/>
  <c r="K91" i="63"/>
  <c r="X129" i="63" s="1"/>
  <c r="L89" i="63"/>
  <c r="Y127" i="63" s="1"/>
  <c r="K89" i="63"/>
  <c r="I22" i="98"/>
  <c r="I46" i="98"/>
  <c r="O6" i="64"/>
  <c r="Q58" i="67" s="1"/>
  <c r="J87" i="64"/>
  <c r="W125" i="64" s="1"/>
  <c r="O12" i="64"/>
  <c r="Q64" i="67" s="1"/>
  <c r="J93" i="64"/>
  <c r="W131" i="64" s="1"/>
  <c r="O11" i="64"/>
  <c r="Q63" i="67" s="1"/>
  <c r="J92" i="64"/>
  <c r="W130" i="64" s="1"/>
  <c r="O7" i="64"/>
  <c r="Q59" i="67" s="1"/>
  <c r="J88" i="64"/>
  <c r="W126" i="64" s="1"/>
  <c r="O8" i="64"/>
  <c r="Q60" i="67" s="1"/>
  <c r="J89" i="64"/>
  <c r="W127" i="64" s="1"/>
  <c r="O9" i="64"/>
  <c r="Q61" i="67" s="1"/>
  <c r="J90" i="64"/>
  <c r="W128" i="64" s="1"/>
  <c r="O10" i="64"/>
  <c r="Q62" i="67" s="1"/>
  <c r="J91" i="64"/>
  <c r="W129" i="64" s="1"/>
  <c r="C64" i="62"/>
  <c r="C63" i="62"/>
  <c r="C62" i="62"/>
  <c r="F62" i="62" s="1"/>
  <c r="C61" i="62"/>
  <c r="F61" i="62" s="1"/>
  <c r="C60" i="62"/>
  <c r="F60" i="62" s="1"/>
  <c r="C59" i="62"/>
  <c r="F59" i="62" s="1"/>
  <c r="C58" i="62"/>
  <c r="F58" i="62" s="1"/>
  <c r="C57" i="62"/>
  <c r="F57" i="62" s="1"/>
  <c r="C56" i="62"/>
  <c r="C55" i="62"/>
  <c r="F55" i="62" s="1"/>
  <c r="C54" i="62"/>
  <c r="F54" i="62" s="1"/>
  <c r="C53" i="62"/>
  <c r="F53" i="62" s="1"/>
  <c r="L12" i="63" l="1"/>
  <c r="E89" i="63"/>
  <c r="T127" i="63" s="1"/>
  <c r="L36" i="63"/>
  <c r="G28" i="63"/>
  <c r="S58" i="32"/>
  <c r="X127" i="63"/>
  <c r="X126" i="63"/>
  <c r="X122" i="63"/>
  <c r="F56" i="62"/>
  <c r="G56" i="62" s="1"/>
  <c r="F63" i="62"/>
  <c r="G63" i="62" s="1"/>
  <c r="N85" i="63"/>
  <c r="AA123" i="63" s="1"/>
  <c r="F64" i="62"/>
  <c r="G64" i="62" s="1"/>
  <c r="I23" i="98"/>
  <c r="I47" i="98"/>
  <c r="L88" i="64"/>
  <c r="Y126" i="64" s="1"/>
  <c r="K88" i="64"/>
  <c r="X126" i="64" s="1"/>
  <c r="L92" i="64"/>
  <c r="Y130" i="64" s="1"/>
  <c r="K92" i="64"/>
  <c r="K91" i="64"/>
  <c r="X129" i="64" s="1"/>
  <c r="L91" i="64"/>
  <c r="Y129" i="64" s="1"/>
  <c r="L90" i="64"/>
  <c r="Y128" i="64" s="1"/>
  <c r="K90" i="64"/>
  <c r="X128" i="64" s="1"/>
  <c r="L93" i="64"/>
  <c r="Y131" i="64" s="1"/>
  <c r="K93" i="64"/>
  <c r="X131" i="64" s="1"/>
  <c r="L87" i="64"/>
  <c r="Y125" i="64" s="1"/>
  <c r="K87" i="64"/>
  <c r="L89" i="64"/>
  <c r="Y127" i="64" s="1"/>
  <c r="K89" i="64"/>
  <c r="X127" i="64" s="1"/>
  <c r="G53" i="62"/>
  <c r="G55" i="62"/>
  <c r="G60" i="62"/>
  <c r="G54" i="62"/>
  <c r="G59" i="62"/>
  <c r="G61" i="62"/>
  <c r="G62" i="62"/>
  <c r="G58" i="62"/>
  <c r="G57" i="62"/>
  <c r="AT4" i="58"/>
  <c r="AT5" i="58"/>
  <c r="AT6" i="58"/>
  <c r="AT7" i="58"/>
  <c r="AT8" i="58"/>
  <c r="AT9" i="58"/>
  <c r="AT10" i="58"/>
  <c r="AT11" i="58"/>
  <c r="AT3" i="58"/>
  <c r="AS4" i="58"/>
  <c r="AS5" i="58"/>
  <c r="AS6" i="58"/>
  <c r="AS7" i="58"/>
  <c r="AS8" i="58"/>
  <c r="AS9" i="58"/>
  <c r="AS10" i="58"/>
  <c r="AS11" i="58"/>
  <c r="AS3" i="58"/>
  <c r="C64" i="60"/>
  <c r="C63" i="60"/>
  <c r="C62" i="60"/>
  <c r="C61" i="60"/>
  <c r="C60" i="60"/>
  <c r="C59" i="60"/>
  <c r="D59" i="60" s="1"/>
  <c r="C58" i="60"/>
  <c r="D58" i="60" s="1"/>
  <c r="C57" i="60"/>
  <c r="C56" i="60"/>
  <c r="C55" i="60"/>
  <c r="C54" i="60"/>
  <c r="C53" i="60"/>
  <c r="D53" i="60" s="1"/>
  <c r="I38" i="48"/>
  <c r="I39" i="48"/>
  <c r="I39" i="60" s="1"/>
  <c r="I40" i="48"/>
  <c r="I41" i="48"/>
  <c r="I41" i="60" s="1"/>
  <c r="I13" i="48"/>
  <c r="I14" i="48"/>
  <c r="I14" i="60" s="1"/>
  <c r="I15" i="48"/>
  <c r="I16" i="48"/>
  <c r="E90" i="63" l="1"/>
  <c r="T128" i="63" s="1"/>
  <c r="L13" i="63"/>
  <c r="L37" i="63"/>
  <c r="X125" i="64"/>
  <c r="X130" i="64"/>
  <c r="K91" i="62"/>
  <c r="W127" i="62" s="1"/>
  <c r="Q13" i="62"/>
  <c r="K65" i="67" s="1"/>
  <c r="K84" i="62"/>
  <c r="W120" i="62" s="1"/>
  <c r="Q6" i="62"/>
  <c r="K58" i="67" s="1"/>
  <c r="K86" i="62"/>
  <c r="W122" i="62" s="1"/>
  <c r="Q8" i="62"/>
  <c r="K60" i="67" s="1"/>
  <c r="K92" i="62"/>
  <c r="W128" i="62" s="1"/>
  <c r="Q14" i="62"/>
  <c r="K66" i="67" s="1"/>
  <c r="D63" i="60"/>
  <c r="F63" i="60"/>
  <c r="D64" i="60"/>
  <c r="F64" i="60"/>
  <c r="K89" i="62"/>
  <c r="W125" i="62" s="1"/>
  <c r="Q11" i="62"/>
  <c r="K63" i="67" s="1"/>
  <c r="K87" i="62"/>
  <c r="W123" i="62" s="1"/>
  <c r="Q9" i="62"/>
  <c r="K61" i="67" s="1"/>
  <c r="Q4" i="62"/>
  <c r="K56" i="67" s="1"/>
  <c r="N88" i="64"/>
  <c r="AA126" i="64" s="1"/>
  <c r="Q3" i="62"/>
  <c r="K55" i="67" s="1"/>
  <c r="K85" i="62"/>
  <c r="W121" i="62" s="1"/>
  <c r="Q7" i="62"/>
  <c r="K59" i="67" s="1"/>
  <c r="Q5" i="62"/>
  <c r="K57" i="67" s="1"/>
  <c r="K90" i="62"/>
  <c r="W126" i="62" s="1"/>
  <c r="Q12" i="62"/>
  <c r="K64" i="67" s="1"/>
  <c r="K88" i="62"/>
  <c r="W124" i="62" s="1"/>
  <c r="Q10" i="62"/>
  <c r="K62" i="67" s="1"/>
  <c r="I24" i="98"/>
  <c r="I49" i="98" s="1"/>
  <c r="I48" i="98"/>
  <c r="G13" i="64"/>
  <c r="I14" i="49"/>
  <c r="I143" i="49" s="1"/>
  <c r="H13" i="61"/>
  <c r="H13" i="59"/>
  <c r="I13" i="53"/>
  <c r="I13" i="63"/>
  <c r="I13" i="62"/>
  <c r="K13" i="65"/>
  <c r="G13" i="51"/>
  <c r="I13" i="55"/>
  <c r="I13" i="52"/>
  <c r="H13" i="54"/>
  <c r="J13" i="58"/>
  <c r="H16" i="61"/>
  <c r="G16" i="64"/>
  <c r="I17" i="49"/>
  <c r="I146" i="49" s="1"/>
  <c r="I16" i="60"/>
  <c r="H16" i="54"/>
  <c r="J16" i="58"/>
  <c r="H16" i="59"/>
  <c r="I16" i="53"/>
  <c r="I16" i="63"/>
  <c r="I16" i="62"/>
  <c r="K16" i="65"/>
  <c r="G16" i="51"/>
  <c r="I16" i="55"/>
  <c r="I16" i="52"/>
  <c r="G38" i="64"/>
  <c r="I38" i="52"/>
  <c r="I38" i="63"/>
  <c r="H38" i="59"/>
  <c r="I38" i="53"/>
  <c r="I38" i="62"/>
  <c r="I39" i="55"/>
  <c r="K38" i="65"/>
  <c r="G38" i="51"/>
  <c r="I38" i="60"/>
  <c r="G15" i="64"/>
  <c r="I16" i="49"/>
  <c r="I145" i="49" s="1"/>
  <c r="H15" i="61"/>
  <c r="I15" i="60"/>
  <c r="H15" i="54"/>
  <c r="J15" i="58"/>
  <c r="H15" i="59"/>
  <c r="I15" i="53"/>
  <c r="I15" i="63"/>
  <c r="I15" i="62"/>
  <c r="K15" i="65"/>
  <c r="G15" i="51"/>
  <c r="I15" i="55"/>
  <c r="I15" i="52"/>
  <c r="G14" i="64"/>
  <c r="I15" i="49"/>
  <c r="I144" i="49" s="1"/>
  <c r="H14" i="61"/>
  <c r="J14" i="58"/>
  <c r="H14" i="59"/>
  <c r="I14" i="53"/>
  <c r="I14" i="63"/>
  <c r="I14" i="62"/>
  <c r="K14" i="65"/>
  <c r="G14" i="51"/>
  <c r="I14" i="55"/>
  <c r="I14" i="52"/>
  <c r="H14" i="54"/>
  <c r="G40" i="64"/>
  <c r="I40" i="62"/>
  <c r="I41" i="55"/>
  <c r="K40" i="65"/>
  <c r="G40" i="51"/>
  <c r="I40" i="52"/>
  <c r="I40" i="63"/>
  <c r="H40" i="59"/>
  <c r="I40" i="53"/>
  <c r="G39" i="64"/>
  <c r="K39" i="65"/>
  <c r="G39" i="51"/>
  <c r="I39" i="52"/>
  <c r="I39" i="63"/>
  <c r="H39" i="59"/>
  <c r="I39" i="53"/>
  <c r="I40" i="55"/>
  <c r="I39" i="62"/>
  <c r="G41" i="64"/>
  <c r="I41" i="53"/>
  <c r="I41" i="62"/>
  <c r="I42" i="55"/>
  <c r="K41" i="65"/>
  <c r="G41" i="51"/>
  <c r="I41" i="52"/>
  <c r="I41" i="63"/>
  <c r="H41" i="59"/>
  <c r="I13" i="60"/>
  <c r="I40" i="60"/>
  <c r="D57" i="60"/>
  <c r="F55" i="60"/>
  <c r="D55" i="60"/>
  <c r="D62" i="60"/>
  <c r="D54" i="60"/>
  <c r="D60" i="60"/>
  <c r="D56" i="60"/>
  <c r="D61" i="60"/>
  <c r="F58" i="60"/>
  <c r="G58" i="60" s="1"/>
  <c r="F56" i="60"/>
  <c r="F53" i="60"/>
  <c r="G53" i="60" s="1"/>
  <c r="Q3" i="60" s="1"/>
  <c r="S55" i="67" s="1"/>
  <c r="F59" i="60"/>
  <c r="G59" i="60" s="1"/>
  <c r="F54" i="60"/>
  <c r="F60" i="60"/>
  <c r="F61" i="60"/>
  <c r="F62" i="60"/>
  <c r="F57" i="60"/>
  <c r="G57" i="60" s="1"/>
  <c r="L7" i="45"/>
  <c r="M7" i="45"/>
  <c r="N7" i="45"/>
  <c r="O7" i="45"/>
  <c r="P7" i="45"/>
  <c r="Q7" i="45"/>
  <c r="R7" i="45"/>
  <c r="T6" i="19"/>
  <c r="T7" i="19"/>
  <c r="C64" i="59"/>
  <c r="C63" i="59"/>
  <c r="C62" i="59"/>
  <c r="C61" i="59"/>
  <c r="C60" i="59"/>
  <c r="C59" i="59"/>
  <c r="C58" i="59"/>
  <c r="C57" i="59"/>
  <c r="C56" i="59"/>
  <c r="C55" i="59"/>
  <c r="C54" i="59"/>
  <c r="C53" i="59"/>
  <c r="L38" i="63" l="1"/>
  <c r="E91" i="63"/>
  <c r="T129" i="63" s="1"/>
  <c r="L14" i="63"/>
  <c r="X5" i="98"/>
  <c r="B5" i="98" s="1"/>
  <c r="X5" i="63"/>
  <c r="B5" i="63" s="1"/>
  <c r="X5" i="59"/>
  <c r="B5" i="59" s="1"/>
  <c r="X5" i="35"/>
  <c r="B5" i="35" s="1"/>
  <c r="X5" i="64"/>
  <c r="B5" i="64" s="1"/>
  <c r="X5" i="57"/>
  <c r="B5" i="57" s="1"/>
  <c r="X5" i="58"/>
  <c r="B5" i="58" s="1"/>
  <c r="X5" i="62"/>
  <c r="B5" i="62" s="1"/>
  <c r="X5" i="52"/>
  <c r="B5" i="52" s="1"/>
  <c r="X5" i="61"/>
  <c r="B5" i="61" s="1"/>
  <c r="X5" i="49"/>
  <c r="B6" i="49" s="1"/>
  <c r="X5" i="54"/>
  <c r="B5" i="54" s="1"/>
  <c r="X5" i="66"/>
  <c r="B5" i="66" s="1"/>
  <c r="X5" i="60"/>
  <c r="B5" i="60" s="1"/>
  <c r="X5" i="33"/>
  <c r="B6" i="33" s="1"/>
  <c r="X5" i="51"/>
  <c r="B5" i="51" s="1"/>
  <c r="X5" i="65"/>
  <c r="B5" i="65" s="1"/>
  <c r="X5" i="53"/>
  <c r="B5" i="53" s="1"/>
  <c r="X5" i="50"/>
  <c r="B5" i="50" s="1"/>
  <c r="W5" i="55"/>
  <c r="B5" i="55" s="1"/>
  <c r="Y5" i="48"/>
  <c r="B5" i="48" s="1"/>
  <c r="X4" i="59"/>
  <c r="B4" i="59" s="1"/>
  <c r="X4" i="51"/>
  <c r="B4" i="51" s="1"/>
  <c r="X4" i="66"/>
  <c r="B4" i="66" s="1"/>
  <c r="X4" i="60"/>
  <c r="B4" i="60" s="1"/>
  <c r="X4" i="53"/>
  <c r="B4" i="53" s="1"/>
  <c r="X4" i="63"/>
  <c r="B4" i="63" s="1"/>
  <c r="X4" i="58"/>
  <c r="B4" i="58" s="1"/>
  <c r="X4" i="62"/>
  <c r="B4" i="62" s="1"/>
  <c r="X4" i="52"/>
  <c r="B4" i="52" s="1"/>
  <c r="X4" i="98"/>
  <c r="B4" i="98" s="1"/>
  <c r="X4" i="65"/>
  <c r="B4" i="65" s="1"/>
  <c r="X4" i="35"/>
  <c r="B4" i="35" s="1"/>
  <c r="X4" i="64"/>
  <c r="B4" i="64" s="1"/>
  <c r="X4" i="57"/>
  <c r="B4" i="57" s="1"/>
  <c r="X4" i="61"/>
  <c r="B4" i="61" s="1"/>
  <c r="X4" i="49"/>
  <c r="B5" i="49" s="1"/>
  <c r="X4" i="54"/>
  <c r="B4" i="54" s="1"/>
  <c r="X4" i="33"/>
  <c r="B5" i="33" s="1"/>
  <c r="W4" i="55"/>
  <c r="B4" i="55" s="1"/>
  <c r="Y4" i="48"/>
  <c r="B4" i="48" s="1"/>
  <c r="X4" i="50"/>
  <c r="B4" i="50" s="1"/>
  <c r="G55" i="60"/>
  <c r="Q5" i="60" s="1"/>
  <c r="S57" i="67" s="1"/>
  <c r="G64" i="60"/>
  <c r="Q14" i="60" s="1"/>
  <c r="S66" i="67" s="1"/>
  <c r="AB5" i="37"/>
  <c r="B5" i="37" s="1"/>
  <c r="G63" i="60"/>
  <c r="Q13" i="60" s="1"/>
  <c r="S65" i="67" s="1"/>
  <c r="AB4" i="37"/>
  <c r="B4" i="37" s="1"/>
  <c r="Q9" i="60"/>
  <c r="S61" i="67" s="1"/>
  <c r="J87" i="60"/>
  <c r="W125" i="60" s="1"/>
  <c r="M85" i="62"/>
  <c r="Y121" i="62" s="1"/>
  <c r="L85" i="62"/>
  <c r="X121" i="62" s="1"/>
  <c r="M86" i="62"/>
  <c r="Y122" i="62" s="1"/>
  <c r="L86" i="62"/>
  <c r="X122" i="62" s="1"/>
  <c r="Q7" i="60"/>
  <c r="S59" i="67" s="1"/>
  <c r="J85" i="60"/>
  <c r="W123" i="60" s="1"/>
  <c r="M88" i="62"/>
  <c r="Y124" i="62" s="1"/>
  <c r="L88" i="62"/>
  <c r="X124" i="62" s="1"/>
  <c r="M87" i="62"/>
  <c r="Y123" i="62" s="1"/>
  <c r="L87" i="62"/>
  <c r="X123" i="62" s="1"/>
  <c r="L84" i="62"/>
  <c r="X120" i="62" s="1"/>
  <c r="M84" i="62"/>
  <c r="Y120" i="62" s="1"/>
  <c r="M90" i="62"/>
  <c r="Y126" i="62" s="1"/>
  <c r="L90" i="62"/>
  <c r="X126" i="62" s="1"/>
  <c r="M89" i="62"/>
  <c r="Y125" i="62" s="1"/>
  <c r="L89" i="62"/>
  <c r="X125" i="62" s="1"/>
  <c r="G62" i="60"/>
  <c r="M92" i="62"/>
  <c r="Y128" i="62" s="1"/>
  <c r="L92" i="62"/>
  <c r="X128" i="62" s="1"/>
  <c r="Q8" i="60"/>
  <c r="S60" i="67" s="1"/>
  <c r="J86" i="60"/>
  <c r="W124" i="60" s="1"/>
  <c r="G61" i="60"/>
  <c r="M91" i="62"/>
  <c r="Y127" i="62" s="1"/>
  <c r="L91" i="62"/>
  <c r="X127" i="62" s="1"/>
  <c r="E64" i="59"/>
  <c r="F64" i="59" s="1"/>
  <c r="E63" i="59"/>
  <c r="F63" i="59" s="1"/>
  <c r="J39" i="58"/>
  <c r="H40" i="61"/>
  <c r="H39" i="54"/>
  <c r="H39" i="61"/>
  <c r="I41" i="49"/>
  <c r="I171" i="49" s="1"/>
  <c r="H41" i="61"/>
  <c r="I40" i="49"/>
  <c r="I170" i="49" s="1"/>
  <c r="J41" i="58"/>
  <c r="H41" i="54"/>
  <c r="J38" i="58"/>
  <c r="H38" i="54"/>
  <c r="J40" i="58"/>
  <c r="I42" i="49"/>
  <c r="I172" i="49" s="1"/>
  <c r="H38" i="61"/>
  <c r="H40" i="54"/>
  <c r="I39" i="49"/>
  <c r="I169" i="49" s="1"/>
  <c r="G56" i="60"/>
  <c r="G60" i="60"/>
  <c r="G54" i="60"/>
  <c r="Q4" i="60" s="1"/>
  <c r="S56" i="67" s="1"/>
  <c r="E55" i="59"/>
  <c r="F55" i="59" s="1"/>
  <c r="P5" i="59" s="1"/>
  <c r="M57" i="67" s="1"/>
  <c r="E56" i="59"/>
  <c r="F56" i="59" s="1"/>
  <c r="E57" i="59"/>
  <c r="F57" i="59" s="1"/>
  <c r="E58" i="59"/>
  <c r="F58" i="59" s="1"/>
  <c r="E59" i="59"/>
  <c r="F59" i="59" s="1"/>
  <c r="E60" i="59"/>
  <c r="F60" i="59" s="1"/>
  <c r="E53" i="59"/>
  <c r="F53" i="59" s="1"/>
  <c r="P3" i="59" s="1"/>
  <c r="M55" i="67" s="1"/>
  <c r="E61" i="59"/>
  <c r="F61" i="59" s="1"/>
  <c r="E54" i="59"/>
  <c r="F54" i="59" s="1"/>
  <c r="P4" i="59" s="1"/>
  <c r="M56" i="67" s="1"/>
  <c r="E62" i="59"/>
  <c r="F62" i="59" s="1"/>
  <c r="J92" i="60" l="1"/>
  <c r="W130" i="60" s="1"/>
  <c r="E92" i="63"/>
  <c r="T130" i="63" s="1"/>
  <c r="L39" i="63"/>
  <c r="L15" i="63"/>
  <c r="W4" i="66"/>
  <c r="Y4" i="66"/>
  <c r="W4" i="33"/>
  <c r="Y4" i="33"/>
  <c r="W4" i="98"/>
  <c r="C4" i="98"/>
  <c r="Y4" i="98"/>
  <c r="W4" i="51"/>
  <c r="Y4" i="51"/>
  <c r="Y5" i="33"/>
  <c r="W5" i="33"/>
  <c r="Y5" i="58"/>
  <c r="W5" i="58"/>
  <c r="W4" i="52"/>
  <c r="B29" i="52"/>
  <c r="Y4" i="52"/>
  <c r="W4" i="59"/>
  <c r="Y4" i="59"/>
  <c r="Y5" i="60"/>
  <c r="W5" i="60"/>
  <c r="Y5" i="57"/>
  <c r="B30" i="57"/>
  <c r="W5" i="57"/>
  <c r="C4" i="55"/>
  <c r="F4" i="55" s="1"/>
  <c r="X4" i="55"/>
  <c r="V4" i="55"/>
  <c r="W4" i="49"/>
  <c r="Y4" i="49"/>
  <c r="B134" i="49" s="1"/>
  <c r="W4" i="62"/>
  <c r="B29" i="62"/>
  <c r="C29" i="62" s="1"/>
  <c r="Y4" i="62"/>
  <c r="X5" i="48"/>
  <c r="Z5" i="48"/>
  <c r="Y5" i="66"/>
  <c r="W5" i="66"/>
  <c r="Y5" i="64"/>
  <c r="W5" i="64"/>
  <c r="Y5" i="51"/>
  <c r="W5" i="51"/>
  <c r="W4" i="61"/>
  <c r="Y4" i="61"/>
  <c r="W4" i="58"/>
  <c r="B29" i="58"/>
  <c r="C29" i="58" s="1"/>
  <c r="D29" i="58" s="1"/>
  <c r="Y4" i="58"/>
  <c r="B31" i="55"/>
  <c r="C31" i="55" s="1"/>
  <c r="F31" i="55" s="1"/>
  <c r="X5" i="55"/>
  <c r="V5" i="55"/>
  <c r="Y5" i="54"/>
  <c r="B30" i="54"/>
  <c r="W5" i="54"/>
  <c r="W5" i="35"/>
  <c r="B30" i="35"/>
  <c r="Y5" i="35"/>
  <c r="Y5" i="62"/>
  <c r="W5" i="62"/>
  <c r="W4" i="57"/>
  <c r="B29" i="57"/>
  <c r="C29" i="57" s="1"/>
  <c r="Y4" i="57"/>
  <c r="W4" i="63"/>
  <c r="Y4" i="63"/>
  <c r="W5" i="50"/>
  <c r="Y5" i="50"/>
  <c r="W5" i="49"/>
  <c r="Y5" i="49"/>
  <c r="B135" i="49" s="1"/>
  <c r="Y5" i="59"/>
  <c r="W5" i="59"/>
  <c r="W4" i="65"/>
  <c r="Y4" i="65"/>
  <c r="Y4" i="50"/>
  <c r="W4" i="50"/>
  <c r="W4" i="64"/>
  <c r="Y4" i="64"/>
  <c r="W4" i="53"/>
  <c r="Y4" i="53"/>
  <c r="B29" i="53" s="1"/>
  <c r="Y5" i="53"/>
  <c r="B30" i="53" s="1"/>
  <c r="C30" i="53" s="1"/>
  <c r="F30" i="53" s="1"/>
  <c r="W5" i="53"/>
  <c r="Y5" i="61"/>
  <c r="W5" i="61"/>
  <c r="W5" i="63"/>
  <c r="Y5" i="63"/>
  <c r="W4" i="54"/>
  <c r="B29" i="54"/>
  <c r="Y4" i="54"/>
  <c r="Z4" i="48"/>
  <c r="X4" i="48"/>
  <c r="W4" i="35"/>
  <c r="B29" i="35"/>
  <c r="C29" i="35" s="1"/>
  <c r="F29" i="35" s="1"/>
  <c r="Y4" i="35"/>
  <c r="W4" i="60"/>
  <c r="Y4" i="60"/>
  <c r="Y5" i="65"/>
  <c r="W5" i="65"/>
  <c r="Y5" i="52"/>
  <c r="B30" i="52"/>
  <c r="W5" i="52"/>
  <c r="Y5" i="98"/>
  <c r="W5" i="98"/>
  <c r="J91" i="60"/>
  <c r="W129" i="60" s="1"/>
  <c r="B29" i="66"/>
  <c r="C29" i="66" s="1"/>
  <c r="E29" i="66" s="1"/>
  <c r="F29" i="66" s="1"/>
  <c r="C4" i="66"/>
  <c r="B29" i="61"/>
  <c r="C29" i="61" s="1"/>
  <c r="C4" i="61"/>
  <c r="B30" i="62"/>
  <c r="C30" i="62" s="1"/>
  <c r="C5" i="62"/>
  <c r="B29" i="60"/>
  <c r="C29" i="60" s="1"/>
  <c r="C4" i="60"/>
  <c r="B30" i="63"/>
  <c r="C30" i="63" s="1"/>
  <c r="E30" i="63" s="1"/>
  <c r="F30" i="63" s="1"/>
  <c r="C5" i="63"/>
  <c r="B30" i="66"/>
  <c r="C30" i="66" s="1"/>
  <c r="E30" i="66" s="1"/>
  <c r="F30" i="66" s="1"/>
  <c r="C5" i="66"/>
  <c r="B29" i="63"/>
  <c r="C29" i="63" s="1"/>
  <c r="C4" i="63"/>
  <c r="B30" i="61"/>
  <c r="C30" i="61" s="1"/>
  <c r="C5" i="61"/>
  <c r="B188" i="37"/>
  <c r="AA4" i="37"/>
  <c r="AC4" i="37"/>
  <c r="B30" i="60"/>
  <c r="C30" i="60" s="1"/>
  <c r="C5" i="60"/>
  <c r="B30" i="98"/>
  <c r="C30" i="98" s="1"/>
  <c r="C5" i="98"/>
  <c r="B30" i="59"/>
  <c r="C30" i="59" s="1"/>
  <c r="E30" i="59" s="1"/>
  <c r="F30" i="59" s="1"/>
  <c r="C5" i="59"/>
  <c r="E5" i="59" s="1"/>
  <c r="F5" i="59" s="1"/>
  <c r="B189" i="37"/>
  <c r="AA5" i="37"/>
  <c r="AC5" i="37"/>
  <c r="B29" i="59"/>
  <c r="C29" i="59" s="1"/>
  <c r="E29" i="59" s="1"/>
  <c r="F29" i="59" s="1"/>
  <c r="C4" i="59"/>
  <c r="E4" i="59" s="1"/>
  <c r="F4" i="59" s="1"/>
  <c r="O85" i="62"/>
  <c r="AA121" i="62" s="1"/>
  <c r="K87" i="60"/>
  <c r="X125" i="60" s="1"/>
  <c r="L87" i="60"/>
  <c r="Y125" i="60" s="1"/>
  <c r="L85" i="60"/>
  <c r="Y123" i="60" s="1"/>
  <c r="K85" i="60"/>
  <c r="X123" i="60" s="1"/>
  <c r="Q12" i="60"/>
  <c r="S64" i="67" s="1"/>
  <c r="J90" i="60"/>
  <c r="W128" i="60" s="1"/>
  <c r="Q10" i="60"/>
  <c r="S62" i="67" s="1"/>
  <c r="J88" i="60"/>
  <c r="W126" i="60" s="1"/>
  <c r="L86" i="60"/>
  <c r="Y124" i="60" s="1"/>
  <c r="K86" i="60"/>
  <c r="X124" i="60" s="1"/>
  <c r="K91" i="60"/>
  <c r="X129" i="60" s="1"/>
  <c r="Q11" i="60"/>
  <c r="S63" i="67" s="1"/>
  <c r="J89" i="60"/>
  <c r="W127" i="60" s="1"/>
  <c r="Q6" i="60"/>
  <c r="S58" i="67" s="1"/>
  <c r="J84" i="60"/>
  <c r="W122" i="60" s="1"/>
  <c r="L92" i="60"/>
  <c r="Y130" i="60" s="1"/>
  <c r="K92" i="60"/>
  <c r="X130" i="60" s="1"/>
  <c r="P10" i="59"/>
  <c r="M62" i="67" s="1"/>
  <c r="J86" i="59"/>
  <c r="W124" i="59" s="1"/>
  <c r="P8" i="59"/>
  <c r="M60" i="67" s="1"/>
  <c r="J84" i="59"/>
  <c r="W122" i="59" s="1"/>
  <c r="P11" i="59"/>
  <c r="M63" i="67" s="1"/>
  <c r="J87" i="59"/>
  <c r="W125" i="59" s="1"/>
  <c r="P13" i="59"/>
  <c r="M65" i="67" s="1"/>
  <c r="J89" i="59"/>
  <c r="W127" i="59" s="1"/>
  <c r="P12" i="59"/>
  <c r="M64" i="67" s="1"/>
  <c r="J88" i="59"/>
  <c r="W126" i="59" s="1"/>
  <c r="P7" i="59"/>
  <c r="M59" i="67" s="1"/>
  <c r="J83" i="59"/>
  <c r="W121" i="59" s="1"/>
  <c r="P6" i="59"/>
  <c r="M58" i="67" s="1"/>
  <c r="J82" i="59"/>
  <c r="W120" i="59" s="1"/>
  <c r="P9" i="59"/>
  <c r="M61" i="67" s="1"/>
  <c r="J85" i="59"/>
  <c r="W123" i="59" s="1"/>
  <c r="P14" i="59"/>
  <c r="M66" i="67" s="1"/>
  <c r="J90" i="59"/>
  <c r="W128" i="59" s="1"/>
  <c r="B29" i="64"/>
  <c r="C4" i="64"/>
  <c r="C4" i="65"/>
  <c r="B29" i="65"/>
  <c r="C29" i="65" s="1"/>
  <c r="B30" i="64"/>
  <c r="C5" i="64"/>
  <c r="C5" i="65"/>
  <c r="B30" i="65"/>
  <c r="C30" i="65" s="1"/>
  <c r="C64" i="58"/>
  <c r="C63" i="58"/>
  <c r="C62" i="58"/>
  <c r="C61" i="58"/>
  <c r="D61" i="58" s="1"/>
  <c r="C60" i="58"/>
  <c r="D60" i="58" s="1"/>
  <c r="C59" i="58"/>
  <c r="D59" i="58" s="1"/>
  <c r="C58" i="58"/>
  <c r="C57" i="58"/>
  <c r="D57" i="58" s="1"/>
  <c r="C56" i="58"/>
  <c r="D56" i="58" s="1"/>
  <c r="C55" i="58"/>
  <c r="D55" i="58" s="1"/>
  <c r="C54" i="58"/>
  <c r="D54" i="58" s="1"/>
  <c r="C53" i="58"/>
  <c r="B30" i="58"/>
  <c r="C30" i="58" s="1"/>
  <c r="C5" i="58"/>
  <c r="D5" i="58" s="1"/>
  <c r="R55" i="57"/>
  <c r="S55" i="57"/>
  <c r="I4" i="57" s="1"/>
  <c r="T55" i="57"/>
  <c r="Q56" i="57"/>
  <c r="R56" i="57"/>
  <c r="S56" i="57"/>
  <c r="I5" i="57" s="1"/>
  <c r="T56" i="57"/>
  <c r="Q57" i="57"/>
  <c r="R57" i="57"/>
  <c r="S57" i="57"/>
  <c r="I6" i="57" s="1"/>
  <c r="T57" i="57"/>
  <c r="Q58" i="57"/>
  <c r="R58" i="57"/>
  <c r="S58" i="57"/>
  <c r="I7" i="57" s="1"/>
  <c r="T58" i="57"/>
  <c r="Q59" i="57"/>
  <c r="R59" i="57"/>
  <c r="S59" i="57"/>
  <c r="I8" i="57" s="1"/>
  <c r="T59" i="57"/>
  <c r="Q60" i="57"/>
  <c r="R60" i="57"/>
  <c r="S60" i="57"/>
  <c r="I9" i="57" s="1"/>
  <c r="T60" i="57"/>
  <c r="R61" i="57"/>
  <c r="S61" i="57"/>
  <c r="I10" i="57" s="1"/>
  <c r="T61" i="57"/>
  <c r="R62" i="57"/>
  <c r="S62" i="57"/>
  <c r="I11" i="57" s="1"/>
  <c r="T62" i="57"/>
  <c r="Q63" i="57"/>
  <c r="R63" i="57"/>
  <c r="S63" i="57"/>
  <c r="T63" i="57"/>
  <c r="R54" i="57"/>
  <c r="S54" i="57"/>
  <c r="I3" i="57" s="1"/>
  <c r="T54" i="57"/>
  <c r="Q54" i="57"/>
  <c r="Q62" i="57"/>
  <c r="H11" i="57" s="1"/>
  <c r="C64" i="57"/>
  <c r="F64" i="57" s="1"/>
  <c r="G64" i="57" s="1"/>
  <c r="C63" i="57"/>
  <c r="F63" i="57" s="1"/>
  <c r="G63" i="57" s="1"/>
  <c r="C62" i="57"/>
  <c r="C61" i="57"/>
  <c r="C60" i="57"/>
  <c r="C59" i="57"/>
  <c r="C58" i="57"/>
  <c r="F58" i="57" s="1"/>
  <c r="G58" i="57" s="1"/>
  <c r="C57" i="57"/>
  <c r="C56" i="57"/>
  <c r="F56" i="57" s="1"/>
  <c r="G56" i="57" s="1"/>
  <c r="C55" i="57"/>
  <c r="C54" i="57"/>
  <c r="C53" i="57"/>
  <c r="C30" i="57"/>
  <c r="C5" i="57"/>
  <c r="L29" i="52"/>
  <c r="N29" i="52" s="1"/>
  <c r="L30" i="52"/>
  <c r="N30" i="52" s="1"/>
  <c r="L31" i="52"/>
  <c r="N31" i="52" s="1"/>
  <c r="L32" i="52"/>
  <c r="N32" i="52" s="1"/>
  <c r="L33" i="52"/>
  <c r="N33" i="52" s="1"/>
  <c r="L34" i="52"/>
  <c r="N34" i="52" s="1"/>
  <c r="L35" i="52"/>
  <c r="N35" i="52" s="1"/>
  <c r="L36" i="52"/>
  <c r="N36" i="52" s="1"/>
  <c r="L37" i="52"/>
  <c r="N37" i="52" s="1"/>
  <c r="L28" i="52"/>
  <c r="N28" i="52" s="1"/>
  <c r="I37" i="48"/>
  <c r="I36" i="48"/>
  <c r="I35" i="48"/>
  <c r="I34" i="48"/>
  <c r="I33" i="48"/>
  <c r="I32" i="48"/>
  <c r="I31" i="48"/>
  <c r="I30" i="48"/>
  <c r="I29" i="48"/>
  <c r="I28" i="48"/>
  <c r="I4" i="48"/>
  <c r="I5" i="48"/>
  <c r="I6" i="48"/>
  <c r="H6" i="54" s="1"/>
  <c r="I7" i="48"/>
  <c r="I8" i="48"/>
  <c r="I9" i="48"/>
  <c r="I10" i="48"/>
  <c r="I11" i="48"/>
  <c r="I12" i="48"/>
  <c r="I3" i="48"/>
  <c r="AO12" i="35"/>
  <c r="K37" i="35" s="1"/>
  <c r="AN6" i="35"/>
  <c r="K6" i="35" s="1"/>
  <c r="E85" i="35" s="1"/>
  <c r="T123" i="35" s="1"/>
  <c r="C64" i="35"/>
  <c r="C63" i="35"/>
  <c r="C62" i="35"/>
  <c r="C61" i="35"/>
  <c r="C60" i="35"/>
  <c r="C59" i="35"/>
  <c r="C58" i="35"/>
  <c r="C57" i="35"/>
  <c r="C56" i="35"/>
  <c r="C55" i="35"/>
  <c r="C54" i="35"/>
  <c r="C53" i="35"/>
  <c r="C30" i="35"/>
  <c r="F30" i="35" s="1"/>
  <c r="C5" i="35"/>
  <c r="F5" i="35" s="1"/>
  <c r="C4" i="35"/>
  <c r="F4" i="35" s="1"/>
  <c r="AY7" i="35"/>
  <c r="AY8" i="35"/>
  <c r="AY9" i="35"/>
  <c r="AY10" i="35"/>
  <c r="AY11" i="35"/>
  <c r="AY12" i="35"/>
  <c r="AY13" i="35"/>
  <c r="C5" i="55"/>
  <c r="F5" i="55" s="1"/>
  <c r="C64" i="53"/>
  <c r="C63" i="53"/>
  <c r="C62" i="53"/>
  <c r="D62" i="53" s="1"/>
  <c r="C61" i="53"/>
  <c r="F61" i="53" s="1"/>
  <c r="C60" i="53"/>
  <c r="F60" i="53" s="1"/>
  <c r="C59" i="53"/>
  <c r="C58" i="53"/>
  <c r="F58" i="53" s="1"/>
  <c r="C57" i="53"/>
  <c r="F57" i="53" s="1"/>
  <c r="C56" i="53"/>
  <c r="D56" i="53" s="1"/>
  <c r="D31" i="53" s="1"/>
  <c r="C55" i="53"/>
  <c r="D55" i="53" s="1"/>
  <c r="C54" i="53"/>
  <c r="C53" i="53"/>
  <c r="C29" i="53"/>
  <c r="F29" i="53" s="1"/>
  <c r="C4" i="53"/>
  <c r="F4" i="53" s="1"/>
  <c r="C63" i="54"/>
  <c r="D63" i="54" s="1"/>
  <c r="D13" i="54" s="1"/>
  <c r="D38" i="54" s="1"/>
  <c r="C64" i="54"/>
  <c r="L16" i="63" l="1"/>
  <c r="L40" i="63"/>
  <c r="E93" i="63"/>
  <c r="T131" i="63" s="1"/>
  <c r="H12" i="57"/>
  <c r="B29" i="98"/>
  <c r="C29" i="98" s="1"/>
  <c r="D29" i="98" s="1"/>
  <c r="B30" i="55"/>
  <c r="C30" i="55" s="1"/>
  <c r="F30" i="55" s="1"/>
  <c r="C5" i="53"/>
  <c r="F5" i="53" s="1"/>
  <c r="C4" i="58"/>
  <c r="D4" i="58" s="1"/>
  <c r="C4" i="57"/>
  <c r="L91" i="60"/>
  <c r="Y129" i="60" s="1"/>
  <c r="C4" i="62"/>
  <c r="H4" i="62" s="1"/>
  <c r="H37" i="57"/>
  <c r="H3" i="57"/>
  <c r="H34" i="57"/>
  <c r="H32" i="57"/>
  <c r="H36" i="57"/>
  <c r="I14" i="57"/>
  <c r="I15" i="57" s="1"/>
  <c r="I16" i="57" s="1"/>
  <c r="I17" i="57" s="1"/>
  <c r="I18" i="57" s="1"/>
  <c r="I19" i="57" s="1"/>
  <c r="I20" i="57" s="1"/>
  <c r="I21" i="57" s="1"/>
  <c r="I22" i="57" s="1"/>
  <c r="I23" i="57" s="1"/>
  <c r="I24" i="57" s="1"/>
  <c r="I37" i="57"/>
  <c r="I12" i="57"/>
  <c r="H33" i="57"/>
  <c r="H31" i="57"/>
  <c r="H29" i="57"/>
  <c r="H8" i="57"/>
  <c r="H6" i="57"/>
  <c r="H4" i="57"/>
  <c r="H35" i="57"/>
  <c r="H14" i="57"/>
  <c r="I36" i="57"/>
  <c r="I35" i="57"/>
  <c r="H30" i="57"/>
  <c r="I30" i="57"/>
  <c r="H39" i="57"/>
  <c r="H40" i="57" s="1"/>
  <c r="H41" i="57" s="1"/>
  <c r="H42" i="57" s="1"/>
  <c r="H43" i="57" s="1"/>
  <c r="H44" i="57" s="1"/>
  <c r="H45" i="57" s="1"/>
  <c r="H46" i="57" s="1"/>
  <c r="H47" i="57" s="1"/>
  <c r="H48" i="57" s="1"/>
  <c r="H49" i="57" s="1"/>
  <c r="H28" i="57"/>
  <c r="C64" i="55"/>
  <c r="F64" i="55" s="1"/>
  <c r="C65" i="55"/>
  <c r="F65" i="55" s="1"/>
  <c r="G65" i="55" s="1"/>
  <c r="Q13" i="55" s="1"/>
  <c r="D65" i="67" s="1"/>
  <c r="C55" i="55"/>
  <c r="F55" i="55" s="1"/>
  <c r="C66" i="55"/>
  <c r="F66" i="55" s="1"/>
  <c r="G66" i="55" s="1"/>
  <c r="Q14" i="55" s="1"/>
  <c r="D66" i="67" s="1"/>
  <c r="C59" i="55"/>
  <c r="F59" i="55" s="1"/>
  <c r="C57" i="55"/>
  <c r="F57" i="55" s="1"/>
  <c r="C58" i="55"/>
  <c r="F58" i="55" s="1"/>
  <c r="C60" i="55"/>
  <c r="F60" i="55" s="1"/>
  <c r="C61" i="55"/>
  <c r="F61" i="55" s="1"/>
  <c r="C63" i="55"/>
  <c r="F63" i="55" s="1"/>
  <c r="C56" i="55"/>
  <c r="F56" i="55" s="1"/>
  <c r="C62" i="55"/>
  <c r="F62" i="55" s="1"/>
  <c r="E29" i="63"/>
  <c r="F29" i="63" s="1"/>
  <c r="H29" i="62"/>
  <c r="F29" i="62"/>
  <c r="G29" i="62" s="1"/>
  <c r="E5" i="66"/>
  <c r="F5" i="66" s="1"/>
  <c r="F5" i="62"/>
  <c r="G5" i="62" s="1"/>
  <c r="H5" i="62"/>
  <c r="F29" i="98"/>
  <c r="H30" i="62"/>
  <c r="F30" i="62"/>
  <c r="G30" i="62" s="1"/>
  <c r="D5" i="98"/>
  <c r="F5" i="98"/>
  <c r="F4" i="98"/>
  <c r="D4" i="98"/>
  <c r="E5" i="63"/>
  <c r="F5" i="63" s="1"/>
  <c r="D4" i="61"/>
  <c r="F4" i="61"/>
  <c r="F30" i="98"/>
  <c r="D30" i="98"/>
  <c r="F5" i="61"/>
  <c r="D5" i="61"/>
  <c r="D29" i="61"/>
  <c r="F29" i="61"/>
  <c r="AG5" i="60"/>
  <c r="AJ5" i="60" s="1"/>
  <c r="H5" i="60" s="1"/>
  <c r="D5" i="60"/>
  <c r="F5" i="60"/>
  <c r="D30" i="61"/>
  <c r="F30" i="61"/>
  <c r="AG4" i="60"/>
  <c r="AJ4" i="60" s="1"/>
  <c r="H4" i="60" s="1"/>
  <c r="F4" i="60"/>
  <c r="D4" i="60"/>
  <c r="E4" i="66"/>
  <c r="F4" i="66" s="1"/>
  <c r="N85" i="60"/>
  <c r="AA123" i="60" s="1"/>
  <c r="D30" i="60"/>
  <c r="F30" i="60"/>
  <c r="E4" i="63"/>
  <c r="F4" i="63" s="1"/>
  <c r="D29" i="60"/>
  <c r="F29" i="60"/>
  <c r="D12" i="53"/>
  <c r="D37" i="53"/>
  <c r="L89" i="60"/>
  <c r="Y127" i="60" s="1"/>
  <c r="K89" i="60"/>
  <c r="X127" i="60" s="1"/>
  <c r="K90" i="60"/>
  <c r="X128" i="60" s="1"/>
  <c r="L90" i="60"/>
  <c r="Y128" i="60" s="1"/>
  <c r="D63" i="53"/>
  <c r="F63" i="53"/>
  <c r="D64" i="53"/>
  <c r="F64" i="53"/>
  <c r="F64" i="54"/>
  <c r="D64" i="54"/>
  <c r="D14" i="54" s="1"/>
  <c r="D39" i="54" s="1"/>
  <c r="K84" i="60"/>
  <c r="X122" i="60" s="1"/>
  <c r="L84" i="60"/>
  <c r="Y122" i="60" s="1"/>
  <c r="L88" i="60"/>
  <c r="Y126" i="60" s="1"/>
  <c r="K88" i="60"/>
  <c r="X126" i="60" s="1"/>
  <c r="K87" i="59"/>
  <c r="X125" i="59" s="1"/>
  <c r="L87" i="59"/>
  <c r="Y125" i="59" s="1"/>
  <c r="L82" i="59"/>
  <c r="Y120" i="59" s="1"/>
  <c r="K82" i="59"/>
  <c r="X120" i="59" s="1"/>
  <c r="L83" i="59"/>
  <c r="Y121" i="59" s="1"/>
  <c r="K83" i="59"/>
  <c r="X121" i="59" s="1"/>
  <c r="L84" i="59"/>
  <c r="Y122" i="59" s="1"/>
  <c r="K84" i="59"/>
  <c r="X122" i="59" s="1"/>
  <c r="L89" i="59"/>
  <c r="Y127" i="59" s="1"/>
  <c r="K89" i="59"/>
  <c r="X127" i="59" s="1"/>
  <c r="L90" i="59"/>
  <c r="Y128" i="59" s="1"/>
  <c r="K90" i="59"/>
  <c r="X128" i="59" s="1"/>
  <c r="L85" i="59"/>
  <c r="Y123" i="59" s="1"/>
  <c r="K85" i="59"/>
  <c r="X123" i="59" s="1"/>
  <c r="K88" i="59"/>
  <c r="X126" i="59" s="1"/>
  <c r="L88" i="59"/>
  <c r="Y126" i="59" s="1"/>
  <c r="K86" i="59"/>
  <c r="X124" i="59" s="1"/>
  <c r="L86" i="59"/>
  <c r="Y124" i="59" s="1"/>
  <c r="H5" i="57"/>
  <c r="I34" i="57"/>
  <c r="Q6" i="57"/>
  <c r="E58" i="67" s="1"/>
  <c r="J80" i="57"/>
  <c r="W118" i="57" s="1"/>
  <c r="Q13" i="57"/>
  <c r="E65" i="67" s="1"/>
  <c r="J87" i="57"/>
  <c r="W125" i="57" s="1"/>
  <c r="I33" i="57"/>
  <c r="H9" i="57"/>
  <c r="Q14" i="57"/>
  <c r="E66" i="67" s="1"/>
  <c r="J88" i="57"/>
  <c r="W126" i="57" s="1"/>
  <c r="I32" i="57"/>
  <c r="H7" i="57"/>
  <c r="Q61" i="57"/>
  <c r="H10" i="57" s="1"/>
  <c r="I31" i="57"/>
  <c r="Q8" i="57"/>
  <c r="E60" i="67" s="1"/>
  <c r="J82" i="57"/>
  <c r="W120" i="57" s="1"/>
  <c r="O58" i="57"/>
  <c r="I28" i="57"/>
  <c r="I29" i="57"/>
  <c r="F63" i="35"/>
  <c r="G63" i="35" s="1"/>
  <c r="F64" i="35"/>
  <c r="G64" i="35" s="1"/>
  <c r="E4" i="64"/>
  <c r="F4" i="64" s="1"/>
  <c r="E5" i="64"/>
  <c r="F5" i="64" s="1"/>
  <c r="F63" i="54"/>
  <c r="G63" i="54" s="1"/>
  <c r="G11" i="51"/>
  <c r="H11" i="61"/>
  <c r="J11" i="58"/>
  <c r="J36" i="58" s="1"/>
  <c r="H11" i="54"/>
  <c r="H36" i="54" s="1"/>
  <c r="J11" i="98"/>
  <c r="I12" i="49"/>
  <c r="K11" i="65"/>
  <c r="I11" i="63"/>
  <c r="G11" i="64"/>
  <c r="I11" i="62"/>
  <c r="I11" i="55"/>
  <c r="I11" i="60"/>
  <c r="G12" i="51"/>
  <c r="H12" i="61"/>
  <c r="H12" i="54"/>
  <c r="H37" i="54" s="1"/>
  <c r="J12" i="58"/>
  <c r="J37" i="58" s="1"/>
  <c r="J12" i="98"/>
  <c r="I12" i="66"/>
  <c r="I13" i="49"/>
  <c r="K12" i="65"/>
  <c r="I12" i="63"/>
  <c r="I12" i="62"/>
  <c r="G12" i="64"/>
  <c r="I12" i="55"/>
  <c r="I12" i="60"/>
  <c r="I4" i="52"/>
  <c r="H4" i="61"/>
  <c r="H4" i="54"/>
  <c r="H29" i="54" s="1"/>
  <c r="J4" i="98"/>
  <c r="I5" i="49"/>
  <c r="K4" i="65"/>
  <c r="I4" i="63"/>
  <c r="I4" i="62"/>
  <c r="G4" i="64"/>
  <c r="I4" i="60"/>
  <c r="I4" i="55"/>
  <c r="K35" i="65"/>
  <c r="I35" i="63"/>
  <c r="I35" i="62"/>
  <c r="G35" i="64"/>
  <c r="I35" i="60"/>
  <c r="I36" i="55"/>
  <c r="I36" i="52"/>
  <c r="K36" i="65"/>
  <c r="G36" i="64"/>
  <c r="I36" i="62"/>
  <c r="I36" i="63"/>
  <c r="I37" i="55"/>
  <c r="I36" i="60"/>
  <c r="G10" i="51"/>
  <c r="H10" i="61"/>
  <c r="H10" i="54"/>
  <c r="H35" i="54" s="1"/>
  <c r="J10" i="58"/>
  <c r="J35" i="58" s="1"/>
  <c r="J10" i="98"/>
  <c r="K10" i="65"/>
  <c r="I11" i="49"/>
  <c r="G10" i="64"/>
  <c r="I10" i="62"/>
  <c r="I10" i="63"/>
  <c r="I10" i="55"/>
  <c r="I10" i="60"/>
  <c r="I37" i="53"/>
  <c r="K37" i="65"/>
  <c r="I37" i="62"/>
  <c r="G37" i="64"/>
  <c r="I37" i="63"/>
  <c r="I38" i="55"/>
  <c r="I37" i="60"/>
  <c r="G28" i="51"/>
  <c r="I37" i="66"/>
  <c r="K28" i="65"/>
  <c r="I28" i="62"/>
  <c r="G28" i="64"/>
  <c r="I28" i="63"/>
  <c r="I28" i="60"/>
  <c r="I9" i="53"/>
  <c r="H9" i="61"/>
  <c r="H9" i="54"/>
  <c r="H34" i="54" s="1"/>
  <c r="J9" i="58"/>
  <c r="J34" i="58" s="1"/>
  <c r="J9" i="98"/>
  <c r="K9" i="65"/>
  <c r="I10" i="49"/>
  <c r="G9" i="64"/>
  <c r="I9" i="62"/>
  <c r="I9" i="63"/>
  <c r="I9" i="60"/>
  <c r="I9" i="55"/>
  <c r="G30" i="51"/>
  <c r="K30" i="65"/>
  <c r="I30" i="62"/>
  <c r="I30" i="63"/>
  <c r="G30" i="64"/>
  <c r="I31" i="55"/>
  <c r="I30" i="60"/>
  <c r="I8" i="53"/>
  <c r="H8" i="61"/>
  <c r="H8" i="54"/>
  <c r="H33" i="54" s="1"/>
  <c r="J8" i="58"/>
  <c r="J33" i="58" s="1"/>
  <c r="J8" i="98"/>
  <c r="K8" i="65"/>
  <c r="I9" i="49"/>
  <c r="I8" i="62"/>
  <c r="G8" i="64"/>
  <c r="I8" i="63"/>
  <c r="I8" i="60"/>
  <c r="I8" i="55"/>
  <c r="I31" i="52"/>
  <c r="K31" i="65"/>
  <c r="G31" i="64"/>
  <c r="I31" i="63"/>
  <c r="I31" i="62"/>
  <c r="I32" i="55"/>
  <c r="I31" i="60"/>
  <c r="I7" i="53"/>
  <c r="H7" i="61"/>
  <c r="H7" i="54"/>
  <c r="H32" i="54" s="1"/>
  <c r="J7" i="58"/>
  <c r="J32" i="58" s="1"/>
  <c r="J7" i="98"/>
  <c r="K7" i="65"/>
  <c r="I8" i="49"/>
  <c r="I137" i="49" s="1"/>
  <c r="I7" i="63"/>
  <c r="I7" i="62"/>
  <c r="G7" i="64"/>
  <c r="I7" i="60"/>
  <c r="I7" i="55"/>
  <c r="I32" i="53"/>
  <c r="K32" i="65"/>
  <c r="I32" i="63"/>
  <c r="I32" i="62"/>
  <c r="G32" i="64"/>
  <c r="I32" i="60"/>
  <c r="I33" i="55"/>
  <c r="I6" i="53"/>
  <c r="H6" i="61"/>
  <c r="J6" i="58"/>
  <c r="J31" i="58" s="1"/>
  <c r="H31" i="54"/>
  <c r="J6" i="98"/>
  <c r="I7" i="49"/>
  <c r="K6" i="65"/>
  <c r="I6" i="63"/>
  <c r="I6" i="62"/>
  <c r="G6" i="64"/>
  <c r="I6" i="60"/>
  <c r="I6" i="55"/>
  <c r="I33" i="53"/>
  <c r="K33" i="65"/>
  <c r="I33" i="63"/>
  <c r="G33" i="64"/>
  <c r="I33" i="62"/>
  <c r="I34" i="55"/>
  <c r="I33" i="60"/>
  <c r="I29" i="53"/>
  <c r="K29" i="65"/>
  <c r="G29" i="64"/>
  <c r="I29" i="62"/>
  <c r="I29" i="63"/>
  <c r="I30" i="55"/>
  <c r="I29" i="60"/>
  <c r="I3" i="53"/>
  <c r="H3" i="61"/>
  <c r="H3" i="54"/>
  <c r="H28" i="54" s="1"/>
  <c r="J3" i="98"/>
  <c r="I4" i="49"/>
  <c r="K3" i="65"/>
  <c r="I3" i="62"/>
  <c r="I3" i="63"/>
  <c r="G3" i="64"/>
  <c r="I3" i="60"/>
  <c r="I5" i="53"/>
  <c r="H5" i="61"/>
  <c r="J5" i="58"/>
  <c r="J30" i="58" s="1"/>
  <c r="H5" i="54"/>
  <c r="H30" i="54" s="1"/>
  <c r="J5" i="98"/>
  <c r="I6" i="49"/>
  <c r="K5" i="65"/>
  <c r="I5" i="63"/>
  <c r="I5" i="62"/>
  <c r="G5" i="64"/>
  <c r="I5" i="55"/>
  <c r="I5" i="60"/>
  <c r="I34" i="53"/>
  <c r="K34" i="65"/>
  <c r="I34" i="63"/>
  <c r="I34" i="62"/>
  <c r="G34" i="64"/>
  <c r="I34" i="60"/>
  <c r="I35" i="55"/>
  <c r="D63" i="58"/>
  <c r="F63" i="58"/>
  <c r="D64" i="58"/>
  <c r="F64" i="58"/>
  <c r="F53" i="53"/>
  <c r="D53" i="53"/>
  <c r="F54" i="53"/>
  <c r="D54" i="53"/>
  <c r="D4" i="53" s="1"/>
  <c r="G4" i="53" s="1"/>
  <c r="F56" i="53"/>
  <c r="G56" i="53" s="1"/>
  <c r="E30" i="65"/>
  <c r="G30" i="65"/>
  <c r="H30" i="65"/>
  <c r="H5" i="65"/>
  <c r="E5" i="65"/>
  <c r="G5" i="65"/>
  <c r="C30" i="64"/>
  <c r="H29" i="65"/>
  <c r="E29" i="65"/>
  <c r="G29" i="65"/>
  <c r="G4" i="65"/>
  <c r="H4" i="65"/>
  <c r="E4" i="65"/>
  <c r="C29" i="64"/>
  <c r="G62" i="55"/>
  <c r="J86" i="55" s="1"/>
  <c r="X123" i="55" s="1"/>
  <c r="D58" i="58"/>
  <c r="F58" i="58"/>
  <c r="D53" i="58"/>
  <c r="F53" i="58"/>
  <c r="F62" i="58"/>
  <c r="D62" i="58"/>
  <c r="I3" i="52"/>
  <c r="I9" i="52"/>
  <c r="G3" i="51"/>
  <c r="I5" i="52"/>
  <c r="I10" i="53"/>
  <c r="G5" i="51"/>
  <c r="I34" i="52"/>
  <c r="I31" i="53"/>
  <c r="G34" i="51"/>
  <c r="H35" i="59"/>
  <c r="G32" i="51"/>
  <c r="I7" i="52"/>
  <c r="H11" i="59"/>
  <c r="I29" i="55"/>
  <c r="H28" i="59"/>
  <c r="H36" i="59"/>
  <c r="I36" i="53"/>
  <c r="G4" i="51"/>
  <c r="G31" i="51"/>
  <c r="I6" i="52"/>
  <c r="I33" i="52"/>
  <c r="H37" i="59"/>
  <c r="I32" i="52"/>
  <c r="H12" i="59"/>
  <c r="H29" i="59"/>
  <c r="I35" i="53"/>
  <c r="H9" i="59"/>
  <c r="H30" i="59"/>
  <c r="G37" i="51"/>
  <c r="G29" i="51"/>
  <c r="I12" i="52"/>
  <c r="J4" i="58"/>
  <c r="J29" i="58" s="1"/>
  <c r="H4" i="59"/>
  <c r="H10" i="59"/>
  <c r="H8" i="59"/>
  <c r="H31" i="59"/>
  <c r="G9" i="51"/>
  <c r="G36" i="51"/>
  <c r="I11" i="52"/>
  <c r="I28" i="52"/>
  <c r="I30" i="52"/>
  <c r="G8" i="51"/>
  <c r="G35" i="51"/>
  <c r="I10" i="52"/>
  <c r="I37" i="52"/>
  <c r="I29" i="52"/>
  <c r="H7" i="59"/>
  <c r="H32" i="59"/>
  <c r="H6" i="59"/>
  <c r="I12" i="53"/>
  <c r="H33" i="59"/>
  <c r="I4" i="53"/>
  <c r="G7" i="51"/>
  <c r="I3" i="55"/>
  <c r="J3" i="58"/>
  <c r="J28" i="58" s="1"/>
  <c r="H3" i="59"/>
  <c r="H5" i="59"/>
  <c r="H34" i="59"/>
  <c r="I11" i="53"/>
  <c r="I28" i="53"/>
  <c r="I30" i="53"/>
  <c r="G6" i="51"/>
  <c r="G33" i="51"/>
  <c r="I8" i="52"/>
  <c r="I35" i="52"/>
  <c r="F29" i="58"/>
  <c r="F54" i="58"/>
  <c r="G54" i="58" s="1"/>
  <c r="R4" i="58" s="1"/>
  <c r="L56" i="67" s="1"/>
  <c r="F55" i="58"/>
  <c r="G55" i="58" s="1"/>
  <c r="R5" i="58" s="1"/>
  <c r="L57" i="67" s="1"/>
  <c r="F59" i="58"/>
  <c r="G59" i="58" s="1"/>
  <c r="F30" i="58"/>
  <c r="F56" i="58"/>
  <c r="G56" i="58" s="1"/>
  <c r="F61" i="58"/>
  <c r="G61" i="58" s="1"/>
  <c r="F57" i="58"/>
  <c r="G57" i="58" s="1"/>
  <c r="F60" i="58"/>
  <c r="G60" i="58" s="1"/>
  <c r="F4" i="58"/>
  <c r="F5" i="58"/>
  <c r="F29" i="57"/>
  <c r="G29" i="57" s="1"/>
  <c r="F59" i="57"/>
  <c r="G59" i="57" s="1"/>
  <c r="F55" i="57"/>
  <c r="G55" i="57" s="1"/>
  <c r="Q5" i="57" s="1"/>
  <c r="E57" i="67" s="1"/>
  <c r="F53" i="57"/>
  <c r="G53" i="57" s="1"/>
  <c r="Q3" i="57" s="1"/>
  <c r="E55" i="67" s="1"/>
  <c r="F30" i="57"/>
  <c r="G30" i="57" s="1"/>
  <c r="J30" i="57" s="1"/>
  <c r="F61" i="57"/>
  <c r="G61" i="57" s="1"/>
  <c r="F57" i="57"/>
  <c r="G57" i="57" s="1"/>
  <c r="F60" i="57"/>
  <c r="G60" i="57" s="1"/>
  <c r="F4" i="57"/>
  <c r="G4" i="57" s="1"/>
  <c r="J4" i="57" s="1"/>
  <c r="O4" i="57" s="1"/>
  <c r="E4" i="67" s="1"/>
  <c r="F5" i="57"/>
  <c r="G5" i="57" s="1"/>
  <c r="F54" i="57"/>
  <c r="G54" i="57" s="1"/>
  <c r="Q4" i="57" s="1"/>
  <c r="E56" i="67" s="1"/>
  <c r="F62" i="57"/>
  <c r="G62" i="57" s="1"/>
  <c r="F55" i="53"/>
  <c r="G55" i="53" s="1"/>
  <c r="Q5" i="53" s="1"/>
  <c r="H57" i="67" s="1"/>
  <c r="D59" i="53"/>
  <c r="D9" i="53" s="1"/>
  <c r="F59" i="53"/>
  <c r="D58" i="53"/>
  <c r="D57" i="53"/>
  <c r="D6" i="53"/>
  <c r="D61" i="53"/>
  <c r="F62" i="53"/>
  <c r="D60" i="53"/>
  <c r="G60" i="53" s="1"/>
  <c r="F58" i="35"/>
  <c r="G58" i="35" s="1"/>
  <c r="F59" i="35"/>
  <c r="G59" i="35" s="1"/>
  <c r="F53" i="35"/>
  <c r="G53" i="35" s="1"/>
  <c r="P3" i="35" s="1"/>
  <c r="T55" i="67" s="1"/>
  <c r="F55" i="35"/>
  <c r="G55" i="35" s="1"/>
  <c r="P5" i="35" s="1"/>
  <c r="T57" i="67" s="1"/>
  <c r="F61" i="35"/>
  <c r="F57" i="35"/>
  <c r="G57" i="35" s="1"/>
  <c r="F54" i="35"/>
  <c r="F62" i="35"/>
  <c r="F56" i="35"/>
  <c r="G56" i="35" s="1"/>
  <c r="F60" i="35"/>
  <c r="G57" i="55"/>
  <c r="G64" i="55"/>
  <c r="G60" i="55"/>
  <c r="J84" i="55" s="1"/>
  <c r="X121" i="55" s="1"/>
  <c r="L41" i="63" l="1"/>
  <c r="E94" i="63"/>
  <c r="T132" i="63" s="1"/>
  <c r="L17" i="63"/>
  <c r="G29" i="61"/>
  <c r="F4" i="62"/>
  <c r="G4" i="62" s="1"/>
  <c r="G56" i="55"/>
  <c r="G58" i="55"/>
  <c r="J82" i="55" s="1"/>
  <c r="X119" i="55" s="1"/>
  <c r="J89" i="55"/>
  <c r="X126" i="55" s="1"/>
  <c r="G63" i="55"/>
  <c r="J87" i="55" s="1"/>
  <c r="X124" i="55" s="1"/>
  <c r="I34" i="49"/>
  <c r="I164" i="49" s="1"/>
  <c r="I138" i="49"/>
  <c r="I29" i="49"/>
  <c r="I159" i="49" s="1"/>
  <c r="I133" i="49"/>
  <c r="I38" i="49"/>
  <c r="I168" i="49" s="1"/>
  <c r="I142" i="49"/>
  <c r="I35" i="49"/>
  <c r="I165" i="49" s="1"/>
  <c r="I139" i="49"/>
  <c r="I32" i="49"/>
  <c r="I162" i="49" s="1"/>
  <c r="I136" i="49"/>
  <c r="I36" i="49"/>
  <c r="I166" i="49" s="1"/>
  <c r="I140" i="49"/>
  <c r="I31" i="49"/>
  <c r="I161" i="49" s="1"/>
  <c r="I135" i="49"/>
  <c r="I30" i="49"/>
  <c r="I160" i="49" s="1"/>
  <c r="I134" i="49"/>
  <c r="I37" i="49"/>
  <c r="I167" i="49" s="1"/>
  <c r="I141" i="49"/>
  <c r="G63" i="53"/>
  <c r="Q13" i="53" s="1"/>
  <c r="H65" i="67" s="1"/>
  <c r="G30" i="98"/>
  <c r="J90" i="55"/>
  <c r="G4" i="61"/>
  <c r="I4" i="61" s="1"/>
  <c r="N4" i="61" s="1"/>
  <c r="U4" i="67" s="1"/>
  <c r="U82" i="67" s="1"/>
  <c r="G30" i="61"/>
  <c r="J30" i="62"/>
  <c r="P5" i="62" s="1"/>
  <c r="K31" i="67" s="1"/>
  <c r="K109" i="67" s="1"/>
  <c r="G5" i="60"/>
  <c r="J5" i="60" s="1"/>
  <c r="O5" i="60" s="1"/>
  <c r="S5" i="67" s="1"/>
  <c r="S83" i="67" s="1"/>
  <c r="X83" i="67" s="1"/>
  <c r="G64" i="53"/>
  <c r="J90" i="53" s="1"/>
  <c r="W126" i="53" s="1"/>
  <c r="H5" i="64"/>
  <c r="M5" i="64" s="1"/>
  <c r="Q5" i="67" s="1"/>
  <c r="Q83" i="67" s="1"/>
  <c r="G29" i="98"/>
  <c r="J4" i="62"/>
  <c r="O4" i="62" s="1"/>
  <c r="K4" i="67" s="1"/>
  <c r="K82" i="67" s="1"/>
  <c r="G5" i="98"/>
  <c r="K5" i="98" s="1"/>
  <c r="P5" i="98" s="1"/>
  <c r="F5" i="67" s="1"/>
  <c r="F83" i="67" s="1"/>
  <c r="G4" i="60"/>
  <c r="J4" i="60" s="1"/>
  <c r="O4" i="60" s="1"/>
  <c r="S4" i="67" s="1"/>
  <c r="S82" i="67" s="1"/>
  <c r="X82" i="67" s="1"/>
  <c r="G30" i="60"/>
  <c r="J30" i="60" s="1"/>
  <c r="P5" i="60" s="1"/>
  <c r="S31" i="67" s="1"/>
  <c r="S109" i="67" s="1"/>
  <c r="X109" i="67" s="1"/>
  <c r="G64" i="54"/>
  <c r="Q14" i="54" s="1"/>
  <c r="G66" i="67" s="1"/>
  <c r="J5" i="62"/>
  <c r="O5" i="62" s="1"/>
  <c r="K5" i="67" s="1"/>
  <c r="K83" i="67" s="1"/>
  <c r="G5" i="61"/>
  <c r="I5" i="61" s="1"/>
  <c r="N5" i="61" s="1"/>
  <c r="U5" i="67" s="1"/>
  <c r="U83" i="67" s="1"/>
  <c r="J29" i="62"/>
  <c r="P4" i="62" s="1"/>
  <c r="K30" i="67" s="1"/>
  <c r="K108" i="67" s="1"/>
  <c r="G4" i="98"/>
  <c r="K4" i="98" s="1"/>
  <c r="P4" i="98" s="1"/>
  <c r="F4" i="67" s="1"/>
  <c r="F82" i="67" s="1"/>
  <c r="G62" i="58"/>
  <c r="R12" i="58" s="1"/>
  <c r="L64" i="67" s="1"/>
  <c r="G29" i="60"/>
  <c r="J29" i="60" s="1"/>
  <c r="P4" i="60" s="1"/>
  <c r="S30" i="67" s="1"/>
  <c r="S108" i="67" s="1"/>
  <c r="X108" i="67" s="1"/>
  <c r="P13" i="35"/>
  <c r="T65" i="67" s="1"/>
  <c r="J92" i="35"/>
  <c r="W130" i="35" s="1"/>
  <c r="D13" i="53"/>
  <c r="D38" i="53"/>
  <c r="P7" i="35"/>
  <c r="T59" i="67" s="1"/>
  <c r="J86" i="35"/>
  <c r="W124" i="35" s="1"/>
  <c r="Q6" i="53"/>
  <c r="H58" i="67" s="1"/>
  <c r="J82" i="53"/>
  <c r="W118" i="53" s="1"/>
  <c r="Q10" i="53"/>
  <c r="H62" i="67" s="1"/>
  <c r="J86" i="53"/>
  <c r="W122" i="53" s="1"/>
  <c r="P6" i="35"/>
  <c r="T58" i="67" s="1"/>
  <c r="J85" i="35"/>
  <c r="W123" i="35" s="1"/>
  <c r="P9" i="35"/>
  <c r="T61" i="67" s="1"/>
  <c r="J88" i="35"/>
  <c r="W126" i="35" s="1"/>
  <c r="D14" i="53"/>
  <c r="D39" i="53"/>
  <c r="P8" i="35"/>
  <c r="T60" i="67" s="1"/>
  <c r="J87" i="35"/>
  <c r="W125" i="35" s="1"/>
  <c r="J4" i="65"/>
  <c r="L4" i="65" s="1"/>
  <c r="P4" i="65" s="1"/>
  <c r="O4" i="67" s="1"/>
  <c r="O82" i="67" s="1"/>
  <c r="P14" i="35"/>
  <c r="T66" i="67" s="1"/>
  <c r="J93" i="35"/>
  <c r="W131" i="35" s="1"/>
  <c r="G53" i="53"/>
  <c r="Q3" i="53" s="1"/>
  <c r="H55" i="67" s="1"/>
  <c r="H4" i="64"/>
  <c r="M4" i="64" s="1"/>
  <c r="Q4" i="67" s="1"/>
  <c r="Q82" i="67" s="1"/>
  <c r="I39" i="57"/>
  <c r="I40" i="57" s="1"/>
  <c r="N83" i="59"/>
  <c r="AA121" i="59" s="1"/>
  <c r="R11" i="58"/>
  <c r="L63" i="67" s="1"/>
  <c r="J87" i="58"/>
  <c r="W125" i="58" s="1"/>
  <c r="R9" i="58"/>
  <c r="L61" i="67" s="1"/>
  <c r="J85" i="58"/>
  <c r="W123" i="58" s="1"/>
  <c r="R6" i="58"/>
  <c r="L58" i="67" s="1"/>
  <c r="J82" i="58"/>
  <c r="W120" i="58" s="1"/>
  <c r="R10" i="58"/>
  <c r="L62" i="67" s="1"/>
  <c r="J86" i="58"/>
  <c r="W124" i="58" s="1"/>
  <c r="R7" i="58"/>
  <c r="L59" i="67" s="1"/>
  <c r="J83" i="58"/>
  <c r="W121" i="58" s="1"/>
  <c r="Q12" i="57"/>
  <c r="E64" i="67" s="1"/>
  <c r="J86" i="57"/>
  <c r="W124" i="57" s="1"/>
  <c r="J5" i="57"/>
  <c r="O5" i="57" s="1"/>
  <c r="E5" i="67" s="1"/>
  <c r="E83" i="67" s="1"/>
  <c r="BG6" i="140" s="1"/>
  <c r="AS7" i="140" s="1"/>
  <c r="L87" i="57"/>
  <c r="Y125" i="57" s="1"/>
  <c r="K87" i="57"/>
  <c r="X125" i="57" s="1"/>
  <c r="Q11" i="57"/>
  <c r="E63" i="67" s="1"/>
  <c r="J85" i="57"/>
  <c r="W123" i="57" s="1"/>
  <c r="Q10" i="57"/>
  <c r="E62" i="67" s="1"/>
  <c r="J84" i="57"/>
  <c r="W122" i="57" s="1"/>
  <c r="H15" i="57"/>
  <c r="H16" i="57" s="1"/>
  <c r="L80" i="57"/>
  <c r="Y118" i="57" s="1"/>
  <c r="K80" i="57"/>
  <c r="X118" i="57" s="1"/>
  <c r="Q7" i="57"/>
  <c r="E59" i="67" s="1"/>
  <c r="J81" i="57"/>
  <c r="W119" i="57" s="1"/>
  <c r="Q9" i="57"/>
  <c r="E61" i="67" s="1"/>
  <c r="J83" i="57"/>
  <c r="W121" i="57" s="1"/>
  <c r="K82" i="57"/>
  <c r="X120" i="57" s="1"/>
  <c r="L82" i="57"/>
  <c r="Y120" i="57" s="1"/>
  <c r="K88" i="57"/>
  <c r="X126" i="57" s="1"/>
  <c r="L88" i="57"/>
  <c r="Y126" i="57" s="1"/>
  <c r="L87" i="55"/>
  <c r="Z124" i="55" s="1"/>
  <c r="K87" i="55"/>
  <c r="Y124" i="55" s="1"/>
  <c r="L86" i="55"/>
  <c r="Z123" i="55" s="1"/>
  <c r="K86" i="55"/>
  <c r="Y123" i="55" s="1"/>
  <c r="L82" i="55"/>
  <c r="Z119" i="55" s="1"/>
  <c r="K82" i="55"/>
  <c r="Y119" i="55" s="1"/>
  <c r="Q12" i="55"/>
  <c r="D64" i="67" s="1"/>
  <c r="J88" i="55"/>
  <c r="X125" i="55" s="1"/>
  <c r="L89" i="55"/>
  <c r="Z126" i="55" s="1"/>
  <c r="K89" i="55"/>
  <c r="Y126" i="55" s="1"/>
  <c r="L84" i="55"/>
  <c r="Z121" i="55" s="1"/>
  <c r="K84" i="55"/>
  <c r="Y121" i="55" s="1"/>
  <c r="J30" i="63"/>
  <c r="P5" i="63" s="1"/>
  <c r="N31" i="67" s="1"/>
  <c r="N109" i="67" s="1"/>
  <c r="J29" i="63"/>
  <c r="P4" i="63" s="1"/>
  <c r="N30" i="67" s="1"/>
  <c r="N108" i="67" s="1"/>
  <c r="I30" i="59"/>
  <c r="O5" i="59" s="1"/>
  <c r="M31" i="67" s="1"/>
  <c r="M109" i="67" s="1"/>
  <c r="J4" i="63"/>
  <c r="O4" i="63" s="1"/>
  <c r="N4" i="67" s="1"/>
  <c r="N82" i="67" s="1"/>
  <c r="I29" i="59"/>
  <c r="O4" i="59" s="1"/>
  <c r="M30" i="67" s="1"/>
  <c r="M108" i="67" s="1"/>
  <c r="J5" i="63"/>
  <c r="O5" i="63" s="1"/>
  <c r="N5" i="67" s="1"/>
  <c r="N83" i="67" s="1"/>
  <c r="I33" i="49"/>
  <c r="I163" i="49" s="1"/>
  <c r="I5" i="59"/>
  <c r="N5" i="59" s="1"/>
  <c r="M5" i="67" s="1"/>
  <c r="M83" i="67" s="1"/>
  <c r="I4" i="59"/>
  <c r="N4" i="59" s="1"/>
  <c r="M4" i="67" s="1"/>
  <c r="M82" i="67" s="1"/>
  <c r="Q13" i="54"/>
  <c r="G65" i="67" s="1"/>
  <c r="J87" i="54"/>
  <c r="W124" i="54" s="1"/>
  <c r="E30" i="64"/>
  <c r="F30" i="64" s="1"/>
  <c r="H30" i="64" s="1"/>
  <c r="E29" i="64"/>
  <c r="F29" i="64" s="1"/>
  <c r="H31" i="61"/>
  <c r="H33" i="61"/>
  <c r="J34" i="98"/>
  <c r="J30" i="98"/>
  <c r="J32" i="98"/>
  <c r="I38" i="66"/>
  <c r="I36" i="66"/>
  <c r="J35" i="98"/>
  <c r="H37" i="61"/>
  <c r="H34" i="61"/>
  <c r="J29" i="98"/>
  <c r="J36" i="98"/>
  <c r="H30" i="61"/>
  <c r="J28" i="98"/>
  <c r="J31" i="98"/>
  <c r="H32" i="61"/>
  <c r="J33" i="98"/>
  <c r="H35" i="61"/>
  <c r="H29" i="61"/>
  <c r="H28" i="61"/>
  <c r="I11" i="66"/>
  <c r="I13" i="66"/>
  <c r="H36" i="61"/>
  <c r="J37" i="98"/>
  <c r="J13" i="98"/>
  <c r="G64" i="58"/>
  <c r="G63" i="58"/>
  <c r="G53" i="58"/>
  <c r="R3" i="58" s="1"/>
  <c r="L55" i="67" s="1"/>
  <c r="G58" i="58"/>
  <c r="D29" i="53"/>
  <c r="G29" i="53" s="1"/>
  <c r="J29" i="53" s="1"/>
  <c r="P4" i="53" s="1"/>
  <c r="H30" i="67" s="1"/>
  <c r="D34" i="53"/>
  <c r="D35" i="53" s="1"/>
  <c r="D36" i="53" s="1"/>
  <c r="E82" i="67"/>
  <c r="BG5" i="140" s="1"/>
  <c r="AS6" i="140" s="1"/>
  <c r="Q4" i="55"/>
  <c r="D56" i="67" s="1"/>
  <c r="Q10" i="55"/>
  <c r="D62" i="67" s="1"/>
  <c r="Q11" i="55"/>
  <c r="D63" i="67" s="1"/>
  <c r="Q5" i="55"/>
  <c r="D57" i="67" s="1"/>
  <c r="Q6" i="55"/>
  <c r="D58" i="67" s="1"/>
  <c r="Q8" i="55"/>
  <c r="D60" i="67" s="1"/>
  <c r="J29" i="65"/>
  <c r="L29" i="65" s="1"/>
  <c r="Q4" i="65" s="1"/>
  <c r="O30" i="67" s="1"/>
  <c r="O108" i="67" s="1"/>
  <c r="J5" i="65"/>
  <c r="L5" i="65" s="1"/>
  <c r="P5" i="65" s="1"/>
  <c r="O5" i="67" s="1"/>
  <c r="O83" i="67" s="1"/>
  <c r="J30" i="65"/>
  <c r="L30" i="65" s="1"/>
  <c r="Q5" i="65" s="1"/>
  <c r="O31" i="67" s="1"/>
  <c r="O109" i="67" s="1"/>
  <c r="J4" i="53"/>
  <c r="O4" i="53" s="1"/>
  <c r="H4" i="67" s="1"/>
  <c r="G4" i="58"/>
  <c r="K4" i="58" s="1"/>
  <c r="G29" i="58"/>
  <c r="G30" i="58"/>
  <c r="G5" i="58"/>
  <c r="K5" i="58" s="1"/>
  <c r="P5" i="57"/>
  <c r="E31" i="67" s="1"/>
  <c r="E109" i="67" s="1"/>
  <c r="J29" i="57"/>
  <c r="P4" i="57" s="1"/>
  <c r="E30" i="67" s="1"/>
  <c r="E108" i="67" s="1"/>
  <c r="D7" i="53"/>
  <c r="D32" i="53"/>
  <c r="D5" i="53"/>
  <c r="G5" i="53" s="1"/>
  <c r="D30" i="53"/>
  <c r="G30" i="53" s="1"/>
  <c r="D8" i="53"/>
  <c r="D33" i="53"/>
  <c r="G54" i="53"/>
  <c r="Q4" i="53" s="1"/>
  <c r="H56" i="67" s="1"/>
  <c r="D3" i="53"/>
  <c r="D28" i="53"/>
  <c r="G62" i="35"/>
  <c r="G60" i="35"/>
  <c r="G54" i="35"/>
  <c r="P4" i="35" s="1"/>
  <c r="T56" i="67" s="1"/>
  <c r="G61" i="35"/>
  <c r="G5" i="35"/>
  <c r="I5" i="35" s="1"/>
  <c r="G30" i="35"/>
  <c r="I30" i="35" s="1"/>
  <c r="G29" i="35"/>
  <c r="I29" i="35" s="1"/>
  <c r="G4" i="35"/>
  <c r="I4" i="35" s="1"/>
  <c r="G61" i="55"/>
  <c r="J85" i="55" s="1"/>
  <c r="X122" i="55" s="1"/>
  <c r="G30" i="55"/>
  <c r="G4" i="55"/>
  <c r="G59" i="55"/>
  <c r="J83" i="55" s="1"/>
  <c r="X120" i="55" s="1"/>
  <c r="G55" i="55"/>
  <c r="G31" i="55"/>
  <c r="G5" i="55"/>
  <c r="D10" i="53"/>
  <c r="G57" i="53"/>
  <c r="G62" i="53"/>
  <c r="G59" i="53"/>
  <c r="G58" i="53"/>
  <c r="L18" i="63" l="1"/>
  <c r="E95" i="63"/>
  <c r="T133" i="63" s="1"/>
  <c r="L42" i="63"/>
  <c r="K90" i="55"/>
  <c r="Y127" i="55" s="1"/>
  <c r="X127" i="55"/>
  <c r="J89" i="53"/>
  <c r="W125" i="53" s="1"/>
  <c r="K30" i="98"/>
  <c r="Q5" i="98" s="1"/>
  <c r="F31" i="67" s="1"/>
  <c r="F109" i="67" s="1"/>
  <c r="K29" i="98"/>
  <c r="Q4" i="98" s="1"/>
  <c r="F30" i="67" s="1"/>
  <c r="F108" i="67" s="1"/>
  <c r="L90" i="55"/>
  <c r="Z127" i="55" s="1"/>
  <c r="Q14" i="53"/>
  <c r="H66" i="67" s="1"/>
  <c r="J88" i="54"/>
  <c r="J88" i="58"/>
  <c r="L86" i="35"/>
  <c r="Y124" i="35" s="1"/>
  <c r="K86" i="35"/>
  <c r="Q7" i="53"/>
  <c r="H59" i="67" s="1"/>
  <c r="J83" i="53"/>
  <c r="W119" i="53" s="1"/>
  <c r="Q8" i="53"/>
  <c r="H60" i="67" s="1"/>
  <c r="J84" i="53"/>
  <c r="W120" i="53" s="1"/>
  <c r="Q9" i="53"/>
  <c r="H61" i="67" s="1"/>
  <c r="J85" i="53"/>
  <c r="W121" i="53" s="1"/>
  <c r="K93" i="35"/>
  <c r="X131" i="35" s="1"/>
  <c r="L93" i="35"/>
  <c r="Y131" i="35" s="1"/>
  <c r="L88" i="35"/>
  <c r="Y126" i="35" s="1"/>
  <c r="K88" i="35"/>
  <c r="X126" i="35" s="1"/>
  <c r="Q12" i="53"/>
  <c r="H64" i="67" s="1"/>
  <c r="J88" i="53"/>
  <c r="W124" i="53" s="1"/>
  <c r="P11" i="35"/>
  <c r="T63" i="67" s="1"/>
  <c r="J90" i="35"/>
  <c r="W128" i="35" s="1"/>
  <c r="K85" i="35"/>
  <c r="X123" i="35" s="1"/>
  <c r="L85" i="35"/>
  <c r="Y123" i="35" s="1"/>
  <c r="L82" i="53"/>
  <c r="Y118" i="53" s="1"/>
  <c r="K82" i="53"/>
  <c r="X118" i="53" s="1"/>
  <c r="L92" i="35"/>
  <c r="Y130" i="35" s="1"/>
  <c r="K92" i="35"/>
  <c r="X130" i="35" s="1"/>
  <c r="P10" i="35"/>
  <c r="T62" i="67" s="1"/>
  <c r="J89" i="35"/>
  <c r="W127" i="35" s="1"/>
  <c r="L87" i="35"/>
  <c r="Y125" i="35" s="1"/>
  <c r="K87" i="35"/>
  <c r="X125" i="35" s="1"/>
  <c r="K86" i="53"/>
  <c r="X122" i="53" s="1"/>
  <c r="L86" i="53"/>
  <c r="Y122" i="53" s="1"/>
  <c r="P12" i="35"/>
  <c r="T64" i="67" s="1"/>
  <c r="J91" i="35"/>
  <c r="W129" i="35" s="1"/>
  <c r="K90" i="53"/>
  <c r="X126" i="53" s="1"/>
  <c r="L90" i="53"/>
  <c r="Y126" i="53" s="1"/>
  <c r="N5" i="64"/>
  <c r="Q31" i="67" s="1"/>
  <c r="Q109" i="67" s="1"/>
  <c r="H29" i="64"/>
  <c r="N4" i="64" s="1"/>
  <c r="Q30" i="67" s="1"/>
  <c r="Q108" i="67" s="1"/>
  <c r="R8" i="58"/>
  <c r="L60" i="67" s="1"/>
  <c r="J84" i="58"/>
  <c r="W122" i="58" s="1"/>
  <c r="L83" i="58"/>
  <c r="Y121" i="58" s="1"/>
  <c r="K83" i="58"/>
  <c r="X121" i="58" s="1"/>
  <c r="K87" i="58"/>
  <c r="X125" i="58" s="1"/>
  <c r="L87" i="58"/>
  <c r="Y125" i="58" s="1"/>
  <c r="L85" i="58"/>
  <c r="Y123" i="58" s="1"/>
  <c r="K85" i="58"/>
  <c r="X123" i="58" s="1"/>
  <c r="L86" i="58"/>
  <c r="Y124" i="58" s="1"/>
  <c r="K86" i="58"/>
  <c r="X124" i="58" s="1"/>
  <c r="R13" i="58"/>
  <c r="L65" i="67" s="1"/>
  <c r="J89" i="58"/>
  <c r="W127" i="58" s="1"/>
  <c r="K82" i="58"/>
  <c r="X120" i="58" s="1"/>
  <c r="L82" i="58"/>
  <c r="Y120" i="58" s="1"/>
  <c r="R14" i="58"/>
  <c r="L66" i="67" s="1"/>
  <c r="J90" i="58"/>
  <c r="W128" i="58" s="1"/>
  <c r="L85" i="57"/>
  <c r="Y123" i="57" s="1"/>
  <c r="K85" i="57"/>
  <c r="X123" i="57" s="1"/>
  <c r="L83" i="57"/>
  <c r="Y121" i="57" s="1"/>
  <c r="K83" i="57"/>
  <c r="X121" i="57" s="1"/>
  <c r="L81" i="57"/>
  <c r="Y119" i="57" s="1"/>
  <c r="K81" i="57"/>
  <c r="X119" i="57" s="1"/>
  <c r="K84" i="57"/>
  <c r="X122" i="57" s="1"/>
  <c r="L84" i="57"/>
  <c r="Y122" i="57" s="1"/>
  <c r="L86" i="57"/>
  <c r="Y124" i="57" s="1"/>
  <c r="K86" i="57"/>
  <c r="K88" i="55"/>
  <c r="Y125" i="55" s="1"/>
  <c r="L88" i="55"/>
  <c r="Z125" i="55" s="1"/>
  <c r="L85" i="55"/>
  <c r="Z122" i="55" s="1"/>
  <c r="K85" i="55"/>
  <c r="Y122" i="55" s="1"/>
  <c r="L83" i="55"/>
  <c r="Z120" i="55" s="1"/>
  <c r="K83" i="55"/>
  <c r="Y120" i="55" s="1"/>
  <c r="I30" i="61"/>
  <c r="O5" i="61" s="1"/>
  <c r="U31" i="67" s="1"/>
  <c r="U109" i="67" s="1"/>
  <c r="I29" i="61"/>
  <c r="O4" i="61" s="1"/>
  <c r="U30" i="67" s="1"/>
  <c r="U108" i="67" s="1"/>
  <c r="L87" i="54"/>
  <c r="Y124" i="54" s="1"/>
  <c r="K87" i="54"/>
  <c r="X124" i="54" s="1"/>
  <c r="I41" i="57"/>
  <c r="J38" i="98"/>
  <c r="I35" i="66"/>
  <c r="I39" i="66"/>
  <c r="I14" i="66"/>
  <c r="J14" i="98"/>
  <c r="I10" i="66"/>
  <c r="H82" i="67"/>
  <c r="N5" i="35"/>
  <c r="T5" i="67" s="1"/>
  <c r="T83" i="67" s="1"/>
  <c r="N4" i="35"/>
  <c r="T4" i="67" s="1"/>
  <c r="T82" i="67" s="1"/>
  <c r="O5" i="35"/>
  <c r="T31" i="67" s="1"/>
  <c r="T109" i="67" s="1"/>
  <c r="O4" i="35"/>
  <c r="T30" i="67" s="1"/>
  <c r="T108" i="67" s="1"/>
  <c r="K29" i="58"/>
  <c r="Q4" i="58" s="1"/>
  <c r="L30" i="67" s="1"/>
  <c r="L108" i="67" s="1"/>
  <c r="P5" i="58"/>
  <c r="L5" i="67" s="1"/>
  <c r="L83" i="67" s="1"/>
  <c r="P4" i="58"/>
  <c r="L4" i="67" s="1"/>
  <c r="L82" i="67" s="1"/>
  <c r="K30" i="58"/>
  <c r="Q5" i="58" s="1"/>
  <c r="L31" i="67" s="1"/>
  <c r="L109" i="67" s="1"/>
  <c r="H108" i="67"/>
  <c r="Q9" i="55"/>
  <c r="D61" i="67" s="1"/>
  <c r="Q3" i="55"/>
  <c r="D55" i="67" s="1"/>
  <c r="Q7" i="55"/>
  <c r="D59" i="67" s="1"/>
  <c r="J31" i="55"/>
  <c r="P5" i="55" s="1"/>
  <c r="D31" i="67" s="1"/>
  <c r="D109" i="67" s="1"/>
  <c r="J4" i="55"/>
  <c r="O4" i="55" s="1"/>
  <c r="D4" i="67" s="1"/>
  <c r="D82" i="67" s="1"/>
  <c r="BH5" i="130" s="1"/>
  <c r="AT6" i="130" s="1"/>
  <c r="J5" i="55"/>
  <c r="O5" i="55" s="1"/>
  <c r="D5" i="67" s="1"/>
  <c r="D83" i="67" s="1"/>
  <c r="BH6" i="130" s="1"/>
  <c r="AT7" i="130" s="1"/>
  <c r="J30" i="55"/>
  <c r="P4" i="55" s="1"/>
  <c r="D30" i="67" s="1"/>
  <c r="D108" i="67" s="1"/>
  <c r="J5" i="53"/>
  <c r="O5" i="53" s="1"/>
  <c r="H5" i="67" s="1"/>
  <c r="H83" i="67" s="1"/>
  <c r="J30" i="53"/>
  <c r="P5" i="53" s="1"/>
  <c r="H31" i="67" s="1"/>
  <c r="H109" i="67" s="1"/>
  <c r="D11" i="53"/>
  <c r="G61" i="53"/>
  <c r="K89" i="53" l="1"/>
  <c r="X125" i="53" s="1"/>
  <c r="L89" i="53"/>
  <c r="Y125" i="53" s="1"/>
  <c r="L43" i="63"/>
  <c r="L19" i="63"/>
  <c r="E96" i="63"/>
  <c r="T134" i="63" s="1"/>
  <c r="L88" i="54"/>
  <c r="Y125" i="54" s="1"/>
  <c r="W125" i="54"/>
  <c r="X124" i="57"/>
  <c r="L88" i="58"/>
  <c r="Y126" i="58" s="1"/>
  <c r="W126" i="58"/>
  <c r="O86" i="35"/>
  <c r="AB124" i="35" s="1"/>
  <c r="X124" i="35"/>
  <c r="K88" i="58"/>
  <c r="X126" i="58" s="1"/>
  <c r="K88" i="54"/>
  <c r="N83" i="55"/>
  <c r="AB120" i="55" s="1"/>
  <c r="L88" i="53"/>
  <c r="Y124" i="53" s="1"/>
  <c r="K88" i="53"/>
  <c r="X124" i="53" s="1"/>
  <c r="K85" i="53"/>
  <c r="X121" i="53" s="1"/>
  <c r="L85" i="53"/>
  <c r="Y121" i="53" s="1"/>
  <c r="N81" i="57"/>
  <c r="AA119" i="57" s="1"/>
  <c r="K84" i="53"/>
  <c r="X120" i="53" s="1"/>
  <c r="L84" i="53"/>
  <c r="Y120" i="53" s="1"/>
  <c r="Q11" i="53"/>
  <c r="H63" i="67" s="1"/>
  <c r="J87" i="53"/>
  <c r="W123" i="53" s="1"/>
  <c r="L89" i="35"/>
  <c r="Y127" i="35" s="1"/>
  <c r="K89" i="35"/>
  <c r="X127" i="35" s="1"/>
  <c r="K90" i="35"/>
  <c r="X128" i="35" s="1"/>
  <c r="L90" i="35"/>
  <c r="Y128" i="35" s="1"/>
  <c r="K83" i="53"/>
  <c r="X119" i="53" s="1"/>
  <c r="L83" i="53"/>
  <c r="Y119" i="53" s="1"/>
  <c r="L91" i="35"/>
  <c r="Y129" i="35" s="1"/>
  <c r="K91" i="35"/>
  <c r="X129" i="35" s="1"/>
  <c r="K90" i="58"/>
  <c r="X128" i="58" s="1"/>
  <c r="L90" i="58"/>
  <c r="Y128" i="58" s="1"/>
  <c r="N83" i="58"/>
  <c r="AA121" i="58" s="1"/>
  <c r="K84" i="58"/>
  <c r="X122" i="58" s="1"/>
  <c r="L84" i="58"/>
  <c r="Y122" i="58" s="1"/>
  <c r="L89" i="58"/>
  <c r="Y127" i="58" s="1"/>
  <c r="K89" i="58"/>
  <c r="X127" i="58" s="1"/>
  <c r="H17" i="57"/>
  <c r="I42" i="57"/>
  <c r="I15" i="66"/>
  <c r="I40" i="66"/>
  <c r="I34" i="66"/>
  <c r="I9" i="66"/>
  <c r="J15" i="98"/>
  <c r="J39" i="98"/>
  <c r="C62" i="54"/>
  <c r="D62" i="54" s="1"/>
  <c r="C61" i="54"/>
  <c r="D61" i="54" s="1"/>
  <c r="C60" i="54"/>
  <c r="D60" i="54" s="1"/>
  <c r="C59" i="54"/>
  <c r="C58" i="54"/>
  <c r="C57" i="54"/>
  <c r="C55" i="54"/>
  <c r="C54" i="54"/>
  <c r="D54" i="54" s="1"/>
  <c r="C53" i="54"/>
  <c r="C5" i="54"/>
  <c r="F5" i="54" s="1"/>
  <c r="C4" i="54"/>
  <c r="F4" i="54" s="1"/>
  <c r="C63" i="33"/>
  <c r="F63" i="33" s="1"/>
  <c r="C62" i="33"/>
  <c r="D62" i="33" s="1"/>
  <c r="C61" i="33"/>
  <c r="D61" i="33" s="1"/>
  <c r="C60" i="33"/>
  <c r="D60" i="33" s="1"/>
  <c r="C59" i="33"/>
  <c r="D59" i="33" s="1"/>
  <c r="C58" i="33"/>
  <c r="D58" i="33" s="1"/>
  <c r="C57" i="33"/>
  <c r="D57" i="33" s="1"/>
  <c r="C56" i="33"/>
  <c r="F56" i="33" s="1"/>
  <c r="C55" i="33"/>
  <c r="F55" i="33" s="1"/>
  <c r="C54" i="33"/>
  <c r="F54" i="33" s="1"/>
  <c r="B31" i="33"/>
  <c r="C31" i="33" s="1"/>
  <c r="F31" i="33" s="1"/>
  <c r="C5" i="33"/>
  <c r="C62" i="52"/>
  <c r="F62" i="52" s="1"/>
  <c r="C61" i="52"/>
  <c r="F61" i="52" s="1"/>
  <c r="C60" i="52"/>
  <c r="F60" i="52" s="1"/>
  <c r="C59" i="52"/>
  <c r="F59" i="52" s="1"/>
  <c r="C58" i="52"/>
  <c r="F58" i="52" s="1"/>
  <c r="C57" i="52"/>
  <c r="F57" i="52" s="1"/>
  <c r="C56" i="52"/>
  <c r="F56" i="52" s="1"/>
  <c r="C55" i="52"/>
  <c r="F55" i="52" s="1"/>
  <c r="C54" i="52"/>
  <c r="F54" i="52" s="1"/>
  <c r="C53" i="52"/>
  <c r="F53" i="52" s="1"/>
  <c r="C30" i="52"/>
  <c r="C29" i="52"/>
  <c r="C62" i="51"/>
  <c r="E62" i="51" s="1"/>
  <c r="C61" i="51"/>
  <c r="C60" i="51"/>
  <c r="C59" i="51"/>
  <c r="E59" i="51" s="1"/>
  <c r="C58" i="51"/>
  <c r="E58" i="51" s="1"/>
  <c r="C57" i="51"/>
  <c r="C56" i="51"/>
  <c r="E56" i="51" s="1"/>
  <c r="C55" i="51"/>
  <c r="E55" i="51" s="1"/>
  <c r="R5" i="51" s="1"/>
  <c r="I57" i="67" s="1"/>
  <c r="C54" i="51"/>
  <c r="C53" i="51"/>
  <c r="C5" i="51"/>
  <c r="B29" i="51"/>
  <c r="C29" i="51" s="1"/>
  <c r="E29" i="51" s="1"/>
  <c r="H29" i="51" s="1"/>
  <c r="C62" i="50"/>
  <c r="C61" i="50"/>
  <c r="C60" i="50"/>
  <c r="C59" i="50"/>
  <c r="C57" i="50"/>
  <c r="C56" i="50"/>
  <c r="C55" i="50"/>
  <c r="C54" i="50"/>
  <c r="C53" i="50"/>
  <c r="B30" i="50"/>
  <c r="C30" i="50" s="1"/>
  <c r="AH32" i="50" s="1"/>
  <c r="AJ32" i="50" s="1"/>
  <c r="F32" i="50" s="1"/>
  <c r="C4" i="50"/>
  <c r="C63" i="49"/>
  <c r="C194" i="49" s="1"/>
  <c r="C62" i="49"/>
  <c r="C61" i="49"/>
  <c r="C60" i="49"/>
  <c r="C59" i="49"/>
  <c r="C58" i="49"/>
  <c r="C57" i="49"/>
  <c r="C56" i="49"/>
  <c r="C55" i="49"/>
  <c r="C186" i="49" s="1"/>
  <c r="E54" i="49"/>
  <c r="E185" i="49" s="1"/>
  <c r="C6" i="49"/>
  <c r="C5" i="49"/>
  <c r="B104" i="37"/>
  <c r="B246" i="37" s="1"/>
  <c r="B103" i="37"/>
  <c r="B245" i="37" s="1"/>
  <c r="B102" i="37"/>
  <c r="B244" i="37" s="1"/>
  <c r="B101" i="37"/>
  <c r="B243" i="37" s="1"/>
  <c r="B100" i="37"/>
  <c r="B242" i="37" s="1"/>
  <c r="B99" i="37"/>
  <c r="B241" i="37" s="1"/>
  <c r="B98" i="37"/>
  <c r="B240" i="37" s="1"/>
  <c r="B97" i="37"/>
  <c r="B239" i="37" s="1"/>
  <c r="B96" i="37"/>
  <c r="B238" i="37" s="1"/>
  <c r="B95" i="37"/>
  <c r="B237" i="37" s="1"/>
  <c r="B51" i="37"/>
  <c r="C4" i="37"/>
  <c r="C188" i="37" s="1"/>
  <c r="B54" i="48"/>
  <c r="B55" i="48"/>
  <c r="B56" i="48"/>
  <c r="B57" i="48"/>
  <c r="B58" i="48"/>
  <c r="B59" i="48"/>
  <c r="B60" i="48"/>
  <c r="B61" i="48"/>
  <c r="B62" i="48"/>
  <c r="B53" i="48"/>
  <c r="C4" i="48"/>
  <c r="B30" i="48"/>
  <c r="C30" i="48" s="1"/>
  <c r="AI12" i="48"/>
  <c r="AJ12" i="48" s="1"/>
  <c r="AI4" i="48"/>
  <c r="AI5" i="48"/>
  <c r="AI6" i="48"/>
  <c r="AI7" i="48"/>
  <c r="AI8" i="48"/>
  <c r="AI10" i="48"/>
  <c r="AI11" i="48"/>
  <c r="C41" i="41"/>
  <c r="L44" i="63" l="1"/>
  <c r="E97" i="63"/>
  <c r="T135" i="63" s="1"/>
  <c r="L20" i="63"/>
  <c r="X125" i="54"/>
  <c r="C51" i="37"/>
  <c r="C214" i="37" s="1"/>
  <c r="B214" i="37"/>
  <c r="F56" i="49"/>
  <c r="F187" i="49" s="1"/>
  <c r="C187" i="49"/>
  <c r="E59" i="49"/>
  <c r="E190" i="49" s="1"/>
  <c r="C190" i="49"/>
  <c r="E5" i="49"/>
  <c r="E134" i="49" s="1"/>
  <c r="C134" i="49"/>
  <c r="G58" i="49"/>
  <c r="G189" i="49" s="1"/>
  <c r="C189" i="49"/>
  <c r="G6" i="49"/>
  <c r="G135" i="49" s="1"/>
  <c r="C135" i="49"/>
  <c r="F61" i="49"/>
  <c r="F192" i="49" s="1"/>
  <c r="C192" i="49"/>
  <c r="G57" i="49"/>
  <c r="C188" i="49"/>
  <c r="F60" i="49"/>
  <c r="F191" i="49" s="1"/>
  <c r="C191" i="49"/>
  <c r="E62" i="49"/>
  <c r="E193" i="49" s="1"/>
  <c r="C193" i="49"/>
  <c r="C58" i="48"/>
  <c r="V8" i="48"/>
  <c r="C57" i="48"/>
  <c r="D57" i="48" s="1"/>
  <c r="V7" i="48"/>
  <c r="C56" i="48"/>
  <c r="V6" i="48"/>
  <c r="C59" i="48"/>
  <c r="V9" i="48"/>
  <c r="C55" i="48"/>
  <c r="V5" i="48"/>
  <c r="C53" i="48"/>
  <c r="V3" i="48"/>
  <c r="C62" i="48"/>
  <c r="V12" i="48"/>
  <c r="C54" i="48"/>
  <c r="V4" i="48"/>
  <c r="C61" i="48"/>
  <c r="V11" i="48"/>
  <c r="C60" i="48"/>
  <c r="V10" i="48"/>
  <c r="L12" i="48"/>
  <c r="L37" i="48"/>
  <c r="L10" i="48"/>
  <c r="L35" i="48"/>
  <c r="L11" i="48"/>
  <c r="L36" i="48"/>
  <c r="L9" i="48"/>
  <c r="E82" i="48" s="1"/>
  <c r="U118" i="48" s="1"/>
  <c r="L34" i="48"/>
  <c r="AJ7" i="48"/>
  <c r="L32" i="48"/>
  <c r="L7" i="48"/>
  <c r="E80" i="48" s="1"/>
  <c r="U116" i="48" s="1"/>
  <c r="AJ8" i="48"/>
  <c r="L8" i="48"/>
  <c r="E81" i="48" s="1"/>
  <c r="U117" i="48" s="1"/>
  <c r="L33" i="48"/>
  <c r="AJ6" i="48"/>
  <c r="L31" i="48"/>
  <c r="L6" i="48"/>
  <c r="E79" i="48" s="1"/>
  <c r="U115" i="48" s="1"/>
  <c r="AJ4" i="48"/>
  <c r="L4" i="48"/>
  <c r="L29" i="48"/>
  <c r="AJ5" i="48"/>
  <c r="L5" i="48"/>
  <c r="L30" i="48"/>
  <c r="N83" i="53"/>
  <c r="C96" i="37"/>
  <c r="C238" i="37" s="1"/>
  <c r="Y4" i="37"/>
  <c r="C95" i="37"/>
  <c r="Y3" i="37"/>
  <c r="C103" i="37"/>
  <c r="C245" i="37" s="1"/>
  <c r="Y11" i="37"/>
  <c r="L87" i="53"/>
  <c r="Y123" i="53" s="1"/>
  <c r="K87" i="53"/>
  <c r="X123" i="53" s="1"/>
  <c r="C97" i="37"/>
  <c r="Y5" i="37"/>
  <c r="C104" i="37"/>
  <c r="Y12" i="37"/>
  <c r="C99" i="37"/>
  <c r="C241" i="37" s="1"/>
  <c r="Y7" i="37"/>
  <c r="C101" i="37"/>
  <c r="Y9" i="37"/>
  <c r="C98" i="37"/>
  <c r="Y6" i="37"/>
  <c r="C100" i="37"/>
  <c r="C242" i="37" s="1"/>
  <c r="Y8" i="37"/>
  <c r="C102" i="37"/>
  <c r="C244" i="37" s="1"/>
  <c r="Y10" i="37"/>
  <c r="H18" i="57"/>
  <c r="R8" i="51"/>
  <c r="I60" i="67" s="1"/>
  <c r="K85" i="51"/>
  <c r="W121" i="51" s="1"/>
  <c r="R12" i="51"/>
  <c r="I64" i="67" s="1"/>
  <c r="K89" i="51"/>
  <c r="W125" i="51" s="1"/>
  <c r="R6" i="51"/>
  <c r="I58" i="67" s="1"/>
  <c r="K83" i="51"/>
  <c r="W119" i="51" s="1"/>
  <c r="R9" i="51"/>
  <c r="I61" i="67" s="1"/>
  <c r="K86" i="51"/>
  <c r="W122" i="51" s="1"/>
  <c r="I43" i="57"/>
  <c r="I8" i="66"/>
  <c r="AJ11" i="48"/>
  <c r="AJ10" i="48"/>
  <c r="I33" i="66"/>
  <c r="J40" i="98"/>
  <c r="I41" i="66"/>
  <c r="J16" i="98"/>
  <c r="I16" i="66"/>
  <c r="G29" i="52"/>
  <c r="H29" i="52" s="1"/>
  <c r="J29" i="52" s="1"/>
  <c r="G30" i="52"/>
  <c r="H30" i="52" s="1"/>
  <c r="F62" i="33"/>
  <c r="D55" i="33"/>
  <c r="D63" i="33"/>
  <c r="F61" i="33"/>
  <c r="D56" i="33"/>
  <c r="F60" i="33"/>
  <c r="D54" i="33"/>
  <c r="G54" i="33" s="1"/>
  <c r="R4" i="33" s="1"/>
  <c r="F59" i="33"/>
  <c r="F58" i="33"/>
  <c r="F57" i="33"/>
  <c r="G54" i="52"/>
  <c r="S4" i="52" s="1"/>
  <c r="J56" i="67" s="1"/>
  <c r="G62" i="52"/>
  <c r="G55" i="52"/>
  <c r="S5" i="52" s="1"/>
  <c r="J57" i="67" s="1"/>
  <c r="G56" i="52"/>
  <c r="G57" i="52"/>
  <c r="G58" i="52"/>
  <c r="G59" i="52"/>
  <c r="G60" i="52"/>
  <c r="G53" i="52"/>
  <c r="S3" i="52" s="1"/>
  <c r="J55" i="67" s="1"/>
  <c r="G61" i="52"/>
  <c r="F61" i="54"/>
  <c r="F58" i="54"/>
  <c r="D58" i="54"/>
  <c r="F59" i="54"/>
  <c r="D59" i="54"/>
  <c r="F60" i="54"/>
  <c r="F4" i="37"/>
  <c r="F188" i="37" s="1"/>
  <c r="D99" i="37"/>
  <c r="D241" i="37" s="1"/>
  <c r="F100" i="37"/>
  <c r="F242" i="37" s="1"/>
  <c r="D100" i="37"/>
  <c r="D242" i="37" s="1"/>
  <c r="D102" i="37"/>
  <c r="D244" i="37" s="1"/>
  <c r="F102" i="37"/>
  <c r="F244" i="37" s="1"/>
  <c r="D4" i="37"/>
  <c r="D188" i="37" s="1"/>
  <c r="F58" i="49"/>
  <c r="F189" i="49" s="1"/>
  <c r="E61" i="49"/>
  <c r="E192" i="49" s="1"/>
  <c r="F59" i="49"/>
  <c r="F190" i="49" s="1"/>
  <c r="G54" i="49"/>
  <c r="G56" i="49"/>
  <c r="E55" i="49"/>
  <c r="E186" i="49" s="1"/>
  <c r="E63" i="49"/>
  <c r="E194" i="49" s="1"/>
  <c r="F57" i="49"/>
  <c r="G62" i="49"/>
  <c r="G193" i="49" s="1"/>
  <c r="E56" i="49"/>
  <c r="E187" i="49" s="1"/>
  <c r="F54" i="49"/>
  <c r="G61" i="49"/>
  <c r="G192" i="49" s="1"/>
  <c r="G63" i="49"/>
  <c r="G194" i="49" s="1"/>
  <c r="E57" i="49"/>
  <c r="E188" i="49" s="1"/>
  <c r="F63" i="49"/>
  <c r="F194" i="49" s="1"/>
  <c r="F55" i="49"/>
  <c r="G60" i="49"/>
  <c r="G191" i="49" s="1"/>
  <c r="G55" i="49"/>
  <c r="E6" i="49"/>
  <c r="E58" i="49"/>
  <c r="E189" i="49" s="1"/>
  <c r="F62" i="49"/>
  <c r="F193" i="49" s="1"/>
  <c r="G59" i="49"/>
  <c r="G190" i="49" s="1"/>
  <c r="E60" i="49"/>
  <c r="E191" i="49" s="1"/>
  <c r="E56" i="50"/>
  <c r="F56" i="50" s="1"/>
  <c r="E53" i="50"/>
  <c r="F53" i="50" s="1"/>
  <c r="F30" i="48"/>
  <c r="G30" i="48" s="1"/>
  <c r="J30" i="48" s="1"/>
  <c r="F4" i="48"/>
  <c r="G4" i="48" s="1"/>
  <c r="J4" i="48" s="1"/>
  <c r="F58" i="48"/>
  <c r="F57" i="48"/>
  <c r="G57" i="48" s="1"/>
  <c r="F59" i="48"/>
  <c r="F60" i="48"/>
  <c r="G5" i="49"/>
  <c r="E60" i="50"/>
  <c r="F60" i="50" s="1"/>
  <c r="E54" i="50"/>
  <c r="F54" i="50" s="1"/>
  <c r="C5" i="50"/>
  <c r="AH5" i="50" s="1"/>
  <c r="AJ5" i="50" s="1"/>
  <c r="B29" i="50"/>
  <c r="C29" i="50" s="1"/>
  <c r="AH31" i="50" s="1"/>
  <c r="AJ31" i="50" s="1"/>
  <c r="F31" i="50" s="1"/>
  <c r="E58" i="50"/>
  <c r="F58" i="50" s="1"/>
  <c r="C5" i="52"/>
  <c r="D56" i="54"/>
  <c r="F56" i="54"/>
  <c r="D57" i="54"/>
  <c r="F57" i="54"/>
  <c r="D53" i="54"/>
  <c r="F53" i="54"/>
  <c r="F54" i="54"/>
  <c r="G54" i="54" s="1"/>
  <c r="Q4" i="54" s="1"/>
  <c r="G56" i="67" s="1"/>
  <c r="F62" i="54"/>
  <c r="G62" i="54" s="1"/>
  <c r="D55" i="54"/>
  <c r="F55" i="54"/>
  <c r="B29" i="48"/>
  <c r="C29" i="48" s="1"/>
  <c r="B50" i="37"/>
  <c r="C5" i="37"/>
  <c r="C189" i="37" s="1"/>
  <c r="G4" i="54"/>
  <c r="I4" i="54" s="1"/>
  <c r="G5" i="54"/>
  <c r="I5" i="54" s="1"/>
  <c r="C30" i="54"/>
  <c r="F30" i="54" s="1"/>
  <c r="C29" i="54"/>
  <c r="F29" i="54" s="1"/>
  <c r="F5" i="33"/>
  <c r="G5" i="33" s="1"/>
  <c r="G31" i="33"/>
  <c r="B30" i="33"/>
  <c r="C30" i="33" s="1"/>
  <c r="F30" i="33" s="1"/>
  <c r="C6" i="33"/>
  <c r="C4" i="52"/>
  <c r="E53" i="51"/>
  <c r="R3" i="51" s="1"/>
  <c r="I55" i="67" s="1"/>
  <c r="E60" i="51"/>
  <c r="E54" i="51"/>
  <c r="R4" i="51" s="1"/>
  <c r="I56" i="67" s="1"/>
  <c r="E61" i="51"/>
  <c r="E57" i="51"/>
  <c r="E5" i="51"/>
  <c r="H5" i="51" s="1"/>
  <c r="C4" i="51"/>
  <c r="E4" i="51" s="1"/>
  <c r="Q4" i="51"/>
  <c r="I30" i="67" s="1"/>
  <c r="B30" i="51"/>
  <c r="C30" i="51" s="1"/>
  <c r="E30" i="51" s="1"/>
  <c r="E62" i="50"/>
  <c r="F62" i="50" s="1"/>
  <c r="J87" i="50" s="1"/>
  <c r="V125" i="50" s="1"/>
  <c r="E4" i="50"/>
  <c r="G4" i="50" s="1"/>
  <c r="I4" i="50" s="1"/>
  <c r="E55" i="50"/>
  <c r="F55" i="50" s="1"/>
  <c r="E59" i="50"/>
  <c r="F59" i="50" s="1"/>
  <c r="E57" i="50"/>
  <c r="F57" i="50" s="1"/>
  <c r="E61" i="50"/>
  <c r="F61" i="50" s="1"/>
  <c r="E30" i="50"/>
  <c r="B30" i="49"/>
  <c r="B31" i="49"/>
  <c r="C5" i="48"/>
  <c r="AF51" i="16"/>
  <c r="AG51" i="16"/>
  <c r="AH51" i="16"/>
  <c r="X51" i="46"/>
  <c r="X52" i="46"/>
  <c r="X53" i="46"/>
  <c r="X54" i="46"/>
  <c r="X55" i="46"/>
  <c r="X56" i="46"/>
  <c r="X57" i="46"/>
  <c r="X58" i="46"/>
  <c r="X59" i="46"/>
  <c r="X60" i="46"/>
  <c r="X61" i="46"/>
  <c r="X62" i="46"/>
  <c r="X63" i="46"/>
  <c r="X64" i="46"/>
  <c r="X65" i="46"/>
  <c r="X66" i="46"/>
  <c r="X67" i="46"/>
  <c r="W50" i="46"/>
  <c r="B27" i="40"/>
  <c r="B26" i="40"/>
  <c r="B49" i="40" s="1"/>
  <c r="I50" i="40"/>
  <c r="I73" i="40" s="1"/>
  <c r="C51" i="40"/>
  <c r="C74" i="40" s="1"/>
  <c r="S51" i="40"/>
  <c r="M52" i="40"/>
  <c r="M75" i="40" s="1"/>
  <c r="U52" i="40"/>
  <c r="U75" i="40" s="1"/>
  <c r="G53" i="40"/>
  <c r="G76" i="40" s="1"/>
  <c r="I54" i="40"/>
  <c r="I77" i="40" s="1"/>
  <c r="C55" i="40"/>
  <c r="C78" i="40" s="1"/>
  <c r="K55" i="40"/>
  <c r="K78" i="40" s="1"/>
  <c r="S55" i="40"/>
  <c r="M56" i="40"/>
  <c r="M79" i="40" s="1"/>
  <c r="U56" i="40"/>
  <c r="U79" i="40" s="1"/>
  <c r="G57" i="40"/>
  <c r="G80" i="40" s="1"/>
  <c r="I58" i="40"/>
  <c r="I81" i="40" s="1"/>
  <c r="C59" i="40"/>
  <c r="C82" i="40" s="1"/>
  <c r="S59" i="40"/>
  <c r="E60" i="40"/>
  <c r="E83" i="40" s="1"/>
  <c r="M60" i="40"/>
  <c r="M83" i="40" s="1"/>
  <c r="U60" i="40"/>
  <c r="U83" i="40" s="1"/>
  <c r="G61" i="40"/>
  <c r="G84" i="40" s="1"/>
  <c r="O61" i="40"/>
  <c r="O84" i="40" s="1"/>
  <c r="I62" i="40"/>
  <c r="I85" i="40" s="1"/>
  <c r="W88" i="183" s="1"/>
  <c r="Q62" i="40"/>
  <c r="Q85" i="40" s="1"/>
  <c r="C63" i="40"/>
  <c r="C86" i="40" s="1"/>
  <c r="W47" i="183" s="1"/>
  <c r="K63" i="40"/>
  <c r="K86" i="40" s="1"/>
  <c r="S63" i="40"/>
  <c r="E64" i="40"/>
  <c r="E87" i="40" s="1"/>
  <c r="W66" i="183" s="1"/>
  <c r="M64" i="40"/>
  <c r="M87" i="40" s="1"/>
  <c r="U64" i="40"/>
  <c r="U87" i="40" s="1"/>
  <c r="G65" i="40"/>
  <c r="G88" i="40" s="1"/>
  <c r="O65" i="40"/>
  <c r="O88" i="40" s="1"/>
  <c r="S65" i="40"/>
  <c r="I66" i="40"/>
  <c r="Q66" i="40"/>
  <c r="Q89" i="40" s="1"/>
  <c r="D49" i="40"/>
  <c r="D72" i="40" s="1"/>
  <c r="G49" i="40"/>
  <c r="G72" i="40" s="1"/>
  <c r="L49" i="40"/>
  <c r="L72" i="40" s="1"/>
  <c r="X50" i="46"/>
  <c r="B50" i="46"/>
  <c r="C50" i="46"/>
  <c r="D50" i="46"/>
  <c r="E50" i="46"/>
  <c r="G50" i="46"/>
  <c r="H50" i="46"/>
  <c r="I50" i="46"/>
  <c r="J50" i="46"/>
  <c r="K50" i="46"/>
  <c r="L50" i="46"/>
  <c r="M50" i="46"/>
  <c r="N50" i="46"/>
  <c r="O50" i="46"/>
  <c r="P50" i="46"/>
  <c r="Q50" i="46"/>
  <c r="R50" i="46"/>
  <c r="S50" i="46"/>
  <c r="T50" i="46"/>
  <c r="U50" i="46"/>
  <c r="V50" i="46"/>
  <c r="B65" i="40"/>
  <c r="B88" i="40" s="1"/>
  <c r="W37" i="183" s="1"/>
  <c r="B51" i="46"/>
  <c r="C51" i="46"/>
  <c r="D51" i="46"/>
  <c r="E51" i="46"/>
  <c r="G51" i="46"/>
  <c r="H51" i="46"/>
  <c r="I51" i="46"/>
  <c r="J51" i="46"/>
  <c r="K51" i="46"/>
  <c r="L51" i="46"/>
  <c r="M51" i="46"/>
  <c r="N51" i="46"/>
  <c r="O51" i="46"/>
  <c r="P51" i="46"/>
  <c r="Q51" i="46"/>
  <c r="R51" i="46"/>
  <c r="S51" i="46"/>
  <c r="T51" i="46"/>
  <c r="U51" i="46"/>
  <c r="V51" i="46"/>
  <c r="B52" i="46"/>
  <c r="C52" i="46"/>
  <c r="D52" i="46"/>
  <c r="E52" i="46"/>
  <c r="G52" i="46"/>
  <c r="H52" i="46"/>
  <c r="I52" i="46"/>
  <c r="J52" i="46"/>
  <c r="K52" i="46"/>
  <c r="L52" i="46"/>
  <c r="M52" i="46"/>
  <c r="N52" i="46"/>
  <c r="O52" i="46"/>
  <c r="P52" i="46"/>
  <c r="Q52" i="46"/>
  <c r="R52" i="46"/>
  <c r="S52" i="46"/>
  <c r="T52" i="46"/>
  <c r="U52" i="46"/>
  <c r="V52" i="46"/>
  <c r="B53" i="46"/>
  <c r="C53" i="46"/>
  <c r="D53" i="46"/>
  <c r="E53" i="46"/>
  <c r="G53" i="46"/>
  <c r="H53" i="46"/>
  <c r="I53" i="46"/>
  <c r="J53" i="46"/>
  <c r="K53" i="46"/>
  <c r="L53" i="46"/>
  <c r="M53" i="46"/>
  <c r="N53" i="46"/>
  <c r="O53" i="46"/>
  <c r="P53" i="46"/>
  <c r="Q53" i="46"/>
  <c r="R53" i="46"/>
  <c r="S53" i="46"/>
  <c r="T53" i="46"/>
  <c r="U53" i="46"/>
  <c r="V53" i="46"/>
  <c r="B54" i="46"/>
  <c r="C54" i="46"/>
  <c r="D54" i="46"/>
  <c r="E54" i="46"/>
  <c r="G54" i="46"/>
  <c r="H54" i="46"/>
  <c r="I54" i="46"/>
  <c r="J54" i="46"/>
  <c r="K54" i="46"/>
  <c r="L54" i="46"/>
  <c r="M54" i="46"/>
  <c r="N54" i="46"/>
  <c r="O54" i="46"/>
  <c r="P54" i="46"/>
  <c r="Q54" i="46"/>
  <c r="R54" i="46"/>
  <c r="S54" i="46"/>
  <c r="T54" i="46"/>
  <c r="U54" i="46"/>
  <c r="V54" i="46"/>
  <c r="B55" i="46"/>
  <c r="C55" i="46"/>
  <c r="D55" i="46"/>
  <c r="E55" i="46"/>
  <c r="G55" i="46"/>
  <c r="H55" i="46"/>
  <c r="I55" i="46"/>
  <c r="J55" i="46"/>
  <c r="K55" i="46"/>
  <c r="L55" i="46"/>
  <c r="M55" i="46"/>
  <c r="N55" i="46"/>
  <c r="O55" i="46"/>
  <c r="P55" i="46"/>
  <c r="Q55" i="46"/>
  <c r="R55" i="46"/>
  <c r="S55" i="46"/>
  <c r="T55" i="46"/>
  <c r="U55" i="46"/>
  <c r="V55" i="46"/>
  <c r="B56" i="46"/>
  <c r="C56" i="46"/>
  <c r="D56" i="46"/>
  <c r="E56" i="46"/>
  <c r="G56" i="46"/>
  <c r="H56" i="46"/>
  <c r="I56" i="46"/>
  <c r="J56" i="46"/>
  <c r="K56" i="46"/>
  <c r="L56" i="46"/>
  <c r="M56" i="46"/>
  <c r="N56" i="46"/>
  <c r="O56" i="46"/>
  <c r="P56" i="46"/>
  <c r="Q56" i="46"/>
  <c r="R56" i="46"/>
  <c r="S56" i="46"/>
  <c r="T56" i="46"/>
  <c r="U56" i="46"/>
  <c r="V56" i="46"/>
  <c r="B57" i="46"/>
  <c r="C57" i="46"/>
  <c r="D57" i="46"/>
  <c r="E57" i="46"/>
  <c r="G57" i="46"/>
  <c r="H57" i="46"/>
  <c r="I57" i="46"/>
  <c r="J57" i="46"/>
  <c r="K57" i="46"/>
  <c r="L57" i="46"/>
  <c r="M57" i="46"/>
  <c r="N57" i="46"/>
  <c r="O57" i="46"/>
  <c r="P57" i="46"/>
  <c r="Q57" i="46"/>
  <c r="R57" i="46"/>
  <c r="S57" i="46"/>
  <c r="T57" i="46"/>
  <c r="U57" i="46"/>
  <c r="V57" i="46"/>
  <c r="B58" i="46"/>
  <c r="C58" i="46"/>
  <c r="D58" i="46"/>
  <c r="E58" i="46"/>
  <c r="G58" i="46"/>
  <c r="H58" i="46"/>
  <c r="I58" i="46"/>
  <c r="J58" i="46"/>
  <c r="K58" i="46"/>
  <c r="L58" i="46"/>
  <c r="M58" i="46"/>
  <c r="N58" i="46"/>
  <c r="O58" i="46"/>
  <c r="P58" i="46"/>
  <c r="Q58" i="46"/>
  <c r="R58" i="46"/>
  <c r="S58" i="46"/>
  <c r="T58" i="46"/>
  <c r="U58" i="46"/>
  <c r="V58" i="46"/>
  <c r="B59" i="46"/>
  <c r="C59" i="46"/>
  <c r="D59" i="46"/>
  <c r="E59" i="46"/>
  <c r="G59" i="46"/>
  <c r="H59" i="46"/>
  <c r="I59" i="46"/>
  <c r="J59" i="46"/>
  <c r="K59" i="46"/>
  <c r="L59" i="46"/>
  <c r="M59" i="46"/>
  <c r="N59" i="46"/>
  <c r="O59" i="46"/>
  <c r="P59" i="46"/>
  <c r="Q59" i="46"/>
  <c r="R59" i="46"/>
  <c r="S59" i="46"/>
  <c r="T59" i="46"/>
  <c r="U59" i="46"/>
  <c r="V59" i="46"/>
  <c r="B60" i="46"/>
  <c r="C60" i="46"/>
  <c r="D60" i="46"/>
  <c r="E60" i="46"/>
  <c r="F60" i="46"/>
  <c r="G60" i="46"/>
  <c r="H60" i="46"/>
  <c r="I60" i="46"/>
  <c r="J60" i="46"/>
  <c r="K60" i="46"/>
  <c r="L60" i="46"/>
  <c r="M60" i="46"/>
  <c r="N60" i="46"/>
  <c r="O60" i="46"/>
  <c r="P60" i="46"/>
  <c r="Q60" i="46"/>
  <c r="R60" i="46"/>
  <c r="S60" i="46"/>
  <c r="T60" i="46"/>
  <c r="U60" i="46"/>
  <c r="V60" i="46"/>
  <c r="B61" i="46"/>
  <c r="C61" i="46"/>
  <c r="D61" i="46"/>
  <c r="E61" i="46"/>
  <c r="F61" i="46"/>
  <c r="G61" i="46"/>
  <c r="H61" i="46"/>
  <c r="I61" i="46"/>
  <c r="J61" i="46"/>
  <c r="K61" i="46"/>
  <c r="L61" i="46"/>
  <c r="M61" i="46"/>
  <c r="N61" i="46"/>
  <c r="O61" i="46"/>
  <c r="P61" i="46"/>
  <c r="Q61" i="46"/>
  <c r="R61" i="46"/>
  <c r="S61" i="46"/>
  <c r="T61" i="46"/>
  <c r="U61" i="46"/>
  <c r="V61" i="46"/>
  <c r="B62" i="46"/>
  <c r="C62" i="46"/>
  <c r="D62" i="46"/>
  <c r="E62" i="46"/>
  <c r="F62" i="46"/>
  <c r="G62" i="46"/>
  <c r="H62" i="46"/>
  <c r="I62" i="46"/>
  <c r="J62" i="46"/>
  <c r="K62" i="46"/>
  <c r="L62" i="46"/>
  <c r="M62" i="46"/>
  <c r="N62" i="46"/>
  <c r="O62" i="46"/>
  <c r="P62" i="46"/>
  <c r="Q62" i="46"/>
  <c r="R62" i="46"/>
  <c r="S62" i="46"/>
  <c r="T62" i="46"/>
  <c r="U62" i="46"/>
  <c r="V62" i="46"/>
  <c r="B63" i="46"/>
  <c r="C63" i="46"/>
  <c r="D63" i="46"/>
  <c r="E63" i="46"/>
  <c r="F63" i="46"/>
  <c r="G63" i="46"/>
  <c r="H63" i="46"/>
  <c r="I63" i="46"/>
  <c r="J63" i="46"/>
  <c r="K63" i="46"/>
  <c r="L63" i="46"/>
  <c r="M63" i="46"/>
  <c r="N63" i="46"/>
  <c r="O63" i="46"/>
  <c r="P63" i="46"/>
  <c r="Q63" i="46"/>
  <c r="R63" i="46"/>
  <c r="S63" i="46"/>
  <c r="T63" i="46"/>
  <c r="U63" i="46"/>
  <c r="V63" i="46"/>
  <c r="B64" i="46"/>
  <c r="C64" i="46"/>
  <c r="D64" i="46"/>
  <c r="E64" i="46"/>
  <c r="F64" i="46"/>
  <c r="G64" i="46"/>
  <c r="H64" i="46"/>
  <c r="I64" i="46"/>
  <c r="J64" i="46"/>
  <c r="K64" i="46"/>
  <c r="L64" i="46"/>
  <c r="M64" i="46"/>
  <c r="N64" i="46"/>
  <c r="O64" i="46"/>
  <c r="P64" i="46"/>
  <c r="Q64" i="46"/>
  <c r="R64" i="46"/>
  <c r="S64" i="46"/>
  <c r="T64" i="46"/>
  <c r="U64" i="46"/>
  <c r="V64" i="46"/>
  <c r="B65" i="46"/>
  <c r="C65" i="46"/>
  <c r="D65" i="46"/>
  <c r="E65" i="46"/>
  <c r="F65" i="46"/>
  <c r="G65" i="46"/>
  <c r="H65" i="46"/>
  <c r="I65" i="46"/>
  <c r="J65" i="46"/>
  <c r="K65" i="46"/>
  <c r="L65" i="46"/>
  <c r="M65" i="46"/>
  <c r="N65" i="46"/>
  <c r="O65" i="46"/>
  <c r="P65" i="46"/>
  <c r="Q65" i="46"/>
  <c r="R65" i="46"/>
  <c r="S65" i="46"/>
  <c r="T65" i="46"/>
  <c r="U65" i="46"/>
  <c r="V65" i="46"/>
  <c r="B66" i="46"/>
  <c r="C66" i="46"/>
  <c r="D66" i="46"/>
  <c r="E66" i="46"/>
  <c r="G66" i="46"/>
  <c r="H66" i="46"/>
  <c r="I66" i="46"/>
  <c r="J66" i="46"/>
  <c r="K66" i="46"/>
  <c r="L66" i="46"/>
  <c r="M66" i="46"/>
  <c r="N66" i="46"/>
  <c r="O66" i="46"/>
  <c r="P66" i="46"/>
  <c r="Q66" i="46"/>
  <c r="R66" i="46"/>
  <c r="S66" i="46"/>
  <c r="T66" i="46"/>
  <c r="U66" i="46"/>
  <c r="V66" i="46"/>
  <c r="B67" i="46"/>
  <c r="C67" i="46"/>
  <c r="D67" i="46"/>
  <c r="E67" i="46"/>
  <c r="G67" i="46"/>
  <c r="H67" i="46"/>
  <c r="I67" i="46"/>
  <c r="J67" i="46"/>
  <c r="K67" i="46"/>
  <c r="L67" i="46"/>
  <c r="M67" i="46"/>
  <c r="N67" i="46"/>
  <c r="O67" i="46"/>
  <c r="P67" i="46"/>
  <c r="Q67" i="46"/>
  <c r="R67" i="46"/>
  <c r="S67" i="46"/>
  <c r="T67" i="46"/>
  <c r="U67" i="46"/>
  <c r="V67" i="46"/>
  <c r="W52" i="46"/>
  <c r="W53" i="46"/>
  <c r="W54" i="46"/>
  <c r="W55" i="46"/>
  <c r="W56" i="46"/>
  <c r="W57" i="46"/>
  <c r="W58" i="46"/>
  <c r="W59" i="46"/>
  <c r="W60" i="46"/>
  <c r="W61" i="46"/>
  <c r="W62" i="46"/>
  <c r="W63" i="46"/>
  <c r="W64" i="46"/>
  <c r="W65" i="46"/>
  <c r="W66" i="46"/>
  <c r="W67" i="46"/>
  <c r="W51" i="46"/>
  <c r="S87" i="40"/>
  <c r="X87" i="40" s="1"/>
  <c r="V66" i="40"/>
  <c r="U66" i="40"/>
  <c r="U89" i="40" s="1"/>
  <c r="T66" i="40"/>
  <c r="T89" i="40" s="1"/>
  <c r="S66" i="40"/>
  <c r="S89" i="40" s="1"/>
  <c r="V65" i="40"/>
  <c r="V88" i="40" s="1"/>
  <c r="W61" i="183" s="1"/>
  <c r="U65" i="40"/>
  <c r="U88" i="40" s="1"/>
  <c r="T65" i="40"/>
  <c r="T88" i="40" s="1"/>
  <c r="V64" i="40"/>
  <c r="V87" i="40" s="1"/>
  <c r="W60" i="183" s="1"/>
  <c r="T64" i="40"/>
  <c r="T87" i="40" s="1"/>
  <c r="S64" i="40"/>
  <c r="X64" i="40" s="1"/>
  <c r="V63" i="40"/>
  <c r="V86" i="40" s="1"/>
  <c r="W59" i="183" s="1"/>
  <c r="U63" i="40"/>
  <c r="U86" i="40" s="1"/>
  <c r="T63" i="40"/>
  <c r="T86" i="40" s="1"/>
  <c r="V62" i="40"/>
  <c r="V85" i="40" s="1"/>
  <c r="W58" i="183" s="1"/>
  <c r="U62" i="40"/>
  <c r="U85" i="40" s="1"/>
  <c r="T62" i="40"/>
  <c r="T85" i="40" s="1"/>
  <c r="S62" i="40"/>
  <c r="V61" i="40"/>
  <c r="V84" i="40" s="1"/>
  <c r="W57" i="183" s="1"/>
  <c r="U61" i="40"/>
  <c r="U84" i="40" s="1"/>
  <c r="T61" i="40"/>
  <c r="T84" i="40" s="1"/>
  <c r="S61" i="40"/>
  <c r="V60" i="40"/>
  <c r="V83" i="40" s="1"/>
  <c r="T60" i="40"/>
  <c r="T83" i="40" s="1"/>
  <c r="S60" i="40"/>
  <c r="V59" i="40"/>
  <c r="V82" i="40" s="1"/>
  <c r="U59" i="40"/>
  <c r="U82" i="40" s="1"/>
  <c r="T59" i="40"/>
  <c r="T82" i="40" s="1"/>
  <c r="V58" i="40"/>
  <c r="V81" i="40" s="1"/>
  <c r="U58" i="40"/>
  <c r="U81" i="40" s="1"/>
  <c r="T58" i="40"/>
  <c r="T81" i="40" s="1"/>
  <c r="S58" i="40"/>
  <c r="V57" i="40"/>
  <c r="V80" i="40" s="1"/>
  <c r="U57" i="40"/>
  <c r="U80" i="40" s="1"/>
  <c r="T57" i="40"/>
  <c r="T80" i="40" s="1"/>
  <c r="S57" i="40"/>
  <c r="V56" i="40"/>
  <c r="V79" i="40" s="1"/>
  <c r="T56" i="40"/>
  <c r="T79" i="40" s="1"/>
  <c r="S56" i="40"/>
  <c r="V55" i="40"/>
  <c r="V78" i="40" s="1"/>
  <c r="U55" i="40"/>
  <c r="U78" i="40" s="1"/>
  <c r="T55" i="40"/>
  <c r="T78" i="40" s="1"/>
  <c r="V54" i="40"/>
  <c r="V77" i="40" s="1"/>
  <c r="U54" i="40"/>
  <c r="U77" i="40" s="1"/>
  <c r="T54" i="40"/>
  <c r="T77" i="40" s="1"/>
  <c r="S54" i="40"/>
  <c r="V53" i="40"/>
  <c r="V76" i="40" s="1"/>
  <c r="U53" i="40"/>
  <c r="U76" i="40" s="1"/>
  <c r="T53" i="40"/>
  <c r="T76" i="40" s="1"/>
  <c r="S53" i="40"/>
  <c r="V52" i="40"/>
  <c r="V75" i="40" s="1"/>
  <c r="T52" i="40"/>
  <c r="T75" i="40" s="1"/>
  <c r="S52" i="40"/>
  <c r="V51" i="40"/>
  <c r="V74" i="40" s="1"/>
  <c r="U51" i="40"/>
  <c r="U74" i="40" s="1"/>
  <c r="T51" i="40"/>
  <c r="T74" i="40" s="1"/>
  <c r="V50" i="40"/>
  <c r="V73" i="40" s="1"/>
  <c r="U50" i="40"/>
  <c r="U73" i="40" s="1"/>
  <c r="T50" i="40"/>
  <c r="T73" i="40" s="1"/>
  <c r="S50" i="40"/>
  <c r="U49" i="40"/>
  <c r="U72" i="40" s="1"/>
  <c r="S49" i="40"/>
  <c r="R66" i="40"/>
  <c r="P66" i="40"/>
  <c r="P89" i="40" s="1"/>
  <c r="O66" i="40"/>
  <c r="O89" i="40" s="1"/>
  <c r="N66" i="40"/>
  <c r="N89" i="40" s="1"/>
  <c r="R65" i="40"/>
  <c r="R88" i="40" s="1"/>
  <c r="W43" i="183" s="1"/>
  <c r="Q65" i="40"/>
  <c r="Q88" i="40" s="1"/>
  <c r="P65" i="40"/>
  <c r="P88" i="40" s="1"/>
  <c r="N65" i="40"/>
  <c r="N88" i="40" s="1"/>
  <c r="R64" i="40"/>
  <c r="R87" i="40" s="1"/>
  <c r="W42" i="183" s="1"/>
  <c r="Q64" i="40"/>
  <c r="Q87" i="40" s="1"/>
  <c r="P64" i="40"/>
  <c r="P87" i="40" s="1"/>
  <c r="O64" i="40"/>
  <c r="O87" i="40" s="1"/>
  <c r="N64" i="40"/>
  <c r="N87" i="40" s="1"/>
  <c r="R63" i="40"/>
  <c r="R86" i="40" s="1"/>
  <c r="W41" i="183" s="1"/>
  <c r="Q63" i="40"/>
  <c r="Q86" i="40" s="1"/>
  <c r="P63" i="40"/>
  <c r="P86" i="40" s="1"/>
  <c r="O63" i="40"/>
  <c r="O86" i="40" s="1"/>
  <c r="N63" i="40"/>
  <c r="N86" i="40" s="1"/>
  <c r="R62" i="40"/>
  <c r="R85" i="40" s="1"/>
  <c r="W40" i="183" s="1"/>
  <c r="P62" i="40"/>
  <c r="P85" i="40" s="1"/>
  <c r="O62" i="40"/>
  <c r="O85" i="40" s="1"/>
  <c r="N62" i="40"/>
  <c r="N85" i="40" s="1"/>
  <c r="R61" i="40"/>
  <c r="R84" i="40" s="1"/>
  <c r="W39" i="183" s="1"/>
  <c r="Q61" i="40"/>
  <c r="Q84" i="40" s="1"/>
  <c r="P61" i="40"/>
  <c r="P84" i="40" s="1"/>
  <c r="N61" i="40"/>
  <c r="N84" i="40" s="1"/>
  <c r="R60" i="40"/>
  <c r="R83" i="40" s="1"/>
  <c r="Q60" i="40"/>
  <c r="Q83" i="40" s="1"/>
  <c r="P60" i="40"/>
  <c r="P83" i="40" s="1"/>
  <c r="O60" i="40"/>
  <c r="O83" i="40" s="1"/>
  <c r="N60" i="40"/>
  <c r="N83" i="40" s="1"/>
  <c r="M66" i="40"/>
  <c r="M89" i="40" s="1"/>
  <c r="L66" i="40"/>
  <c r="L89" i="40" s="1"/>
  <c r="K66" i="40"/>
  <c r="K89" i="40" s="1"/>
  <c r="M65" i="40"/>
  <c r="M88" i="40" s="1"/>
  <c r="L65" i="40"/>
  <c r="L88" i="40" s="1"/>
  <c r="K65" i="40"/>
  <c r="K88" i="40" s="1"/>
  <c r="L64" i="40"/>
  <c r="L87" i="40" s="1"/>
  <c r="K64" i="40"/>
  <c r="K87" i="40" s="1"/>
  <c r="M63" i="40"/>
  <c r="M86" i="40" s="1"/>
  <c r="L63" i="40"/>
  <c r="L86" i="40" s="1"/>
  <c r="M62" i="40"/>
  <c r="M85" i="40" s="1"/>
  <c r="L62" i="40"/>
  <c r="L85" i="40" s="1"/>
  <c r="K62" i="40"/>
  <c r="K85" i="40" s="1"/>
  <c r="M61" i="40"/>
  <c r="M84" i="40" s="1"/>
  <c r="L61" i="40"/>
  <c r="L84" i="40" s="1"/>
  <c r="K61" i="40"/>
  <c r="K84" i="40" s="1"/>
  <c r="L60" i="40"/>
  <c r="L83" i="40" s="1"/>
  <c r="K60" i="40"/>
  <c r="K83" i="40" s="1"/>
  <c r="M59" i="40"/>
  <c r="M82" i="40" s="1"/>
  <c r="L59" i="40"/>
  <c r="L82" i="40" s="1"/>
  <c r="K59" i="40"/>
  <c r="K82" i="40" s="1"/>
  <c r="M58" i="40"/>
  <c r="M81" i="40" s="1"/>
  <c r="L58" i="40"/>
  <c r="L81" i="40" s="1"/>
  <c r="K58" i="40"/>
  <c r="K81" i="40" s="1"/>
  <c r="M57" i="40"/>
  <c r="M80" i="40" s="1"/>
  <c r="L57" i="40"/>
  <c r="L80" i="40" s="1"/>
  <c r="K57" i="40"/>
  <c r="K80" i="40" s="1"/>
  <c r="L56" i="40"/>
  <c r="L79" i="40" s="1"/>
  <c r="K56" i="40"/>
  <c r="K79" i="40" s="1"/>
  <c r="M55" i="40"/>
  <c r="M78" i="40" s="1"/>
  <c r="L55" i="40"/>
  <c r="L78" i="40" s="1"/>
  <c r="M54" i="40"/>
  <c r="M77" i="40" s="1"/>
  <c r="L54" i="40"/>
  <c r="L77" i="40" s="1"/>
  <c r="K54" i="40"/>
  <c r="K77" i="40" s="1"/>
  <c r="M53" i="40"/>
  <c r="M76" i="40" s="1"/>
  <c r="L53" i="40"/>
  <c r="L76" i="40" s="1"/>
  <c r="K53" i="40"/>
  <c r="K76" i="40" s="1"/>
  <c r="L52" i="40"/>
  <c r="L75" i="40" s="1"/>
  <c r="K52" i="40"/>
  <c r="K75" i="40" s="1"/>
  <c r="M51" i="40"/>
  <c r="M74" i="40" s="1"/>
  <c r="L51" i="40"/>
  <c r="L74" i="40" s="1"/>
  <c r="K51" i="40"/>
  <c r="K74" i="40" s="1"/>
  <c r="M50" i="40"/>
  <c r="M73" i="40" s="1"/>
  <c r="L50" i="40"/>
  <c r="L73" i="40" s="1"/>
  <c r="K50" i="40"/>
  <c r="K73" i="40" s="1"/>
  <c r="M49" i="40"/>
  <c r="M72" i="40" s="1"/>
  <c r="K49" i="40"/>
  <c r="K72" i="40" s="1"/>
  <c r="J66" i="40"/>
  <c r="J89" i="40" s="1"/>
  <c r="H66" i="40"/>
  <c r="G66" i="40"/>
  <c r="G89" i="40" s="1"/>
  <c r="J65" i="40"/>
  <c r="J88" i="40" s="1"/>
  <c r="I65" i="40"/>
  <c r="I88" i="40" s="1"/>
  <c r="W91" i="183" s="1"/>
  <c r="H65" i="40"/>
  <c r="H88" i="40" s="1"/>
  <c r="W85" i="183" s="1"/>
  <c r="J64" i="40"/>
  <c r="J87" i="40" s="1"/>
  <c r="I64" i="40"/>
  <c r="I87" i="40" s="1"/>
  <c r="W90" i="183" s="1"/>
  <c r="H64" i="40"/>
  <c r="H87" i="40" s="1"/>
  <c r="W84" i="183" s="1"/>
  <c r="G64" i="40"/>
  <c r="G87" i="40" s="1"/>
  <c r="J63" i="40"/>
  <c r="J86" i="40" s="1"/>
  <c r="I63" i="40"/>
  <c r="I86" i="40" s="1"/>
  <c r="W89" i="183" s="1"/>
  <c r="H63" i="40"/>
  <c r="H86" i="40" s="1"/>
  <c r="W83" i="183" s="1"/>
  <c r="G63" i="40"/>
  <c r="G86" i="40" s="1"/>
  <c r="J62" i="40"/>
  <c r="J85" i="40" s="1"/>
  <c r="H62" i="40"/>
  <c r="H85" i="40" s="1"/>
  <c r="W82" i="183" s="1"/>
  <c r="G62" i="40"/>
  <c r="G85" i="40" s="1"/>
  <c r="J61" i="40"/>
  <c r="J84" i="40" s="1"/>
  <c r="I61" i="40"/>
  <c r="I84" i="40" s="1"/>
  <c r="W87" i="183" s="1"/>
  <c r="H61" i="40"/>
  <c r="H84" i="40" s="1"/>
  <c r="W81" i="183" s="1"/>
  <c r="J60" i="40"/>
  <c r="J83" i="40" s="1"/>
  <c r="I60" i="40"/>
  <c r="I83" i="40" s="1"/>
  <c r="H60" i="40"/>
  <c r="H83" i="40" s="1"/>
  <c r="G60" i="40"/>
  <c r="G83" i="40" s="1"/>
  <c r="J59" i="40"/>
  <c r="J82" i="40" s="1"/>
  <c r="I59" i="40"/>
  <c r="I82" i="40" s="1"/>
  <c r="H59" i="40"/>
  <c r="H82" i="40" s="1"/>
  <c r="G59" i="40"/>
  <c r="G82" i="40" s="1"/>
  <c r="J58" i="40"/>
  <c r="J81" i="40" s="1"/>
  <c r="H58" i="40"/>
  <c r="H81" i="40" s="1"/>
  <c r="G58" i="40"/>
  <c r="G81" i="40" s="1"/>
  <c r="J57" i="40"/>
  <c r="J80" i="40" s="1"/>
  <c r="I57" i="40"/>
  <c r="I80" i="40" s="1"/>
  <c r="H57" i="40"/>
  <c r="H80" i="40" s="1"/>
  <c r="J56" i="40"/>
  <c r="J79" i="40" s="1"/>
  <c r="I56" i="40"/>
  <c r="I79" i="40" s="1"/>
  <c r="H56" i="40"/>
  <c r="H79" i="40" s="1"/>
  <c r="G56" i="40"/>
  <c r="G79" i="40" s="1"/>
  <c r="J55" i="40"/>
  <c r="J78" i="40" s="1"/>
  <c r="I55" i="40"/>
  <c r="I78" i="40" s="1"/>
  <c r="H55" i="40"/>
  <c r="H78" i="40" s="1"/>
  <c r="G55" i="40"/>
  <c r="G78" i="40" s="1"/>
  <c r="J54" i="40"/>
  <c r="J77" i="40" s="1"/>
  <c r="H54" i="40"/>
  <c r="H77" i="40" s="1"/>
  <c r="G54" i="40"/>
  <c r="G77" i="40" s="1"/>
  <c r="J53" i="40"/>
  <c r="J76" i="40" s="1"/>
  <c r="I53" i="40"/>
  <c r="I76" i="40" s="1"/>
  <c r="H53" i="40"/>
  <c r="H76" i="40" s="1"/>
  <c r="J52" i="40"/>
  <c r="J75" i="40" s="1"/>
  <c r="I52" i="40"/>
  <c r="I75" i="40" s="1"/>
  <c r="H52" i="40"/>
  <c r="H75" i="40" s="1"/>
  <c r="G52" i="40"/>
  <c r="G75" i="40" s="1"/>
  <c r="J51" i="40"/>
  <c r="J74" i="40" s="1"/>
  <c r="I51" i="40"/>
  <c r="I74" i="40" s="1"/>
  <c r="H51" i="40"/>
  <c r="H74" i="40" s="1"/>
  <c r="G51" i="40"/>
  <c r="G74" i="40" s="1"/>
  <c r="J50" i="40"/>
  <c r="J73" i="40" s="1"/>
  <c r="H50" i="40"/>
  <c r="H73" i="40" s="1"/>
  <c r="G50" i="40"/>
  <c r="G73" i="40" s="1"/>
  <c r="H49" i="40"/>
  <c r="H72" i="40" s="1"/>
  <c r="E66" i="40"/>
  <c r="E65" i="40"/>
  <c r="E88" i="40" s="1"/>
  <c r="W67" i="183" s="1"/>
  <c r="E63" i="40"/>
  <c r="E86" i="40" s="1"/>
  <c r="W65" i="183" s="1"/>
  <c r="E62" i="40"/>
  <c r="E85" i="40" s="1"/>
  <c r="W64" i="183" s="1"/>
  <c r="E61" i="40"/>
  <c r="E84" i="40" s="1"/>
  <c r="W63" i="183" s="1"/>
  <c r="B66" i="40"/>
  <c r="D66" i="40"/>
  <c r="C66" i="40"/>
  <c r="D65" i="40"/>
  <c r="D88" i="40" s="1"/>
  <c r="W55" i="183" s="1"/>
  <c r="C65" i="40"/>
  <c r="C88" i="40" s="1"/>
  <c r="W49" i="183" s="1"/>
  <c r="D64" i="40"/>
  <c r="D87" i="40" s="1"/>
  <c r="W54" i="183" s="1"/>
  <c r="C64" i="40"/>
  <c r="C87" i="40" s="1"/>
  <c r="W48" i="183" s="1"/>
  <c r="D63" i="40"/>
  <c r="D86" i="40" s="1"/>
  <c r="W53" i="183" s="1"/>
  <c r="D62" i="40"/>
  <c r="D85" i="40" s="1"/>
  <c r="W52" i="183" s="1"/>
  <c r="C62" i="40"/>
  <c r="C85" i="40" s="1"/>
  <c r="W46" i="183" s="1"/>
  <c r="D61" i="40"/>
  <c r="D84" i="40" s="1"/>
  <c r="W51" i="183" s="1"/>
  <c r="C61" i="40"/>
  <c r="C84" i="40" s="1"/>
  <c r="W45" i="183" s="1"/>
  <c r="D60" i="40"/>
  <c r="D83" i="40" s="1"/>
  <c r="C60" i="40"/>
  <c r="C83" i="40" s="1"/>
  <c r="D59" i="40"/>
  <c r="D82" i="40" s="1"/>
  <c r="D58" i="40"/>
  <c r="D81" i="40" s="1"/>
  <c r="C58" i="40"/>
  <c r="C81" i="40" s="1"/>
  <c r="D57" i="40"/>
  <c r="D80" i="40" s="1"/>
  <c r="C57" i="40"/>
  <c r="C80" i="40" s="1"/>
  <c r="D56" i="40"/>
  <c r="D79" i="40" s="1"/>
  <c r="C56" i="40"/>
  <c r="C79" i="40" s="1"/>
  <c r="D55" i="40"/>
  <c r="D78" i="40" s="1"/>
  <c r="D54" i="40"/>
  <c r="D77" i="40" s="1"/>
  <c r="C54" i="40"/>
  <c r="C77" i="40" s="1"/>
  <c r="D53" i="40"/>
  <c r="D76" i="40" s="1"/>
  <c r="C53" i="40"/>
  <c r="C76" i="40" s="1"/>
  <c r="D52" i="40"/>
  <c r="D75" i="40" s="1"/>
  <c r="C52" i="40"/>
  <c r="C75" i="40" s="1"/>
  <c r="D51" i="40"/>
  <c r="D74" i="40" s="1"/>
  <c r="D50" i="40"/>
  <c r="D73" i="40" s="1"/>
  <c r="C50" i="40"/>
  <c r="C73" i="40" s="1"/>
  <c r="C49" i="40"/>
  <c r="C72" i="40" s="1"/>
  <c r="E49" i="40"/>
  <c r="E72" i="40" s="1"/>
  <c r="V89" i="40" l="1"/>
  <c r="W62" i="183" s="1"/>
  <c r="I89" i="40"/>
  <c r="W92" i="183" s="1"/>
  <c r="E89" i="40"/>
  <c r="W68" i="183" s="1"/>
  <c r="C89" i="40"/>
  <c r="W50" i="183" s="1"/>
  <c r="D89" i="40"/>
  <c r="W56" i="183" s="1"/>
  <c r="R89" i="40"/>
  <c r="W44" i="183" s="1"/>
  <c r="L21" i="63"/>
  <c r="L45" i="63"/>
  <c r="E98" i="63"/>
  <c r="T136" i="63" s="1"/>
  <c r="B89" i="40"/>
  <c r="W38" i="183" s="1"/>
  <c r="H89" i="40"/>
  <c r="W86" i="183" s="1"/>
  <c r="F99" i="37"/>
  <c r="F241" i="37" s="1"/>
  <c r="D96" i="37"/>
  <c r="D238" i="37" s="1"/>
  <c r="F51" i="37"/>
  <c r="F214" i="37" s="1"/>
  <c r="F62" i="48"/>
  <c r="F103" i="37"/>
  <c r="F245" i="37" s="1"/>
  <c r="F56" i="48"/>
  <c r="D103" i="37"/>
  <c r="D245" i="37" s="1"/>
  <c r="G56" i="54"/>
  <c r="U91" i="65"/>
  <c r="W97" i="183"/>
  <c r="W115" i="258"/>
  <c r="W112" i="183"/>
  <c r="W112" i="201"/>
  <c r="W120" i="258"/>
  <c r="O120" i="258" s="1"/>
  <c r="W117" i="201"/>
  <c r="O117" i="201" s="1"/>
  <c r="W117" i="183"/>
  <c r="W110" i="258"/>
  <c r="W107" i="201"/>
  <c r="W107" i="183"/>
  <c r="U87" i="65"/>
  <c r="W93" i="183"/>
  <c r="V83" i="54"/>
  <c r="W78" i="183"/>
  <c r="W116" i="258"/>
  <c r="W113" i="183"/>
  <c r="W113" i="201"/>
  <c r="W119" i="258"/>
  <c r="W116" i="201"/>
  <c r="W116" i="183"/>
  <c r="W124" i="258"/>
  <c r="O124" i="258" s="1"/>
  <c r="W121" i="201"/>
  <c r="O121" i="201" s="1"/>
  <c r="W121" i="183"/>
  <c r="S72" i="40"/>
  <c r="X72" i="40" s="1"/>
  <c r="X49" i="40"/>
  <c r="S84" i="40"/>
  <c r="X84" i="40" s="1"/>
  <c r="X61" i="40"/>
  <c r="V84" i="54"/>
  <c r="W79" i="183"/>
  <c r="W106" i="258"/>
  <c r="W103" i="201"/>
  <c r="W103" i="183"/>
  <c r="V81" i="54"/>
  <c r="M81" i="54" s="1"/>
  <c r="Z118" i="54" s="1"/>
  <c r="W76" i="183"/>
  <c r="U92" i="65"/>
  <c r="W98" i="183"/>
  <c r="W102" i="258"/>
  <c r="W99" i="201"/>
  <c r="W99" i="183"/>
  <c r="W105" i="258"/>
  <c r="W102" i="183"/>
  <c r="W102" i="201"/>
  <c r="X89" i="40"/>
  <c r="X66" i="40"/>
  <c r="W107" i="258"/>
  <c r="W104" i="183"/>
  <c r="W104" i="201"/>
  <c r="W122" i="258"/>
  <c r="O122" i="258" s="1"/>
  <c r="W119" i="183"/>
  <c r="W119" i="201"/>
  <c r="O119" i="201" s="1"/>
  <c r="S88" i="40"/>
  <c r="X88" i="40" s="1"/>
  <c r="X65" i="40"/>
  <c r="U89" i="65"/>
  <c r="U93" i="65" s="1"/>
  <c r="U94" i="65" s="1"/>
  <c r="U95" i="65" s="1"/>
  <c r="U96" i="65" s="1"/>
  <c r="U97" i="65" s="1"/>
  <c r="U98" i="65" s="1"/>
  <c r="U99" i="65" s="1"/>
  <c r="U100" i="65" s="1"/>
  <c r="U101" i="65" s="1"/>
  <c r="U102" i="65" s="1"/>
  <c r="U103" i="65" s="1"/>
  <c r="U104" i="65" s="1"/>
  <c r="U105" i="65" s="1"/>
  <c r="U106" i="65" s="1"/>
  <c r="U107" i="65" s="1"/>
  <c r="U108" i="65" s="1"/>
  <c r="U109" i="65" s="1"/>
  <c r="U110" i="65" s="1"/>
  <c r="U111" i="65" s="1"/>
  <c r="U112" i="65" s="1"/>
  <c r="U113" i="65" s="1"/>
  <c r="U114" i="65" s="1"/>
  <c r="U115" i="65" s="1"/>
  <c r="W95" i="183"/>
  <c r="W113" i="258"/>
  <c r="W110" i="183"/>
  <c r="W110" i="201"/>
  <c r="W108" i="258"/>
  <c r="W105" i="201"/>
  <c r="W105" i="183"/>
  <c r="W111" i="258"/>
  <c r="W108" i="201"/>
  <c r="W108" i="183"/>
  <c r="W121" i="258"/>
  <c r="O121" i="258" s="1"/>
  <c r="W118" i="183"/>
  <c r="W118" i="201"/>
  <c r="O118" i="201" s="1"/>
  <c r="W117" i="258"/>
  <c r="W114" i="201"/>
  <c r="W114" i="183"/>
  <c r="V80" i="54"/>
  <c r="W75" i="183"/>
  <c r="U88" i="65"/>
  <c r="W94" i="183"/>
  <c r="U90" i="65"/>
  <c r="W96" i="183"/>
  <c r="W114" i="258"/>
  <c r="W111" i="201"/>
  <c r="W111" i="183"/>
  <c r="W123" i="258"/>
  <c r="O123" i="258" s="1"/>
  <c r="W120" i="201"/>
  <c r="O120" i="201" s="1"/>
  <c r="W120" i="183"/>
  <c r="V82" i="54"/>
  <c r="V86" i="54" s="1"/>
  <c r="V87" i="54" s="1"/>
  <c r="V88" i="54" s="1"/>
  <c r="V89" i="54" s="1"/>
  <c r="V90" i="54" s="1"/>
  <c r="V91" i="54" s="1"/>
  <c r="V92" i="54" s="1"/>
  <c r="V93" i="54" s="1"/>
  <c r="V94" i="54" s="1"/>
  <c r="V95" i="54" s="1"/>
  <c r="V96" i="54" s="1"/>
  <c r="V97" i="54" s="1"/>
  <c r="V98" i="54" s="1"/>
  <c r="V99" i="54" s="1"/>
  <c r="V100" i="54" s="1"/>
  <c r="V101" i="54" s="1"/>
  <c r="V102" i="54" s="1"/>
  <c r="V103" i="54" s="1"/>
  <c r="V104" i="54" s="1"/>
  <c r="V105" i="54" s="1"/>
  <c r="V106" i="54" s="1"/>
  <c r="V107" i="54" s="1"/>
  <c r="V108" i="54" s="1"/>
  <c r="W77" i="183"/>
  <c r="W103" i="258"/>
  <c r="W100" i="201"/>
  <c r="W100" i="183"/>
  <c r="W112" i="258"/>
  <c r="W109" i="183"/>
  <c r="W109" i="201"/>
  <c r="W125" i="258"/>
  <c r="O125" i="258" s="1"/>
  <c r="W122" i="201"/>
  <c r="O122" i="201" s="1"/>
  <c r="W122" i="183"/>
  <c r="S85" i="40"/>
  <c r="X85" i="40" s="1"/>
  <c r="X62" i="40"/>
  <c r="S86" i="40"/>
  <c r="X86" i="40" s="1"/>
  <c r="X63" i="40"/>
  <c r="W109" i="258"/>
  <c r="W106" i="183"/>
  <c r="W106" i="201"/>
  <c r="W118" i="258"/>
  <c r="W115" i="201"/>
  <c r="W115" i="183"/>
  <c r="S83" i="40"/>
  <c r="X83" i="40" s="1"/>
  <c r="X60" i="40"/>
  <c r="W104" i="258"/>
  <c r="W101" i="183"/>
  <c r="W101" i="201"/>
  <c r="S81" i="40"/>
  <c r="X81" i="40" s="1"/>
  <c r="X58" i="40"/>
  <c r="S82" i="40"/>
  <c r="X82" i="40" s="1"/>
  <c r="X59" i="40"/>
  <c r="S79" i="40"/>
  <c r="X79" i="40" s="1"/>
  <c r="X56" i="40"/>
  <c r="S77" i="40"/>
  <c r="X77" i="40" s="1"/>
  <c r="X54" i="40"/>
  <c r="S75" i="40"/>
  <c r="X75" i="40" s="1"/>
  <c r="X52" i="40"/>
  <c r="S73" i="40"/>
  <c r="X73" i="40" s="1"/>
  <c r="X50" i="40"/>
  <c r="S80" i="40"/>
  <c r="X80" i="40" s="1"/>
  <c r="X57" i="40"/>
  <c r="S74" i="40"/>
  <c r="X74" i="40" s="1"/>
  <c r="X51" i="40"/>
  <c r="S76" i="40"/>
  <c r="X76" i="40" s="1"/>
  <c r="X53" i="40"/>
  <c r="S78" i="40"/>
  <c r="X78" i="40" s="1"/>
  <c r="X55" i="40"/>
  <c r="D51" i="37"/>
  <c r="D214" i="37" s="1"/>
  <c r="F31" i="49"/>
  <c r="F161" i="49" s="1"/>
  <c r="AA119" i="53"/>
  <c r="F53" i="48"/>
  <c r="F61" i="48"/>
  <c r="F55" i="48"/>
  <c r="F96" i="37"/>
  <c r="F238" i="37" s="1"/>
  <c r="F101" i="37"/>
  <c r="F243" i="37" s="1"/>
  <c r="C243" i="37"/>
  <c r="D95" i="37"/>
  <c r="D237" i="37" s="1"/>
  <c r="C237" i="37"/>
  <c r="C50" i="37"/>
  <c r="C213" i="37" s="1"/>
  <c r="B213" i="37"/>
  <c r="D97" i="37"/>
  <c r="D239" i="37" s="1"/>
  <c r="C239" i="37"/>
  <c r="F98" i="37"/>
  <c r="F240" i="37" s="1"/>
  <c r="C240" i="37"/>
  <c r="F104" i="37"/>
  <c r="F246" i="37" s="1"/>
  <c r="C246" i="37"/>
  <c r="G31" i="49"/>
  <c r="G161" i="49" s="1"/>
  <c r="G187" i="49"/>
  <c r="H5" i="49"/>
  <c r="G134" i="49"/>
  <c r="C31" i="49"/>
  <c r="C161" i="49" s="1"/>
  <c r="B161" i="49"/>
  <c r="H6" i="49"/>
  <c r="E135" i="49"/>
  <c r="G29" i="49"/>
  <c r="G159" i="49" s="1"/>
  <c r="G185" i="49"/>
  <c r="G32" i="49"/>
  <c r="G162" i="49" s="1"/>
  <c r="G188" i="49"/>
  <c r="C30" i="49"/>
  <c r="C160" i="49" s="1"/>
  <c r="B160" i="49"/>
  <c r="G30" i="49"/>
  <c r="G160" i="49" s="1"/>
  <c r="G186" i="49"/>
  <c r="F29" i="49"/>
  <c r="F159" i="49" s="1"/>
  <c r="F185" i="49"/>
  <c r="F30" i="49"/>
  <c r="F160" i="49" s="1"/>
  <c r="F186" i="49"/>
  <c r="F32" i="49"/>
  <c r="F162" i="49" s="1"/>
  <c r="F188" i="49"/>
  <c r="F54" i="48"/>
  <c r="E87" i="48"/>
  <c r="U123" i="48" s="1"/>
  <c r="E84" i="48"/>
  <c r="U120" i="48" s="1"/>
  <c r="E86" i="48"/>
  <c r="U122" i="48" s="1"/>
  <c r="E83" i="48"/>
  <c r="U119" i="48" s="1"/>
  <c r="E88" i="48"/>
  <c r="U124" i="48" s="1"/>
  <c r="E85" i="48"/>
  <c r="U121" i="48" s="1"/>
  <c r="D104" i="37"/>
  <c r="D246" i="37" s="1"/>
  <c r="F95" i="37"/>
  <c r="D101" i="37"/>
  <c r="D243" i="37" s="1"/>
  <c r="D98" i="37"/>
  <c r="F97" i="37"/>
  <c r="V85" i="54"/>
  <c r="W80" i="183"/>
  <c r="H19" i="57"/>
  <c r="E93" i="16"/>
  <c r="AL5" i="140"/>
  <c r="AM5" i="140" s="1"/>
  <c r="E134" i="67"/>
  <c r="D93" i="16"/>
  <c r="D134" i="67"/>
  <c r="D106" i="16"/>
  <c r="C93" i="16"/>
  <c r="AL5" i="126"/>
  <c r="AM5" i="126" s="1"/>
  <c r="C134" i="67"/>
  <c r="C106" i="16"/>
  <c r="Q7" i="48"/>
  <c r="C59" i="67" s="1"/>
  <c r="J80" i="48"/>
  <c r="X116" i="48" s="1"/>
  <c r="J30" i="52"/>
  <c r="R5" i="52" s="1"/>
  <c r="J31" i="67" s="1"/>
  <c r="J109" i="67" s="1"/>
  <c r="S6" i="52"/>
  <c r="J58" i="67" s="1"/>
  <c r="J84" i="52"/>
  <c r="W120" i="52" s="1"/>
  <c r="S7" i="52"/>
  <c r="J59" i="67" s="1"/>
  <c r="J85" i="52"/>
  <c r="W121" i="52" s="1"/>
  <c r="S11" i="52"/>
  <c r="J63" i="67" s="1"/>
  <c r="J89" i="52"/>
  <c r="W125" i="52" s="1"/>
  <c r="S12" i="52"/>
  <c r="J64" i="67" s="1"/>
  <c r="J90" i="52"/>
  <c r="W126" i="52" s="1"/>
  <c r="S10" i="52"/>
  <c r="J62" i="67" s="1"/>
  <c r="J88" i="52"/>
  <c r="W124" i="52" s="1"/>
  <c r="S9" i="52"/>
  <c r="J61" i="67" s="1"/>
  <c r="J87" i="52"/>
  <c r="W123" i="52" s="1"/>
  <c r="S8" i="52"/>
  <c r="J60" i="67" s="1"/>
  <c r="J86" i="52"/>
  <c r="W122" i="52" s="1"/>
  <c r="L83" i="51"/>
  <c r="X119" i="51" s="1"/>
  <c r="M83" i="51"/>
  <c r="Y119" i="51" s="1"/>
  <c r="R7" i="51"/>
  <c r="I59" i="67" s="1"/>
  <c r="K84" i="51"/>
  <c r="W120" i="51" s="1"/>
  <c r="M89" i="51"/>
  <c r="Y125" i="51" s="1"/>
  <c r="L89" i="51"/>
  <c r="X125" i="51" s="1"/>
  <c r="R11" i="51"/>
  <c r="I63" i="67" s="1"/>
  <c r="K88" i="51"/>
  <c r="W124" i="51" s="1"/>
  <c r="R10" i="51"/>
  <c r="I62" i="67" s="1"/>
  <c r="K87" i="51"/>
  <c r="W123" i="51" s="1"/>
  <c r="M86" i="51"/>
  <c r="Y122" i="51" s="1"/>
  <c r="L86" i="51"/>
  <c r="X122" i="51" s="1"/>
  <c r="L85" i="51"/>
  <c r="X121" i="51" s="1"/>
  <c r="M85" i="51"/>
  <c r="Y121" i="51" s="1"/>
  <c r="Q12" i="54"/>
  <c r="G64" i="67" s="1"/>
  <c r="J86" i="54"/>
  <c r="W123" i="54" s="1"/>
  <c r="G55" i="54"/>
  <c r="Q5" i="54" s="1"/>
  <c r="G57" i="67" s="1"/>
  <c r="L87" i="50"/>
  <c r="X125" i="50" s="1"/>
  <c r="K87" i="50"/>
  <c r="W125" i="50" s="1"/>
  <c r="J81" i="50"/>
  <c r="V119" i="50" s="1"/>
  <c r="J83" i="50"/>
  <c r="V121" i="50" s="1"/>
  <c r="J86" i="50"/>
  <c r="V124" i="50" s="1"/>
  <c r="J82" i="50"/>
  <c r="V120" i="50" s="1"/>
  <c r="J84" i="50"/>
  <c r="V122" i="50" s="1"/>
  <c r="J85" i="50"/>
  <c r="V123" i="50" s="1"/>
  <c r="H58" i="49"/>
  <c r="H189" i="49" s="1"/>
  <c r="G99" i="37"/>
  <c r="G4" i="37"/>
  <c r="G102" i="37"/>
  <c r="G244" i="37" s="1"/>
  <c r="I44" i="57"/>
  <c r="Q6" i="33"/>
  <c r="P31" i="67" s="1"/>
  <c r="P5" i="33"/>
  <c r="P4" i="67" s="1"/>
  <c r="J17" i="98"/>
  <c r="I42" i="66"/>
  <c r="I32" i="66"/>
  <c r="J41" i="98"/>
  <c r="I17" i="66"/>
  <c r="I7" i="66"/>
  <c r="H62" i="49"/>
  <c r="H193" i="49" s="1"/>
  <c r="H59" i="49"/>
  <c r="H190" i="49" s="1"/>
  <c r="G5" i="52"/>
  <c r="H5" i="52" s="1"/>
  <c r="G4" i="52"/>
  <c r="H4" i="52" s="1"/>
  <c r="I108" i="67"/>
  <c r="O5" i="54"/>
  <c r="G5" i="67" s="1"/>
  <c r="O4" i="54"/>
  <c r="G4" i="67" s="1"/>
  <c r="G82" i="67" s="1"/>
  <c r="F5" i="50"/>
  <c r="R3" i="50"/>
  <c r="V55" i="67" s="1"/>
  <c r="G100" i="37"/>
  <c r="G242" i="37" s="1"/>
  <c r="G103" i="37"/>
  <c r="G245" i="37" s="1"/>
  <c r="G96" i="37"/>
  <c r="D50" i="37"/>
  <c r="D213" i="37" s="1"/>
  <c r="F5" i="37"/>
  <c r="F189" i="37" s="1"/>
  <c r="D5" i="37"/>
  <c r="D189" i="37" s="1"/>
  <c r="H55" i="49"/>
  <c r="H56" i="49"/>
  <c r="H61" i="49"/>
  <c r="H192" i="49" s="1"/>
  <c r="H54" i="49"/>
  <c r="H63" i="49"/>
  <c r="H194" i="49" s="1"/>
  <c r="H60" i="49"/>
  <c r="H191" i="49" s="1"/>
  <c r="H57" i="49"/>
  <c r="H188" i="49" s="1"/>
  <c r="E5" i="50"/>
  <c r="R8" i="50"/>
  <c r="V60" i="67" s="1"/>
  <c r="R9" i="50"/>
  <c r="V61" i="67" s="1"/>
  <c r="E29" i="50"/>
  <c r="G29" i="50" s="1"/>
  <c r="R7" i="50"/>
  <c r="V59" i="67" s="1"/>
  <c r="R11" i="50"/>
  <c r="V63" i="67" s="1"/>
  <c r="R12" i="50"/>
  <c r="V64" i="67" s="1"/>
  <c r="R4" i="50"/>
  <c r="V56" i="67" s="1"/>
  <c r="R10" i="50"/>
  <c r="V62" i="67" s="1"/>
  <c r="P5" i="48"/>
  <c r="C31" i="67" s="1"/>
  <c r="O4" i="48"/>
  <c r="C4" i="67" s="1"/>
  <c r="F5" i="48"/>
  <c r="G5" i="48" s="1"/>
  <c r="J5" i="48" s="1"/>
  <c r="F29" i="48"/>
  <c r="H4" i="51"/>
  <c r="P4" i="51" s="1"/>
  <c r="I4" i="67" s="1"/>
  <c r="I82" i="67" s="1"/>
  <c r="H30" i="51"/>
  <c r="Q5" i="51" s="1"/>
  <c r="I31" i="67" s="1"/>
  <c r="I109" i="67" s="1"/>
  <c r="P4" i="50"/>
  <c r="V4" i="67" s="1"/>
  <c r="R6" i="50"/>
  <c r="V58" i="67" s="1"/>
  <c r="R4" i="52"/>
  <c r="J30" i="67" s="1"/>
  <c r="J108" i="67" s="1"/>
  <c r="G58" i="54"/>
  <c r="G57" i="54"/>
  <c r="G53" i="54"/>
  <c r="Q3" i="54" s="1"/>
  <c r="G55" i="67" s="1"/>
  <c r="G29" i="54"/>
  <c r="I29" i="54" s="1"/>
  <c r="G30" i="54"/>
  <c r="I30" i="54" s="1"/>
  <c r="G58" i="33"/>
  <c r="J88" i="33" s="1"/>
  <c r="W123" i="33" s="1"/>
  <c r="G60" i="33"/>
  <c r="G61" i="33"/>
  <c r="G55" i="33"/>
  <c r="R5" i="33" s="1"/>
  <c r="F6" i="33"/>
  <c r="G6" i="33" s="1"/>
  <c r="P5" i="51"/>
  <c r="I5" i="67" s="1"/>
  <c r="I83" i="67" s="1"/>
  <c r="R5" i="50"/>
  <c r="V57" i="67" s="1"/>
  <c r="AN46" i="16"/>
  <c r="AN47" i="16"/>
  <c r="AN48" i="16"/>
  <c r="AN49" i="16"/>
  <c r="AN50" i="16"/>
  <c r="K133" i="67" s="1"/>
  <c r="BW9" i="16"/>
  <c r="AN52" i="16" s="1"/>
  <c r="K135" i="67" s="1"/>
  <c r="BW10" i="16"/>
  <c r="BW12" i="16"/>
  <c r="BW13" i="16"/>
  <c r="BW14" i="16"/>
  <c r="BW15" i="16"/>
  <c r="BW11" i="16"/>
  <c r="L22" i="63" l="1"/>
  <c r="L46" i="63"/>
  <c r="E99" i="63"/>
  <c r="T137" i="63" s="1"/>
  <c r="G104" i="37"/>
  <c r="G51" i="37"/>
  <c r="G214" i="37" s="1"/>
  <c r="E31" i="49"/>
  <c r="O108" i="201"/>
  <c r="M108" i="201"/>
  <c r="N108" i="201"/>
  <c r="L99" i="201"/>
  <c r="M99" i="201"/>
  <c r="N99" i="201"/>
  <c r="O99" i="201"/>
  <c r="M106" i="258"/>
  <c r="N106" i="258"/>
  <c r="L106" i="258"/>
  <c r="O106" i="258"/>
  <c r="N113" i="258"/>
  <c r="O113" i="258"/>
  <c r="M113" i="258"/>
  <c r="O115" i="201"/>
  <c r="N115" i="201"/>
  <c r="O111" i="201"/>
  <c r="N111" i="201"/>
  <c r="N111" i="258"/>
  <c r="O111" i="258"/>
  <c r="M111" i="258"/>
  <c r="O107" i="258"/>
  <c r="L107" i="258"/>
  <c r="N107" i="258"/>
  <c r="M107" i="258"/>
  <c r="M102" i="258"/>
  <c r="L102" i="258"/>
  <c r="N102" i="258"/>
  <c r="O102" i="258"/>
  <c r="O104" i="201"/>
  <c r="L104" i="201"/>
  <c r="N104" i="201"/>
  <c r="M104" i="201"/>
  <c r="O118" i="258"/>
  <c r="N118" i="258"/>
  <c r="O103" i="258"/>
  <c r="L103" i="258"/>
  <c r="N103" i="258"/>
  <c r="M103" i="258"/>
  <c r="O114" i="258"/>
  <c r="N114" i="258"/>
  <c r="O114" i="201"/>
  <c r="N114" i="201"/>
  <c r="O112" i="201"/>
  <c r="N112" i="201"/>
  <c r="L100" i="201"/>
  <c r="M100" i="201"/>
  <c r="N100" i="201"/>
  <c r="O100" i="201"/>
  <c r="L101" i="201"/>
  <c r="M101" i="201"/>
  <c r="O101" i="201"/>
  <c r="N101" i="201"/>
  <c r="O106" i="201"/>
  <c r="N106" i="201"/>
  <c r="M106" i="201"/>
  <c r="O117" i="258"/>
  <c r="N117" i="258"/>
  <c r="O105" i="201"/>
  <c r="M105" i="201"/>
  <c r="N105" i="201"/>
  <c r="O116" i="201"/>
  <c r="N116" i="201"/>
  <c r="N112" i="258"/>
  <c r="M112" i="258"/>
  <c r="O112" i="258"/>
  <c r="M103" i="201"/>
  <c r="N103" i="201"/>
  <c r="O103" i="201"/>
  <c r="L103" i="201"/>
  <c r="N108" i="258"/>
  <c r="O108" i="258"/>
  <c r="M108" i="258"/>
  <c r="M102" i="201"/>
  <c r="N102" i="201"/>
  <c r="O102" i="201"/>
  <c r="L102" i="201"/>
  <c r="O119" i="258"/>
  <c r="N119" i="258"/>
  <c r="N115" i="258"/>
  <c r="O115" i="258"/>
  <c r="N104" i="258"/>
  <c r="L104" i="258"/>
  <c r="O104" i="258"/>
  <c r="M104" i="258"/>
  <c r="N109" i="258"/>
  <c r="M109" i="258"/>
  <c r="O109" i="258"/>
  <c r="N109" i="201"/>
  <c r="M109" i="201"/>
  <c r="O109" i="201"/>
  <c r="M110" i="201"/>
  <c r="O110" i="201"/>
  <c r="N110" i="201"/>
  <c r="O113" i="201"/>
  <c r="N113" i="201"/>
  <c r="O107" i="201"/>
  <c r="M107" i="201"/>
  <c r="N107" i="201"/>
  <c r="O116" i="258"/>
  <c r="N116" i="258"/>
  <c r="O105" i="258"/>
  <c r="N105" i="258"/>
  <c r="L105" i="258"/>
  <c r="M105" i="258"/>
  <c r="O110" i="258"/>
  <c r="M110" i="258"/>
  <c r="N110" i="258"/>
  <c r="F50" i="37"/>
  <c r="F213" i="37" s="1"/>
  <c r="E30" i="49"/>
  <c r="H30" i="49" s="1"/>
  <c r="Q4" i="37"/>
  <c r="B56" i="67" s="1"/>
  <c r="G238" i="37"/>
  <c r="J4" i="37"/>
  <c r="G188" i="37"/>
  <c r="G97" i="37"/>
  <c r="F239" i="37"/>
  <c r="G101" i="37"/>
  <c r="J147" i="37"/>
  <c r="K147" i="37" s="1"/>
  <c r="Y195" i="37" s="1"/>
  <c r="G246" i="37"/>
  <c r="G98" i="37"/>
  <c r="J141" i="37" s="1"/>
  <c r="D240" i="37"/>
  <c r="G95" i="37"/>
  <c r="F237" i="37"/>
  <c r="Q7" i="37"/>
  <c r="B59" i="67" s="1"/>
  <c r="G241" i="37"/>
  <c r="H31" i="49"/>
  <c r="E161" i="49"/>
  <c r="J6" i="49"/>
  <c r="H135" i="49"/>
  <c r="AD4" i="49"/>
  <c r="R55" i="67" s="1"/>
  <c r="H185" i="49"/>
  <c r="J5" i="49"/>
  <c r="H134" i="49"/>
  <c r="AD6" i="49"/>
  <c r="R57" i="67" s="1"/>
  <c r="H187" i="49"/>
  <c r="AD5" i="49"/>
  <c r="R56" i="67" s="1"/>
  <c r="H186" i="49"/>
  <c r="G83" i="67"/>
  <c r="Q12" i="37"/>
  <c r="B64" i="67" s="1"/>
  <c r="R10" i="33"/>
  <c r="P61" i="67" s="1"/>
  <c r="J90" i="33"/>
  <c r="W125" i="33" s="1"/>
  <c r="R11" i="33"/>
  <c r="P62" i="67" s="1"/>
  <c r="J91" i="33"/>
  <c r="W126" i="33" s="1"/>
  <c r="L88" i="33"/>
  <c r="Y123" i="33" s="1"/>
  <c r="K88" i="33"/>
  <c r="X123" i="33" s="1"/>
  <c r="H20" i="57"/>
  <c r="J142" i="37"/>
  <c r="X190" i="37" s="1"/>
  <c r="L80" i="48"/>
  <c r="Z116" i="48" s="1"/>
  <c r="K80" i="48"/>
  <c r="Y116" i="48" s="1"/>
  <c r="K88" i="52"/>
  <c r="X124" i="52" s="1"/>
  <c r="L88" i="52"/>
  <c r="Y124" i="52" s="1"/>
  <c r="K86" i="52"/>
  <c r="X122" i="52" s="1"/>
  <c r="L86" i="52"/>
  <c r="Y122" i="52" s="1"/>
  <c r="L90" i="52"/>
  <c r="Y126" i="52" s="1"/>
  <c r="K90" i="52"/>
  <c r="X126" i="52" s="1"/>
  <c r="K84" i="52"/>
  <c r="X120" i="52" s="1"/>
  <c r="L84" i="52"/>
  <c r="Y120" i="52" s="1"/>
  <c r="L85" i="52"/>
  <c r="Y121" i="52" s="1"/>
  <c r="K85" i="52"/>
  <c r="X121" i="52" s="1"/>
  <c r="K89" i="52"/>
  <c r="X125" i="52" s="1"/>
  <c r="L89" i="52"/>
  <c r="Y125" i="52" s="1"/>
  <c r="J4" i="52"/>
  <c r="Q4" i="52" s="1"/>
  <c r="J4" i="67" s="1"/>
  <c r="J82" i="67" s="1"/>
  <c r="K87" i="52"/>
  <c r="X123" i="52" s="1"/>
  <c r="L87" i="52"/>
  <c r="Y123" i="52" s="1"/>
  <c r="J5" i="52"/>
  <c r="Q5" i="52" s="1"/>
  <c r="J5" i="67" s="1"/>
  <c r="J83" i="67" s="1"/>
  <c r="L87" i="51"/>
  <c r="X123" i="51" s="1"/>
  <c r="M87" i="51"/>
  <c r="Y123" i="51" s="1"/>
  <c r="L84" i="51"/>
  <c r="X120" i="51" s="1"/>
  <c r="M84" i="51"/>
  <c r="Y120" i="51" s="1"/>
  <c r="M88" i="51"/>
  <c r="Y124" i="51" s="1"/>
  <c r="L88" i="51"/>
  <c r="X124" i="51" s="1"/>
  <c r="Q6" i="54"/>
  <c r="G58" i="67" s="1"/>
  <c r="J80" i="54"/>
  <c r="W117" i="54" s="1"/>
  <c r="L86" i="54"/>
  <c r="Y123" i="54" s="1"/>
  <c r="K86" i="54"/>
  <c r="X123" i="54" s="1"/>
  <c r="Q8" i="54"/>
  <c r="G60" i="67" s="1"/>
  <c r="J82" i="54"/>
  <c r="W119" i="54" s="1"/>
  <c r="Q7" i="54"/>
  <c r="G59" i="67" s="1"/>
  <c r="J81" i="54"/>
  <c r="W118" i="54" s="1"/>
  <c r="L85" i="50"/>
  <c r="X123" i="50" s="1"/>
  <c r="K85" i="50"/>
  <c r="W123" i="50" s="1"/>
  <c r="L83" i="50"/>
  <c r="X121" i="50" s="1"/>
  <c r="K83" i="50"/>
  <c r="W121" i="50" s="1"/>
  <c r="L84" i="50"/>
  <c r="X122" i="50" s="1"/>
  <c r="K84" i="50"/>
  <c r="W122" i="50" s="1"/>
  <c r="L81" i="50"/>
  <c r="X119" i="50" s="1"/>
  <c r="K81" i="50"/>
  <c r="W119" i="50" s="1"/>
  <c r="K86" i="50"/>
  <c r="W124" i="50" s="1"/>
  <c r="L86" i="50"/>
  <c r="X124" i="50" s="1"/>
  <c r="I29" i="50"/>
  <c r="Q4" i="50" s="1"/>
  <c r="V30" i="67" s="1"/>
  <c r="V108" i="67" s="1"/>
  <c r="L82" i="50"/>
  <c r="X120" i="50" s="1"/>
  <c r="K82" i="50"/>
  <c r="W120" i="50" s="1"/>
  <c r="AD7" i="49"/>
  <c r="R58" i="67" s="1"/>
  <c r="J79" i="49"/>
  <c r="AD11" i="49"/>
  <c r="R62" i="67" s="1"/>
  <c r="J83" i="49"/>
  <c r="AD10" i="49"/>
  <c r="R61" i="67" s="1"/>
  <c r="J82" i="49"/>
  <c r="AD9" i="49"/>
  <c r="R60" i="67" s="1"/>
  <c r="J81" i="49"/>
  <c r="AD12" i="49"/>
  <c r="R63" i="67" s="1"/>
  <c r="J84" i="49"/>
  <c r="AD13" i="49"/>
  <c r="R64" i="67" s="1"/>
  <c r="J85" i="49"/>
  <c r="AD8" i="49"/>
  <c r="R59" i="67" s="1"/>
  <c r="J80" i="49"/>
  <c r="Q10" i="37"/>
  <c r="B62" i="67" s="1"/>
  <c r="J145" i="37"/>
  <c r="X193" i="37" s="1"/>
  <c r="Q8" i="37"/>
  <c r="B60" i="67" s="1"/>
  <c r="J143" i="37"/>
  <c r="X191" i="37" s="1"/>
  <c r="Q11" i="37"/>
  <c r="B63" i="67" s="1"/>
  <c r="J146" i="37"/>
  <c r="X194" i="37" s="1"/>
  <c r="I45" i="57"/>
  <c r="P6" i="33"/>
  <c r="P5" i="67" s="1"/>
  <c r="R8" i="33"/>
  <c r="P59" i="67" s="1"/>
  <c r="I6" i="66"/>
  <c r="I18" i="66"/>
  <c r="I43" i="66"/>
  <c r="J42" i="98"/>
  <c r="J18" i="98"/>
  <c r="I31" i="66"/>
  <c r="P5" i="54"/>
  <c r="G31" i="67" s="1"/>
  <c r="G109" i="67" s="1"/>
  <c r="P4" i="54"/>
  <c r="G30" i="67" s="1"/>
  <c r="G108" i="67" s="1"/>
  <c r="V82" i="67"/>
  <c r="G5" i="50"/>
  <c r="I5" i="50" s="1"/>
  <c r="G5" i="37"/>
  <c r="G189" i="37" s="1"/>
  <c r="O5" i="48"/>
  <c r="C5" i="67" s="1"/>
  <c r="G29" i="48"/>
  <c r="P56" i="67"/>
  <c r="P82" i="67" s="1"/>
  <c r="F6" i="68" s="1"/>
  <c r="P55" i="67"/>
  <c r="G63" i="33"/>
  <c r="G62" i="33"/>
  <c r="G57" i="33"/>
  <c r="G59" i="33"/>
  <c r="G56" i="33"/>
  <c r="G30" i="33"/>
  <c r="Q5" i="33" s="1"/>
  <c r="B15" i="16"/>
  <c r="E1" i="47"/>
  <c r="F1" i="47" s="1"/>
  <c r="G1" i="47" s="1"/>
  <c r="H1" i="47" s="1"/>
  <c r="I1" i="47" s="1"/>
  <c r="J1" i="47" s="1"/>
  <c r="K1" i="47" s="1"/>
  <c r="L1" i="47" s="1"/>
  <c r="M1" i="47" s="1"/>
  <c r="N1" i="47" s="1"/>
  <c r="O1" i="47" s="1"/>
  <c r="D11" i="47"/>
  <c r="J11" i="47"/>
  <c r="J12" i="47" s="1"/>
  <c r="N11" i="47"/>
  <c r="M11" i="47"/>
  <c r="I11" i="47"/>
  <c r="H11" i="47"/>
  <c r="F11" i="47"/>
  <c r="G11" i="47"/>
  <c r="E11" i="47"/>
  <c r="K2" i="47"/>
  <c r="M3" i="47"/>
  <c r="M8" i="47" s="1"/>
  <c r="L47" i="63" l="1"/>
  <c r="E100" i="63"/>
  <c r="T138" i="63" s="1"/>
  <c r="L23" i="63"/>
  <c r="K3" i="47"/>
  <c r="K8" i="47" s="1"/>
  <c r="G50" i="37"/>
  <c r="G213" i="37" s="1"/>
  <c r="E160" i="49"/>
  <c r="K142" i="37"/>
  <c r="Y190" i="37" s="1"/>
  <c r="J144" i="37"/>
  <c r="G243" i="37"/>
  <c r="L147" i="37"/>
  <c r="Z195" i="37" s="1"/>
  <c r="X195" i="37"/>
  <c r="Q9" i="37"/>
  <c r="B61" i="67" s="1"/>
  <c r="Q5" i="37"/>
  <c r="B57" i="67" s="1"/>
  <c r="G239" i="37"/>
  <c r="Q3" i="37"/>
  <c r="B55" i="67" s="1"/>
  <c r="G237" i="37"/>
  <c r="K141" i="37"/>
  <c r="Y189" i="37" s="1"/>
  <c r="X189" i="37"/>
  <c r="O4" i="37"/>
  <c r="B4" i="67" s="1"/>
  <c r="B82" i="67" s="1"/>
  <c r="BH5" i="413" s="1"/>
  <c r="J188" i="37"/>
  <c r="J50" i="37"/>
  <c r="Q6" i="37"/>
  <c r="B58" i="67" s="1"/>
  <c r="G240" i="37"/>
  <c r="J30" i="49"/>
  <c r="H160" i="49"/>
  <c r="J135" i="49"/>
  <c r="AB6" i="49"/>
  <c r="R5" i="67" s="1"/>
  <c r="R83" i="67" s="1"/>
  <c r="J134" i="49"/>
  <c r="AB5" i="49"/>
  <c r="R4" i="67" s="1"/>
  <c r="R82" i="67" s="1"/>
  <c r="J31" i="49"/>
  <c r="H161" i="49"/>
  <c r="N80" i="48"/>
  <c r="AB116" i="48" s="1"/>
  <c r="N85" i="52"/>
  <c r="AA121" i="52" s="1"/>
  <c r="N88" i="33"/>
  <c r="AA123" i="33" s="1"/>
  <c r="N82" i="50"/>
  <c r="Z120" i="50" s="1"/>
  <c r="L143" i="37"/>
  <c r="Z191" i="37" s="1"/>
  <c r="L142" i="37"/>
  <c r="L146" i="37"/>
  <c r="Z194" i="37" s="1"/>
  <c r="L145" i="37"/>
  <c r="Z193" i="37" s="1"/>
  <c r="L141" i="37"/>
  <c r="Z189" i="37" s="1"/>
  <c r="R9" i="33"/>
  <c r="P60" i="67" s="1"/>
  <c r="J89" i="33"/>
  <c r="W124" i="33" s="1"/>
  <c r="R7" i="33"/>
  <c r="P58" i="67" s="1"/>
  <c r="J87" i="33"/>
  <c r="W122" i="33" s="1"/>
  <c r="R6" i="33"/>
  <c r="P57" i="67" s="1"/>
  <c r="L91" i="33"/>
  <c r="Y126" i="33" s="1"/>
  <c r="K91" i="33"/>
  <c r="X126" i="33" s="1"/>
  <c r="R13" i="33"/>
  <c r="P64" i="67" s="1"/>
  <c r="J93" i="33"/>
  <c r="W128" i="33" s="1"/>
  <c r="R12" i="33"/>
  <c r="P63" i="67" s="1"/>
  <c r="J92" i="33"/>
  <c r="W127" i="33" s="1"/>
  <c r="L90" i="33"/>
  <c r="Y125" i="33" s="1"/>
  <c r="K90" i="33"/>
  <c r="X125" i="33" s="1"/>
  <c r="H21" i="57"/>
  <c r="J29" i="48"/>
  <c r="P4" i="48" s="1"/>
  <c r="C30" i="67" s="1"/>
  <c r="O84" i="51"/>
  <c r="AA120" i="51" s="1"/>
  <c r="L82" i="54"/>
  <c r="Y119" i="54" s="1"/>
  <c r="K82" i="54"/>
  <c r="X119" i="54" s="1"/>
  <c r="L80" i="54"/>
  <c r="Y117" i="54" s="1"/>
  <c r="K80" i="54"/>
  <c r="X117" i="54" s="1"/>
  <c r="L81" i="54"/>
  <c r="Y118" i="54" s="1"/>
  <c r="K81" i="54"/>
  <c r="K81" i="49"/>
  <c r="L81" i="49"/>
  <c r="L80" i="49"/>
  <c r="K80" i="49"/>
  <c r="K83" i="49"/>
  <c r="L83" i="49"/>
  <c r="L85" i="49"/>
  <c r="K85" i="49"/>
  <c r="L84" i="49"/>
  <c r="K84" i="49"/>
  <c r="K79" i="49"/>
  <c r="L79" i="49"/>
  <c r="L82" i="49"/>
  <c r="K82" i="49"/>
  <c r="K143" i="37"/>
  <c r="Y191" i="37" s="1"/>
  <c r="K145" i="37"/>
  <c r="Y193" i="37" s="1"/>
  <c r="I46" i="57"/>
  <c r="K146" i="37"/>
  <c r="Y194" i="37" s="1"/>
  <c r="K144" i="37"/>
  <c r="Y192" i="37" s="1"/>
  <c r="P5" i="50"/>
  <c r="V5" i="67" s="1"/>
  <c r="V83" i="67" s="1"/>
  <c r="J43" i="98"/>
  <c r="I44" i="66"/>
  <c r="I19" i="66"/>
  <c r="J19" i="98"/>
  <c r="I30" i="66"/>
  <c r="I5" i="66"/>
  <c r="G59" i="54"/>
  <c r="P30" i="67"/>
  <c r="P108" i="67" s="1"/>
  <c r="B23" i="2"/>
  <c r="B28" i="2"/>
  <c r="B27" i="2"/>
  <c r="L48" i="63" l="1"/>
  <c r="E101" i="63"/>
  <c r="T139" i="63" s="1"/>
  <c r="L24" i="63"/>
  <c r="N81" i="54"/>
  <c r="AA118" i="54" s="1"/>
  <c r="X118" i="54"/>
  <c r="P4" i="37"/>
  <c r="B30" i="67" s="1"/>
  <c r="B108" i="67" s="1"/>
  <c r="J213" i="37"/>
  <c r="N142" i="37"/>
  <c r="Z190" i="37"/>
  <c r="X192" i="37"/>
  <c r="L144" i="37"/>
  <c r="Z192" i="37" s="1"/>
  <c r="J161" i="49"/>
  <c r="AC6" i="49"/>
  <c r="R31" i="67" s="1"/>
  <c r="R109" i="67" s="1"/>
  <c r="J160" i="49"/>
  <c r="AC5" i="49"/>
  <c r="R30" i="67" s="1"/>
  <c r="R108" i="67" s="1"/>
  <c r="N80" i="49"/>
  <c r="F18" i="68"/>
  <c r="V41" i="347"/>
  <c r="L92" i="33"/>
  <c r="Y127" i="33" s="1"/>
  <c r="K92" i="33"/>
  <c r="X127" i="33" s="1"/>
  <c r="K87" i="33"/>
  <c r="X122" i="33" s="1"/>
  <c r="L87" i="33"/>
  <c r="Y122" i="33" s="1"/>
  <c r="L93" i="33"/>
  <c r="Y128" i="33" s="1"/>
  <c r="K93" i="33"/>
  <c r="X128" i="33" s="1"/>
  <c r="L89" i="33"/>
  <c r="Y124" i="33" s="1"/>
  <c r="K89" i="33"/>
  <c r="X124" i="33" s="1"/>
  <c r="H22" i="57"/>
  <c r="Q9" i="54"/>
  <c r="G61" i="67" s="1"/>
  <c r="J83" i="54"/>
  <c r="W120" i="54" s="1"/>
  <c r="I47" i="57"/>
  <c r="J44" i="98"/>
  <c r="I20" i="66"/>
  <c r="I45" i="66"/>
  <c r="I4" i="66"/>
  <c r="J5" i="66"/>
  <c r="O5" i="66" s="1"/>
  <c r="W5" i="67" s="1"/>
  <c r="W83" i="67" s="1"/>
  <c r="J30" i="66"/>
  <c r="P5" i="66" s="1"/>
  <c r="W31" i="67" s="1"/>
  <c r="W109" i="67" s="1"/>
  <c r="I29" i="66"/>
  <c r="J20" i="98"/>
  <c r="P109" i="67"/>
  <c r="P83" i="67"/>
  <c r="F7" i="68" s="1"/>
  <c r="G60" i="54"/>
  <c r="C24" i="2"/>
  <c r="D24" i="2"/>
  <c r="E24" i="2"/>
  <c r="F24" i="2"/>
  <c r="G24" i="2"/>
  <c r="H24" i="2"/>
  <c r="I24" i="2"/>
  <c r="J24" i="2"/>
  <c r="K24" i="2"/>
  <c r="L24" i="2"/>
  <c r="M24" i="2"/>
  <c r="N24" i="2"/>
  <c r="O24" i="2"/>
  <c r="P24" i="2"/>
  <c r="Q24" i="2"/>
  <c r="R24" i="2"/>
  <c r="S24" i="2"/>
  <c r="T24" i="2"/>
  <c r="U24" i="2"/>
  <c r="V24" i="2"/>
  <c r="W24" i="2"/>
  <c r="X24" i="2"/>
  <c r="Y24" i="2"/>
  <c r="B24" i="2"/>
  <c r="B10" i="16"/>
  <c r="F12" i="47"/>
  <c r="H12" i="47"/>
  <c r="I12" i="47"/>
  <c r="G12" i="47"/>
  <c r="N7" i="47"/>
  <c r="M7" i="47"/>
  <c r="F7" i="47"/>
  <c r="E7" i="47"/>
  <c r="J7" i="47"/>
  <c r="I7" i="47"/>
  <c r="H7" i="47"/>
  <c r="G7" i="47"/>
  <c r="J3" i="47"/>
  <c r="I3" i="47"/>
  <c r="N3" i="47"/>
  <c r="N8" i="47" s="1"/>
  <c r="L3" i="47"/>
  <c r="L8" i="47" s="1"/>
  <c r="L7" i="47" s="1"/>
  <c r="K7" i="47"/>
  <c r="K6" i="47" s="1"/>
  <c r="H3" i="47"/>
  <c r="G3" i="47"/>
  <c r="F3" i="47"/>
  <c r="E3" i="47"/>
  <c r="K11" i="47" l="1"/>
  <c r="K12" i="47" s="1"/>
  <c r="E102" i="63"/>
  <c r="T140" i="63" s="1"/>
  <c r="L49" i="63"/>
  <c r="L11" i="47"/>
  <c r="L12" i="47" s="1"/>
  <c r="AB190" i="37"/>
  <c r="F19" i="68"/>
  <c r="V42" i="347"/>
  <c r="E84" i="347" s="1"/>
  <c r="S6" i="96" s="1"/>
  <c r="G6" i="489" s="1"/>
  <c r="H23" i="57"/>
  <c r="L83" i="54"/>
  <c r="Y120" i="54" s="1"/>
  <c r="K83" i="54"/>
  <c r="X120" i="54" s="1"/>
  <c r="Q10" i="54"/>
  <c r="G62" i="67" s="1"/>
  <c r="J84" i="54"/>
  <c r="W121" i="54" s="1"/>
  <c r="I48" i="57"/>
  <c r="I46" i="66"/>
  <c r="J21" i="98"/>
  <c r="J29" i="66"/>
  <c r="P4" i="66" s="1"/>
  <c r="W30" i="67" s="1"/>
  <c r="W108" i="67" s="1"/>
  <c r="I28" i="66"/>
  <c r="I21" i="66"/>
  <c r="I3" i="66"/>
  <c r="J4" i="66"/>
  <c r="O4" i="66" s="1"/>
  <c r="W4" i="67" s="1"/>
  <c r="W82" i="67" s="1"/>
  <c r="J45" i="98"/>
  <c r="G61" i="54"/>
  <c r="M12" i="47"/>
  <c r="E12" i="47"/>
  <c r="K7" i="45"/>
  <c r="J7" i="45"/>
  <c r="N29" i="45"/>
  <c r="N26" i="45"/>
  <c r="N25" i="45" s="1"/>
  <c r="H19" i="45"/>
  <c r="P19" i="45"/>
  <c r="C18" i="45"/>
  <c r="D18" i="45"/>
  <c r="E18" i="45"/>
  <c r="E19" i="45" s="1"/>
  <c r="F18" i="45"/>
  <c r="F19" i="45" s="1"/>
  <c r="G18" i="45"/>
  <c r="G19" i="45" s="1"/>
  <c r="H18" i="45"/>
  <c r="I18" i="45"/>
  <c r="J18" i="45"/>
  <c r="K18" i="45"/>
  <c r="L18" i="45"/>
  <c r="M18" i="45"/>
  <c r="M19" i="45" s="1"/>
  <c r="N18" i="45"/>
  <c r="N19" i="45" s="1"/>
  <c r="O18" i="45"/>
  <c r="O19" i="45" s="1"/>
  <c r="P18" i="45"/>
  <c r="Q18" i="45"/>
  <c r="R18" i="45"/>
  <c r="B18" i="45"/>
  <c r="E15" i="45"/>
  <c r="F15" i="45"/>
  <c r="M15" i="45"/>
  <c r="M21" i="45" s="1"/>
  <c r="N15" i="45"/>
  <c r="N21" i="45" s="1"/>
  <c r="P16" i="45"/>
  <c r="Q16" i="45"/>
  <c r="R16" i="45"/>
  <c r="N16" i="45"/>
  <c r="E16" i="45"/>
  <c r="F16" i="45"/>
  <c r="G16" i="45"/>
  <c r="H16" i="45"/>
  <c r="M16" i="45"/>
  <c r="B17" i="45"/>
  <c r="B16" i="45" s="1"/>
  <c r="C17" i="45"/>
  <c r="D17" i="45"/>
  <c r="E17" i="45"/>
  <c r="F17" i="45"/>
  <c r="G17" i="45"/>
  <c r="G15" i="45" s="1"/>
  <c r="H17" i="45"/>
  <c r="H15" i="45" s="1"/>
  <c r="I17" i="45"/>
  <c r="I19" i="45" s="1"/>
  <c r="J17" i="45"/>
  <c r="J19" i="45" s="1"/>
  <c r="K17" i="45"/>
  <c r="K19" i="45" s="1"/>
  <c r="L17" i="45"/>
  <c r="L19" i="45" s="1"/>
  <c r="M17" i="45"/>
  <c r="P17" i="45"/>
  <c r="P15" i="45" s="1"/>
  <c r="P21" i="45" s="1"/>
  <c r="Q17" i="45"/>
  <c r="Q19" i="45" s="1"/>
  <c r="R17" i="45"/>
  <c r="R19" i="45" s="1"/>
  <c r="O17" i="45"/>
  <c r="O16" i="45" s="1"/>
  <c r="O15" i="45" s="1"/>
  <c r="O21" i="45" s="1"/>
  <c r="G23" i="2"/>
  <c r="L16" i="45" l="1"/>
  <c r="L15" i="45" s="1"/>
  <c r="L21" i="45" s="1"/>
  <c r="D16" i="45"/>
  <c r="D15" i="45" s="1"/>
  <c r="B15" i="45"/>
  <c r="D19" i="45"/>
  <c r="K16" i="45"/>
  <c r="C16" i="45"/>
  <c r="C15" i="45" s="1"/>
  <c r="R15" i="45"/>
  <c r="R21" i="45" s="1"/>
  <c r="I15" i="45"/>
  <c r="B19" i="45"/>
  <c r="C19" i="45"/>
  <c r="J16" i="45"/>
  <c r="J15" i="45" s="1"/>
  <c r="J21" i="45" s="1"/>
  <c r="Q15" i="45"/>
  <c r="Q21" i="45" s="1"/>
  <c r="K15" i="45"/>
  <c r="K21" i="45" s="1"/>
  <c r="I16" i="45"/>
  <c r="H24" i="57"/>
  <c r="L84" i="54"/>
  <c r="Y121" i="54" s="1"/>
  <c r="K84" i="54"/>
  <c r="X121" i="54" s="1"/>
  <c r="Q11" i="54"/>
  <c r="G63" i="67" s="1"/>
  <c r="J85" i="54"/>
  <c r="W122" i="54" s="1"/>
  <c r="I49" i="57"/>
  <c r="J22" i="98"/>
  <c r="J46" i="98"/>
  <c r="I22" i="66"/>
  <c r="I47" i="66"/>
  <c r="N12" i="47"/>
  <c r="V14" i="16"/>
  <c r="V15" i="16"/>
  <c r="AU14" i="16"/>
  <c r="P15" i="16"/>
  <c r="AR90" i="347" s="1"/>
  <c r="P14" i="16"/>
  <c r="J14" i="16"/>
  <c r="J15" i="16"/>
  <c r="I14" i="16"/>
  <c r="I15" i="16"/>
  <c r="AQ14" i="16"/>
  <c r="N112" i="16" s="1"/>
  <c r="AR14" i="16"/>
  <c r="C13" i="16"/>
  <c r="L85" i="54" l="1"/>
  <c r="Y122" i="54" s="1"/>
  <c r="K85" i="54"/>
  <c r="X122" i="54" s="1"/>
  <c r="J47" i="98"/>
  <c r="J23" i="98"/>
  <c r="I48" i="66"/>
  <c r="I23" i="66"/>
  <c r="B60" i="40"/>
  <c r="B83" i="40" s="1"/>
  <c r="B61" i="40"/>
  <c r="B84" i="40" s="1"/>
  <c r="W33" i="183" s="1"/>
  <c r="B62" i="40"/>
  <c r="B85" i="40" s="1"/>
  <c r="W34" i="183" s="1"/>
  <c r="B63" i="40"/>
  <c r="B86" i="40" s="1"/>
  <c r="W35" i="183" s="1"/>
  <c r="B64" i="40"/>
  <c r="B87" i="40" s="1"/>
  <c r="W36" i="183" s="1"/>
  <c r="W66" i="40"/>
  <c r="W89" i="40" s="1"/>
  <c r="W65" i="40"/>
  <c r="W88" i="40" s="1"/>
  <c r="W64" i="40"/>
  <c r="W87" i="40" s="1"/>
  <c r="W63" i="40"/>
  <c r="W86" i="40" s="1"/>
  <c r="W62" i="40"/>
  <c r="W85" i="40" s="1"/>
  <c r="W61" i="40"/>
  <c r="W84" i="40" s="1"/>
  <c r="W60" i="40"/>
  <c r="W83" i="40" s="1"/>
  <c r="W59" i="40"/>
  <c r="W82" i="40" s="1"/>
  <c r="W58" i="40"/>
  <c r="W81" i="40" s="1"/>
  <c r="W57" i="40"/>
  <c r="W80" i="40" s="1"/>
  <c r="W56" i="40"/>
  <c r="W79" i="40" s="1"/>
  <c r="W55" i="40"/>
  <c r="W78" i="40" s="1"/>
  <c r="W54" i="40"/>
  <c r="W77" i="40" s="1"/>
  <c r="W53" i="40"/>
  <c r="W76" i="40" s="1"/>
  <c r="W52" i="40"/>
  <c r="W75" i="40" s="1"/>
  <c r="W51" i="40"/>
  <c r="W74" i="40" s="1"/>
  <c r="W50" i="40"/>
  <c r="W73" i="40" s="1"/>
  <c r="W49" i="40"/>
  <c r="W72" i="40" s="1"/>
  <c r="V49" i="40"/>
  <c r="V72" i="40" s="1"/>
  <c r="T49" i="40"/>
  <c r="T72" i="40" s="1"/>
  <c r="R59" i="40"/>
  <c r="R82" i="40" s="1"/>
  <c r="Q59" i="40"/>
  <c r="Q82" i="40" s="1"/>
  <c r="P59" i="40"/>
  <c r="P82" i="40" s="1"/>
  <c r="R58" i="40"/>
  <c r="R81" i="40" s="1"/>
  <c r="R108" i="40" s="1"/>
  <c r="Q58" i="40"/>
  <c r="Q81" i="40" s="1"/>
  <c r="Q108" i="40" s="1"/>
  <c r="P58" i="40"/>
  <c r="P81" i="40" s="1"/>
  <c r="P108" i="40" s="1"/>
  <c r="R57" i="40"/>
  <c r="R80" i="40" s="1"/>
  <c r="Q57" i="40"/>
  <c r="Q80" i="40" s="1"/>
  <c r="P57" i="40"/>
  <c r="P80" i="40" s="1"/>
  <c r="R56" i="40"/>
  <c r="R79" i="40" s="1"/>
  <c r="Q56" i="40"/>
  <c r="Q79" i="40" s="1"/>
  <c r="P56" i="40"/>
  <c r="P79" i="40" s="1"/>
  <c r="R55" i="40"/>
  <c r="R78" i="40" s="1"/>
  <c r="Q55" i="40"/>
  <c r="Q78" i="40" s="1"/>
  <c r="P55" i="40"/>
  <c r="P78" i="40" s="1"/>
  <c r="R54" i="40"/>
  <c r="R77" i="40" s="1"/>
  <c r="Q54" i="40"/>
  <c r="Q77" i="40" s="1"/>
  <c r="P54" i="40"/>
  <c r="P77" i="40" s="1"/>
  <c r="R53" i="40"/>
  <c r="R76" i="40" s="1"/>
  <c r="Q53" i="40"/>
  <c r="Q76" i="40" s="1"/>
  <c r="P53" i="40"/>
  <c r="P76" i="40" s="1"/>
  <c r="R52" i="40"/>
  <c r="R75" i="40" s="1"/>
  <c r="Q52" i="40"/>
  <c r="Q75" i="40" s="1"/>
  <c r="P52" i="40"/>
  <c r="P75" i="40" s="1"/>
  <c r="R51" i="40"/>
  <c r="R74" i="40" s="1"/>
  <c r="Q51" i="40"/>
  <c r="Q74" i="40" s="1"/>
  <c r="P51" i="40"/>
  <c r="P74" i="40" s="1"/>
  <c r="R50" i="40"/>
  <c r="R73" i="40" s="1"/>
  <c r="Q50" i="40"/>
  <c r="Q73" i="40" s="1"/>
  <c r="P50" i="40"/>
  <c r="P73" i="40" s="1"/>
  <c r="R49" i="40"/>
  <c r="R72" i="40" s="1"/>
  <c r="Q49" i="40"/>
  <c r="Q72" i="40" s="1"/>
  <c r="P49" i="40"/>
  <c r="P72" i="40" s="1"/>
  <c r="O59" i="40"/>
  <c r="O82" i="40" s="1"/>
  <c r="O58" i="40"/>
  <c r="O81" i="40" s="1"/>
  <c r="O108" i="40" s="1"/>
  <c r="O57" i="40"/>
  <c r="O80" i="40" s="1"/>
  <c r="O56" i="40"/>
  <c r="O79" i="40" s="1"/>
  <c r="O55" i="40"/>
  <c r="O78" i="40" s="1"/>
  <c r="O54" i="40"/>
  <c r="O77" i="40" s="1"/>
  <c r="O53" i="40"/>
  <c r="O76" i="40" s="1"/>
  <c r="O52" i="40"/>
  <c r="O75" i="40" s="1"/>
  <c r="O51" i="40"/>
  <c r="O74" i="40" s="1"/>
  <c r="O50" i="40"/>
  <c r="O73" i="40" s="1"/>
  <c r="O49" i="40"/>
  <c r="O72" i="40" s="1"/>
  <c r="N59" i="40"/>
  <c r="N82" i="40" s="1"/>
  <c r="N109" i="40" s="1"/>
  <c r="N58" i="40"/>
  <c r="N81" i="40" s="1"/>
  <c r="N108" i="40" s="1"/>
  <c r="N57" i="40"/>
  <c r="N80" i="40" s="1"/>
  <c r="N56" i="40"/>
  <c r="N79" i="40" s="1"/>
  <c r="N55" i="40"/>
  <c r="N78" i="40" s="1"/>
  <c r="N54" i="40"/>
  <c r="N77" i="40" s="1"/>
  <c r="N53" i="40"/>
  <c r="N76" i="40" s="1"/>
  <c r="N52" i="40"/>
  <c r="N75" i="40" s="1"/>
  <c r="N51" i="40"/>
  <c r="N74" i="40" s="1"/>
  <c r="N50" i="40"/>
  <c r="N73" i="40" s="1"/>
  <c r="N49" i="40"/>
  <c r="N72" i="40" s="1"/>
  <c r="J49" i="40"/>
  <c r="J72" i="40" s="1"/>
  <c r="I49" i="40"/>
  <c r="I72" i="40" s="1"/>
  <c r="E59" i="40"/>
  <c r="E82" i="40" s="1"/>
  <c r="E58" i="40"/>
  <c r="E81" i="40" s="1"/>
  <c r="E108" i="40" s="1"/>
  <c r="E57" i="40"/>
  <c r="E80" i="40" s="1"/>
  <c r="E56" i="40"/>
  <c r="E79" i="40" s="1"/>
  <c r="E55" i="40"/>
  <c r="E78" i="40" s="1"/>
  <c r="E54" i="40"/>
  <c r="E77" i="40" s="1"/>
  <c r="E53" i="40"/>
  <c r="E76" i="40" s="1"/>
  <c r="E52" i="40"/>
  <c r="E75" i="40" s="1"/>
  <c r="E51" i="40"/>
  <c r="E74" i="40" s="1"/>
  <c r="E50" i="40"/>
  <c r="E73" i="40" s="1"/>
  <c r="B59" i="40"/>
  <c r="B82" i="40" s="1"/>
  <c r="B109" i="40" s="1"/>
  <c r="B58" i="40"/>
  <c r="B81" i="40" s="1"/>
  <c r="B57" i="40"/>
  <c r="B80" i="40" s="1"/>
  <c r="B56" i="40"/>
  <c r="B79" i="40" s="1"/>
  <c r="Y79" i="40" s="1"/>
  <c r="B55" i="40"/>
  <c r="B78" i="40" s="1"/>
  <c r="Y78" i="40" s="1"/>
  <c r="B54" i="40"/>
  <c r="B77" i="40" s="1"/>
  <c r="B53" i="40"/>
  <c r="B76" i="40" s="1"/>
  <c r="B52" i="40"/>
  <c r="B75" i="40" s="1"/>
  <c r="B51" i="40"/>
  <c r="B74" i="40" s="1"/>
  <c r="Y74" i="40" s="1"/>
  <c r="B50" i="40"/>
  <c r="B73" i="40" s="1"/>
  <c r="Y73" i="40" s="1"/>
  <c r="B72" i="40"/>
  <c r="Y72" i="40" l="1"/>
  <c r="Y80" i="40"/>
  <c r="Q60" i="117" s="1"/>
  <c r="Y82" i="40"/>
  <c r="Y83" i="40"/>
  <c r="T62" i="117" s="1"/>
  <c r="Q63" i="117" s="1"/>
  <c r="G63" i="117" s="1"/>
  <c r="I63" i="117" s="1"/>
  <c r="B108" i="40"/>
  <c r="Y81" i="40"/>
  <c r="T60" i="117" s="1"/>
  <c r="Q61" i="117" s="1"/>
  <c r="Y75" i="40"/>
  <c r="Y76" i="40"/>
  <c r="Y77" i="40"/>
  <c r="P109" i="40"/>
  <c r="O109" i="40"/>
  <c r="E109" i="40"/>
  <c r="BD7" i="96"/>
  <c r="B113" i="40"/>
  <c r="M85" i="66"/>
  <c r="Y85" i="40"/>
  <c r="Y86" i="40"/>
  <c r="Y87" i="40"/>
  <c r="Y88" i="40"/>
  <c r="Y89" i="40"/>
  <c r="Y84" i="40"/>
  <c r="J24" i="98"/>
  <c r="I49" i="66"/>
  <c r="J48" i="98"/>
  <c r="I24" i="66"/>
  <c r="F108" i="40"/>
  <c r="W108" i="40"/>
  <c r="G108" i="40"/>
  <c r="U108" i="40"/>
  <c r="C108" i="40"/>
  <c r="H108" i="40"/>
  <c r="I108" i="40"/>
  <c r="J108" i="40"/>
  <c r="S108" i="40"/>
  <c r="K108" i="40"/>
  <c r="T108" i="40"/>
  <c r="V108" i="40"/>
  <c r="L108" i="40"/>
  <c r="D108" i="40"/>
  <c r="M108" i="40"/>
  <c r="F116" i="40"/>
  <c r="W116" i="40"/>
  <c r="V116" i="40"/>
  <c r="N116" i="40"/>
  <c r="D116" i="40"/>
  <c r="O116" i="40"/>
  <c r="I116" i="40"/>
  <c r="R116" i="40"/>
  <c r="H116" i="40"/>
  <c r="Q116" i="40"/>
  <c r="K116" i="40"/>
  <c r="P116" i="40"/>
  <c r="G116" i="40"/>
  <c r="J116" i="40"/>
  <c r="C116" i="40"/>
  <c r="M116" i="40"/>
  <c r="T116" i="40"/>
  <c r="U116" i="40"/>
  <c r="L116" i="40"/>
  <c r="B116" i="40"/>
  <c r="E116" i="40"/>
  <c r="S116" i="40"/>
  <c r="F109" i="40"/>
  <c r="W109" i="40"/>
  <c r="H109" i="40"/>
  <c r="L109" i="40"/>
  <c r="J109" i="40"/>
  <c r="S109" i="40"/>
  <c r="I109" i="40"/>
  <c r="C109" i="40"/>
  <c r="T109" i="40"/>
  <c r="U109" i="40"/>
  <c r="V109" i="40"/>
  <c r="M109" i="40"/>
  <c r="D109" i="40"/>
  <c r="K109" i="40"/>
  <c r="G109" i="40"/>
  <c r="B114" i="40"/>
  <c r="F110" i="40"/>
  <c r="W110" i="40"/>
  <c r="G110" i="40"/>
  <c r="M110" i="40"/>
  <c r="E110" i="40"/>
  <c r="V110" i="40"/>
  <c r="C110" i="40"/>
  <c r="Q110" i="40"/>
  <c r="U110" i="40"/>
  <c r="S110" i="40"/>
  <c r="H110" i="40"/>
  <c r="K110" i="40"/>
  <c r="J110" i="40"/>
  <c r="I110" i="40"/>
  <c r="L110" i="40"/>
  <c r="R110" i="40"/>
  <c r="D110" i="40"/>
  <c r="N110" i="40"/>
  <c r="P110" i="40"/>
  <c r="T110" i="40"/>
  <c r="O110" i="40"/>
  <c r="Q109" i="40"/>
  <c r="F111" i="40"/>
  <c r="W111" i="40"/>
  <c r="S111" i="40"/>
  <c r="N111" i="40"/>
  <c r="O111" i="40"/>
  <c r="J111" i="40"/>
  <c r="R111" i="40"/>
  <c r="L111" i="40"/>
  <c r="M111" i="40"/>
  <c r="I111" i="40"/>
  <c r="C111" i="40"/>
  <c r="T111" i="40"/>
  <c r="V111" i="40"/>
  <c r="U111" i="40"/>
  <c r="G111" i="40"/>
  <c r="K111" i="40"/>
  <c r="D111" i="40"/>
  <c r="H111" i="40"/>
  <c r="Q111" i="40"/>
  <c r="P111" i="40"/>
  <c r="E111" i="40"/>
  <c r="B112" i="40"/>
  <c r="R109" i="40"/>
  <c r="W112" i="40"/>
  <c r="F112" i="40"/>
  <c r="O112" i="40"/>
  <c r="R112" i="40"/>
  <c r="I112" i="40"/>
  <c r="L112" i="40"/>
  <c r="G112" i="40"/>
  <c r="H112" i="40"/>
  <c r="E112" i="40"/>
  <c r="P112" i="40"/>
  <c r="T112" i="40"/>
  <c r="N112" i="40"/>
  <c r="Q112" i="40"/>
  <c r="J112" i="40"/>
  <c r="V112" i="40"/>
  <c r="D112" i="40"/>
  <c r="S112" i="40"/>
  <c r="M112" i="40"/>
  <c r="U112" i="40"/>
  <c r="C112" i="40"/>
  <c r="K112" i="40"/>
  <c r="B111" i="40"/>
  <c r="F114" i="40"/>
  <c r="W114" i="40"/>
  <c r="E114" i="40"/>
  <c r="D114" i="40"/>
  <c r="J114" i="40"/>
  <c r="T114" i="40"/>
  <c r="S114" i="40"/>
  <c r="R114" i="40"/>
  <c r="G114" i="40"/>
  <c r="N114" i="40"/>
  <c r="Q114" i="40"/>
  <c r="V114" i="40"/>
  <c r="H114" i="40"/>
  <c r="I114" i="40"/>
  <c r="U114" i="40"/>
  <c r="P114" i="40"/>
  <c r="O114" i="40"/>
  <c r="M114" i="40"/>
  <c r="L114" i="40"/>
  <c r="K114" i="40"/>
  <c r="C114" i="40"/>
  <c r="W115" i="40"/>
  <c r="F115" i="40"/>
  <c r="C115" i="40"/>
  <c r="L115" i="40"/>
  <c r="G115" i="40"/>
  <c r="N115" i="40"/>
  <c r="J115" i="40"/>
  <c r="B115" i="40"/>
  <c r="E115" i="40"/>
  <c r="Q115" i="40"/>
  <c r="T115" i="40"/>
  <c r="S115" i="40"/>
  <c r="P115" i="40"/>
  <c r="I115" i="40"/>
  <c r="R115" i="40"/>
  <c r="D115" i="40"/>
  <c r="O115" i="40"/>
  <c r="V115" i="40"/>
  <c r="M115" i="40"/>
  <c r="H115" i="40"/>
  <c r="K115" i="40"/>
  <c r="U115" i="40"/>
  <c r="W113" i="40"/>
  <c r="F113" i="40"/>
  <c r="O113" i="40"/>
  <c r="R113" i="40"/>
  <c r="N113" i="40"/>
  <c r="Q113" i="40"/>
  <c r="E113" i="40"/>
  <c r="G113" i="40"/>
  <c r="P113" i="40"/>
  <c r="K113" i="40"/>
  <c r="H113" i="40"/>
  <c r="J113" i="40"/>
  <c r="T113" i="40"/>
  <c r="M113" i="40"/>
  <c r="I113" i="40"/>
  <c r="V113" i="40"/>
  <c r="C113" i="40"/>
  <c r="L113" i="40"/>
  <c r="U113" i="40"/>
  <c r="D113" i="40"/>
  <c r="S113" i="40"/>
  <c r="B110" i="40"/>
  <c r="W131" i="16"/>
  <c r="V131" i="16"/>
  <c r="V132" i="16" s="1"/>
  <c r="V133" i="16" s="1"/>
  <c r="V134" i="16" s="1"/>
  <c r="V135" i="16" s="1"/>
  <c r="V136" i="16" s="1"/>
  <c r="V137" i="16" s="1"/>
  <c r="V138" i="16" s="1"/>
  <c r="V139" i="16" s="1"/>
  <c r="V140" i="16" s="1"/>
  <c r="V141" i="16" s="1"/>
  <c r="V142" i="16" s="1"/>
  <c r="V143" i="16" s="1"/>
  <c r="L132" i="16"/>
  <c r="N132" i="16"/>
  <c r="O132" i="16"/>
  <c r="O133" i="16" s="1"/>
  <c r="O134" i="16" s="1"/>
  <c r="O135" i="16" s="1"/>
  <c r="O136" i="16" s="1"/>
  <c r="O137" i="16" s="1"/>
  <c r="O138" i="16" s="1"/>
  <c r="O139" i="16" s="1"/>
  <c r="O140" i="16" s="1"/>
  <c r="O141" i="16" s="1"/>
  <c r="O142" i="16" s="1"/>
  <c r="P132" i="16"/>
  <c r="P133" i="16" s="1"/>
  <c r="P134" i="16" s="1"/>
  <c r="P135" i="16" s="1"/>
  <c r="P136" i="16" s="1"/>
  <c r="P137" i="16" s="1"/>
  <c r="P138" i="16" s="1"/>
  <c r="P139" i="16" s="1"/>
  <c r="P140" i="16" s="1"/>
  <c r="P141" i="16" s="1"/>
  <c r="P142" i="16" s="1"/>
  <c r="Q132" i="16"/>
  <c r="Q133" i="16" s="1"/>
  <c r="Q134" i="16" s="1"/>
  <c r="Q135" i="16" s="1"/>
  <c r="Q136" i="16" s="1"/>
  <c r="Q137" i="16" s="1"/>
  <c r="Q138" i="16" s="1"/>
  <c r="Q139" i="16" s="1"/>
  <c r="Q140" i="16" s="1"/>
  <c r="Q141" i="16" s="1"/>
  <c r="Q142" i="16" s="1"/>
  <c r="Q143" i="16" s="1"/>
  <c r="Q144" i="16" s="1"/>
  <c r="R132" i="16"/>
  <c r="R133" i="16" s="1"/>
  <c r="R134" i="16" s="1"/>
  <c r="R135" i="16" s="1"/>
  <c r="R136" i="16" s="1"/>
  <c r="R137" i="16" s="1"/>
  <c r="R138" i="16" s="1"/>
  <c r="R139" i="16" s="1"/>
  <c r="R140" i="16" s="1"/>
  <c r="R141" i="16" s="1"/>
  <c r="R142" i="16" s="1"/>
  <c r="R143" i="16" s="1"/>
  <c r="S132" i="16"/>
  <c r="S133" i="16" s="1"/>
  <c r="S134" i="16" s="1"/>
  <c r="S135" i="16" s="1"/>
  <c r="T132" i="16"/>
  <c r="T133" i="16" s="1"/>
  <c r="T134" i="16" s="1"/>
  <c r="T135" i="16" s="1"/>
  <c r="U132" i="16"/>
  <c r="U133" i="16" s="1"/>
  <c r="U134" i="16" s="1"/>
  <c r="U135" i="16" s="1"/>
  <c r="L133" i="16"/>
  <c r="L134" i="16" s="1"/>
  <c r="L135" i="16" s="1"/>
  <c r="L136" i="16" s="1"/>
  <c r="F132" i="16"/>
  <c r="F133" i="16" s="1"/>
  <c r="F134" i="16" s="1"/>
  <c r="F135" i="16" s="1"/>
  <c r="F136" i="16" s="1"/>
  <c r="F137" i="16" s="1"/>
  <c r="F138" i="16" s="1"/>
  <c r="F139" i="16" s="1"/>
  <c r="F140" i="16" s="1"/>
  <c r="F141" i="16" s="1"/>
  <c r="F142" i="16" s="1"/>
  <c r="G132" i="16"/>
  <c r="G133" i="16" s="1"/>
  <c r="G134" i="16" s="1"/>
  <c r="G135" i="16" s="1"/>
  <c r="H132" i="16"/>
  <c r="H133" i="16" s="1"/>
  <c r="H134" i="16" s="1"/>
  <c r="H135" i="16" s="1"/>
  <c r="I132" i="16"/>
  <c r="I133" i="16" s="1"/>
  <c r="I134" i="16" s="1"/>
  <c r="I135" i="16" s="1"/>
  <c r="I136" i="16" s="1"/>
  <c r="I137" i="16" s="1"/>
  <c r="I138" i="16" s="1"/>
  <c r="I139" i="16" s="1"/>
  <c r="I140" i="16" s="1"/>
  <c r="I141" i="16" s="1"/>
  <c r="I142" i="16" s="1"/>
  <c r="I143" i="16" s="1"/>
  <c r="D132" i="16"/>
  <c r="D133" i="16" s="1"/>
  <c r="D134" i="16" s="1"/>
  <c r="D135" i="16" s="1"/>
  <c r="E132" i="16"/>
  <c r="E133" i="16" s="1"/>
  <c r="E134" i="16" s="1"/>
  <c r="E135" i="16" s="1"/>
  <c r="Q63" i="16"/>
  <c r="Q64" i="16"/>
  <c r="Q65" i="16"/>
  <c r="Q66" i="16"/>
  <c r="Q67" i="16"/>
  <c r="B4" i="365" s="1"/>
  <c r="Q68" i="16"/>
  <c r="B5" i="365" s="1"/>
  <c r="Q69" i="16"/>
  <c r="B6" i="365" s="1"/>
  <c r="Q70" i="16"/>
  <c r="B7" i="365" s="1"/>
  <c r="Q71" i="16"/>
  <c r="B8" i="365" s="1"/>
  <c r="Q72" i="16"/>
  <c r="B9" i="365" s="1"/>
  <c r="AD9" i="365" s="1"/>
  <c r="Q73" i="16"/>
  <c r="B10" i="365" s="1"/>
  <c r="AD10" i="365" s="1"/>
  <c r="Q74" i="16"/>
  <c r="B11" i="365" s="1"/>
  <c r="B12" i="365"/>
  <c r="N74" i="16"/>
  <c r="B11" i="226" s="1"/>
  <c r="AD11" i="226" s="1"/>
  <c r="N75" i="16"/>
  <c r="B12" i="226" s="1"/>
  <c r="E68" i="16"/>
  <c r="B5" i="140" s="1"/>
  <c r="BA4" i="16"/>
  <c r="BA5" i="16"/>
  <c r="BA6" i="16"/>
  <c r="BA7" i="16"/>
  <c r="BA3" i="16"/>
  <c r="X47" i="16"/>
  <c r="X48" i="16"/>
  <c r="X49" i="16"/>
  <c r="X50" i="16"/>
  <c r="X46" i="16"/>
  <c r="T67" i="117" l="1"/>
  <c r="Q68" i="117" s="1"/>
  <c r="G68" i="117" s="1"/>
  <c r="C63" i="117"/>
  <c r="C7" i="96" s="1"/>
  <c r="T66" i="117"/>
  <c r="Q67" i="117" s="1"/>
  <c r="G67" i="117" s="1"/>
  <c r="T63" i="117"/>
  <c r="Q64" i="117" s="1"/>
  <c r="G64" i="117" s="1"/>
  <c r="G66" i="117"/>
  <c r="I66" i="117" s="1"/>
  <c r="T65" i="117"/>
  <c r="Q66" i="117" s="1"/>
  <c r="T64" i="117"/>
  <c r="Q65" i="117" s="1"/>
  <c r="G65" i="117" s="1"/>
  <c r="T61" i="117"/>
  <c r="Q62" i="117" s="1"/>
  <c r="G62" i="117" s="1"/>
  <c r="T68" i="117"/>
  <c r="Q69" i="117" s="1"/>
  <c r="G69" i="117" s="1"/>
  <c r="G61" i="117"/>
  <c r="N85" i="66"/>
  <c r="AA123" i="66" s="1"/>
  <c r="Z123" i="66"/>
  <c r="AD12" i="226"/>
  <c r="H69" i="365"/>
  <c r="K69" i="365" s="1"/>
  <c r="AD12" i="365"/>
  <c r="X5" i="16"/>
  <c r="F69" i="365"/>
  <c r="I69" i="365" s="1"/>
  <c r="AD11" i="365"/>
  <c r="I122" i="40"/>
  <c r="P122" i="40"/>
  <c r="O122" i="40"/>
  <c r="E122" i="40"/>
  <c r="M122" i="40"/>
  <c r="Q122" i="40"/>
  <c r="N122" i="40"/>
  <c r="B122" i="40"/>
  <c r="D63" i="117"/>
  <c r="H63" i="117"/>
  <c r="E63" i="117" s="1"/>
  <c r="BO7" i="413" s="1"/>
  <c r="X6" i="16"/>
  <c r="X4" i="16"/>
  <c r="X132" i="16" s="1"/>
  <c r="X133" i="16" s="1"/>
  <c r="J49" i="98"/>
  <c r="X3" i="16"/>
  <c r="X7" i="16"/>
  <c r="E136" i="16"/>
  <c r="E137" i="16" s="1"/>
  <c r="E138" i="16" s="1"/>
  <c r="E139" i="16" s="1"/>
  <c r="E140" i="16" s="1"/>
  <c r="E141" i="16" s="1"/>
  <c r="E142" i="16" s="1"/>
  <c r="L122" i="40"/>
  <c r="G122" i="40"/>
  <c r="K122" i="40"/>
  <c r="C122" i="40"/>
  <c r="D122" i="40"/>
  <c r="U122" i="40"/>
  <c r="T122" i="40"/>
  <c r="H122" i="40"/>
  <c r="S122" i="40"/>
  <c r="F122" i="40"/>
  <c r="J122" i="40"/>
  <c r="V122" i="40"/>
  <c r="R122" i="40"/>
  <c r="N133" i="16"/>
  <c r="N134" i="16" s="1"/>
  <c r="N135" i="16" s="1"/>
  <c r="N136" i="16" s="1"/>
  <c r="N137" i="16" s="1"/>
  <c r="N138" i="16" s="1"/>
  <c r="N139" i="16" s="1"/>
  <c r="N140" i="16" s="1"/>
  <c r="N141" i="16" s="1"/>
  <c r="N142" i="16" s="1"/>
  <c r="N143" i="16" s="1"/>
  <c r="CT9" i="16"/>
  <c r="BA52" i="16" s="1"/>
  <c r="X135" i="67" s="1"/>
  <c r="CT8" i="16"/>
  <c r="BA51" i="16" s="1"/>
  <c r="AX4" i="16"/>
  <c r="AX5" i="16"/>
  <c r="AX6" i="16"/>
  <c r="AX3" i="16"/>
  <c r="U47" i="16"/>
  <c r="U48" i="16"/>
  <c r="U49" i="16"/>
  <c r="U50" i="16"/>
  <c r="U46" i="16"/>
  <c r="CP56" i="16"/>
  <c r="CP41" i="16"/>
  <c r="AX7" i="16" s="1"/>
  <c r="CO25" i="16"/>
  <c r="CO57" i="16" s="1"/>
  <c r="CO54" i="16"/>
  <c r="CO56" i="16"/>
  <c r="CN37" i="16"/>
  <c r="CN38" i="16"/>
  <c r="CN39" i="16"/>
  <c r="CN40" i="16"/>
  <c r="CN41" i="16"/>
  <c r="CN21" i="16"/>
  <c r="CN22" i="16"/>
  <c r="CN23" i="16"/>
  <c r="CN24" i="16"/>
  <c r="CN25" i="16"/>
  <c r="CA21" i="16"/>
  <c r="CA22" i="16"/>
  <c r="CA23" i="16"/>
  <c r="CA24" i="16"/>
  <c r="CA25" i="16"/>
  <c r="BY37" i="16"/>
  <c r="BY38" i="16"/>
  <c r="BY39" i="16"/>
  <c r="BY40" i="16"/>
  <c r="BY41" i="16"/>
  <c r="BY21" i="16"/>
  <c r="BY22" i="16"/>
  <c r="BY23" i="16"/>
  <c r="BY24" i="16"/>
  <c r="BY25" i="16"/>
  <c r="BX37" i="16"/>
  <c r="BX38" i="16"/>
  <c r="BX39" i="16"/>
  <c r="BX40" i="16"/>
  <c r="BX41" i="16"/>
  <c r="BX21" i="16"/>
  <c r="BX22" i="16"/>
  <c r="BX23" i="16"/>
  <c r="BX24" i="16"/>
  <c r="BX25" i="16"/>
  <c r="CF49" i="16"/>
  <c r="CF22" i="16"/>
  <c r="CH22" i="16"/>
  <c r="CF23" i="16"/>
  <c r="CH23" i="16"/>
  <c r="CF24" i="16"/>
  <c r="CH24" i="16"/>
  <c r="CF25" i="16"/>
  <c r="CH25" i="16"/>
  <c r="CF26" i="16"/>
  <c r="CG26" i="16"/>
  <c r="CH26" i="16"/>
  <c r="CF27" i="16"/>
  <c r="CG27" i="16"/>
  <c r="CH27" i="16"/>
  <c r="CF28" i="16"/>
  <c r="CG28" i="16"/>
  <c r="CH28" i="16"/>
  <c r="CF29" i="16"/>
  <c r="CG29" i="16"/>
  <c r="CH29" i="16"/>
  <c r="CF30" i="16"/>
  <c r="CG30" i="16"/>
  <c r="CH30" i="16"/>
  <c r="CF31" i="16"/>
  <c r="CG31" i="16"/>
  <c r="CH31" i="16"/>
  <c r="CF32" i="16"/>
  <c r="CG32" i="16"/>
  <c r="CH32" i="16"/>
  <c r="CF33" i="16"/>
  <c r="CG33" i="16"/>
  <c r="CH33" i="16"/>
  <c r="CH21" i="16"/>
  <c r="CF21" i="16"/>
  <c r="AN53" i="16"/>
  <c r="K136" i="67" s="1"/>
  <c r="AN54" i="16"/>
  <c r="K137" i="67" s="1"/>
  <c r="AN55" i="16"/>
  <c r="K138" i="67" s="1"/>
  <c r="AN51" i="16"/>
  <c r="K134" i="67" s="1"/>
  <c r="CG4" i="16"/>
  <c r="CG5" i="16"/>
  <c r="CG6" i="16"/>
  <c r="CG7" i="16"/>
  <c r="CG8" i="16"/>
  <c r="CG9" i="16"/>
  <c r="CG10" i="16"/>
  <c r="CG11" i="16"/>
  <c r="CG12" i="16"/>
  <c r="CG13" i="16"/>
  <c r="CG14" i="16"/>
  <c r="CG15" i="16"/>
  <c r="CG3" i="16"/>
  <c r="AU46" i="16"/>
  <c r="AU47" i="16"/>
  <c r="AY57" i="16"/>
  <c r="AY56" i="16"/>
  <c r="V139" i="67" s="1"/>
  <c r="AY55" i="16"/>
  <c r="V138" i="67" s="1"/>
  <c r="AY54" i="16"/>
  <c r="V137" i="67" s="1"/>
  <c r="AY53" i="16"/>
  <c r="V136" i="67" s="1"/>
  <c r="AY52" i="16"/>
  <c r="V135" i="67" s="1"/>
  <c r="AY51" i="16"/>
  <c r="V134" i="67" s="1"/>
  <c r="AY50" i="16"/>
  <c r="V133" i="67" s="1"/>
  <c r="AY49" i="16"/>
  <c r="V66" i="16" s="1"/>
  <c r="AY48" i="16"/>
  <c r="V65" i="16" s="1"/>
  <c r="AY47" i="16"/>
  <c r="V64" i="16" s="1"/>
  <c r="AY46" i="16"/>
  <c r="V63" i="16" s="1"/>
  <c r="AX52" i="16"/>
  <c r="U135" i="67" s="1"/>
  <c r="AX53" i="16"/>
  <c r="U136" i="67" s="1"/>
  <c r="AX54" i="16"/>
  <c r="U137" i="67" s="1"/>
  <c r="AX55" i="16"/>
  <c r="U138" i="67" s="1"/>
  <c r="AX56" i="16"/>
  <c r="U139" i="67" s="1"/>
  <c r="AX57" i="16"/>
  <c r="AX51" i="16"/>
  <c r="AW53" i="16"/>
  <c r="T136" i="67" s="1"/>
  <c r="AW54" i="16"/>
  <c r="T137" i="67" s="1"/>
  <c r="AW55" i="16"/>
  <c r="T138" i="67" s="1"/>
  <c r="AW56" i="16"/>
  <c r="T139" i="67" s="1"/>
  <c r="AW57" i="16"/>
  <c r="AW52" i="16"/>
  <c r="T135" i="67" s="1"/>
  <c r="AW47" i="16"/>
  <c r="T64" i="16" s="1"/>
  <c r="AW48" i="16"/>
  <c r="T65" i="16" s="1"/>
  <c r="AW49" i="16"/>
  <c r="T66" i="16" s="1"/>
  <c r="AW50" i="16"/>
  <c r="T133" i="67" s="1"/>
  <c r="AW51" i="16"/>
  <c r="T134" i="67" s="1"/>
  <c r="AW46" i="16"/>
  <c r="T63" i="16" s="1"/>
  <c r="AV47" i="16"/>
  <c r="S64" i="16" s="1"/>
  <c r="AV48" i="16"/>
  <c r="S65" i="16" s="1"/>
  <c r="AV49" i="16"/>
  <c r="S66" i="16" s="1"/>
  <c r="AV50" i="16"/>
  <c r="AV51" i="16"/>
  <c r="AV52" i="16"/>
  <c r="AV53" i="16"/>
  <c r="AV54" i="16"/>
  <c r="AV55" i="16"/>
  <c r="AV56" i="16"/>
  <c r="AV57" i="16"/>
  <c r="AV46" i="16"/>
  <c r="S63" i="16" s="1"/>
  <c r="AS51" i="16"/>
  <c r="AS52" i="16"/>
  <c r="AS53" i="16"/>
  <c r="AS54" i="16"/>
  <c r="AS55" i="16"/>
  <c r="AS56" i="16"/>
  <c r="AS57" i="16"/>
  <c r="AQ89" i="347" s="1"/>
  <c r="C89" i="347" s="1"/>
  <c r="AQ90" i="347"/>
  <c r="C90" i="347" s="1"/>
  <c r="AS50" i="16"/>
  <c r="AS47" i="16"/>
  <c r="P64" i="16" s="1"/>
  <c r="AS48" i="16"/>
  <c r="P65" i="16" s="1"/>
  <c r="AS49" i="16"/>
  <c r="P66" i="16" s="1"/>
  <c r="AS46" i="16"/>
  <c r="P63" i="16" s="1"/>
  <c r="AP47" i="16"/>
  <c r="AP48" i="16"/>
  <c r="AP49" i="16"/>
  <c r="AP50" i="16"/>
  <c r="AP51" i="16"/>
  <c r="AP52" i="16"/>
  <c r="AP53" i="16"/>
  <c r="AP54" i="16"/>
  <c r="AP55" i="16"/>
  <c r="AP56" i="16"/>
  <c r="AP57" i="16"/>
  <c r="AP46" i="16"/>
  <c r="AO52" i="16"/>
  <c r="AO53" i="16"/>
  <c r="AO54" i="16"/>
  <c r="AO55" i="16"/>
  <c r="AO56" i="16"/>
  <c r="AO57" i="16"/>
  <c r="AO46" i="16"/>
  <c r="L63" i="16" s="1"/>
  <c r="AO47" i="16"/>
  <c r="L64" i="16" s="1"/>
  <c r="AO48" i="16"/>
  <c r="L65" i="16" s="1"/>
  <c r="AO49" i="16"/>
  <c r="L66" i="16" s="1"/>
  <c r="AO50" i="16"/>
  <c r="AO51" i="16"/>
  <c r="AM53" i="16"/>
  <c r="J136" i="67" s="1"/>
  <c r="AM54" i="16"/>
  <c r="J137" i="67" s="1"/>
  <c r="AM55" i="16"/>
  <c r="J138" i="67" s="1"/>
  <c r="AM56" i="16"/>
  <c r="J139" i="67" s="1"/>
  <c r="AM57" i="16"/>
  <c r="AM47" i="16"/>
  <c r="AM48" i="16"/>
  <c r="AM49" i="16"/>
  <c r="J66" i="16" s="1"/>
  <c r="AM50" i="16"/>
  <c r="J133" i="67" s="1"/>
  <c r="AM51" i="16"/>
  <c r="J134" i="67" s="1"/>
  <c r="AL57" i="16"/>
  <c r="AL53" i="16"/>
  <c r="I136" i="67" s="1"/>
  <c r="AL54" i="16"/>
  <c r="I137" i="67" s="1"/>
  <c r="AL55" i="16"/>
  <c r="I138" i="67" s="1"/>
  <c r="AL56" i="16"/>
  <c r="I139" i="67" s="1"/>
  <c r="AL47" i="16"/>
  <c r="I64" i="16" s="1"/>
  <c r="AL48" i="16"/>
  <c r="I65" i="16" s="1"/>
  <c r="AL49" i="16"/>
  <c r="I66" i="16" s="1"/>
  <c r="AL50" i="16"/>
  <c r="I133" i="67" s="1"/>
  <c r="AL51" i="16"/>
  <c r="I134" i="67" s="1"/>
  <c r="AM46" i="16"/>
  <c r="J63" i="16" s="1"/>
  <c r="AL46" i="16"/>
  <c r="I63" i="16" s="1"/>
  <c r="AJ47" i="16"/>
  <c r="G64" i="16" s="1"/>
  <c r="AK47" i="16"/>
  <c r="H64" i="16" s="1"/>
  <c r="AJ48" i="16"/>
  <c r="G65" i="16" s="1"/>
  <c r="AK48" i="16"/>
  <c r="H65" i="16" s="1"/>
  <c r="AJ49" i="16"/>
  <c r="G66" i="16" s="1"/>
  <c r="AK49" i="16"/>
  <c r="H66" i="16" s="1"/>
  <c r="AJ50" i="16"/>
  <c r="AK50" i="16"/>
  <c r="AJ51" i="16"/>
  <c r="AK51" i="16"/>
  <c r="AJ52" i="16"/>
  <c r="AK52" i="16"/>
  <c r="AJ53" i="16"/>
  <c r="AK53" i="16"/>
  <c r="AJ54" i="16"/>
  <c r="BR17" i="205" s="1"/>
  <c r="AK54" i="16"/>
  <c r="AJ55" i="16"/>
  <c r="BR18" i="205" s="1"/>
  <c r="AK55" i="16"/>
  <c r="AJ56" i="16"/>
  <c r="BR19" i="205" s="1"/>
  <c r="AK56" i="16"/>
  <c r="AJ57" i="16"/>
  <c r="BR20" i="205" s="1"/>
  <c r="AK57" i="16"/>
  <c r="AK46" i="16"/>
  <c r="H63" i="16" s="1"/>
  <c r="AJ46" i="16"/>
  <c r="G63" i="16" s="1"/>
  <c r="AF47" i="16"/>
  <c r="AG47" i="16"/>
  <c r="D64" i="16" s="1"/>
  <c r="AF48" i="16"/>
  <c r="AG48" i="16"/>
  <c r="D65" i="16" s="1"/>
  <c r="AF49" i="16"/>
  <c r="AG49" i="16"/>
  <c r="D66" i="16" s="1"/>
  <c r="AF50" i="16"/>
  <c r="AG50" i="16"/>
  <c r="AF52" i="16"/>
  <c r="AG52" i="16"/>
  <c r="AF53" i="16"/>
  <c r="AG53" i="16"/>
  <c r="AF54" i="16"/>
  <c r="AG54" i="16"/>
  <c r="AF55" i="16"/>
  <c r="AG55" i="16"/>
  <c r="AF56" i="16"/>
  <c r="AG56" i="16"/>
  <c r="AF57" i="16"/>
  <c r="AG57" i="16"/>
  <c r="AG46" i="16"/>
  <c r="D63" i="16" s="1"/>
  <c r="AF46" i="16"/>
  <c r="CP54" i="16"/>
  <c r="CO55" i="16"/>
  <c r="CP55" i="16"/>
  <c r="CO53" i="16"/>
  <c r="CP53" i="16"/>
  <c r="CS24" i="16"/>
  <c r="CS26" i="16"/>
  <c r="CS27" i="16"/>
  <c r="CS28" i="16"/>
  <c r="CS29" i="16"/>
  <c r="CS30" i="16"/>
  <c r="CS31" i="16"/>
  <c r="CS32" i="16"/>
  <c r="CS33" i="16"/>
  <c r="CS21" i="16"/>
  <c r="CR26" i="16"/>
  <c r="CR27" i="16"/>
  <c r="CR28" i="16"/>
  <c r="CR29" i="16"/>
  <c r="CR30" i="16"/>
  <c r="CR31" i="16"/>
  <c r="CR32" i="16"/>
  <c r="CR33" i="16"/>
  <c r="CR21" i="16"/>
  <c r="CR22" i="16"/>
  <c r="CR23" i="16"/>
  <c r="CR24" i="16"/>
  <c r="CR25" i="16"/>
  <c r="CQ43" i="16"/>
  <c r="CQ44" i="16"/>
  <c r="CQ45" i="16"/>
  <c r="CQ46" i="16"/>
  <c r="CQ47" i="16"/>
  <c r="CQ48" i="16"/>
  <c r="CQ49" i="16"/>
  <c r="CQ42" i="16"/>
  <c r="CQ27" i="16"/>
  <c r="CQ59" i="16" s="1"/>
  <c r="CQ28" i="16"/>
  <c r="CQ60" i="16" s="1"/>
  <c r="CQ29" i="16"/>
  <c r="CQ30" i="16"/>
  <c r="CQ31" i="16"/>
  <c r="CQ63" i="16" s="1"/>
  <c r="CQ32" i="16"/>
  <c r="CQ33" i="16"/>
  <c r="CQ65" i="16" s="1"/>
  <c r="CQ26" i="16"/>
  <c r="CQ58" i="16" s="1"/>
  <c r="CP43" i="16"/>
  <c r="AX9" i="16" s="1"/>
  <c r="U107" i="16" s="1"/>
  <c r="CP44" i="16"/>
  <c r="AX10" i="16" s="1"/>
  <c r="CP45" i="16"/>
  <c r="AX11" i="16" s="1"/>
  <c r="CP46" i="16"/>
  <c r="AX12" i="16" s="1"/>
  <c r="CP47" i="16"/>
  <c r="AX13" i="16" s="1"/>
  <c r="CP48" i="16"/>
  <c r="CP49" i="16"/>
  <c r="CP42" i="16"/>
  <c r="AX8" i="16" s="1"/>
  <c r="U106" i="16" s="1"/>
  <c r="CP27" i="16"/>
  <c r="CP59" i="16" s="1"/>
  <c r="CP28" i="16"/>
  <c r="CP60" i="16" s="1"/>
  <c r="CP29" i="16"/>
  <c r="U54" i="16" s="1"/>
  <c r="CP30" i="16"/>
  <c r="U55" i="16" s="1"/>
  <c r="CP31" i="16"/>
  <c r="U56" i="16" s="1"/>
  <c r="CP32" i="16"/>
  <c r="CP64" i="16" s="1"/>
  <c r="CP33" i="16"/>
  <c r="CP65" i="16" s="1"/>
  <c r="CP26" i="16"/>
  <c r="CP58" i="16" s="1"/>
  <c r="BW38" i="16"/>
  <c r="AN4" i="16" s="1"/>
  <c r="BW39" i="16"/>
  <c r="AN5" i="16" s="1"/>
  <c r="BW40" i="16"/>
  <c r="AN6" i="16" s="1"/>
  <c r="BW37" i="16"/>
  <c r="AN3" i="16" s="1"/>
  <c r="Q43" i="43"/>
  <c r="BW30" i="16" s="1"/>
  <c r="K55" i="16" s="1"/>
  <c r="K97" i="16" s="1"/>
  <c r="Q44" i="43"/>
  <c r="X44" i="43" s="1"/>
  <c r="X43" i="43"/>
  <c r="U45" i="43"/>
  <c r="BW48" i="16" s="1"/>
  <c r="AN14" i="16" s="1"/>
  <c r="Q46" i="43"/>
  <c r="U40" i="43"/>
  <c r="BW43" i="16" s="1"/>
  <c r="AN9" i="16" s="1"/>
  <c r="K107" i="16" s="1"/>
  <c r="U41" i="43"/>
  <c r="BW44" i="16" s="1"/>
  <c r="AN10" i="16" s="1"/>
  <c r="K108" i="16" s="1"/>
  <c r="U42" i="43"/>
  <c r="BW45" i="16" s="1"/>
  <c r="AN11" i="16" s="1"/>
  <c r="K109" i="16" s="1"/>
  <c r="U43" i="43"/>
  <c r="BW46" i="16" s="1"/>
  <c r="AN12" i="16" s="1"/>
  <c r="K110" i="16" s="1"/>
  <c r="U44" i="43"/>
  <c r="BW47" i="16" s="1"/>
  <c r="AN13" i="16" s="1"/>
  <c r="U39" i="43"/>
  <c r="BW42" i="16" s="1"/>
  <c r="AN8" i="16" s="1"/>
  <c r="P43" i="43"/>
  <c r="Y43" i="43" s="1"/>
  <c r="P44" i="43"/>
  <c r="Y44" i="43" s="1"/>
  <c r="P42" i="43"/>
  <c r="Y42" i="43" s="1"/>
  <c r="O41" i="43"/>
  <c r="O42" i="43"/>
  <c r="O43" i="43"/>
  <c r="O44" i="43"/>
  <c r="O45" i="43"/>
  <c r="O46" i="43"/>
  <c r="O40" i="43"/>
  <c r="N36" i="43"/>
  <c r="Q36" i="43" s="1"/>
  <c r="AN58" i="16"/>
  <c r="AN59" i="16" s="1"/>
  <c r="K76" i="16" s="1"/>
  <c r="R29" i="43"/>
  <c r="R28" i="43" s="1"/>
  <c r="C32" i="43"/>
  <c r="N35" i="43" s="1"/>
  <c r="Q35" i="43" s="1"/>
  <c r="C33" i="43"/>
  <c r="C34" i="43"/>
  <c r="N37" i="43" s="1"/>
  <c r="Q37" i="43" s="1"/>
  <c r="C35" i="43"/>
  <c r="N38" i="43" s="1"/>
  <c r="Q38" i="43" s="1"/>
  <c r="C36" i="43"/>
  <c r="N39" i="43" s="1"/>
  <c r="Q39" i="43" s="1"/>
  <c r="C37" i="43"/>
  <c r="N40" i="43" s="1"/>
  <c r="Q40" i="43" s="1"/>
  <c r="C38" i="43"/>
  <c r="N41" i="43" s="1"/>
  <c r="Q41" i="43" s="1"/>
  <c r="C39" i="43"/>
  <c r="N42" i="43" s="1"/>
  <c r="Q42" i="43" s="1"/>
  <c r="C40" i="43"/>
  <c r="N43" i="43" s="1"/>
  <c r="C41" i="43"/>
  <c r="N44" i="43" s="1"/>
  <c r="C42" i="43"/>
  <c r="N45" i="43" s="1"/>
  <c r="C43" i="43"/>
  <c r="N46" i="43" s="1"/>
  <c r="C31" i="43"/>
  <c r="N34" i="43" s="1"/>
  <c r="Q34" i="43" s="1"/>
  <c r="D16" i="43"/>
  <c r="D17" i="43"/>
  <c r="D18" i="43"/>
  <c r="D19" i="43"/>
  <c r="D20" i="43"/>
  <c r="D15" i="43"/>
  <c r="CO43" i="16"/>
  <c r="AW9" i="16" s="1"/>
  <c r="CO44" i="16"/>
  <c r="AW10" i="16" s="1"/>
  <c r="CO45" i="16"/>
  <c r="AW11" i="16" s="1"/>
  <c r="T109" i="16" s="1"/>
  <c r="CO46" i="16"/>
  <c r="AW12" i="16" s="1"/>
  <c r="CO47" i="16"/>
  <c r="AW13" i="16" s="1"/>
  <c r="CO48" i="16"/>
  <c r="CO49" i="16"/>
  <c r="CO42" i="16"/>
  <c r="AW8" i="16" s="1"/>
  <c r="CO27" i="16"/>
  <c r="T52" i="16" s="1"/>
  <c r="CO28" i="16"/>
  <c r="T53" i="16" s="1"/>
  <c r="CO29" i="16"/>
  <c r="T54" i="16" s="1"/>
  <c r="T96" i="16" s="1"/>
  <c r="CO30" i="16"/>
  <c r="T55" i="16" s="1"/>
  <c r="CO31" i="16"/>
  <c r="T56" i="16" s="1"/>
  <c r="CO32" i="16"/>
  <c r="T14" i="16" s="1"/>
  <c r="T74" i="16" s="1"/>
  <c r="B11" i="373" s="1"/>
  <c r="CO33" i="16"/>
  <c r="T58" i="16" s="1"/>
  <c r="CO26" i="16"/>
  <c r="T51" i="16" s="1"/>
  <c r="CN42" i="16"/>
  <c r="CN43" i="16"/>
  <c r="CN44" i="16"/>
  <c r="CN45" i="16"/>
  <c r="CN46" i="16"/>
  <c r="CN47" i="16"/>
  <c r="CN48" i="16"/>
  <c r="CN49" i="16"/>
  <c r="CN27" i="16"/>
  <c r="CN28" i="16"/>
  <c r="CN29" i="16"/>
  <c r="CN30" i="16"/>
  <c r="CN31" i="16"/>
  <c r="CN32" i="16"/>
  <c r="CN33" i="16"/>
  <c r="CN26" i="16"/>
  <c r="CM43" i="16"/>
  <c r="CM44" i="16"/>
  <c r="CM45" i="16"/>
  <c r="CM46" i="16"/>
  <c r="CM47" i="16"/>
  <c r="CM48" i="16"/>
  <c r="CM49" i="16"/>
  <c r="CM42" i="16"/>
  <c r="CM27" i="16"/>
  <c r="CM28" i="16"/>
  <c r="CM60" i="16" s="1"/>
  <c r="CM29" i="16"/>
  <c r="CM61" i="16" s="1"/>
  <c r="CM30" i="16"/>
  <c r="CM62" i="16" s="1"/>
  <c r="CM31" i="16"/>
  <c r="CM63" i="16" s="1"/>
  <c r="CM32" i="16"/>
  <c r="CM64" i="16" s="1"/>
  <c r="CM33" i="16"/>
  <c r="CM26" i="16"/>
  <c r="CM58" i="16" s="1"/>
  <c r="CL43" i="16"/>
  <c r="CL44" i="16"/>
  <c r="CL45" i="16"/>
  <c r="CL46" i="16"/>
  <c r="CL47" i="16"/>
  <c r="CL48" i="16"/>
  <c r="CL49" i="16"/>
  <c r="CL42" i="16"/>
  <c r="CL27" i="16"/>
  <c r="CL59" i="16" s="1"/>
  <c r="CL28" i="16"/>
  <c r="CL29" i="16"/>
  <c r="CL61" i="16" s="1"/>
  <c r="CL30" i="16"/>
  <c r="CL62" i="16" s="1"/>
  <c r="CL31" i="16"/>
  <c r="CL32" i="16"/>
  <c r="CL33" i="16"/>
  <c r="CL65" i="16" s="1"/>
  <c r="CL26" i="16"/>
  <c r="CK43" i="16"/>
  <c r="CK44" i="16"/>
  <c r="CK45" i="16"/>
  <c r="CK46" i="16"/>
  <c r="CK47" i="16"/>
  <c r="CK48" i="16"/>
  <c r="CK49" i="16"/>
  <c r="CK42" i="16"/>
  <c r="CK27" i="16"/>
  <c r="CK28" i="16"/>
  <c r="CK60" i="16" s="1"/>
  <c r="CK29" i="16"/>
  <c r="CK30" i="16"/>
  <c r="CK62" i="16" s="1"/>
  <c r="CK31" i="16"/>
  <c r="CK63" i="16" s="1"/>
  <c r="CK32" i="16"/>
  <c r="CK64" i="16" s="1"/>
  <c r="CK33" i="16"/>
  <c r="CK26" i="16"/>
  <c r="CK58" i="16" s="1"/>
  <c r="CJ43" i="16"/>
  <c r="CJ44" i="16"/>
  <c r="CJ45" i="16"/>
  <c r="CJ46" i="16"/>
  <c r="CJ47" i="16"/>
  <c r="CJ48" i="16"/>
  <c r="CJ49" i="16"/>
  <c r="CJ42" i="16"/>
  <c r="CJ27" i="16"/>
  <c r="CJ59" i="16" s="1"/>
  <c r="CJ28" i="16"/>
  <c r="CJ60" i="16" s="1"/>
  <c r="CJ29" i="16"/>
  <c r="CJ61" i="16" s="1"/>
  <c r="CJ30" i="16"/>
  <c r="CJ62" i="16" s="1"/>
  <c r="CJ31" i="16"/>
  <c r="CJ63" i="16" s="1"/>
  <c r="CJ32" i="16"/>
  <c r="CJ64" i="16" s="1"/>
  <c r="CJ33" i="16"/>
  <c r="CJ26" i="16"/>
  <c r="CJ58" i="16" s="1"/>
  <c r="CI26" i="16"/>
  <c r="BV27" i="16"/>
  <c r="BV28" i="16"/>
  <c r="BV29" i="16"/>
  <c r="BV30" i="16"/>
  <c r="BV31" i="16"/>
  <c r="BV32" i="16"/>
  <c r="BV33" i="16"/>
  <c r="BV26" i="16"/>
  <c r="BN43" i="16"/>
  <c r="BN44" i="16"/>
  <c r="BN45" i="16"/>
  <c r="BN46" i="16"/>
  <c r="BN47" i="16"/>
  <c r="BN48" i="16"/>
  <c r="BN49" i="16"/>
  <c r="BN42" i="16"/>
  <c r="BN27" i="16"/>
  <c r="BN59" i="16" s="1"/>
  <c r="BN28" i="16"/>
  <c r="BN60" i="16" s="1"/>
  <c r="BN29" i="16"/>
  <c r="BN61" i="16" s="1"/>
  <c r="BN30" i="16"/>
  <c r="BN62" i="16" s="1"/>
  <c r="BN31" i="16"/>
  <c r="BN32" i="16"/>
  <c r="BN33" i="16"/>
  <c r="BN26" i="16"/>
  <c r="BN58" i="16" s="1"/>
  <c r="BM43" i="16"/>
  <c r="BM44" i="16"/>
  <c r="BM45" i="16"/>
  <c r="BM46" i="16"/>
  <c r="BM47" i="16"/>
  <c r="BM48" i="16"/>
  <c r="BM49" i="16"/>
  <c r="BM42" i="16"/>
  <c r="BM27" i="16"/>
  <c r="BM59" i="16" s="1"/>
  <c r="BM28" i="16"/>
  <c r="BM60" i="16" s="1"/>
  <c r="BM29" i="16"/>
  <c r="BM61" i="16" s="1"/>
  <c r="BM30" i="16"/>
  <c r="BM62" i="16" s="1"/>
  <c r="BM31" i="16"/>
  <c r="BM63" i="16" s="1"/>
  <c r="BM32" i="16"/>
  <c r="BM33" i="16"/>
  <c r="BM26" i="16"/>
  <c r="BM58" i="16" s="1"/>
  <c r="BL43" i="16"/>
  <c r="BL44" i="16"/>
  <c r="BL45" i="16"/>
  <c r="BL46" i="16"/>
  <c r="BL47" i="16"/>
  <c r="BL48" i="16"/>
  <c r="BL49" i="16"/>
  <c r="BL42" i="16"/>
  <c r="BP43" i="16"/>
  <c r="BP44" i="16"/>
  <c r="BP45" i="16"/>
  <c r="BP46" i="16"/>
  <c r="BP47" i="16"/>
  <c r="BP48" i="16"/>
  <c r="BP49" i="16"/>
  <c r="BP42" i="16"/>
  <c r="BP27" i="16"/>
  <c r="BP28" i="16"/>
  <c r="BP60" i="16" s="1"/>
  <c r="BP29" i="16"/>
  <c r="BP30" i="16"/>
  <c r="BP62" i="16" s="1"/>
  <c r="BP31" i="16"/>
  <c r="BP32" i="16"/>
  <c r="BP33" i="16"/>
  <c r="BP26" i="16"/>
  <c r="BP58" i="16" s="1"/>
  <c r="CI43" i="16"/>
  <c r="CI44" i="16"/>
  <c r="CI45" i="16"/>
  <c r="CI46" i="16"/>
  <c r="CI47" i="16"/>
  <c r="CI48" i="16"/>
  <c r="CI49" i="16"/>
  <c r="CI42" i="16"/>
  <c r="CI27" i="16"/>
  <c r="CI28" i="16"/>
  <c r="CI60" i="16" s="1"/>
  <c r="CI29" i="16"/>
  <c r="CI61" i="16" s="1"/>
  <c r="CI30" i="16"/>
  <c r="CI62" i="16" s="1"/>
  <c r="CI31" i="16"/>
  <c r="CI32" i="16"/>
  <c r="CI64" i="16" s="1"/>
  <c r="CI33" i="16"/>
  <c r="CI65" i="16" s="1"/>
  <c r="CE43" i="16"/>
  <c r="CE44" i="16"/>
  <c r="CE45" i="16"/>
  <c r="CE46" i="16"/>
  <c r="CE47" i="16"/>
  <c r="CE48" i="16"/>
  <c r="CE49" i="16"/>
  <c r="CE42" i="16"/>
  <c r="CE27" i="16"/>
  <c r="CE28" i="16"/>
  <c r="CE29" i="16"/>
  <c r="CE61" i="16" s="1"/>
  <c r="CE30" i="16"/>
  <c r="CE62" i="16" s="1"/>
  <c r="CE31" i="16"/>
  <c r="CE63" i="16" s="1"/>
  <c r="CE32" i="16"/>
  <c r="CE33" i="16"/>
  <c r="CE26" i="16"/>
  <c r="CE58" i="16" s="1"/>
  <c r="CD43" i="16"/>
  <c r="CD44" i="16"/>
  <c r="CD45" i="16"/>
  <c r="CD46" i="16"/>
  <c r="CD47" i="16"/>
  <c r="CD48" i="16"/>
  <c r="CD49" i="16"/>
  <c r="CD42" i="16"/>
  <c r="CD33" i="16"/>
  <c r="CD27" i="16"/>
  <c r="CD28" i="16"/>
  <c r="CD29" i="16"/>
  <c r="CD30" i="16"/>
  <c r="CD31" i="16"/>
  <c r="CD32" i="16"/>
  <c r="CD26" i="16"/>
  <c r="CD58" i="16" s="1"/>
  <c r="CC43" i="16"/>
  <c r="CC44" i="16"/>
  <c r="CC45" i="16"/>
  <c r="CC46" i="16"/>
  <c r="CC47" i="16"/>
  <c r="CC48" i="16"/>
  <c r="CC49" i="16"/>
  <c r="CC42" i="16"/>
  <c r="CC27" i="16"/>
  <c r="CC28" i="16"/>
  <c r="CC29" i="16"/>
  <c r="CC61" i="16" s="1"/>
  <c r="CC30" i="16"/>
  <c r="CC62" i="16" s="1"/>
  <c r="CC31" i="16"/>
  <c r="CC63" i="16" s="1"/>
  <c r="CC32" i="16"/>
  <c r="CC64" i="16" s="1"/>
  <c r="CC33" i="16"/>
  <c r="CC65" i="16" s="1"/>
  <c r="CC26" i="16"/>
  <c r="CB43" i="16"/>
  <c r="CB44" i="16"/>
  <c r="CB45" i="16"/>
  <c r="CB46" i="16"/>
  <c r="CB47" i="16"/>
  <c r="CB48" i="16"/>
  <c r="CB49" i="16"/>
  <c r="CB42" i="16"/>
  <c r="CB27" i="16"/>
  <c r="CB28" i="16"/>
  <c r="CB29" i="16"/>
  <c r="CB61" i="16" s="1"/>
  <c r="CB30" i="16"/>
  <c r="CB62" i="16" s="1"/>
  <c r="CB31" i="16"/>
  <c r="CB63" i="16" s="1"/>
  <c r="CB32" i="16"/>
  <c r="CB33" i="16"/>
  <c r="CB65" i="16" s="1"/>
  <c r="CB26" i="16"/>
  <c r="CB58" i="16" s="1"/>
  <c r="CA26" i="16"/>
  <c r="CA27" i="16"/>
  <c r="CA28" i="16"/>
  <c r="CA29" i="16"/>
  <c r="CA30" i="16"/>
  <c r="CA31" i="16"/>
  <c r="CA32" i="16"/>
  <c r="CA33" i="16"/>
  <c r="BZ22" i="16"/>
  <c r="BZ23" i="16"/>
  <c r="BZ24" i="16"/>
  <c r="BZ25" i="16"/>
  <c r="BZ26" i="16"/>
  <c r="BZ27" i="16"/>
  <c r="BZ28" i="16"/>
  <c r="BZ29" i="16"/>
  <c r="BZ30" i="16"/>
  <c r="BZ31" i="16"/>
  <c r="BZ32" i="16"/>
  <c r="BZ21" i="16"/>
  <c r="BY43" i="16"/>
  <c r="BY44" i="16"/>
  <c r="BY45" i="16"/>
  <c r="BY46" i="16"/>
  <c r="BY47" i="16"/>
  <c r="BY48" i="16"/>
  <c r="BY49" i="16"/>
  <c r="BY42" i="16"/>
  <c r="BY27" i="16"/>
  <c r="BY28" i="16"/>
  <c r="BY60" i="16" s="1"/>
  <c r="BY29" i="16"/>
  <c r="BY30" i="16"/>
  <c r="BY31" i="16"/>
  <c r="BY32" i="16"/>
  <c r="BY33" i="16"/>
  <c r="BY26" i="16"/>
  <c r="BY58" i="16" s="1"/>
  <c r="BX43" i="16"/>
  <c r="BX44" i="16"/>
  <c r="BX45" i="16"/>
  <c r="BX46" i="16"/>
  <c r="BX47" i="16"/>
  <c r="BX48" i="16"/>
  <c r="BX49" i="16"/>
  <c r="BX42" i="16"/>
  <c r="BX27" i="16"/>
  <c r="BX28" i="16"/>
  <c r="BX29" i="16"/>
  <c r="BX61" i="16" s="1"/>
  <c r="BX30" i="16"/>
  <c r="BX31" i="16"/>
  <c r="BX63" i="16" s="1"/>
  <c r="BX32" i="16"/>
  <c r="BX33" i="16"/>
  <c r="BX26" i="16"/>
  <c r="BX58" i="16" s="1"/>
  <c r="BV43" i="16"/>
  <c r="BV45" i="16"/>
  <c r="BV46" i="16"/>
  <c r="BV47" i="16"/>
  <c r="BV48" i="16"/>
  <c r="BV49" i="16"/>
  <c r="BV42" i="16"/>
  <c r="BU43" i="16"/>
  <c r="BU44" i="16"/>
  <c r="BU45" i="16"/>
  <c r="BU46" i="16"/>
  <c r="BU47" i="16"/>
  <c r="BU48" i="16"/>
  <c r="BU49" i="16"/>
  <c r="BU42" i="16"/>
  <c r="BU27" i="16"/>
  <c r="BU28" i="16"/>
  <c r="BU60" i="16" s="1"/>
  <c r="BU29" i="16"/>
  <c r="BU30" i="16"/>
  <c r="BU62" i="16" s="1"/>
  <c r="BU31" i="16"/>
  <c r="BU63" i="16" s="1"/>
  <c r="BU32" i="16"/>
  <c r="BU64" i="16" s="1"/>
  <c r="BU33" i="16"/>
  <c r="BU26" i="16"/>
  <c r="BU58" i="16" s="1"/>
  <c r="BT43" i="16"/>
  <c r="BT44" i="16"/>
  <c r="BT45" i="16"/>
  <c r="BT46" i="16"/>
  <c r="BT47" i="16"/>
  <c r="BT48" i="16"/>
  <c r="BT49" i="16"/>
  <c r="BT42" i="16"/>
  <c r="BT27" i="16"/>
  <c r="BT28" i="16"/>
  <c r="BT29" i="16"/>
  <c r="BT30" i="16"/>
  <c r="BT31" i="16"/>
  <c r="BT32" i="16"/>
  <c r="BT33" i="16"/>
  <c r="BT26" i="16"/>
  <c r="BQ42" i="16"/>
  <c r="BQ43" i="16"/>
  <c r="BQ44" i="16"/>
  <c r="BQ45" i="16"/>
  <c r="BQ46" i="16"/>
  <c r="BQ47" i="16"/>
  <c r="BQ48" i="16"/>
  <c r="BQ49" i="16"/>
  <c r="BR22" i="16"/>
  <c r="BR23" i="16"/>
  <c r="BR24" i="16"/>
  <c r="BS24" i="16"/>
  <c r="BR25" i="16"/>
  <c r="BS25" i="16"/>
  <c r="BQ26" i="16"/>
  <c r="BR26" i="16"/>
  <c r="BS26" i="16"/>
  <c r="BQ27" i="16"/>
  <c r="BR27" i="16"/>
  <c r="BS27" i="16"/>
  <c r="BQ28" i="16"/>
  <c r="BR28" i="16"/>
  <c r="BS28" i="16"/>
  <c r="BQ29" i="16"/>
  <c r="BR29" i="16"/>
  <c r="BS29" i="16"/>
  <c r="BQ30" i="16"/>
  <c r="BR30" i="16"/>
  <c r="BS30" i="16"/>
  <c r="BQ31" i="16"/>
  <c r="BR31" i="16"/>
  <c r="BS31" i="16"/>
  <c r="BQ32" i="16"/>
  <c r="BR32" i="16"/>
  <c r="BS32" i="16"/>
  <c r="BQ33" i="16"/>
  <c r="BR33" i="16"/>
  <c r="BS33" i="16"/>
  <c r="BR21" i="16"/>
  <c r="BS21" i="16"/>
  <c r="BO38" i="16"/>
  <c r="BO39" i="16"/>
  <c r="BO40" i="16"/>
  <c r="BO41" i="16"/>
  <c r="BO42" i="16"/>
  <c r="BO43" i="16"/>
  <c r="BO44" i="16"/>
  <c r="BO45" i="16"/>
  <c r="BO46" i="16"/>
  <c r="BO47" i="16"/>
  <c r="BO48" i="16"/>
  <c r="BO49" i="16"/>
  <c r="BO37" i="16"/>
  <c r="BO22" i="16"/>
  <c r="BO23" i="16"/>
  <c r="BO24" i="16"/>
  <c r="BO25" i="16"/>
  <c r="BO26" i="16"/>
  <c r="BO27" i="16"/>
  <c r="BO28" i="16"/>
  <c r="BO29" i="16"/>
  <c r="BO30" i="16"/>
  <c r="BO31" i="16"/>
  <c r="BO32" i="16"/>
  <c r="BO33" i="16"/>
  <c r="BO21" i="16"/>
  <c r="BL27" i="16"/>
  <c r="BL59" i="16" s="1"/>
  <c r="BL28" i="16"/>
  <c r="BL29" i="16"/>
  <c r="BL30" i="16"/>
  <c r="BL31" i="16"/>
  <c r="BL32" i="16"/>
  <c r="BL33" i="16"/>
  <c r="BL26" i="16"/>
  <c r="BJ49" i="16"/>
  <c r="BK49" i="16"/>
  <c r="BK22" i="16"/>
  <c r="BK23" i="16"/>
  <c r="BK24" i="16"/>
  <c r="BK25" i="16"/>
  <c r="BJ26" i="16"/>
  <c r="BK26" i="16"/>
  <c r="BJ27" i="16"/>
  <c r="BK27" i="16"/>
  <c r="BJ28" i="16"/>
  <c r="BK28" i="16"/>
  <c r="BJ29" i="16"/>
  <c r="BK29" i="16"/>
  <c r="BJ30" i="16"/>
  <c r="BK30" i="16"/>
  <c r="BJ31" i="16"/>
  <c r="BK31" i="16"/>
  <c r="BJ32" i="16"/>
  <c r="BK32" i="16"/>
  <c r="BJ33" i="16"/>
  <c r="BK33" i="16"/>
  <c r="BK21" i="16"/>
  <c r="BI43" i="16"/>
  <c r="BI44" i="16"/>
  <c r="BI45" i="16"/>
  <c r="BI46" i="16"/>
  <c r="BI47" i="16"/>
  <c r="BI48" i="16"/>
  <c r="BI49" i="16"/>
  <c r="BI42" i="16"/>
  <c r="BI27" i="16"/>
  <c r="BI28" i="16"/>
  <c r="BI29" i="16"/>
  <c r="BI30" i="16"/>
  <c r="BI62" i="16" s="1"/>
  <c r="BI31" i="16"/>
  <c r="BI63" i="16" s="1"/>
  <c r="BI32" i="16"/>
  <c r="BI33" i="16"/>
  <c r="BI65" i="16" s="1"/>
  <c r="BI26" i="16"/>
  <c r="BG38" i="16"/>
  <c r="BG39" i="16"/>
  <c r="BG40" i="16"/>
  <c r="BG41" i="16"/>
  <c r="BG42" i="16"/>
  <c r="BH42" i="16"/>
  <c r="BG43" i="16"/>
  <c r="BH43" i="16"/>
  <c r="BG44" i="16"/>
  <c r="BH44" i="16"/>
  <c r="BG45" i="16"/>
  <c r="BH45" i="16"/>
  <c r="BG46" i="16"/>
  <c r="BH46" i="16"/>
  <c r="BG47" i="16"/>
  <c r="BH47" i="16"/>
  <c r="BG48" i="16"/>
  <c r="BH48" i="16"/>
  <c r="BG49" i="16"/>
  <c r="BH49" i="16"/>
  <c r="BG37" i="16"/>
  <c r="BG22" i="16"/>
  <c r="BG23" i="16"/>
  <c r="BG24" i="16"/>
  <c r="BG25" i="16"/>
  <c r="BG26" i="16"/>
  <c r="BH26" i="16"/>
  <c r="BG27" i="16"/>
  <c r="BH27" i="16"/>
  <c r="BG28" i="16"/>
  <c r="BH28" i="16"/>
  <c r="BG29" i="16"/>
  <c r="BH29" i="16"/>
  <c r="BG30" i="16"/>
  <c r="BH30" i="16"/>
  <c r="BG31" i="16"/>
  <c r="BH31" i="16"/>
  <c r="BG32" i="16"/>
  <c r="BH32" i="16"/>
  <c r="BG33" i="16"/>
  <c r="BH33" i="16"/>
  <c r="BG21" i="16"/>
  <c r="BF38" i="16"/>
  <c r="BF39" i="16"/>
  <c r="BF40" i="16"/>
  <c r="BF41" i="16"/>
  <c r="BF42" i="16"/>
  <c r="BF43" i="16"/>
  <c r="BF44" i="16"/>
  <c r="BF45" i="16"/>
  <c r="BF46" i="16"/>
  <c r="BF47" i="16"/>
  <c r="BF48" i="16"/>
  <c r="BF49" i="16"/>
  <c r="BF37" i="16"/>
  <c r="BF22" i="16"/>
  <c r="BF23" i="16"/>
  <c r="BF24" i="16"/>
  <c r="BF25" i="16"/>
  <c r="BF26" i="16"/>
  <c r="BF27" i="16"/>
  <c r="BF28" i="16"/>
  <c r="BF29" i="16"/>
  <c r="BF30" i="16"/>
  <c r="BF31" i="16"/>
  <c r="BF32" i="16"/>
  <c r="BF33" i="16"/>
  <c r="BF4" i="16"/>
  <c r="AE47" i="16" s="1"/>
  <c r="BF5" i="16"/>
  <c r="AE48" i="16" s="1"/>
  <c r="BF6" i="16"/>
  <c r="AE49" i="16" s="1"/>
  <c r="BF7" i="16"/>
  <c r="AE50" i="16" s="1"/>
  <c r="AQ4" i="413" s="1"/>
  <c r="AR4" i="413" s="1"/>
  <c r="BF8" i="16"/>
  <c r="AE51" i="16" s="1"/>
  <c r="AQ5" i="413" s="1"/>
  <c r="AR5" i="413" s="1"/>
  <c r="BF9" i="16"/>
  <c r="AE52" i="16" s="1"/>
  <c r="AQ6" i="413" s="1"/>
  <c r="AR6" i="413" s="1"/>
  <c r="BF10" i="16"/>
  <c r="AE53" i="16" s="1"/>
  <c r="AQ7" i="413" s="1"/>
  <c r="AR7" i="413" s="1"/>
  <c r="BF11" i="16"/>
  <c r="AE54" i="16" s="1"/>
  <c r="AQ8" i="413" s="1"/>
  <c r="AR8" i="413" s="1"/>
  <c r="BF12" i="16"/>
  <c r="AE55" i="16" s="1"/>
  <c r="AQ9" i="413" s="1"/>
  <c r="AR9" i="413" s="1"/>
  <c r="BF13" i="16"/>
  <c r="AE56" i="16" s="1"/>
  <c r="AQ10" i="413" s="1"/>
  <c r="AR10" i="413" s="1"/>
  <c r="BF14" i="16"/>
  <c r="AE57" i="16" s="1"/>
  <c r="AQ11" i="413" s="1"/>
  <c r="AR11" i="413" s="1"/>
  <c r="BF15" i="16"/>
  <c r="BF3" i="16"/>
  <c r="AE46" i="16" s="1"/>
  <c r="CS4" i="16"/>
  <c r="CS5" i="16"/>
  <c r="CS6" i="16"/>
  <c r="CS7" i="16"/>
  <c r="CS8" i="16"/>
  <c r="CS9" i="16"/>
  <c r="CS10" i="16"/>
  <c r="CS11" i="16"/>
  <c r="CS12" i="16"/>
  <c r="CS13" i="16"/>
  <c r="CS14" i="16"/>
  <c r="CS15" i="16"/>
  <c r="CS3" i="16"/>
  <c r="CQ15" i="16"/>
  <c r="CA14" i="16"/>
  <c r="BZ8" i="16"/>
  <c r="BZ15" i="16"/>
  <c r="BZ14" i="16"/>
  <c r="BT15" i="42"/>
  <c r="BT4" i="42"/>
  <c r="BA28" i="42"/>
  <c r="AB29" i="42"/>
  <c r="X37" i="43" l="1"/>
  <c r="BW24" i="16"/>
  <c r="K49" i="16" s="1"/>
  <c r="I62" i="117"/>
  <c r="C62" i="117"/>
  <c r="C6" i="96" s="1"/>
  <c r="BD6" i="96"/>
  <c r="C65" i="117"/>
  <c r="C9" i="96" s="1"/>
  <c r="BD9" i="96"/>
  <c r="I65" i="117"/>
  <c r="X35" i="43"/>
  <c r="BW22" i="16"/>
  <c r="K47" i="16" s="1"/>
  <c r="BW29" i="16"/>
  <c r="K54" i="16" s="1"/>
  <c r="X42" i="43"/>
  <c r="BW28" i="16"/>
  <c r="K53" i="16" s="1"/>
  <c r="K95" i="16" s="1"/>
  <c r="P41" i="43"/>
  <c r="Y41" i="43" s="1"/>
  <c r="X41" i="43"/>
  <c r="I64" i="117"/>
  <c r="H65" i="117" s="1"/>
  <c r="E65" i="117" s="1"/>
  <c r="BO9" i="413" s="1"/>
  <c r="C64" i="117"/>
  <c r="C8" i="96" s="1"/>
  <c r="BD8" i="96"/>
  <c r="BW27" i="16"/>
  <c r="K52" i="16" s="1"/>
  <c r="K94" i="16" s="1"/>
  <c r="P40" i="43"/>
  <c r="Y40" i="43" s="1"/>
  <c r="X40" i="43"/>
  <c r="X36" i="43"/>
  <c r="BW23" i="16"/>
  <c r="K48" i="16" s="1"/>
  <c r="BD11" i="96"/>
  <c r="C67" i="117"/>
  <c r="C11" i="96" s="1"/>
  <c r="I67" i="117"/>
  <c r="X34" i="43"/>
  <c r="BW21" i="16"/>
  <c r="K46" i="16" s="1"/>
  <c r="X39" i="43"/>
  <c r="P39" i="43"/>
  <c r="Y39" i="43" s="1"/>
  <c r="BW26" i="16"/>
  <c r="K51" i="16" s="1"/>
  <c r="X46" i="43"/>
  <c r="BW25" i="16"/>
  <c r="K50" i="16" s="1"/>
  <c r="K92" i="16" s="1"/>
  <c r="I69" i="117"/>
  <c r="C69" i="117"/>
  <c r="BD13" i="96"/>
  <c r="C68" i="117"/>
  <c r="C12" i="96" s="1"/>
  <c r="I68" i="117"/>
  <c r="D68" i="117" s="1"/>
  <c r="BD12" i="96"/>
  <c r="U46" i="43"/>
  <c r="BW49" i="16" s="1"/>
  <c r="AN15" i="16" s="1"/>
  <c r="X134" i="16"/>
  <c r="X135" i="16" s="1"/>
  <c r="U38" i="43"/>
  <c r="BW41" i="16" s="1"/>
  <c r="AN7" i="16" s="1"/>
  <c r="K105" i="16" s="1"/>
  <c r="BW33" i="16"/>
  <c r="K58" i="16" s="1"/>
  <c r="BW31" i="16"/>
  <c r="K56" i="16" s="1"/>
  <c r="BD10" i="96"/>
  <c r="C66" i="117"/>
  <c r="C10" i="96" s="1"/>
  <c r="Q45" i="43"/>
  <c r="U97" i="16"/>
  <c r="U110" i="16"/>
  <c r="D64" i="117"/>
  <c r="H68" i="117"/>
  <c r="E68" i="117" s="1"/>
  <c r="BO12" i="413" s="1"/>
  <c r="C61" i="117"/>
  <c r="C5" i="96" s="1"/>
  <c r="BD5" i="96"/>
  <c r="I61" i="117"/>
  <c r="BG65" i="16"/>
  <c r="BK65" i="16"/>
  <c r="K141" i="67"/>
  <c r="B13" i="218"/>
  <c r="AD13" i="218" s="1"/>
  <c r="BX55" i="16"/>
  <c r="K4" i="16"/>
  <c r="K64" i="16" s="1"/>
  <c r="P134" i="67"/>
  <c r="AQ83" i="347"/>
  <c r="BS19" i="205"/>
  <c r="BT19" i="205"/>
  <c r="C19" i="205" s="1"/>
  <c r="BS20" i="205"/>
  <c r="BT20" i="205"/>
  <c r="C20" i="205" s="1"/>
  <c r="P135" i="67"/>
  <c r="AQ84" i="347"/>
  <c r="P133" i="67"/>
  <c r="AQ82" i="347"/>
  <c r="BL61" i="16"/>
  <c r="BS18" i="205"/>
  <c r="BT18" i="205"/>
  <c r="P139" i="67"/>
  <c r="AQ88" i="347"/>
  <c r="C88" i="347" s="1"/>
  <c r="AG88" i="347" s="1"/>
  <c r="P138" i="67"/>
  <c r="AQ87" i="347"/>
  <c r="C87" i="347" s="1"/>
  <c r="AG87" i="347" s="1"/>
  <c r="BT65" i="16"/>
  <c r="BS17" i="205"/>
  <c r="BT17" i="205"/>
  <c r="P137" i="67"/>
  <c r="AQ86" i="347"/>
  <c r="C86" i="347" s="1"/>
  <c r="AG86" i="347" s="1"/>
  <c r="AQ12" i="413"/>
  <c r="AR12" i="413" s="1"/>
  <c r="AD11" i="373"/>
  <c r="F69" i="373"/>
  <c r="I69" i="373" s="1"/>
  <c r="P136" i="67"/>
  <c r="AQ85" i="347"/>
  <c r="H66" i="117"/>
  <c r="E66" i="117" s="1"/>
  <c r="BO10" i="413" s="1"/>
  <c r="AU13" i="130"/>
  <c r="C13" i="96"/>
  <c r="AT13" i="140"/>
  <c r="AQ13" i="126"/>
  <c r="H12" i="68"/>
  <c r="D69" i="117"/>
  <c r="H72" i="117"/>
  <c r="E72" i="117" s="1"/>
  <c r="BO16" i="413" s="1"/>
  <c r="D65" i="117"/>
  <c r="D66" i="117"/>
  <c r="H69" i="117"/>
  <c r="E69" i="117" s="1"/>
  <c r="BO13" i="413" s="1"/>
  <c r="D67" i="117"/>
  <c r="H71" i="117"/>
  <c r="E71" i="117" s="1"/>
  <c r="BO15" i="413" s="1"/>
  <c r="H67" i="117"/>
  <c r="E67" i="117" s="1"/>
  <c r="BO11" i="413" s="1"/>
  <c r="B75" i="16"/>
  <c r="T95" i="16"/>
  <c r="T108" i="16"/>
  <c r="K5" i="16"/>
  <c r="K65" i="16" s="1"/>
  <c r="BX62" i="16"/>
  <c r="CT43" i="16"/>
  <c r="BA9" i="16" s="1"/>
  <c r="X107" i="16" s="1"/>
  <c r="BL58" i="16"/>
  <c r="BY63" i="16"/>
  <c r="BL65" i="16"/>
  <c r="U108" i="16"/>
  <c r="T110" i="16"/>
  <c r="BL63" i="16"/>
  <c r="CT47" i="16"/>
  <c r="BA13" i="16" s="1"/>
  <c r="CM65" i="16"/>
  <c r="T93" i="16"/>
  <c r="T106" i="16"/>
  <c r="BN64" i="16"/>
  <c r="U96" i="16"/>
  <c r="U109" i="16"/>
  <c r="BU61" i="16"/>
  <c r="T98" i="16"/>
  <c r="T111" i="16"/>
  <c r="K113" i="16"/>
  <c r="CJ65" i="16"/>
  <c r="BX56" i="16"/>
  <c r="CN54" i="16"/>
  <c r="K96" i="16"/>
  <c r="H100" i="16"/>
  <c r="H141" i="67"/>
  <c r="H113" i="16"/>
  <c r="G97" i="16"/>
  <c r="G138" i="67"/>
  <c r="G110" i="16"/>
  <c r="V140" i="67"/>
  <c r="V112" i="16"/>
  <c r="J141" i="67"/>
  <c r="J113" i="16"/>
  <c r="B94" i="16"/>
  <c r="B135" i="67"/>
  <c r="B107" i="16"/>
  <c r="D97" i="16"/>
  <c r="D138" i="67"/>
  <c r="D110" i="16"/>
  <c r="D133" i="67"/>
  <c r="D105" i="16"/>
  <c r="H96" i="16"/>
  <c r="H137" i="67"/>
  <c r="H109" i="16"/>
  <c r="H133" i="67"/>
  <c r="H105" i="16"/>
  <c r="L133" i="67"/>
  <c r="L105" i="16"/>
  <c r="L96" i="16"/>
  <c r="L137" i="67"/>
  <c r="L109" i="16"/>
  <c r="M96" i="16"/>
  <c r="M137" i="67"/>
  <c r="M109" i="16"/>
  <c r="S97" i="16"/>
  <c r="S138" i="67"/>
  <c r="S110" i="16"/>
  <c r="T99" i="16"/>
  <c r="T140" i="67"/>
  <c r="T112" i="16"/>
  <c r="X134" i="67"/>
  <c r="BA50" i="16"/>
  <c r="X133" i="67" s="1"/>
  <c r="U100" i="16"/>
  <c r="U141" i="67"/>
  <c r="U113" i="16"/>
  <c r="AL10" i="126"/>
  <c r="AM10" i="126" s="1"/>
  <c r="C139" i="67"/>
  <c r="C111" i="16"/>
  <c r="B93" i="16"/>
  <c r="B134" i="67"/>
  <c r="B106" i="16"/>
  <c r="K93" i="16"/>
  <c r="C97" i="16"/>
  <c r="AL9" i="126"/>
  <c r="AM9" i="126" s="1"/>
  <c r="C138" i="67"/>
  <c r="C110" i="16"/>
  <c r="C92" i="16"/>
  <c r="AL4" i="126"/>
  <c r="AM4" i="126" s="1"/>
  <c r="C133" i="67"/>
  <c r="C105" i="16"/>
  <c r="G96" i="16"/>
  <c r="G137" i="67"/>
  <c r="G109" i="16"/>
  <c r="G133" i="67"/>
  <c r="G105" i="16"/>
  <c r="L95" i="16"/>
  <c r="L136" i="67"/>
  <c r="L108" i="16"/>
  <c r="M95" i="16"/>
  <c r="M136" i="67"/>
  <c r="M108" i="16"/>
  <c r="S96" i="16"/>
  <c r="S137" i="67"/>
  <c r="S109" i="16"/>
  <c r="L97" i="16"/>
  <c r="L138" i="67"/>
  <c r="L110" i="16"/>
  <c r="B141" i="67"/>
  <c r="B113" i="16"/>
  <c r="B133" i="67"/>
  <c r="B105" i="16"/>
  <c r="BL64" i="16"/>
  <c r="K106" i="16"/>
  <c r="D96" i="16"/>
  <c r="D137" i="67"/>
  <c r="D109" i="16"/>
  <c r="H99" i="16"/>
  <c r="H140" i="67"/>
  <c r="H112" i="16"/>
  <c r="H95" i="16"/>
  <c r="H136" i="67"/>
  <c r="H108" i="16"/>
  <c r="J140" i="67"/>
  <c r="J112" i="16"/>
  <c r="L94" i="16"/>
  <c r="L135" i="67"/>
  <c r="L107" i="16"/>
  <c r="M94" i="16"/>
  <c r="M135" i="67"/>
  <c r="M107" i="16"/>
  <c r="S95" i="16"/>
  <c r="S136" i="67"/>
  <c r="S108" i="16"/>
  <c r="M97" i="16"/>
  <c r="M138" i="67"/>
  <c r="M110" i="16"/>
  <c r="B99" i="16"/>
  <c r="B140" i="67"/>
  <c r="B112" i="16"/>
  <c r="CU28" i="16"/>
  <c r="CT32" i="16"/>
  <c r="X57" i="16" s="1"/>
  <c r="CT48" i="16"/>
  <c r="BA14" i="16" s="1"/>
  <c r="BJ65" i="16"/>
  <c r="C96" i="16"/>
  <c r="AL8" i="126"/>
  <c r="AM8" i="126" s="1"/>
  <c r="C137" i="67"/>
  <c r="C109" i="16"/>
  <c r="G99" i="16"/>
  <c r="G140" i="67"/>
  <c r="G112" i="16"/>
  <c r="G95" i="16"/>
  <c r="G136" i="67"/>
  <c r="G108" i="16"/>
  <c r="M93" i="16"/>
  <c r="M134" i="67"/>
  <c r="M106" i="16"/>
  <c r="S94" i="16"/>
  <c r="S135" i="67"/>
  <c r="S107" i="16"/>
  <c r="D99" i="16"/>
  <c r="D140" i="67"/>
  <c r="D112" i="16"/>
  <c r="D95" i="16"/>
  <c r="D136" i="67"/>
  <c r="D108" i="16"/>
  <c r="H98" i="16"/>
  <c r="H139" i="67"/>
  <c r="H111" i="16"/>
  <c r="H94" i="16"/>
  <c r="H135" i="67"/>
  <c r="H107" i="16"/>
  <c r="I140" i="67"/>
  <c r="I112" i="16"/>
  <c r="M100" i="16"/>
  <c r="M141" i="67"/>
  <c r="M113" i="16"/>
  <c r="M92" i="16"/>
  <c r="M133" i="67"/>
  <c r="M105" i="16"/>
  <c r="S93" i="16"/>
  <c r="S134" i="67"/>
  <c r="S106" i="16"/>
  <c r="B136" i="67"/>
  <c r="B108" i="16"/>
  <c r="BM64" i="16"/>
  <c r="C94" i="16"/>
  <c r="AL6" i="126"/>
  <c r="AM6" i="126" s="1"/>
  <c r="C135" i="67"/>
  <c r="C107" i="16"/>
  <c r="G93" i="16"/>
  <c r="G134" i="67"/>
  <c r="G106" i="16"/>
  <c r="L134" i="67"/>
  <c r="L106" i="16"/>
  <c r="S98" i="16"/>
  <c r="S139" i="67"/>
  <c r="S111" i="16"/>
  <c r="B98" i="16"/>
  <c r="B139" i="67"/>
  <c r="B111" i="16"/>
  <c r="C100" i="16"/>
  <c r="AL12" i="126"/>
  <c r="AM12" i="126" s="1"/>
  <c r="C141" i="67"/>
  <c r="C113" i="16"/>
  <c r="G100" i="16"/>
  <c r="G141" i="67"/>
  <c r="G113" i="16"/>
  <c r="S100" i="16"/>
  <c r="S141" i="67"/>
  <c r="S113" i="16"/>
  <c r="B97" i="16"/>
  <c r="B138" i="67"/>
  <c r="B110" i="16"/>
  <c r="CT46" i="16"/>
  <c r="BA12" i="16" s="1"/>
  <c r="T107" i="16"/>
  <c r="C99" i="16"/>
  <c r="AL11" i="126"/>
  <c r="AM11" i="126" s="1"/>
  <c r="C140" i="67"/>
  <c r="C112" i="16"/>
  <c r="C95" i="16"/>
  <c r="AL7" i="126"/>
  <c r="AM7" i="126" s="1"/>
  <c r="C136" i="67"/>
  <c r="C108" i="16"/>
  <c r="G98" i="16"/>
  <c r="G139" i="67"/>
  <c r="G111" i="16"/>
  <c r="G94" i="16"/>
  <c r="G135" i="67"/>
  <c r="G107" i="16"/>
  <c r="L99" i="16"/>
  <c r="L140" i="67"/>
  <c r="L112" i="16"/>
  <c r="M99" i="16"/>
  <c r="M140" i="67"/>
  <c r="M112" i="16"/>
  <c r="P100" i="16"/>
  <c r="P141" i="67"/>
  <c r="P113" i="16"/>
  <c r="S133" i="67"/>
  <c r="S105" i="16"/>
  <c r="U134" i="67"/>
  <c r="AX50" i="16"/>
  <c r="U133" i="67" s="1"/>
  <c r="L100" i="16"/>
  <c r="L141" i="67"/>
  <c r="L113" i="16"/>
  <c r="D100" i="16"/>
  <c r="D141" i="67"/>
  <c r="D113" i="16"/>
  <c r="T141" i="67"/>
  <c r="T113" i="16"/>
  <c r="B96" i="16"/>
  <c r="B137" i="67"/>
  <c r="B109" i="16"/>
  <c r="U98" i="16"/>
  <c r="U111" i="16"/>
  <c r="D98" i="16"/>
  <c r="D139" i="67"/>
  <c r="D111" i="16"/>
  <c r="D94" i="16"/>
  <c r="D135" i="67"/>
  <c r="D107" i="16"/>
  <c r="H97" i="16"/>
  <c r="H138" i="67"/>
  <c r="H110" i="16"/>
  <c r="H93" i="16"/>
  <c r="H134" i="67"/>
  <c r="H106" i="16"/>
  <c r="L98" i="16"/>
  <c r="L139" i="67"/>
  <c r="L111" i="16"/>
  <c r="M98" i="16"/>
  <c r="M139" i="67"/>
  <c r="M111" i="16"/>
  <c r="P140" i="67"/>
  <c r="P112" i="16"/>
  <c r="S99" i="16"/>
  <c r="S140" i="67"/>
  <c r="S112" i="16"/>
  <c r="U99" i="16"/>
  <c r="U140" i="67"/>
  <c r="U112" i="16"/>
  <c r="CN56" i="16"/>
  <c r="BU65" i="16"/>
  <c r="B92" i="16"/>
  <c r="T67" i="16"/>
  <c r="B4" i="373" s="1"/>
  <c r="T92" i="16"/>
  <c r="I67" i="16"/>
  <c r="B4" i="214" s="1"/>
  <c r="I92" i="16"/>
  <c r="I74" i="16"/>
  <c r="B11" i="214" s="1"/>
  <c r="F69" i="214" s="1"/>
  <c r="I69" i="214" s="1"/>
  <c r="I99" i="16"/>
  <c r="J72" i="16"/>
  <c r="B9" i="216" s="1"/>
  <c r="J97" i="16"/>
  <c r="P67" i="16"/>
  <c r="P92" i="16"/>
  <c r="P68" i="16"/>
  <c r="P93" i="16"/>
  <c r="V71" i="16"/>
  <c r="B8" i="134" s="1"/>
  <c r="V96" i="16"/>
  <c r="T9" i="16"/>
  <c r="T69" i="16" s="1"/>
  <c r="B6" i="373" s="1"/>
  <c r="T94" i="16"/>
  <c r="J68" i="16"/>
  <c r="B5" i="216" s="1"/>
  <c r="J93" i="16"/>
  <c r="J71" i="16"/>
  <c r="B8" i="216" s="1"/>
  <c r="J96" i="16"/>
  <c r="S67" i="16"/>
  <c r="B4" i="370" s="1"/>
  <c r="S92" i="16"/>
  <c r="V72" i="16"/>
  <c r="B9" i="134" s="1"/>
  <c r="V97" i="16"/>
  <c r="CT29" i="16"/>
  <c r="X54" i="16" s="1"/>
  <c r="Y54" i="16" s="1"/>
  <c r="CT45" i="16"/>
  <c r="BA11" i="16" s="1"/>
  <c r="J67" i="16"/>
  <c r="B4" i="216" s="1"/>
  <c r="J92" i="16"/>
  <c r="J70" i="16"/>
  <c r="B7" i="216" s="1"/>
  <c r="J95" i="16"/>
  <c r="P74" i="16"/>
  <c r="P99" i="16"/>
  <c r="V73" i="16"/>
  <c r="B10" i="134" s="1"/>
  <c r="V98" i="16"/>
  <c r="BX57" i="16"/>
  <c r="I70" i="16"/>
  <c r="B7" i="214" s="1"/>
  <c r="I95" i="16"/>
  <c r="P69" i="16"/>
  <c r="P94" i="16"/>
  <c r="B70" i="16"/>
  <c r="B95" i="16"/>
  <c r="CT28" i="16"/>
  <c r="X53" i="16" s="1"/>
  <c r="T15" i="16"/>
  <c r="T75" i="16" s="1"/>
  <c r="B12" i="373" s="1"/>
  <c r="T100" i="16"/>
  <c r="C73" i="16"/>
  <c r="C98" i="16"/>
  <c r="L68" i="16"/>
  <c r="B5" i="221" s="1"/>
  <c r="L93" i="16"/>
  <c r="P73" i="16"/>
  <c r="P98" i="16"/>
  <c r="V74" i="16"/>
  <c r="B11" i="134" s="1"/>
  <c r="AZ11" i="134" s="1"/>
  <c r="V99" i="16"/>
  <c r="J75" i="16"/>
  <c r="B12" i="216" s="1"/>
  <c r="H69" i="216" s="1"/>
  <c r="K69" i="216" s="1"/>
  <c r="D56" i="216" s="1"/>
  <c r="AD13" i="216" s="1"/>
  <c r="J100" i="16"/>
  <c r="CT27" i="16"/>
  <c r="X52" i="16" s="1"/>
  <c r="D67" i="16"/>
  <c r="B4" i="130" s="1"/>
  <c r="D92" i="16"/>
  <c r="H67" i="16"/>
  <c r="B4" i="209" s="1"/>
  <c r="H92" i="16"/>
  <c r="I73" i="16"/>
  <c r="B10" i="214" s="1"/>
  <c r="I98" i="16"/>
  <c r="L67" i="16"/>
  <c r="B4" i="221" s="1"/>
  <c r="L92" i="16"/>
  <c r="P72" i="16"/>
  <c r="P97" i="16"/>
  <c r="V67" i="16"/>
  <c r="B4" i="134" s="1"/>
  <c r="V92" i="16"/>
  <c r="BY57" i="16"/>
  <c r="I68" i="16"/>
  <c r="B5" i="214" s="1"/>
  <c r="I93" i="16"/>
  <c r="V70" i="16"/>
  <c r="B7" i="134" s="1"/>
  <c r="V95" i="16"/>
  <c r="CT26" i="16"/>
  <c r="X51" i="16" s="1"/>
  <c r="CT42" i="16"/>
  <c r="BA8" i="16" s="1"/>
  <c r="X106" i="16" s="1"/>
  <c r="G67" i="16"/>
  <c r="B13" i="205" s="1"/>
  <c r="C13" i="205" s="1"/>
  <c r="G92" i="16"/>
  <c r="I72" i="16"/>
  <c r="B9" i="214" s="1"/>
  <c r="I97" i="16"/>
  <c r="P71" i="16"/>
  <c r="P96" i="16"/>
  <c r="V68" i="16"/>
  <c r="B5" i="134" s="1"/>
  <c r="V93" i="16"/>
  <c r="BY56" i="16"/>
  <c r="CN55" i="16"/>
  <c r="J73" i="16"/>
  <c r="B10" i="216" s="1"/>
  <c r="J98" i="16"/>
  <c r="B100" i="16"/>
  <c r="CT49" i="16"/>
  <c r="BA15" i="16" s="1"/>
  <c r="T12" i="16"/>
  <c r="T72" i="16" s="1"/>
  <c r="B9" i="373" s="1"/>
  <c r="AD9" i="373" s="1"/>
  <c r="T97" i="16"/>
  <c r="K100" i="16"/>
  <c r="I71" i="16"/>
  <c r="B8" i="214" s="1"/>
  <c r="I96" i="16"/>
  <c r="J74" i="16"/>
  <c r="B11" i="216" s="1"/>
  <c r="F69" i="216" s="1"/>
  <c r="I69" i="216" s="1"/>
  <c r="J99" i="16"/>
  <c r="P70" i="16"/>
  <c r="P95" i="16"/>
  <c r="V69" i="16"/>
  <c r="B6" i="134" s="1"/>
  <c r="V94" i="16"/>
  <c r="BY55" i="16"/>
  <c r="CN53" i="16"/>
  <c r="K12" i="16"/>
  <c r="K72" i="16" s="1"/>
  <c r="B9" i="218" s="1"/>
  <c r="AD9" i="218" s="1"/>
  <c r="U51" i="16"/>
  <c r="U93" i="16" s="1"/>
  <c r="BL60" i="16"/>
  <c r="K11" i="16"/>
  <c r="K71" i="16" s="1"/>
  <c r="B8" i="218" s="1"/>
  <c r="AD8" i="218" s="1"/>
  <c r="BX53" i="16"/>
  <c r="CT30" i="16"/>
  <c r="X55" i="16" s="1"/>
  <c r="Y55" i="16" s="1"/>
  <c r="CU26" i="16"/>
  <c r="CC59" i="16"/>
  <c r="K10" i="16"/>
  <c r="K70" i="16" s="1"/>
  <c r="B7" i="218" s="1"/>
  <c r="AD7" i="218" s="1"/>
  <c r="CH4" i="16"/>
  <c r="B13" i="20"/>
  <c r="R64" i="16"/>
  <c r="CT31" i="16"/>
  <c r="X56" i="16" s="1"/>
  <c r="Y56" i="16" s="1"/>
  <c r="CU31" i="16"/>
  <c r="K9" i="16"/>
  <c r="K69" i="16" s="1"/>
  <c r="B6" i="218" s="1"/>
  <c r="AD6" i="218" s="1"/>
  <c r="CH3" i="16"/>
  <c r="B12" i="20"/>
  <c r="R63" i="16"/>
  <c r="CU30" i="16"/>
  <c r="K3" i="16"/>
  <c r="Y46" i="16"/>
  <c r="K8" i="16"/>
  <c r="K68" i="16" s="1"/>
  <c r="B5" i="218" s="1"/>
  <c r="CT33" i="16"/>
  <c r="X58" i="16" s="1"/>
  <c r="X15" i="16" s="1"/>
  <c r="CU29" i="16"/>
  <c r="K15" i="16"/>
  <c r="K75" i="16" s="1"/>
  <c r="B12" i="218" s="1"/>
  <c r="AD12" i="218" s="1"/>
  <c r="K7" i="16"/>
  <c r="K67" i="16" s="1"/>
  <c r="B4" i="218" s="1"/>
  <c r="BY54" i="16"/>
  <c r="Y49" i="16"/>
  <c r="K6" i="16"/>
  <c r="K66" i="16" s="1"/>
  <c r="BY53" i="16"/>
  <c r="CN57" i="16"/>
  <c r="U53" i="16"/>
  <c r="BY65" i="16"/>
  <c r="CU27" i="16"/>
  <c r="BL62" i="16"/>
  <c r="K13" i="16"/>
  <c r="U52" i="16"/>
  <c r="BX64" i="16"/>
  <c r="CF65" i="16"/>
  <c r="BY64" i="16"/>
  <c r="BX65" i="16"/>
  <c r="CP57" i="16"/>
  <c r="BX54" i="16"/>
  <c r="BX60" i="16"/>
  <c r="AN57" i="16"/>
  <c r="K140" i="67" s="1"/>
  <c r="BN63" i="16"/>
  <c r="BU59" i="16"/>
  <c r="CP61" i="16"/>
  <c r="BP64" i="16"/>
  <c r="CP62" i="16"/>
  <c r="CI63" i="16"/>
  <c r="BT64" i="16"/>
  <c r="BT59" i="16"/>
  <c r="BY59" i="16"/>
  <c r="CQ62" i="16"/>
  <c r="CL64" i="16"/>
  <c r="CB64" i="16"/>
  <c r="BI59" i="16"/>
  <c r="CQ61" i="16"/>
  <c r="BP59" i="16"/>
  <c r="CB60" i="16"/>
  <c r="CE59" i="16"/>
  <c r="BY62" i="16"/>
  <c r="CE65" i="16"/>
  <c r="CK65" i="16"/>
  <c r="BP63" i="16"/>
  <c r="CN64" i="16"/>
  <c r="BI60" i="16"/>
  <c r="BT60" i="16"/>
  <c r="BF59" i="16"/>
  <c r="CL58" i="16"/>
  <c r="BY61" i="16"/>
  <c r="BF60" i="16"/>
  <c r="CN61" i="16"/>
  <c r="BI61" i="16"/>
  <c r="BN65" i="16"/>
  <c r="BQ61" i="16"/>
  <c r="CL63" i="16"/>
  <c r="BT58" i="16"/>
  <c r="BI58" i="16"/>
  <c r="BF65" i="16"/>
  <c r="BF57" i="16"/>
  <c r="BT61" i="16"/>
  <c r="CC58" i="16"/>
  <c r="CN58" i="16"/>
  <c r="BF64" i="16"/>
  <c r="BF56" i="16"/>
  <c r="BO53" i="16"/>
  <c r="BO58" i="16"/>
  <c r="CN59" i="16"/>
  <c r="BF63" i="16"/>
  <c r="BF55" i="16"/>
  <c r="BO65" i="16"/>
  <c r="BQ59" i="16"/>
  <c r="BI64" i="16"/>
  <c r="CK61" i="16"/>
  <c r="CE60" i="16"/>
  <c r="CN60" i="16"/>
  <c r="BH65" i="16"/>
  <c r="BH61" i="16"/>
  <c r="BG61" i="16"/>
  <c r="BX59" i="16"/>
  <c r="BG57" i="16"/>
  <c r="BH64" i="16"/>
  <c r="BH60" i="16"/>
  <c r="CD62" i="16"/>
  <c r="BW54" i="16"/>
  <c r="BM65" i="16"/>
  <c r="CP63" i="16"/>
  <c r="BF54" i="16"/>
  <c r="BO64" i="16"/>
  <c r="BO56" i="16"/>
  <c r="BQ64" i="16"/>
  <c r="CN65" i="16"/>
  <c r="BP65" i="16"/>
  <c r="BO63" i="16"/>
  <c r="BO55" i="16"/>
  <c r="BO62" i="16"/>
  <c r="BO54" i="16"/>
  <c r="BQ58" i="16"/>
  <c r="BW53" i="16"/>
  <c r="BG64" i="16"/>
  <c r="BG60" i="16"/>
  <c r="BG56" i="16"/>
  <c r="BH63" i="16"/>
  <c r="BH59" i="16"/>
  <c r="BQ60" i="16"/>
  <c r="BG63" i="16"/>
  <c r="BG59" i="16"/>
  <c r="BG55" i="16"/>
  <c r="BQ65" i="16"/>
  <c r="BO61" i="16"/>
  <c r="BQ63" i="16"/>
  <c r="CN62" i="16"/>
  <c r="BW65" i="16"/>
  <c r="BF58" i="16"/>
  <c r="BO60" i="16"/>
  <c r="BF62" i="16"/>
  <c r="BO59" i="16"/>
  <c r="BV59" i="16"/>
  <c r="BW63" i="16"/>
  <c r="BF61" i="16"/>
  <c r="BH62" i="16"/>
  <c r="BH58" i="16"/>
  <c r="BQ62" i="16"/>
  <c r="BV58" i="16"/>
  <c r="BG53" i="16"/>
  <c r="BG62" i="16"/>
  <c r="BG58" i="16"/>
  <c r="BG54" i="16"/>
  <c r="BO57" i="16"/>
  <c r="BW61" i="16"/>
  <c r="CD64" i="16"/>
  <c r="BW60" i="16"/>
  <c r="CE64" i="16"/>
  <c r="CN63" i="16"/>
  <c r="BT62" i="16"/>
  <c r="CD59" i="16"/>
  <c r="BW55" i="16"/>
  <c r="CB59" i="16"/>
  <c r="CQ64" i="16"/>
  <c r="BV64" i="16"/>
  <c r="CD63" i="16"/>
  <c r="BW59" i="16"/>
  <c r="CO58" i="16"/>
  <c r="CK59" i="16"/>
  <c r="CM59" i="16"/>
  <c r="BV62" i="16"/>
  <c r="BV61" i="16"/>
  <c r="CC60" i="16"/>
  <c r="CD65" i="16"/>
  <c r="CI58" i="16"/>
  <c r="BW62" i="16"/>
  <c r="CO62" i="16"/>
  <c r="BV65" i="16"/>
  <c r="BT63" i="16"/>
  <c r="CL60" i="16"/>
  <c r="BV63" i="16"/>
  <c r="BW58" i="16"/>
  <c r="BP61" i="16"/>
  <c r="CI59" i="16"/>
  <c r="CD60" i="16"/>
  <c r="CD61" i="16"/>
  <c r="BW56" i="16"/>
  <c r="BW57" i="16"/>
  <c r="CO65" i="16"/>
  <c r="CO60" i="16"/>
  <c r="CO63" i="16"/>
  <c r="CO61" i="16"/>
  <c r="CO64" i="16"/>
  <c r="CO59" i="16"/>
  <c r="T10" i="16"/>
  <c r="T70" i="16" s="1"/>
  <c r="B7" i="373" s="1"/>
  <c r="AD7" i="373" s="1"/>
  <c r="T13" i="16"/>
  <c r="T73" i="16" s="1"/>
  <c r="B10" i="373" s="1"/>
  <c r="AD10" i="373" s="1"/>
  <c r="T8" i="16"/>
  <c r="T11" i="16"/>
  <c r="T71" i="16" s="1"/>
  <c r="B8" i="373" s="1"/>
  <c r="AD8" i="373" s="1"/>
  <c r="X45" i="43" l="1"/>
  <c r="BW32" i="16"/>
  <c r="D62" i="117"/>
  <c r="H62" i="117"/>
  <c r="E62" i="117" s="1"/>
  <c r="BO6" i="413" s="1"/>
  <c r="H70" i="117"/>
  <c r="E70" i="117" s="1"/>
  <c r="BO14" i="413" s="1"/>
  <c r="X38" i="43"/>
  <c r="AD6" i="134"/>
  <c r="AZ6" i="134"/>
  <c r="AD10" i="134"/>
  <c r="AZ10" i="134"/>
  <c r="AD9" i="134"/>
  <c r="AZ9" i="134"/>
  <c r="AD8" i="134"/>
  <c r="AZ8" i="134"/>
  <c r="AD7" i="134"/>
  <c r="AZ7" i="134"/>
  <c r="H61" i="117"/>
  <c r="E61" i="117" s="1"/>
  <c r="BO5" i="413" s="1"/>
  <c r="D61" i="117"/>
  <c r="H64" i="117"/>
  <c r="E64" i="117" s="1"/>
  <c r="BO8" i="413" s="1"/>
  <c r="B7" i="413"/>
  <c r="I19" i="205"/>
  <c r="AP19" i="205"/>
  <c r="B12" i="413"/>
  <c r="I20" i="205"/>
  <c r="AD11" i="134"/>
  <c r="F69" i="134"/>
  <c r="I69" i="134" s="1"/>
  <c r="H69" i="373"/>
  <c r="K69" i="373" s="1"/>
  <c r="C56" i="373" s="1"/>
  <c r="AD12" i="373"/>
  <c r="AD10" i="214"/>
  <c r="AD12" i="216"/>
  <c r="AD9" i="216"/>
  <c r="AD11" i="216"/>
  <c r="AD7" i="216"/>
  <c r="AD11" i="214"/>
  <c r="AD9" i="214"/>
  <c r="AD7" i="214"/>
  <c r="AD8" i="214"/>
  <c r="AD8" i="216"/>
  <c r="AD10" i="216"/>
  <c r="Y51" i="16"/>
  <c r="B10" i="126"/>
  <c r="X14" i="16"/>
  <c r="K112" i="16"/>
  <c r="CT62" i="16"/>
  <c r="CT63" i="16"/>
  <c r="Y53" i="16"/>
  <c r="U95" i="16"/>
  <c r="X9" i="16"/>
  <c r="X69" i="16" s="1"/>
  <c r="B6" i="380" s="1"/>
  <c r="Q6" i="380" s="1"/>
  <c r="X94" i="16"/>
  <c r="CT65" i="16"/>
  <c r="X8" i="16"/>
  <c r="X93" i="16"/>
  <c r="Y52" i="16"/>
  <c r="U94" i="16"/>
  <c r="X13" i="16"/>
  <c r="X12" i="16"/>
  <c r="X11" i="16"/>
  <c r="T68" i="16"/>
  <c r="B5" i="373" s="1"/>
  <c r="T136" i="16"/>
  <c r="T137" i="16" s="1"/>
  <c r="T138" i="16" s="1"/>
  <c r="T139" i="16" s="1"/>
  <c r="T140" i="16" s="1"/>
  <c r="T141" i="16" s="1"/>
  <c r="T142" i="16" s="1"/>
  <c r="T143" i="16" s="1"/>
  <c r="CT61" i="16"/>
  <c r="CT59" i="16"/>
  <c r="K63" i="16"/>
  <c r="K131" i="16"/>
  <c r="CT58" i="16"/>
  <c r="CT64" i="16"/>
  <c r="R27" i="43"/>
  <c r="R26" i="43" s="1"/>
  <c r="R25" i="43" s="1"/>
  <c r="K57" i="16" l="1"/>
  <c r="CU32" i="16"/>
  <c r="BW64" i="16"/>
  <c r="AG12" i="413"/>
  <c r="AU12" i="413"/>
  <c r="AF12" i="413"/>
  <c r="AX12" i="413" s="1"/>
  <c r="AX13" i="413" s="1"/>
  <c r="AG7" i="413"/>
  <c r="AU7" i="413"/>
  <c r="AF7" i="413"/>
  <c r="AX7" i="413" s="1"/>
  <c r="AD10" i="126"/>
  <c r="X68" i="16"/>
  <c r="B5" i="380" s="1"/>
  <c r="Q5" i="380" s="1"/>
  <c r="X136" i="16"/>
  <c r="X137" i="16" s="1"/>
  <c r="Y131" i="16"/>
  <c r="K132" i="16"/>
  <c r="K133" i="16" s="1"/>
  <c r="K134" i="16" s="1"/>
  <c r="K135" i="16" s="1"/>
  <c r="K136" i="16" s="1"/>
  <c r="K137" i="16" s="1"/>
  <c r="AN56" i="16"/>
  <c r="K14" i="16" l="1"/>
  <c r="K74" i="16" s="1"/>
  <c r="B11" i="218" s="1"/>
  <c r="AD11" i="218" s="1"/>
  <c r="Y57" i="16"/>
  <c r="K99" i="16"/>
  <c r="AG13" i="413"/>
  <c r="AV13" i="413"/>
  <c r="AT13" i="413" s="1"/>
  <c r="AX14" i="413"/>
  <c r="C48" i="183"/>
  <c r="C51" i="258"/>
  <c r="C48" i="201"/>
  <c r="K139" i="67"/>
  <c r="K111" i="16"/>
  <c r="K73" i="16"/>
  <c r="B10" i="218" s="1"/>
  <c r="AD10" i="218" s="1"/>
  <c r="K98" i="16"/>
  <c r="K138" i="16"/>
  <c r="BU44" i="42"/>
  <c r="BT44" i="42"/>
  <c r="BU43" i="42"/>
  <c r="BT43" i="42"/>
  <c r="BU42" i="42"/>
  <c r="BT42" i="42"/>
  <c r="BU41" i="42"/>
  <c r="BT41" i="42"/>
  <c r="BU40" i="42"/>
  <c r="BT40" i="42"/>
  <c r="BU39" i="42"/>
  <c r="BT39" i="42"/>
  <c r="BU38" i="42"/>
  <c r="BT38" i="42"/>
  <c r="BU37" i="42"/>
  <c r="BT37" i="42"/>
  <c r="BU36" i="42"/>
  <c r="BT36" i="42"/>
  <c r="BV33" i="42"/>
  <c r="BV32" i="42"/>
  <c r="BV31" i="42"/>
  <c r="BV30" i="42"/>
  <c r="BV29" i="42"/>
  <c r="BV28" i="42"/>
  <c r="BV27" i="42"/>
  <c r="BV26" i="42"/>
  <c r="BV25" i="42"/>
  <c r="BV22" i="42"/>
  <c r="BV21" i="42"/>
  <c r="BV20" i="42"/>
  <c r="BV19" i="42"/>
  <c r="BV18" i="42"/>
  <c r="BV17" i="42"/>
  <c r="BV16" i="42"/>
  <c r="BV15" i="42"/>
  <c r="BV14" i="42"/>
  <c r="BV11" i="42"/>
  <c r="BV44" i="42" s="1"/>
  <c r="CR15" i="16" s="1"/>
  <c r="AY58" i="16" s="1"/>
  <c r="BV10" i="42"/>
  <c r="BV9" i="42"/>
  <c r="BV8" i="42"/>
  <c r="BV7" i="42"/>
  <c r="BV6" i="42"/>
  <c r="BV5" i="42"/>
  <c r="BV4" i="42"/>
  <c r="BV3" i="42"/>
  <c r="BV36" i="42" s="1"/>
  <c r="BK44" i="42"/>
  <c r="BJ44" i="42"/>
  <c r="BK43" i="42"/>
  <c r="BJ43" i="42"/>
  <c r="BK42" i="42"/>
  <c r="BJ42" i="42"/>
  <c r="BK41" i="42"/>
  <c r="BJ41" i="42"/>
  <c r="BK40" i="42"/>
  <c r="BJ40" i="42"/>
  <c r="BK39" i="42"/>
  <c r="BJ39" i="42"/>
  <c r="BK38" i="42"/>
  <c r="BJ38" i="42"/>
  <c r="BK37" i="42"/>
  <c r="BJ37" i="42"/>
  <c r="BK36" i="42"/>
  <c r="BJ36" i="42"/>
  <c r="BL33" i="42"/>
  <c r="BL32" i="42"/>
  <c r="BL31" i="42"/>
  <c r="BL30" i="42"/>
  <c r="BL29" i="42"/>
  <c r="BL28" i="42"/>
  <c r="BL27" i="42"/>
  <c r="BL26" i="42"/>
  <c r="BL25" i="42"/>
  <c r="BL22" i="42"/>
  <c r="BL21" i="42"/>
  <c r="BL20" i="42"/>
  <c r="BL19" i="42"/>
  <c r="BL18" i="42"/>
  <c r="BL17" i="42"/>
  <c r="BL16" i="42"/>
  <c r="BL15" i="42"/>
  <c r="BL14" i="42"/>
  <c r="BL11" i="42"/>
  <c r="BL10" i="42"/>
  <c r="BL9" i="42"/>
  <c r="BL8" i="42"/>
  <c r="BL7" i="42"/>
  <c r="BL6" i="42"/>
  <c r="BL5" i="42"/>
  <c r="BL4" i="42"/>
  <c r="BL3" i="42"/>
  <c r="BA44" i="42"/>
  <c r="AZ44" i="42"/>
  <c r="AV44" i="42"/>
  <c r="AU44" i="42"/>
  <c r="BA43" i="42"/>
  <c r="AZ43" i="42"/>
  <c r="AV43" i="42"/>
  <c r="AU43" i="42"/>
  <c r="BA42" i="42"/>
  <c r="AZ42" i="42"/>
  <c r="AV42" i="42"/>
  <c r="AU42" i="42"/>
  <c r="BA41" i="42"/>
  <c r="AZ41" i="42"/>
  <c r="AV41" i="42"/>
  <c r="AU41" i="42"/>
  <c r="BA40" i="42"/>
  <c r="AZ40" i="42"/>
  <c r="AV40" i="42"/>
  <c r="AU40" i="42"/>
  <c r="BA39" i="42"/>
  <c r="AZ39" i="42"/>
  <c r="AV39" i="42"/>
  <c r="AU39" i="42"/>
  <c r="BA38" i="42"/>
  <c r="AZ38" i="42"/>
  <c r="AV38" i="42"/>
  <c r="AU38" i="42"/>
  <c r="BA37" i="42"/>
  <c r="AZ37" i="42"/>
  <c r="AV37" i="42"/>
  <c r="AU37" i="42"/>
  <c r="BA36" i="42"/>
  <c r="AZ36" i="42"/>
  <c r="AV36" i="42"/>
  <c r="AU36" i="42"/>
  <c r="BB33" i="42"/>
  <c r="AW33" i="42"/>
  <c r="BB32" i="42"/>
  <c r="AW32" i="42"/>
  <c r="BB31" i="42"/>
  <c r="AW31" i="42"/>
  <c r="BB30" i="42"/>
  <c r="AW30" i="42"/>
  <c r="BB29" i="42"/>
  <c r="AW29" i="42"/>
  <c r="BB28" i="42"/>
  <c r="AW28" i="42"/>
  <c r="BB27" i="42"/>
  <c r="AW27" i="42"/>
  <c r="BB26" i="42"/>
  <c r="AW26" i="42"/>
  <c r="BB25" i="42"/>
  <c r="AW25" i="42"/>
  <c r="BB22" i="42"/>
  <c r="AW22" i="42"/>
  <c r="BB21" i="42"/>
  <c r="AW21" i="42"/>
  <c r="AW43" i="42" s="1"/>
  <c r="BB20" i="42"/>
  <c r="BB42" i="42" s="1"/>
  <c r="AW20" i="42"/>
  <c r="BB19" i="42"/>
  <c r="AW19" i="42"/>
  <c r="BB18" i="42"/>
  <c r="AW18" i="42"/>
  <c r="BB17" i="42"/>
  <c r="AW17" i="42"/>
  <c r="BB16" i="42"/>
  <c r="BB38" i="42" s="1"/>
  <c r="AW16" i="42"/>
  <c r="BB15" i="42"/>
  <c r="AW15" i="42"/>
  <c r="AW37" i="42" s="1"/>
  <c r="BB14" i="42"/>
  <c r="AW14" i="42"/>
  <c r="BB11" i="42"/>
  <c r="AW11" i="42"/>
  <c r="BB10" i="42"/>
  <c r="AW10" i="42"/>
  <c r="BB9" i="42"/>
  <c r="AW9" i="42"/>
  <c r="BB8" i="42"/>
  <c r="AW8" i="42"/>
  <c r="BB7" i="42"/>
  <c r="AW7" i="42"/>
  <c r="BB6" i="42"/>
  <c r="AW6" i="42"/>
  <c r="BB5" i="42"/>
  <c r="AW5" i="42"/>
  <c r="BB4" i="42"/>
  <c r="AW4" i="42"/>
  <c r="BB3" i="42"/>
  <c r="AW3" i="42"/>
  <c r="AB44" i="42"/>
  <c r="AA44" i="42"/>
  <c r="V44" i="42"/>
  <c r="AB43" i="42"/>
  <c r="AA43" i="42"/>
  <c r="W43" i="42"/>
  <c r="V43" i="42"/>
  <c r="AB42" i="42"/>
  <c r="AA42" i="42"/>
  <c r="W42" i="42"/>
  <c r="V42" i="42"/>
  <c r="AB41" i="42"/>
  <c r="AA41" i="42"/>
  <c r="W41" i="42"/>
  <c r="V41" i="42"/>
  <c r="AB40" i="42"/>
  <c r="AA40" i="42"/>
  <c r="W40" i="42"/>
  <c r="V40" i="42"/>
  <c r="AB39" i="42"/>
  <c r="AA39" i="42"/>
  <c r="W39" i="42"/>
  <c r="V39" i="42"/>
  <c r="AB38" i="42"/>
  <c r="AA38" i="42"/>
  <c r="W38" i="42"/>
  <c r="V38" i="42"/>
  <c r="AB37" i="42"/>
  <c r="AA37" i="42"/>
  <c r="W37" i="42"/>
  <c r="V37" i="42"/>
  <c r="AB36" i="42"/>
  <c r="AA36" i="42"/>
  <c r="W36" i="42"/>
  <c r="V36" i="42"/>
  <c r="AC33" i="42"/>
  <c r="X33" i="42"/>
  <c r="AC32" i="42"/>
  <c r="X32" i="42"/>
  <c r="AC31" i="42"/>
  <c r="X31" i="42"/>
  <c r="AC30" i="42"/>
  <c r="X30" i="42"/>
  <c r="AC29" i="42"/>
  <c r="X29" i="42"/>
  <c r="AC28" i="42"/>
  <c r="X28" i="42"/>
  <c r="AC27" i="42"/>
  <c r="X27" i="42"/>
  <c r="AC26" i="42"/>
  <c r="X26" i="42"/>
  <c r="AC25" i="42"/>
  <c r="X25" i="42"/>
  <c r="AC22" i="42"/>
  <c r="X22" i="42"/>
  <c r="AC21" i="42"/>
  <c r="X21" i="42"/>
  <c r="AC20" i="42"/>
  <c r="X20" i="42"/>
  <c r="AC19" i="42"/>
  <c r="X19" i="42"/>
  <c r="AC18" i="42"/>
  <c r="X18" i="42"/>
  <c r="AC17" i="42"/>
  <c r="X17" i="42"/>
  <c r="AC16" i="42"/>
  <c r="X16" i="42"/>
  <c r="AC15" i="42"/>
  <c r="X15" i="42"/>
  <c r="AC14" i="42"/>
  <c r="X14" i="42"/>
  <c r="AC11" i="42"/>
  <c r="X11" i="42"/>
  <c r="AC10" i="42"/>
  <c r="X10" i="42"/>
  <c r="AC9" i="42"/>
  <c r="X9" i="42"/>
  <c r="AC8" i="42"/>
  <c r="X8" i="42"/>
  <c r="AC7" i="42"/>
  <c r="X7" i="42"/>
  <c r="AC6" i="42"/>
  <c r="X6" i="42"/>
  <c r="AC5" i="42"/>
  <c r="X5" i="42"/>
  <c r="AC4" i="42"/>
  <c r="AC37" i="42" s="1"/>
  <c r="X4" i="42"/>
  <c r="AC3" i="42"/>
  <c r="X3" i="42"/>
  <c r="AG40" i="42"/>
  <c r="B37" i="42"/>
  <c r="C37" i="42"/>
  <c r="B38" i="42"/>
  <c r="C38" i="42"/>
  <c r="B39" i="42"/>
  <c r="C39" i="42"/>
  <c r="B40" i="42"/>
  <c r="C40" i="42"/>
  <c r="B41" i="42"/>
  <c r="C41" i="42"/>
  <c r="B42" i="42"/>
  <c r="C42" i="42"/>
  <c r="B43" i="42"/>
  <c r="C43" i="42"/>
  <c r="B44" i="42"/>
  <c r="C44" i="42"/>
  <c r="C36" i="42"/>
  <c r="B36" i="42"/>
  <c r="AQ44" i="42"/>
  <c r="AP44" i="42"/>
  <c r="BP44" i="42"/>
  <c r="BO44" i="42"/>
  <c r="AQ43" i="42"/>
  <c r="AP43" i="42"/>
  <c r="BP43" i="42"/>
  <c r="BO43" i="42"/>
  <c r="AQ42" i="42"/>
  <c r="AP42" i="42"/>
  <c r="BP42" i="42"/>
  <c r="BO42" i="42"/>
  <c r="AQ41" i="42"/>
  <c r="AP41" i="42"/>
  <c r="BP41" i="42"/>
  <c r="BO41" i="42"/>
  <c r="AQ40" i="42"/>
  <c r="AP40" i="42"/>
  <c r="BP40" i="42"/>
  <c r="BO40" i="42"/>
  <c r="AQ39" i="42"/>
  <c r="AP39" i="42"/>
  <c r="BP39" i="42"/>
  <c r="BO39" i="42"/>
  <c r="AQ38" i="42"/>
  <c r="AP38" i="42"/>
  <c r="BP38" i="42"/>
  <c r="BO38" i="42"/>
  <c r="AQ37" i="42"/>
  <c r="AP37" i="42"/>
  <c r="BP37" i="42"/>
  <c r="BO37" i="42"/>
  <c r="AQ36" i="42"/>
  <c r="AP36" i="42"/>
  <c r="BP36" i="42"/>
  <c r="BO36" i="42"/>
  <c r="AR33" i="42"/>
  <c r="BQ33" i="42"/>
  <c r="AR32" i="42"/>
  <c r="BQ32" i="42"/>
  <c r="AR31" i="42"/>
  <c r="BQ31" i="42"/>
  <c r="AR30" i="42"/>
  <c r="BQ30" i="42"/>
  <c r="AR29" i="42"/>
  <c r="BQ29" i="42"/>
  <c r="AR28" i="42"/>
  <c r="BQ28" i="42"/>
  <c r="AR27" i="42"/>
  <c r="BQ27" i="42"/>
  <c r="AR26" i="42"/>
  <c r="BQ26" i="42"/>
  <c r="AR25" i="42"/>
  <c r="BQ25" i="42"/>
  <c r="AR22" i="42"/>
  <c r="BQ22" i="42"/>
  <c r="AR21" i="42"/>
  <c r="AR43" i="42" s="1"/>
  <c r="BQ21" i="42"/>
  <c r="AR20" i="42"/>
  <c r="BQ20" i="42"/>
  <c r="AR19" i="42"/>
  <c r="BQ19" i="42"/>
  <c r="AR18" i="42"/>
  <c r="BQ18" i="42"/>
  <c r="AR17" i="42"/>
  <c r="BQ17" i="42"/>
  <c r="AR16" i="42"/>
  <c r="BQ16" i="42"/>
  <c r="AR15" i="42"/>
  <c r="BQ15" i="42"/>
  <c r="AR14" i="42"/>
  <c r="BQ14" i="42"/>
  <c r="AR11" i="42"/>
  <c r="BQ11" i="42"/>
  <c r="AR10" i="42"/>
  <c r="BQ10" i="42"/>
  <c r="AR9" i="42"/>
  <c r="BQ9" i="42"/>
  <c r="BQ42" i="42" s="1"/>
  <c r="AR8" i="42"/>
  <c r="BQ8" i="42"/>
  <c r="AR7" i="42"/>
  <c r="BQ7" i="42"/>
  <c r="AR6" i="42"/>
  <c r="BQ6" i="42"/>
  <c r="AR5" i="42"/>
  <c r="BQ5" i="42"/>
  <c r="BQ38" i="42" s="1"/>
  <c r="AR4" i="42"/>
  <c r="BQ4" i="42"/>
  <c r="AR3" i="42"/>
  <c r="BQ3" i="42"/>
  <c r="BF44" i="42"/>
  <c r="BE44" i="42"/>
  <c r="AL44" i="42"/>
  <c r="AK44" i="42"/>
  <c r="BF43" i="42"/>
  <c r="BE43" i="42"/>
  <c r="AL43" i="42"/>
  <c r="AK43" i="42"/>
  <c r="BF42" i="42"/>
  <c r="BE42" i="42"/>
  <c r="AL42" i="42"/>
  <c r="AK42" i="42"/>
  <c r="BF41" i="42"/>
  <c r="BE41" i="42"/>
  <c r="AL41" i="42"/>
  <c r="AK41" i="42"/>
  <c r="BF40" i="42"/>
  <c r="BE40" i="42"/>
  <c r="AL40" i="42"/>
  <c r="AK40" i="42"/>
  <c r="BF39" i="42"/>
  <c r="BE39" i="42"/>
  <c r="AL39" i="42"/>
  <c r="AK39" i="42"/>
  <c r="BF38" i="42"/>
  <c r="BE38" i="42"/>
  <c r="AL38" i="42"/>
  <c r="AK38" i="42"/>
  <c r="BF37" i="42"/>
  <c r="BE37" i="42"/>
  <c r="AL37" i="42"/>
  <c r="AK37" i="42"/>
  <c r="BF36" i="42"/>
  <c r="BE36" i="42"/>
  <c r="AL36" i="42"/>
  <c r="AK36" i="42"/>
  <c r="BG33" i="42"/>
  <c r="AM33" i="42"/>
  <c r="BG32" i="42"/>
  <c r="AM32" i="42"/>
  <c r="BG31" i="42"/>
  <c r="AM31" i="42"/>
  <c r="BG30" i="42"/>
  <c r="AM30" i="42"/>
  <c r="BG29" i="42"/>
  <c r="AM29" i="42"/>
  <c r="BG28" i="42"/>
  <c r="AM28" i="42"/>
  <c r="BG27" i="42"/>
  <c r="AM27" i="42"/>
  <c r="BG26" i="42"/>
  <c r="AM26" i="42"/>
  <c r="BG25" i="42"/>
  <c r="AM25" i="42"/>
  <c r="BG22" i="42"/>
  <c r="AM22" i="42"/>
  <c r="BG21" i="42"/>
  <c r="AM21" i="42"/>
  <c r="BG20" i="42"/>
  <c r="AM20" i="42"/>
  <c r="BG19" i="42"/>
  <c r="AM19" i="42"/>
  <c r="BG18" i="42"/>
  <c r="AM18" i="42"/>
  <c r="BG17" i="42"/>
  <c r="AM17" i="42"/>
  <c r="BG16" i="42"/>
  <c r="BG38" i="42" s="1"/>
  <c r="AM16" i="42"/>
  <c r="BG15" i="42"/>
  <c r="AM15" i="42"/>
  <c r="BG14" i="42"/>
  <c r="BG36" i="42" s="1"/>
  <c r="AM14" i="42"/>
  <c r="AM36" i="42" s="1"/>
  <c r="BG11" i="42"/>
  <c r="AM11" i="42"/>
  <c r="BG10" i="42"/>
  <c r="AM10" i="42"/>
  <c r="BG9" i="42"/>
  <c r="AM9" i="42"/>
  <c r="BG8" i="42"/>
  <c r="AM8" i="42"/>
  <c r="BG7" i="42"/>
  <c r="AM7" i="42"/>
  <c r="BG6" i="42"/>
  <c r="AM6" i="42"/>
  <c r="BG5" i="42"/>
  <c r="AM5" i="42"/>
  <c r="BG4" i="42"/>
  <c r="AM4" i="42"/>
  <c r="BG3" i="42"/>
  <c r="AM3" i="42"/>
  <c r="AG44" i="42"/>
  <c r="AF44" i="42"/>
  <c r="R44" i="42"/>
  <c r="Q44" i="42"/>
  <c r="AG43" i="42"/>
  <c r="AF43" i="42"/>
  <c r="R43" i="42"/>
  <c r="Q43" i="42"/>
  <c r="AG42" i="42"/>
  <c r="AF42" i="42"/>
  <c r="R42" i="42"/>
  <c r="Q42" i="42"/>
  <c r="AG41" i="42"/>
  <c r="AF41" i="42"/>
  <c r="R41" i="42"/>
  <c r="Q41" i="42"/>
  <c r="AF40" i="42"/>
  <c r="R40" i="42"/>
  <c r="Q40" i="42"/>
  <c r="AG39" i="42"/>
  <c r="AF39" i="42"/>
  <c r="R39" i="42"/>
  <c r="Q39" i="42"/>
  <c r="AG38" i="42"/>
  <c r="AF38" i="42"/>
  <c r="R38" i="42"/>
  <c r="Q38" i="42"/>
  <c r="AG37" i="42"/>
  <c r="AF37" i="42"/>
  <c r="R37" i="42"/>
  <c r="Q37" i="42"/>
  <c r="AG36" i="42"/>
  <c r="AF36" i="42"/>
  <c r="R36" i="42"/>
  <c r="Q36" i="42"/>
  <c r="AH33" i="42"/>
  <c r="S33" i="42"/>
  <c r="AH32" i="42"/>
  <c r="S32" i="42"/>
  <c r="AH31" i="42"/>
  <c r="S31" i="42"/>
  <c r="AH30" i="42"/>
  <c r="S30" i="42"/>
  <c r="AH29" i="42"/>
  <c r="S29" i="42"/>
  <c r="AH28" i="42"/>
  <c r="S28" i="42"/>
  <c r="AH27" i="42"/>
  <c r="S27" i="42"/>
  <c r="AH26" i="42"/>
  <c r="S26" i="42"/>
  <c r="AH25" i="42"/>
  <c r="S25" i="42"/>
  <c r="AH22" i="42"/>
  <c r="S22" i="42"/>
  <c r="AH21" i="42"/>
  <c r="S21" i="42"/>
  <c r="S43" i="42" s="1"/>
  <c r="AH20" i="42"/>
  <c r="S20" i="42"/>
  <c r="AH19" i="42"/>
  <c r="S19" i="42"/>
  <c r="AH18" i="42"/>
  <c r="S18" i="42"/>
  <c r="AH17" i="42"/>
  <c r="S17" i="42"/>
  <c r="S39" i="42" s="1"/>
  <c r="AH16" i="42"/>
  <c r="S16" i="42"/>
  <c r="AH15" i="42"/>
  <c r="AH37" i="42" s="1"/>
  <c r="S15" i="42"/>
  <c r="S37" i="42" s="1"/>
  <c r="AH14" i="42"/>
  <c r="S14" i="42"/>
  <c r="AH11" i="42"/>
  <c r="S11" i="42"/>
  <c r="AH10" i="42"/>
  <c r="AH43" i="42" s="1"/>
  <c r="S10" i="42"/>
  <c r="AH9" i="42"/>
  <c r="S9" i="42"/>
  <c r="AH8" i="42"/>
  <c r="S8" i="42"/>
  <c r="AH7" i="42"/>
  <c r="S7" i="42"/>
  <c r="AH6" i="42"/>
  <c r="AH39" i="42" s="1"/>
  <c r="S6" i="42"/>
  <c r="AH5" i="42"/>
  <c r="S5" i="42"/>
  <c r="AH4" i="42"/>
  <c r="S4" i="42"/>
  <c r="AH3" i="42"/>
  <c r="S3" i="42"/>
  <c r="M44" i="42"/>
  <c r="L44" i="42"/>
  <c r="H44" i="42"/>
  <c r="G44" i="42"/>
  <c r="M43" i="42"/>
  <c r="L43" i="42"/>
  <c r="H43" i="42"/>
  <c r="G43" i="42"/>
  <c r="M42" i="42"/>
  <c r="L42" i="42"/>
  <c r="H42" i="42"/>
  <c r="G42" i="42"/>
  <c r="M41" i="42"/>
  <c r="L41" i="42"/>
  <c r="H41" i="42"/>
  <c r="G41" i="42"/>
  <c r="M40" i="42"/>
  <c r="L40" i="42"/>
  <c r="H40" i="42"/>
  <c r="G40" i="42"/>
  <c r="M39" i="42"/>
  <c r="L39" i="42"/>
  <c r="H39" i="42"/>
  <c r="G39" i="42"/>
  <c r="M38" i="42"/>
  <c r="L38" i="42"/>
  <c r="H38" i="42"/>
  <c r="G38" i="42"/>
  <c r="M37" i="42"/>
  <c r="L37" i="42"/>
  <c r="H37" i="42"/>
  <c r="G37" i="42"/>
  <c r="M36" i="42"/>
  <c r="L36" i="42"/>
  <c r="H36" i="42"/>
  <c r="G36" i="42"/>
  <c r="N33" i="42"/>
  <c r="I33" i="42"/>
  <c r="N32" i="42"/>
  <c r="I32" i="42"/>
  <c r="N31" i="42"/>
  <c r="I31" i="42"/>
  <c r="N30" i="42"/>
  <c r="I30" i="42"/>
  <c r="N29" i="42"/>
  <c r="I29" i="42"/>
  <c r="N28" i="42"/>
  <c r="I28" i="42"/>
  <c r="N27" i="42"/>
  <c r="I27" i="42"/>
  <c r="N26" i="42"/>
  <c r="I26" i="42"/>
  <c r="N25" i="42"/>
  <c r="I25" i="42"/>
  <c r="N22" i="42"/>
  <c r="I22" i="42"/>
  <c r="I44" i="42" s="1"/>
  <c r="BH15" i="16" s="1"/>
  <c r="N21" i="42"/>
  <c r="I21" i="42"/>
  <c r="N20" i="42"/>
  <c r="I20" i="42"/>
  <c r="N19" i="42"/>
  <c r="I19" i="42"/>
  <c r="N18" i="42"/>
  <c r="I18" i="42"/>
  <c r="I40" i="42" s="1"/>
  <c r="N17" i="42"/>
  <c r="I17" i="42"/>
  <c r="N16" i="42"/>
  <c r="N38" i="42" s="1"/>
  <c r="I16" i="42"/>
  <c r="N15" i="42"/>
  <c r="I15" i="42"/>
  <c r="N14" i="42"/>
  <c r="I14" i="42"/>
  <c r="I36" i="42" s="1"/>
  <c r="N11" i="42"/>
  <c r="I11" i="42"/>
  <c r="N10" i="42"/>
  <c r="I10" i="42"/>
  <c r="N9" i="42"/>
  <c r="I9" i="42"/>
  <c r="N8" i="42"/>
  <c r="I8" i="42"/>
  <c r="N7" i="42"/>
  <c r="I7" i="42"/>
  <c r="N6" i="42"/>
  <c r="I6" i="42"/>
  <c r="N5" i="42"/>
  <c r="I5" i="42"/>
  <c r="N4" i="42"/>
  <c r="N37" i="42" s="1"/>
  <c r="I4" i="42"/>
  <c r="N3" i="42"/>
  <c r="I3" i="42"/>
  <c r="D3" i="42"/>
  <c r="D4" i="42"/>
  <c r="D5" i="42"/>
  <c r="D6" i="42"/>
  <c r="D7" i="42"/>
  <c r="D8" i="42"/>
  <c r="D9" i="42"/>
  <c r="D10" i="42"/>
  <c r="D11" i="42"/>
  <c r="D14" i="42"/>
  <c r="D36" i="42" s="1"/>
  <c r="D15" i="42"/>
  <c r="D37" i="42" s="1"/>
  <c r="D16" i="42"/>
  <c r="D38" i="42" s="1"/>
  <c r="D17" i="42"/>
  <c r="D39" i="42" s="1"/>
  <c r="D18" i="42"/>
  <c r="D40" i="42" s="1"/>
  <c r="D19" i="42"/>
  <c r="D41" i="42" s="1"/>
  <c r="D20" i="42"/>
  <c r="D21" i="42"/>
  <c r="D43" i="42" s="1"/>
  <c r="D22" i="42"/>
  <c r="D25" i="42"/>
  <c r="D26" i="42"/>
  <c r="D27" i="42"/>
  <c r="D28" i="42"/>
  <c r="D29" i="42"/>
  <c r="D30" i="42"/>
  <c r="D31" i="42"/>
  <c r="D32" i="42"/>
  <c r="D33" i="42"/>
  <c r="CK3" i="41"/>
  <c r="CK4" i="41"/>
  <c r="CK5" i="41"/>
  <c r="CK6" i="41"/>
  <c r="CK7" i="41"/>
  <c r="CK8" i="41"/>
  <c r="CK9" i="41"/>
  <c r="CK10" i="41"/>
  <c r="CK11" i="41"/>
  <c r="CK14" i="41"/>
  <c r="CK36" i="41" s="1"/>
  <c r="CK15" i="41"/>
  <c r="CK16" i="41"/>
  <c r="CK17" i="41"/>
  <c r="CK18" i="41"/>
  <c r="CK19" i="41"/>
  <c r="CK20" i="41"/>
  <c r="CK21" i="41"/>
  <c r="CK22" i="41"/>
  <c r="CK25" i="41"/>
  <c r="CK26" i="41"/>
  <c r="CK27" i="41"/>
  <c r="CK28" i="41"/>
  <c r="CK29" i="41"/>
  <c r="CK30" i="41"/>
  <c r="CK31" i="41"/>
  <c r="CK32" i="41"/>
  <c r="CK33" i="41"/>
  <c r="CI36" i="41"/>
  <c r="CJ36" i="41"/>
  <c r="CI37" i="41"/>
  <c r="CJ37" i="41"/>
  <c r="CI38" i="41"/>
  <c r="CJ38" i="41"/>
  <c r="CI39" i="41"/>
  <c r="CJ39" i="41"/>
  <c r="CI40" i="41"/>
  <c r="CJ40" i="41"/>
  <c r="CI41" i="41"/>
  <c r="CJ41" i="41"/>
  <c r="CI42" i="41"/>
  <c r="CJ42" i="41"/>
  <c r="CI43" i="41"/>
  <c r="CJ43" i="41"/>
  <c r="CI44" i="41"/>
  <c r="CJ44" i="41"/>
  <c r="D44" i="42" l="1"/>
  <c r="BG15" i="16" s="1"/>
  <c r="V113" i="16"/>
  <c r="V75" i="16"/>
  <c r="B12" i="134" s="1"/>
  <c r="V100" i="16"/>
  <c r="V141" i="67"/>
  <c r="BV43" i="42"/>
  <c r="D42" i="42"/>
  <c r="AR36" i="42"/>
  <c r="X36" i="42"/>
  <c r="X40" i="42"/>
  <c r="BQ37" i="42"/>
  <c r="BQ41" i="42"/>
  <c r="AW36" i="42"/>
  <c r="BB36" i="42"/>
  <c r="BB40" i="42"/>
  <c r="BL43" i="42"/>
  <c r="N36" i="42"/>
  <c r="N40" i="42"/>
  <c r="N44" i="42"/>
  <c r="BO15" i="16" s="1"/>
  <c r="BR21" i="205" s="1"/>
  <c r="BL36" i="42"/>
  <c r="I37" i="42"/>
  <c r="S36" i="42"/>
  <c r="BB37" i="42"/>
  <c r="BL37" i="42"/>
  <c r="AH36" i="42"/>
  <c r="BQ43" i="42"/>
  <c r="AC38" i="42"/>
  <c r="AC42" i="42"/>
  <c r="AW38" i="42"/>
  <c r="BV41" i="42"/>
  <c r="AX15" i="413"/>
  <c r="AV14" i="413"/>
  <c r="AT14" i="413" s="1"/>
  <c r="K139" i="16"/>
  <c r="BV37" i="42"/>
  <c r="BV39" i="42"/>
  <c r="BV42" i="42"/>
  <c r="BV40" i="42"/>
  <c r="BV38" i="42"/>
  <c r="BL39" i="42"/>
  <c r="BL40" i="42"/>
  <c r="BL44" i="42"/>
  <c r="CO15" i="16" s="1"/>
  <c r="BL42" i="42"/>
  <c r="BL41" i="42"/>
  <c r="BL38" i="42"/>
  <c r="BB43" i="42"/>
  <c r="BB39" i="42"/>
  <c r="BB44" i="42"/>
  <c r="BB41" i="42"/>
  <c r="AW41" i="42"/>
  <c r="AW44" i="42"/>
  <c r="CF15" i="16" s="1"/>
  <c r="AW42" i="42"/>
  <c r="AW40" i="42"/>
  <c r="AW39" i="42"/>
  <c r="AC41" i="42"/>
  <c r="X43" i="42"/>
  <c r="X42" i="42"/>
  <c r="X39" i="42"/>
  <c r="X38" i="42"/>
  <c r="X44" i="42"/>
  <c r="BR15" i="16" s="1"/>
  <c r="AL58" i="16" s="1"/>
  <c r="X41" i="42"/>
  <c r="X37" i="42"/>
  <c r="AC39" i="42"/>
  <c r="AC43" i="42"/>
  <c r="AC36" i="42"/>
  <c r="AC40" i="42"/>
  <c r="AC44" i="42"/>
  <c r="BS15" i="16" s="1"/>
  <c r="AR44" i="42"/>
  <c r="BY15" i="16" s="1"/>
  <c r="AR40" i="42"/>
  <c r="AR39" i="42"/>
  <c r="AR37" i="42"/>
  <c r="AR41" i="42"/>
  <c r="AR38" i="42"/>
  <c r="AR42" i="42"/>
  <c r="BQ44" i="42"/>
  <c r="CP15" i="16" s="1"/>
  <c r="BQ40" i="42"/>
  <c r="BQ39" i="42"/>
  <c r="BQ36" i="42"/>
  <c r="BG44" i="42"/>
  <c r="CN15" i="16" s="1"/>
  <c r="BG43" i="42"/>
  <c r="BG42" i="42"/>
  <c r="BG41" i="42"/>
  <c r="BG40" i="42"/>
  <c r="BG39" i="42"/>
  <c r="BG37" i="42"/>
  <c r="AM42" i="42"/>
  <c r="AM38" i="42"/>
  <c r="AM44" i="42"/>
  <c r="BX15" i="16" s="1"/>
  <c r="AM43" i="42"/>
  <c r="AM41" i="42"/>
  <c r="AM40" i="42"/>
  <c r="AM39" i="42"/>
  <c r="AM37" i="42"/>
  <c r="AH44" i="42"/>
  <c r="AH42" i="42"/>
  <c r="AH41" i="42"/>
  <c r="AH40" i="42"/>
  <c r="AH38" i="42"/>
  <c r="S42" i="42"/>
  <c r="S40" i="42"/>
  <c r="S44" i="42"/>
  <c r="BQ15" i="16" s="1"/>
  <c r="S41" i="42"/>
  <c r="S38" i="42"/>
  <c r="N43" i="42"/>
  <c r="N42" i="42"/>
  <c r="N41" i="42"/>
  <c r="N39" i="42"/>
  <c r="I43" i="42"/>
  <c r="I42" i="42"/>
  <c r="I41" i="42"/>
  <c r="I39" i="42"/>
  <c r="I38" i="42"/>
  <c r="CK42" i="41"/>
  <c r="CK43" i="41"/>
  <c r="CK38" i="41"/>
  <c r="CK40" i="41"/>
  <c r="CK41" i="41"/>
  <c r="CK39" i="41"/>
  <c r="CK37" i="41"/>
  <c r="CK44" i="41"/>
  <c r="AG17" i="41"/>
  <c r="CF22" i="41"/>
  <c r="CF21" i="41"/>
  <c r="CF20" i="41"/>
  <c r="CF19" i="41"/>
  <c r="CF18" i="41"/>
  <c r="CF17" i="41"/>
  <c r="CF16" i="41"/>
  <c r="CF15" i="41"/>
  <c r="CF14" i="41"/>
  <c r="CA22" i="41"/>
  <c r="BV22" i="41"/>
  <c r="BQ22" i="41"/>
  <c r="BL22" i="41"/>
  <c r="BG22" i="41"/>
  <c r="CA21" i="41"/>
  <c r="BV21" i="41"/>
  <c r="BQ21" i="41"/>
  <c r="BL21" i="41"/>
  <c r="BG21" i="41"/>
  <c r="CA20" i="41"/>
  <c r="BV20" i="41"/>
  <c r="BQ20" i="41"/>
  <c r="BL20" i="41"/>
  <c r="BG20" i="41"/>
  <c r="CA19" i="41"/>
  <c r="BV19" i="41"/>
  <c r="BQ19" i="41"/>
  <c r="BL19" i="41"/>
  <c r="BG19" i="41"/>
  <c r="CA18" i="41"/>
  <c r="BV18" i="41"/>
  <c r="BQ18" i="41"/>
  <c r="BL18" i="41"/>
  <c r="BG18" i="41"/>
  <c r="CA17" i="41"/>
  <c r="BV17" i="41"/>
  <c r="BQ17" i="41"/>
  <c r="BL17" i="41"/>
  <c r="BG17" i="41"/>
  <c r="CA16" i="41"/>
  <c r="BV16" i="41"/>
  <c r="BQ16" i="41"/>
  <c r="BL16" i="41"/>
  <c r="BG16" i="41"/>
  <c r="CA15" i="41"/>
  <c r="BV15" i="41"/>
  <c r="BQ15" i="41"/>
  <c r="BL15" i="41"/>
  <c r="BG15" i="41"/>
  <c r="CA14" i="41"/>
  <c r="BV14" i="41"/>
  <c r="BQ14" i="41"/>
  <c r="BL14" i="41"/>
  <c r="BG14" i="41"/>
  <c r="BB22" i="41"/>
  <c r="AW22" i="41"/>
  <c r="AR22" i="41"/>
  <c r="AM22" i="41"/>
  <c r="AH22" i="41"/>
  <c r="BB21" i="41"/>
  <c r="AW21" i="41"/>
  <c r="AR21" i="41"/>
  <c r="AM21" i="41"/>
  <c r="AH21" i="41"/>
  <c r="BB20" i="41"/>
  <c r="AW20" i="41"/>
  <c r="AR20" i="41"/>
  <c r="AM20" i="41"/>
  <c r="AH20" i="41"/>
  <c r="BB19" i="41"/>
  <c r="AW19" i="41"/>
  <c r="AR19" i="41"/>
  <c r="AM19" i="41"/>
  <c r="AH19" i="41"/>
  <c r="BB18" i="41"/>
  <c r="AW18" i="41"/>
  <c r="AR18" i="41"/>
  <c r="AM18" i="41"/>
  <c r="AH18" i="41"/>
  <c r="BB17" i="41"/>
  <c r="AW17" i="41"/>
  <c r="AR17" i="41"/>
  <c r="AM17" i="41"/>
  <c r="BB16" i="41"/>
  <c r="AW16" i="41"/>
  <c r="AR16" i="41"/>
  <c r="AM16" i="41"/>
  <c r="AH16" i="41"/>
  <c r="BB15" i="41"/>
  <c r="AW15" i="41"/>
  <c r="AR15" i="41"/>
  <c r="AM15" i="41"/>
  <c r="AH15" i="41"/>
  <c r="BB14" i="41"/>
  <c r="AW14" i="41"/>
  <c r="AR14" i="41"/>
  <c r="AM14" i="41"/>
  <c r="AH14" i="41"/>
  <c r="AC22" i="41"/>
  <c r="AC21" i="41"/>
  <c r="AC20" i="41"/>
  <c r="AC19" i="41"/>
  <c r="AC18" i="41"/>
  <c r="AC17" i="41"/>
  <c r="AC16" i="41"/>
  <c r="AC15" i="41"/>
  <c r="AC14" i="41"/>
  <c r="X22" i="41"/>
  <c r="X21" i="41"/>
  <c r="X20" i="41"/>
  <c r="X19" i="41"/>
  <c r="X18" i="41"/>
  <c r="X17" i="41"/>
  <c r="X16" i="41"/>
  <c r="X15" i="41"/>
  <c r="X14" i="41"/>
  <c r="S22" i="41"/>
  <c r="S21" i="41"/>
  <c r="S20" i="41"/>
  <c r="S19" i="41"/>
  <c r="S18" i="41"/>
  <c r="S17" i="41"/>
  <c r="S16" i="41"/>
  <c r="S15" i="41"/>
  <c r="S14" i="41"/>
  <c r="N22" i="41"/>
  <c r="N21" i="41"/>
  <c r="N20" i="41"/>
  <c r="N19" i="41"/>
  <c r="N18" i="41"/>
  <c r="N17" i="41"/>
  <c r="N16" i="41"/>
  <c r="N15" i="41"/>
  <c r="N14" i="41"/>
  <c r="CE44" i="41"/>
  <c r="CD44" i="41"/>
  <c r="CE43" i="41"/>
  <c r="CD43" i="41"/>
  <c r="CE42" i="41"/>
  <c r="CD42" i="41"/>
  <c r="CE41" i="41"/>
  <c r="CD41" i="41"/>
  <c r="CE40" i="41"/>
  <c r="CD40" i="41"/>
  <c r="CE39" i="41"/>
  <c r="CD39" i="41"/>
  <c r="CE38" i="41"/>
  <c r="CD38" i="41"/>
  <c r="CE37" i="41"/>
  <c r="CD37" i="41"/>
  <c r="CE36" i="41"/>
  <c r="CD36" i="41"/>
  <c r="BZ44" i="41"/>
  <c r="BY44" i="41"/>
  <c r="BU44" i="41"/>
  <c r="BT44" i="41"/>
  <c r="BP44" i="41"/>
  <c r="BO44" i="41"/>
  <c r="BK44" i="41"/>
  <c r="BJ44" i="41"/>
  <c r="BF44" i="41"/>
  <c r="BE44" i="41"/>
  <c r="BZ43" i="41"/>
  <c r="BY43" i="41"/>
  <c r="BU43" i="41"/>
  <c r="BT43" i="41"/>
  <c r="BP43" i="41"/>
  <c r="BO43" i="41"/>
  <c r="BK43" i="41"/>
  <c r="BJ43" i="41"/>
  <c r="BF43" i="41"/>
  <c r="BE43" i="41"/>
  <c r="BZ42" i="41"/>
  <c r="BY42" i="41"/>
  <c r="BU42" i="41"/>
  <c r="BT42" i="41"/>
  <c r="BP42" i="41"/>
  <c r="BO42" i="41"/>
  <c r="BK42" i="41"/>
  <c r="BJ42" i="41"/>
  <c r="BF42" i="41"/>
  <c r="BE42" i="41"/>
  <c r="BZ41" i="41"/>
  <c r="BY41" i="41"/>
  <c r="BU41" i="41"/>
  <c r="BT41" i="41"/>
  <c r="BP41" i="41"/>
  <c r="BO41" i="41"/>
  <c r="BK41" i="41"/>
  <c r="BJ41" i="41"/>
  <c r="BF41" i="41"/>
  <c r="BE41" i="41"/>
  <c r="BZ40" i="41"/>
  <c r="BY40" i="41"/>
  <c r="BU40" i="41"/>
  <c r="BT40" i="41"/>
  <c r="BP40" i="41"/>
  <c r="BO40" i="41"/>
  <c r="BK40" i="41"/>
  <c r="BJ40" i="41"/>
  <c r="BF40" i="41"/>
  <c r="BE40" i="41"/>
  <c r="BZ39" i="41"/>
  <c r="BY39" i="41"/>
  <c r="BU39" i="41"/>
  <c r="BT39" i="41"/>
  <c r="BP39" i="41"/>
  <c r="BO39" i="41"/>
  <c r="BK39" i="41"/>
  <c r="BJ39" i="41"/>
  <c r="BF39" i="41"/>
  <c r="BE39" i="41"/>
  <c r="BZ38" i="41"/>
  <c r="BY38" i="41"/>
  <c r="BU38" i="41"/>
  <c r="BT38" i="41"/>
  <c r="BP38" i="41"/>
  <c r="BO38" i="41"/>
  <c r="BK38" i="41"/>
  <c r="BJ38" i="41"/>
  <c r="BF38" i="41"/>
  <c r="BE38" i="41"/>
  <c r="BZ37" i="41"/>
  <c r="BY37" i="41"/>
  <c r="BU37" i="41"/>
  <c r="BT37" i="41"/>
  <c r="BP37" i="41"/>
  <c r="BO37" i="41"/>
  <c r="BK37" i="41"/>
  <c r="BJ37" i="41"/>
  <c r="BF37" i="41"/>
  <c r="BE37" i="41"/>
  <c r="BZ36" i="41"/>
  <c r="BY36" i="41"/>
  <c r="BU36" i="41"/>
  <c r="BT36" i="41"/>
  <c r="BP36" i="41"/>
  <c r="BO36" i="41"/>
  <c r="BK36" i="41"/>
  <c r="BJ36" i="41"/>
  <c r="BF36" i="41"/>
  <c r="BE36" i="41"/>
  <c r="BA44" i="41"/>
  <c r="AZ44" i="41"/>
  <c r="AV44" i="41"/>
  <c r="AU44" i="41"/>
  <c r="AQ44" i="41"/>
  <c r="AP44" i="41"/>
  <c r="AL44" i="41"/>
  <c r="AK44" i="41"/>
  <c r="AG44" i="41"/>
  <c r="AF44" i="41"/>
  <c r="BA43" i="41"/>
  <c r="AZ43" i="41"/>
  <c r="AV43" i="41"/>
  <c r="AU43" i="41"/>
  <c r="AQ43" i="41"/>
  <c r="AP43" i="41"/>
  <c r="AL43" i="41"/>
  <c r="CB14" i="16" s="1"/>
  <c r="CB15" i="16" s="1"/>
  <c r="AK43" i="41"/>
  <c r="AG43" i="41"/>
  <c r="AF43" i="41"/>
  <c r="BA42" i="41"/>
  <c r="AZ42" i="41"/>
  <c r="AV42" i="41"/>
  <c r="AU42" i="41"/>
  <c r="AQ42" i="41"/>
  <c r="AP42" i="41"/>
  <c r="AL42" i="41"/>
  <c r="AK42" i="41"/>
  <c r="AG42" i="41"/>
  <c r="AF42" i="41"/>
  <c r="BA41" i="41"/>
  <c r="AZ41" i="41"/>
  <c r="AV41" i="41"/>
  <c r="AU41" i="41"/>
  <c r="AQ41" i="41"/>
  <c r="AP41" i="41"/>
  <c r="AL41" i="41"/>
  <c r="AK41" i="41"/>
  <c r="AG41" i="41"/>
  <c r="AF41" i="41"/>
  <c r="BA40" i="41"/>
  <c r="AZ40" i="41"/>
  <c r="AV40" i="41"/>
  <c r="AU40" i="41"/>
  <c r="AQ40" i="41"/>
  <c r="AP40" i="41"/>
  <c r="AL40" i="41"/>
  <c r="AK40" i="41"/>
  <c r="AG40" i="41"/>
  <c r="AF40" i="41"/>
  <c r="BA39" i="41"/>
  <c r="AZ39" i="41"/>
  <c r="AV39" i="41"/>
  <c r="AU39" i="41"/>
  <c r="AQ39" i="41"/>
  <c r="AP39" i="41"/>
  <c r="AL39" i="41"/>
  <c r="AK39" i="41"/>
  <c r="AF39" i="41"/>
  <c r="BA38" i="41"/>
  <c r="AZ38" i="41"/>
  <c r="AV38" i="41"/>
  <c r="AU38" i="41"/>
  <c r="AQ38" i="41"/>
  <c r="AP38" i="41"/>
  <c r="AL38" i="41"/>
  <c r="AK38" i="41"/>
  <c r="AG38" i="41"/>
  <c r="AF38" i="41"/>
  <c r="BA37" i="41"/>
  <c r="AZ37" i="41"/>
  <c r="AV37" i="41"/>
  <c r="AU37" i="41"/>
  <c r="AQ37" i="41"/>
  <c r="AP37" i="41"/>
  <c r="AL37" i="41"/>
  <c r="AK37" i="41"/>
  <c r="AG37" i="41"/>
  <c r="AF37" i="41"/>
  <c r="BA36" i="41"/>
  <c r="AZ36" i="41"/>
  <c r="AV36" i="41"/>
  <c r="AU36" i="41"/>
  <c r="AQ36" i="41"/>
  <c r="AP36" i="41"/>
  <c r="AL36" i="41"/>
  <c r="AK36" i="41"/>
  <c r="AG36" i="41"/>
  <c r="AF36" i="41"/>
  <c r="AB44" i="41"/>
  <c r="AA44" i="41"/>
  <c r="AB43" i="41"/>
  <c r="AA43" i="41"/>
  <c r="AB42" i="41"/>
  <c r="AA42" i="41"/>
  <c r="AB41" i="41"/>
  <c r="AA41" i="41"/>
  <c r="AB40" i="41"/>
  <c r="AA40" i="41"/>
  <c r="AB39" i="41"/>
  <c r="AA39" i="41"/>
  <c r="AB38" i="41"/>
  <c r="AA38" i="41"/>
  <c r="AB37" i="41"/>
  <c r="AA37" i="41"/>
  <c r="AB36" i="41"/>
  <c r="AA36" i="41"/>
  <c r="W44" i="41"/>
  <c r="V44" i="41"/>
  <c r="W43" i="41"/>
  <c r="V43" i="41"/>
  <c r="W42" i="41"/>
  <c r="V42" i="41"/>
  <c r="W41" i="41"/>
  <c r="V41" i="41"/>
  <c r="W40" i="41"/>
  <c r="V40" i="41"/>
  <c r="W39" i="41"/>
  <c r="V39" i="41"/>
  <c r="W38" i="41"/>
  <c r="V38" i="41"/>
  <c r="W37" i="41"/>
  <c r="V37" i="41"/>
  <c r="W36" i="41"/>
  <c r="V36" i="41"/>
  <c r="R44" i="41"/>
  <c r="Q44" i="41"/>
  <c r="R43" i="41"/>
  <c r="Q43" i="41"/>
  <c r="R42" i="41"/>
  <c r="Q42" i="41"/>
  <c r="R41" i="41"/>
  <c r="Q41" i="41"/>
  <c r="R40" i="41"/>
  <c r="Q40" i="41"/>
  <c r="R39" i="41"/>
  <c r="Q39" i="41"/>
  <c r="R38" i="41"/>
  <c r="Q38" i="41"/>
  <c r="R37" i="41"/>
  <c r="Q37" i="41"/>
  <c r="R36" i="41"/>
  <c r="Q36" i="41"/>
  <c r="M44" i="41"/>
  <c r="L44" i="41"/>
  <c r="M43" i="41"/>
  <c r="L43" i="41"/>
  <c r="M42" i="41"/>
  <c r="L42" i="41"/>
  <c r="M41" i="41"/>
  <c r="L41" i="41"/>
  <c r="M40" i="41"/>
  <c r="L40" i="41"/>
  <c r="M39" i="41"/>
  <c r="L39" i="41"/>
  <c r="M38" i="41"/>
  <c r="L38" i="41"/>
  <c r="M37" i="41"/>
  <c r="L37" i="41"/>
  <c r="M36" i="41"/>
  <c r="L36" i="41"/>
  <c r="H44" i="41"/>
  <c r="G44" i="41"/>
  <c r="H43" i="41"/>
  <c r="G43" i="41"/>
  <c r="H42" i="41"/>
  <c r="G42" i="41"/>
  <c r="H41" i="41"/>
  <c r="G41" i="41"/>
  <c r="H40" i="41"/>
  <c r="G40" i="41"/>
  <c r="H39" i="41"/>
  <c r="G39" i="41"/>
  <c r="H38" i="41"/>
  <c r="G38" i="41"/>
  <c r="H37" i="41"/>
  <c r="G37" i="41"/>
  <c r="H36" i="41"/>
  <c r="G36" i="41"/>
  <c r="AL59" i="16" l="1"/>
  <c r="I76" i="16" s="1"/>
  <c r="B13" i="214" s="1"/>
  <c r="I113" i="16"/>
  <c r="I75" i="16"/>
  <c r="B12" i="214" s="1"/>
  <c r="I100" i="16"/>
  <c r="I141" i="67"/>
  <c r="AG39" i="41"/>
  <c r="BV44" i="16"/>
  <c r="BT21" i="205"/>
  <c r="C21" i="205" s="1"/>
  <c r="I21" i="205" s="1"/>
  <c r="BS21" i="205"/>
  <c r="AZ12" i="134"/>
  <c r="H69" i="134"/>
  <c r="K69" i="134" s="1"/>
  <c r="AD12" i="134"/>
  <c r="BU13" i="16"/>
  <c r="BU14" i="16" s="1"/>
  <c r="BU15" i="16" s="1"/>
  <c r="AX16" i="413"/>
  <c r="AV15" i="413"/>
  <c r="AT15" i="413" s="1"/>
  <c r="K140" i="16"/>
  <c r="AH17" i="41"/>
  <c r="H69" i="214" l="1"/>
  <c r="K69" i="214" s="1"/>
  <c r="D59" i="214" s="1"/>
  <c r="AD13" i="214" s="1"/>
  <c r="AD12" i="214"/>
  <c r="BV60" i="16"/>
  <c r="CT60" i="16" s="1"/>
  <c r="CT44" i="16"/>
  <c r="BA10" i="16" s="1"/>
  <c r="AX17" i="413"/>
  <c r="K141" i="16"/>
  <c r="CF33" i="41"/>
  <c r="CF32" i="41"/>
  <c r="CF31" i="41"/>
  <c r="CF30" i="41"/>
  <c r="CF29" i="41"/>
  <c r="CF28" i="41"/>
  <c r="CF27" i="41"/>
  <c r="CF26" i="41"/>
  <c r="CF25" i="41"/>
  <c r="CF11" i="41"/>
  <c r="CF44" i="41" s="1"/>
  <c r="CM15" i="16" s="1"/>
  <c r="CF10" i="41"/>
  <c r="CF43" i="41" s="1"/>
  <c r="CM14" i="16" s="1"/>
  <c r="CF9" i="41"/>
  <c r="CF42" i="41" s="1"/>
  <c r="CF8" i="41"/>
  <c r="CF41" i="41" s="1"/>
  <c r="CF7" i="41"/>
  <c r="CF40" i="41" s="1"/>
  <c r="CF6" i="41"/>
  <c r="CF39" i="41" s="1"/>
  <c r="CF5" i="41"/>
  <c r="CF38" i="41" s="1"/>
  <c r="CF4" i="41"/>
  <c r="CF37" i="41" s="1"/>
  <c r="CF3" i="41"/>
  <c r="CF36" i="41" s="1"/>
  <c r="CA33" i="41"/>
  <c r="BV33" i="41"/>
  <c r="BQ33" i="41"/>
  <c r="BL33" i="41"/>
  <c r="BG33" i="41"/>
  <c r="CA32" i="41"/>
  <c r="BV32" i="41"/>
  <c r="BQ32" i="41"/>
  <c r="BL32" i="41"/>
  <c r="BG32" i="41"/>
  <c r="CA31" i="41"/>
  <c r="BV31" i="41"/>
  <c r="BQ31" i="41"/>
  <c r="BL31" i="41"/>
  <c r="BG31" i="41"/>
  <c r="CA30" i="41"/>
  <c r="BV30" i="41"/>
  <c r="BQ30" i="41"/>
  <c r="BL30" i="41"/>
  <c r="BG30" i="41"/>
  <c r="CA29" i="41"/>
  <c r="BV29" i="41"/>
  <c r="BQ29" i="41"/>
  <c r="BL29" i="41"/>
  <c r="BG29" i="41"/>
  <c r="CA28" i="41"/>
  <c r="BV28" i="41"/>
  <c r="BQ28" i="41"/>
  <c r="BL28" i="41"/>
  <c r="BG28" i="41"/>
  <c r="CA27" i="41"/>
  <c r="BV27" i="41"/>
  <c r="BQ27" i="41"/>
  <c r="BL27" i="41"/>
  <c r="BG27" i="41"/>
  <c r="CA26" i="41"/>
  <c r="BV26" i="41"/>
  <c r="BQ26" i="41"/>
  <c r="BL26" i="41"/>
  <c r="BG26" i="41"/>
  <c r="CA25" i="41"/>
  <c r="BV25" i="41"/>
  <c r="BQ25" i="41"/>
  <c r="BL25" i="41"/>
  <c r="BG25" i="41"/>
  <c r="CA11" i="41"/>
  <c r="CA44" i="41" s="1"/>
  <c r="CL15" i="16" s="1"/>
  <c r="BV11" i="41"/>
  <c r="BV44" i="41" s="1"/>
  <c r="CK15" i="16" s="1"/>
  <c r="BQ11" i="41"/>
  <c r="BQ44" i="41" s="1"/>
  <c r="CJ15" i="16" s="1"/>
  <c r="BL11" i="41"/>
  <c r="BL44" i="41" s="1"/>
  <c r="BG11" i="41"/>
  <c r="BG44" i="41" s="1"/>
  <c r="CA10" i="41"/>
  <c r="CA43" i="41" s="1"/>
  <c r="CL14" i="16" s="1"/>
  <c r="BV10" i="41"/>
  <c r="BV43" i="41" s="1"/>
  <c r="CK14" i="16" s="1"/>
  <c r="BQ10" i="41"/>
  <c r="BQ43" i="41" s="1"/>
  <c r="BL10" i="41"/>
  <c r="BL43" i="41" s="1"/>
  <c r="BG10" i="41"/>
  <c r="BG43" i="41" s="1"/>
  <c r="CA9" i="41"/>
  <c r="CA42" i="41" s="1"/>
  <c r="CL13" i="16" s="1"/>
  <c r="BV9" i="41"/>
  <c r="BV42" i="41" s="1"/>
  <c r="CK13" i="16" s="1"/>
  <c r="BQ9" i="41"/>
  <c r="BQ42" i="41" s="1"/>
  <c r="BL9" i="41"/>
  <c r="BL42" i="41" s="1"/>
  <c r="BG9" i="41"/>
  <c r="BG42" i="41" s="1"/>
  <c r="CA8" i="41"/>
  <c r="CA41" i="41" s="1"/>
  <c r="BV8" i="41"/>
  <c r="BV41" i="41" s="1"/>
  <c r="BQ8" i="41"/>
  <c r="BQ41" i="41" s="1"/>
  <c r="BL8" i="41"/>
  <c r="BL41" i="41" s="1"/>
  <c r="BG8" i="41"/>
  <c r="BG41" i="41" s="1"/>
  <c r="CA7" i="41"/>
  <c r="CA40" i="41" s="1"/>
  <c r="BV7" i="41"/>
  <c r="BV40" i="41" s="1"/>
  <c r="BQ7" i="41"/>
  <c r="BQ40" i="41" s="1"/>
  <c r="BL7" i="41"/>
  <c r="BL40" i="41" s="1"/>
  <c r="BG7" i="41"/>
  <c r="BG40" i="41" s="1"/>
  <c r="CA6" i="41"/>
  <c r="CA39" i="41" s="1"/>
  <c r="BV6" i="41"/>
  <c r="BV39" i="41" s="1"/>
  <c r="BQ6" i="41"/>
  <c r="BQ39" i="41" s="1"/>
  <c r="BL6" i="41"/>
  <c r="BL39" i="41" s="1"/>
  <c r="BG6" i="41"/>
  <c r="BG39" i="41" s="1"/>
  <c r="CA5" i="41"/>
  <c r="CA38" i="41" s="1"/>
  <c r="BV5" i="41"/>
  <c r="BV38" i="41" s="1"/>
  <c r="BQ5" i="41"/>
  <c r="BQ38" i="41" s="1"/>
  <c r="BL5" i="41"/>
  <c r="BL38" i="41" s="1"/>
  <c r="BG5" i="41"/>
  <c r="BG38" i="41" s="1"/>
  <c r="CA4" i="41"/>
  <c r="CA37" i="41" s="1"/>
  <c r="BV4" i="41"/>
  <c r="BV37" i="41" s="1"/>
  <c r="BQ4" i="41"/>
  <c r="BQ37" i="41" s="1"/>
  <c r="BL4" i="41"/>
  <c r="BL37" i="41" s="1"/>
  <c r="BG4" i="41"/>
  <c r="BG37" i="41" s="1"/>
  <c r="CA3" i="41"/>
  <c r="CA36" i="41" s="1"/>
  <c r="BV3" i="41"/>
  <c r="BV36" i="41" s="1"/>
  <c r="BQ3" i="41"/>
  <c r="BQ36" i="41" s="1"/>
  <c r="BL3" i="41"/>
  <c r="BL36" i="41" s="1"/>
  <c r="BG3" i="41"/>
  <c r="BG36" i="41" s="1"/>
  <c r="BB33" i="41"/>
  <c r="AW33" i="41"/>
  <c r="AR33" i="41"/>
  <c r="AM33" i="41"/>
  <c r="AH33" i="41"/>
  <c r="BB32" i="41"/>
  <c r="AW32" i="41"/>
  <c r="AR32" i="41"/>
  <c r="AM32" i="41"/>
  <c r="AH32" i="41"/>
  <c r="BB31" i="41"/>
  <c r="AW31" i="41"/>
  <c r="AR31" i="41"/>
  <c r="AM31" i="41"/>
  <c r="AH31" i="41"/>
  <c r="BB30" i="41"/>
  <c r="AW30" i="41"/>
  <c r="AR30" i="41"/>
  <c r="AM30" i="41"/>
  <c r="AH30" i="41"/>
  <c r="BB29" i="41"/>
  <c r="AW29" i="41"/>
  <c r="AR29" i="41"/>
  <c r="AM29" i="41"/>
  <c r="AH29" i="41"/>
  <c r="BB28" i="41"/>
  <c r="AW28" i="41"/>
  <c r="AR28" i="41"/>
  <c r="AM28" i="41"/>
  <c r="AH28" i="41"/>
  <c r="BB27" i="41"/>
  <c r="AW27" i="41"/>
  <c r="AR27" i="41"/>
  <c r="AM27" i="41"/>
  <c r="AH27" i="41"/>
  <c r="BB26" i="41"/>
  <c r="AW26" i="41"/>
  <c r="AR26" i="41"/>
  <c r="AM26" i="41"/>
  <c r="AH26" i="41"/>
  <c r="BB25" i="41"/>
  <c r="AW25" i="41"/>
  <c r="AR25" i="41"/>
  <c r="AM25" i="41"/>
  <c r="AH25" i="41"/>
  <c r="BB11" i="41"/>
  <c r="BB44" i="41" s="1"/>
  <c r="CD15" i="16" s="1"/>
  <c r="AW11" i="41"/>
  <c r="AW44" i="41" s="1"/>
  <c r="AR11" i="41"/>
  <c r="AR44" i="41" s="1"/>
  <c r="AM11" i="41"/>
  <c r="AM44" i="41" s="1"/>
  <c r="AH11" i="41"/>
  <c r="AH44" i="41" s="1"/>
  <c r="BB10" i="41"/>
  <c r="BB43" i="41" s="1"/>
  <c r="AW10" i="41"/>
  <c r="AW43" i="41" s="1"/>
  <c r="AR10" i="41"/>
  <c r="AR43" i="41" s="1"/>
  <c r="AM10" i="41"/>
  <c r="AM43" i="41" s="1"/>
  <c r="AH10" i="41"/>
  <c r="AH43" i="41" s="1"/>
  <c r="BV14" i="16" s="1"/>
  <c r="BB9" i="41"/>
  <c r="BB42" i="41" s="1"/>
  <c r="AW9" i="41"/>
  <c r="AW42" i="41" s="1"/>
  <c r="AR9" i="41"/>
  <c r="AR42" i="41" s="1"/>
  <c r="AM9" i="41"/>
  <c r="AM42" i="41" s="1"/>
  <c r="AH9" i="41"/>
  <c r="AH42" i="41" s="1"/>
  <c r="BB8" i="41"/>
  <c r="BB41" i="41" s="1"/>
  <c r="AW8" i="41"/>
  <c r="AW41" i="41" s="1"/>
  <c r="AR8" i="41"/>
  <c r="AR41" i="41" s="1"/>
  <c r="AM8" i="41"/>
  <c r="AM41" i="41" s="1"/>
  <c r="AH8" i="41"/>
  <c r="AH41" i="41" s="1"/>
  <c r="BB7" i="41"/>
  <c r="BB40" i="41" s="1"/>
  <c r="AW7" i="41"/>
  <c r="AW40" i="41" s="1"/>
  <c r="AR7" i="41"/>
  <c r="AR40" i="41" s="1"/>
  <c r="AM7" i="41"/>
  <c r="AM40" i="41" s="1"/>
  <c r="AH7" i="41"/>
  <c r="AH40" i="41" s="1"/>
  <c r="BB6" i="41"/>
  <c r="BB39" i="41" s="1"/>
  <c r="AW6" i="41"/>
  <c r="AW39" i="41" s="1"/>
  <c r="AR6" i="41"/>
  <c r="AR39" i="41" s="1"/>
  <c r="AM6" i="41"/>
  <c r="AM39" i="41" s="1"/>
  <c r="AH6" i="41"/>
  <c r="AH39" i="41" s="1"/>
  <c r="BB5" i="41"/>
  <c r="BB38" i="41" s="1"/>
  <c r="AW5" i="41"/>
  <c r="AW38" i="41" s="1"/>
  <c r="AR5" i="41"/>
  <c r="AR38" i="41" s="1"/>
  <c r="AM5" i="41"/>
  <c r="AM38" i="41" s="1"/>
  <c r="AH5" i="41"/>
  <c r="AH38" i="41" s="1"/>
  <c r="BB4" i="41"/>
  <c r="BB37" i="41" s="1"/>
  <c r="AW4" i="41"/>
  <c r="AW37" i="41" s="1"/>
  <c r="AR4" i="41"/>
  <c r="AR37" i="41" s="1"/>
  <c r="AM4" i="41"/>
  <c r="AM37" i="41" s="1"/>
  <c r="AH4" i="41"/>
  <c r="AH37" i="41" s="1"/>
  <c r="BB3" i="41"/>
  <c r="BB36" i="41" s="1"/>
  <c r="AW3" i="41"/>
  <c r="AW36" i="41" s="1"/>
  <c r="AR3" i="41"/>
  <c r="AR36" i="41" s="1"/>
  <c r="AM3" i="41"/>
  <c r="AM36" i="41" s="1"/>
  <c r="AH3" i="41"/>
  <c r="AH36" i="41" s="1"/>
  <c r="B37" i="41"/>
  <c r="C37" i="41"/>
  <c r="B38" i="41"/>
  <c r="D38" i="41" s="1"/>
  <c r="C38" i="41"/>
  <c r="B39" i="41"/>
  <c r="C39" i="41"/>
  <c r="B40" i="41"/>
  <c r="C40" i="41"/>
  <c r="B41" i="41"/>
  <c r="B42" i="41"/>
  <c r="C42" i="41"/>
  <c r="B43" i="41"/>
  <c r="C43" i="41"/>
  <c r="B44" i="41"/>
  <c r="C44" i="41"/>
  <c r="C36" i="41"/>
  <c r="B36" i="41"/>
  <c r="D36" i="41" s="1"/>
  <c r="AC33" i="41"/>
  <c r="AC32" i="41"/>
  <c r="AC31" i="41"/>
  <c r="AC30" i="41"/>
  <c r="AC29" i="41"/>
  <c r="AC28" i="41"/>
  <c r="AC27" i="41"/>
  <c r="AC26" i="41"/>
  <c r="AC25" i="41"/>
  <c r="AC11" i="41"/>
  <c r="AC44" i="41" s="1"/>
  <c r="BT15" i="16" s="1"/>
  <c r="AC10" i="41"/>
  <c r="AC43" i="41" s="1"/>
  <c r="AC9" i="41"/>
  <c r="AC42" i="41" s="1"/>
  <c r="AC8" i="41"/>
  <c r="AC41" i="41" s="1"/>
  <c r="AC7" i="41"/>
  <c r="AC40" i="41" s="1"/>
  <c r="AC6" i="41"/>
  <c r="AC39" i="41" s="1"/>
  <c r="AC5" i="41"/>
  <c r="AC38" i="41" s="1"/>
  <c r="AC4" i="41"/>
  <c r="AC37" i="41" s="1"/>
  <c r="AC3" i="41"/>
  <c r="AC36" i="41" s="1"/>
  <c r="X33" i="41"/>
  <c r="X32" i="41"/>
  <c r="X31" i="41"/>
  <c r="X30" i="41"/>
  <c r="X29" i="41"/>
  <c r="X28" i="41"/>
  <c r="X27" i="41"/>
  <c r="X26" i="41"/>
  <c r="X25" i="41"/>
  <c r="X11" i="41"/>
  <c r="X44" i="41" s="1"/>
  <c r="X10" i="41"/>
  <c r="X43" i="41" s="1"/>
  <c r="X9" i="41"/>
  <c r="X42" i="41" s="1"/>
  <c r="X8" i="41"/>
  <c r="X41" i="41" s="1"/>
  <c r="X7" i="41"/>
  <c r="X40" i="41" s="1"/>
  <c r="X6" i="41"/>
  <c r="X39" i="41" s="1"/>
  <c r="X5" i="41"/>
  <c r="X38" i="41" s="1"/>
  <c r="X4" i="41"/>
  <c r="X37" i="41" s="1"/>
  <c r="X3" i="41"/>
  <c r="X36" i="41" s="1"/>
  <c r="S33" i="41"/>
  <c r="S32" i="41"/>
  <c r="S31" i="41"/>
  <c r="S30" i="41"/>
  <c r="S29" i="41"/>
  <c r="S28" i="41"/>
  <c r="S27" i="41"/>
  <c r="S26" i="41"/>
  <c r="S25" i="41"/>
  <c r="S11" i="41"/>
  <c r="S44" i="41" s="1"/>
  <c r="BN15" i="16" s="1"/>
  <c r="S10" i="41"/>
  <c r="S43" i="41" s="1"/>
  <c r="BN14" i="16" s="1"/>
  <c r="S9" i="41"/>
  <c r="S42" i="41" s="1"/>
  <c r="BN13" i="16" s="1"/>
  <c r="S8" i="41"/>
  <c r="S41" i="41" s="1"/>
  <c r="S7" i="41"/>
  <c r="S40" i="41" s="1"/>
  <c r="S6" i="41"/>
  <c r="S39" i="41" s="1"/>
  <c r="S5" i="41"/>
  <c r="S38" i="41" s="1"/>
  <c r="S4" i="41"/>
  <c r="S37" i="41" s="1"/>
  <c r="S3" i="41"/>
  <c r="S36" i="41" s="1"/>
  <c r="N33" i="41"/>
  <c r="N32" i="41"/>
  <c r="N31" i="41"/>
  <c r="N30" i="41"/>
  <c r="N29" i="41"/>
  <c r="N28" i="41"/>
  <c r="N27" i="41"/>
  <c r="N26" i="41"/>
  <c r="N25" i="41"/>
  <c r="N11" i="41"/>
  <c r="N44" i="41" s="1"/>
  <c r="BM15" i="16" s="1"/>
  <c r="N10" i="41"/>
  <c r="N43" i="41" s="1"/>
  <c r="N9" i="41"/>
  <c r="N42" i="41" s="1"/>
  <c r="N8" i="41"/>
  <c r="N41" i="41" s="1"/>
  <c r="N7" i="41"/>
  <c r="N40" i="41" s="1"/>
  <c r="N6" i="41"/>
  <c r="N39" i="41" s="1"/>
  <c r="N5" i="41"/>
  <c r="N38" i="41" s="1"/>
  <c r="N4" i="41"/>
  <c r="N37" i="41" s="1"/>
  <c r="N3" i="41"/>
  <c r="N36" i="41" s="1"/>
  <c r="I33" i="41"/>
  <c r="I32" i="41"/>
  <c r="I31" i="41"/>
  <c r="I30" i="41"/>
  <c r="I29" i="41"/>
  <c r="I28" i="41"/>
  <c r="I27" i="41"/>
  <c r="I26" i="41"/>
  <c r="I25" i="41"/>
  <c r="I22" i="41"/>
  <c r="I21" i="41"/>
  <c r="I20" i="41"/>
  <c r="I19" i="41"/>
  <c r="I18" i="41"/>
  <c r="I17" i="41"/>
  <c r="I16" i="41"/>
  <c r="I15" i="41"/>
  <c r="I14" i="41"/>
  <c r="I11" i="41"/>
  <c r="I10" i="41"/>
  <c r="I9" i="41"/>
  <c r="I8" i="41"/>
  <c r="I7" i="41"/>
  <c r="I6" i="41"/>
  <c r="I5" i="41"/>
  <c r="I4" i="41"/>
  <c r="I3" i="41"/>
  <c r="D3" i="41"/>
  <c r="D4" i="41"/>
  <c r="D5" i="41"/>
  <c r="D6" i="41"/>
  <c r="D7" i="41"/>
  <c r="D8" i="41"/>
  <c r="D9" i="41"/>
  <c r="D10" i="41"/>
  <c r="D11" i="41"/>
  <c r="D37" i="41"/>
  <c r="D26" i="41"/>
  <c r="D27" i="41"/>
  <c r="D28" i="41"/>
  <c r="D29" i="41"/>
  <c r="D30" i="41"/>
  <c r="D31" i="41"/>
  <c r="D32" i="41"/>
  <c r="D33" i="41"/>
  <c r="D25" i="41"/>
  <c r="D15" i="41"/>
  <c r="D16" i="41"/>
  <c r="D17" i="41"/>
  <c r="D18" i="41"/>
  <c r="D19" i="41"/>
  <c r="D20" i="41"/>
  <c r="D42" i="41" s="1"/>
  <c r="BI13" i="16" s="1"/>
  <c r="CT13" i="16" s="1"/>
  <c r="BA56" i="16" s="1"/>
  <c r="D21" i="41"/>
  <c r="D22" i="41"/>
  <c r="D14" i="41"/>
  <c r="BZ9" i="16"/>
  <c r="CA9" i="16"/>
  <c r="BZ10" i="16"/>
  <c r="CA10" i="16"/>
  <c r="BZ11" i="16"/>
  <c r="CA11" i="16"/>
  <c r="BZ12" i="16"/>
  <c r="CA12" i="16"/>
  <c r="BZ13" i="16"/>
  <c r="CA8" i="16"/>
  <c r="BS9" i="16"/>
  <c r="AM52" i="16" s="1"/>
  <c r="J135" i="67" s="1"/>
  <c r="BR9" i="16"/>
  <c r="AL52" i="16" s="1"/>
  <c r="I135" i="67" s="1"/>
  <c r="BK9" i="16"/>
  <c r="BK10" i="16"/>
  <c r="BK11" i="16"/>
  <c r="BK12" i="16"/>
  <c r="BK13" i="16"/>
  <c r="BK14" i="16"/>
  <c r="BK15" i="16"/>
  <c r="BK8" i="16"/>
  <c r="BJ9" i="16"/>
  <c r="BJ10" i="16"/>
  <c r="BJ11" i="16"/>
  <c r="BJ12" i="16"/>
  <c r="BJ13" i="16"/>
  <c r="BJ14" i="16"/>
  <c r="BJ15" i="16"/>
  <c r="BJ8" i="16"/>
  <c r="I40" i="41" l="1"/>
  <c r="BP14" i="16"/>
  <c r="BP15" i="16" s="1"/>
  <c r="BV15" i="16"/>
  <c r="X10" i="16"/>
  <c r="X139" i="67"/>
  <c r="X111" i="16"/>
  <c r="X98" i="16"/>
  <c r="X73" i="16"/>
  <c r="B10" i="380" s="1"/>
  <c r="Q10" i="380" s="1"/>
  <c r="CE14" i="16"/>
  <c r="CE15" i="16" s="1"/>
  <c r="D39" i="41"/>
  <c r="BI10" i="16" s="1"/>
  <c r="CT10" i="16" s="1"/>
  <c r="BA53" i="16" s="1"/>
  <c r="X108" i="16" s="1"/>
  <c r="I37" i="41"/>
  <c r="CC14" i="16"/>
  <c r="CC15" i="16" s="1"/>
  <c r="CI14" i="16"/>
  <c r="CI15" i="16" s="1"/>
  <c r="AX18" i="413"/>
  <c r="I69" i="16"/>
  <c r="B6" i="214" s="1"/>
  <c r="I94" i="16"/>
  <c r="J69" i="16"/>
  <c r="B6" i="216" s="1"/>
  <c r="AD6" i="216" s="1"/>
  <c r="J94" i="16"/>
  <c r="K142" i="16"/>
  <c r="I42" i="41"/>
  <c r="I43" i="41"/>
  <c r="BL14" i="16" s="1"/>
  <c r="D43" i="41"/>
  <c r="BI14" i="16" s="1"/>
  <c r="I39" i="41"/>
  <c r="D41" i="41"/>
  <c r="BI12" i="16" s="1"/>
  <c r="CT12" i="16" s="1"/>
  <c r="BA55" i="16" s="1"/>
  <c r="I41" i="41"/>
  <c r="D40" i="41"/>
  <c r="BI11" i="16" s="1"/>
  <c r="CT11" i="16" s="1"/>
  <c r="BA54" i="16" s="1"/>
  <c r="I36" i="41"/>
  <c r="I44" i="41"/>
  <c r="BL15" i="16" s="1"/>
  <c r="D44" i="41"/>
  <c r="BI15" i="16" s="1"/>
  <c r="I38" i="41"/>
  <c r="E9" i="20"/>
  <c r="X70" i="16" l="1"/>
  <c r="B7" i="380" s="1"/>
  <c r="Q7" i="380" s="1"/>
  <c r="X138" i="16"/>
  <c r="X139" i="16" s="1"/>
  <c r="X140" i="16" s="1"/>
  <c r="X141" i="16" s="1"/>
  <c r="X142" i="16" s="1"/>
  <c r="X143" i="16" s="1"/>
  <c r="X137" i="67"/>
  <c r="X96" i="16"/>
  <c r="X109" i="16"/>
  <c r="X71" i="16"/>
  <c r="B8" i="380" s="1"/>
  <c r="Q8" i="380" s="1"/>
  <c r="X136" i="67"/>
  <c r="X95" i="16"/>
  <c r="X138" i="67"/>
  <c r="X110" i="16"/>
  <c r="X97" i="16"/>
  <c r="X72" i="16"/>
  <c r="B9" i="380" s="1"/>
  <c r="Q9" i="380" s="1"/>
  <c r="CT14" i="16"/>
  <c r="BA57" i="16" s="1"/>
  <c r="CT15" i="16"/>
  <c r="BA58" i="16" s="1"/>
  <c r="AX19" i="413"/>
  <c r="K143" i="16"/>
  <c r="L9" i="16"/>
  <c r="L10" i="16"/>
  <c r="L70" i="16" s="1"/>
  <c r="B7" i="221" s="1"/>
  <c r="AD7" i="221" s="1"/>
  <c r="L11" i="16"/>
  <c r="L71" i="16" s="1"/>
  <c r="B8" i="221" s="1"/>
  <c r="AD8" i="221" s="1"/>
  <c r="L12" i="16"/>
  <c r="L72" i="16" s="1"/>
  <c r="B9" i="221" s="1"/>
  <c r="AD9" i="221" s="1"/>
  <c r="L13" i="16"/>
  <c r="L73" i="16" s="1"/>
  <c r="B10" i="221" s="1"/>
  <c r="AD10" i="221" s="1"/>
  <c r="L14" i="16"/>
  <c r="U8" i="16"/>
  <c r="U9" i="16"/>
  <c r="U69" i="16" s="1"/>
  <c r="B6" i="375" s="1"/>
  <c r="AD6" i="375" s="1"/>
  <c r="U10" i="16"/>
  <c r="U70" i="16" s="1"/>
  <c r="B7" i="375" s="1"/>
  <c r="AD7" i="375" s="1"/>
  <c r="U11" i="16"/>
  <c r="U71" i="16" s="1"/>
  <c r="B8" i="375" s="1"/>
  <c r="AD8" i="375" s="1"/>
  <c r="U12" i="16"/>
  <c r="U72" i="16" s="1"/>
  <c r="B9" i="375" s="1"/>
  <c r="AD9" i="375" s="1"/>
  <c r="U13" i="16"/>
  <c r="U73" i="16" s="1"/>
  <c r="B10" i="375" s="1"/>
  <c r="AD10" i="375" s="1"/>
  <c r="U14" i="16"/>
  <c r="U15" i="16"/>
  <c r="U75" i="16" s="1"/>
  <c r="B12" i="375" s="1"/>
  <c r="S8" i="16"/>
  <c r="S9" i="16"/>
  <c r="S69" i="16" s="1"/>
  <c r="B6" i="370" s="1"/>
  <c r="S10" i="16"/>
  <c r="S70" i="16" s="1"/>
  <c r="B7" i="370" s="1"/>
  <c r="S11" i="16"/>
  <c r="S71" i="16" s="1"/>
  <c r="S12" i="16"/>
  <c r="S72" i="16" s="1"/>
  <c r="S13" i="16"/>
  <c r="S73" i="16" s="1"/>
  <c r="S14" i="16"/>
  <c r="S15" i="16"/>
  <c r="S75" i="16" s="1"/>
  <c r="B12" i="370" s="1"/>
  <c r="L15" i="16"/>
  <c r="L75" i="16" s="1"/>
  <c r="B12" i="221" s="1"/>
  <c r="H8" i="16"/>
  <c r="H9" i="16"/>
  <c r="H69" i="16" s="1"/>
  <c r="B6" i="209" s="1"/>
  <c r="AD6" i="209" s="1"/>
  <c r="H10" i="16"/>
  <c r="H70" i="16" s="1"/>
  <c r="B7" i="209" s="1"/>
  <c r="H11" i="16"/>
  <c r="H71" i="16" s="1"/>
  <c r="B8" i="209" s="1"/>
  <c r="H12" i="16"/>
  <c r="H72" i="16" s="1"/>
  <c r="B9" i="209" s="1"/>
  <c r="H13" i="16"/>
  <c r="H73" i="16" s="1"/>
  <c r="B10" i="209" s="1"/>
  <c r="H14" i="16"/>
  <c r="H15" i="16"/>
  <c r="H75" i="16" s="1"/>
  <c r="B12" i="209" s="1"/>
  <c r="G8" i="16"/>
  <c r="G9" i="16"/>
  <c r="G69" i="16" s="1"/>
  <c r="B15" i="205" s="1"/>
  <c r="C15" i="205" s="1"/>
  <c r="G10" i="16"/>
  <c r="G70" i="16" s="1"/>
  <c r="B16" i="205" s="1"/>
  <c r="C16" i="205" s="1"/>
  <c r="G11" i="16"/>
  <c r="G71" i="16" s="1"/>
  <c r="B17" i="205" s="1"/>
  <c r="C17" i="205" s="1"/>
  <c r="G12" i="16"/>
  <c r="G72" i="16" s="1"/>
  <c r="B18" i="205" s="1"/>
  <c r="C18" i="205" s="1"/>
  <c r="G13" i="16"/>
  <c r="G73" i="16" s="1"/>
  <c r="B19" i="205" s="1"/>
  <c r="G15" i="16"/>
  <c r="G75" i="16" s="1"/>
  <c r="B21" i="205" s="1"/>
  <c r="D8" i="16"/>
  <c r="D9" i="16"/>
  <c r="D69" i="16" s="1"/>
  <c r="B6" i="130" s="1"/>
  <c r="AD6" i="130" s="1"/>
  <c r="D10" i="16"/>
  <c r="D70" i="16" s="1"/>
  <c r="B7" i="130" s="1"/>
  <c r="D11" i="16"/>
  <c r="D71" i="16" s="1"/>
  <c r="B8" i="130" s="1"/>
  <c r="D12" i="16"/>
  <c r="D72" i="16" s="1"/>
  <c r="B9" i="130" s="1"/>
  <c r="D13" i="16"/>
  <c r="D73" i="16" s="1"/>
  <c r="B10" i="130" s="1"/>
  <c r="D14" i="16"/>
  <c r="C3" i="16"/>
  <c r="C63" i="16" s="1"/>
  <c r="C4" i="16"/>
  <c r="C5" i="16"/>
  <c r="C65" i="16" s="1"/>
  <c r="C6" i="16"/>
  <c r="C66" i="16" s="1"/>
  <c r="C7" i="16"/>
  <c r="C67" i="16" s="1"/>
  <c r="C8" i="16"/>
  <c r="C68" i="16" s="1"/>
  <c r="C9" i="16"/>
  <c r="C69" i="16" s="1"/>
  <c r="C10" i="16"/>
  <c r="C11" i="16"/>
  <c r="C71" i="16" s="1"/>
  <c r="C12" i="16"/>
  <c r="C72" i="16" s="1"/>
  <c r="C14" i="16"/>
  <c r="C74" i="16" s="1"/>
  <c r="C15" i="16"/>
  <c r="D15" i="16"/>
  <c r="B10" i="370" l="1"/>
  <c r="AD10" i="370" s="1"/>
  <c r="X141" i="67"/>
  <c r="BA59" i="16"/>
  <c r="X16" i="16" s="1"/>
  <c r="X75" i="16"/>
  <c r="B12" i="380" s="1"/>
  <c r="Q12" i="380" s="1"/>
  <c r="X100" i="16"/>
  <c r="X113" i="16"/>
  <c r="X112" i="16"/>
  <c r="X99" i="16"/>
  <c r="X140" i="67"/>
  <c r="X74" i="16"/>
  <c r="B11" i="380" s="1"/>
  <c r="Q11" i="380" s="1"/>
  <c r="B8" i="370"/>
  <c r="AD8" i="370" s="1"/>
  <c r="B9" i="370"/>
  <c r="AD9" i="370" s="1"/>
  <c r="I18" i="205"/>
  <c r="I15" i="205"/>
  <c r="I16" i="205"/>
  <c r="AD12" i="221"/>
  <c r="H69" i="221"/>
  <c r="K69" i="221" s="1"/>
  <c r="H69" i="370"/>
  <c r="K69" i="370" s="1"/>
  <c r="C55" i="370" s="1"/>
  <c r="AD13" i="370" s="1"/>
  <c r="AD12" i="370"/>
  <c r="AD12" i="375"/>
  <c r="H69" i="375"/>
  <c r="K69" i="375" s="1"/>
  <c r="C57" i="375" s="1"/>
  <c r="AD13" i="375" s="1"/>
  <c r="I17" i="205"/>
  <c r="AP17" i="205"/>
  <c r="AX20" i="413"/>
  <c r="AP15" i="205"/>
  <c r="AP16" i="205"/>
  <c r="AP18" i="205"/>
  <c r="AD8" i="209"/>
  <c r="AD7" i="209"/>
  <c r="AD12" i="209"/>
  <c r="AD10" i="209"/>
  <c r="AD9" i="209"/>
  <c r="C76" i="201"/>
  <c r="C75" i="183"/>
  <c r="C83" i="258"/>
  <c r="C81" i="258"/>
  <c r="C77" i="201"/>
  <c r="C79" i="258"/>
  <c r="AD10" i="130"/>
  <c r="C57" i="258"/>
  <c r="AD9" i="130"/>
  <c r="C56" i="258"/>
  <c r="AD8" i="130"/>
  <c r="C55" i="258"/>
  <c r="AD7" i="130"/>
  <c r="C54" i="258"/>
  <c r="C75" i="201"/>
  <c r="B8" i="126"/>
  <c r="B4" i="126"/>
  <c r="B11" i="126"/>
  <c r="F69" i="126" s="1"/>
  <c r="I69" i="126" s="1"/>
  <c r="B6" i="126"/>
  <c r="B5" i="126"/>
  <c r="AD5" i="126" s="1"/>
  <c r="B9" i="126"/>
  <c r="U68" i="16"/>
  <c r="U136" i="16"/>
  <c r="U137" i="16" s="1"/>
  <c r="U138" i="16" s="1"/>
  <c r="U139" i="16" s="1"/>
  <c r="U140" i="16" s="1"/>
  <c r="U141" i="16" s="1"/>
  <c r="U142" i="16" s="1"/>
  <c r="U143" i="16" s="1"/>
  <c r="C70" i="16"/>
  <c r="S68" i="16"/>
  <c r="B5" i="370" s="1"/>
  <c r="S136" i="16"/>
  <c r="S137" i="16" s="1"/>
  <c r="S138" i="16" s="1"/>
  <c r="S139" i="16" s="1"/>
  <c r="S140" i="16" s="1"/>
  <c r="S141" i="16" s="1"/>
  <c r="S142" i="16" s="1"/>
  <c r="S143" i="16" s="1"/>
  <c r="L69" i="16"/>
  <c r="B6" i="221" s="1"/>
  <c r="AD6" i="221" s="1"/>
  <c r="L137" i="16"/>
  <c r="L138" i="16" s="1"/>
  <c r="L139" i="16" s="1"/>
  <c r="L140" i="16" s="1"/>
  <c r="L141" i="16" s="1"/>
  <c r="L142" i="16" s="1"/>
  <c r="L143" i="16" s="1"/>
  <c r="C132" i="16"/>
  <c r="C133" i="16" s="1"/>
  <c r="C134" i="16" s="1"/>
  <c r="C135" i="16" s="1"/>
  <c r="C136" i="16" s="1"/>
  <c r="C137" i="16" s="1"/>
  <c r="C138" i="16" s="1"/>
  <c r="C139" i="16" s="1"/>
  <c r="C140" i="16" s="1"/>
  <c r="C141" i="16" s="1"/>
  <c r="C142" i="16" s="1"/>
  <c r="C143" i="16" s="1"/>
  <c r="C64" i="16"/>
  <c r="D68" i="16"/>
  <c r="B5" i="130" s="1"/>
  <c r="D136" i="16"/>
  <c r="D137" i="16" s="1"/>
  <c r="D138" i="16" s="1"/>
  <c r="D139" i="16" s="1"/>
  <c r="D140" i="16" s="1"/>
  <c r="D141" i="16" s="1"/>
  <c r="D142" i="16" s="1"/>
  <c r="G68" i="16"/>
  <c r="B14" i="205" s="1"/>
  <c r="C14" i="205" s="1"/>
  <c r="G136" i="16"/>
  <c r="G137" i="16" s="1"/>
  <c r="G138" i="16" s="1"/>
  <c r="G139" i="16" s="1"/>
  <c r="G140" i="16" s="1"/>
  <c r="G141" i="16" s="1"/>
  <c r="G142" i="16" s="1"/>
  <c r="G143" i="16" s="1"/>
  <c r="H68" i="16"/>
  <c r="B5" i="209" s="1"/>
  <c r="H136" i="16"/>
  <c r="H137" i="16" s="1"/>
  <c r="H138" i="16" s="1"/>
  <c r="H139" i="16" s="1"/>
  <c r="H140" i="16" s="1"/>
  <c r="H141" i="16" s="1"/>
  <c r="H142" i="16" s="1"/>
  <c r="H143" i="16" s="1"/>
  <c r="L74" i="16"/>
  <c r="B11" i="221" s="1"/>
  <c r="C75" i="16"/>
  <c r="U74" i="16"/>
  <c r="B11" i="375" s="1"/>
  <c r="S74" i="16"/>
  <c r="B11" i="370" s="1"/>
  <c r="H74" i="16"/>
  <c r="B11" i="209" s="1"/>
  <c r="G74" i="16"/>
  <c r="B20" i="205" s="1"/>
  <c r="G74" i="205" s="1"/>
  <c r="J74" i="205" s="1"/>
  <c r="D75" i="16"/>
  <c r="B12" i="130" s="1"/>
  <c r="D74" i="16"/>
  <c r="B11" i="130" s="1"/>
  <c r="E65" i="130" s="1"/>
  <c r="H65" i="130" s="1"/>
  <c r="M4" i="16"/>
  <c r="M5" i="16"/>
  <c r="M65" i="16" s="1"/>
  <c r="M6" i="16"/>
  <c r="M66" i="16" s="1"/>
  <c r="M7" i="16"/>
  <c r="M67" i="16" s="1"/>
  <c r="B4" i="224" s="1"/>
  <c r="M8" i="16"/>
  <c r="M68" i="16" s="1"/>
  <c r="B5" i="224" s="1"/>
  <c r="M9" i="16"/>
  <c r="M69" i="16" s="1"/>
  <c r="B6" i="224" s="1"/>
  <c r="M10" i="16"/>
  <c r="M70" i="16" s="1"/>
  <c r="B7" i="224" s="1"/>
  <c r="AD7" i="224" s="1"/>
  <c r="M11" i="16"/>
  <c r="M71" i="16" s="1"/>
  <c r="B8" i="224" s="1"/>
  <c r="AD8" i="224" s="1"/>
  <c r="M12" i="16"/>
  <c r="M72" i="16" s="1"/>
  <c r="B9" i="224" s="1"/>
  <c r="AD9" i="224" s="1"/>
  <c r="M13" i="16"/>
  <c r="M73" i="16" s="1"/>
  <c r="B10" i="224" s="1"/>
  <c r="AD10" i="224" s="1"/>
  <c r="M14" i="16"/>
  <c r="M15" i="16"/>
  <c r="M75" i="16" s="1"/>
  <c r="B12" i="224" s="1"/>
  <c r="M3" i="16"/>
  <c r="M63" i="16" s="1"/>
  <c r="M8" i="3"/>
  <c r="M9" i="3"/>
  <c r="M10" i="3"/>
  <c r="M11" i="3"/>
  <c r="M12" i="3"/>
  <c r="M13" i="3"/>
  <c r="M14" i="3"/>
  <c r="M15" i="3"/>
  <c r="M16" i="3"/>
  <c r="M17" i="3"/>
  <c r="M18" i="3"/>
  <c r="M19" i="3"/>
  <c r="M20" i="3"/>
  <c r="M21" i="3"/>
  <c r="M22" i="3"/>
  <c r="M23" i="3"/>
  <c r="M24" i="3"/>
  <c r="M25" i="3"/>
  <c r="U92" i="16" l="1"/>
  <c r="B5" i="375"/>
  <c r="AD5" i="375" s="1"/>
  <c r="AD11" i="221"/>
  <c r="F69" i="221"/>
  <c r="I69" i="221" s="1"/>
  <c r="G65" i="130"/>
  <c r="J65" i="130" s="1"/>
  <c r="C55" i="130" s="1"/>
  <c r="AD13" i="130" s="1"/>
  <c r="AD11" i="375"/>
  <c r="F69" i="375"/>
  <c r="I69" i="375" s="1"/>
  <c r="AX21" i="413"/>
  <c r="AD12" i="224"/>
  <c r="H69" i="224"/>
  <c r="K69" i="224" s="1"/>
  <c r="C56" i="224" s="1"/>
  <c r="AD13" i="224" s="1"/>
  <c r="F69" i="370"/>
  <c r="I69" i="370" s="1"/>
  <c r="AD11" i="370"/>
  <c r="C78" i="258"/>
  <c r="R19" i="258" s="1"/>
  <c r="V19" i="258" s="1"/>
  <c r="C76" i="183"/>
  <c r="C80" i="258"/>
  <c r="C80" i="183"/>
  <c r="C77" i="183"/>
  <c r="AD11" i="209"/>
  <c r="C80" i="201"/>
  <c r="C78" i="183"/>
  <c r="C78" i="201"/>
  <c r="X15" i="201" s="1"/>
  <c r="C79" i="183"/>
  <c r="AD9" i="126"/>
  <c r="C46" i="201"/>
  <c r="C46" i="183"/>
  <c r="C49" i="258"/>
  <c r="AD11" i="130"/>
  <c r="C58" i="258"/>
  <c r="AD12" i="130"/>
  <c r="C59" i="258"/>
  <c r="AD6" i="126"/>
  <c r="AD7" i="126" s="1"/>
  <c r="AD8" i="126" s="1"/>
  <c r="AD11" i="126"/>
  <c r="B7" i="126"/>
  <c r="B12" i="126"/>
  <c r="H69" i="126" s="1"/>
  <c r="K69" i="126" s="1"/>
  <c r="D58" i="126" s="1"/>
  <c r="M64" i="16"/>
  <c r="M132" i="16"/>
  <c r="M133" i="16" s="1"/>
  <c r="M134" i="16" s="1"/>
  <c r="M135" i="16" s="1"/>
  <c r="M136" i="16" s="1"/>
  <c r="M137" i="16" s="1"/>
  <c r="M138" i="16" s="1"/>
  <c r="M139" i="16" s="1"/>
  <c r="M140" i="16" s="1"/>
  <c r="M141" i="16" s="1"/>
  <c r="M142" i="16" s="1"/>
  <c r="M143" i="16" s="1"/>
  <c r="Y10" i="16"/>
  <c r="M74" i="16"/>
  <c r="B11" i="224" s="1"/>
  <c r="D143" i="16"/>
  <c r="AD11" i="224" l="1"/>
  <c r="F69" i="224"/>
  <c r="I69" i="224" s="1"/>
  <c r="I7" i="117"/>
  <c r="B16" i="301"/>
  <c r="B6" i="288"/>
  <c r="AX22" i="413"/>
  <c r="R15" i="258"/>
  <c r="V15" i="258" s="1"/>
  <c r="C79" i="201"/>
  <c r="C82" i="258"/>
  <c r="AD12" i="126"/>
  <c r="C47" i="183"/>
  <c r="C47" i="201"/>
  <c r="C50" i="258"/>
  <c r="C49" i="183"/>
  <c r="C52" i="258"/>
  <c r="C49" i="201"/>
  <c r="C45" i="183"/>
  <c r="C45" i="201"/>
  <c r="C48" i="258"/>
  <c r="E143" i="16"/>
  <c r="AZ58" i="16"/>
  <c r="AZ59" i="16" s="1"/>
  <c r="W76" i="16" s="1"/>
  <c r="B13" i="377" s="1"/>
  <c r="AD13" i="377" s="1"/>
  <c r="AZ57" i="16"/>
  <c r="W140" i="67" s="1"/>
  <c r="AZ56" i="16"/>
  <c r="W139" i="67" s="1"/>
  <c r="AZ55" i="16"/>
  <c r="W138" i="67" s="1"/>
  <c r="AZ54" i="16"/>
  <c r="W137" i="67" s="1"/>
  <c r="AZ53" i="16"/>
  <c r="W136" i="67" s="1"/>
  <c r="AZ52" i="16"/>
  <c r="W135" i="67" s="1"/>
  <c r="AZ51" i="16"/>
  <c r="W134" i="67" s="1"/>
  <c r="AZ50" i="16"/>
  <c r="W133" i="67" s="1"/>
  <c r="AZ49" i="16"/>
  <c r="W66" i="16" s="1"/>
  <c r="AZ48" i="16"/>
  <c r="AZ47" i="16"/>
  <c r="AZ46" i="16"/>
  <c r="W63" i="16" s="1"/>
  <c r="D21" i="39"/>
  <c r="E21" i="39" s="1"/>
  <c r="H21" i="39"/>
  <c r="F30" i="39"/>
  <c r="H30" i="39" s="1"/>
  <c r="F31" i="39"/>
  <c r="H31" i="39" s="1"/>
  <c r="F32" i="39"/>
  <c r="H32" i="39" s="1"/>
  <c r="F33" i="39"/>
  <c r="H33" i="39" s="1"/>
  <c r="F29" i="39"/>
  <c r="H29" i="39" s="1"/>
  <c r="F24" i="39"/>
  <c r="F25" i="39"/>
  <c r="D25" i="39" s="1"/>
  <c r="F26" i="39"/>
  <c r="D26" i="39" s="1"/>
  <c r="F27" i="39"/>
  <c r="D27" i="39" s="1"/>
  <c r="F28" i="39"/>
  <c r="F23" i="39"/>
  <c r="D23" i="39" s="1"/>
  <c r="D28" i="39" l="1"/>
  <c r="E28" i="39" s="1"/>
  <c r="W141" i="67"/>
  <c r="AX23" i="413"/>
  <c r="W103" i="66"/>
  <c r="W104" i="66" s="1"/>
  <c r="W105" i="66" s="1"/>
  <c r="W106" i="66" s="1"/>
  <c r="W107" i="66" s="1"/>
  <c r="W108" i="66" s="1"/>
  <c r="W109" i="66" s="1"/>
  <c r="W110" i="66" s="1"/>
  <c r="W111" i="66" s="1"/>
  <c r="W112" i="66" s="1"/>
  <c r="C50" i="183"/>
  <c r="C53" i="258"/>
  <c r="R14" i="258" s="1"/>
  <c r="V14" i="258" s="1"/>
  <c r="C50" i="201"/>
  <c r="X10" i="201" s="1"/>
  <c r="W70" i="16"/>
  <c r="B7" i="377" s="1"/>
  <c r="AD7" i="377" s="1"/>
  <c r="W95" i="16"/>
  <c r="W72" i="16"/>
  <c r="B9" i="377" s="1"/>
  <c r="AD9" i="377" s="1"/>
  <c r="W97" i="16"/>
  <c r="W73" i="16"/>
  <c r="B10" i="377" s="1"/>
  <c r="AD10" i="377" s="1"/>
  <c r="W98" i="16"/>
  <c r="W75" i="16"/>
  <c r="B12" i="377" s="1"/>
  <c r="AD12" i="377" s="1"/>
  <c r="W100" i="16"/>
  <c r="W69" i="16"/>
  <c r="B6" i="377" s="1"/>
  <c r="AD6" i="377" s="1"/>
  <c r="W94" i="16"/>
  <c r="W71" i="16"/>
  <c r="B8" i="377" s="1"/>
  <c r="AD8" i="377" s="1"/>
  <c r="W96" i="16"/>
  <c r="W74" i="16"/>
  <c r="B11" i="377" s="1"/>
  <c r="AD11" i="377" s="1"/>
  <c r="W99" i="16"/>
  <c r="W68" i="16"/>
  <c r="B5" i="377" s="1"/>
  <c r="AD5" i="377" s="1"/>
  <c r="W93" i="16"/>
  <c r="D24" i="39"/>
  <c r="E24" i="39" s="1"/>
  <c r="E25" i="39"/>
  <c r="E26" i="39"/>
  <c r="E23" i="39"/>
  <c r="E27" i="39"/>
  <c r="H27" i="39"/>
  <c r="H26" i="39"/>
  <c r="H25" i="39"/>
  <c r="H24" i="39"/>
  <c r="H23" i="39"/>
  <c r="H28" i="39"/>
  <c r="F22" i="39"/>
  <c r="D22" i="39" s="1"/>
  <c r="AX24" i="413" l="1"/>
  <c r="H22" i="39"/>
  <c r="E22" i="39"/>
  <c r="G7" i="39" l="1"/>
  <c r="G8" i="39"/>
  <c r="G9" i="39"/>
  <c r="G10" i="39"/>
  <c r="G11" i="39"/>
  <c r="G6" i="39"/>
  <c r="AS7" i="37"/>
  <c r="AS8" i="37"/>
  <c r="AS9" i="37"/>
  <c r="AS10" i="37"/>
  <c r="AS6" i="37"/>
  <c r="P41" i="39" l="1"/>
  <c r="P40" i="39"/>
  <c r="P42" i="39"/>
  <c r="P39" i="39"/>
  <c r="C73" i="39"/>
  <c r="I69" i="39" s="1"/>
  <c r="I76" i="39" s="1"/>
  <c r="N43" i="39" s="1"/>
  <c r="P43" i="39" s="1"/>
  <c r="I57" i="39" l="1"/>
  <c r="I66" i="39"/>
  <c r="I65" i="39"/>
  <c r="I63" i="39"/>
  <c r="I58" i="39"/>
  <c r="I56" i="39"/>
  <c r="I64" i="39"/>
  <c r="I55" i="39"/>
  <c r="I71" i="39"/>
  <c r="I70" i="39"/>
  <c r="I62" i="39"/>
  <c r="I54" i="39"/>
  <c r="I61" i="39"/>
  <c r="I68" i="39"/>
  <c r="I60" i="39"/>
  <c r="I67" i="39"/>
  <c r="I59" i="39"/>
  <c r="O14" i="36"/>
  <c r="AH19" i="37"/>
  <c r="AH20" i="37"/>
  <c r="AH21" i="37"/>
  <c r="AH22" i="37"/>
  <c r="AH23" i="37"/>
  <c r="AH18" i="37"/>
  <c r="B12" i="16"/>
  <c r="L13" i="34"/>
  <c r="L6" i="34"/>
  <c r="L7" i="34"/>
  <c r="L8" i="34"/>
  <c r="L5" i="34"/>
  <c r="E32" i="36"/>
  <c r="O7" i="36"/>
  <c r="O8" i="36"/>
  <c r="O9" i="36"/>
  <c r="O10" i="36"/>
  <c r="O11" i="36"/>
  <c r="O12" i="36"/>
  <c r="O13" i="36"/>
  <c r="O6" i="36"/>
  <c r="I9" i="36"/>
  <c r="K9" i="36" s="1"/>
  <c r="J9" i="36"/>
  <c r="I10" i="36"/>
  <c r="K10" i="36" s="1"/>
  <c r="J10" i="36"/>
  <c r="I11" i="36"/>
  <c r="K11" i="36" s="1"/>
  <c r="J11" i="36"/>
  <c r="I12" i="36"/>
  <c r="K12" i="36" s="1"/>
  <c r="J12" i="36"/>
  <c r="I13" i="36"/>
  <c r="P13" i="36" s="1"/>
  <c r="J13" i="36"/>
  <c r="I14" i="36"/>
  <c r="P14" i="36" s="1"/>
  <c r="J14" i="36"/>
  <c r="J8" i="36"/>
  <c r="I8" i="36"/>
  <c r="P8" i="36" s="1"/>
  <c r="D8" i="36"/>
  <c r="D9" i="36"/>
  <c r="D10" i="36"/>
  <c r="D11" i="36"/>
  <c r="D12" i="36"/>
  <c r="D13" i="36"/>
  <c r="D14" i="36"/>
  <c r="J36" i="34"/>
  <c r="K36" i="34"/>
  <c r="I35" i="34"/>
  <c r="I36" i="34" s="1"/>
  <c r="J35" i="34"/>
  <c r="K35" i="34"/>
  <c r="L35" i="34"/>
  <c r="L36" i="34" s="1"/>
  <c r="M35" i="34"/>
  <c r="M36" i="34" s="1"/>
  <c r="G34" i="34"/>
  <c r="G35" i="34" s="1"/>
  <c r="G36" i="34" s="1"/>
  <c r="H34" i="34"/>
  <c r="H35" i="34" s="1"/>
  <c r="H36" i="34" s="1"/>
  <c r="F34" i="34"/>
  <c r="F35" i="34" s="1"/>
  <c r="F36" i="34" s="1"/>
  <c r="H10" i="34"/>
  <c r="H11" i="34"/>
  <c r="H12" i="34"/>
  <c r="H13" i="34"/>
  <c r="H9" i="34"/>
  <c r="I10" i="34"/>
  <c r="L10" i="34" s="1"/>
  <c r="I11" i="34"/>
  <c r="L11" i="34" s="1"/>
  <c r="I12" i="34"/>
  <c r="L12" i="34" s="1"/>
  <c r="I13" i="34"/>
  <c r="I9" i="34"/>
  <c r="L9" i="34" s="1"/>
  <c r="AS5" i="33"/>
  <c r="AS6" i="33"/>
  <c r="AS7" i="33"/>
  <c r="AS8" i="33"/>
  <c r="AS9" i="33"/>
  <c r="AS10" i="33"/>
  <c r="AS4" i="33"/>
  <c r="AT12" i="33"/>
  <c r="H10" i="32"/>
  <c r="I12" i="32"/>
  <c r="B7" i="32"/>
  <c r="C7" i="32"/>
  <c r="D7" i="32"/>
  <c r="E7" i="32"/>
  <c r="F7" i="32"/>
  <c r="B8" i="32"/>
  <c r="C8" i="32"/>
  <c r="D8" i="32"/>
  <c r="E8" i="32"/>
  <c r="F8" i="32"/>
  <c r="B9" i="32"/>
  <c r="C9" i="32"/>
  <c r="D9" i="32"/>
  <c r="E9" i="32"/>
  <c r="F9" i="32"/>
  <c r="B10" i="32"/>
  <c r="C10" i="32"/>
  <c r="D10" i="32"/>
  <c r="E10" i="32"/>
  <c r="F10" i="32"/>
  <c r="B11" i="32"/>
  <c r="C11" i="32"/>
  <c r="D11" i="32"/>
  <c r="E11" i="32"/>
  <c r="F11" i="32"/>
  <c r="B12" i="32"/>
  <c r="C12" i="32"/>
  <c r="D12" i="32"/>
  <c r="E12" i="32"/>
  <c r="F12" i="32"/>
  <c r="C6" i="32"/>
  <c r="D6" i="32"/>
  <c r="E6" i="32"/>
  <c r="F6" i="32"/>
  <c r="B6" i="32"/>
  <c r="H19" i="32"/>
  <c r="I19" i="32"/>
  <c r="I6" i="32" s="1"/>
  <c r="J19" i="32"/>
  <c r="J6" i="32" s="1"/>
  <c r="H20" i="32"/>
  <c r="H7" i="32" s="1"/>
  <c r="I20" i="32"/>
  <c r="I7" i="32" s="1"/>
  <c r="J20" i="32"/>
  <c r="J7" i="32" s="1"/>
  <c r="H21" i="32"/>
  <c r="H8" i="32" s="1"/>
  <c r="I21" i="32"/>
  <c r="I8" i="32" s="1"/>
  <c r="J21" i="32"/>
  <c r="J8" i="32" s="1"/>
  <c r="H22" i="32"/>
  <c r="H9" i="32" s="1"/>
  <c r="I22" i="32"/>
  <c r="I9" i="32" s="1"/>
  <c r="J22" i="32"/>
  <c r="J9" i="32" s="1"/>
  <c r="H23" i="32"/>
  <c r="I23" i="32"/>
  <c r="I10" i="32" s="1"/>
  <c r="J23" i="32"/>
  <c r="J10" i="32" s="1"/>
  <c r="H24" i="32"/>
  <c r="H11" i="32" s="1"/>
  <c r="I24" i="32"/>
  <c r="I11" i="32" s="1"/>
  <c r="J24" i="32"/>
  <c r="J11" i="32" s="1"/>
  <c r="H25" i="32"/>
  <c r="H12" i="32" s="1"/>
  <c r="I25" i="32"/>
  <c r="J25" i="32"/>
  <c r="J12" i="32" s="1"/>
  <c r="G10" i="31"/>
  <c r="B6" i="31"/>
  <c r="C6" i="31"/>
  <c r="J6" i="31" s="1"/>
  <c r="D6" i="31"/>
  <c r="E6" i="31"/>
  <c r="G6" i="31" s="1"/>
  <c r="B7" i="31"/>
  <c r="C7" i="31"/>
  <c r="J7" i="31" s="1"/>
  <c r="D7" i="31"/>
  <c r="G7" i="31" s="1"/>
  <c r="E7" i="31"/>
  <c r="B8" i="31"/>
  <c r="C8" i="31"/>
  <c r="J8" i="31" s="1"/>
  <c r="D8" i="31"/>
  <c r="K8" i="31" s="1"/>
  <c r="E8" i="31"/>
  <c r="G8" i="31" s="1"/>
  <c r="B9" i="31"/>
  <c r="C9" i="31"/>
  <c r="J9" i="31" s="1"/>
  <c r="D9" i="31"/>
  <c r="G9" i="31" s="1"/>
  <c r="E9" i="31"/>
  <c r="B10" i="31"/>
  <c r="C10" i="31"/>
  <c r="J10" i="31" s="1"/>
  <c r="D10" i="31"/>
  <c r="E10" i="31"/>
  <c r="B11" i="31"/>
  <c r="K11" i="31" s="1"/>
  <c r="C11" i="31"/>
  <c r="J11" i="31" s="1"/>
  <c r="D11" i="31"/>
  <c r="G11" i="31" s="1"/>
  <c r="E11" i="31"/>
  <c r="B12" i="31"/>
  <c r="C12" i="31"/>
  <c r="J12" i="31" s="1"/>
  <c r="D12" i="31"/>
  <c r="K12" i="31" s="1"/>
  <c r="E12" i="31"/>
  <c r="G12" i="31" s="1"/>
  <c r="C5" i="31"/>
  <c r="D5" i="31"/>
  <c r="K5" i="31" s="1"/>
  <c r="L5" i="31" s="1"/>
  <c r="E5" i="31"/>
  <c r="B5" i="31"/>
  <c r="K7" i="31"/>
  <c r="J5" i="31"/>
  <c r="AR57" i="16"/>
  <c r="AR58" i="16" s="1"/>
  <c r="AR59" i="16" s="1"/>
  <c r="AR56" i="16"/>
  <c r="O139" i="67" s="1"/>
  <c r="K8" i="36" l="1"/>
  <c r="P12" i="36"/>
  <c r="K14" i="36"/>
  <c r="P11" i="36"/>
  <c r="K13" i="36"/>
  <c r="P10" i="36"/>
  <c r="K19" i="32"/>
  <c r="K6" i="32" s="1"/>
  <c r="P9" i="36"/>
  <c r="L11" i="31"/>
  <c r="L7" i="31"/>
  <c r="L12" i="31"/>
  <c r="L6" i="31"/>
  <c r="K9" i="31"/>
  <c r="L9" i="31" s="1"/>
  <c r="L10" i="31"/>
  <c r="L8" i="31"/>
  <c r="K10" i="31"/>
  <c r="K6" i="31"/>
  <c r="O140" i="67"/>
  <c r="O112" i="16"/>
  <c r="O74" i="16"/>
  <c r="B11" i="325" s="1"/>
  <c r="AD11" i="325" s="1"/>
  <c r="O99" i="16"/>
  <c r="O73" i="16"/>
  <c r="B10" i="325" s="1"/>
  <c r="AD10" i="325" s="1"/>
  <c r="O98" i="16"/>
  <c r="H6" i="32"/>
  <c r="K25" i="32"/>
  <c r="K12" i="32" s="1"/>
  <c r="K24" i="32"/>
  <c r="K11" i="32" s="1"/>
  <c r="Y12" i="16"/>
  <c r="B72" i="16"/>
  <c r="CA13" i="16"/>
  <c r="O76" i="16"/>
  <c r="B13" i="325" s="1"/>
  <c r="AD13" i="325" s="1"/>
  <c r="J64" i="39"/>
  <c r="I74" i="39"/>
  <c r="I73" i="39"/>
  <c r="I75" i="39"/>
  <c r="K23" i="32"/>
  <c r="K10" i="32" s="1"/>
  <c r="K20" i="32"/>
  <c r="K7" i="32" s="1"/>
  <c r="K22" i="32"/>
  <c r="K9" i="32" s="1"/>
  <c r="K21" i="32"/>
  <c r="K8" i="32" s="1"/>
  <c r="B9" i="413" l="1"/>
  <c r="I9" i="117"/>
  <c r="B8" i="288"/>
  <c r="B18" i="301"/>
  <c r="O141" i="67"/>
  <c r="O113" i="16"/>
  <c r="CA15" i="16"/>
  <c r="O100" i="16"/>
  <c r="R141" i="67"/>
  <c r="AU57" i="16"/>
  <c r="AU56" i="16"/>
  <c r="AU55" i="16"/>
  <c r="AU54" i="16"/>
  <c r="AU53" i="16"/>
  <c r="AU52" i="16"/>
  <c r="AU51" i="16"/>
  <c r="AU50" i="16"/>
  <c r="AU49" i="16"/>
  <c r="AU48" i="16"/>
  <c r="AF9" i="413" l="1"/>
  <c r="AX9" i="413" s="1"/>
  <c r="AU9" i="413"/>
  <c r="AG9" i="413"/>
  <c r="R98" i="16"/>
  <c r="R139" i="67"/>
  <c r="R140" i="67"/>
  <c r="R112" i="16"/>
  <c r="R92" i="16"/>
  <c r="R133" i="67"/>
  <c r="R93" i="16"/>
  <c r="R134" i="67"/>
  <c r="R94" i="16"/>
  <c r="R135" i="67"/>
  <c r="R95" i="16"/>
  <c r="R136" i="67"/>
  <c r="R96" i="16"/>
  <c r="R137" i="67"/>
  <c r="R97" i="16"/>
  <c r="R138" i="67"/>
  <c r="R74" i="16"/>
  <c r="R99" i="16"/>
  <c r="R75" i="16"/>
  <c r="F22" i="20" s="1"/>
  <c r="E77" i="20" s="1"/>
  <c r="H77" i="20" s="1"/>
  <c r="C66" i="20" s="1"/>
  <c r="R100" i="16"/>
  <c r="B17" i="20"/>
  <c r="AK17" i="20" s="1"/>
  <c r="R68" i="16"/>
  <c r="B20" i="20"/>
  <c r="AK20" i="20" s="1"/>
  <c r="R71" i="16"/>
  <c r="B18" i="20"/>
  <c r="AK18" i="20" s="1"/>
  <c r="R69" i="16"/>
  <c r="B19" i="20"/>
  <c r="AK19" i="20" s="1"/>
  <c r="R70" i="16"/>
  <c r="B21" i="20"/>
  <c r="AK21" i="20" s="1"/>
  <c r="R72" i="16"/>
  <c r="B14" i="20"/>
  <c r="AK14" i="20" s="1"/>
  <c r="R65" i="16"/>
  <c r="B22" i="20"/>
  <c r="AK22" i="20" s="1"/>
  <c r="R73" i="16"/>
  <c r="B15" i="20"/>
  <c r="AK15" i="20" s="1"/>
  <c r="R66" i="16"/>
  <c r="B16" i="20"/>
  <c r="AK16" i="20" s="1"/>
  <c r="R67" i="16"/>
  <c r="CH9" i="16"/>
  <c r="CU9" i="16" s="1"/>
  <c r="CH12" i="16"/>
  <c r="CU12" i="16" s="1"/>
  <c r="CH10" i="16"/>
  <c r="CU10" i="16" s="1"/>
  <c r="CH5" i="16"/>
  <c r="CH6" i="16"/>
  <c r="CH14" i="16"/>
  <c r="CU14" i="16" s="1"/>
  <c r="CH15" i="16"/>
  <c r="CU15" i="16" s="1"/>
  <c r="CH11" i="16"/>
  <c r="CU11" i="16" s="1"/>
  <c r="CH13" i="16"/>
  <c r="CU13" i="16" s="1"/>
  <c r="CH7" i="16"/>
  <c r="CH8" i="16"/>
  <c r="CU8" i="16" s="1"/>
  <c r="AR52" i="16"/>
  <c r="O135" i="67" s="1"/>
  <c r="AR53" i="16"/>
  <c r="O136" i="67" s="1"/>
  <c r="AR54" i="16"/>
  <c r="O137" i="67" s="1"/>
  <c r="AR55" i="16"/>
  <c r="O138" i="67" s="1"/>
  <c r="AR51" i="16"/>
  <c r="AQ52" i="16"/>
  <c r="N135" i="67" s="1"/>
  <c r="AQ53" i="16"/>
  <c r="N136" i="67" s="1"/>
  <c r="AQ54" i="16"/>
  <c r="N137" i="67" s="1"/>
  <c r="AQ55" i="16"/>
  <c r="N138" i="67" s="1"/>
  <c r="AQ56" i="16"/>
  <c r="N139" i="67" s="1"/>
  <c r="AQ51" i="16"/>
  <c r="N134" i="67" s="1"/>
  <c r="F23" i="20" l="1"/>
  <c r="C5" i="228"/>
  <c r="C7" i="228"/>
  <c r="C9" i="228"/>
  <c r="C12" i="228"/>
  <c r="O134" i="67"/>
  <c r="AR50" i="16"/>
  <c r="O133" i="67" s="1"/>
  <c r="C10" i="228"/>
  <c r="C6" i="228"/>
  <c r="C11" i="228"/>
  <c r="D11" i="228" s="1"/>
  <c r="E11" i="228" s="1"/>
  <c r="C4" i="228"/>
  <c r="C8" i="228"/>
  <c r="D8" i="228" s="1"/>
  <c r="E8" i="228" s="1"/>
  <c r="N70" i="16"/>
  <c r="B7" i="226" s="1"/>
  <c r="AD7" i="226" s="1"/>
  <c r="N95" i="16"/>
  <c r="O68" i="16"/>
  <c r="B5" i="325" s="1"/>
  <c r="AD5" i="325" s="1"/>
  <c r="O93" i="16"/>
  <c r="N71" i="16"/>
  <c r="B8" i="226" s="1"/>
  <c r="AD8" i="226" s="1"/>
  <c r="N96" i="16"/>
  <c r="N68" i="16"/>
  <c r="B5" i="226" s="1"/>
  <c r="N93" i="16"/>
  <c r="O71" i="16"/>
  <c r="B8" i="325" s="1"/>
  <c r="AD8" i="325" s="1"/>
  <c r="O96" i="16"/>
  <c r="N73" i="16"/>
  <c r="B10" i="226" s="1"/>
  <c r="AD10" i="226" s="1"/>
  <c r="N98" i="16"/>
  <c r="N69" i="16"/>
  <c r="B6" i="226" s="1"/>
  <c r="N94" i="16"/>
  <c r="O72" i="16"/>
  <c r="B9" i="325" s="1"/>
  <c r="AD9" i="325" s="1"/>
  <c r="O97" i="16"/>
  <c r="O70" i="16"/>
  <c r="B7" i="325" s="1"/>
  <c r="AD7" i="325" s="1"/>
  <c r="O95" i="16"/>
  <c r="N72" i="16"/>
  <c r="B9" i="226" s="1"/>
  <c r="AD9" i="226" s="1"/>
  <c r="N97" i="16"/>
  <c r="O69" i="16"/>
  <c r="B6" i="325" s="1"/>
  <c r="AD6" i="325" s="1"/>
  <c r="O94" i="16"/>
  <c r="AQ50" i="16"/>
  <c r="N133" i="67" s="1"/>
  <c r="AL23" i="20" l="1"/>
  <c r="R76" i="16"/>
  <c r="R16" i="16" s="1"/>
  <c r="E23" i="20"/>
  <c r="G7" i="228"/>
  <c r="G8" i="228"/>
  <c r="D7" i="228"/>
  <c r="E7" i="228" s="1"/>
  <c r="G5" i="228"/>
  <c r="G12" i="228"/>
  <c r="D12" i="228"/>
  <c r="E12" i="228" s="1"/>
  <c r="G6" i="228"/>
  <c r="D9" i="228"/>
  <c r="E9" i="228" s="1"/>
  <c r="G10" i="228"/>
  <c r="G9" i="228"/>
  <c r="G11" i="228"/>
  <c r="N67" i="16"/>
  <c r="B4" i="226" s="1"/>
  <c r="N92" i="16"/>
  <c r="BZ7" i="16"/>
  <c r="AI52" i="16"/>
  <c r="F135" i="67" s="1"/>
  <c r="AI53" i="16"/>
  <c r="F136" i="67" s="1"/>
  <c r="AI54" i="16"/>
  <c r="F137" i="67" s="1"/>
  <c r="AI55" i="16"/>
  <c r="F138" i="67" s="1"/>
  <c r="AI56" i="16"/>
  <c r="F139" i="67" s="1"/>
  <c r="AI57" i="16"/>
  <c r="F140" i="67" s="1"/>
  <c r="AI58" i="16"/>
  <c r="AI59" i="16" s="1"/>
  <c r="F76" i="16" s="1"/>
  <c r="B13" i="200" s="1"/>
  <c r="AD13" i="200" s="1"/>
  <c r="AI51" i="16"/>
  <c r="AH52" i="16"/>
  <c r="AH53" i="16"/>
  <c r="AH54" i="16"/>
  <c r="AH55" i="16"/>
  <c r="AH56" i="16"/>
  <c r="AH57" i="16"/>
  <c r="AH58" i="16" s="1"/>
  <c r="AQ7" i="16"/>
  <c r="AQ8" i="16"/>
  <c r="AQ3" i="16"/>
  <c r="BZ37" i="16" s="1"/>
  <c r="BZ53" i="16" s="1"/>
  <c r="AH59" i="16" l="1"/>
  <c r="E75" i="16"/>
  <c r="AL9" i="140"/>
  <c r="AM9" i="140" s="1"/>
  <c r="E138" i="67"/>
  <c r="AL8" i="140"/>
  <c r="AM8" i="140" s="1"/>
  <c r="E137" i="67"/>
  <c r="AL6" i="140"/>
  <c r="AM6" i="140" s="1"/>
  <c r="E135" i="67"/>
  <c r="AL10" i="140"/>
  <c r="AM10" i="140" s="1"/>
  <c r="E139" i="67"/>
  <c r="AL7" i="140"/>
  <c r="AM7" i="140" s="1"/>
  <c r="E136" i="67"/>
  <c r="F134" i="67"/>
  <c r="AI50" i="16"/>
  <c r="BZ42" i="16"/>
  <c r="BZ58" i="16" s="1"/>
  <c r="N106" i="16"/>
  <c r="BZ41" i="16"/>
  <c r="BZ57" i="16" s="1"/>
  <c r="N105" i="16"/>
  <c r="AL12" i="140"/>
  <c r="E141" i="67"/>
  <c r="E113" i="16"/>
  <c r="F100" i="16"/>
  <c r="F141" i="67"/>
  <c r="F113" i="16"/>
  <c r="AL11" i="140"/>
  <c r="AM11" i="140" s="1"/>
  <c r="E140" i="67"/>
  <c r="E72" i="16"/>
  <c r="B9" i="140" s="1"/>
  <c r="E97" i="16"/>
  <c r="E71" i="16"/>
  <c r="B8" i="140" s="1"/>
  <c r="E96" i="16"/>
  <c r="F70" i="16"/>
  <c r="B7" i="200" s="1"/>
  <c r="F95" i="16"/>
  <c r="F73" i="16"/>
  <c r="B10" i="200" s="1"/>
  <c r="F98" i="16"/>
  <c r="F72" i="16"/>
  <c r="B9" i="200" s="1"/>
  <c r="F97" i="16"/>
  <c r="F71" i="16"/>
  <c r="B8" i="200" s="1"/>
  <c r="F96" i="16"/>
  <c r="E69" i="16"/>
  <c r="B6" i="140" s="1"/>
  <c r="AD6" i="140" s="1"/>
  <c r="E94" i="16"/>
  <c r="F69" i="16"/>
  <c r="B6" i="200" s="1"/>
  <c r="AD6" i="200" s="1"/>
  <c r="F94" i="16"/>
  <c r="F68" i="16"/>
  <c r="B5" i="200" s="1"/>
  <c r="AD5" i="200" s="1"/>
  <c r="F93" i="16"/>
  <c r="E73" i="16"/>
  <c r="B10" i="140" s="1"/>
  <c r="E98" i="16"/>
  <c r="E70" i="16"/>
  <c r="B7" i="140" s="1"/>
  <c r="E95" i="16"/>
  <c r="B12" i="140"/>
  <c r="E100" i="16"/>
  <c r="E74" i="16"/>
  <c r="B11" i="140" s="1"/>
  <c r="E99" i="16"/>
  <c r="F74" i="16"/>
  <c r="B11" i="200" s="1"/>
  <c r="F99" i="16"/>
  <c r="BB52" i="16"/>
  <c r="AZ8" i="16"/>
  <c r="AH8" i="16"/>
  <c r="J47" i="16"/>
  <c r="J4" i="16"/>
  <c r="AH3" i="16"/>
  <c r="AH4" i="16"/>
  <c r="AH5" i="16"/>
  <c r="AH6" i="16"/>
  <c r="AH7" i="16"/>
  <c r="E105" i="16" s="1"/>
  <c r="AI3" i="16"/>
  <c r="BK37" i="16" s="1"/>
  <c r="BK53" i="16" s="1"/>
  <c r="AI4" i="16"/>
  <c r="BK38" i="16" s="1"/>
  <c r="BK54" i="16" s="1"/>
  <c r="AI5" i="16"/>
  <c r="BK39" i="16" s="1"/>
  <c r="BK55" i="16" s="1"/>
  <c r="AI6" i="16"/>
  <c r="BK40" i="16" s="1"/>
  <c r="BK56" i="16" s="1"/>
  <c r="AI7" i="16"/>
  <c r="BK41" i="16" s="1"/>
  <c r="BK57" i="16" s="1"/>
  <c r="AQ4" i="16"/>
  <c r="BZ38" i="16" s="1"/>
  <c r="BZ54" i="16" s="1"/>
  <c r="AQ5" i="16"/>
  <c r="BZ39" i="16" s="1"/>
  <c r="BZ55" i="16" s="1"/>
  <c r="AQ6" i="16"/>
  <c r="BZ40" i="16" s="1"/>
  <c r="BZ56" i="16" s="1"/>
  <c r="AR3" i="16"/>
  <c r="CA37" i="16" s="1"/>
  <c r="CA53" i="16" s="1"/>
  <c r="AR4" i="16"/>
  <c r="CA38" i="16" s="1"/>
  <c r="CA54" i="16" s="1"/>
  <c r="AR5" i="16"/>
  <c r="CA39" i="16" s="1"/>
  <c r="CA55" i="16" s="1"/>
  <c r="AR6" i="16"/>
  <c r="CA40" i="16" s="1"/>
  <c r="CA56" i="16" s="1"/>
  <c r="AR7" i="16"/>
  <c r="CA41" i="16" s="1"/>
  <c r="CA57" i="16" s="1"/>
  <c r="AR8" i="16"/>
  <c r="AR9" i="16"/>
  <c r="AR10" i="16"/>
  <c r="AR11" i="16"/>
  <c r="AZ10" i="16"/>
  <c r="AZ3" i="16"/>
  <c r="CS37" i="16" s="1"/>
  <c r="CS53" i="16" s="1"/>
  <c r="AZ6" i="16"/>
  <c r="CS40" i="16" s="1"/>
  <c r="CS56" i="16" s="1"/>
  <c r="AY3" i="16"/>
  <c r="CR37" i="16" s="1"/>
  <c r="CR53" i="16" s="1"/>
  <c r="AY4" i="16"/>
  <c r="CR38" i="16" s="1"/>
  <c r="CR54" i="16" s="1"/>
  <c r="AY5" i="16"/>
  <c r="CR39" i="16" s="1"/>
  <c r="CR55" i="16" s="1"/>
  <c r="AY6" i="16"/>
  <c r="CR40" i="16" s="1"/>
  <c r="CR56" i="16" s="1"/>
  <c r="AW3" i="16"/>
  <c r="AW4" i="16"/>
  <c r="AW5" i="16"/>
  <c r="AW6" i="16"/>
  <c r="AW7" i="16"/>
  <c r="T105" i="16" s="1"/>
  <c r="AU3" i="16"/>
  <c r="CH37" i="16" s="1"/>
  <c r="CH53" i="16" s="1"/>
  <c r="AU4" i="16"/>
  <c r="CH38" i="16" s="1"/>
  <c r="CH54" i="16" s="1"/>
  <c r="AU5" i="16"/>
  <c r="CH39" i="16" s="1"/>
  <c r="CH55" i="16" s="1"/>
  <c r="AU6" i="16"/>
  <c r="CH40" i="16" s="1"/>
  <c r="CH56" i="16" s="1"/>
  <c r="AU7" i="16"/>
  <c r="AU8" i="16"/>
  <c r="AT3" i="16"/>
  <c r="AT4" i="16"/>
  <c r="AT5" i="16"/>
  <c r="AT6" i="16"/>
  <c r="AT7" i="16"/>
  <c r="Q105" i="16" s="1"/>
  <c r="AT8" i="16"/>
  <c r="AT9" i="16"/>
  <c r="AM3" i="16"/>
  <c r="BS37" i="16" s="1"/>
  <c r="BS53" i="16" s="1"/>
  <c r="AM6" i="16"/>
  <c r="BS40" i="16" s="1"/>
  <c r="BS56" i="16" s="1"/>
  <c r="AM7" i="16"/>
  <c r="AL3" i="16"/>
  <c r="BR37" i="16" s="1"/>
  <c r="BR53" i="16" s="1"/>
  <c r="AL4" i="16"/>
  <c r="BR38" i="16" s="1"/>
  <c r="BR54" i="16" s="1"/>
  <c r="AL5" i="16"/>
  <c r="BR39" i="16" s="1"/>
  <c r="BR55" i="16" s="1"/>
  <c r="AL6" i="16"/>
  <c r="BR40" i="16" s="1"/>
  <c r="BR56" i="16" s="1"/>
  <c r="AL7" i="16"/>
  <c r="AL8" i="16"/>
  <c r="AS3" i="16"/>
  <c r="CF37" i="16" s="1"/>
  <c r="CF53" i="16" s="1"/>
  <c r="AS4" i="16"/>
  <c r="CF38" i="16" s="1"/>
  <c r="CF54" i="16" s="1"/>
  <c r="AS5" i="16"/>
  <c r="CF39" i="16" s="1"/>
  <c r="CF55" i="16" s="1"/>
  <c r="AS6" i="16"/>
  <c r="CF40" i="16" s="1"/>
  <c r="CF56" i="16" s="1"/>
  <c r="AS7" i="16"/>
  <c r="AT10" i="16"/>
  <c r="AT11" i="16"/>
  <c r="AT12" i="16"/>
  <c r="AT13" i="16"/>
  <c r="AT14" i="16"/>
  <c r="AT15" i="16"/>
  <c r="B14" i="16"/>
  <c r="B13" i="16"/>
  <c r="B11" i="16"/>
  <c r="B8" i="16"/>
  <c r="B9" i="16"/>
  <c r="B4" i="16"/>
  <c r="B5" i="16"/>
  <c r="B6" i="16"/>
  <c r="B7" i="16"/>
  <c r="K24" i="1"/>
  <c r="H24" i="1"/>
  <c r="F23" i="1"/>
  <c r="F24" i="1" s="1"/>
  <c r="G23" i="1"/>
  <c r="G24" i="1" s="1"/>
  <c r="H23" i="1"/>
  <c r="I23" i="1"/>
  <c r="I24" i="1" s="1"/>
  <c r="J23" i="1"/>
  <c r="J24" i="1" s="1"/>
  <c r="K23" i="1"/>
  <c r="L23" i="1"/>
  <c r="L24" i="1" s="1"/>
  <c r="M23" i="1"/>
  <c r="M24" i="1" s="1"/>
  <c r="N23" i="1"/>
  <c r="N24" i="1" s="1"/>
  <c r="E23" i="1"/>
  <c r="E24" i="1" s="1"/>
  <c r="H15" i="1"/>
  <c r="F14" i="1"/>
  <c r="F15" i="1" s="1"/>
  <c r="G14" i="1"/>
  <c r="G15" i="1" s="1"/>
  <c r="H14" i="1"/>
  <c r="I14" i="1"/>
  <c r="I15" i="1" s="1"/>
  <c r="J14" i="1"/>
  <c r="J15" i="1" s="1"/>
  <c r="K14" i="1"/>
  <c r="K15" i="1" s="1"/>
  <c r="L14" i="1"/>
  <c r="L15" i="1" s="1"/>
  <c r="M14" i="1"/>
  <c r="M15" i="1" s="1"/>
  <c r="N14" i="1"/>
  <c r="N15" i="1" s="1"/>
  <c r="E14" i="1"/>
  <c r="E15" i="1" s="1"/>
  <c r="F11" i="1"/>
  <c r="G11" i="1"/>
  <c r="H11" i="1"/>
  <c r="I11" i="1"/>
  <c r="J11" i="1"/>
  <c r="K11" i="1"/>
  <c r="L11" i="1"/>
  <c r="M11" i="1"/>
  <c r="N11" i="1"/>
  <c r="E11" i="1"/>
  <c r="W50" i="16"/>
  <c r="W7" i="16"/>
  <c r="W67" i="16" s="1"/>
  <c r="B4" i="377" s="1"/>
  <c r="W47" i="16"/>
  <c r="W4" i="16"/>
  <c r="AL13" i="140" l="1"/>
  <c r="AM13" i="140" s="1"/>
  <c r="BB59" i="16"/>
  <c r="E76" i="16"/>
  <c r="B13" i="140" s="1"/>
  <c r="AM12" i="140"/>
  <c r="AQ18" i="140"/>
  <c r="AD13" i="140" s="1"/>
  <c r="Y94" i="16"/>
  <c r="F15" i="301"/>
  <c r="F5" i="288"/>
  <c r="AD9" i="200"/>
  <c r="AD10" i="200"/>
  <c r="AD7" i="200"/>
  <c r="AD11" i="200"/>
  <c r="AD8" i="200"/>
  <c r="AD12" i="140"/>
  <c r="AD10" i="140"/>
  <c r="AD8" i="140"/>
  <c r="AD11" i="140"/>
  <c r="AD9" i="140"/>
  <c r="AD7" i="140"/>
  <c r="CG48" i="16"/>
  <c r="CG64" i="16" s="1"/>
  <c r="Q112" i="16"/>
  <c r="CG47" i="16"/>
  <c r="CG63" i="16" s="1"/>
  <c r="Q111" i="16"/>
  <c r="CH42" i="16"/>
  <c r="CH58" i="16" s="1"/>
  <c r="R106" i="16"/>
  <c r="Y139" i="67"/>
  <c r="E152" i="67" s="1"/>
  <c r="CG45" i="16"/>
  <c r="CG61" i="16" s="1"/>
  <c r="Q109" i="16"/>
  <c r="BR41" i="16"/>
  <c r="BR57" i="16" s="1"/>
  <c r="I105" i="16"/>
  <c r="CG43" i="16"/>
  <c r="CG59" i="16" s="1"/>
  <c r="Q107" i="16"/>
  <c r="CH41" i="16"/>
  <c r="CH57" i="16" s="1"/>
  <c r="R105" i="16"/>
  <c r="CS44" i="16"/>
  <c r="CS60" i="16" s="1"/>
  <c r="W108" i="16"/>
  <c r="Y141" i="67"/>
  <c r="F154" i="67" s="1"/>
  <c r="F155" i="67" s="1"/>
  <c r="F156" i="67" s="1"/>
  <c r="F157" i="67" s="1"/>
  <c r="F158" i="67" s="1"/>
  <c r="F159" i="67" s="1"/>
  <c r="F160" i="67" s="1"/>
  <c r="F161" i="67" s="1"/>
  <c r="F162" i="67" s="1"/>
  <c r="F163" i="67" s="1"/>
  <c r="F164" i="67" s="1"/>
  <c r="F165" i="67" s="1"/>
  <c r="F166" i="67" s="1"/>
  <c r="F167" i="67" s="1"/>
  <c r="BR42" i="16"/>
  <c r="BR58" i="16" s="1"/>
  <c r="I106" i="16"/>
  <c r="CG44" i="16"/>
  <c r="CG60" i="16" s="1"/>
  <c r="Q108" i="16"/>
  <c r="CG42" i="16"/>
  <c r="CG58" i="16" s="1"/>
  <c r="Q106" i="16"/>
  <c r="CA45" i="16"/>
  <c r="CA61" i="16" s="1"/>
  <c r="O109" i="16"/>
  <c r="BJ42" i="16"/>
  <c r="BJ58" i="16" s="1"/>
  <c r="E106" i="16"/>
  <c r="Y140" i="67"/>
  <c r="CG46" i="16"/>
  <c r="CG62" i="16" s="1"/>
  <c r="Q110" i="16"/>
  <c r="CA44" i="16"/>
  <c r="CA60" i="16" s="1"/>
  <c r="O108" i="16"/>
  <c r="CS42" i="16"/>
  <c r="CS58" i="16" s="1"/>
  <c r="W106" i="16"/>
  <c r="F133" i="67"/>
  <c r="BB50" i="16"/>
  <c r="F13" i="301" s="1"/>
  <c r="Y135" i="67"/>
  <c r="Y138" i="67"/>
  <c r="B6" i="117"/>
  <c r="Y134" i="67"/>
  <c r="F147" i="67" s="1"/>
  <c r="BS41" i="16"/>
  <c r="BS57" i="16" s="1"/>
  <c r="J105" i="16"/>
  <c r="Y137" i="67"/>
  <c r="CF41" i="16"/>
  <c r="CF57" i="16" s="1"/>
  <c r="P105" i="16"/>
  <c r="CA43" i="16"/>
  <c r="CA59" i="16" s="1"/>
  <c r="O107" i="16"/>
  <c r="CG49" i="16"/>
  <c r="CG65" i="16" s="1"/>
  <c r="Q113" i="16"/>
  <c r="CA42" i="16"/>
  <c r="CA58" i="16" s="1"/>
  <c r="O106" i="16"/>
  <c r="Y136" i="67"/>
  <c r="Y50" i="16"/>
  <c r="W92" i="16"/>
  <c r="J64" i="16"/>
  <c r="J132" i="16"/>
  <c r="BS22" i="16"/>
  <c r="Y47" i="16"/>
  <c r="W64" i="16"/>
  <c r="W132" i="16"/>
  <c r="B74" i="16"/>
  <c r="Y14" i="16"/>
  <c r="B66" i="16"/>
  <c r="Y6" i="16"/>
  <c r="B12" i="301" s="1"/>
  <c r="Y9" i="16"/>
  <c r="B69" i="16"/>
  <c r="B67" i="16"/>
  <c r="Y7" i="16"/>
  <c r="B64" i="16"/>
  <c r="Y4" i="16"/>
  <c r="B10" i="301" s="1"/>
  <c r="Y11" i="16"/>
  <c r="B71" i="16"/>
  <c r="B65" i="16"/>
  <c r="Y8" i="16"/>
  <c r="B68" i="16"/>
  <c r="Y13" i="16"/>
  <c r="B73" i="16"/>
  <c r="W48" i="16"/>
  <c r="CS23" i="16" s="1"/>
  <c r="CS22" i="16"/>
  <c r="CS25" i="16"/>
  <c r="J48" i="16"/>
  <c r="AZ7" i="16"/>
  <c r="W5" i="16"/>
  <c r="W65" i="16" s="1"/>
  <c r="AM4" i="16"/>
  <c r="BS38" i="16" s="1"/>
  <c r="AZ4" i="16"/>
  <c r="CS38" i="16" s="1"/>
  <c r="J5" i="16"/>
  <c r="J65" i="16" s="1"/>
  <c r="I8" i="117" l="1"/>
  <c r="B17" i="301"/>
  <c r="B7" i="288"/>
  <c r="B10" i="413"/>
  <c r="B11" i="413"/>
  <c r="I10" i="117"/>
  <c r="B9" i="288"/>
  <c r="B19" i="301"/>
  <c r="I11" i="117"/>
  <c r="B20" i="301"/>
  <c r="B10" i="288"/>
  <c r="Y67" i="16"/>
  <c r="B4" i="346" s="1"/>
  <c r="B13" i="301"/>
  <c r="C13" i="301" s="1"/>
  <c r="B5" i="413"/>
  <c r="B4" i="413"/>
  <c r="B4" i="288"/>
  <c r="B14" i="301"/>
  <c r="B6" i="413"/>
  <c r="B44" i="116"/>
  <c r="H5" i="68"/>
  <c r="B15" i="301"/>
  <c r="C15" i="301" s="1"/>
  <c r="H15" i="301" s="1"/>
  <c r="B5" i="288"/>
  <c r="D5" i="288" s="1"/>
  <c r="O5" i="288" s="1"/>
  <c r="P5" i="288" s="1"/>
  <c r="B8" i="413"/>
  <c r="Y48" i="16"/>
  <c r="N153" i="67"/>
  <c r="Q153" i="67"/>
  <c r="G153" i="67"/>
  <c r="B153" i="67"/>
  <c r="I153" i="67"/>
  <c r="K153" i="67"/>
  <c r="D153" i="67"/>
  <c r="V153" i="67"/>
  <c r="S153" i="67"/>
  <c r="L153" i="67"/>
  <c r="H153" i="67"/>
  <c r="M153" i="67"/>
  <c r="C153" i="67"/>
  <c r="J153" i="67"/>
  <c r="T153" i="67"/>
  <c r="P153" i="67"/>
  <c r="U153" i="67"/>
  <c r="X153" i="67"/>
  <c r="W153" i="67"/>
  <c r="O153" i="67"/>
  <c r="R153" i="67"/>
  <c r="F153" i="67"/>
  <c r="K149" i="67"/>
  <c r="Q149" i="67"/>
  <c r="X149" i="67"/>
  <c r="U149" i="67"/>
  <c r="I149" i="67"/>
  <c r="P149" i="67"/>
  <c r="T149" i="67"/>
  <c r="V149" i="67"/>
  <c r="J149" i="67"/>
  <c r="S149" i="67"/>
  <c r="L149" i="67"/>
  <c r="C149" i="67"/>
  <c r="G149" i="67"/>
  <c r="M149" i="67"/>
  <c r="D149" i="67"/>
  <c r="B149" i="67"/>
  <c r="H149" i="67"/>
  <c r="W149" i="67"/>
  <c r="N149" i="67"/>
  <c r="O149" i="67"/>
  <c r="R149" i="67"/>
  <c r="F149" i="67"/>
  <c r="Y133" i="67"/>
  <c r="E153" i="67"/>
  <c r="Y69" i="16"/>
  <c r="B6" i="346" s="1"/>
  <c r="I6" i="117"/>
  <c r="E149" i="67"/>
  <c r="X150" i="67"/>
  <c r="Q150" i="67"/>
  <c r="K150" i="67"/>
  <c r="P150" i="67"/>
  <c r="J150" i="67"/>
  <c r="I150" i="67"/>
  <c r="T150" i="67"/>
  <c r="V150" i="67"/>
  <c r="U150" i="67"/>
  <c r="B150" i="67"/>
  <c r="D150" i="67"/>
  <c r="L150" i="67"/>
  <c r="C150" i="67"/>
  <c r="H150" i="67"/>
  <c r="M150" i="67"/>
  <c r="S150" i="67"/>
  <c r="G150" i="67"/>
  <c r="W150" i="67"/>
  <c r="R150" i="67"/>
  <c r="O150" i="67"/>
  <c r="N150" i="67"/>
  <c r="F150" i="67"/>
  <c r="CS41" i="16"/>
  <c r="CS57" i="16" s="1"/>
  <c r="W105" i="16"/>
  <c r="E150" i="67"/>
  <c r="I151" i="67"/>
  <c r="Q151" i="67"/>
  <c r="J151" i="67"/>
  <c r="V151" i="67"/>
  <c r="K151" i="67"/>
  <c r="T151" i="67"/>
  <c r="X151" i="67"/>
  <c r="U151" i="67"/>
  <c r="P151" i="67"/>
  <c r="C151" i="67"/>
  <c r="S151" i="67"/>
  <c r="M151" i="67"/>
  <c r="G151" i="67"/>
  <c r="D151" i="67"/>
  <c r="L151" i="67"/>
  <c r="H151" i="67"/>
  <c r="B151" i="67"/>
  <c r="W151" i="67"/>
  <c r="N151" i="67"/>
  <c r="R151" i="67"/>
  <c r="O151" i="67"/>
  <c r="F151" i="67"/>
  <c r="G154" i="67"/>
  <c r="G155" i="67" s="1"/>
  <c r="G156" i="67" s="1"/>
  <c r="G157" i="67" s="1"/>
  <c r="G158" i="67" s="1"/>
  <c r="G159" i="67" s="1"/>
  <c r="G160" i="67" s="1"/>
  <c r="G161" i="67" s="1"/>
  <c r="G162" i="67" s="1"/>
  <c r="G163" i="67" s="1"/>
  <c r="G164" i="67" s="1"/>
  <c r="G165" i="67" s="1"/>
  <c r="G166" i="67" s="1"/>
  <c r="G167" i="67" s="1"/>
  <c r="Q154" i="67"/>
  <c r="Q155" i="67" s="1"/>
  <c r="Q156" i="67" s="1"/>
  <c r="Q157" i="67" s="1"/>
  <c r="Q158" i="67" s="1"/>
  <c r="Q159" i="67" s="1"/>
  <c r="Q160" i="67" s="1"/>
  <c r="Q161" i="67" s="1"/>
  <c r="Q162" i="67" s="1"/>
  <c r="Q163" i="67" s="1"/>
  <c r="Q164" i="67" s="1"/>
  <c r="Q165" i="67" s="1"/>
  <c r="Q166" i="67" s="1"/>
  <c r="Q167" i="67" s="1"/>
  <c r="N154" i="67"/>
  <c r="N155" i="67" s="1"/>
  <c r="N156" i="67" s="1"/>
  <c r="N157" i="67" s="1"/>
  <c r="N158" i="67" s="1"/>
  <c r="N159" i="67" s="1"/>
  <c r="N160" i="67" s="1"/>
  <c r="N161" i="67" s="1"/>
  <c r="N162" i="67" s="1"/>
  <c r="N163" i="67" s="1"/>
  <c r="N164" i="67" s="1"/>
  <c r="N165" i="67" s="1"/>
  <c r="N166" i="67" s="1"/>
  <c r="N167" i="67" s="1"/>
  <c r="K154" i="67"/>
  <c r="K155" i="67" s="1"/>
  <c r="K156" i="67" s="1"/>
  <c r="K157" i="67" s="1"/>
  <c r="K158" i="67" s="1"/>
  <c r="K159" i="67" s="1"/>
  <c r="K160" i="67" s="1"/>
  <c r="K161" i="67" s="1"/>
  <c r="K162" i="67" s="1"/>
  <c r="K163" i="67" s="1"/>
  <c r="K164" i="67" s="1"/>
  <c r="K165" i="67" s="1"/>
  <c r="K166" i="67" s="1"/>
  <c r="K167" i="67" s="1"/>
  <c r="P154" i="67"/>
  <c r="P155" i="67" s="1"/>
  <c r="P156" i="67" s="1"/>
  <c r="P157" i="67" s="1"/>
  <c r="P158" i="67" s="1"/>
  <c r="P159" i="67" s="1"/>
  <c r="P160" i="67" s="1"/>
  <c r="P161" i="67" s="1"/>
  <c r="P162" i="67" s="1"/>
  <c r="P163" i="67" s="1"/>
  <c r="P164" i="67" s="1"/>
  <c r="P165" i="67" s="1"/>
  <c r="P166" i="67" s="1"/>
  <c r="P167" i="67" s="1"/>
  <c r="V154" i="67"/>
  <c r="V155" i="67" s="1"/>
  <c r="V156" i="67" s="1"/>
  <c r="V157" i="67" s="1"/>
  <c r="V158" i="67" s="1"/>
  <c r="V159" i="67" s="1"/>
  <c r="V160" i="67" s="1"/>
  <c r="V161" i="67" s="1"/>
  <c r="V162" i="67" s="1"/>
  <c r="V163" i="67" s="1"/>
  <c r="V164" i="67" s="1"/>
  <c r="V165" i="67" s="1"/>
  <c r="V166" i="67" s="1"/>
  <c r="V167" i="67" s="1"/>
  <c r="J154" i="67"/>
  <c r="J155" i="67" s="1"/>
  <c r="J156" i="67" s="1"/>
  <c r="J157" i="67" s="1"/>
  <c r="J158" i="67" s="1"/>
  <c r="J159" i="67" s="1"/>
  <c r="J160" i="67" s="1"/>
  <c r="J161" i="67" s="1"/>
  <c r="J162" i="67" s="1"/>
  <c r="J163" i="67" s="1"/>
  <c r="J164" i="67" s="1"/>
  <c r="J165" i="67" s="1"/>
  <c r="J166" i="67" s="1"/>
  <c r="J167" i="67" s="1"/>
  <c r="M154" i="67"/>
  <c r="M155" i="67" s="1"/>
  <c r="M156" i="67" s="1"/>
  <c r="M157" i="67" s="1"/>
  <c r="M158" i="67" s="1"/>
  <c r="M159" i="67" s="1"/>
  <c r="M160" i="67" s="1"/>
  <c r="M161" i="67" s="1"/>
  <c r="M162" i="67" s="1"/>
  <c r="M163" i="67" s="1"/>
  <c r="M164" i="67" s="1"/>
  <c r="M165" i="67" s="1"/>
  <c r="M166" i="67" s="1"/>
  <c r="M167" i="67" s="1"/>
  <c r="U154" i="67"/>
  <c r="U155" i="67" s="1"/>
  <c r="U156" i="67" s="1"/>
  <c r="U157" i="67" s="1"/>
  <c r="U158" i="67" s="1"/>
  <c r="U159" i="67" s="1"/>
  <c r="U160" i="67" s="1"/>
  <c r="U161" i="67" s="1"/>
  <c r="U162" i="67" s="1"/>
  <c r="U163" i="67" s="1"/>
  <c r="U164" i="67" s="1"/>
  <c r="U165" i="67" s="1"/>
  <c r="U166" i="67" s="1"/>
  <c r="U167" i="67" s="1"/>
  <c r="H154" i="67"/>
  <c r="H155" i="67" s="1"/>
  <c r="H156" i="67" s="1"/>
  <c r="H157" i="67" s="1"/>
  <c r="H158" i="67" s="1"/>
  <c r="H159" i="67" s="1"/>
  <c r="H160" i="67" s="1"/>
  <c r="H161" i="67" s="1"/>
  <c r="H162" i="67" s="1"/>
  <c r="H163" i="67" s="1"/>
  <c r="H164" i="67" s="1"/>
  <c r="H165" i="67" s="1"/>
  <c r="H166" i="67" s="1"/>
  <c r="H167" i="67" s="1"/>
  <c r="S154" i="67"/>
  <c r="S155" i="67" s="1"/>
  <c r="S156" i="67" s="1"/>
  <c r="S157" i="67" s="1"/>
  <c r="S158" i="67" s="1"/>
  <c r="S159" i="67" s="1"/>
  <c r="S160" i="67" s="1"/>
  <c r="S161" i="67" s="1"/>
  <c r="S162" i="67" s="1"/>
  <c r="S163" i="67" s="1"/>
  <c r="S164" i="67" s="1"/>
  <c r="S165" i="67" s="1"/>
  <c r="S166" i="67" s="1"/>
  <c r="S167" i="67" s="1"/>
  <c r="C154" i="67"/>
  <c r="X154" i="67"/>
  <c r="X155" i="67" s="1"/>
  <c r="X156" i="67" s="1"/>
  <c r="X157" i="67" s="1"/>
  <c r="X158" i="67" s="1"/>
  <c r="X159" i="67" s="1"/>
  <c r="X160" i="67" s="1"/>
  <c r="X161" i="67" s="1"/>
  <c r="X162" i="67" s="1"/>
  <c r="X163" i="67" s="1"/>
  <c r="X164" i="67" s="1"/>
  <c r="X165" i="67" s="1"/>
  <c r="X166" i="67" s="1"/>
  <c r="X167" i="67" s="1"/>
  <c r="D154" i="67"/>
  <c r="D155" i="67" s="1"/>
  <c r="D156" i="67" s="1"/>
  <c r="D157" i="67" s="1"/>
  <c r="D158" i="67" s="1"/>
  <c r="D159" i="67" s="1"/>
  <c r="D160" i="67" s="1"/>
  <c r="D161" i="67" s="1"/>
  <c r="D162" i="67" s="1"/>
  <c r="D163" i="67" s="1"/>
  <c r="D164" i="67" s="1"/>
  <c r="D165" i="67" s="1"/>
  <c r="D166" i="67" s="1"/>
  <c r="D167" i="67" s="1"/>
  <c r="L154" i="67"/>
  <c r="L155" i="67" s="1"/>
  <c r="L156" i="67" s="1"/>
  <c r="L157" i="67" s="1"/>
  <c r="L158" i="67" s="1"/>
  <c r="L159" i="67" s="1"/>
  <c r="L160" i="67" s="1"/>
  <c r="L161" i="67" s="1"/>
  <c r="L162" i="67" s="1"/>
  <c r="L163" i="67" s="1"/>
  <c r="L164" i="67" s="1"/>
  <c r="L165" i="67" s="1"/>
  <c r="L166" i="67" s="1"/>
  <c r="L167" i="67" s="1"/>
  <c r="I154" i="67"/>
  <c r="I155" i="67" s="1"/>
  <c r="I156" i="67" s="1"/>
  <c r="I157" i="67" s="1"/>
  <c r="I158" i="67" s="1"/>
  <c r="I159" i="67" s="1"/>
  <c r="I160" i="67" s="1"/>
  <c r="I161" i="67" s="1"/>
  <c r="I162" i="67" s="1"/>
  <c r="I163" i="67" s="1"/>
  <c r="I164" i="67" s="1"/>
  <c r="I165" i="67" s="1"/>
  <c r="I166" i="67" s="1"/>
  <c r="I167" i="67" s="1"/>
  <c r="T154" i="67"/>
  <c r="T155" i="67" s="1"/>
  <c r="T156" i="67" s="1"/>
  <c r="T157" i="67" s="1"/>
  <c r="T158" i="67" s="1"/>
  <c r="T159" i="67" s="1"/>
  <c r="T160" i="67" s="1"/>
  <c r="T161" i="67" s="1"/>
  <c r="T162" i="67" s="1"/>
  <c r="T163" i="67" s="1"/>
  <c r="T164" i="67" s="1"/>
  <c r="T165" i="67" s="1"/>
  <c r="T166" i="67" s="1"/>
  <c r="T167" i="67" s="1"/>
  <c r="B154" i="67"/>
  <c r="B155" i="67" s="1"/>
  <c r="W154" i="67"/>
  <c r="W155" i="67" s="1"/>
  <c r="W156" i="67" s="1"/>
  <c r="W157" i="67" s="1"/>
  <c r="W158" i="67" s="1"/>
  <c r="W159" i="67" s="1"/>
  <c r="W160" i="67" s="1"/>
  <c r="W161" i="67" s="1"/>
  <c r="W162" i="67" s="1"/>
  <c r="W163" i="67" s="1"/>
  <c r="W164" i="67" s="1"/>
  <c r="W165" i="67" s="1"/>
  <c r="W166" i="67" s="1"/>
  <c r="W167" i="67" s="1"/>
  <c r="R154" i="67"/>
  <c r="R155" i="67" s="1"/>
  <c r="R156" i="67" s="1"/>
  <c r="R157" i="67" s="1"/>
  <c r="R158" i="67" s="1"/>
  <c r="R159" i="67" s="1"/>
  <c r="R160" i="67" s="1"/>
  <c r="R161" i="67" s="1"/>
  <c r="R162" i="67" s="1"/>
  <c r="R163" i="67" s="1"/>
  <c r="R164" i="67" s="1"/>
  <c r="R165" i="67" s="1"/>
  <c r="R166" i="67" s="1"/>
  <c r="R167" i="67" s="1"/>
  <c r="O154" i="67"/>
  <c r="O155" i="67" s="1"/>
  <c r="O156" i="67" s="1"/>
  <c r="O157" i="67" s="1"/>
  <c r="O158" i="67" s="1"/>
  <c r="O159" i="67" s="1"/>
  <c r="O160" i="67" s="1"/>
  <c r="O161" i="67" s="1"/>
  <c r="O162" i="67" s="1"/>
  <c r="O163" i="67" s="1"/>
  <c r="O164" i="67" s="1"/>
  <c r="O165" i="67" s="1"/>
  <c r="O166" i="67" s="1"/>
  <c r="O167" i="67" s="1"/>
  <c r="I5" i="117"/>
  <c r="E151" i="67"/>
  <c r="E154" i="67"/>
  <c r="E155" i="67" s="1"/>
  <c r="E156" i="67" s="1"/>
  <c r="E157" i="67" s="1"/>
  <c r="E158" i="67" s="1"/>
  <c r="E159" i="67" s="1"/>
  <c r="E160" i="67" s="1"/>
  <c r="E161" i="67" s="1"/>
  <c r="E162" i="67" s="1"/>
  <c r="E163" i="67" s="1"/>
  <c r="E164" i="67" s="1"/>
  <c r="E165" i="67" s="1"/>
  <c r="E166" i="67" s="1"/>
  <c r="E167" i="67" s="1"/>
  <c r="D148" i="67"/>
  <c r="Q148" i="67"/>
  <c r="K148" i="67"/>
  <c r="P148" i="67"/>
  <c r="T148" i="67"/>
  <c r="X148" i="67"/>
  <c r="V148" i="67"/>
  <c r="U148" i="67"/>
  <c r="L148" i="67"/>
  <c r="M148" i="67"/>
  <c r="B148" i="67"/>
  <c r="G148" i="67"/>
  <c r="C148" i="67"/>
  <c r="H148" i="67"/>
  <c r="S148" i="67"/>
  <c r="I148" i="67"/>
  <c r="J148" i="67"/>
  <c r="W148" i="67"/>
  <c r="R148" i="67"/>
  <c r="O148" i="67"/>
  <c r="N148" i="67"/>
  <c r="F148" i="67"/>
  <c r="L152" i="67"/>
  <c r="Q152" i="67"/>
  <c r="U152" i="67"/>
  <c r="I152" i="67"/>
  <c r="J152" i="67"/>
  <c r="V152" i="67"/>
  <c r="P152" i="67"/>
  <c r="T152" i="67"/>
  <c r="H152" i="67"/>
  <c r="D152" i="67"/>
  <c r="G152" i="67"/>
  <c r="M152" i="67"/>
  <c r="C152" i="67"/>
  <c r="S152" i="67"/>
  <c r="X152" i="67"/>
  <c r="B152" i="67"/>
  <c r="K152" i="67"/>
  <c r="W152" i="67"/>
  <c r="O152" i="67"/>
  <c r="R152" i="67"/>
  <c r="N152" i="67"/>
  <c r="F152" i="67"/>
  <c r="I4" i="117"/>
  <c r="Y92" i="16"/>
  <c r="B42" i="116" s="1"/>
  <c r="K147" i="67"/>
  <c r="Q147" i="67"/>
  <c r="D147" i="67"/>
  <c r="E147" i="67"/>
  <c r="C147" i="67"/>
  <c r="V147" i="67"/>
  <c r="T147" i="67"/>
  <c r="P147" i="67"/>
  <c r="J147" i="67"/>
  <c r="I147" i="67"/>
  <c r="B147" i="67"/>
  <c r="G147" i="67"/>
  <c r="X147" i="67"/>
  <c r="L147" i="67"/>
  <c r="U147" i="67"/>
  <c r="M147" i="67"/>
  <c r="S147" i="67"/>
  <c r="H147" i="67"/>
  <c r="W147" i="67"/>
  <c r="R147" i="67"/>
  <c r="N147" i="67"/>
  <c r="O147" i="67"/>
  <c r="E148" i="67"/>
  <c r="W133" i="16"/>
  <c r="W134" i="16" s="1"/>
  <c r="W135" i="16" s="1"/>
  <c r="W136" i="16" s="1"/>
  <c r="W137" i="16" s="1"/>
  <c r="W138" i="16" s="1"/>
  <c r="W139" i="16" s="1"/>
  <c r="W140" i="16" s="1"/>
  <c r="W141" i="16" s="1"/>
  <c r="W142" i="16" s="1"/>
  <c r="W143" i="16" s="1"/>
  <c r="W144" i="16" s="1"/>
  <c r="Y5" i="16"/>
  <c r="B11" i="301" s="1"/>
  <c r="J133" i="16"/>
  <c r="J134" i="16" s="1"/>
  <c r="J135" i="16" s="1"/>
  <c r="J136" i="16" s="1"/>
  <c r="J137" i="16" s="1"/>
  <c r="J138" i="16" s="1"/>
  <c r="J139" i="16" s="1"/>
  <c r="J140" i="16" s="1"/>
  <c r="J141" i="16" s="1"/>
  <c r="J142" i="16" s="1"/>
  <c r="J143" i="16" s="1"/>
  <c r="BS54" i="16"/>
  <c r="CS54" i="16"/>
  <c r="BS23" i="16"/>
  <c r="AZ5" i="16"/>
  <c r="CS39" i="16" s="1"/>
  <c r="CS55" i="16" s="1"/>
  <c r="AM5" i="16"/>
  <c r="BS39" i="16" s="1"/>
  <c r="BB3" i="16"/>
  <c r="AF8" i="413" l="1"/>
  <c r="AX8" i="413" s="1"/>
  <c r="AU8" i="413"/>
  <c r="AG8" i="413"/>
  <c r="AG11" i="413"/>
  <c r="AF11" i="413"/>
  <c r="AX11" i="413" s="1"/>
  <c r="AU11" i="413"/>
  <c r="AF10" i="413"/>
  <c r="AX10" i="413" s="1"/>
  <c r="AU10" i="413"/>
  <c r="AG10" i="413"/>
  <c r="AG6" i="413"/>
  <c r="AU6" i="413"/>
  <c r="AF6" i="413"/>
  <c r="AX6" i="413" s="1"/>
  <c r="V12" i="258"/>
  <c r="Y154" i="67"/>
  <c r="C155" i="67"/>
  <c r="C156" i="67" s="1"/>
  <c r="C157" i="67" s="1"/>
  <c r="C158" i="67" s="1"/>
  <c r="C159" i="67" s="1"/>
  <c r="C160" i="67" s="1"/>
  <c r="C161" i="67" s="1"/>
  <c r="C162" i="67" s="1"/>
  <c r="C163" i="67" s="1"/>
  <c r="C164" i="67" s="1"/>
  <c r="C165" i="67" s="1"/>
  <c r="C166" i="67" s="1"/>
  <c r="C167" i="67" s="1"/>
  <c r="Y147" i="67"/>
  <c r="Y151" i="67"/>
  <c r="Y150" i="67"/>
  <c r="M146" i="67"/>
  <c r="Q146" i="67"/>
  <c r="E146" i="67"/>
  <c r="K146" i="67"/>
  <c r="P146" i="67"/>
  <c r="T146" i="67"/>
  <c r="J146" i="67"/>
  <c r="V146" i="67"/>
  <c r="I146" i="67"/>
  <c r="S146" i="67"/>
  <c r="X146" i="67"/>
  <c r="B146" i="67"/>
  <c r="G146" i="67"/>
  <c r="C146" i="67"/>
  <c r="H146" i="67"/>
  <c r="D146" i="67"/>
  <c r="U146" i="67"/>
  <c r="L146" i="67"/>
  <c r="W146" i="67"/>
  <c r="R146" i="67"/>
  <c r="O146" i="67"/>
  <c r="N146" i="67"/>
  <c r="Y149" i="67"/>
  <c r="B4" i="117"/>
  <c r="B156" i="67"/>
  <c r="F146" i="67"/>
  <c r="Y153" i="67"/>
  <c r="Y152" i="67"/>
  <c r="B60" i="117"/>
  <c r="B4" i="116"/>
  <c r="B62" i="117"/>
  <c r="B6" i="116"/>
  <c r="Y148" i="67"/>
  <c r="P75" i="16"/>
  <c r="P143" i="16"/>
  <c r="BS55" i="16"/>
  <c r="BB53" i="16"/>
  <c r="BB5" i="16"/>
  <c r="BB4" i="16"/>
  <c r="AM47" i="21"/>
  <c r="N58" i="16"/>
  <c r="N100" i="16" s="1"/>
  <c r="F16" i="301" l="1"/>
  <c r="C16" i="301" s="1"/>
  <c r="H16" i="301" s="1"/>
  <c r="F6" i="288"/>
  <c r="D6" i="288" s="1"/>
  <c r="O6" i="288" s="1"/>
  <c r="P6" i="288" s="1"/>
  <c r="Y155" i="67"/>
  <c r="AU6" i="130"/>
  <c r="AS6" i="130" s="1"/>
  <c r="AQ6" i="126"/>
  <c r="AT6" i="140"/>
  <c r="Y70" i="16"/>
  <c r="B7" i="346" s="1"/>
  <c r="E7" i="346" s="1"/>
  <c r="Y95" i="16"/>
  <c r="AT4" i="140"/>
  <c r="AQ4" i="126"/>
  <c r="AU4" i="130"/>
  <c r="B157" i="67"/>
  <c r="Y156" i="67"/>
  <c r="Y146" i="67"/>
  <c r="Y58" i="16"/>
  <c r="AQ15" i="16"/>
  <c r="N113" i="16" s="1"/>
  <c r="BZ33" i="16"/>
  <c r="CU33" i="16" s="1"/>
  <c r="BZ49" i="16"/>
  <c r="AZ15" i="16"/>
  <c r="F15" i="16"/>
  <c r="B45" i="116" l="1"/>
  <c r="H6" i="68"/>
  <c r="C6" i="68" s="1"/>
  <c r="B63" i="117"/>
  <c r="B7" i="116"/>
  <c r="E7" i="116" s="1"/>
  <c r="CS49" i="16"/>
  <c r="CS65" i="16" s="1"/>
  <c r="W113" i="16"/>
  <c r="B7" i="117"/>
  <c r="B158" i="67"/>
  <c r="Y157" i="67"/>
  <c r="F75" i="16"/>
  <c r="B12" i="200" s="1"/>
  <c r="F143" i="16"/>
  <c r="BZ65" i="16"/>
  <c r="AD12" i="200" l="1"/>
  <c r="F63" i="117"/>
  <c r="AU7" i="130"/>
  <c r="AS7" i="130" s="1"/>
  <c r="AT7" i="140"/>
  <c r="AQ7" i="126"/>
  <c r="B159" i="67"/>
  <c r="Y158" i="67"/>
  <c r="AM13" i="20"/>
  <c r="G13" i="20" s="1"/>
  <c r="R13" i="20" s="1"/>
  <c r="AM14" i="20"/>
  <c r="AI14" i="20" s="1"/>
  <c r="AM15" i="20"/>
  <c r="AI15" i="20" s="1"/>
  <c r="AM17" i="20"/>
  <c r="AI17" i="20" s="1"/>
  <c r="AM18" i="20"/>
  <c r="AM19" i="20"/>
  <c r="AI19" i="20" s="1"/>
  <c r="G20" i="20"/>
  <c r="AM21" i="20"/>
  <c r="AI21" i="20" s="1"/>
  <c r="AM23" i="20"/>
  <c r="AI23" i="20" s="1"/>
  <c r="G25" i="20"/>
  <c r="AM26" i="20"/>
  <c r="AI26" i="20" s="1"/>
  <c r="AM27" i="20"/>
  <c r="AI27" i="20" s="1"/>
  <c r="AM28" i="20"/>
  <c r="AI28" i="20" s="1"/>
  <c r="AM29" i="20"/>
  <c r="AI29" i="20" s="1"/>
  <c r="AM30" i="20"/>
  <c r="AI30" i="20" s="1"/>
  <c r="AM31" i="20"/>
  <c r="AI31" i="20" s="1"/>
  <c r="AM32" i="20"/>
  <c r="AI32" i="20" s="1"/>
  <c r="AM33" i="20"/>
  <c r="AM34" i="20"/>
  <c r="AI34" i="20" s="1"/>
  <c r="AM35" i="20"/>
  <c r="AI35" i="20" s="1"/>
  <c r="AM16" i="20"/>
  <c r="AI16" i="20" s="1"/>
  <c r="G33" i="20" l="1"/>
  <c r="AI33" i="20"/>
  <c r="AI18" i="20"/>
  <c r="G18" i="20"/>
  <c r="J18" i="20" s="1"/>
  <c r="B160" i="67"/>
  <c r="Y159" i="67"/>
  <c r="G27" i="20"/>
  <c r="G19" i="20"/>
  <c r="J19" i="20" s="1"/>
  <c r="G34" i="20"/>
  <c r="G17" i="20"/>
  <c r="J17" i="20" s="1"/>
  <c r="G28" i="20"/>
  <c r="G32" i="20"/>
  <c r="G15" i="20"/>
  <c r="G31" i="20"/>
  <c r="G23" i="20"/>
  <c r="G14" i="20"/>
  <c r="G16" i="20"/>
  <c r="G30" i="20"/>
  <c r="G22" i="20"/>
  <c r="G35" i="20"/>
  <c r="G26" i="20"/>
  <c r="G29" i="20"/>
  <c r="G21" i="20"/>
  <c r="R14" i="20" l="1"/>
  <c r="J14" i="20"/>
  <c r="I14" i="20" s="1"/>
  <c r="R15" i="20"/>
  <c r="J15" i="20"/>
  <c r="I15" i="20" s="1"/>
  <c r="R16" i="20"/>
  <c r="J16" i="20"/>
  <c r="I16" i="20" s="1"/>
  <c r="B161" i="67"/>
  <c r="Y160" i="67"/>
  <c r="D6" i="20"/>
  <c r="F10" i="20"/>
  <c r="F11" i="20"/>
  <c r="F12" i="20"/>
  <c r="AL12" i="20" s="1"/>
  <c r="F13" i="20"/>
  <c r="AL13" i="20" s="1"/>
  <c r="F14" i="20"/>
  <c r="AL14" i="20" s="1"/>
  <c r="F15" i="20"/>
  <c r="AL15" i="20" s="1"/>
  <c r="F16" i="20"/>
  <c r="AL16" i="20" s="1"/>
  <c r="F17" i="20"/>
  <c r="AL17" i="20" s="1"/>
  <c r="F18" i="20"/>
  <c r="AL18" i="20" s="1"/>
  <c r="F19" i="20"/>
  <c r="AL19" i="20" s="1"/>
  <c r="F20" i="20"/>
  <c r="AL20" i="20" s="1"/>
  <c r="F21" i="20"/>
  <c r="BL10" i="20"/>
  <c r="BM10" i="20"/>
  <c r="BL11" i="20"/>
  <c r="BM11" i="20"/>
  <c r="BB6" i="20"/>
  <c r="BB7" i="20" s="1"/>
  <c r="BB8" i="20" s="1"/>
  <c r="BB9" i="20" s="1"/>
  <c r="BB10" i="20" s="1"/>
  <c r="BB11" i="20" s="1"/>
  <c r="BB12" i="20" s="1"/>
  <c r="BB13" i="20" s="1"/>
  <c r="BB14" i="20" s="1"/>
  <c r="BB15" i="20" s="1"/>
  <c r="BB16" i="20" s="1"/>
  <c r="BB17" i="20" s="1"/>
  <c r="BB22" i="20"/>
  <c r="BB23" i="20" s="1"/>
  <c r="BB24" i="20" s="1"/>
  <c r="BB25" i="20" s="1"/>
  <c r="BB26" i="20" s="1"/>
  <c r="BB27" i="20" s="1"/>
  <c r="BB28" i="20" s="1"/>
  <c r="BB29" i="20" s="1"/>
  <c r="BB30" i="20" s="1"/>
  <c r="BB31" i="20" s="1"/>
  <c r="BB32" i="20" s="1"/>
  <c r="BB33" i="20" s="1"/>
  <c r="BB34" i="20" s="1"/>
  <c r="BA24" i="20"/>
  <c r="BA23" i="20"/>
  <c r="BA20" i="20"/>
  <c r="BA21" i="20"/>
  <c r="BA22" i="20"/>
  <c r="BD18" i="20"/>
  <c r="BA18" i="20"/>
  <c r="BA6" i="20" s="1"/>
  <c r="BA7" i="20" s="1"/>
  <c r="BA8" i="20" s="1"/>
  <c r="BA9" i="20" s="1"/>
  <c r="BA10" i="20" s="1"/>
  <c r="BA11" i="20" s="1"/>
  <c r="BA12" i="20" s="1"/>
  <c r="BA13" i="20" s="1"/>
  <c r="BA14" i="20" s="1"/>
  <c r="BA15" i="20" s="1"/>
  <c r="BA16" i="20" s="1"/>
  <c r="BA17" i="20" s="1"/>
  <c r="BA19" i="20"/>
  <c r="BL23" i="20"/>
  <c r="BM23" i="20"/>
  <c r="BL24" i="20"/>
  <c r="BM24" i="20"/>
  <c r="BL25" i="20"/>
  <c r="BM25" i="20"/>
  <c r="BL26" i="20"/>
  <c r="BM26" i="20"/>
  <c r="BL27" i="20"/>
  <c r="BM27" i="20"/>
  <c r="BL28" i="20"/>
  <c r="BM28" i="20"/>
  <c r="BL29" i="20"/>
  <c r="BM29" i="20"/>
  <c r="BL30" i="20"/>
  <c r="BM30" i="20"/>
  <c r="BL31" i="20"/>
  <c r="BM31" i="20"/>
  <c r="BL32" i="20"/>
  <c r="BM32" i="20"/>
  <c r="BL33" i="20"/>
  <c r="BM33" i="20"/>
  <c r="BL34" i="20"/>
  <c r="BM34" i="20"/>
  <c r="BL35" i="20"/>
  <c r="BM35" i="20"/>
  <c r="BJ6" i="20"/>
  <c r="BJ7" i="20" s="1"/>
  <c r="BJ8" i="20" s="1"/>
  <c r="BJ9" i="20" s="1"/>
  <c r="BJ10" i="20" s="1"/>
  <c r="BJ11" i="20" s="1"/>
  <c r="BJ12" i="20" s="1"/>
  <c r="BJ13" i="20" s="1"/>
  <c r="BJ14" i="20" s="1"/>
  <c r="BJ15" i="20" s="1"/>
  <c r="BJ16" i="20" s="1"/>
  <c r="BJ17" i="20" s="1"/>
  <c r="BL12" i="20"/>
  <c r="BM12" i="20"/>
  <c r="BL13" i="20"/>
  <c r="BM13" i="20"/>
  <c r="BL14" i="20"/>
  <c r="BM14" i="20"/>
  <c r="BL15" i="20"/>
  <c r="BM15" i="20"/>
  <c r="BL16" i="20"/>
  <c r="BM16" i="20"/>
  <c r="BL17" i="20"/>
  <c r="BM17" i="20"/>
  <c r="BL18" i="20"/>
  <c r="BM18" i="20"/>
  <c r="BL19" i="20"/>
  <c r="BM19" i="20"/>
  <c r="BL20" i="20"/>
  <c r="BM20" i="20"/>
  <c r="BL21" i="20"/>
  <c r="BM21" i="20"/>
  <c r="BM22" i="20"/>
  <c r="BL22" i="20"/>
  <c r="AZ14" i="16"/>
  <c r="CR48" i="16"/>
  <c r="CR64" i="16" s="1"/>
  <c r="CH48" i="16"/>
  <c r="CH64" i="16" s="1"/>
  <c r="CF48" i="16"/>
  <c r="CF64" i="16" s="1"/>
  <c r="CA48" i="16"/>
  <c r="CA64" i="16" s="1"/>
  <c r="BZ48" i="16"/>
  <c r="BZ64" i="16" s="1"/>
  <c r="BS48" i="16"/>
  <c r="BS64" i="16" s="1"/>
  <c r="BR48" i="16"/>
  <c r="BR64" i="16" s="1"/>
  <c r="AI14" i="16"/>
  <c r="AH14" i="16"/>
  <c r="AZ13" i="16"/>
  <c r="AY13" i="16"/>
  <c r="AU13" i="16"/>
  <c r="AS13" i="16"/>
  <c r="AR13" i="16"/>
  <c r="AQ13" i="16"/>
  <c r="AM13" i="16"/>
  <c r="AL13" i="16"/>
  <c r="AI13" i="16"/>
  <c r="AH13" i="16"/>
  <c r="AZ12" i="16"/>
  <c r="AY12" i="16"/>
  <c r="AU12" i="16"/>
  <c r="AS12" i="16"/>
  <c r="AR12" i="16"/>
  <c r="AQ12" i="16"/>
  <c r="AM12" i="16"/>
  <c r="AL12" i="16"/>
  <c r="AI12" i="16"/>
  <c r="AH12" i="16"/>
  <c r="AZ11" i="16"/>
  <c r="AY11" i="16"/>
  <c r="AU11" i="16"/>
  <c r="AS11" i="16"/>
  <c r="AQ11" i="16"/>
  <c r="AM11" i="16"/>
  <c r="AL11" i="16"/>
  <c r="AI11" i="16"/>
  <c r="AH11" i="16"/>
  <c r="AY10" i="16"/>
  <c r="AU10" i="16"/>
  <c r="AS10" i="16"/>
  <c r="AQ10" i="16"/>
  <c r="AM10" i="16"/>
  <c r="AL10" i="16"/>
  <c r="AI10" i="16"/>
  <c r="AH10" i="16"/>
  <c r="AZ9" i="16"/>
  <c r="AY9" i="16"/>
  <c r="AU9" i="16"/>
  <c r="AS9" i="16"/>
  <c r="AQ9" i="16"/>
  <c r="AM9" i="16"/>
  <c r="AL9" i="16"/>
  <c r="AI9" i="16"/>
  <c r="AH9" i="16"/>
  <c r="AY8" i="16"/>
  <c r="AS8" i="16"/>
  <c r="AM8" i="16"/>
  <c r="AI8" i="16"/>
  <c r="AY7" i="16"/>
  <c r="BX9" i="20"/>
  <c r="BX8" i="20"/>
  <c r="AJ47" i="21"/>
  <c r="AB47" i="21"/>
  <c r="AE47" i="21"/>
  <c r="AF47" i="21"/>
  <c r="AI47" i="21"/>
  <c r="AN47" i="21"/>
  <c r="AO47" i="21"/>
  <c r="AP47" i="21"/>
  <c r="AT47" i="21"/>
  <c r="AV47" i="21"/>
  <c r="AW47" i="21"/>
  <c r="AX47" i="21"/>
  <c r="AE48" i="21"/>
  <c r="AF48" i="21"/>
  <c r="AI48" i="21"/>
  <c r="AJ48" i="21"/>
  <c r="AM48" i="21"/>
  <c r="AN48" i="21"/>
  <c r="AO48" i="21"/>
  <c r="AP48" i="21"/>
  <c r="AT48" i="21"/>
  <c r="AV48" i="21"/>
  <c r="AW48" i="21"/>
  <c r="AX48" i="21"/>
  <c r="AE49" i="21"/>
  <c r="AF49" i="21"/>
  <c r="AI49" i="21"/>
  <c r="AJ49" i="21"/>
  <c r="AM49" i="21"/>
  <c r="AN49" i="21"/>
  <c r="AO49" i="21"/>
  <c r="AP49" i="21"/>
  <c r="AT49" i="21"/>
  <c r="AV49" i="21"/>
  <c r="AW49" i="21"/>
  <c r="AX49" i="21"/>
  <c r="AE50" i="21"/>
  <c r="AF50" i="21"/>
  <c r="AI50" i="21"/>
  <c r="AJ50" i="21"/>
  <c r="AM50" i="21"/>
  <c r="AN50" i="21"/>
  <c r="AO50" i="21"/>
  <c r="AP50" i="21"/>
  <c r="AT50" i="21"/>
  <c r="AV50" i="21"/>
  <c r="AW50" i="21"/>
  <c r="AX50" i="21"/>
  <c r="AE51" i="21"/>
  <c r="AF51" i="21"/>
  <c r="AI51" i="21"/>
  <c r="AJ51" i="21"/>
  <c r="AM51" i="21"/>
  <c r="AN51" i="21"/>
  <c r="AO51" i="21"/>
  <c r="AP51" i="21"/>
  <c r="AT51" i="21"/>
  <c r="AV51" i="21"/>
  <c r="AW51" i="21"/>
  <c r="AX51" i="21"/>
  <c r="AE52" i="21"/>
  <c r="AF52" i="21"/>
  <c r="AI52" i="21"/>
  <c r="AJ52" i="21"/>
  <c r="AM52" i="21"/>
  <c r="AN52" i="21"/>
  <c r="AO52" i="21"/>
  <c r="AP52" i="21"/>
  <c r="AT52" i="21"/>
  <c r="AV52" i="21"/>
  <c r="AW52" i="21"/>
  <c r="AX52" i="21"/>
  <c r="AE53" i="21"/>
  <c r="AF53" i="21"/>
  <c r="AI53" i="21"/>
  <c r="AJ53" i="21"/>
  <c r="AM53" i="21"/>
  <c r="AN53" i="21"/>
  <c r="AO53" i="21"/>
  <c r="AP53" i="21"/>
  <c r="AT53" i="21"/>
  <c r="AV53" i="21"/>
  <c r="AW53" i="21"/>
  <c r="AX53" i="21"/>
  <c r="AE54" i="21"/>
  <c r="AF54" i="21"/>
  <c r="AI54" i="21"/>
  <c r="AJ54" i="21"/>
  <c r="AM54" i="21"/>
  <c r="AN54" i="21"/>
  <c r="AO54" i="21"/>
  <c r="AP54" i="21"/>
  <c r="AT54" i="21"/>
  <c r="AV54" i="21"/>
  <c r="AW54" i="21"/>
  <c r="AX54" i="21"/>
  <c r="AE55" i="21"/>
  <c r="AF55" i="21"/>
  <c r="AI55" i="21"/>
  <c r="AJ55" i="21"/>
  <c r="AM55" i="21"/>
  <c r="AN55" i="21"/>
  <c r="AO55" i="21"/>
  <c r="AP55" i="21"/>
  <c r="AT55" i="21"/>
  <c r="AV55" i="21"/>
  <c r="AW55" i="21"/>
  <c r="AX55" i="21"/>
  <c r="R49" i="21"/>
  <c r="R50" i="21"/>
  <c r="AR50" i="21" s="1"/>
  <c r="AX16" i="20" s="1"/>
  <c r="R51" i="21"/>
  <c r="AR51" i="21" s="1"/>
  <c r="AX17" i="20" s="1"/>
  <c r="R52" i="21"/>
  <c r="AR52" i="21" s="1"/>
  <c r="AX18" i="20" s="1"/>
  <c r="R53" i="21"/>
  <c r="AR53" i="21" s="1"/>
  <c r="AX19" i="20" s="1"/>
  <c r="R54" i="21"/>
  <c r="AR54" i="21" s="1"/>
  <c r="AX20" i="20" s="1"/>
  <c r="R55" i="21"/>
  <c r="AR55" i="21" s="1"/>
  <c r="AX21" i="20" s="1"/>
  <c r="R56" i="21"/>
  <c r="R42" i="21"/>
  <c r="R43" i="21"/>
  <c r="R44" i="21"/>
  <c r="R45" i="21"/>
  <c r="R46" i="21"/>
  <c r="R47" i="21"/>
  <c r="AR47" i="21" s="1"/>
  <c r="AX13" i="20" s="1"/>
  <c r="R48" i="21"/>
  <c r="AR48" i="21" s="1"/>
  <c r="AX14" i="20" s="1"/>
  <c r="AB49" i="21"/>
  <c r="AB50" i="21"/>
  <c r="AB51" i="21"/>
  <c r="AB52" i="21"/>
  <c r="AB53" i="21"/>
  <c r="AB54" i="21"/>
  <c r="AB55" i="21"/>
  <c r="AB48" i="21"/>
  <c r="B56" i="21"/>
  <c r="AB56" i="21" s="1"/>
  <c r="AA12" i="5"/>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V48" i="4"/>
  <c r="S48" i="4" s="1"/>
  <c r="V49" i="4"/>
  <c r="S49" i="4" s="1"/>
  <c r="V50" i="4"/>
  <c r="S50" i="4" s="1"/>
  <c r="V51" i="4"/>
  <c r="S51" i="4" s="1"/>
  <c r="V52" i="4"/>
  <c r="S52" i="4" s="1"/>
  <c r="V53" i="4"/>
  <c r="S53" i="4" s="1"/>
  <c r="V54" i="4"/>
  <c r="S54" i="4" s="1"/>
  <c r="V55" i="4"/>
  <c r="S55" i="4" s="1"/>
  <c r="V56" i="4"/>
  <c r="S56" i="4" s="1"/>
  <c r="V57" i="4"/>
  <c r="S57" i="4" s="1"/>
  <c r="V58" i="4"/>
  <c r="S58" i="4" s="1"/>
  <c r="V59" i="4"/>
  <c r="S59" i="4" s="1"/>
  <c r="V60" i="4"/>
  <c r="S60" i="4" s="1"/>
  <c r="V61" i="4"/>
  <c r="S61" i="4" s="1"/>
  <c r="V62" i="4"/>
  <c r="S62" i="4" s="1"/>
  <c r="V63" i="4"/>
  <c r="S63" i="4" s="1"/>
  <c r="V64" i="4"/>
  <c r="S64" i="4" s="1"/>
  <c r="V65" i="4"/>
  <c r="S65" i="4" s="1"/>
  <c r="V66" i="4"/>
  <c r="S66" i="4" s="1"/>
  <c r="V67" i="4"/>
  <c r="S67" i="4" s="1"/>
  <c r="V68" i="4"/>
  <c r="S68" i="4" s="1"/>
  <c r="V69" i="4"/>
  <c r="S69" i="4" s="1"/>
  <c r="V70" i="4"/>
  <c r="S70" i="4" s="1"/>
  <c r="V71" i="4"/>
  <c r="S71" i="4" s="1"/>
  <c r="V47" i="4"/>
  <c r="S47" i="4" s="1"/>
  <c r="AR49" i="21" l="1"/>
  <c r="AX15" i="20" s="1"/>
  <c r="AL21" i="20"/>
  <c r="C77" i="20"/>
  <c r="F77" i="20" s="1"/>
  <c r="BN27" i="20"/>
  <c r="BN15" i="20"/>
  <c r="BN24" i="20"/>
  <c r="BJ43" i="16"/>
  <c r="BJ59" i="16" s="1"/>
  <c r="E107" i="16"/>
  <c r="CS43" i="16"/>
  <c r="CS59" i="16" s="1"/>
  <c r="W107" i="16"/>
  <c r="CR44" i="16"/>
  <c r="CR60" i="16" s="1"/>
  <c r="V108" i="16"/>
  <c r="CR45" i="16"/>
  <c r="CR61" i="16" s="1"/>
  <c r="V109" i="16"/>
  <c r="CF46" i="16"/>
  <c r="CF62" i="16" s="1"/>
  <c r="P110" i="16"/>
  <c r="BZ47" i="16"/>
  <c r="BZ63" i="16" s="1"/>
  <c r="N111" i="16"/>
  <c r="CR43" i="16"/>
  <c r="CR59" i="16" s="1"/>
  <c r="V107" i="16"/>
  <c r="BK48" i="16"/>
  <c r="BK64" i="16" s="1"/>
  <c r="F112" i="16"/>
  <c r="BJ44" i="16"/>
  <c r="BJ60" i="16" s="1"/>
  <c r="E108" i="16"/>
  <c r="BJ45" i="16"/>
  <c r="BJ61" i="16" s="1"/>
  <c r="E109" i="16"/>
  <c r="CS45" i="16"/>
  <c r="CS61" i="16" s="1"/>
  <c r="W109" i="16"/>
  <c r="CH46" i="16"/>
  <c r="CH62" i="16" s="1"/>
  <c r="R110" i="16"/>
  <c r="CA47" i="16"/>
  <c r="CA63" i="16" s="1"/>
  <c r="O111" i="16"/>
  <c r="CR42" i="16"/>
  <c r="CR58" i="16" s="1"/>
  <c r="V106" i="16"/>
  <c r="BS47" i="16"/>
  <c r="BS63" i="16" s="1"/>
  <c r="J111" i="16"/>
  <c r="BK43" i="16"/>
  <c r="BK59" i="16" s="1"/>
  <c r="F107" i="16"/>
  <c r="BR43" i="16"/>
  <c r="BR59" i="16" s="1"/>
  <c r="I107" i="16"/>
  <c r="BK44" i="16"/>
  <c r="BK60" i="16" s="1"/>
  <c r="F108" i="16"/>
  <c r="BK45" i="16"/>
  <c r="BK61" i="16" s="1"/>
  <c r="F109" i="16"/>
  <c r="BJ46" i="16"/>
  <c r="BJ62" i="16" s="1"/>
  <c r="E110" i="16"/>
  <c r="CR46" i="16"/>
  <c r="CR62" i="16" s="1"/>
  <c r="V110" i="16"/>
  <c r="CF47" i="16"/>
  <c r="CF63" i="16" s="1"/>
  <c r="P111" i="16"/>
  <c r="CA46" i="16"/>
  <c r="CA62" i="16" s="1"/>
  <c r="O110" i="16"/>
  <c r="CR41" i="16"/>
  <c r="CR57" i="16" s="1"/>
  <c r="V105" i="16"/>
  <c r="BS43" i="16"/>
  <c r="BS59" i="16" s="1"/>
  <c r="J107" i="16"/>
  <c r="BR44" i="16"/>
  <c r="BR60" i="16" s="1"/>
  <c r="I108" i="16"/>
  <c r="BR45" i="16"/>
  <c r="BR61" i="16" s="1"/>
  <c r="I109" i="16"/>
  <c r="BK46" i="16"/>
  <c r="BK62" i="16" s="1"/>
  <c r="F110" i="16"/>
  <c r="CS46" i="16"/>
  <c r="CS62" i="16" s="1"/>
  <c r="W110" i="16"/>
  <c r="CH47" i="16"/>
  <c r="CH63" i="16" s="1"/>
  <c r="R111" i="16"/>
  <c r="CH45" i="16"/>
  <c r="CH61" i="16" s="1"/>
  <c r="R109" i="16"/>
  <c r="BK42" i="16"/>
  <c r="BK58" i="16" s="1"/>
  <c r="F106" i="16"/>
  <c r="BS44" i="16"/>
  <c r="BS60" i="16" s="1"/>
  <c r="J108" i="16"/>
  <c r="BS45" i="16"/>
  <c r="BS61" i="16" s="1"/>
  <c r="J109" i="16"/>
  <c r="BR46" i="16"/>
  <c r="BR62" i="16" s="1"/>
  <c r="I110" i="16"/>
  <c r="BJ47" i="16"/>
  <c r="BJ63" i="16" s="1"/>
  <c r="E111" i="16"/>
  <c r="CR47" i="16"/>
  <c r="CR63" i="16" s="1"/>
  <c r="V111" i="16"/>
  <c r="BS42" i="16"/>
  <c r="BS58" i="16" s="1"/>
  <c r="J106" i="16"/>
  <c r="CF43" i="16"/>
  <c r="CF59" i="16" s="1"/>
  <c r="P107" i="16"/>
  <c r="BZ44" i="16"/>
  <c r="BZ60" i="16" s="1"/>
  <c r="N108" i="16"/>
  <c r="BZ45" i="16"/>
  <c r="BZ61" i="16" s="1"/>
  <c r="N109" i="16"/>
  <c r="BS46" i="16"/>
  <c r="BS62" i="16" s="1"/>
  <c r="J110" i="16"/>
  <c r="BK47" i="16"/>
  <c r="BK63" i="16" s="1"/>
  <c r="F111" i="16"/>
  <c r="CS47" i="16"/>
  <c r="CS63" i="16" s="1"/>
  <c r="W111" i="16"/>
  <c r="CH44" i="16"/>
  <c r="CH60" i="16" s="1"/>
  <c r="R108" i="16"/>
  <c r="CS48" i="16"/>
  <c r="CS64" i="16" s="1"/>
  <c r="W112" i="16"/>
  <c r="BZ43" i="16"/>
  <c r="BZ59" i="16" s="1"/>
  <c r="N107" i="16"/>
  <c r="CF42" i="16"/>
  <c r="CF58" i="16" s="1"/>
  <c r="P106" i="16"/>
  <c r="CH43" i="16"/>
  <c r="CH59" i="16" s="1"/>
  <c r="R107" i="16"/>
  <c r="CF44" i="16"/>
  <c r="CF60" i="16" s="1"/>
  <c r="P108" i="16"/>
  <c r="CF45" i="16"/>
  <c r="CF61" i="16" s="1"/>
  <c r="P109" i="16"/>
  <c r="BZ46" i="16"/>
  <c r="BZ62" i="16" s="1"/>
  <c r="N110" i="16"/>
  <c r="BR47" i="16"/>
  <c r="BR63" i="16" s="1"/>
  <c r="I111" i="16"/>
  <c r="BJ48" i="16"/>
  <c r="BJ64" i="16" s="1"/>
  <c r="CU64" i="16" s="1"/>
  <c r="E112" i="16"/>
  <c r="B162" i="67"/>
  <c r="Y161" i="67"/>
  <c r="BN11" i="20"/>
  <c r="BB9" i="16"/>
  <c r="Y107" i="16" s="1"/>
  <c r="C44" i="116" s="1"/>
  <c r="D44" i="116" s="1"/>
  <c r="BN22" i="20"/>
  <c r="BN30" i="20"/>
  <c r="BN10" i="20"/>
  <c r="BN13" i="20"/>
  <c r="BN32" i="20"/>
  <c r="BN18" i="20"/>
  <c r="BN35" i="20"/>
  <c r="BN16" i="20"/>
  <c r="BN28" i="20"/>
  <c r="BN25" i="20"/>
  <c r="BN21" i="20"/>
  <c r="BN29" i="20"/>
  <c r="BN20" i="20"/>
  <c r="BN31" i="20"/>
  <c r="BN19" i="20"/>
  <c r="BN12" i="20"/>
  <c r="BN34" i="20"/>
  <c r="BN33" i="20"/>
  <c r="BN23" i="20"/>
  <c r="BN26" i="20"/>
  <c r="BN17" i="20"/>
  <c r="BN14" i="20"/>
  <c r="BS49" i="16"/>
  <c r="BS65" i="16" s="1"/>
  <c r="BB10" i="16"/>
  <c r="Y108" i="16" s="1"/>
  <c r="BR49" i="16"/>
  <c r="BB8" i="16"/>
  <c r="BB6" i="16"/>
  <c r="BB12" i="16"/>
  <c r="BB13" i="16"/>
  <c r="BB7" i="16"/>
  <c r="Y105" i="16" s="1"/>
  <c r="C42" i="116" s="1"/>
  <c r="D42" i="116" s="1"/>
  <c r="BB11" i="16"/>
  <c r="AV44" i="21"/>
  <c r="AX12" i="20"/>
  <c r="AW44" i="21"/>
  <c r="AW45" i="21"/>
  <c r="AW46" i="21"/>
  <c r="AY12" i="21"/>
  <c r="AY13" i="21"/>
  <c r="AY14" i="21"/>
  <c r="AY15" i="21"/>
  <c r="AY16" i="21"/>
  <c r="AY17" i="21"/>
  <c r="AY18" i="21"/>
  <c r="AY19" i="21"/>
  <c r="AY20" i="21"/>
  <c r="AY11" i="21"/>
  <c r="Y12" i="21"/>
  <c r="Y13" i="21"/>
  <c r="Y14" i="21"/>
  <c r="Y15" i="21"/>
  <c r="Y16" i="21"/>
  <c r="Y17" i="21"/>
  <c r="Y18" i="21"/>
  <c r="Y19" i="21"/>
  <c r="Y20" i="21"/>
  <c r="Y11" i="21"/>
  <c r="E6" i="20"/>
  <c r="E7" i="20"/>
  <c r="E8" i="20"/>
  <c r="B11" i="20"/>
  <c r="E11" i="20" s="1"/>
  <c r="E5" i="20"/>
  <c r="V13" i="19"/>
  <c r="U14" i="5"/>
  <c r="U16" i="5"/>
  <c r="U8" i="5"/>
  <c r="S9" i="19" s="1"/>
  <c r="M5" i="19"/>
  <c r="N5" i="19"/>
  <c r="O5" i="19"/>
  <c r="O6" i="19" s="1"/>
  <c r="O7" i="19" s="1"/>
  <c r="P5" i="19"/>
  <c r="P6" i="19" s="1"/>
  <c r="P7" i="19" s="1"/>
  <c r="M6" i="19"/>
  <c r="M7" i="19" s="1"/>
  <c r="M8" i="19"/>
  <c r="M9" i="19" s="1"/>
  <c r="M10" i="19" s="1"/>
  <c r="M11" i="19" s="1"/>
  <c r="M12" i="19" s="1"/>
  <c r="N8" i="19"/>
  <c r="N9" i="19" s="1"/>
  <c r="N10" i="19" s="1"/>
  <c r="N11" i="19" s="1"/>
  <c r="N12" i="19" s="1"/>
  <c r="O8" i="19"/>
  <c r="O9" i="19" s="1"/>
  <c r="O10" i="19" s="1"/>
  <c r="O11" i="19" s="1"/>
  <c r="O12" i="19" s="1"/>
  <c r="P8" i="19"/>
  <c r="D11" i="19"/>
  <c r="H11" i="19"/>
  <c r="T11" i="19"/>
  <c r="D12" i="19"/>
  <c r="H12" i="19"/>
  <c r="Q12" i="19"/>
  <c r="Q11" i="19" s="1"/>
  <c r="Q10" i="19" s="1"/>
  <c r="Q9" i="19" s="1"/>
  <c r="Q8" i="19" s="1"/>
  <c r="Q7" i="19" s="1"/>
  <c r="Q6" i="19" s="1"/>
  <c r="Q5" i="19" s="1"/>
  <c r="T12" i="19"/>
  <c r="D13" i="19"/>
  <c r="H13" i="19"/>
  <c r="D14" i="19"/>
  <c r="H14" i="19"/>
  <c r="M14" i="19"/>
  <c r="M15" i="19" s="1"/>
  <c r="M16" i="19" s="1"/>
  <c r="N14" i="19"/>
  <c r="N15" i="19" s="1"/>
  <c r="N16" i="19" s="1"/>
  <c r="N17" i="19" s="1"/>
  <c r="N18" i="19" s="1"/>
  <c r="N19" i="19" s="1"/>
  <c r="N20" i="19" s="1"/>
  <c r="O14" i="19"/>
  <c r="O15" i="19" s="1"/>
  <c r="O16" i="19" s="1"/>
  <c r="O17" i="19" s="1"/>
  <c r="O18" i="19" s="1"/>
  <c r="O19" i="19" s="1"/>
  <c r="O20" i="19" s="1"/>
  <c r="P14" i="19"/>
  <c r="P15" i="19" s="1"/>
  <c r="P16" i="19" s="1"/>
  <c r="P17" i="19" s="1"/>
  <c r="P18" i="19" s="1"/>
  <c r="P19" i="19" s="1"/>
  <c r="P20" i="19" s="1"/>
  <c r="Q14" i="19"/>
  <c r="Q15" i="19" s="1"/>
  <c r="Q16" i="19" s="1"/>
  <c r="Q17" i="19" s="1"/>
  <c r="Q18" i="19" s="1"/>
  <c r="Q19" i="19" s="1"/>
  <c r="Q20" i="19" s="1"/>
  <c r="D15" i="19"/>
  <c r="H15" i="19"/>
  <c r="M22" i="19"/>
  <c r="M23" i="19" s="1"/>
  <c r="M24" i="19" s="1"/>
  <c r="N22" i="19"/>
  <c r="N23" i="19" s="1"/>
  <c r="N24" i="19" s="1"/>
  <c r="N25" i="19" s="1"/>
  <c r="O22" i="19"/>
  <c r="O23" i="19" s="1"/>
  <c r="O24" i="19" s="1"/>
  <c r="O25" i="19" s="1"/>
  <c r="P22" i="19"/>
  <c r="P23" i="19" s="1"/>
  <c r="P24" i="19" s="1"/>
  <c r="P25" i="19" s="1"/>
  <c r="Q22" i="19"/>
  <c r="Q23" i="19" s="1"/>
  <c r="Q24" i="19" s="1"/>
  <c r="Q25" i="19" s="1"/>
  <c r="Q20" i="18"/>
  <c r="Q21" i="18" s="1"/>
  <c r="Q22" i="18" s="1"/>
  <c r="Q23" i="18" s="1"/>
  <c r="P20" i="18"/>
  <c r="P21" i="18" s="1"/>
  <c r="P22" i="18" s="1"/>
  <c r="P23" i="18" s="1"/>
  <c r="O20" i="18"/>
  <c r="O21" i="18" s="1"/>
  <c r="O22" i="18" s="1"/>
  <c r="O23" i="18" s="1"/>
  <c r="N20" i="18"/>
  <c r="N21" i="18" s="1"/>
  <c r="N22" i="18" s="1"/>
  <c r="N23" i="18" s="1"/>
  <c r="M20" i="18"/>
  <c r="M21" i="18" s="1"/>
  <c r="M22" i="18" s="1"/>
  <c r="M23" i="18" s="1"/>
  <c r="H20" i="18"/>
  <c r="D20" i="18"/>
  <c r="H19" i="18"/>
  <c r="D19" i="18"/>
  <c r="H18" i="18"/>
  <c r="D18" i="18"/>
  <c r="H17" i="18"/>
  <c r="D17" i="18"/>
  <c r="Q13" i="18"/>
  <c r="Q14" i="18" s="1"/>
  <c r="Q15" i="18" s="1"/>
  <c r="Q16" i="18" s="1"/>
  <c r="Q17" i="18" s="1"/>
  <c r="Q18" i="18" s="1"/>
  <c r="Q12" i="18"/>
  <c r="P12" i="18"/>
  <c r="P13" i="18" s="1"/>
  <c r="P14" i="18" s="1"/>
  <c r="P15" i="18" s="1"/>
  <c r="P16" i="18" s="1"/>
  <c r="P17" i="18" s="1"/>
  <c r="P18" i="18" s="1"/>
  <c r="O12" i="18"/>
  <c r="O13" i="18" s="1"/>
  <c r="O14" i="18" s="1"/>
  <c r="O15" i="18" s="1"/>
  <c r="O16" i="18" s="1"/>
  <c r="O17" i="18" s="1"/>
  <c r="O18" i="18" s="1"/>
  <c r="N12" i="18"/>
  <c r="N13" i="18" s="1"/>
  <c r="N14" i="18" s="1"/>
  <c r="N15" i="18" s="1"/>
  <c r="N16" i="18" s="1"/>
  <c r="N17" i="18" s="1"/>
  <c r="N18" i="18" s="1"/>
  <c r="M12" i="18"/>
  <c r="M13" i="18" s="1"/>
  <c r="M14" i="18" s="1"/>
  <c r="M15" i="18" s="1"/>
  <c r="M16" i="18" s="1"/>
  <c r="M17" i="18" s="1"/>
  <c r="M18" i="18" s="1"/>
  <c r="X11" i="18"/>
  <c r="F11" i="18"/>
  <c r="C23" i="2"/>
  <c r="D23" i="2"/>
  <c r="E23" i="2"/>
  <c r="F23" i="2"/>
  <c r="H23" i="2"/>
  <c r="I23" i="2"/>
  <c r="J23" i="2"/>
  <c r="K23" i="2"/>
  <c r="L23" i="2"/>
  <c r="M23" i="2"/>
  <c r="N23" i="2"/>
  <c r="O23" i="2"/>
  <c r="P23" i="2"/>
  <c r="Q23" i="2"/>
  <c r="R23" i="2"/>
  <c r="S23" i="2"/>
  <c r="T23" i="2"/>
  <c r="U23" i="2"/>
  <c r="V23" i="2"/>
  <c r="W23" i="2"/>
  <c r="X23" i="2"/>
  <c r="Y23" i="2"/>
  <c r="K12" i="1"/>
  <c r="L12" i="1"/>
  <c r="E12" i="1"/>
  <c r="F12" i="1"/>
  <c r="G12" i="1"/>
  <c r="H12" i="1"/>
  <c r="I12" i="1"/>
  <c r="J12" i="1"/>
  <c r="M12" i="1"/>
  <c r="N12" i="1"/>
  <c r="X10" i="35" l="1"/>
  <c r="B10" i="35" s="1"/>
  <c r="X10" i="60"/>
  <c r="B10" i="60" s="1"/>
  <c r="X10" i="64"/>
  <c r="B10" i="64" s="1"/>
  <c r="X10" i="57"/>
  <c r="B10" i="57" s="1"/>
  <c r="X10" i="66"/>
  <c r="B10" i="66" s="1"/>
  <c r="X10" i="61"/>
  <c r="B10" i="61" s="1"/>
  <c r="X10" i="49"/>
  <c r="B11" i="49" s="1"/>
  <c r="X10" i="33"/>
  <c r="B11" i="33" s="1"/>
  <c r="X10" i="54"/>
  <c r="B10" i="54" s="1"/>
  <c r="X10" i="98"/>
  <c r="B10" i="98" s="1"/>
  <c r="X10" i="65"/>
  <c r="B10" i="65" s="1"/>
  <c r="X10" i="63"/>
  <c r="B10" i="63" s="1"/>
  <c r="X10" i="52"/>
  <c r="B10" i="52" s="1"/>
  <c r="X10" i="53"/>
  <c r="B10" i="53" s="1"/>
  <c r="X10" i="59"/>
  <c r="B10" i="59" s="1"/>
  <c r="X10" i="62"/>
  <c r="B10" i="62" s="1"/>
  <c r="X10" i="51"/>
  <c r="B10" i="51" s="1"/>
  <c r="X10" i="58"/>
  <c r="B10" i="58" s="1"/>
  <c r="W10" i="55"/>
  <c r="B10" i="55" s="1"/>
  <c r="X10" i="50"/>
  <c r="B10" i="50" s="1"/>
  <c r="Y10" i="48"/>
  <c r="B10" i="48" s="1"/>
  <c r="X9" i="63"/>
  <c r="B9" i="63" s="1"/>
  <c r="X9" i="98"/>
  <c r="B9" i="98" s="1"/>
  <c r="X9" i="52"/>
  <c r="B9" i="52" s="1"/>
  <c r="X9" i="35"/>
  <c r="B9" i="35" s="1"/>
  <c r="X9" i="64"/>
  <c r="B9" i="64" s="1"/>
  <c r="X9" i="57"/>
  <c r="B9" i="57" s="1"/>
  <c r="X9" i="59"/>
  <c r="B9" i="59" s="1"/>
  <c r="X9" i="66"/>
  <c r="B9" i="66" s="1"/>
  <c r="X9" i="61"/>
  <c r="B9" i="61" s="1"/>
  <c r="X9" i="60"/>
  <c r="B9" i="60" s="1"/>
  <c r="X9" i="49"/>
  <c r="B10" i="49" s="1"/>
  <c r="X9" i="33"/>
  <c r="B10" i="33" s="1"/>
  <c r="X9" i="54"/>
  <c r="B9" i="54" s="1"/>
  <c r="X9" i="51"/>
  <c r="B9" i="51" s="1"/>
  <c r="X9" i="62"/>
  <c r="B9" i="62" s="1"/>
  <c r="X9" i="65"/>
  <c r="B9" i="65" s="1"/>
  <c r="X9" i="53"/>
  <c r="B9" i="53" s="1"/>
  <c r="X9" i="58"/>
  <c r="B9" i="58" s="1"/>
  <c r="X9" i="50"/>
  <c r="B9" i="50" s="1"/>
  <c r="W9" i="55"/>
  <c r="B9" i="55" s="1"/>
  <c r="Y9" i="48"/>
  <c r="B9" i="48" s="1"/>
  <c r="C45" i="116"/>
  <c r="D45" i="116" s="1"/>
  <c r="E45" i="116" s="1"/>
  <c r="AA95" i="16"/>
  <c r="AB95" i="16" s="1"/>
  <c r="AB9" i="37"/>
  <c r="B9" i="37" s="1"/>
  <c r="AB10" i="37"/>
  <c r="B10" i="37" s="1"/>
  <c r="P9" i="19"/>
  <c r="P10" i="19" s="1"/>
  <c r="P11" i="19" s="1"/>
  <c r="P12" i="19" s="1"/>
  <c r="O2" i="19"/>
  <c r="CU45" i="16"/>
  <c r="CU48" i="16"/>
  <c r="CU61" i="16"/>
  <c r="CU63" i="16"/>
  <c r="CU58" i="16"/>
  <c r="CU62" i="16"/>
  <c r="CU47" i="16"/>
  <c r="CU44" i="16"/>
  <c r="CU60" i="16"/>
  <c r="B163" i="67"/>
  <c r="Y162" i="67"/>
  <c r="CU42" i="16"/>
  <c r="CU43" i="16"/>
  <c r="B34" i="117"/>
  <c r="H17" i="68"/>
  <c r="CU59" i="16"/>
  <c r="CU46" i="16"/>
  <c r="B37" i="117"/>
  <c r="H20" i="68"/>
  <c r="B36" i="117"/>
  <c r="H19" i="68"/>
  <c r="BR65" i="16"/>
  <c r="E10" i="20"/>
  <c r="C7" i="20"/>
  <c r="D7" i="20" s="1"/>
  <c r="C8" i="20"/>
  <c r="C9" i="20"/>
  <c r="AV45" i="21"/>
  <c r="U15" i="5"/>
  <c r="M25" i="19"/>
  <c r="M17" i="19"/>
  <c r="M18" i="19" s="1"/>
  <c r="M19" i="19" s="1"/>
  <c r="N6" i="19"/>
  <c r="N7" i="19" s="1"/>
  <c r="G11" i="18"/>
  <c r="Y9" i="58" l="1"/>
  <c r="W9" i="58"/>
  <c r="Y9" i="60"/>
  <c r="W9" i="60"/>
  <c r="Y9" i="98"/>
  <c r="B34" i="98"/>
  <c r="C34" i="98" s="1"/>
  <c r="W9" i="98"/>
  <c r="W10" i="59"/>
  <c r="Y10" i="59"/>
  <c r="W10" i="49"/>
  <c r="Y10" i="49"/>
  <c r="B140" i="49" s="1"/>
  <c r="W10" i="61"/>
  <c r="B35" i="61"/>
  <c r="C35" i="61" s="1"/>
  <c r="F35" i="61" s="1"/>
  <c r="G35" i="61" s="1"/>
  <c r="I35" i="61" s="1"/>
  <c r="O10" i="61" s="1"/>
  <c r="U36" i="67" s="1"/>
  <c r="U114" i="67" s="1"/>
  <c r="Y10" i="61"/>
  <c r="W9" i="49"/>
  <c r="Y9" i="49"/>
  <c r="B139" i="49" s="1"/>
  <c r="Z10" i="48"/>
  <c r="X10" i="48"/>
  <c r="W10" i="52"/>
  <c r="B35" i="52"/>
  <c r="C35" i="52" s="1"/>
  <c r="Y10" i="52"/>
  <c r="W10" i="66"/>
  <c r="Y10" i="66"/>
  <c r="W9" i="50"/>
  <c r="Y9" i="50"/>
  <c r="W10" i="53"/>
  <c r="Y10" i="53"/>
  <c r="Y9" i="66"/>
  <c r="W9" i="66"/>
  <c r="Y9" i="62"/>
  <c r="W9" i="62"/>
  <c r="Y9" i="59"/>
  <c r="W9" i="59"/>
  <c r="Y10" i="50"/>
  <c r="W10" i="50"/>
  <c r="W10" i="63"/>
  <c r="C10" i="63"/>
  <c r="Y10" i="63"/>
  <c r="W10" i="57"/>
  <c r="Y10" i="57"/>
  <c r="B34" i="52"/>
  <c r="C34" i="52" s="1"/>
  <c r="W9" i="52"/>
  <c r="Y9" i="52"/>
  <c r="W9" i="63"/>
  <c r="Y9" i="63"/>
  <c r="Y9" i="51"/>
  <c r="W9" i="51"/>
  <c r="B34" i="57"/>
  <c r="C34" i="57" s="1"/>
  <c r="F34" i="57" s="1"/>
  <c r="G34" i="57" s="1"/>
  <c r="J34" i="57" s="1"/>
  <c r="P9" i="57" s="1"/>
  <c r="E35" i="67" s="1"/>
  <c r="E113" i="67" s="1"/>
  <c r="C9" i="57"/>
  <c r="F9" i="57" s="1"/>
  <c r="G9" i="57" s="1"/>
  <c r="J9" i="57" s="1"/>
  <c r="W9" i="57"/>
  <c r="Y9" i="57"/>
  <c r="V10" i="55"/>
  <c r="X10" i="55"/>
  <c r="W10" i="65"/>
  <c r="Y10" i="65"/>
  <c r="W10" i="64"/>
  <c r="Y10" i="64"/>
  <c r="W10" i="33"/>
  <c r="Y10" i="33"/>
  <c r="Y9" i="53"/>
  <c r="B34" i="53" s="1"/>
  <c r="C34" i="53" s="1"/>
  <c r="W9" i="53"/>
  <c r="B34" i="48"/>
  <c r="C34" i="48" s="1"/>
  <c r="X9" i="48"/>
  <c r="Z9" i="48"/>
  <c r="Y9" i="54"/>
  <c r="W9" i="54"/>
  <c r="Y9" i="64"/>
  <c r="W9" i="64"/>
  <c r="W10" i="58"/>
  <c r="Y10" i="58"/>
  <c r="W10" i="98"/>
  <c r="Y10" i="98"/>
  <c r="W10" i="60"/>
  <c r="B35" i="60"/>
  <c r="C35" i="60" s="1"/>
  <c r="Y10" i="60"/>
  <c r="W10" i="62"/>
  <c r="Y10" i="62"/>
  <c r="Y9" i="61"/>
  <c r="W9" i="61"/>
  <c r="Y9" i="65"/>
  <c r="W9" i="65"/>
  <c r="C9" i="55"/>
  <c r="F9" i="55" s="1"/>
  <c r="G9" i="55" s="1"/>
  <c r="J9" i="55" s="1"/>
  <c r="V9" i="55"/>
  <c r="X9" i="55"/>
  <c r="Y9" i="33"/>
  <c r="C10" i="33"/>
  <c r="W9" i="33"/>
  <c r="W9" i="35"/>
  <c r="Y9" i="35"/>
  <c r="W10" i="51"/>
  <c r="Y10" i="51"/>
  <c r="W10" i="54"/>
  <c r="Y10" i="54"/>
  <c r="W10" i="35"/>
  <c r="Y10" i="35"/>
  <c r="C10" i="58"/>
  <c r="B35" i="58"/>
  <c r="C35" i="58" s="1"/>
  <c r="B34" i="54"/>
  <c r="C34" i="54" s="1"/>
  <c r="C9" i="54"/>
  <c r="B34" i="63"/>
  <c r="C34" i="63" s="1"/>
  <c r="C9" i="63"/>
  <c r="B34" i="58"/>
  <c r="C34" i="58" s="1"/>
  <c r="C9" i="58"/>
  <c r="B34" i="66"/>
  <c r="C34" i="66" s="1"/>
  <c r="C9" i="66"/>
  <c r="B35" i="66"/>
  <c r="C35" i="66" s="1"/>
  <c r="E35" i="66" s="1"/>
  <c r="F35" i="66" s="1"/>
  <c r="J35" i="66" s="1"/>
  <c r="P10" i="66" s="1"/>
  <c r="W36" i="67" s="1"/>
  <c r="W114" i="67" s="1"/>
  <c r="C10" i="66"/>
  <c r="E10" i="66" s="1"/>
  <c r="F10" i="66" s="1"/>
  <c r="J10" i="66" s="1"/>
  <c r="B35" i="59"/>
  <c r="C35" i="59" s="1"/>
  <c r="E35" i="59" s="1"/>
  <c r="F35" i="59" s="1"/>
  <c r="I35" i="59" s="1"/>
  <c r="O10" i="59" s="1"/>
  <c r="M36" i="67" s="1"/>
  <c r="M114" i="67" s="1"/>
  <c r="C10" i="59"/>
  <c r="E10" i="59" s="1"/>
  <c r="F10" i="59" s="1"/>
  <c r="I10" i="59" s="1"/>
  <c r="C9" i="53"/>
  <c r="B34" i="61"/>
  <c r="C34" i="61" s="1"/>
  <c r="F34" i="61" s="1"/>
  <c r="G34" i="61" s="1"/>
  <c r="I34" i="61" s="1"/>
  <c r="C9" i="61"/>
  <c r="B35" i="54"/>
  <c r="C35" i="54" s="1"/>
  <c r="C10" i="54"/>
  <c r="B35" i="53"/>
  <c r="C35" i="53" s="1"/>
  <c r="C10" i="53"/>
  <c r="B35" i="35"/>
  <c r="C35" i="35" s="1"/>
  <c r="C10" i="35"/>
  <c r="B34" i="60"/>
  <c r="C34" i="60" s="1"/>
  <c r="C9" i="60"/>
  <c r="C10" i="98"/>
  <c r="B35" i="98"/>
  <c r="C35" i="98" s="1"/>
  <c r="B194" i="37"/>
  <c r="AC10" i="37"/>
  <c r="AA10" i="37"/>
  <c r="C9" i="59"/>
  <c r="E9" i="59" s="1"/>
  <c r="F9" i="59" s="1"/>
  <c r="I9" i="59" s="1"/>
  <c r="B34" i="59"/>
  <c r="C34" i="59" s="1"/>
  <c r="E34" i="59" s="1"/>
  <c r="F34" i="59" s="1"/>
  <c r="I34" i="59" s="1"/>
  <c r="O9" i="59" s="1"/>
  <c r="M35" i="67" s="1"/>
  <c r="M113" i="67" s="1"/>
  <c r="B34" i="35"/>
  <c r="C34" i="35" s="1"/>
  <c r="C9" i="35"/>
  <c r="B34" i="62"/>
  <c r="C34" i="62" s="1"/>
  <c r="F34" i="62" s="1"/>
  <c r="G34" i="62" s="1"/>
  <c r="J34" i="62" s="1"/>
  <c r="P9" i="62" s="1"/>
  <c r="K35" i="67" s="1"/>
  <c r="K113" i="67" s="1"/>
  <c r="C9" i="62"/>
  <c r="F9" i="62" s="1"/>
  <c r="G9" i="62" s="1"/>
  <c r="J9" i="62" s="1"/>
  <c r="C10" i="62"/>
  <c r="F10" i="62" s="1"/>
  <c r="G10" i="62" s="1"/>
  <c r="J10" i="62" s="1"/>
  <c r="B35" i="62"/>
  <c r="C35" i="62" s="1"/>
  <c r="F35" i="62" s="1"/>
  <c r="G35" i="62" s="1"/>
  <c r="J35" i="62" s="1"/>
  <c r="P10" i="62" s="1"/>
  <c r="K36" i="67" s="1"/>
  <c r="K114" i="67" s="1"/>
  <c r="AA9" i="37"/>
  <c r="AC9" i="37"/>
  <c r="B164" i="67"/>
  <c r="Y163" i="67"/>
  <c r="B35" i="64"/>
  <c r="C10" i="64"/>
  <c r="C10" i="65"/>
  <c r="B35" i="65"/>
  <c r="C35" i="65" s="1"/>
  <c r="B34" i="50"/>
  <c r="C34" i="50" s="1"/>
  <c r="AH36" i="50" s="1"/>
  <c r="AJ36" i="50" s="1"/>
  <c r="F36" i="50" s="1"/>
  <c r="C9" i="50"/>
  <c r="AH9" i="50" s="1"/>
  <c r="AJ9" i="50" s="1"/>
  <c r="C10" i="52"/>
  <c r="C10" i="50"/>
  <c r="AH10" i="50" s="1"/>
  <c r="AJ10" i="50" s="1"/>
  <c r="F10" i="50" s="1"/>
  <c r="B35" i="50"/>
  <c r="C35" i="50" s="1"/>
  <c r="AH37" i="50" s="1"/>
  <c r="AJ37" i="50" s="1"/>
  <c r="F37" i="50" s="1"/>
  <c r="C9" i="52"/>
  <c r="B34" i="51"/>
  <c r="C34" i="51" s="1"/>
  <c r="E34" i="51" s="1"/>
  <c r="H34" i="51" s="1"/>
  <c r="Q9" i="51" s="1"/>
  <c r="I35" i="67" s="1"/>
  <c r="I113" i="67" s="1"/>
  <c r="C9" i="51"/>
  <c r="E9" i="51" s="1"/>
  <c r="C11" i="33"/>
  <c r="B36" i="33"/>
  <c r="C36" i="33" s="1"/>
  <c r="B34" i="64"/>
  <c r="C9" i="64"/>
  <c r="B35" i="51"/>
  <c r="C35" i="51" s="1"/>
  <c r="E35" i="51" s="1"/>
  <c r="H35" i="51" s="1"/>
  <c r="Q10" i="51" s="1"/>
  <c r="I36" i="67" s="1"/>
  <c r="I114" i="67" s="1"/>
  <c r="C10" i="51"/>
  <c r="E10" i="51" s="1"/>
  <c r="B34" i="65"/>
  <c r="C34" i="65" s="1"/>
  <c r="C9" i="65"/>
  <c r="B56" i="37"/>
  <c r="C10" i="37"/>
  <c r="C194" i="37" s="1"/>
  <c r="C10" i="48"/>
  <c r="B35" i="48"/>
  <c r="C35" i="48" s="1"/>
  <c r="B36" i="49"/>
  <c r="C11" i="49"/>
  <c r="C140" i="49" s="1"/>
  <c r="B35" i="49"/>
  <c r="C10" i="49"/>
  <c r="C139" i="49" s="1"/>
  <c r="B55" i="37"/>
  <c r="D8" i="20"/>
  <c r="D9" i="20"/>
  <c r="AV46" i="21"/>
  <c r="M20" i="19"/>
  <c r="H11" i="18"/>
  <c r="V66" i="183" l="1"/>
  <c r="O9" i="57"/>
  <c r="E9" i="67" s="1"/>
  <c r="E87" i="67" s="1"/>
  <c r="BG10" i="140" s="1"/>
  <c r="AS11" i="140" s="1"/>
  <c r="B83" i="57"/>
  <c r="Q121" i="57" s="1"/>
  <c r="B35" i="63"/>
  <c r="C35" i="63" s="1"/>
  <c r="C9" i="98"/>
  <c r="F9" i="98" s="1"/>
  <c r="C9" i="48"/>
  <c r="F9" i="48" s="1"/>
  <c r="G9" i="48" s="1"/>
  <c r="C10" i="60"/>
  <c r="AG10" i="60" s="1"/>
  <c r="AJ10" i="60" s="1"/>
  <c r="H10" i="60" s="1"/>
  <c r="B35" i="55"/>
  <c r="C35" i="55" s="1"/>
  <c r="F35" i="55" s="1"/>
  <c r="G35" i="55" s="1"/>
  <c r="J35" i="55" s="1"/>
  <c r="P9" i="55" s="1"/>
  <c r="D35" i="67" s="1"/>
  <c r="D113" i="67" s="1"/>
  <c r="B36" i="55"/>
  <c r="C36" i="55" s="1"/>
  <c r="F36" i="55" s="1"/>
  <c r="G36" i="55" s="1"/>
  <c r="J36" i="55" s="1"/>
  <c r="P10" i="55" s="1"/>
  <c r="D36" i="67" s="1"/>
  <c r="D114" i="67" s="1"/>
  <c r="C10" i="55"/>
  <c r="F10" i="55" s="1"/>
  <c r="G10" i="55" s="1"/>
  <c r="J10" i="55" s="1"/>
  <c r="O10" i="55" s="1"/>
  <c r="D10" i="67" s="1"/>
  <c r="D88" i="67" s="1"/>
  <c r="BH11" i="130" s="1"/>
  <c r="AT12" i="130" s="1"/>
  <c r="B35" i="57"/>
  <c r="C35" i="57" s="1"/>
  <c r="F35" i="57" s="1"/>
  <c r="G35" i="57" s="1"/>
  <c r="J35" i="57" s="1"/>
  <c r="P10" i="57" s="1"/>
  <c r="E36" i="67" s="1"/>
  <c r="E114" i="67" s="1"/>
  <c r="C10" i="57"/>
  <c r="F10" i="57" s="1"/>
  <c r="G10" i="57" s="1"/>
  <c r="J10" i="57" s="1"/>
  <c r="B35" i="33"/>
  <c r="C35" i="33" s="1"/>
  <c r="D35" i="33" s="1"/>
  <c r="C10" i="61"/>
  <c r="F10" i="61" s="1"/>
  <c r="G10" i="61" s="1"/>
  <c r="I10" i="61" s="1"/>
  <c r="C56" i="37"/>
  <c r="C219" i="37" s="1"/>
  <c r="B219" i="37"/>
  <c r="C9" i="37"/>
  <c r="C193" i="37" s="1"/>
  <c r="B193" i="37"/>
  <c r="C55" i="37"/>
  <c r="C218" i="37" s="1"/>
  <c r="B218" i="37"/>
  <c r="C36" i="49"/>
  <c r="C166" i="49" s="1"/>
  <c r="B166" i="49"/>
  <c r="C35" i="49"/>
  <c r="B165" i="49"/>
  <c r="O9" i="55"/>
  <c r="D9" i="67" s="1"/>
  <c r="D87" i="67" s="1"/>
  <c r="BH10" i="130" s="1"/>
  <c r="AT11" i="130" s="1"/>
  <c r="F10" i="98"/>
  <c r="D10" i="98"/>
  <c r="F34" i="53"/>
  <c r="G34" i="53" s="1"/>
  <c r="J34" i="53" s="1"/>
  <c r="P9" i="53" s="1"/>
  <c r="H35" i="67" s="1"/>
  <c r="H113" i="67" s="1"/>
  <c r="E34" i="66"/>
  <c r="F34" i="66" s="1"/>
  <c r="J34" i="66" s="1"/>
  <c r="P9" i="66" s="1"/>
  <c r="W35" i="67" s="1"/>
  <c r="W113" i="67" s="1"/>
  <c r="V114" i="183"/>
  <c r="B85" i="59"/>
  <c r="Q123" i="59" s="1"/>
  <c r="N9" i="59"/>
  <c r="M9" i="67" s="1"/>
  <c r="M87" i="67" s="1"/>
  <c r="F10" i="53"/>
  <c r="G10" i="53" s="1"/>
  <c r="J10" i="53" s="1"/>
  <c r="D9" i="58"/>
  <c r="F9" i="58"/>
  <c r="F35" i="53"/>
  <c r="G35" i="53" s="1"/>
  <c r="J35" i="53" s="1"/>
  <c r="P10" i="53" s="1"/>
  <c r="H36" i="67" s="1"/>
  <c r="H114" i="67" s="1"/>
  <c r="F35" i="60"/>
  <c r="D35" i="60"/>
  <c r="F34" i="58"/>
  <c r="G34" i="58" s="1"/>
  <c r="K34" i="58" s="1"/>
  <c r="Q9" i="58" s="1"/>
  <c r="L35" i="67" s="1"/>
  <c r="L113" i="67" s="1"/>
  <c r="F9" i="54"/>
  <c r="G9" i="54" s="1"/>
  <c r="I9" i="54" s="1"/>
  <c r="B88" i="62"/>
  <c r="Q124" i="62" s="1"/>
  <c r="O10" i="62"/>
  <c r="K10" i="67" s="1"/>
  <c r="K88" i="67" s="1"/>
  <c r="V103" i="183"/>
  <c r="AG9" i="60"/>
  <c r="AJ9" i="60" s="1"/>
  <c r="H9" i="60" s="1"/>
  <c r="D9" i="60"/>
  <c r="F9" i="60"/>
  <c r="F10" i="54"/>
  <c r="D10" i="54"/>
  <c r="D35" i="54" s="1"/>
  <c r="B86" i="59"/>
  <c r="Q124" i="59" s="1"/>
  <c r="V115" i="183"/>
  <c r="N10" i="59"/>
  <c r="M10" i="67" s="1"/>
  <c r="M88" i="67" s="1"/>
  <c r="E9" i="63"/>
  <c r="F9" i="63" s="1"/>
  <c r="H9" i="63"/>
  <c r="F34" i="54"/>
  <c r="G34" i="54" s="1"/>
  <c r="I34" i="54" s="1"/>
  <c r="O9" i="62"/>
  <c r="K9" i="67" s="1"/>
  <c r="K87" i="67" s="1"/>
  <c r="V102" i="183"/>
  <c r="B87" i="62"/>
  <c r="Q123" i="62" s="1"/>
  <c r="F34" i="60"/>
  <c r="D34" i="60"/>
  <c r="F35" i="54"/>
  <c r="E34" i="63"/>
  <c r="F34" i="63" s="1"/>
  <c r="H34" i="63"/>
  <c r="F35" i="58"/>
  <c r="G35" i="58" s="1"/>
  <c r="K35" i="58" s="1"/>
  <c r="Q10" i="58" s="1"/>
  <c r="L36" i="67" s="1"/>
  <c r="L114" i="67" s="1"/>
  <c r="D9" i="98"/>
  <c r="F10" i="35"/>
  <c r="G10" i="35" s="1"/>
  <c r="I10" i="35" s="1"/>
  <c r="F9" i="61"/>
  <c r="G9" i="61" s="1"/>
  <c r="I9" i="61" s="1"/>
  <c r="N9" i="61" s="1"/>
  <c r="U9" i="67" s="1"/>
  <c r="U87" i="67" s="1"/>
  <c r="B88" i="66"/>
  <c r="Q126" i="66" s="1"/>
  <c r="O10" i="66"/>
  <c r="W10" i="67" s="1"/>
  <c r="W88" i="67" s="1"/>
  <c r="S83" i="57"/>
  <c r="C83" i="57"/>
  <c r="R121" i="57" s="1"/>
  <c r="D83" i="57"/>
  <c r="S121" i="57" s="1"/>
  <c r="D10" i="58"/>
  <c r="F10" i="58"/>
  <c r="D34" i="98"/>
  <c r="F34" i="98"/>
  <c r="F9" i="35"/>
  <c r="G9" i="35" s="1"/>
  <c r="I9" i="35" s="1"/>
  <c r="F35" i="35"/>
  <c r="G35" i="35" s="1"/>
  <c r="I35" i="35" s="1"/>
  <c r="O10" i="35" s="1"/>
  <c r="T36" i="67" s="1"/>
  <c r="T114" i="67" s="1"/>
  <c r="O9" i="61"/>
  <c r="U35" i="67" s="1"/>
  <c r="U113" i="67" s="1"/>
  <c r="L66" i="183"/>
  <c r="K66" i="183"/>
  <c r="N66" i="183"/>
  <c r="H66" i="183"/>
  <c r="O66" i="183"/>
  <c r="F66" i="183"/>
  <c r="M66" i="183"/>
  <c r="I66" i="183"/>
  <c r="J66" i="183"/>
  <c r="G66" i="183"/>
  <c r="H35" i="63"/>
  <c r="E35" i="63"/>
  <c r="F35" i="63" s="1"/>
  <c r="F34" i="35"/>
  <c r="G34" i="35" s="1"/>
  <c r="I34" i="35" s="1"/>
  <c r="O9" i="35" s="1"/>
  <c r="T35" i="67" s="1"/>
  <c r="T113" i="67" s="1"/>
  <c r="D35" i="98"/>
  <c r="F35" i="98"/>
  <c r="F9" i="53"/>
  <c r="G9" i="53" s="1"/>
  <c r="J9" i="53" s="1"/>
  <c r="B85" i="53" s="1"/>
  <c r="Q121" i="53" s="1"/>
  <c r="E9" i="66"/>
  <c r="F9" i="66" s="1"/>
  <c r="J9" i="66" s="1"/>
  <c r="H10" i="63"/>
  <c r="E10" i="63"/>
  <c r="F10" i="63" s="1"/>
  <c r="B165" i="67"/>
  <c r="Y164" i="67"/>
  <c r="E10" i="64"/>
  <c r="F10" i="64" s="1"/>
  <c r="E9" i="64"/>
  <c r="F9" i="64" s="1"/>
  <c r="G35" i="52"/>
  <c r="H35" i="52" s="1"/>
  <c r="G9" i="52"/>
  <c r="H9" i="52" s="1"/>
  <c r="G34" i="52"/>
  <c r="H34" i="52" s="1"/>
  <c r="G10" i="52"/>
  <c r="H10" i="52" s="1"/>
  <c r="F9" i="50"/>
  <c r="D10" i="33"/>
  <c r="F10" i="33"/>
  <c r="H9" i="51"/>
  <c r="H10" i="51"/>
  <c r="E9" i="50"/>
  <c r="E34" i="50"/>
  <c r="H9" i="65"/>
  <c r="E9" i="65"/>
  <c r="G9" i="65"/>
  <c r="H34" i="65"/>
  <c r="E34" i="65"/>
  <c r="G34" i="65"/>
  <c r="E35" i="50"/>
  <c r="H35" i="65"/>
  <c r="E35" i="65"/>
  <c r="G35" i="65"/>
  <c r="C34" i="64"/>
  <c r="E10" i="50"/>
  <c r="G10" i="65"/>
  <c r="H10" i="65"/>
  <c r="E10" i="65"/>
  <c r="F35" i="33"/>
  <c r="D36" i="33"/>
  <c r="F36" i="33"/>
  <c r="D11" i="33"/>
  <c r="F11" i="33"/>
  <c r="C35" i="64"/>
  <c r="F10" i="37"/>
  <c r="F194" i="37" s="1"/>
  <c r="F56" i="37"/>
  <c r="F219" i="37" s="1"/>
  <c r="D10" i="37"/>
  <c r="D194" i="37" s="1"/>
  <c r="G36" i="49"/>
  <c r="G166" i="49" s="1"/>
  <c r="F35" i="48"/>
  <c r="F10" i="48"/>
  <c r="F34" i="48"/>
  <c r="G11" i="49"/>
  <c r="G140" i="49" s="1"/>
  <c r="E11" i="49"/>
  <c r="E140" i="49" s="1"/>
  <c r="G10" i="49"/>
  <c r="G139" i="49" s="1"/>
  <c r="E10" i="49"/>
  <c r="E139" i="49" s="1"/>
  <c r="E35" i="49"/>
  <c r="B132" i="16"/>
  <c r="BB51" i="16"/>
  <c r="CR49" i="16"/>
  <c r="BB36" i="5"/>
  <c r="BC36" i="5" s="1"/>
  <c r="BB37" i="5"/>
  <c r="BC37" i="5" s="1"/>
  <c r="BB38" i="5"/>
  <c r="BC38" i="5" s="1"/>
  <c r="BB39" i="5"/>
  <c r="BC39" i="5" s="1"/>
  <c r="BB40" i="5"/>
  <c r="BC40" i="5" s="1"/>
  <c r="BB41" i="5"/>
  <c r="BC41" i="5" s="1"/>
  <c r="BB42" i="5"/>
  <c r="BC42" i="5" s="1"/>
  <c r="BB43" i="5"/>
  <c r="BC43" i="5" s="1"/>
  <c r="BB44" i="5"/>
  <c r="BC44" i="5" s="1"/>
  <c r="BB45" i="5"/>
  <c r="BC45" i="5" s="1"/>
  <c r="BB46" i="5"/>
  <c r="BC46" i="5" s="1"/>
  <c r="BB47" i="5"/>
  <c r="BC47" i="5" s="1"/>
  <c r="BB49" i="5"/>
  <c r="BC49" i="5" s="1"/>
  <c r="BB50" i="5"/>
  <c r="BC50" i="5" s="1"/>
  <c r="BB51" i="5"/>
  <c r="BC51" i="5" s="1"/>
  <c r="BB52" i="5"/>
  <c r="BC52" i="5" s="1"/>
  <c r="BB53" i="5"/>
  <c r="BC53" i="5" s="1"/>
  <c r="BB54" i="5"/>
  <c r="BC54" i="5" s="1"/>
  <c r="BB55" i="5"/>
  <c r="BC55" i="5" s="1"/>
  <c r="BB56" i="5"/>
  <c r="BC56" i="5" s="1"/>
  <c r="BB57" i="5"/>
  <c r="BC57" i="5" s="1"/>
  <c r="BB58" i="5"/>
  <c r="BC58" i="5" s="1"/>
  <c r="BB59" i="5"/>
  <c r="BC59" i="5" s="1"/>
  <c r="BB60" i="5"/>
  <c r="BC60" i="5" s="1"/>
  <c r="BB61" i="5"/>
  <c r="BC61" i="5" s="1"/>
  <c r="BB62" i="5"/>
  <c r="BC62" i="5" s="1"/>
  <c r="BB63" i="5"/>
  <c r="BC63" i="5" s="1"/>
  <c r="BB64" i="5"/>
  <c r="BC64" i="5" s="1"/>
  <c r="BB65" i="5"/>
  <c r="BC65" i="5" s="1"/>
  <c r="BB66" i="5"/>
  <c r="BC66" i="5" s="1"/>
  <c r="BB67" i="5"/>
  <c r="BC67" i="5" s="1"/>
  <c r="BB68" i="5"/>
  <c r="BC68" i="5" s="1"/>
  <c r="BB69" i="5"/>
  <c r="BC69" i="5" s="1"/>
  <c r="BB70" i="5"/>
  <c r="BC70" i="5" s="1"/>
  <c r="BB71" i="5"/>
  <c r="BC71" i="5" s="1"/>
  <c r="BB72" i="5"/>
  <c r="BC72" i="5" s="1"/>
  <c r="BB73" i="5"/>
  <c r="BC73" i="5" s="1"/>
  <c r="BB74" i="5"/>
  <c r="BC74" i="5" s="1"/>
  <c r="BB75" i="5"/>
  <c r="BC75" i="5" s="1"/>
  <c r="BB76" i="5"/>
  <c r="BC76" i="5" s="1"/>
  <c r="BB77" i="5"/>
  <c r="BC77" i="5" s="1"/>
  <c r="BB78" i="5"/>
  <c r="BC78" i="5" s="1"/>
  <c r="BB79" i="5"/>
  <c r="BC79" i="5" s="1"/>
  <c r="BB80" i="5"/>
  <c r="BC80" i="5" s="1"/>
  <c r="BB81" i="5"/>
  <c r="BC81" i="5" s="1"/>
  <c r="BB82" i="5"/>
  <c r="BC82" i="5" s="1"/>
  <c r="BB35" i="5"/>
  <c r="BC35" i="5" s="1"/>
  <c r="BB34" i="5"/>
  <c r="BC34" i="5" s="1"/>
  <c r="BB29" i="5"/>
  <c r="BC29" i="5" s="1"/>
  <c r="BB30" i="5"/>
  <c r="BC30" i="5" s="1"/>
  <c r="BB31" i="5"/>
  <c r="BC31" i="5" s="1"/>
  <c r="BB32" i="5"/>
  <c r="BC32" i="5" s="1"/>
  <c r="BB33" i="5"/>
  <c r="BC33" i="5" s="1"/>
  <c r="BB5" i="5"/>
  <c r="BC5" i="5" s="1"/>
  <c r="BB6" i="5"/>
  <c r="BC6" i="5" s="1"/>
  <c r="BB7" i="5"/>
  <c r="BC7" i="5" s="1"/>
  <c r="BB8" i="5"/>
  <c r="BC8" i="5" s="1"/>
  <c r="BB9" i="5"/>
  <c r="BC9" i="5" s="1"/>
  <c r="BB10" i="5"/>
  <c r="BC10" i="5" s="1"/>
  <c r="BB11" i="5"/>
  <c r="BC11" i="5" s="1"/>
  <c r="BB12" i="5"/>
  <c r="BC12" i="5" s="1"/>
  <c r="BB13" i="5"/>
  <c r="BC13" i="5" s="1"/>
  <c r="BB14" i="5"/>
  <c r="BC14" i="5" s="1"/>
  <c r="BB15" i="5"/>
  <c r="BC15" i="5" s="1"/>
  <c r="BB16" i="5"/>
  <c r="BC16" i="5" s="1"/>
  <c r="BB17" i="5"/>
  <c r="BC17" i="5" s="1"/>
  <c r="BB18" i="5"/>
  <c r="BC18" i="5" s="1"/>
  <c r="BB19" i="5"/>
  <c r="BC19" i="5" s="1"/>
  <c r="BB20" i="5"/>
  <c r="BC20" i="5" s="1"/>
  <c r="BB21" i="5"/>
  <c r="BC21" i="5" s="1"/>
  <c r="BB22" i="5"/>
  <c r="BC22" i="5" s="1"/>
  <c r="BB23" i="5"/>
  <c r="BC23" i="5" s="1"/>
  <c r="BB24" i="5"/>
  <c r="BC24" i="5" s="1"/>
  <c r="BB25" i="5"/>
  <c r="BC25" i="5" s="1"/>
  <c r="BB26" i="5"/>
  <c r="BC26" i="5" s="1"/>
  <c r="BB27" i="5"/>
  <c r="BC27" i="5" s="1"/>
  <c r="BB28" i="5"/>
  <c r="BC28" i="5" s="1"/>
  <c r="BB4" i="5"/>
  <c r="BC4" i="5" s="1"/>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5" i="5"/>
  <c r="AY66" i="5"/>
  <c r="AY67" i="5"/>
  <c r="AY68" i="5"/>
  <c r="AY69" i="5"/>
  <c r="AY70" i="5"/>
  <c r="AY72" i="5"/>
  <c r="AY73" i="5"/>
  <c r="AY74" i="5"/>
  <c r="AY75" i="5"/>
  <c r="AY76" i="5"/>
  <c r="AY77" i="5"/>
  <c r="AY78" i="5"/>
  <c r="AY79" i="5"/>
  <c r="AY80" i="5"/>
  <c r="AY81" i="5"/>
  <c r="AY82" i="5"/>
  <c r="AY22" i="5"/>
  <c r="AY23" i="5"/>
  <c r="AY24" i="5"/>
  <c r="AY25" i="5"/>
  <c r="AY19" i="5"/>
  <c r="AY20" i="5"/>
  <c r="AY21" i="5"/>
  <c r="AY18" i="5"/>
  <c r="AY17" i="5"/>
  <c r="AY16" i="5"/>
  <c r="AY15" i="5"/>
  <c r="AY14" i="5"/>
  <c r="AY13" i="5"/>
  <c r="AY12" i="5"/>
  <c r="AY11" i="5"/>
  <c r="AY10" i="5"/>
  <c r="AY9" i="5"/>
  <c r="AY8" i="5"/>
  <c r="AY7" i="5"/>
  <c r="AY6" i="5"/>
  <c r="AY5" i="5"/>
  <c r="AY4" i="5"/>
  <c r="D56" i="37" l="1"/>
  <c r="D219" i="37" s="1"/>
  <c r="D10" i="60"/>
  <c r="F10" i="60"/>
  <c r="V55" i="183"/>
  <c r="B86" i="53"/>
  <c r="Q122" i="53" s="1"/>
  <c r="D9" i="37"/>
  <c r="D193" i="37" s="1"/>
  <c r="F9" i="37"/>
  <c r="F193" i="37" s="1"/>
  <c r="B86" i="55"/>
  <c r="R123" i="55" s="1"/>
  <c r="V54" i="183"/>
  <c r="O54" i="183" s="1"/>
  <c r="B85" i="55"/>
  <c r="R122" i="55" s="1"/>
  <c r="O10" i="57"/>
  <c r="E10" i="67" s="1"/>
  <c r="E88" i="67" s="1"/>
  <c r="BG11" i="140" s="1"/>
  <c r="AS12" i="140" s="1"/>
  <c r="B84" i="57"/>
  <c r="V67" i="183"/>
  <c r="D55" i="37"/>
  <c r="D218" i="37" s="1"/>
  <c r="F55" i="37"/>
  <c r="F218" i="37" s="1"/>
  <c r="E36" i="49"/>
  <c r="E166" i="49" s="1"/>
  <c r="E165" i="49"/>
  <c r="G35" i="49"/>
  <c r="G165" i="49" s="1"/>
  <c r="C165" i="49"/>
  <c r="F4" i="288"/>
  <c r="D4" i="288" s="1"/>
  <c r="O4" i="288" s="1"/>
  <c r="F14" i="301"/>
  <c r="G9" i="58"/>
  <c r="K9" i="58" s="1"/>
  <c r="B85" i="58" s="1"/>
  <c r="Q123" i="58" s="1"/>
  <c r="G10" i="98"/>
  <c r="K10" i="98" s="1"/>
  <c r="P10" i="98" s="1"/>
  <c r="F10" i="67" s="1"/>
  <c r="F88" i="67" s="1"/>
  <c r="G35" i="60"/>
  <c r="J35" i="60" s="1"/>
  <c r="P10" i="60" s="1"/>
  <c r="S36" i="67" s="1"/>
  <c r="S114" i="67" s="1"/>
  <c r="X114" i="67" s="1"/>
  <c r="G10" i="54"/>
  <c r="I10" i="54" s="1"/>
  <c r="O10" i="54" s="1"/>
  <c r="G10" i="67" s="1"/>
  <c r="G88" i="67" s="1"/>
  <c r="G10" i="58"/>
  <c r="K10" i="58" s="1"/>
  <c r="P10" i="58" s="1"/>
  <c r="L10" i="67" s="1"/>
  <c r="L88" i="67" s="1"/>
  <c r="G35" i="54"/>
  <c r="I35" i="54" s="1"/>
  <c r="P10" i="54" s="1"/>
  <c r="G36" i="67" s="1"/>
  <c r="G114" i="67" s="1"/>
  <c r="J34" i="63"/>
  <c r="P9" i="63" s="1"/>
  <c r="N35" i="67" s="1"/>
  <c r="N113" i="67" s="1"/>
  <c r="G9" i="98"/>
  <c r="K9" i="98" s="1"/>
  <c r="P9" i="98" s="1"/>
  <c r="F9" i="67" s="1"/>
  <c r="F87" i="67" s="1"/>
  <c r="G9" i="60"/>
  <c r="J9" i="60" s="1"/>
  <c r="O9" i="60" s="1"/>
  <c r="S9" i="67" s="1"/>
  <c r="S87" i="67" s="1"/>
  <c r="X87" i="67" s="1"/>
  <c r="G34" i="60"/>
  <c r="J34" i="60" s="1"/>
  <c r="P9" i="60" s="1"/>
  <c r="S35" i="67" s="1"/>
  <c r="S113" i="67" s="1"/>
  <c r="X113" i="67" s="1"/>
  <c r="N10" i="61"/>
  <c r="U10" i="67" s="1"/>
  <c r="U88" i="67" s="1"/>
  <c r="B88" i="61"/>
  <c r="Q126" i="61" s="1"/>
  <c r="C88" i="66"/>
  <c r="R126" i="66" s="1"/>
  <c r="D88" i="66"/>
  <c r="S126" i="66" s="1"/>
  <c r="D87" i="62"/>
  <c r="S123" i="62" s="1"/>
  <c r="C87" i="62"/>
  <c r="R123" i="62" s="1"/>
  <c r="O115" i="183"/>
  <c r="N115" i="183"/>
  <c r="O9" i="66"/>
  <c r="W9" i="67" s="1"/>
  <c r="W87" i="67" s="1"/>
  <c r="B87" i="66"/>
  <c r="Q125" i="66" s="1"/>
  <c r="B87" i="61"/>
  <c r="Q125" i="61" s="1"/>
  <c r="L102" i="183"/>
  <c r="O102" i="183"/>
  <c r="M102" i="183"/>
  <c r="N102" i="183"/>
  <c r="D86" i="59"/>
  <c r="S124" i="59" s="1"/>
  <c r="C86" i="59"/>
  <c r="R124" i="59" s="1"/>
  <c r="L103" i="183"/>
  <c r="O103" i="183"/>
  <c r="M103" i="183"/>
  <c r="N103" i="183"/>
  <c r="B89" i="35"/>
  <c r="Q127" i="35" s="1"/>
  <c r="N10" i="35"/>
  <c r="T10" i="67" s="1"/>
  <c r="T88" i="67" s="1"/>
  <c r="D85" i="59"/>
  <c r="S123" i="59" s="1"/>
  <c r="C85" i="59"/>
  <c r="R123" i="59" s="1"/>
  <c r="O9" i="53"/>
  <c r="H9" i="67" s="1"/>
  <c r="H87" i="67" s="1"/>
  <c r="V84" i="183"/>
  <c r="B83" i="54"/>
  <c r="Q120" i="54" s="1"/>
  <c r="P9" i="54"/>
  <c r="G35" i="67" s="1"/>
  <c r="G113" i="67" s="1"/>
  <c r="D88" i="62"/>
  <c r="S124" i="62" s="1"/>
  <c r="C88" i="62"/>
  <c r="R124" i="62" s="1"/>
  <c r="O114" i="183"/>
  <c r="N114" i="183"/>
  <c r="B88" i="35"/>
  <c r="Q126" i="35" s="1"/>
  <c r="N9" i="35"/>
  <c r="T9" i="67" s="1"/>
  <c r="T87" i="67" s="1"/>
  <c r="F83" i="57"/>
  <c r="O9" i="54"/>
  <c r="G9" i="67" s="1"/>
  <c r="G87" i="67" s="1"/>
  <c r="V78" i="183"/>
  <c r="K55" i="183"/>
  <c r="G55" i="183"/>
  <c r="L55" i="183"/>
  <c r="J55" i="183"/>
  <c r="H55" i="183"/>
  <c r="D55" i="183"/>
  <c r="M55" i="183"/>
  <c r="F55" i="183"/>
  <c r="O55" i="183"/>
  <c r="I55" i="183"/>
  <c r="N55" i="183"/>
  <c r="E55" i="183"/>
  <c r="G35" i="98"/>
  <c r="K35" i="98" s="1"/>
  <c r="Q10" i="98" s="1"/>
  <c r="F36" i="67" s="1"/>
  <c r="F114" i="67" s="1"/>
  <c r="O10" i="53"/>
  <c r="H10" i="67" s="1"/>
  <c r="H88" i="67" s="1"/>
  <c r="V85" i="183"/>
  <c r="D86" i="55"/>
  <c r="T123" i="55" s="1"/>
  <c r="C86" i="55"/>
  <c r="S123" i="55" s="1"/>
  <c r="G34" i="98"/>
  <c r="K34" i="98" s="1"/>
  <c r="Q9" i="98" s="1"/>
  <c r="F35" i="67" s="1"/>
  <c r="F113" i="67" s="1"/>
  <c r="J9" i="63"/>
  <c r="B87" i="63" s="1"/>
  <c r="H9" i="64"/>
  <c r="M9" i="64" s="1"/>
  <c r="H10" i="64"/>
  <c r="M10" i="64" s="1"/>
  <c r="J9" i="48"/>
  <c r="Y93" i="16"/>
  <c r="Y68" i="16"/>
  <c r="B5" i="346" s="1"/>
  <c r="Y106" i="16"/>
  <c r="C43" i="116" s="1"/>
  <c r="B166" i="67"/>
  <c r="Y165" i="67"/>
  <c r="J10" i="52"/>
  <c r="J34" i="52"/>
  <c r="R9" i="52" s="1"/>
  <c r="J35" i="67" s="1"/>
  <c r="J113" i="67" s="1"/>
  <c r="J9" i="52"/>
  <c r="J35" i="52"/>
  <c r="R10" i="52" s="1"/>
  <c r="J36" i="67" s="1"/>
  <c r="J114" i="67" s="1"/>
  <c r="P10" i="51"/>
  <c r="I10" i="67" s="1"/>
  <c r="I88" i="67" s="1"/>
  <c r="B87" i="51"/>
  <c r="Q123" i="51" s="1"/>
  <c r="V91" i="183"/>
  <c r="P9" i="51"/>
  <c r="I9" i="67" s="1"/>
  <c r="I87" i="67" s="1"/>
  <c r="B86" i="51"/>
  <c r="Q122" i="51" s="1"/>
  <c r="V90" i="183"/>
  <c r="G56" i="37"/>
  <c r="G219" i="37" s="1"/>
  <c r="E34" i="64"/>
  <c r="F34" i="64" s="1"/>
  <c r="E35" i="64"/>
  <c r="F35" i="64" s="1"/>
  <c r="G11" i="33"/>
  <c r="G10" i="33"/>
  <c r="J10" i="65"/>
  <c r="G36" i="33"/>
  <c r="G9" i="50"/>
  <c r="I9" i="50" s="1"/>
  <c r="G35" i="33"/>
  <c r="J34" i="65"/>
  <c r="L34" i="65" s="1"/>
  <c r="Q9" i="65" s="1"/>
  <c r="O35" i="67" s="1"/>
  <c r="O113" i="67" s="1"/>
  <c r="G10" i="37"/>
  <c r="J9" i="65"/>
  <c r="G10" i="50"/>
  <c r="I10" i="50" s="1"/>
  <c r="AZ79" i="5"/>
  <c r="AZ78" i="5"/>
  <c r="J35" i="65"/>
  <c r="L35" i="65" s="1"/>
  <c r="Q10" i="65" s="1"/>
  <c r="O36" i="67" s="1"/>
  <c r="O114" i="67" s="1"/>
  <c r="AZ77" i="5"/>
  <c r="AZ76" i="5"/>
  <c r="AZ75" i="5"/>
  <c r="AZ82" i="5"/>
  <c r="AZ74" i="5"/>
  <c r="AZ81" i="5"/>
  <c r="AZ73" i="5"/>
  <c r="AZ80" i="5"/>
  <c r="AZ72" i="5"/>
  <c r="H11" i="49"/>
  <c r="H140" i="49" s="1"/>
  <c r="G34" i="48"/>
  <c r="G35" i="48"/>
  <c r="G10" i="48"/>
  <c r="H10" i="49"/>
  <c r="B133" i="16"/>
  <c r="Y132" i="16"/>
  <c r="CR65" i="16"/>
  <c r="C12" i="20"/>
  <c r="BB54" i="16"/>
  <c r="BB55" i="16"/>
  <c r="C15" i="20"/>
  <c r="E13" i="20"/>
  <c r="E20" i="20"/>
  <c r="E18" i="20"/>
  <c r="E16" i="20"/>
  <c r="E14" i="20"/>
  <c r="C17" i="20"/>
  <c r="E15" i="20"/>
  <c r="E12" i="20"/>
  <c r="E19" i="20"/>
  <c r="E17" i="20"/>
  <c r="C16" i="20"/>
  <c r="C18" i="20"/>
  <c r="C14" i="20"/>
  <c r="C11" i="20"/>
  <c r="C10" i="20"/>
  <c r="D10" i="20" s="1"/>
  <c r="C13" i="20"/>
  <c r="G10" i="60" l="1"/>
  <c r="J10" i="60" s="1"/>
  <c r="O10" i="60" s="1"/>
  <c r="S10" i="67" s="1"/>
  <c r="S88" i="67" s="1"/>
  <c r="X88" i="67" s="1"/>
  <c r="H36" i="49"/>
  <c r="H166" i="49" s="1"/>
  <c r="L54" i="183"/>
  <c r="H54" i="183"/>
  <c r="G54" i="183"/>
  <c r="D54" i="183"/>
  <c r="N54" i="183"/>
  <c r="F54" i="183"/>
  <c r="C85" i="55"/>
  <c r="S122" i="55" s="1"/>
  <c r="I54" i="183"/>
  <c r="M54" i="183"/>
  <c r="D85" i="55"/>
  <c r="T122" i="55" s="1"/>
  <c r="E54" i="183"/>
  <c r="J54" i="183"/>
  <c r="S86" i="55"/>
  <c r="S85" i="55"/>
  <c r="K54" i="183"/>
  <c r="G9" i="37"/>
  <c r="N67" i="183"/>
  <c r="G67" i="183"/>
  <c r="O67" i="183"/>
  <c r="L67" i="183"/>
  <c r="I67" i="183"/>
  <c r="K67" i="183"/>
  <c r="M67" i="183"/>
  <c r="F67" i="183"/>
  <c r="J67" i="183"/>
  <c r="H67" i="183"/>
  <c r="Q122" i="57"/>
  <c r="S84" i="57"/>
  <c r="D84" i="57"/>
  <c r="S122" i="57" s="1"/>
  <c r="C84" i="57"/>
  <c r="G55" i="37"/>
  <c r="J55" i="37" s="1"/>
  <c r="B86" i="58"/>
  <c r="Q124" i="58" s="1"/>
  <c r="U121" i="57"/>
  <c r="V108" i="183"/>
  <c r="O108" i="183" s="1"/>
  <c r="P9" i="58"/>
  <c r="L9" i="67" s="1"/>
  <c r="L87" i="67" s="1"/>
  <c r="J10" i="37"/>
  <c r="J194" i="37" s="1"/>
  <c r="G194" i="37"/>
  <c r="J9" i="37"/>
  <c r="J193" i="37" s="1"/>
  <c r="G193" i="37"/>
  <c r="J10" i="49"/>
  <c r="J139" i="49" s="1"/>
  <c r="H139" i="49"/>
  <c r="H35" i="49"/>
  <c r="F17" i="301"/>
  <c r="C17" i="301" s="1"/>
  <c r="H17" i="301" s="1"/>
  <c r="F7" i="288"/>
  <c r="D7" i="288" s="1"/>
  <c r="O7" i="288" s="1"/>
  <c r="P7" i="288" s="1"/>
  <c r="F8" i="288"/>
  <c r="D8" i="288" s="1"/>
  <c r="O8" i="288" s="1"/>
  <c r="P8" i="288" s="1"/>
  <c r="F18" i="301"/>
  <c r="C18" i="301" s="1"/>
  <c r="H18" i="301" s="1"/>
  <c r="F12" i="301"/>
  <c r="C14" i="301"/>
  <c r="H14" i="301" s="1"/>
  <c r="B43" i="116"/>
  <c r="D43" i="116" s="1"/>
  <c r="H4" i="68"/>
  <c r="V109" i="183"/>
  <c r="N109" i="183" s="1"/>
  <c r="V79" i="183"/>
  <c r="J79" i="183" s="1"/>
  <c r="B84" i="54"/>
  <c r="D84" i="54" s="1"/>
  <c r="S121" i="54" s="1"/>
  <c r="F86" i="55"/>
  <c r="F87" i="62"/>
  <c r="V73" i="183"/>
  <c r="N73" i="183" s="1"/>
  <c r="F88" i="62"/>
  <c r="F85" i="59"/>
  <c r="B83" i="98"/>
  <c r="F88" i="66"/>
  <c r="B87" i="60"/>
  <c r="Q125" i="60" s="1"/>
  <c r="V120" i="183"/>
  <c r="O120" i="183" s="1"/>
  <c r="O9" i="63"/>
  <c r="N9" i="67" s="1"/>
  <c r="N87" i="67" s="1"/>
  <c r="I78" i="183"/>
  <c r="J78" i="183"/>
  <c r="N78" i="183"/>
  <c r="L78" i="183"/>
  <c r="O78" i="183"/>
  <c r="M78" i="183"/>
  <c r="K78" i="183"/>
  <c r="H78" i="183"/>
  <c r="F86" i="59"/>
  <c r="C89" i="35"/>
  <c r="R127" i="35" s="1"/>
  <c r="D89" i="35"/>
  <c r="S127" i="35" s="1"/>
  <c r="V72" i="183"/>
  <c r="B82" i="98"/>
  <c r="Q118" i="98" s="1"/>
  <c r="C88" i="61"/>
  <c r="R126" i="61" s="1"/>
  <c r="D88" i="61"/>
  <c r="S126" i="61" s="1"/>
  <c r="K85" i="183"/>
  <c r="L85" i="183"/>
  <c r="J85" i="183"/>
  <c r="N85" i="183"/>
  <c r="O85" i="183"/>
  <c r="M85" i="183"/>
  <c r="I85" i="183"/>
  <c r="D83" i="54"/>
  <c r="S120" i="54" s="1"/>
  <c r="C83" i="54"/>
  <c r="R120" i="54" s="1"/>
  <c r="J84" i="183"/>
  <c r="O84" i="183"/>
  <c r="M84" i="183"/>
  <c r="N84" i="183"/>
  <c r="I84" i="183"/>
  <c r="K84" i="183"/>
  <c r="L84" i="183"/>
  <c r="C87" i="61"/>
  <c r="R125" i="61" s="1"/>
  <c r="D87" i="61"/>
  <c r="S125" i="61" s="1"/>
  <c r="C88" i="35"/>
  <c r="R126" i="35" s="1"/>
  <c r="D88" i="35"/>
  <c r="S126" i="35" s="1"/>
  <c r="C87" i="66"/>
  <c r="R125" i="66" s="1"/>
  <c r="D87" i="66"/>
  <c r="S125" i="66" s="1"/>
  <c r="D85" i="58"/>
  <c r="S123" i="58" s="1"/>
  <c r="C85" i="58"/>
  <c r="R123" i="58" s="1"/>
  <c r="Q9" i="67"/>
  <c r="Q87" i="67" s="1"/>
  <c r="B90" i="64"/>
  <c r="Q128" i="64" s="1"/>
  <c r="Q10" i="67"/>
  <c r="Q88" i="67" s="1"/>
  <c r="B91" i="64"/>
  <c r="Q129" i="64" s="1"/>
  <c r="H34" i="64"/>
  <c r="N9" i="64" s="1"/>
  <c r="Q35" i="67" s="1"/>
  <c r="Q113" i="67" s="1"/>
  <c r="H35" i="64"/>
  <c r="N10" i="64" s="1"/>
  <c r="Q36" i="67" s="1"/>
  <c r="Q114" i="67" s="1"/>
  <c r="L10" i="65"/>
  <c r="L9" i="65"/>
  <c r="J34" i="48"/>
  <c r="P9" i="48" s="1"/>
  <c r="C35" i="67" s="1"/>
  <c r="J10" i="48"/>
  <c r="J35" i="48"/>
  <c r="P10" i="48" s="1"/>
  <c r="C36" i="67" s="1"/>
  <c r="O9" i="48"/>
  <c r="C9" i="67" s="1"/>
  <c r="Y72" i="16"/>
  <c r="B9" i="346" s="1"/>
  <c r="E9" i="346" s="1"/>
  <c r="Y97" i="16"/>
  <c r="Y110" i="16"/>
  <c r="C47" i="116" s="1"/>
  <c r="Y71" i="16"/>
  <c r="B8" i="346" s="1"/>
  <c r="E8" i="346" s="1"/>
  <c r="Y96" i="16"/>
  <c r="Y109" i="16"/>
  <c r="C46" i="116" s="1"/>
  <c r="B167" i="67"/>
  <c r="Y167" i="67" s="1"/>
  <c r="Y166" i="67"/>
  <c r="B35" i="117"/>
  <c r="H18" i="68"/>
  <c r="B61" i="117"/>
  <c r="B5" i="116"/>
  <c r="B5" i="117"/>
  <c r="B87" i="52"/>
  <c r="Q123" i="52" s="1"/>
  <c r="V96" i="183"/>
  <c r="Q9" i="52"/>
  <c r="J9" i="67" s="1"/>
  <c r="J87" i="67" s="1"/>
  <c r="B88" i="52"/>
  <c r="Q124" i="52" s="1"/>
  <c r="V97" i="183"/>
  <c r="Q10" i="52"/>
  <c r="J10" i="67" s="1"/>
  <c r="J88" i="67" s="1"/>
  <c r="J90" i="183"/>
  <c r="O90" i="183"/>
  <c r="M90" i="183"/>
  <c r="N90" i="183"/>
  <c r="K90" i="183"/>
  <c r="L90" i="183"/>
  <c r="M91" i="183"/>
  <c r="O91" i="183"/>
  <c r="N91" i="183"/>
  <c r="J91" i="183"/>
  <c r="K91" i="183"/>
  <c r="L91" i="183"/>
  <c r="D87" i="51"/>
  <c r="S123" i="51" s="1"/>
  <c r="C87" i="51"/>
  <c r="R123" i="51" s="1"/>
  <c r="C86" i="51"/>
  <c r="R122" i="51" s="1"/>
  <c r="D86" i="51"/>
  <c r="S122" i="51" s="1"/>
  <c r="J11" i="49"/>
  <c r="J36" i="49"/>
  <c r="Q10" i="33"/>
  <c r="B90" i="33" s="1"/>
  <c r="Q125" i="33" s="1"/>
  <c r="P10" i="33"/>
  <c r="Q11" i="33"/>
  <c r="P36" i="67" s="1"/>
  <c r="P114" i="67" s="1"/>
  <c r="P11" i="33"/>
  <c r="P9" i="50"/>
  <c r="V9" i="67" s="1"/>
  <c r="V87" i="67" s="1"/>
  <c r="P10" i="50"/>
  <c r="V10" i="67" s="1"/>
  <c r="V88" i="67" s="1"/>
  <c r="B134" i="16"/>
  <c r="Y133" i="16"/>
  <c r="E21" i="20"/>
  <c r="C19" i="20"/>
  <c r="D19" i="20" s="1"/>
  <c r="D16" i="20"/>
  <c r="D13" i="20"/>
  <c r="D18" i="20"/>
  <c r="D14" i="20"/>
  <c r="D17" i="20"/>
  <c r="D15" i="20"/>
  <c r="D11" i="20"/>
  <c r="D12" i="20"/>
  <c r="B88" i="60" l="1"/>
  <c r="Q126" i="60" s="1"/>
  <c r="F85" i="55"/>
  <c r="V122" i="55" s="1"/>
  <c r="P9" i="65"/>
  <c r="O9" i="67" s="1"/>
  <c r="O87" i="67" s="1"/>
  <c r="B90" i="65"/>
  <c r="Q128" i="65" s="1"/>
  <c r="P10" i="65"/>
  <c r="O10" i="67" s="1"/>
  <c r="O88" i="67" s="1"/>
  <c r="B91" i="65"/>
  <c r="Q129" i="65" s="1"/>
  <c r="O109" i="183"/>
  <c r="O9" i="37"/>
  <c r="B9" i="67" s="1"/>
  <c r="B87" i="67" s="1"/>
  <c r="BH10" i="413" s="1"/>
  <c r="B144" i="37"/>
  <c r="D144" i="37" s="1"/>
  <c r="T192" i="37" s="1"/>
  <c r="V36" i="183"/>
  <c r="C86" i="58"/>
  <c r="R124" i="58" s="1"/>
  <c r="C88" i="60"/>
  <c r="R126" i="60" s="1"/>
  <c r="R122" i="57"/>
  <c r="F84" i="57"/>
  <c r="G218" i="37"/>
  <c r="O10" i="37"/>
  <c r="B10" i="67" s="1"/>
  <c r="B88" i="67" s="1"/>
  <c r="BH11" i="413" s="1"/>
  <c r="U126" i="66"/>
  <c r="C87" i="60"/>
  <c r="R125" i="60" s="1"/>
  <c r="AB10" i="49"/>
  <c r="R9" i="67" s="1"/>
  <c r="R87" i="67" s="1"/>
  <c r="V42" i="183"/>
  <c r="N42" i="183" s="1"/>
  <c r="M109" i="183"/>
  <c r="U123" i="59"/>
  <c r="U124" i="59"/>
  <c r="D86" i="58"/>
  <c r="S124" i="58" s="1"/>
  <c r="N108" i="183"/>
  <c r="M108" i="183"/>
  <c r="U124" i="62"/>
  <c r="U123" i="62"/>
  <c r="C84" i="54"/>
  <c r="R121" i="54" s="1"/>
  <c r="Q121" i="54"/>
  <c r="D83" i="98"/>
  <c r="S119" i="98" s="1"/>
  <c r="Q119" i="98"/>
  <c r="V123" i="55"/>
  <c r="K79" i="183"/>
  <c r="H79" i="183"/>
  <c r="I79" i="183"/>
  <c r="N79" i="183"/>
  <c r="O79" i="183"/>
  <c r="P9" i="37"/>
  <c r="B35" i="67" s="1"/>
  <c r="B113" i="67" s="1"/>
  <c r="J218" i="37"/>
  <c r="R192" i="37"/>
  <c r="J35" i="49"/>
  <c r="H165" i="49"/>
  <c r="AC11" i="49"/>
  <c r="R36" i="67" s="1"/>
  <c r="R114" i="67" s="1"/>
  <c r="J166" i="49"/>
  <c r="AB11" i="49"/>
  <c r="R10" i="67" s="1"/>
  <c r="R88" i="67" s="1"/>
  <c r="J140" i="49"/>
  <c r="AA96" i="16"/>
  <c r="AB96" i="16" s="1"/>
  <c r="B46" i="116"/>
  <c r="H7" i="68"/>
  <c r="C7" i="68" s="1"/>
  <c r="F11" i="301"/>
  <c r="C12" i="301"/>
  <c r="AA97" i="16"/>
  <c r="AB97" i="16" s="1"/>
  <c r="B47" i="116"/>
  <c r="D47" i="116" s="1"/>
  <c r="E47" i="116" s="1"/>
  <c r="H8" i="68"/>
  <c r="D87" i="60"/>
  <c r="S125" i="60" s="1"/>
  <c r="M79" i="183"/>
  <c r="L79" i="183"/>
  <c r="J73" i="183"/>
  <c r="O73" i="183"/>
  <c r="C83" i="98"/>
  <c r="R119" i="98" s="1"/>
  <c r="L73" i="183"/>
  <c r="M73" i="183"/>
  <c r="I73" i="183"/>
  <c r="G73" i="183"/>
  <c r="K73" i="183"/>
  <c r="H73" i="183"/>
  <c r="F88" i="35"/>
  <c r="U126" i="35" s="1"/>
  <c r="F87" i="61"/>
  <c r="F85" i="58"/>
  <c r="F89" i="35"/>
  <c r="F83" i="54"/>
  <c r="U120" i="54" s="1"/>
  <c r="C82" i="98"/>
  <c r="R118" i="98" s="1"/>
  <c r="D82" i="98"/>
  <c r="S118" i="98" s="1"/>
  <c r="H72" i="183"/>
  <c r="I72" i="183"/>
  <c r="J72" i="183"/>
  <c r="O72" i="183"/>
  <c r="M72" i="183"/>
  <c r="N72" i="183"/>
  <c r="G72" i="183"/>
  <c r="K72" i="183"/>
  <c r="L72" i="183"/>
  <c r="F88" i="61"/>
  <c r="U126" i="61" s="1"/>
  <c r="B82" i="48"/>
  <c r="C82" i="48" s="1"/>
  <c r="S118" i="48" s="1"/>
  <c r="F87" i="66"/>
  <c r="U125" i="66" s="1"/>
  <c r="B91" i="33"/>
  <c r="P35" i="67"/>
  <c r="P113" i="67" s="1"/>
  <c r="V46" i="347" s="1"/>
  <c r="P9" i="67"/>
  <c r="P87" i="67" s="1"/>
  <c r="F11" i="68" s="1"/>
  <c r="B122" i="33"/>
  <c r="P10" i="67"/>
  <c r="P88" i="67" s="1"/>
  <c r="F12" i="68" s="1"/>
  <c r="C12" i="68" s="1"/>
  <c r="B123" i="33"/>
  <c r="D91" i="64"/>
  <c r="S129" i="64" s="1"/>
  <c r="C91" i="64"/>
  <c r="R129" i="64" s="1"/>
  <c r="D90" i="64"/>
  <c r="S128" i="64" s="1"/>
  <c r="C90" i="64"/>
  <c r="R128" i="64" s="1"/>
  <c r="V47" i="347"/>
  <c r="F24" i="68"/>
  <c r="B83" i="48"/>
  <c r="O10" i="48"/>
  <c r="C10" i="67" s="1"/>
  <c r="B8" i="117"/>
  <c r="B64" i="117"/>
  <c r="B8" i="116"/>
  <c r="E8" i="116" s="1"/>
  <c r="B38" i="117"/>
  <c r="H21" i="68"/>
  <c r="AU5" i="130"/>
  <c r="AQ5" i="126"/>
  <c r="AT5" i="140"/>
  <c r="B39" i="117"/>
  <c r="H22" i="68"/>
  <c r="B9" i="117"/>
  <c r="B65" i="117"/>
  <c r="B9" i="116"/>
  <c r="E9" i="116" s="1"/>
  <c r="N96" i="183"/>
  <c r="M96" i="183"/>
  <c r="O96" i="183"/>
  <c r="K96" i="183"/>
  <c r="L96" i="183"/>
  <c r="M97" i="183"/>
  <c r="N97" i="183"/>
  <c r="O97" i="183"/>
  <c r="L97" i="183"/>
  <c r="K97" i="183"/>
  <c r="C88" i="52"/>
  <c r="R124" i="52" s="1"/>
  <c r="D88" i="52"/>
  <c r="S124" i="52" s="1"/>
  <c r="C87" i="52"/>
  <c r="R123" i="52" s="1"/>
  <c r="D87" i="52"/>
  <c r="S123" i="52" s="1"/>
  <c r="F86" i="51"/>
  <c r="U122" i="51" s="1"/>
  <c r="F87" i="51"/>
  <c r="U123" i="51" s="1"/>
  <c r="B83" i="49"/>
  <c r="X136" i="49" s="1"/>
  <c r="V43" i="183"/>
  <c r="O36" i="183"/>
  <c r="N36" i="183"/>
  <c r="M36" i="183"/>
  <c r="F36" i="183"/>
  <c r="D36" i="183"/>
  <c r="E36" i="183"/>
  <c r="I36" i="183"/>
  <c r="G36" i="183"/>
  <c r="J36" i="183"/>
  <c r="H36" i="183"/>
  <c r="L36" i="183"/>
  <c r="K36" i="183"/>
  <c r="C144" i="37"/>
  <c r="B135" i="16"/>
  <c r="Y134" i="16"/>
  <c r="E17" i="3"/>
  <c r="D88" i="60" l="1"/>
  <c r="S126" i="60" s="1"/>
  <c r="F88" i="60"/>
  <c r="U126" i="60" s="1"/>
  <c r="D91" i="65"/>
  <c r="S129" i="65" s="1"/>
  <c r="C91" i="65"/>
  <c r="R129" i="65" s="1"/>
  <c r="D90" i="65"/>
  <c r="S128" i="65" s="1"/>
  <c r="C90" i="65"/>
  <c r="R128" i="65" s="1"/>
  <c r="F84" i="54"/>
  <c r="U121" i="54" s="1"/>
  <c r="F86" i="58"/>
  <c r="U124" i="58" s="1"/>
  <c r="O42" i="183"/>
  <c r="J42" i="183"/>
  <c r="K42" i="183"/>
  <c r="F42" i="183"/>
  <c r="E42" i="183"/>
  <c r="H42" i="183"/>
  <c r="G42" i="183"/>
  <c r="D42" i="183"/>
  <c r="I42" i="183"/>
  <c r="L42" i="183"/>
  <c r="M42" i="183"/>
  <c r="U122" i="57"/>
  <c r="U125" i="61"/>
  <c r="U127" i="35"/>
  <c r="F87" i="60"/>
  <c r="U125" i="60" s="1"/>
  <c r="D91" i="33"/>
  <c r="S126" i="33" s="1"/>
  <c r="Q126" i="33"/>
  <c r="U123" i="58"/>
  <c r="F83" i="98"/>
  <c r="U119" i="98" s="1"/>
  <c r="R118" i="48"/>
  <c r="R119" i="48"/>
  <c r="F144" i="37"/>
  <c r="V192" i="37" s="1"/>
  <c r="S192" i="37"/>
  <c r="J165" i="49"/>
  <c r="AC10" i="49"/>
  <c r="R35" i="67" s="1"/>
  <c r="R113" i="67" s="1"/>
  <c r="B82" i="49"/>
  <c r="F10" i="301"/>
  <c r="C11" i="301"/>
  <c r="D46" i="116"/>
  <c r="E46" i="116" s="1"/>
  <c r="D82" i="48"/>
  <c r="T118" i="48" s="1"/>
  <c r="F82" i="98"/>
  <c r="U118" i="98" s="1"/>
  <c r="F23" i="68"/>
  <c r="C91" i="33"/>
  <c r="C123" i="33"/>
  <c r="D123" i="33"/>
  <c r="C122" i="33"/>
  <c r="D122" i="33"/>
  <c r="C90" i="33"/>
  <c r="R125" i="33" s="1"/>
  <c r="D90" i="33"/>
  <c r="S125" i="33" s="1"/>
  <c r="F90" i="64"/>
  <c r="U128" i="64" s="1"/>
  <c r="F91" i="64"/>
  <c r="U129" i="64" s="1"/>
  <c r="Q46" i="347"/>
  <c r="C46" i="347" s="1"/>
  <c r="Q47" i="347"/>
  <c r="C47" i="347" s="1"/>
  <c r="F91" i="65"/>
  <c r="U129" i="65" s="1"/>
  <c r="F90" i="65"/>
  <c r="U128" i="65" s="1"/>
  <c r="D83" i="48"/>
  <c r="T119" i="48" s="1"/>
  <c r="C83" i="48"/>
  <c r="S119" i="48" s="1"/>
  <c r="F65" i="117"/>
  <c r="AT9" i="140"/>
  <c r="AQ9" i="126"/>
  <c r="AU9" i="130"/>
  <c r="F64" i="117"/>
  <c r="AU8" i="130"/>
  <c r="AT8" i="140"/>
  <c r="AQ8" i="126"/>
  <c r="F87" i="52"/>
  <c r="U123" i="52" s="1"/>
  <c r="F88" i="52"/>
  <c r="U124" i="52" s="1"/>
  <c r="I43" i="183"/>
  <c r="O43" i="183"/>
  <c r="M43" i="183"/>
  <c r="N43" i="183"/>
  <c r="J43" i="183"/>
  <c r="F43" i="183"/>
  <c r="L43" i="183"/>
  <c r="K43" i="183"/>
  <c r="D43" i="183"/>
  <c r="G43" i="183"/>
  <c r="E43" i="183"/>
  <c r="H43" i="183"/>
  <c r="D83" i="49"/>
  <c r="Z136" i="49" s="1"/>
  <c r="C83" i="49"/>
  <c r="Y136" i="49" s="1"/>
  <c r="B136" i="16"/>
  <c r="Y135" i="16"/>
  <c r="R28" i="3"/>
  <c r="R29" i="3"/>
  <c r="R30" i="3"/>
  <c r="R31" i="3"/>
  <c r="R32" i="3"/>
  <c r="R33" i="3"/>
  <c r="R27" i="3"/>
  <c r="R26" i="3"/>
  <c r="R25" i="3"/>
  <c r="R23" i="3"/>
  <c r="R24" i="3"/>
  <c r="R22" i="3"/>
  <c r="R18" i="3"/>
  <c r="P21" i="3"/>
  <c r="O23" i="3"/>
  <c r="C23" i="3"/>
  <c r="F91" i="33" l="1"/>
  <c r="U126" i="33" s="1"/>
  <c r="R126" i="33"/>
  <c r="F82" i="48"/>
  <c r="V118" i="48" s="1"/>
  <c r="X135" i="49"/>
  <c r="C82" i="49"/>
  <c r="D82" i="49"/>
  <c r="Z135" i="49" s="1"/>
  <c r="F9" i="301"/>
  <c r="C10" i="301"/>
  <c r="S9" i="301" s="1"/>
  <c r="F83" i="48"/>
  <c r="V119" i="48" s="1"/>
  <c r="F122" i="33"/>
  <c r="F123" i="33"/>
  <c r="F90" i="33"/>
  <c r="U125" i="33" s="1"/>
  <c r="F83" i="49"/>
  <c r="B137" i="16"/>
  <c r="Y136" i="16"/>
  <c r="AY50" i="21"/>
  <c r="I17" i="3"/>
  <c r="T17" i="3" s="1"/>
  <c r="Y135" i="49" l="1"/>
  <c r="F82" i="49"/>
  <c r="AB136" i="49"/>
  <c r="AJ136" i="49" s="1"/>
  <c r="E89" i="347"/>
  <c r="S11" i="96" s="1"/>
  <c r="G11" i="489" s="1"/>
  <c r="B138" i="16"/>
  <c r="Y137" i="16"/>
  <c r="AY51" i="21"/>
  <c r="E4" i="11"/>
  <c r="J4" i="11"/>
  <c r="E5" i="11"/>
  <c r="J5" i="11"/>
  <c r="H5" i="11" s="1"/>
  <c r="G5" i="11" s="1"/>
  <c r="E6" i="11"/>
  <c r="J6" i="11"/>
  <c r="H6" i="11" s="1"/>
  <c r="G6" i="11" s="1"/>
  <c r="E7" i="11"/>
  <c r="J7" i="11"/>
  <c r="H7" i="11" s="1"/>
  <c r="G7" i="11" s="1"/>
  <c r="E8" i="11"/>
  <c r="J8" i="11"/>
  <c r="H8" i="11" s="1"/>
  <c r="G8" i="11" s="1"/>
  <c r="E9" i="11"/>
  <c r="E10" i="11"/>
  <c r="E11" i="11"/>
  <c r="J12" i="11"/>
  <c r="H12" i="11" s="1"/>
  <c r="E14" i="11"/>
  <c r="E15" i="11"/>
  <c r="E16" i="11"/>
  <c r="E17" i="11"/>
  <c r="J17" i="11"/>
  <c r="H17" i="11" s="1"/>
  <c r="G17" i="11" s="1"/>
  <c r="E18" i="11"/>
  <c r="E19" i="11"/>
  <c r="E20" i="11"/>
  <c r="E21" i="11"/>
  <c r="E22" i="11"/>
  <c r="J22" i="11"/>
  <c r="H22" i="11" s="1"/>
  <c r="G22" i="11" s="1"/>
  <c r="E23" i="11"/>
  <c r="E24" i="11"/>
  <c r="E25" i="11"/>
  <c r="E26" i="11"/>
  <c r="E27" i="11"/>
  <c r="J28" i="11"/>
  <c r="H28" i="11" s="1"/>
  <c r="G28" i="11" s="1"/>
  <c r="E29" i="11"/>
  <c r="E30" i="11"/>
  <c r="E31" i="11"/>
  <c r="E32" i="11"/>
  <c r="J32" i="11"/>
  <c r="H32" i="11" s="1"/>
  <c r="G32" i="11" s="1"/>
  <c r="E33" i="11"/>
  <c r="E34" i="11"/>
  <c r="E35" i="11"/>
  <c r="E36" i="11"/>
  <c r="E37" i="11"/>
  <c r="E38" i="11"/>
  <c r="J38" i="11"/>
  <c r="H38" i="11" s="1"/>
  <c r="G38" i="11" s="1"/>
  <c r="E39" i="11"/>
  <c r="E40" i="11"/>
  <c r="E41" i="11"/>
  <c r="E42" i="11"/>
  <c r="E43" i="11"/>
  <c r="E44" i="11"/>
  <c r="E45" i="11"/>
  <c r="E47" i="11"/>
  <c r="D48" i="11"/>
  <c r="BB48" i="5" s="1"/>
  <c r="BC48" i="5" s="1"/>
  <c r="E49" i="11"/>
  <c r="E50" i="11"/>
  <c r="E51" i="11"/>
  <c r="E52" i="11"/>
  <c r="E53" i="11"/>
  <c r="E54" i="11"/>
  <c r="E55" i="11"/>
  <c r="E56" i="11"/>
  <c r="E57" i="11"/>
  <c r="E58" i="11"/>
  <c r="E63" i="11"/>
  <c r="I64" i="11"/>
  <c r="AY64" i="5" s="1"/>
  <c r="E65" i="11"/>
  <c r="E66" i="11"/>
  <c r="E70" i="11"/>
  <c r="E71" i="11"/>
  <c r="I71" i="11"/>
  <c r="AY71" i="5" s="1"/>
  <c r="E72" i="11"/>
  <c r="E76" i="11"/>
  <c r="E77" i="11"/>
  <c r="E78" i="11"/>
  <c r="E79" i="11"/>
  <c r="E80" i="11"/>
  <c r="E82" i="11"/>
  <c r="E84" i="11"/>
  <c r="E86" i="11"/>
  <c r="N8" i="5"/>
  <c r="N9" i="5" s="1"/>
  <c r="N10" i="5" s="1"/>
  <c r="N11" i="5" s="1"/>
  <c r="N12" i="5" s="1"/>
  <c r="AB135" i="49" l="1"/>
  <c r="AJ135" i="49" s="1"/>
  <c r="AB12" i="5"/>
  <c r="I12" i="4" s="1"/>
  <c r="AC12" i="5"/>
  <c r="E48" i="11"/>
  <c r="H4" i="11"/>
  <c r="G4" i="11" s="1"/>
  <c r="B139" i="16"/>
  <c r="Y138" i="16"/>
  <c r="AY52" i="21"/>
  <c r="J13" i="11"/>
  <c r="H13" i="11" s="1"/>
  <c r="J29" i="11"/>
  <c r="J30" i="11" s="1"/>
  <c r="H30" i="11" s="1"/>
  <c r="G30" i="11" s="1"/>
  <c r="J23" i="11"/>
  <c r="J33" i="11"/>
  <c r="J34" i="11" s="1"/>
  <c r="H34" i="11" s="1"/>
  <c r="G34" i="11" s="1"/>
  <c r="J39" i="11"/>
  <c r="H39" i="11" s="1"/>
  <c r="G39" i="11" s="1"/>
  <c r="U13" i="5" s="1"/>
  <c r="J18" i="11"/>
  <c r="J9" i="11"/>
  <c r="J24" i="11" l="1"/>
  <c r="H23" i="11"/>
  <c r="G23" i="11" s="1"/>
  <c r="G11" i="63"/>
  <c r="G36" i="63"/>
  <c r="X4" i="5"/>
  <c r="U5" i="5"/>
  <c r="S6" i="19" s="1"/>
  <c r="B140" i="16"/>
  <c r="Y139" i="16"/>
  <c r="AY53" i="21"/>
  <c r="J14" i="11"/>
  <c r="H14" i="11" s="1"/>
  <c r="G14" i="11" s="1"/>
  <c r="H33" i="11"/>
  <c r="G33" i="11" s="1"/>
  <c r="J35" i="11"/>
  <c r="H35" i="11" s="1"/>
  <c r="G35" i="11" s="1"/>
  <c r="J31" i="11"/>
  <c r="H31" i="11" s="1"/>
  <c r="G31" i="11" s="1"/>
  <c r="J40" i="11"/>
  <c r="H40" i="11" s="1"/>
  <c r="G40" i="11" s="1"/>
  <c r="J19" i="11"/>
  <c r="H18" i="11"/>
  <c r="G18" i="11" s="1"/>
  <c r="H9" i="11"/>
  <c r="G9" i="11" s="1"/>
  <c r="J10" i="11"/>
  <c r="J25" i="11" l="1"/>
  <c r="H24" i="11"/>
  <c r="G24" i="11" s="1"/>
  <c r="B141" i="16"/>
  <c r="Y140" i="16"/>
  <c r="AY54" i="21"/>
  <c r="J15" i="11"/>
  <c r="H15" i="11" s="1"/>
  <c r="G15" i="11" s="1"/>
  <c r="J36" i="11"/>
  <c r="J37" i="11" s="1"/>
  <c r="H37" i="11" s="1"/>
  <c r="G37" i="11" s="1"/>
  <c r="J41" i="11"/>
  <c r="H41" i="11" s="1"/>
  <c r="G41" i="11" s="1"/>
  <c r="H10" i="11"/>
  <c r="G10" i="11" s="1"/>
  <c r="J11" i="11"/>
  <c r="H11" i="11" s="1"/>
  <c r="G11" i="11" s="1"/>
  <c r="H19" i="11"/>
  <c r="G19" i="11" s="1"/>
  <c r="J20" i="11"/>
  <c r="H25" i="11" l="1"/>
  <c r="G25" i="11" s="1"/>
  <c r="J26" i="11"/>
  <c r="U6" i="5"/>
  <c r="S7" i="19" s="1"/>
  <c r="U11" i="5"/>
  <c r="S12" i="19" s="1"/>
  <c r="U12" i="5"/>
  <c r="S13" i="19" s="1"/>
  <c r="B142" i="16"/>
  <c r="Y141" i="16"/>
  <c r="AY55" i="21"/>
  <c r="J42" i="11"/>
  <c r="J43" i="11" s="1"/>
  <c r="J16" i="11"/>
  <c r="H16" i="11" s="1"/>
  <c r="G16" i="11" s="1"/>
  <c r="U7" i="5" s="1"/>
  <c r="S8" i="19" s="1"/>
  <c r="H36" i="11"/>
  <c r="G36" i="11" s="1"/>
  <c r="H20" i="11"/>
  <c r="G20" i="11" s="1"/>
  <c r="J21" i="11"/>
  <c r="H21" i="11" s="1"/>
  <c r="G21" i="11" s="1"/>
  <c r="H26" i="11" l="1"/>
  <c r="G26" i="11" s="1"/>
  <c r="J27" i="11"/>
  <c r="H27" i="11" s="1"/>
  <c r="G27" i="11" s="1"/>
  <c r="U10" i="5"/>
  <c r="S11" i="19" s="1"/>
  <c r="U9" i="5"/>
  <c r="S10" i="19" s="1"/>
  <c r="X9" i="5"/>
  <c r="T10" i="19" s="1"/>
  <c r="BH19" i="20" s="1"/>
  <c r="B143" i="16"/>
  <c r="Y142" i="16"/>
  <c r="H42" i="11"/>
  <c r="G42" i="11" s="1"/>
  <c r="H43" i="11"/>
  <c r="G43" i="11" s="1"/>
  <c r="J44" i="11"/>
  <c r="H44" i="11" s="1"/>
  <c r="G44" i="11" s="1"/>
  <c r="N17" i="5"/>
  <c r="N18" i="5" s="1"/>
  <c r="N19" i="5" s="1"/>
  <c r="N14" i="5"/>
  <c r="N15" i="5" s="1"/>
  <c r="C14" i="5"/>
  <c r="H34" i="3"/>
  <c r="H35" i="3" s="1"/>
  <c r="H36" i="3" s="1"/>
  <c r="H37" i="3" s="1"/>
  <c r="H38" i="3" s="1"/>
  <c r="H29" i="3"/>
  <c r="H30" i="3" s="1"/>
  <c r="H31" i="3" s="1"/>
  <c r="H32" i="3" s="1"/>
  <c r="N21" i="5"/>
  <c r="N22" i="5" s="1"/>
  <c r="N23" i="5" s="1"/>
  <c r="N24" i="5" s="1"/>
  <c r="N25" i="5" s="1"/>
  <c r="L4" i="5"/>
  <c r="O4" i="5" s="1"/>
  <c r="AC5" i="19" s="1"/>
  <c r="M7" i="5"/>
  <c r="M12" i="5"/>
  <c r="F30" i="5"/>
  <c r="G30" i="5"/>
  <c r="F31" i="5"/>
  <c r="G31" i="5"/>
  <c r="G29" i="5"/>
  <c r="F29" i="5"/>
  <c r="BC86" i="5"/>
  <c r="T16" i="5"/>
  <c r="T14" i="5"/>
  <c r="T13" i="5"/>
  <c r="F16" i="5"/>
  <c r="F14" i="5"/>
  <c r="F13" i="5"/>
  <c r="F12" i="5"/>
  <c r="F11" i="5"/>
  <c r="F10" i="5"/>
  <c r="F9" i="5"/>
  <c r="F8" i="5"/>
  <c r="F7" i="5"/>
  <c r="F6" i="5"/>
  <c r="F5" i="5"/>
  <c r="F4" i="5"/>
  <c r="B7" i="5"/>
  <c r="V14" i="5"/>
  <c r="V15" i="5" s="1"/>
  <c r="B10" i="5"/>
  <c r="W7" i="5"/>
  <c r="W6" i="5"/>
  <c r="W16" i="5"/>
  <c r="W14" i="5"/>
  <c r="V5" i="5"/>
  <c r="T5" i="5"/>
  <c r="V4" i="5"/>
  <c r="X8" i="63" l="1"/>
  <c r="B8" i="63" s="1"/>
  <c r="X8" i="59"/>
  <c r="B8" i="59" s="1"/>
  <c r="X8" i="51"/>
  <c r="B8" i="51" s="1"/>
  <c r="X8" i="58"/>
  <c r="B8" i="58" s="1"/>
  <c r="X8" i="62"/>
  <c r="B8" i="62" s="1"/>
  <c r="X8" i="52"/>
  <c r="B8" i="52" s="1"/>
  <c r="X8" i="98"/>
  <c r="B8" i="98" s="1"/>
  <c r="X8" i="35"/>
  <c r="B8" i="35" s="1"/>
  <c r="X8" i="64"/>
  <c r="B8" i="64" s="1"/>
  <c r="X8" i="57"/>
  <c r="B8" i="57" s="1"/>
  <c r="X8" i="66"/>
  <c r="B8" i="66" s="1"/>
  <c r="X8" i="61"/>
  <c r="B8" i="61" s="1"/>
  <c r="X8" i="60"/>
  <c r="B8" i="60" s="1"/>
  <c r="X8" i="49"/>
  <c r="B9" i="49" s="1"/>
  <c r="X8" i="54"/>
  <c r="B8" i="54" s="1"/>
  <c r="X8" i="33"/>
  <c r="B9" i="33" s="1"/>
  <c r="X8" i="65"/>
  <c r="B8" i="65" s="1"/>
  <c r="X8" i="53"/>
  <c r="B8" i="53" s="1"/>
  <c r="X8" i="50"/>
  <c r="B8" i="50" s="1"/>
  <c r="Y8" i="48"/>
  <c r="B8" i="48" s="1"/>
  <c r="W8" i="55"/>
  <c r="B8" i="55" s="1"/>
  <c r="W15" i="5"/>
  <c r="AB8" i="37"/>
  <c r="B8" i="37" s="1"/>
  <c r="X12" i="5"/>
  <c r="F15" i="5"/>
  <c r="U4" i="5"/>
  <c r="T15" i="5"/>
  <c r="T5" i="19"/>
  <c r="V13" i="5"/>
  <c r="X3" i="66" l="1"/>
  <c r="B3" i="66" s="1"/>
  <c r="X3" i="60"/>
  <c r="B3" i="60" s="1"/>
  <c r="X3" i="35"/>
  <c r="B3" i="35" s="1"/>
  <c r="X3" i="64"/>
  <c r="B3" i="64" s="1"/>
  <c r="X3" i="54"/>
  <c r="B3" i="54" s="1"/>
  <c r="X3" i="33"/>
  <c r="B4" i="33" s="1"/>
  <c r="X3" i="65"/>
  <c r="B3" i="65" s="1"/>
  <c r="X3" i="53"/>
  <c r="B3" i="53" s="1"/>
  <c r="X3" i="59"/>
  <c r="B3" i="59" s="1"/>
  <c r="X3" i="51"/>
  <c r="B3" i="51" s="1"/>
  <c r="X3" i="57"/>
  <c r="B3" i="57" s="1"/>
  <c r="X3" i="61"/>
  <c r="B3" i="61" s="1"/>
  <c r="X3" i="63"/>
  <c r="B3" i="63" s="1"/>
  <c r="X3" i="58"/>
  <c r="B3" i="58" s="1"/>
  <c r="X3" i="62"/>
  <c r="B3" i="62" s="1"/>
  <c r="X3" i="52"/>
  <c r="B3" i="52" s="1"/>
  <c r="X3" i="98"/>
  <c r="B3" i="98" s="1"/>
  <c r="X3" i="49"/>
  <c r="B4" i="49" s="1"/>
  <c r="X3" i="50"/>
  <c r="B3" i="50" s="1"/>
  <c r="W3" i="55"/>
  <c r="B3" i="55" s="1"/>
  <c r="Y3" i="48"/>
  <c r="B3" i="48" s="1"/>
  <c r="W8" i="54"/>
  <c r="Y8" i="54"/>
  <c r="W8" i="98"/>
  <c r="Y8" i="98"/>
  <c r="W8" i="62"/>
  <c r="Y8" i="62"/>
  <c r="W8" i="49"/>
  <c r="Y8" i="49"/>
  <c r="Z8" i="48"/>
  <c r="X8" i="48"/>
  <c r="W8" i="61"/>
  <c r="C8" i="61"/>
  <c r="Y8" i="61"/>
  <c r="W8" i="58"/>
  <c r="B33" i="58"/>
  <c r="C33" i="58" s="1"/>
  <c r="F33" i="58" s="1"/>
  <c r="G33" i="58" s="1"/>
  <c r="K33" i="58" s="1"/>
  <c r="Q8" i="58" s="1"/>
  <c r="L34" i="67" s="1"/>
  <c r="L112" i="67" s="1"/>
  <c r="Y8" i="58"/>
  <c r="W8" i="35"/>
  <c r="Y8" i="35"/>
  <c r="W8" i="52"/>
  <c r="B33" i="52"/>
  <c r="C33" i="52" s="1"/>
  <c r="G33" i="52" s="1"/>
  <c r="H33" i="52" s="1"/>
  <c r="Y8" i="52"/>
  <c r="W8" i="50"/>
  <c r="Y8" i="50"/>
  <c r="W8" i="66"/>
  <c r="C8" i="66"/>
  <c r="Y8" i="66"/>
  <c r="W8" i="51"/>
  <c r="Y8" i="51"/>
  <c r="W8" i="33"/>
  <c r="Y8" i="33"/>
  <c r="W8" i="60"/>
  <c r="C8" i="60"/>
  <c r="Y8" i="60"/>
  <c r="W8" i="53"/>
  <c r="Y8" i="53"/>
  <c r="B33" i="53" s="1"/>
  <c r="C33" i="53" s="1"/>
  <c r="W8" i="57"/>
  <c r="Y8" i="57"/>
  <c r="W8" i="59"/>
  <c r="Y8" i="59"/>
  <c r="C8" i="55"/>
  <c r="F8" i="55" s="1"/>
  <c r="G8" i="55" s="1"/>
  <c r="J8" i="55" s="1"/>
  <c r="V8" i="55"/>
  <c r="X8" i="55"/>
  <c r="W8" i="65"/>
  <c r="Y8" i="65"/>
  <c r="W8" i="64"/>
  <c r="Y8" i="64"/>
  <c r="W8" i="63"/>
  <c r="B33" i="63"/>
  <c r="C33" i="63" s="1"/>
  <c r="Y8" i="63"/>
  <c r="AB3" i="37"/>
  <c r="B3" i="37" s="1"/>
  <c r="B33" i="62"/>
  <c r="C33" i="62" s="1"/>
  <c r="F33" i="62" s="1"/>
  <c r="G33" i="62" s="1"/>
  <c r="J33" i="62" s="1"/>
  <c r="P8" i="62" s="1"/>
  <c r="K34" i="67" s="1"/>
  <c r="K112" i="67" s="1"/>
  <c r="C8" i="62"/>
  <c r="F8" i="62" s="1"/>
  <c r="G8" i="62" s="1"/>
  <c r="J8" i="62" s="1"/>
  <c r="C8" i="59"/>
  <c r="E8" i="59" s="1"/>
  <c r="F8" i="59" s="1"/>
  <c r="I8" i="59" s="1"/>
  <c r="B33" i="59"/>
  <c r="C33" i="59" s="1"/>
  <c r="E33" i="59" s="1"/>
  <c r="F33" i="59" s="1"/>
  <c r="I33" i="59" s="1"/>
  <c r="O8" i="59" s="1"/>
  <c r="M34" i="67" s="1"/>
  <c r="M112" i="67" s="1"/>
  <c r="B33" i="61"/>
  <c r="C33" i="61" s="1"/>
  <c r="F33" i="61" s="1"/>
  <c r="G33" i="61" s="1"/>
  <c r="I33" i="61" s="1"/>
  <c r="O8" i="61" s="1"/>
  <c r="U34" i="67" s="1"/>
  <c r="U112" i="67" s="1"/>
  <c r="B33" i="60"/>
  <c r="C33" i="60" s="1"/>
  <c r="T13" i="19"/>
  <c r="B33" i="35"/>
  <c r="C33" i="35" s="1"/>
  <c r="C8" i="35"/>
  <c r="C8" i="98"/>
  <c r="B33" i="98"/>
  <c r="C33" i="98" s="1"/>
  <c r="B192" i="37"/>
  <c r="AC8" i="37"/>
  <c r="AA8" i="37"/>
  <c r="C8" i="52"/>
  <c r="G8" i="52" s="1"/>
  <c r="H8" i="52" s="1"/>
  <c r="B33" i="54"/>
  <c r="C33" i="54" s="1"/>
  <c r="C8" i="54"/>
  <c r="BH14" i="20"/>
  <c r="T4" i="5"/>
  <c r="S5" i="19"/>
  <c r="T7" i="5"/>
  <c r="T8" i="5"/>
  <c r="T10" i="5"/>
  <c r="T9" i="5"/>
  <c r="V9" i="5"/>
  <c r="B33" i="66" l="1"/>
  <c r="C33" i="66" s="1"/>
  <c r="E33" i="66" s="1"/>
  <c r="F33" i="66" s="1"/>
  <c r="J33" i="66" s="1"/>
  <c r="P8" i="66" s="1"/>
  <c r="W34" i="67" s="1"/>
  <c r="W112" i="67" s="1"/>
  <c r="C8" i="63"/>
  <c r="B33" i="64"/>
  <c r="C33" i="64" s="1"/>
  <c r="C8" i="64"/>
  <c r="E8" i="64" s="1"/>
  <c r="F8" i="64" s="1"/>
  <c r="H8" i="64" s="1"/>
  <c r="M8" i="64" s="1"/>
  <c r="B34" i="55"/>
  <c r="C34" i="55" s="1"/>
  <c r="F34" i="55" s="1"/>
  <c r="G34" i="55" s="1"/>
  <c r="J34" i="55" s="1"/>
  <c r="P8" i="55" s="1"/>
  <c r="D34" i="67" s="1"/>
  <c r="D112" i="67" s="1"/>
  <c r="C8" i="51"/>
  <c r="E8" i="51" s="1"/>
  <c r="H8" i="51" s="1"/>
  <c r="P8" i="51" s="1"/>
  <c r="I8" i="67" s="1"/>
  <c r="I86" i="67" s="1"/>
  <c r="B33" i="51"/>
  <c r="C33" i="51" s="1"/>
  <c r="E33" i="51" s="1"/>
  <c r="H33" i="51" s="1"/>
  <c r="Q8" i="51" s="1"/>
  <c r="I34" i="67" s="1"/>
  <c r="I112" i="67" s="1"/>
  <c r="Y3" i="62"/>
  <c r="W3" i="62"/>
  <c r="Y3" i="65"/>
  <c r="W3" i="65"/>
  <c r="Y3" i="53"/>
  <c r="W3" i="53"/>
  <c r="Y3" i="58"/>
  <c r="W3" i="58"/>
  <c r="Y3" i="33"/>
  <c r="W3" i="33"/>
  <c r="Z3" i="48"/>
  <c r="X3" i="48"/>
  <c r="Y3" i="63"/>
  <c r="B28" i="63"/>
  <c r="C28" i="63" s="1"/>
  <c r="E28" i="63" s="1"/>
  <c r="F28" i="63" s="1"/>
  <c r="J28" i="63" s="1"/>
  <c r="P3" i="63" s="1"/>
  <c r="N29" i="67" s="1"/>
  <c r="N107" i="67" s="1"/>
  <c r="W3" i="63"/>
  <c r="Y3" i="54"/>
  <c r="W3" i="54"/>
  <c r="C8" i="65"/>
  <c r="B33" i="65"/>
  <c r="C33" i="65" s="1"/>
  <c r="X3" i="55"/>
  <c r="V3" i="55"/>
  <c r="Y3" i="61"/>
  <c r="W3" i="61"/>
  <c r="Y3" i="64"/>
  <c r="W3" i="64"/>
  <c r="Y3" i="52"/>
  <c r="W3" i="52"/>
  <c r="Y3" i="50"/>
  <c r="W3" i="50"/>
  <c r="B28" i="57"/>
  <c r="C28" i="57" s="1"/>
  <c r="F28" i="57" s="1"/>
  <c r="G28" i="57" s="1"/>
  <c r="J28" i="57" s="1"/>
  <c r="P3" i="57" s="1"/>
  <c r="E29" i="67" s="1"/>
  <c r="E107" i="67" s="1"/>
  <c r="C3" i="57"/>
  <c r="F3" i="57" s="1"/>
  <c r="G3" i="57" s="1"/>
  <c r="J3" i="57" s="1"/>
  <c r="O3" i="57" s="1"/>
  <c r="E3" i="67" s="1"/>
  <c r="E81" i="67" s="1"/>
  <c r="BG4" i="140" s="1"/>
  <c r="BG3" i="140" s="1"/>
  <c r="AS4" i="140" s="1"/>
  <c r="Y3" i="57"/>
  <c r="W3" i="57"/>
  <c r="W3" i="35"/>
  <c r="Y3" i="35"/>
  <c r="B138" i="49"/>
  <c r="C9" i="49"/>
  <c r="B34" i="49"/>
  <c r="C8" i="58"/>
  <c r="D8" i="58" s="1"/>
  <c r="C8" i="53"/>
  <c r="F8" i="53" s="1"/>
  <c r="G8" i="53" s="1"/>
  <c r="J8" i="53" s="1"/>
  <c r="X11" i="63"/>
  <c r="B11" i="63" s="1"/>
  <c r="X11" i="33"/>
  <c r="B12" i="33" s="1"/>
  <c r="X11" i="65"/>
  <c r="B11" i="65" s="1"/>
  <c r="X11" i="52"/>
  <c r="B11" i="52" s="1"/>
  <c r="X11" i="53"/>
  <c r="B11" i="53" s="1"/>
  <c r="X11" i="54"/>
  <c r="B11" i="54" s="1"/>
  <c r="X11" i="59"/>
  <c r="B11" i="59" s="1"/>
  <c r="X11" i="58"/>
  <c r="B11" i="58" s="1"/>
  <c r="X11" i="62"/>
  <c r="B11" i="62" s="1"/>
  <c r="X11" i="51"/>
  <c r="B11" i="51" s="1"/>
  <c r="X11" i="35"/>
  <c r="B11" i="35" s="1"/>
  <c r="X11" i="66"/>
  <c r="B11" i="66" s="1"/>
  <c r="X11" i="49"/>
  <c r="B12" i="49" s="1"/>
  <c r="X11" i="60"/>
  <c r="B11" i="60" s="1"/>
  <c r="X11" i="57"/>
  <c r="B11" i="57" s="1"/>
  <c r="X11" i="61"/>
  <c r="B11" i="61" s="1"/>
  <c r="X11" i="98"/>
  <c r="B11" i="98" s="1"/>
  <c r="X11" i="64"/>
  <c r="B11" i="64" s="1"/>
  <c r="W11" i="55"/>
  <c r="B11" i="55" s="1"/>
  <c r="Y11" i="48"/>
  <c r="B11" i="48" s="1"/>
  <c r="X11" i="50"/>
  <c r="B11" i="50" s="1"/>
  <c r="B33" i="57"/>
  <c r="C33" i="57" s="1"/>
  <c r="F33" i="57" s="1"/>
  <c r="G33" i="57" s="1"/>
  <c r="J33" i="57" s="1"/>
  <c r="P8" i="57" s="1"/>
  <c r="E34" i="67" s="1"/>
  <c r="E112" i="67" s="1"/>
  <c r="C8" i="57"/>
  <c r="F8" i="57" s="1"/>
  <c r="G8" i="57" s="1"/>
  <c r="J8" i="57" s="1"/>
  <c r="C9" i="33"/>
  <c r="B34" i="33"/>
  <c r="C34" i="33" s="1"/>
  <c r="Y3" i="49"/>
  <c r="B133" i="49" s="1"/>
  <c r="W3" i="49"/>
  <c r="Y3" i="51"/>
  <c r="W3" i="51"/>
  <c r="Y3" i="60"/>
  <c r="W3" i="60"/>
  <c r="C8" i="50"/>
  <c r="B33" i="50"/>
  <c r="C33" i="50" s="1"/>
  <c r="C8" i="48"/>
  <c r="F8" i="48" s="1"/>
  <c r="G8" i="48" s="1"/>
  <c r="J8" i="48" s="1"/>
  <c r="O8" i="48" s="1"/>
  <c r="C8" i="67" s="1"/>
  <c r="B33" i="48"/>
  <c r="C33" i="48" s="1"/>
  <c r="F33" i="48" s="1"/>
  <c r="G33" i="48" s="1"/>
  <c r="J33" i="48" s="1"/>
  <c r="P8" i="48" s="1"/>
  <c r="C34" i="67" s="1"/>
  <c r="Y3" i="98"/>
  <c r="W3" i="98"/>
  <c r="Y3" i="59"/>
  <c r="W3" i="59"/>
  <c r="Y3" i="66"/>
  <c r="W3" i="66"/>
  <c r="F33" i="54"/>
  <c r="G33" i="54" s="1"/>
  <c r="I33" i="54" s="1"/>
  <c r="F8" i="61"/>
  <c r="G8" i="61" s="1"/>
  <c r="I8" i="61" s="1"/>
  <c r="B28" i="98"/>
  <c r="C28" i="98" s="1"/>
  <c r="C3" i="98"/>
  <c r="B28" i="53"/>
  <c r="C28" i="53" s="1"/>
  <c r="C3" i="53"/>
  <c r="F8" i="35"/>
  <c r="G8" i="35" s="1"/>
  <c r="I8" i="35" s="1"/>
  <c r="AG8" i="60"/>
  <c r="AJ8" i="60" s="1"/>
  <c r="H8" i="60" s="1"/>
  <c r="F8" i="60"/>
  <c r="D8" i="60"/>
  <c r="C3" i="58"/>
  <c r="B28" i="58"/>
  <c r="C28" i="58" s="1"/>
  <c r="F33" i="35"/>
  <c r="G33" i="35" s="1"/>
  <c r="I33" i="35" s="1"/>
  <c r="O8" i="35" s="1"/>
  <c r="T34" i="67" s="1"/>
  <c r="T112" i="67" s="1"/>
  <c r="H8" i="63"/>
  <c r="E8" i="63"/>
  <c r="F8" i="63" s="1"/>
  <c r="B84" i="59"/>
  <c r="Q122" i="59" s="1"/>
  <c r="V113" i="183"/>
  <c r="N8" i="59"/>
  <c r="M8" i="67" s="1"/>
  <c r="M86" i="67" s="1"/>
  <c r="B28" i="35"/>
  <c r="C28" i="35" s="1"/>
  <c r="C3" i="35"/>
  <c r="C8" i="37"/>
  <c r="C192" i="37" s="1"/>
  <c r="B54" i="37"/>
  <c r="H33" i="63"/>
  <c r="E33" i="63"/>
  <c r="F33" i="63" s="1"/>
  <c r="B86" i="62"/>
  <c r="Q122" i="62" s="1"/>
  <c r="O8" i="62"/>
  <c r="K8" i="67" s="1"/>
  <c r="K86" i="67" s="1"/>
  <c r="V101" i="183"/>
  <c r="B28" i="62"/>
  <c r="C28" i="62" s="1"/>
  <c r="F28" i="62" s="1"/>
  <c r="G28" i="62" s="1"/>
  <c r="J28" i="62" s="1"/>
  <c r="P3" i="62" s="1"/>
  <c r="K29" i="67" s="1"/>
  <c r="K107" i="67" s="1"/>
  <c r="C3" i="62"/>
  <c r="B28" i="61"/>
  <c r="C28" i="61" s="1"/>
  <c r="C3" i="61"/>
  <c r="D8" i="98"/>
  <c r="F8" i="98"/>
  <c r="AB11" i="37"/>
  <c r="B11" i="37" s="1"/>
  <c r="BH22" i="20"/>
  <c r="BI13" i="20" s="1"/>
  <c r="B28" i="66"/>
  <c r="C28" i="66" s="1"/>
  <c r="E28" i="66" s="1"/>
  <c r="F28" i="66" s="1"/>
  <c r="J28" i="66" s="1"/>
  <c r="P3" i="66" s="1"/>
  <c r="W29" i="67" s="1"/>
  <c r="W107" i="67" s="1"/>
  <c r="C3" i="66"/>
  <c r="F33" i="53"/>
  <c r="G33" i="53" s="1"/>
  <c r="J33" i="53" s="1"/>
  <c r="P8" i="53" s="1"/>
  <c r="H34" i="67" s="1"/>
  <c r="H112" i="67" s="1"/>
  <c r="O8" i="55"/>
  <c r="D8" i="67" s="1"/>
  <c r="D86" i="67" s="1"/>
  <c r="BH9" i="130" s="1"/>
  <c r="AT10" i="130" s="1"/>
  <c r="B84" i="55"/>
  <c r="R121" i="55" s="1"/>
  <c r="V53" i="183"/>
  <c r="C3" i="60"/>
  <c r="B28" i="60"/>
  <c r="C28" i="60" s="1"/>
  <c r="F33" i="60"/>
  <c r="D33" i="60"/>
  <c r="B28" i="59"/>
  <c r="C28" i="59" s="1"/>
  <c r="E28" i="59" s="1"/>
  <c r="F28" i="59" s="1"/>
  <c r="I28" i="59" s="1"/>
  <c r="O3" i="59" s="1"/>
  <c r="M29" i="67" s="1"/>
  <c r="M107" i="67" s="1"/>
  <c r="C3" i="59"/>
  <c r="E3" i="59" s="1"/>
  <c r="F3" i="59" s="1"/>
  <c r="I3" i="59" s="1"/>
  <c r="N3" i="59" s="1"/>
  <c r="M3" i="67" s="1"/>
  <c r="M81" i="67" s="1"/>
  <c r="F8" i="54"/>
  <c r="G8" i="54" s="1"/>
  <c r="I8" i="54" s="1"/>
  <c r="F33" i="98"/>
  <c r="D33" i="98"/>
  <c r="E8" i="66"/>
  <c r="F8" i="66" s="1"/>
  <c r="J8" i="66" s="1"/>
  <c r="B28" i="54"/>
  <c r="C28" i="54" s="1"/>
  <c r="C3" i="54"/>
  <c r="AC3" i="37"/>
  <c r="AA3" i="37"/>
  <c r="BH15" i="20"/>
  <c r="BH16" i="20" s="1"/>
  <c r="J33" i="52"/>
  <c r="R8" i="52" s="1"/>
  <c r="J34" i="67" s="1"/>
  <c r="J112" i="67" s="1"/>
  <c r="J8" i="52"/>
  <c r="E33" i="64"/>
  <c r="F33" i="64" s="1"/>
  <c r="C4" i="49"/>
  <c r="C133" i="49" s="1"/>
  <c r="B29" i="49"/>
  <c r="B29" i="33"/>
  <c r="C29" i="33" s="1"/>
  <c r="C4" i="33"/>
  <c r="C3" i="50"/>
  <c r="B28" i="50"/>
  <c r="C28" i="50" s="1"/>
  <c r="B28" i="51"/>
  <c r="C28" i="51" s="1"/>
  <c r="E28" i="51" s="1"/>
  <c r="C3" i="51"/>
  <c r="E3" i="51" s="1"/>
  <c r="B28" i="48"/>
  <c r="C28" i="48" s="1"/>
  <c r="F28" i="48" s="1"/>
  <c r="G28" i="48" s="1"/>
  <c r="C3" i="48"/>
  <c r="C3" i="64"/>
  <c r="B28" i="64"/>
  <c r="C3" i="52"/>
  <c r="B28" i="52"/>
  <c r="C28" i="52" s="1"/>
  <c r="C3" i="65"/>
  <c r="B28" i="65"/>
  <c r="C28" i="65" s="1"/>
  <c r="X7" i="5"/>
  <c r="T8" i="19" s="1"/>
  <c r="V6" i="5"/>
  <c r="T6" i="5"/>
  <c r="V7" i="5"/>
  <c r="V10" i="5"/>
  <c r="B85" i="51" l="1"/>
  <c r="Q121" i="51" s="1"/>
  <c r="V89" i="183"/>
  <c r="AS5" i="140"/>
  <c r="G8" i="60"/>
  <c r="J8" i="60" s="1"/>
  <c r="O8" i="60" s="1"/>
  <c r="S8" i="67" s="1"/>
  <c r="S86" i="67" s="1"/>
  <c r="X86" i="67" s="1"/>
  <c r="B81" i="48"/>
  <c r="C81" i="48" s="1"/>
  <c r="S117" i="48" s="1"/>
  <c r="Y11" i="50"/>
  <c r="W11" i="50"/>
  <c r="W11" i="49"/>
  <c r="Y11" i="49"/>
  <c r="B141" i="49" s="1"/>
  <c r="Y11" i="53"/>
  <c r="W11" i="53"/>
  <c r="C34" i="49"/>
  <c r="B164" i="49"/>
  <c r="Y11" i="60"/>
  <c r="W11" i="60"/>
  <c r="Z11" i="48"/>
  <c r="X11" i="48"/>
  <c r="Y11" i="66"/>
  <c r="W11" i="66"/>
  <c r="W11" i="52"/>
  <c r="Y11" i="52"/>
  <c r="C138" i="49"/>
  <c r="E9" i="49"/>
  <c r="G9" i="49"/>
  <c r="G138" i="49" s="1"/>
  <c r="G33" i="65"/>
  <c r="H33" i="65"/>
  <c r="E33" i="65"/>
  <c r="F8" i="58"/>
  <c r="G8" i="58" s="1"/>
  <c r="K8" i="58" s="1"/>
  <c r="AH35" i="50"/>
  <c r="AJ35" i="50" s="1"/>
  <c r="F35" i="50" s="1"/>
  <c r="G35" i="50" s="1"/>
  <c r="I35" i="50" s="1"/>
  <c r="E33" i="50"/>
  <c r="V11" i="55"/>
  <c r="X11" i="55"/>
  <c r="W11" i="35"/>
  <c r="Y11" i="35"/>
  <c r="Y11" i="65"/>
  <c r="W11" i="65"/>
  <c r="G8" i="65"/>
  <c r="H8" i="65"/>
  <c r="E8" i="65"/>
  <c r="AH8" i="50"/>
  <c r="AJ8" i="50" s="1"/>
  <c r="F8" i="50" s="1"/>
  <c r="E8" i="50"/>
  <c r="Y11" i="64"/>
  <c r="W11" i="64"/>
  <c r="Y11" i="51"/>
  <c r="W11" i="51"/>
  <c r="Y11" i="33"/>
  <c r="W11" i="33"/>
  <c r="C3" i="63"/>
  <c r="E3" i="63" s="1"/>
  <c r="F3" i="63" s="1"/>
  <c r="J3" i="63" s="1"/>
  <c r="O3" i="63" s="1"/>
  <c r="N3" i="67" s="1"/>
  <c r="N81" i="67" s="1"/>
  <c r="F34" i="33"/>
  <c r="D34" i="33"/>
  <c r="Y11" i="98"/>
  <c r="W11" i="98"/>
  <c r="W11" i="62"/>
  <c r="Y11" i="62"/>
  <c r="B36" i="63"/>
  <c r="C36" i="63" s="1"/>
  <c r="W11" i="63"/>
  <c r="Y11" i="63"/>
  <c r="F9" i="33"/>
  <c r="D9" i="33"/>
  <c r="Y11" i="61"/>
  <c r="C11" i="61"/>
  <c r="W11" i="61"/>
  <c r="Y11" i="58"/>
  <c r="W11" i="58"/>
  <c r="Y11" i="54"/>
  <c r="W11" i="54"/>
  <c r="B29" i="55"/>
  <c r="C29" i="55" s="1"/>
  <c r="F29" i="55" s="1"/>
  <c r="G29" i="55" s="1"/>
  <c r="J29" i="55" s="1"/>
  <c r="P3" i="55" s="1"/>
  <c r="D29" i="67" s="1"/>
  <c r="D107" i="67" s="1"/>
  <c r="C3" i="55"/>
  <c r="F3" i="55" s="1"/>
  <c r="G3" i="55" s="1"/>
  <c r="J3" i="55" s="1"/>
  <c r="O3" i="55" s="1"/>
  <c r="D3" i="67" s="1"/>
  <c r="D81" i="67" s="1"/>
  <c r="BH4" i="130" s="1"/>
  <c r="AT5" i="130" s="1"/>
  <c r="AS5" i="130" s="1"/>
  <c r="X6" i="35"/>
  <c r="B6" i="35" s="1"/>
  <c r="X6" i="64"/>
  <c r="B6" i="64" s="1"/>
  <c r="X6" i="57"/>
  <c r="B6" i="57" s="1"/>
  <c r="X6" i="98"/>
  <c r="B6" i="98" s="1"/>
  <c r="X6" i="61"/>
  <c r="B6" i="61" s="1"/>
  <c r="X6" i="49"/>
  <c r="B7" i="49" s="1"/>
  <c r="X6" i="54"/>
  <c r="B6" i="54" s="1"/>
  <c r="X6" i="66"/>
  <c r="B6" i="66" s="1"/>
  <c r="X6" i="60"/>
  <c r="B6" i="60" s="1"/>
  <c r="X6" i="33"/>
  <c r="B7" i="33" s="1"/>
  <c r="X6" i="65"/>
  <c r="B6" i="65" s="1"/>
  <c r="X6" i="53"/>
  <c r="B6" i="53" s="1"/>
  <c r="X6" i="63"/>
  <c r="B6" i="63" s="1"/>
  <c r="X6" i="59"/>
  <c r="B6" i="59" s="1"/>
  <c r="X6" i="51"/>
  <c r="B6" i="51" s="1"/>
  <c r="X6" i="58"/>
  <c r="B6" i="58" s="1"/>
  <c r="X6" i="62"/>
  <c r="B6" i="62" s="1"/>
  <c r="X6" i="52"/>
  <c r="B6" i="52" s="1"/>
  <c r="X6" i="50"/>
  <c r="B6" i="50" s="1"/>
  <c r="Y6" i="48"/>
  <c r="B6" i="48" s="1"/>
  <c r="W6" i="55"/>
  <c r="B6" i="55" s="1"/>
  <c r="B82" i="57"/>
  <c r="O8" i="57"/>
  <c r="E8" i="67" s="1"/>
  <c r="E86" i="67" s="1"/>
  <c r="BG9" i="140" s="1"/>
  <c r="AS10" i="140" s="1"/>
  <c r="V65" i="183"/>
  <c r="W11" i="57"/>
  <c r="Y11" i="57"/>
  <c r="Y11" i="59"/>
  <c r="W11" i="59"/>
  <c r="BI15" i="20"/>
  <c r="B84" i="53"/>
  <c r="Q120" i="53" s="1"/>
  <c r="G8" i="98"/>
  <c r="K8" i="98" s="1"/>
  <c r="P8" i="98" s="1"/>
  <c r="F8" i="67" s="1"/>
  <c r="F86" i="67" s="1"/>
  <c r="R117" i="48"/>
  <c r="C54" i="37"/>
  <c r="C217" i="37" s="1"/>
  <c r="B217" i="37"/>
  <c r="B49" i="37"/>
  <c r="B187" i="37"/>
  <c r="C29" i="49"/>
  <c r="C159" i="49" s="1"/>
  <c r="B159" i="49"/>
  <c r="C3" i="37"/>
  <c r="C187" i="37" s="1"/>
  <c r="J8" i="63"/>
  <c r="G33" i="98"/>
  <c r="K33" i="98" s="1"/>
  <c r="Q8" i="98" s="1"/>
  <c r="F34" i="67" s="1"/>
  <c r="F112" i="67" s="1"/>
  <c r="G33" i="60"/>
  <c r="J33" i="60" s="1"/>
  <c r="P8" i="60" s="1"/>
  <c r="S34" i="67" s="1"/>
  <c r="S112" i="67" s="1"/>
  <c r="X112" i="67" s="1"/>
  <c r="V83" i="183"/>
  <c r="O8" i="53"/>
  <c r="H8" i="67" s="1"/>
  <c r="H86" i="67" s="1"/>
  <c r="AB6" i="37"/>
  <c r="B6" i="37" s="1"/>
  <c r="C12" i="33"/>
  <c r="B37" i="33"/>
  <c r="C37" i="33" s="1"/>
  <c r="N113" i="183"/>
  <c r="O113" i="183"/>
  <c r="AG3" i="60"/>
  <c r="AJ3" i="60" s="1"/>
  <c r="H3" i="60" s="1"/>
  <c r="D3" i="60"/>
  <c r="F3" i="60"/>
  <c r="C12" i="49"/>
  <c r="C141" i="49" s="1"/>
  <c r="B37" i="49"/>
  <c r="B36" i="61"/>
  <c r="C36" i="61" s="1"/>
  <c r="F36" i="61" s="1"/>
  <c r="G36" i="61" s="1"/>
  <c r="I36" i="61" s="1"/>
  <c r="D86" i="62"/>
  <c r="S122" i="62" s="1"/>
  <c r="C86" i="62"/>
  <c r="R122" i="62" s="1"/>
  <c r="D84" i="59"/>
  <c r="S122" i="59" s="1"/>
  <c r="C84" i="59"/>
  <c r="R122" i="59" s="1"/>
  <c r="D28" i="58"/>
  <c r="F28" i="58"/>
  <c r="F28" i="53"/>
  <c r="G28" i="53" s="1"/>
  <c r="J28" i="53" s="1"/>
  <c r="P3" i="53" s="1"/>
  <c r="H29" i="67" s="1"/>
  <c r="H107" i="67" s="1"/>
  <c r="F3" i="54"/>
  <c r="G3" i="54" s="1"/>
  <c r="I3" i="54" s="1"/>
  <c r="O3" i="54" s="1"/>
  <c r="G3" i="67" s="1"/>
  <c r="G81" i="67" s="1"/>
  <c r="BH20" i="20"/>
  <c r="BH21" i="20" s="1"/>
  <c r="BI11" i="20"/>
  <c r="BI10" i="20"/>
  <c r="BI12" i="20"/>
  <c r="B36" i="52"/>
  <c r="C36" i="52" s="1"/>
  <c r="G36" i="52" s="1"/>
  <c r="H36" i="52" s="1"/>
  <c r="J36" i="52" s="1"/>
  <c r="R11" i="52" s="1"/>
  <c r="J37" i="67" s="1"/>
  <c r="J115" i="67" s="1"/>
  <c r="C11" i="52"/>
  <c r="B36" i="66"/>
  <c r="C36" i="66" s="1"/>
  <c r="E36" i="66" s="1"/>
  <c r="F36" i="66" s="1"/>
  <c r="J36" i="66" s="1"/>
  <c r="P11" i="66" s="1"/>
  <c r="W37" i="67" s="1"/>
  <c r="W115" i="67" s="1"/>
  <c r="C11" i="66"/>
  <c r="D3" i="58"/>
  <c r="F3" i="58"/>
  <c r="F3" i="98"/>
  <c r="D3" i="98"/>
  <c r="O8" i="54"/>
  <c r="G8" i="67" s="1"/>
  <c r="G86" i="67" s="1"/>
  <c r="V77" i="183"/>
  <c r="B36" i="35"/>
  <c r="C36" i="35" s="1"/>
  <c r="C11" i="35"/>
  <c r="F3" i="53"/>
  <c r="G3" i="53" s="1"/>
  <c r="J3" i="53" s="1"/>
  <c r="O3" i="53" s="1"/>
  <c r="H3" i="67" s="1"/>
  <c r="H81" i="67" s="1"/>
  <c r="F28" i="54"/>
  <c r="G28" i="54" s="1"/>
  <c r="I28" i="54" s="1"/>
  <c r="P3" i="54" s="1"/>
  <c r="G29" i="67" s="1"/>
  <c r="G107" i="67" s="1"/>
  <c r="E3" i="66"/>
  <c r="F3" i="66" s="1"/>
  <c r="J3" i="66" s="1"/>
  <c r="O3" i="66" s="1"/>
  <c r="W3" i="67" s="1"/>
  <c r="W81" i="67" s="1"/>
  <c r="B36" i="51"/>
  <c r="C36" i="51" s="1"/>
  <c r="E36" i="51" s="1"/>
  <c r="H36" i="51" s="1"/>
  <c r="Q11" i="51" s="1"/>
  <c r="I37" i="67" s="1"/>
  <c r="I115" i="67" s="1"/>
  <c r="C11" i="51"/>
  <c r="E11" i="51" s="1"/>
  <c r="H11" i="51" s="1"/>
  <c r="C11" i="62"/>
  <c r="F11" i="62" s="1"/>
  <c r="G11" i="62" s="1"/>
  <c r="J11" i="62" s="1"/>
  <c r="B36" i="62"/>
  <c r="C36" i="62" s="1"/>
  <c r="F36" i="62" s="1"/>
  <c r="G36" i="62" s="1"/>
  <c r="J36" i="62" s="1"/>
  <c r="P11" i="62" s="1"/>
  <c r="K37" i="67" s="1"/>
  <c r="K115" i="67" s="1"/>
  <c r="B36" i="60"/>
  <c r="C36" i="60" s="1"/>
  <c r="C11" i="60"/>
  <c r="D3" i="61"/>
  <c r="F3" i="61"/>
  <c r="F3" i="35"/>
  <c r="G3" i="35" s="1"/>
  <c r="I3" i="35" s="1"/>
  <c r="N3" i="35" s="1"/>
  <c r="T3" i="67" s="1"/>
  <c r="T81" i="67" s="1"/>
  <c r="F28" i="98"/>
  <c r="D28" i="98"/>
  <c r="B86" i="66"/>
  <c r="Q124" i="66" s="1"/>
  <c r="O8" i="66"/>
  <c r="W8" i="67" s="1"/>
  <c r="W86" i="67" s="1"/>
  <c r="F53" i="183"/>
  <c r="K53" i="183"/>
  <c r="G53" i="183"/>
  <c r="E53" i="183"/>
  <c r="I53" i="183"/>
  <c r="O53" i="183"/>
  <c r="L53" i="183"/>
  <c r="M53" i="183"/>
  <c r="D53" i="183"/>
  <c r="N53" i="183"/>
  <c r="J53" i="183"/>
  <c r="H53" i="183"/>
  <c r="C11" i="98"/>
  <c r="B36" i="98"/>
  <c r="C36" i="98" s="1"/>
  <c r="B195" i="37"/>
  <c r="AC11" i="37"/>
  <c r="AA11" i="37"/>
  <c r="J56" i="37" s="1"/>
  <c r="J219" i="37" s="1"/>
  <c r="D28" i="61"/>
  <c r="F28" i="61"/>
  <c r="J33" i="63"/>
  <c r="V119" i="183" s="1"/>
  <c r="O119" i="183" s="1"/>
  <c r="F28" i="35"/>
  <c r="G28" i="35" s="1"/>
  <c r="I28" i="35" s="1"/>
  <c r="O3" i="35" s="1"/>
  <c r="T29" i="67" s="1"/>
  <c r="T107" i="67" s="1"/>
  <c r="B86" i="61"/>
  <c r="Q124" i="61" s="1"/>
  <c r="N8" i="61"/>
  <c r="U8" i="67" s="1"/>
  <c r="U86" i="67" s="1"/>
  <c r="D28" i="60"/>
  <c r="F28" i="60"/>
  <c r="BI14" i="20"/>
  <c r="B36" i="54"/>
  <c r="C36" i="54" s="1"/>
  <c r="C11" i="54"/>
  <c r="F3" i="62"/>
  <c r="G3" i="62" s="1"/>
  <c r="J3" i="62" s="1"/>
  <c r="O3" i="62" s="1"/>
  <c r="K3" i="67" s="1"/>
  <c r="K81" i="67" s="1"/>
  <c r="O8" i="63"/>
  <c r="N8" i="67" s="1"/>
  <c r="N86" i="67" s="1"/>
  <c r="S84" i="55"/>
  <c r="D84" i="55"/>
  <c r="T121" i="55" s="1"/>
  <c r="C84" i="55"/>
  <c r="S121" i="55" s="1"/>
  <c r="B36" i="53"/>
  <c r="C36" i="53" s="1"/>
  <c r="C11" i="53"/>
  <c r="B87" i="35"/>
  <c r="Q125" i="35" s="1"/>
  <c r="N8" i="35"/>
  <c r="T8" i="67" s="1"/>
  <c r="T86" i="67" s="1"/>
  <c r="B82" i="54"/>
  <c r="Q119" i="54" s="1"/>
  <c r="P8" i="54"/>
  <c r="G34" i="67" s="1"/>
  <c r="G112" i="67" s="1"/>
  <c r="C11" i="65"/>
  <c r="B36" i="65"/>
  <c r="C36" i="65" s="1"/>
  <c r="C11" i="50"/>
  <c r="B36" i="50"/>
  <c r="C36" i="50" s="1"/>
  <c r="B36" i="59"/>
  <c r="C36" i="59" s="1"/>
  <c r="E36" i="59" s="1"/>
  <c r="F36" i="59" s="1"/>
  <c r="I36" i="59" s="1"/>
  <c r="O11" i="59" s="1"/>
  <c r="M37" i="67" s="1"/>
  <c r="M115" i="67" s="1"/>
  <c r="C11" i="59"/>
  <c r="E11" i="59" s="1"/>
  <c r="F11" i="59" s="1"/>
  <c r="I11" i="59" s="1"/>
  <c r="C11" i="58"/>
  <c r="B36" i="58"/>
  <c r="C36" i="58" s="1"/>
  <c r="F36" i="58" s="1"/>
  <c r="G36" i="58" s="1"/>
  <c r="K36" i="58" s="1"/>
  <c r="Q11" i="58" s="1"/>
  <c r="L37" i="67" s="1"/>
  <c r="L115" i="67" s="1"/>
  <c r="M101" i="183"/>
  <c r="O101" i="183"/>
  <c r="N101" i="183"/>
  <c r="L101" i="183"/>
  <c r="F8" i="37"/>
  <c r="F192" i="37" s="1"/>
  <c r="D8" i="37"/>
  <c r="D192" i="37" s="1"/>
  <c r="H33" i="64"/>
  <c r="N8" i="64" s="1"/>
  <c r="Q34" i="67" s="1"/>
  <c r="Q112" i="67" s="1"/>
  <c r="Q8" i="67"/>
  <c r="Q86" i="67" s="1"/>
  <c r="B89" i="64"/>
  <c r="Q127" i="64" s="1"/>
  <c r="J28" i="48"/>
  <c r="P3" i="48" s="1"/>
  <c r="C29" i="67" s="1"/>
  <c r="B86" i="52"/>
  <c r="Q122" i="52" s="1"/>
  <c r="V95" i="183"/>
  <c r="Q8" i="52"/>
  <c r="J8" i="67" s="1"/>
  <c r="J86" i="67" s="1"/>
  <c r="D85" i="51"/>
  <c r="S121" i="51" s="1"/>
  <c r="O89" i="183"/>
  <c r="M89" i="183"/>
  <c r="N89" i="183"/>
  <c r="J89" i="183"/>
  <c r="K89" i="183"/>
  <c r="L89" i="183"/>
  <c r="E3" i="64"/>
  <c r="F3" i="64" s="1"/>
  <c r="E28" i="50"/>
  <c r="G28" i="50" s="1"/>
  <c r="AH30" i="50"/>
  <c r="AJ30" i="50" s="1"/>
  <c r="F30" i="50" s="1"/>
  <c r="G30" i="50" s="1"/>
  <c r="G3" i="52"/>
  <c r="H3" i="52" s="1"/>
  <c r="G28" i="52"/>
  <c r="H28" i="52" s="1"/>
  <c r="BH17" i="20"/>
  <c r="F4" i="33"/>
  <c r="G4" i="33" s="1"/>
  <c r="G4" i="49"/>
  <c r="G133" i="49" s="1"/>
  <c r="E4" i="49"/>
  <c r="E133" i="49" s="1"/>
  <c r="H3" i="51"/>
  <c r="P3" i="51" s="1"/>
  <c r="I3" i="67" s="1"/>
  <c r="I81" i="67" s="1"/>
  <c r="F29" i="33"/>
  <c r="G29" i="33" s="1"/>
  <c r="E3" i="50"/>
  <c r="G3" i="50" s="1"/>
  <c r="I3" i="50" s="1"/>
  <c r="G3" i="65"/>
  <c r="H3" i="65"/>
  <c r="E3" i="65"/>
  <c r="H28" i="51"/>
  <c r="Q3" i="51" s="1"/>
  <c r="I29" i="67" s="1"/>
  <c r="I107" i="67" s="1"/>
  <c r="G28" i="65"/>
  <c r="H28" i="65"/>
  <c r="E28" i="65"/>
  <c r="F3" i="48"/>
  <c r="G3" i="48" s="1"/>
  <c r="J3" i="48" s="1"/>
  <c r="C28" i="64"/>
  <c r="V8" i="5"/>
  <c r="X8" i="5"/>
  <c r="T9" i="19" s="1"/>
  <c r="C85" i="51" l="1"/>
  <c r="R121" i="51" s="1"/>
  <c r="BH3" i="130"/>
  <c r="AT4" i="130" s="1"/>
  <c r="D81" i="48"/>
  <c r="T117" i="48" s="1"/>
  <c r="G34" i="33"/>
  <c r="Q9" i="33" s="1"/>
  <c r="B89" i="33" s="1"/>
  <c r="Q124" i="33" s="1"/>
  <c r="D54" i="37"/>
  <c r="D217" i="37" s="1"/>
  <c r="J33" i="65"/>
  <c r="L33" i="65" s="1"/>
  <c r="Q8" i="65" s="1"/>
  <c r="O34" i="67" s="1"/>
  <c r="O112" i="67" s="1"/>
  <c r="J8" i="65"/>
  <c r="L8" i="65" s="1"/>
  <c r="F54" i="37"/>
  <c r="F217" i="37" s="1"/>
  <c r="P8" i="65"/>
  <c r="O8" i="67" s="1"/>
  <c r="O86" i="67" s="1"/>
  <c r="B89" i="65"/>
  <c r="Q127" i="65" s="1"/>
  <c r="G8" i="50"/>
  <c r="I8" i="50" s="1"/>
  <c r="P8" i="50" s="1"/>
  <c r="V8" i="67" s="1"/>
  <c r="V86" i="67" s="1"/>
  <c r="B86" i="63"/>
  <c r="E29" i="49"/>
  <c r="W6" i="35"/>
  <c r="Y6" i="35"/>
  <c r="C11" i="63"/>
  <c r="O65" i="183"/>
  <c r="N65" i="183"/>
  <c r="J65" i="183"/>
  <c r="H65" i="183"/>
  <c r="G65" i="183"/>
  <c r="M65" i="183"/>
  <c r="K65" i="183"/>
  <c r="F65" i="183"/>
  <c r="I65" i="183"/>
  <c r="L65" i="183"/>
  <c r="W6" i="58"/>
  <c r="C6" i="58"/>
  <c r="Y6" i="58"/>
  <c r="W6" i="66"/>
  <c r="Y6" i="66"/>
  <c r="B36" i="64"/>
  <c r="C36" i="64" s="1"/>
  <c r="E36" i="64" s="1"/>
  <c r="F36" i="64" s="1"/>
  <c r="H36" i="64" s="1"/>
  <c r="N11" i="64" s="1"/>
  <c r="Q37" i="67" s="1"/>
  <c r="Q115" i="67" s="1"/>
  <c r="C11" i="64"/>
  <c r="E11" i="64" s="1"/>
  <c r="F11" i="64" s="1"/>
  <c r="H11" i="64" s="1"/>
  <c r="M11" i="64" s="1"/>
  <c r="W6" i="51"/>
  <c r="B31" i="51"/>
  <c r="C31" i="51" s="1"/>
  <c r="E31" i="51" s="1"/>
  <c r="H31" i="51" s="1"/>
  <c r="Q6" i="51" s="1"/>
  <c r="I32" i="67" s="1"/>
  <c r="I110" i="67" s="1"/>
  <c r="Y6" i="51"/>
  <c r="W6" i="54"/>
  <c r="Y6" i="54"/>
  <c r="V61" i="183"/>
  <c r="B85" i="50"/>
  <c r="Q10" i="50"/>
  <c r="V36" i="67" s="1"/>
  <c r="V114" i="67" s="1"/>
  <c r="C11" i="48"/>
  <c r="F11" i="48" s="1"/>
  <c r="G11" i="48" s="1"/>
  <c r="J11" i="48" s="1"/>
  <c r="B36" i="48"/>
  <c r="C36" i="48" s="1"/>
  <c r="F36" i="48" s="1"/>
  <c r="G36" i="48" s="1"/>
  <c r="J36" i="48" s="1"/>
  <c r="P11" i="48" s="1"/>
  <c r="C37" i="67" s="1"/>
  <c r="W6" i="60"/>
  <c r="Y6" i="60"/>
  <c r="Q120" i="57"/>
  <c r="S82" i="57"/>
  <c r="D82" i="57"/>
  <c r="S120" i="57" s="1"/>
  <c r="C82" i="57"/>
  <c r="W6" i="59"/>
  <c r="Y6" i="59"/>
  <c r="W6" i="49"/>
  <c r="Y6" i="49"/>
  <c r="B136" i="49" s="1"/>
  <c r="X6" i="55"/>
  <c r="V6" i="55"/>
  <c r="W6" i="63"/>
  <c r="Y6" i="63"/>
  <c r="W6" i="61"/>
  <c r="Y6" i="61"/>
  <c r="E138" i="49"/>
  <c r="H9" i="49"/>
  <c r="X7" i="33"/>
  <c r="B8" i="33" s="1"/>
  <c r="X7" i="57"/>
  <c r="B7" i="57" s="1"/>
  <c r="X7" i="61"/>
  <c r="B7" i="61" s="1"/>
  <c r="X7" i="60"/>
  <c r="B7" i="60" s="1"/>
  <c r="X7" i="49"/>
  <c r="B8" i="49" s="1"/>
  <c r="X7" i="65"/>
  <c r="B7" i="65" s="1"/>
  <c r="X7" i="53"/>
  <c r="B7" i="53" s="1"/>
  <c r="X7" i="63"/>
  <c r="B7" i="63" s="1"/>
  <c r="X7" i="59"/>
  <c r="B7" i="59" s="1"/>
  <c r="X7" i="51"/>
  <c r="B7" i="51" s="1"/>
  <c r="X7" i="66"/>
  <c r="B7" i="66" s="1"/>
  <c r="X7" i="58"/>
  <c r="B7" i="58" s="1"/>
  <c r="X7" i="62"/>
  <c r="B7" i="62" s="1"/>
  <c r="X7" i="52"/>
  <c r="B7" i="52" s="1"/>
  <c r="X7" i="35"/>
  <c r="B7" i="35" s="1"/>
  <c r="X7" i="54"/>
  <c r="B7" i="54" s="1"/>
  <c r="X7" i="64"/>
  <c r="B7" i="64" s="1"/>
  <c r="X7" i="98"/>
  <c r="B7" i="98" s="1"/>
  <c r="X7" i="50"/>
  <c r="B7" i="50" s="1"/>
  <c r="Y7" i="48"/>
  <c r="B7" i="48" s="1"/>
  <c r="W7" i="55"/>
  <c r="B7" i="55" s="1"/>
  <c r="Z6" i="48"/>
  <c r="X6" i="48"/>
  <c r="W6" i="53"/>
  <c r="Y6" i="53"/>
  <c r="W6" i="98"/>
  <c r="Y6" i="98"/>
  <c r="G9" i="33"/>
  <c r="P9" i="33" s="1"/>
  <c r="B121" i="33" s="1"/>
  <c r="W6" i="62"/>
  <c r="C6" i="62"/>
  <c r="Y6" i="62"/>
  <c r="W6" i="50"/>
  <c r="Y6" i="50"/>
  <c r="W6" i="65"/>
  <c r="Y6" i="65"/>
  <c r="W6" i="57"/>
  <c r="Y6" i="57"/>
  <c r="B36" i="57"/>
  <c r="C36" i="57" s="1"/>
  <c r="F36" i="57" s="1"/>
  <c r="G36" i="57" s="1"/>
  <c r="J36" i="57" s="1"/>
  <c r="P11" i="57" s="1"/>
  <c r="E37" i="67" s="1"/>
  <c r="E115" i="67" s="1"/>
  <c r="C11" i="57"/>
  <c r="F11" i="57" s="1"/>
  <c r="G11" i="57" s="1"/>
  <c r="J11" i="57" s="1"/>
  <c r="W6" i="52"/>
  <c r="B31" i="52"/>
  <c r="C31" i="52" s="1"/>
  <c r="Y6" i="52"/>
  <c r="W6" i="33"/>
  <c r="Y6" i="33"/>
  <c r="W6" i="64"/>
  <c r="Y6" i="64"/>
  <c r="B37" i="55"/>
  <c r="C37" i="55" s="1"/>
  <c r="F37" i="55" s="1"/>
  <c r="G37" i="55" s="1"/>
  <c r="J37" i="55" s="1"/>
  <c r="P11" i="55" s="1"/>
  <c r="D37" i="67" s="1"/>
  <c r="D115" i="67" s="1"/>
  <c r="C11" i="55"/>
  <c r="F11" i="55" s="1"/>
  <c r="G11" i="55" s="1"/>
  <c r="J11" i="55" s="1"/>
  <c r="O11" i="55" s="1"/>
  <c r="D11" i="67" s="1"/>
  <c r="D89" i="67" s="1"/>
  <c r="BH12" i="130" s="1"/>
  <c r="AT13" i="130" s="1"/>
  <c r="AS13" i="130" s="1"/>
  <c r="C164" i="49"/>
  <c r="G34" i="49"/>
  <c r="G164" i="49" s="1"/>
  <c r="E34" i="49"/>
  <c r="E164" i="49" s="1"/>
  <c r="F3" i="37"/>
  <c r="F187" i="37" s="1"/>
  <c r="D3" i="37"/>
  <c r="D187" i="37" s="1"/>
  <c r="B81" i="98"/>
  <c r="Q117" i="98" s="1"/>
  <c r="C49" i="37"/>
  <c r="B212" i="37"/>
  <c r="C37" i="49"/>
  <c r="C167" i="49" s="1"/>
  <c r="B167" i="49"/>
  <c r="H29" i="49"/>
  <c r="E159" i="49"/>
  <c r="G28" i="58"/>
  <c r="K28" i="58" s="1"/>
  <c r="Q3" i="58" s="1"/>
  <c r="L29" i="67" s="1"/>
  <c r="L107" i="67" s="1"/>
  <c r="G3" i="60"/>
  <c r="J3" i="60" s="1"/>
  <c r="O3" i="60" s="1"/>
  <c r="S3" i="67" s="1"/>
  <c r="S81" i="67" s="1"/>
  <c r="X81" i="67" s="1"/>
  <c r="B86" i="60"/>
  <c r="BI20" i="20"/>
  <c r="G28" i="60"/>
  <c r="J28" i="60" s="1"/>
  <c r="P3" i="60" s="1"/>
  <c r="S29" i="67" s="1"/>
  <c r="S107" i="67" s="1"/>
  <c r="X107" i="67" s="1"/>
  <c r="BI21" i="20"/>
  <c r="G8" i="37"/>
  <c r="V71" i="183"/>
  <c r="K71" i="183" s="1"/>
  <c r="G28" i="98"/>
  <c r="K28" i="98" s="1"/>
  <c r="Q3" i="98" s="1"/>
  <c r="F29" i="67" s="1"/>
  <c r="F107" i="67" s="1"/>
  <c r="G3" i="98"/>
  <c r="K3" i="98" s="1"/>
  <c r="P3" i="98" s="1"/>
  <c r="F3" i="67" s="1"/>
  <c r="F81" i="67" s="1"/>
  <c r="F84" i="55"/>
  <c r="G3" i="61"/>
  <c r="I3" i="61" s="1"/>
  <c r="N3" i="61" s="1"/>
  <c r="U3" i="67" s="1"/>
  <c r="U81" i="67" s="1"/>
  <c r="J28" i="65"/>
  <c r="L28" i="65" s="1"/>
  <c r="Q3" i="65" s="1"/>
  <c r="O29" i="67" s="1"/>
  <c r="O107" i="67" s="1"/>
  <c r="G3" i="58"/>
  <c r="K3" i="58" s="1"/>
  <c r="P3" i="58" s="1"/>
  <c r="L3" i="67" s="1"/>
  <c r="L81" i="67" s="1"/>
  <c r="F86" i="62"/>
  <c r="F81" i="48"/>
  <c r="V117" i="48" s="1"/>
  <c r="B84" i="58"/>
  <c r="Q122" i="58" s="1"/>
  <c r="V107" i="183"/>
  <c r="P8" i="58"/>
  <c r="L8" i="67" s="1"/>
  <c r="L86" i="67" s="1"/>
  <c r="E36" i="65"/>
  <c r="G36" i="65"/>
  <c r="H36" i="65"/>
  <c r="F11" i="53"/>
  <c r="G11" i="53" s="1"/>
  <c r="J11" i="53" s="1"/>
  <c r="F36" i="54"/>
  <c r="O11" i="62"/>
  <c r="K11" i="67" s="1"/>
  <c r="K89" i="67" s="1"/>
  <c r="V104" i="183"/>
  <c r="B89" i="62"/>
  <c r="Q125" i="62" s="1"/>
  <c r="G11" i="52"/>
  <c r="H11" i="52" s="1"/>
  <c r="J11" i="52" s="1"/>
  <c r="V98" i="183" s="1"/>
  <c r="H11" i="63"/>
  <c r="E11" i="63"/>
  <c r="F11" i="63" s="1"/>
  <c r="B31" i="53"/>
  <c r="C31" i="53" s="1"/>
  <c r="C6" i="53"/>
  <c r="B31" i="61"/>
  <c r="C31" i="61" s="1"/>
  <c r="C6" i="61"/>
  <c r="AB7" i="37"/>
  <c r="B7" i="37" s="1"/>
  <c r="E11" i="65"/>
  <c r="H11" i="65"/>
  <c r="G11" i="65"/>
  <c r="F36" i="53"/>
  <c r="G36" i="53" s="1"/>
  <c r="J36" i="53" s="1"/>
  <c r="C86" i="66"/>
  <c r="R124" i="66" s="1"/>
  <c r="D86" i="66"/>
  <c r="S124" i="66" s="1"/>
  <c r="P11" i="51"/>
  <c r="I11" i="67" s="1"/>
  <c r="I89" i="67" s="1"/>
  <c r="B88" i="51"/>
  <c r="Q124" i="51" s="1"/>
  <c r="V92" i="183"/>
  <c r="F11" i="35"/>
  <c r="G11" i="35" s="1"/>
  <c r="I11" i="35" s="1"/>
  <c r="E36" i="63"/>
  <c r="F36" i="63" s="1"/>
  <c r="H36" i="63"/>
  <c r="B31" i="60"/>
  <c r="C31" i="60" s="1"/>
  <c r="C6" i="60"/>
  <c r="D11" i="58"/>
  <c r="F11" i="58"/>
  <c r="P8" i="63"/>
  <c r="N34" i="67" s="1"/>
  <c r="N112" i="67" s="1"/>
  <c r="Q125" i="63"/>
  <c r="F36" i="98"/>
  <c r="D36" i="98"/>
  <c r="F36" i="35"/>
  <c r="G36" i="35" s="1"/>
  <c r="I36" i="35" s="1"/>
  <c r="O11" i="35" s="1"/>
  <c r="T37" i="67" s="1"/>
  <c r="T115" i="67" s="1"/>
  <c r="D37" i="33"/>
  <c r="F37" i="33"/>
  <c r="B31" i="66"/>
  <c r="C31" i="66" s="1"/>
  <c r="E31" i="66" s="1"/>
  <c r="F31" i="66" s="1"/>
  <c r="J31" i="66" s="1"/>
  <c r="P6" i="66" s="1"/>
  <c r="W32" i="67" s="1"/>
  <c r="W110" i="67" s="1"/>
  <c r="C6" i="66"/>
  <c r="B87" i="59"/>
  <c r="Q125" i="59" s="1"/>
  <c r="V116" i="183"/>
  <c r="N11" i="59"/>
  <c r="M11" i="67" s="1"/>
  <c r="M89" i="67" s="1"/>
  <c r="D82" i="54"/>
  <c r="S119" i="54" s="1"/>
  <c r="C82" i="54"/>
  <c r="R119" i="54" s="1"/>
  <c r="G28" i="61"/>
  <c r="I28" i="61" s="1"/>
  <c r="O3" i="61" s="1"/>
  <c r="U29" i="67" s="1"/>
  <c r="U107" i="67" s="1"/>
  <c r="D11" i="98"/>
  <c r="F11" i="98"/>
  <c r="H77" i="183"/>
  <c r="J77" i="183"/>
  <c r="O77" i="183"/>
  <c r="L77" i="183"/>
  <c r="N77" i="183"/>
  <c r="M77" i="183"/>
  <c r="I77" i="183"/>
  <c r="K77" i="183"/>
  <c r="G12" i="49"/>
  <c r="G141" i="49" s="1"/>
  <c r="E12" i="49"/>
  <c r="E141" i="49" s="1"/>
  <c r="F12" i="33"/>
  <c r="D12" i="33"/>
  <c r="C6" i="59"/>
  <c r="E6" i="59" s="1"/>
  <c r="F6" i="59" s="1"/>
  <c r="I6" i="59" s="1"/>
  <c r="B31" i="59"/>
  <c r="C31" i="59" s="1"/>
  <c r="E31" i="59" s="1"/>
  <c r="F31" i="59" s="1"/>
  <c r="I31" i="59" s="1"/>
  <c r="O6" i="59" s="1"/>
  <c r="M32" i="67" s="1"/>
  <c r="M110" i="67" s="1"/>
  <c r="B31" i="35"/>
  <c r="C31" i="35" s="1"/>
  <c r="C6" i="35"/>
  <c r="D81" i="98"/>
  <c r="S117" i="98" s="1"/>
  <c r="B31" i="98"/>
  <c r="C31" i="98" s="1"/>
  <c r="C6" i="98"/>
  <c r="AA6" i="37"/>
  <c r="AC6" i="37"/>
  <c r="AH38" i="50"/>
  <c r="AJ38" i="50" s="1"/>
  <c r="F38" i="50" s="1"/>
  <c r="E36" i="50"/>
  <c r="G36" i="50" s="1"/>
  <c r="I36" i="50" s="1"/>
  <c r="C87" i="35"/>
  <c r="R125" i="35" s="1"/>
  <c r="D87" i="35"/>
  <c r="S125" i="35" s="1"/>
  <c r="P10" i="37"/>
  <c r="B36" i="67" s="1"/>
  <c r="B114" i="67" s="1"/>
  <c r="B145" i="37"/>
  <c r="R193" i="37" s="1"/>
  <c r="V37" i="183"/>
  <c r="AG11" i="60"/>
  <c r="AJ11" i="60" s="1"/>
  <c r="H11" i="60" s="1"/>
  <c r="F11" i="60"/>
  <c r="D11" i="60"/>
  <c r="C6" i="63"/>
  <c r="B31" i="63"/>
  <c r="C31" i="63" s="1"/>
  <c r="E31" i="63" s="1"/>
  <c r="F31" i="63" s="1"/>
  <c r="J31" i="63" s="1"/>
  <c r="P6" i="63" s="1"/>
  <c r="N32" i="67" s="1"/>
  <c r="N110" i="67" s="1"/>
  <c r="D84" i="53"/>
  <c r="S120" i="53" s="1"/>
  <c r="C84" i="53"/>
  <c r="R120" i="53" s="1"/>
  <c r="AH11" i="50"/>
  <c r="AJ11" i="50" s="1"/>
  <c r="F11" i="50" s="1"/>
  <c r="E11" i="50"/>
  <c r="D36" i="60"/>
  <c r="F36" i="60"/>
  <c r="E11" i="66"/>
  <c r="F11" i="66" s="1"/>
  <c r="J11" i="66" s="1"/>
  <c r="F11" i="61"/>
  <c r="G11" i="61" s="1"/>
  <c r="I11" i="61" s="1"/>
  <c r="N11" i="61" s="1"/>
  <c r="U11" i="67" s="1"/>
  <c r="U89" i="67" s="1"/>
  <c r="F11" i="54"/>
  <c r="D11" i="54"/>
  <c r="D36" i="54" s="1"/>
  <c r="C86" i="61"/>
  <c r="R124" i="61" s="1"/>
  <c r="D86" i="61"/>
  <c r="S124" i="61" s="1"/>
  <c r="B57" i="37"/>
  <c r="C11" i="37"/>
  <c r="C195" i="37" s="1"/>
  <c r="F84" i="59"/>
  <c r="O11" i="61"/>
  <c r="U37" i="67" s="1"/>
  <c r="U115" i="67" s="1"/>
  <c r="B31" i="54"/>
  <c r="C31" i="54" s="1"/>
  <c r="C6" i="54"/>
  <c r="M83" i="183"/>
  <c r="N83" i="183"/>
  <c r="J83" i="183"/>
  <c r="O83" i="183"/>
  <c r="L83" i="183"/>
  <c r="K83" i="183"/>
  <c r="I83" i="183"/>
  <c r="F85" i="51"/>
  <c r="P8" i="67"/>
  <c r="P86" i="67" s="1"/>
  <c r="F10" i="68" s="1"/>
  <c r="H3" i="64"/>
  <c r="M3" i="64" s="1"/>
  <c r="Q3" i="67" s="1"/>
  <c r="Q81" i="67" s="1"/>
  <c r="D89" i="64"/>
  <c r="S127" i="64" s="1"/>
  <c r="C89" i="64"/>
  <c r="R127" i="64" s="1"/>
  <c r="J3" i="52"/>
  <c r="Q3" i="52" s="1"/>
  <c r="J3" i="67" s="1"/>
  <c r="J81" i="67" s="1"/>
  <c r="C86" i="52"/>
  <c r="R122" i="52" s="1"/>
  <c r="D86" i="52"/>
  <c r="S122" i="52" s="1"/>
  <c r="M95" i="183"/>
  <c r="O95" i="183"/>
  <c r="N95" i="183"/>
  <c r="K95" i="183"/>
  <c r="L95" i="183"/>
  <c r="J28" i="52"/>
  <c r="R3" i="52" s="1"/>
  <c r="J29" i="67" s="1"/>
  <c r="J107" i="67" s="1"/>
  <c r="I30" i="50"/>
  <c r="Q5" i="50" s="1"/>
  <c r="V31" i="67" s="1"/>
  <c r="V109" i="67" s="1"/>
  <c r="I28" i="50"/>
  <c r="Q3" i="50" s="1"/>
  <c r="V29" i="67" s="1"/>
  <c r="V107" i="67" s="1"/>
  <c r="E28" i="64"/>
  <c r="F28" i="64" s="1"/>
  <c r="P4" i="33"/>
  <c r="P3" i="67" s="1"/>
  <c r="P81" i="67" s="1"/>
  <c r="Q4" i="33"/>
  <c r="P29" i="67" s="1"/>
  <c r="P107" i="67" s="1"/>
  <c r="V40" i="347" s="1"/>
  <c r="P3" i="50"/>
  <c r="V3" i="67" s="1"/>
  <c r="V81" i="67" s="1"/>
  <c r="J3" i="65"/>
  <c r="L3" i="65" s="1"/>
  <c r="P3" i="65" s="1"/>
  <c r="O3" i="67" s="1"/>
  <c r="O81" i="67" s="1"/>
  <c r="C7" i="33"/>
  <c r="F7" i="33" s="1"/>
  <c r="G7" i="33" s="1"/>
  <c r="B32" i="33"/>
  <c r="C32" i="33" s="1"/>
  <c r="BH18" i="20"/>
  <c r="BI19" i="20" s="1"/>
  <c r="BI16" i="20"/>
  <c r="B31" i="64"/>
  <c r="C6" i="64"/>
  <c r="O3" i="48"/>
  <c r="C3" i="67" s="1"/>
  <c r="B31" i="65"/>
  <c r="C31" i="65" s="1"/>
  <c r="C6" i="65"/>
  <c r="H4" i="49"/>
  <c r="B32" i="49"/>
  <c r="C7" i="49"/>
  <c r="C136" i="49" s="1"/>
  <c r="C6" i="52"/>
  <c r="B31" i="50"/>
  <c r="C31" i="50" s="1"/>
  <c r="AH33" i="50" s="1"/>
  <c r="AJ33" i="50" s="1"/>
  <c r="F33" i="50" s="1"/>
  <c r="G33" i="50" s="1"/>
  <c r="C6" i="50"/>
  <c r="AH6" i="50" s="1"/>
  <c r="AJ6" i="50" s="1"/>
  <c r="B31" i="48"/>
  <c r="C31" i="48" s="1"/>
  <c r="F31" i="48" s="1"/>
  <c r="G31" i="48" s="1"/>
  <c r="C6" i="48"/>
  <c r="F6" i="48" s="1"/>
  <c r="G6" i="48" s="1"/>
  <c r="T12" i="5"/>
  <c r="T11" i="5"/>
  <c r="V11" i="5"/>
  <c r="V12" i="5"/>
  <c r="P34" i="67" l="1"/>
  <c r="P112" i="67" s="1"/>
  <c r="V45" i="347" s="1"/>
  <c r="V56" i="183"/>
  <c r="B87" i="55"/>
  <c r="R124" i="55" s="1"/>
  <c r="G54" i="37"/>
  <c r="J54" i="37" s="1"/>
  <c r="C89" i="65"/>
  <c r="R127" i="65" s="1"/>
  <c r="D89" i="65"/>
  <c r="S127" i="65" s="1"/>
  <c r="C81" i="98"/>
  <c r="R117" i="98" s="1"/>
  <c r="H34" i="49"/>
  <c r="J34" i="49" s="1"/>
  <c r="G3" i="37"/>
  <c r="J3" i="37" s="1"/>
  <c r="W7" i="35"/>
  <c r="Y7" i="35"/>
  <c r="Y7" i="53"/>
  <c r="W7" i="53"/>
  <c r="J9" i="49"/>
  <c r="H138" i="49"/>
  <c r="Y7" i="52"/>
  <c r="B32" i="52"/>
  <c r="W7" i="52"/>
  <c r="Y7" i="65"/>
  <c r="W7" i="65"/>
  <c r="B32" i="55"/>
  <c r="C32" i="55" s="1"/>
  <c r="F32" i="55" s="1"/>
  <c r="G32" i="55" s="1"/>
  <c r="J32" i="55" s="1"/>
  <c r="P6" i="55" s="1"/>
  <c r="D32" i="67" s="1"/>
  <c r="D110" i="67" s="1"/>
  <c r="C6" i="55"/>
  <c r="F6" i="55" s="1"/>
  <c r="G6" i="55" s="1"/>
  <c r="J6" i="55" s="1"/>
  <c r="S85" i="50"/>
  <c r="P123" i="50"/>
  <c r="D85" i="50"/>
  <c r="R123" i="50" s="1"/>
  <c r="C85" i="50"/>
  <c r="O11" i="48"/>
  <c r="C11" i="67" s="1"/>
  <c r="B31" i="58"/>
  <c r="C31" i="58" s="1"/>
  <c r="C7" i="55"/>
  <c r="V7" i="55"/>
  <c r="X7" i="55"/>
  <c r="Y7" i="62"/>
  <c r="W7" i="62"/>
  <c r="Y7" i="49"/>
  <c r="B137" i="49" s="1"/>
  <c r="W7" i="49"/>
  <c r="N61" i="183"/>
  <c r="K61" i="183"/>
  <c r="M61" i="183"/>
  <c r="O61" i="183"/>
  <c r="H61" i="183"/>
  <c r="G61" i="183"/>
  <c r="F61" i="183"/>
  <c r="L61" i="183"/>
  <c r="I61" i="183"/>
  <c r="J61" i="183"/>
  <c r="E61" i="183"/>
  <c r="C6" i="51"/>
  <c r="E6" i="51" s="1"/>
  <c r="H6" i="51" s="1"/>
  <c r="B31" i="62"/>
  <c r="C31" i="62" s="1"/>
  <c r="B85" i="57"/>
  <c r="O11" i="57"/>
  <c r="E11" i="67" s="1"/>
  <c r="E89" i="67" s="1"/>
  <c r="BG12" i="140" s="1"/>
  <c r="AS13" i="140" s="1"/>
  <c r="V68" i="183"/>
  <c r="B32" i="48"/>
  <c r="C32" i="48" s="1"/>
  <c r="F32" i="48" s="1"/>
  <c r="G32" i="48" s="1"/>
  <c r="Z7" i="48"/>
  <c r="X7" i="48"/>
  <c r="Y7" i="58"/>
  <c r="W7" i="58"/>
  <c r="Y7" i="60"/>
  <c r="W7" i="60"/>
  <c r="B87" i="53"/>
  <c r="Q123" i="53" s="1"/>
  <c r="W7" i="50"/>
  <c r="Y7" i="50"/>
  <c r="Y7" i="66"/>
  <c r="B32" i="66"/>
  <c r="C32" i="66" s="1"/>
  <c r="E32" i="66" s="1"/>
  <c r="F32" i="66" s="1"/>
  <c r="J32" i="66" s="1"/>
  <c r="P7" i="66" s="1"/>
  <c r="W33" i="67" s="1"/>
  <c r="W111" i="67" s="1"/>
  <c r="W7" i="66"/>
  <c r="Y7" i="61"/>
  <c r="W7" i="61"/>
  <c r="Y7" i="54"/>
  <c r="W7" i="54"/>
  <c r="B84" i="48"/>
  <c r="D84" i="48" s="1"/>
  <c r="T120" i="48" s="1"/>
  <c r="Y7" i="98"/>
  <c r="W7" i="98"/>
  <c r="Y7" i="51"/>
  <c r="W7" i="51"/>
  <c r="W7" i="57"/>
  <c r="Y7" i="57"/>
  <c r="W7" i="63"/>
  <c r="Y7" i="63"/>
  <c r="F82" i="57"/>
  <c r="R120" i="57"/>
  <c r="B31" i="57"/>
  <c r="C31" i="57" s="1"/>
  <c r="F31" i="57" s="1"/>
  <c r="G31" i="57" s="1"/>
  <c r="J31" i="57" s="1"/>
  <c r="P6" i="57" s="1"/>
  <c r="E32" i="67" s="1"/>
  <c r="E110" i="67" s="1"/>
  <c r="C6" i="57"/>
  <c r="F6" i="57" s="1"/>
  <c r="G6" i="57" s="1"/>
  <c r="J6" i="57" s="1"/>
  <c r="Y7" i="64"/>
  <c r="W7" i="64"/>
  <c r="W7" i="59"/>
  <c r="Y7" i="59"/>
  <c r="Y7" i="33"/>
  <c r="C8" i="33"/>
  <c r="F8" i="33" s="1"/>
  <c r="G8" i="33" s="1"/>
  <c r="W7" i="33"/>
  <c r="C86" i="60"/>
  <c r="R124" i="60" s="1"/>
  <c r="Q124" i="60"/>
  <c r="E37" i="49"/>
  <c r="E167" i="49" s="1"/>
  <c r="G37" i="49"/>
  <c r="G167" i="49" s="1"/>
  <c r="U122" i="59"/>
  <c r="U122" i="62"/>
  <c r="U121" i="51"/>
  <c r="G36" i="54"/>
  <c r="I36" i="54" s="1"/>
  <c r="P11" i="54" s="1"/>
  <c r="G37" i="67" s="1"/>
  <c r="G115" i="67" s="1"/>
  <c r="I71" i="183"/>
  <c r="L71" i="183"/>
  <c r="J71" i="183"/>
  <c r="H71" i="183"/>
  <c r="M71" i="183"/>
  <c r="G71" i="183"/>
  <c r="O71" i="183"/>
  <c r="N71" i="183"/>
  <c r="V121" i="55"/>
  <c r="D86" i="60"/>
  <c r="S124" i="60" s="1"/>
  <c r="G187" i="37"/>
  <c r="G217" i="37"/>
  <c r="C57" i="37"/>
  <c r="C220" i="37" s="1"/>
  <c r="B220" i="37"/>
  <c r="B52" i="37"/>
  <c r="B190" i="37"/>
  <c r="J8" i="37"/>
  <c r="G192" i="37"/>
  <c r="C212" i="37"/>
  <c r="D49" i="37"/>
  <c r="F49" i="37"/>
  <c r="F212" i="37" s="1"/>
  <c r="J4" i="49"/>
  <c r="J133" i="49" s="1"/>
  <c r="H133" i="49"/>
  <c r="J29" i="49"/>
  <c r="H159" i="49"/>
  <c r="C32" i="49"/>
  <c r="C162" i="49" s="1"/>
  <c r="B162" i="49"/>
  <c r="G11" i="60"/>
  <c r="J11" i="60" s="1"/>
  <c r="O11" i="60" s="1"/>
  <c r="S11" i="67" s="1"/>
  <c r="S89" i="67" s="1"/>
  <c r="X89" i="67" s="1"/>
  <c r="G11" i="58"/>
  <c r="K11" i="58" s="1"/>
  <c r="V110" i="183" s="1"/>
  <c r="G11" i="50"/>
  <c r="I11" i="50" s="1"/>
  <c r="P11" i="50" s="1"/>
  <c r="V11" i="67" s="1"/>
  <c r="V89" i="67" s="1"/>
  <c r="F87" i="35"/>
  <c r="G11" i="98"/>
  <c r="K11" i="98" s="1"/>
  <c r="P11" i="98" s="1"/>
  <c r="F11" i="67" s="1"/>
  <c r="F89" i="67" s="1"/>
  <c r="H12" i="49"/>
  <c r="G11" i="54"/>
  <c r="I11" i="54" s="1"/>
  <c r="V80" i="183" s="1"/>
  <c r="Q11" i="52"/>
  <c r="J11" i="67" s="1"/>
  <c r="J89" i="67" s="1"/>
  <c r="B89" i="52"/>
  <c r="Q125" i="52" s="1"/>
  <c r="G12" i="33"/>
  <c r="P12" i="33" s="1"/>
  <c r="B124" i="33" s="1"/>
  <c r="F84" i="53"/>
  <c r="F89" i="65"/>
  <c r="G36" i="60"/>
  <c r="J36" i="60" s="1"/>
  <c r="P11" i="60" s="1"/>
  <c r="S37" i="67" s="1"/>
  <c r="S115" i="67" s="1"/>
  <c r="X115" i="67" s="1"/>
  <c r="G37" i="33"/>
  <c r="Q12" i="33" s="1"/>
  <c r="G36" i="98"/>
  <c r="K36" i="98" s="1"/>
  <c r="Q11" i="98" s="1"/>
  <c r="F37" i="67" s="1"/>
  <c r="F115" i="67" s="1"/>
  <c r="F86" i="66"/>
  <c r="B90" i="35"/>
  <c r="Q128" i="35" s="1"/>
  <c r="N11" i="35"/>
  <c r="T11" i="67" s="1"/>
  <c r="T89" i="67" s="1"/>
  <c r="D6" i="98"/>
  <c r="F6" i="98"/>
  <c r="E6" i="66"/>
  <c r="F6" i="66" s="1"/>
  <c r="J6" i="66" s="1"/>
  <c r="D6" i="58"/>
  <c r="F6" i="58"/>
  <c r="S87" i="55"/>
  <c r="D87" i="55"/>
  <c r="T124" i="55" s="1"/>
  <c r="C87" i="55"/>
  <c r="S124" i="55" s="1"/>
  <c r="B32" i="54"/>
  <c r="C32" i="54" s="1"/>
  <c r="C7" i="54"/>
  <c r="D6" i="61"/>
  <c r="F6" i="61"/>
  <c r="C89" i="62"/>
  <c r="R125" i="62" s="1"/>
  <c r="D89" i="62"/>
  <c r="S125" i="62" s="1"/>
  <c r="F6" i="54"/>
  <c r="G6" i="54" s="1"/>
  <c r="I6" i="54" s="1"/>
  <c r="C6" i="37"/>
  <c r="D6" i="37" s="1"/>
  <c r="D190" i="37" s="1"/>
  <c r="F22" i="68"/>
  <c r="C22" i="68" s="1"/>
  <c r="O11" i="66"/>
  <c r="W11" i="67" s="1"/>
  <c r="W89" i="67" s="1"/>
  <c r="B89" i="66"/>
  <c r="Q127" i="66" s="1"/>
  <c r="D31" i="98"/>
  <c r="F31" i="98"/>
  <c r="N92" i="183"/>
  <c r="O92" i="183"/>
  <c r="M92" i="183"/>
  <c r="L92" i="183"/>
  <c r="K92" i="183"/>
  <c r="J92" i="183"/>
  <c r="B32" i="53"/>
  <c r="C32" i="53" s="1"/>
  <c r="C7" i="53"/>
  <c r="D31" i="61"/>
  <c r="F31" i="61"/>
  <c r="N104" i="183"/>
  <c r="M104" i="183"/>
  <c r="L104" i="183"/>
  <c r="O104" i="183"/>
  <c r="J36" i="65"/>
  <c r="L36" i="65" s="1"/>
  <c r="Q11" i="65" s="1"/>
  <c r="O37" i="67" s="1"/>
  <c r="O115" i="67" s="1"/>
  <c r="F31" i="54"/>
  <c r="G31" i="54" s="1"/>
  <c r="I31" i="54" s="1"/>
  <c r="P6" i="54" s="1"/>
  <c r="G32" i="67" s="1"/>
  <c r="G110" i="67" s="1"/>
  <c r="B89" i="61"/>
  <c r="Q127" i="61" s="1"/>
  <c r="H31" i="62"/>
  <c r="F31" i="62"/>
  <c r="G31" i="62" s="1"/>
  <c r="J36" i="63"/>
  <c r="P11" i="63" s="1"/>
  <c r="N37" i="67" s="1"/>
  <c r="N115" i="67" s="1"/>
  <c r="C88" i="51"/>
  <c r="R124" i="51" s="1"/>
  <c r="D88" i="51"/>
  <c r="S124" i="51" s="1"/>
  <c r="P11" i="53"/>
  <c r="H37" i="67" s="1"/>
  <c r="H115" i="67" s="1"/>
  <c r="B32" i="58"/>
  <c r="C32" i="58" s="1"/>
  <c r="C7" i="58"/>
  <c r="B32" i="63"/>
  <c r="C32" i="63" s="1"/>
  <c r="C7" i="63"/>
  <c r="F6" i="53"/>
  <c r="G6" i="53" s="1"/>
  <c r="J6" i="53" s="1"/>
  <c r="O6" i="55"/>
  <c r="D6" i="67" s="1"/>
  <c r="D84" i="67" s="1"/>
  <c r="BH7" i="130" s="1"/>
  <c r="AT8" i="130" s="1"/>
  <c r="AS8" i="130" s="1"/>
  <c r="V51" i="183"/>
  <c r="B82" i="55"/>
  <c r="R119" i="55" s="1"/>
  <c r="J37" i="183"/>
  <c r="F37" i="183"/>
  <c r="O37" i="183"/>
  <c r="D37" i="183"/>
  <c r="I37" i="183"/>
  <c r="G37" i="183"/>
  <c r="M37" i="183"/>
  <c r="K37" i="183"/>
  <c r="L37" i="183"/>
  <c r="N37" i="183"/>
  <c r="H37" i="183"/>
  <c r="E37" i="183"/>
  <c r="F81" i="98"/>
  <c r="U117" i="98" s="1"/>
  <c r="F6" i="35"/>
  <c r="G6" i="35" s="1"/>
  <c r="I6" i="35" s="1"/>
  <c r="F82" i="54"/>
  <c r="U119" i="54" s="1"/>
  <c r="F6" i="62"/>
  <c r="G6" i="62" s="1"/>
  <c r="H6" i="62"/>
  <c r="B32" i="61"/>
  <c r="C32" i="61" s="1"/>
  <c r="F32" i="61" s="1"/>
  <c r="G32" i="61" s="1"/>
  <c r="I32" i="61" s="1"/>
  <c r="O7" i="61" s="1"/>
  <c r="U33" i="67" s="1"/>
  <c r="U111" i="67" s="1"/>
  <c r="C7" i="61"/>
  <c r="F31" i="53"/>
  <c r="G31" i="53" s="1"/>
  <c r="J31" i="53" s="1"/>
  <c r="P6" i="53" s="1"/>
  <c r="H32" i="67" s="1"/>
  <c r="H110" i="67" s="1"/>
  <c r="N107" i="183"/>
  <c r="O107" i="183"/>
  <c r="M107" i="183"/>
  <c r="D11" i="37"/>
  <c r="D195" i="37" s="1"/>
  <c r="F11" i="37"/>
  <c r="F195" i="37" s="1"/>
  <c r="E6" i="63"/>
  <c r="F6" i="63" s="1"/>
  <c r="J6" i="63" s="1"/>
  <c r="B84" i="63" s="1"/>
  <c r="D145" i="37"/>
  <c r="T193" i="37" s="1"/>
  <c r="C145" i="37"/>
  <c r="S193" i="37" s="1"/>
  <c r="F31" i="35"/>
  <c r="G31" i="35" s="1"/>
  <c r="I31" i="35" s="1"/>
  <c r="O6" i="35" s="1"/>
  <c r="T32" i="67" s="1"/>
  <c r="T110" i="67" s="1"/>
  <c r="C7" i="59"/>
  <c r="E7" i="59" s="1"/>
  <c r="F7" i="59" s="1"/>
  <c r="I7" i="59" s="1"/>
  <c r="B32" i="59"/>
  <c r="C32" i="59" s="1"/>
  <c r="E32" i="59" s="1"/>
  <c r="F32" i="59" s="1"/>
  <c r="I32" i="59" s="1"/>
  <c r="O7" i="59" s="1"/>
  <c r="M33" i="67" s="1"/>
  <c r="M111" i="67" s="1"/>
  <c r="B32" i="60"/>
  <c r="C32" i="60" s="1"/>
  <c r="C7" i="60"/>
  <c r="J11" i="63"/>
  <c r="D84" i="58"/>
  <c r="S122" i="58" s="1"/>
  <c r="C84" i="58"/>
  <c r="R122" i="58" s="1"/>
  <c r="F86" i="61"/>
  <c r="U124" i="61" s="1"/>
  <c r="AG6" i="60"/>
  <c r="AJ6" i="60" s="1"/>
  <c r="H6" i="60" s="1"/>
  <c r="F6" i="60"/>
  <c r="D6" i="60"/>
  <c r="O11" i="53"/>
  <c r="H11" i="67" s="1"/>
  <c r="H89" i="67" s="1"/>
  <c r="V86" i="183"/>
  <c r="J51" i="37"/>
  <c r="J5" i="37"/>
  <c r="B82" i="59"/>
  <c r="Q120" i="59" s="1"/>
  <c r="N6" i="59"/>
  <c r="M6" i="67" s="1"/>
  <c r="M84" i="67" s="1"/>
  <c r="V111" i="183"/>
  <c r="N116" i="183"/>
  <c r="O116" i="183"/>
  <c r="C87" i="63"/>
  <c r="R125" i="63" s="1"/>
  <c r="D87" i="63"/>
  <c r="S125" i="63" s="1"/>
  <c r="F31" i="60"/>
  <c r="D31" i="60"/>
  <c r="J11" i="65"/>
  <c r="C7" i="62"/>
  <c r="F7" i="62" s="1"/>
  <c r="G7" i="62" s="1"/>
  <c r="J7" i="62" s="1"/>
  <c r="B32" i="62"/>
  <c r="C32" i="62" s="1"/>
  <c r="F32" i="62" s="1"/>
  <c r="G32" i="62" s="1"/>
  <c r="J32" i="62" s="1"/>
  <c r="P7" i="62" s="1"/>
  <c r="K33" i="67" s="1"/>
  <c r="K111" i="67" s="1"/>
  <c r="B32" i="35"/>
  <c r="C32" i="35" s="1"/>
  <c r="C7" i="35"/>
  <c r="D87" i="59"/>
  <c r="S125" i="59" s="1"/>
  <c r="C87" i="59"/>
  <c r="R125" i="59" s="1"/>
  <c r="F31" i="58"/>
  <c r="G31" i="58" s="1"/>
  <c r="K31" i="58" s="1"/>
  <c r="Q6" i="58" s="1"/>
  <c r="L32" i="67" s="1"/>
  <c r="L110" i="67" s="1"/>
  <c r="N56" i="183"/>
  <c r="L56" i="183"/>
  <c r="D56" i="183"/>
  <c r="H56" i="183"/>
  <c r="G56" i="183"/>
  <c r="J56" i="183"/>
  <c r="F56" i="183"/>
  <c r="E56" i="183"/>
  <c r="I56" i="183"/>
  <c r="M56" i="183"/>
  <c r="O56" i="183"/>
  <c r="K56" i="183"/>
  <c r="B32" i="98"/>
  <c r="C32" i="98" s="1"/>
  <c r="C7" i="98"/>
  <c r="F7" i="55"/>
  <c r="G7" i="55" s="1"/>
  <c r="J7" i="55" s="1"/>
  <c r="AA7" i="37"/>
  <c r="AC7" i="37"/>
  <c r="C89" i="33"/>
  <c r="R124" i="33" s="1"/>
  <c r="D89" i="33"/>
  <c r="S124" i="33" s="1"/>
  <c r="C121" i="33"/>
  <c r="D121" i="33"/>
  <c r="F17" i="68"/>
  <c r="Q11" i="67"/>
  <c r="Q89" i="67" s="1"/>
  <c r="B92" i="64"/>
  <c r="Q130" i="64" s="1"/>
  <c r="F89" i="64"/>
  <c r="U127" i="64" s="1"/>
  <c r="H28" i="64"/>
  <c r="N3" i="64" s="1"/>
  <c r="Q29" i="67" s="1"/>
  <c r="Q107" i="67" s="1"/>
  <c r="Q45" i="347"/>
  <c r="C45" i="347" s="1"/>
  <c r="F5" i="68"/>
  <c r="C5" i="68" s="1"/>
  <c r="F4" i="68"/>
  <c r="C4" i="68" s="1"/>
  <c r="J31" i="48"/>
  <c r="P6" i="48" s="1"/>
  <c r="C32" i="67" s="1"/>
  <c r="J6" i="48"/>
  <c r="O6" i="48" s="1"/>
  <c r="C6" i="67" s="1"/>
  <c r="BI18" i="20"/>
  <c r="BI17" i="20"/>
  <c r="N98" i="183"/>
  <c r="M98" i="183"/>
  <c r="O98" i="183"/>
  <c r="K98" i="183"/>
  <c r="L98" i="183"/>
  <c r="C89" i="52"/>
  <c r="R125" i="52" s="1"/>
  <c r="F86" i="52"/>
  <c r="U122" i="52" s="1"/>
  <c r="Q11" i="50"/>
  <c r="V37" i="67" s="1"/>
  <c r="V115" i="67" s="1"/>
  <c r="I33" i="50"/>
  <c r="Q8" i="50" s="1"/>
  <c r="V34" i="67" s="1"/>
  <c r="V112" i="67" s="1"/>
  <c r="E6" i="64"/>
  <c r="F6" i="64" s="1"/>
  <c r="P7" i="33"/>
  <c r="G31" i="52"/>
  <c r="H31" i="52" s="1"/>
  <c r="G6" i="52"/>
  <c r="H6" i="52" s="1"/>
  <c r="F6" i="50"/>
  <c r="E6" i="50"/>
  <c r="C7" i="51"/>
  <c r="E7" i="51" s="1"/>
  <c r="B32" i="51"/>
  <c r="C32" i="51" s="1"/>
  <c r="E32" i="51" s="1"/>
  <c r="F32" i="33"/>
  <c r="G32" i="33" s="1"/>
  <c r="E31" i="50"/>
  <c r="C31" i="64"/>
  <c r="C8" i="49"/>
  <c r="C137" i="49" s="1"/>
  <c r="B33" i="49"/>
  <c r="G6" i="65"/>
  <c r="H6" i="65"/>
  <c r="E6" i="65"/>
  <c r="C32" i="52"/>
  <c r="C7" i="52"/>
  <c r="H31" i="65"/>
  <c r="G31" i="65"/>
  <c r="E31" i="65"/>
  <c r="C7" i="50"/>
  <c r="AH7" i="50" s="1"/>
  <c r="AJ7" i="50" s="1"/>
  <c r="B32" i="50"/>
  <c r="C32" i="50" s="1"/>
  <c r="AH34" i="50" s="1"/>
  <c r="AJ34" i="50" s="1"/>
  <c r="F34" i="50" s="1"/>
  <c r="G34" i="50" s="1"/>
  <c r="E7" i="49"/>
  <c r="E136" i="49" s="1"/>
  <c r="G7" i="49"/>
  <c r="G136" i="49" s="1"/>
  <c r="B32" i="64"/>
  <c r="C7" i="64"/>
  <c r="B32" i="65"/>
  <c r="C32" i="65" s="1"/>
  <c r="C7" i="65"/>
  <c r="AA10" i="5"/>
  <c r="B16" i="5"/>
  <c r="B12" i="5"/>
  <c r="AA7" i="5"/>
  <c r="AA8" i="5"/>
  <c r="AA9" i="5"/>
  <c r="AA11" i="5"/>
  <c r="B11" i="5"/>
  <c r="B14" i="5"/>
  <c r="B13" i="5"/>
  <c r="C5" i="5"/>
  <c r="B5" i="4" s="1"/>
  <c r="C6" i="5"/>
  <c r="B6" i="4" s="1"/>
  <c r="C7" i="5"/>
  <c r="B7" i="4" s="1"/>
  <c r="C9" i="5"/>
  <c r="B9" i="4" s="1"/>
  <c r="C10" i="5"/>
  <c r="B10" i="4" s="1"/>
  <c r="C16" i="5"/>
  <c r="B16" i="4" s="1"/>
  <c r="B9" i="5"/>
  <c r="B8" i="5"/>
  <c r="B6" i="5"/>
  <c r="B5" i="5"/>
  <c r="W5" i="5"/>
  <c r="W8" i="5"/>
  <c r="W9" i="5"/>
  <c r="W10" i="5"/>
  <c r="W11" i="5"/>
  <c r="W12" i="5"/>
  <c r="W13" i="5"/>
  <c r="AA16" i="5"/>
  <c r="W4" i="5"/>
  <c r="F86" i="60" l="1"/>
  <c r="U124" i="60" s="1"/>
  <c r="H164" i="49"/>
  <c r="B81" i="49"/>
  <c r="B89" i="63"/>
  <c r="D89" i="52"/>
  <c r="S125" i="52" s="1"/>
  <c r="V62" i="183"/>
  <c r="D57" i="37"/>
  <c r="D220" i="37" s="1"/>
  <c r="F57" i="37"/>
  <c r="F220" i="37" s="1"/>
  <c r="P11" i="58"/>
  <c r="L11" i="67" s="1"/>
  <c r="L89" i="67" s="1"/>
  <c r="B87" i="58"/>
  <c r="Q125" i="58" s="1"/>
  <c r="B80" i="57"/>
  <c r="V63" i="183"/>
  <c r="O6" i="57"/>
  <c r="E6" i="67" s="1"/>
  <c r="E84" i="67" s="1"/>
  <c r="BG7" i="140" s="1"/>
  <c r="AS8" i="140" s="1"/>
  <c r="N68" i="183"/>
  <c r="I68" i="183"/>
  <c r="M68" i="183"/>
  <c r="K68" i="183"/>
  <c r="J68" i="183"/>
  <c r="G68" i="183"/>
  <c r="H68" i="183"/>
  <c r="F68" i="183"/>
  <c r="L68" i="183"/>
  <c r="O68" i="183"/>
  <c r="B33" i="55"/>
  <c r="C33" i="55" s="1"/>
  <c r="F33" i="55" s="1"/>
  <c r="G33" i="55" s="1"/>
  <c r="J33" i="55" s="1"/>
  <c r="P7" i="55" s="1"/>
  <c r="D33" i="67" s="1"/>
  <c r="D111" i="67" s="1"/>
  <c r="AB9" i="49"/>
  <c r="R8" i="67" s="1"/>
  <c r="R86" i="67" s="1"/>
  <c r="V41" i="183"/>
  <c r="J138" i="49"/>
  <c r="R120" i="48"/>
  <c r="U120" i="57"/>
  <c r="Q123" i="57"/>
  <c r="D85" i="57"/>
  <c r="S123" i="57" s="1"/>
  <c r="C85" i="57"/>
  <c r="S85" i="57"/>
  <c r="B33" i="33"/>
  <c r="C33" i="33" s="1"/>
  <c r="F33" i="33" s="1"/>
  <c r="G33" i="33" s="1"/>
  <c r="C84" i="48"/>
  <c r="S120" i="48" s="1"/>
  <c r="C7" i="66"/>
  <c r="E7" i="66" s="1"/>
  <c r="F7" i="66" s="1"/>
  <c r="J7" i="66" s="1"/>
  <c r="B32" i="57"/>
  <c r="C32" i="57" s="1"/>
  <c r="F32" i="57" s="1"/>
  <c r="G32" i="57" s="1"/>
  <c r="J32" i="57" s="1"/>
  <c r="P7" i="57" s="1"/>
  <c r="E33" i="67" s="1"/>
  <c r="E111" i="67" s="1"/>
  <c r="C7" i="57"/>
  <c r="F7" i="57" s="1"/>
  <c r="G7" i="57" s="1"/>
  <c r="J7" i="57" s="1"/>
  <c r="C7" i="48"/>
  <c r="Q123" i="50"/>
  <c r="F85" i="50"/>
  <c r="T123" i="50" s="1"/>
  <c r="J164" i="49"/>
  <c r="AC9" i="49"/>
  <c r="R34" i="67" s="1"/>
  <c r="R112" i="67" s="1"/>
  <c r="V35" i="183"/>
  <c r="J35" i="183" s="1"/>
  <c r="U124" i="66"/>
  <c r="U125" i="35"/>
  <c r="H37" i="49"/>
  <c r="H167" i="49" s="1"/>
  <c r="E32" i="49"/>
  <c r="H32" i="49" s="1"/>
  <c r="U127" i="65"/>
  <c r="U120" i="53"/>
  <c r="B82" i="53"/>
  <c r="Q118" i="53" s="1"/>
  <c r="B86" i="50"/>
  <c r="C86" i="50" s="1"/>
  <c r="Q124" i="50" s="1"/>
  <c r="AB4" i="49"/>
  <c r="R3" i="67" s="1"/>
  <c r="R81" i="67" s="1"/>
  <c r="B143" i="37"/>
  <c r="R191" i="37" s="1"/>
  <c r="P5" i="37"/>
  <c r="B31" i="67" s="1"/>
  <c r="B109" i="67" s="1"/>
  <c r="J214" i="37"/>
  <c r="C52" i="37"/>
  <c r="B215" i="37"/>
  <c r="F6" i="37"/>
  <c r="F190" i="37" s="1"/>
  <c r="C190" i="37"/>
  <c r="D212" i="37"/>
  <c r="G49" i="37"/>
  <c r="P8" i="37"/>
  <c r="B34" i="67" s="1"/>
  <c r="B112" i="67" s="1"/>
  <c r="J217" i="37"/>
  <c r="B53" i="37"/>
  <c r="B191" i="37"/>
  <c r="O5" i="37"/>
  <c r="B5" i="67" s="1"/>
  <c r="B83" i="67" s="1"/>
  <c r="BH6" i="413" s="1"/>
  <c r="J189" i="37"/>
  <c r="O8" i="37"/>
  <c r="B8" i="67" s="1"/>
  <c r="B86" i="67" s="1"/>
  <c r="J192" i="37"/>
  <c r="O3" i="37"/>
  <c r="B3" i="67" s="1"/>
  <c r="B81" i="67" s="1"/>
  <c r="BH4" i="413" s="1"/>
  <c r="BH3" i="413" s="1"/>
  <c r="J187" i="37"/>
  <c r="J159" i="49"/>
  <c r="AC4" i="49"/>
  <c r="R29" i="67" s="1"/>
  <c r="R107" i="67" s="1"/>
  <c r="C33" i="49"/>
  <c r="C163" i="49" s="1"/>
  <c r="B163" i="49"/>
  <c r="J12" i="49"/>
  <c r="J141" i="49" s="1"/>
  <c r="H141" i="49"/>
  <c r="P11" i="67"/>
  <c r="P89" i="67" s="1"/>
  <c r="F145" i="37"/>
  <c r="V193" i="37" s="1"/>
  <c r="G6" i="58"/>
  <c r="K6" i="58" s="1"/>
  <c r="B82" i="58" s="1"/>
  <c r="Q120" i="58" s="1"/>
  <c r="G31" i="98"/>
  <c r="K31" i="98" s="1"/>
  <c r="Q6" i="98" s="1"/>
  <c r="F32" i="67" s="1"/>
  <c r="F110" i="67" s="1"/>
  <c r="B85" i="54"/>
  <c r="O11" i="54"/>
  <c r="G11" i="67" s="1"/>
  <c r="G89" i="67" s="1"/>
  <c r="J6" i="62"/>
  <c r="O6" i="62" s="1"/>
  <c r="K6" i="67" s="1"/>
  <c r="K84" i="67" s="1"/>
  <c r="C7" i="37"/>
  <c r="B89" i="60"/>
  <c r="Q127" i="60" s="1"/>
  <c r="V74" i="183"/>
  <c r="O74" i="183" s="1"/>
  <c r="F88" i="51"/>
  <c r="G6" i="61"/>
  <c r="I6" i="61" s="1"/>
  <c r="N6" i="61" s="1"/>
  <c r="U6" i="67" s="1"/>
  <c r="U84" i="67" s="1"/>
  <c r="G31" i="60"/>
  <c r="J31" i="60" s="1"/>
  <c r="P6" i="60" s="1"/>
  <c r="S32" i="67" s="1"/>
  <c r="S110" i="67" s="1"/>
  <c r="X110" i="67" s="1"/>
  <c r="G11" i="37"/>
  <c r="G57" i="37"/>
  <c r="G220" i="37" s="1"/>
  <c r="F121" i="33"/>
  <c r="F87" i="63"/>
  <c r="G6" i="60"/>
  <c r="J6" i="60" s="1"/>
  <c r="O6" i="60" s="1"/>
  <c r="S6" i="67" s="1"/>
  <c r="S84" i="67" s="1"/>
  <c r="X84" i="67" s="1"/>
  <c r="G6" i="98"/>
  <c r="K6" i="98" s="1"/>
  <c r="P6" i="98" s="1"/>
  <c r="F6" i="67" s="1"/>
  <c r="F84" i="67" s="1"/>
  <c r="B92" i="33"/>
  <c r="Q127" i="33" s="1"/>
  <c r="P37" i="67"/>
  <c r="P115" i="67" s="1"/>
  <c r="G31" i="61"/>
  <c r="I31" i="61" s="1"/>
  <c r="O6" i="61" s="1"/>
  <c r="U32" i="67" s="1"/>
  <c r="U110" i="67" s="1"/>
  <c r="B84" i="98"/>
  <c r="B80" i="54"/>
  <c r="Q117" i="54" s="1"/>
  <c r="O6" i="54"/>
  <c r="G6" i="67" s="1"/>
  <c r="G84" i="67" s="1"/>
  <c r="V75" i="183"/>
  <c r="O6" i="66"/>
  <c r="W6" i="67" s="1"/>
  <c r="W84" i="67" s="1"/>
  <c r="B84" i="66"/>
  <c r="Q122" i="66" s="1"/>
  <c r="V117" i="183"/>
  <c r="O117" i="183" s="1"/>
  <c r="O6" i="63"/>
  <c r="N6" i="67" s="1"/>
  <c r="N84" i="67" s="1"/>
  <c r="Q122" i="63"/>
  <c r="V81" i="183"/>
  <c r="O6" i="53"/>
  <c r="H6" i="67" s="1"/>
  <c r="H84" i="67" s="1"/>
  <c r="O7" i="55"/>
  <c r="D7" i="67" s="1"/>
  <c r="D85" i="67" s="1"/>
  <c r="BH8" i="130" s="1"/>
  <c r="AT9" i="130" s="1"/>
  <c r="AS9" i="130" s="1"/>
  <c r="F7" i="35"/>
  <c r="G7" i="35" s="1"/>
  <c r="I7" i="35" s="1"/>
  <c r="D32" i="60"/>
  <c r="F32" i="60"/>
  <c r="D7" i="58"/>
  <c r="F7" i="58"/>
  <c r="F32" i="53"/>
  <c r="G32" i="53" s="1"/>
  <c r="J32" i="53" s="1"/>
  <c r="P7" i="53" s="1"/>
  <c r="H33" i="67" s="1"/>
  <c r="H111" i="67" s="1"/>
  <c r="F87" i="55"/>
  <c r="F32" i="35"/>
  <c r="G32" i="35" s="1"/>
  <c r="I32" i="35" s="1"/>
  <c r="O7" i="35" s="1"/>
  <c r="T33" i="67" s="1"/>
  <c r="T111" i="67" s="1"/>
  <c r="F32" i="58"/>
  <c r="G32" i="58" s="1"/>
  <c r="K32" i="58" s="1"/>
  <c r="Q7" i="58" s="1"/>
  <c r="L33" i="67" s="1"/>
  <c r="L111" i="67" s="1"/>
  <c r="D87" i="58"/>
  <c r="S125" i="58" s="1"/>
  <c r="C87" i="58"/>
  <c r="R125" i="58" s="1"/>
  <c r="B83" i="59"/>
  <c r="Q121" i="59" s="1"/>
  <c r="V112" i="183"/>
  <c r="N7" i="59"/>
  <c r="M7" i="67" s="1"/>
  <c r="M85" i="67" s="1"/>
  <c r="J31" i="62"/>
  <c r="P6" i="62" s="1"/>
  <c r="K32" i="67" s="1"/>
  <c r="K110" i="67" s="1"/>
  <c r="B85" i="62"/>
  <c r="Q121" i="62" s="1"/>
  <c r="O7" i="62"/>
  <c r="K7" i="67" s="1"/>
  <c r="K85" i="67" s="1"/>
  <c r="V100" i="183"/>
  <c r="C85" i="53"/>
  <c r="R121" i="53" s="1"/>
  <c r="D85" i="53"/>
  <c r="S121" i="53" s="1"/>
  <c r="L11" i="65"/>
  <c r="O111" i="183"/>
  <c r="N111" i="183"/>
  <c r="F84" i="58"/>
  <c r="S82" i="55"/>
  <c r="D82" i="55"/>
  <c r="T119" i="55" s="1"/>
  <c r="C82" i="55"/>
  <c r="S119" i="55" s="1"/>
  <c r="C89" i="61"/>
  <c r="R127" i="61" s="1"/>
  <c r="D89" i="61"/>
  <c r="S127" i="61" s="1"/>
  <c r="F7" i="61"/>
  <c r="G7" i="61" s="1"/>
  <c r="I7" i="61" s="1"/>
  <c r="B85" i="35"/>
  <c r="Q123" i="35" s="1"/>
  <c r="N6" i="35"/>
  <c r="T6" i="67" s="1"/>
  <c r="T84" i="67" s="1"/>
  <c r="H80" i="183"/>
  <c r="O80" i="183"/>
  <c r="J80" i="183"/>
  <c r="N80" i="183"/>
  <c r="K80" i="183"/>
  <c r="M80" i="183"/>
  <c r="I80" i="183"/>
  <c r="L80" i="183"/>
  <c r="D7" i="98"/>
  <c r="F7" i="98"/>
  <c r="F87" i="59"/>
  <c r="D82" i="59"/>
  <c r="S120" i="59" s="1"/>
  <c r="C82" i="59"/>
  <c r="R120" i="59" s="1"/>
  <c r="K86" i="183"/>
  <c r="O86" i="183"/>
  <c r="M86" i="183"/>
  <c r="I86" i="183"/>
  <c r="N86" i="183"/>
  <c r="L86" i="183"/>
  <c r="J86" i="183"/>
  <c r="V122" i="183"/>
  <c r="O122" i="183" s="1"/>
  <c r="O11" i="63"/>
  <c r="N11" i="67" s="1"/>
  <c r="N89" i="67" s="1"/>
  <c r="F51" i="183"/>
  <c r="K51" i="183"/>
  <c r="H51" i="183"/>
  <c r="E51" i="183"/>
  <c r="N51" i="183"/>
  <c r="D51" i="183"/>
  <c r="O51" i="183"/>
  <c r="I51" i="183"/>
  <c r="M51" i="183"/>
  <c r="G51" i="183"/>
  <c r="J51" i="183"/>
  <c r="L51" i="183"/>
  <c r="H7" i="63"/>
  <c r="E7" i="63"/>
  <c r="F7" i="63" s="1"/>
  <c r="D89" i="66"/>
  <c r="S127" i="66" s="1"/>
  <c r="C89" i="66"/>
  <c r="R127" i="66" s="1"/>
  <c r="F89" i="62"/>
  <c r="F7" i="54"/>
  <c r="G7" i="54" s="1"/>
  <c r="I7" i="54" s="1"/>
  <c r="F32" i="98"/>
  <c r="D32" i="98"/>
  <c r="AG7" i="60"/>
  <c r="AJ7" i="60" s="1"/>
  <c r="H7" i="60" s="1"/>
  <c r="F7" i="60"/>
  <c r="D7" i="60"/>
  <c r="H32" i="63"/>
  <c r="E32" i="63"/>
  <c r="F32" i="63" s="1"/>
  <c r="O110" i="183"/>
  <c r="M110" i="183"/>
  <c r="N110" i="183"/>
  <c r="F7" i="53"/>
  <c r="G7" i="53" s="1"/>
  <c r="J7" i="53" s="1"/>
  <c r="F32" i="54"/>
  <c r="G32" i="54" s="1"/>
  <c r="I32" i="54" s="1"/>
  <c r="P7" i="54" s="1"/>
  <c r="G33" i="67" s="1"/>
  <c r="G111" i="67" s="1"/>
  <c r="D90" i="35"/>
  <c r="S128" i="35" s="1"/>
  <c r="C90" i="35"/>
  <c r="R128" i="35" s="1"/>
  <c r="C124" i="33"/>
  <c r="D124" i="33"/>
  <c r="F89" i="33"/>
  <c r="U124" i="33" s="1"/>
  <c r="P6" i="67"/>
  <c r="P84" i="67" s="1"/>
  <c r="F8" i="68" s="1"/>
  <c r="C8" i="68" s="1"/>
  <c r="B119" i="33"/>
  <c r="E87" i="347"/>
  <c r="H6" i="64"/>
  <c r="M6" i="64" s="1"/>
  <c r="D92" i="64"/>
  <c r="S130" i="64" s="1"/>
  <c r="C92" i="64"/>
  <c r="R130" i="64" s="1"/>
  <c r="F89" i="52"/>
  <c r="U125" i="52" s="1"/>
  <c r="J32" i="48"/>
  <c r="P7" i="48" s="1"/>
  <c r="C33" i="67" s="1"/>
  <c r="C111" i="67" s="1"/>
  <c r="B79" i="48"/>
  <c r="J6" i="52"/>
  <c r="Q6" i="52" s="1"/>
  <c r="J6" i="67" s="1"/>
  <c r="J84" i="67" s="1"/>
  <c r="J31" i="52"/>
  <c r="R6" i="52" s="1"/>
  <c r="J32" i="67" s="1"/>
  <c r="J110" i="67" s="1"/>
  <c r="P6" i="51"/>
  <c r="I6" i="67" s="1"/>
  <c r="I84" i="67" s="1"/>
  <c r="B83" i="51"/>
  <c r="Q119" i="51" s="1"/>
  <c r="V87" i="183"/>
  <c r="B83" i="50"/>
  <c r="V59" i="183"/>
  <c r="I34" i="50"/>
  <c r="H62" i="183"/>
  <c r="M62" i="183"/>
  <c r="N62" i="183"/>
  <c r="O62" i="183"/>
  <c r="K62" i="183"/>
  <c r="E62" i="183"/>
  <c r="L62" i="183"/>
  <c r="J62" i="183"/>
  <c r="F62" i="183"/>
  <c r="I62" i="183"/>
  <c r="G62" i="183"/>
  <c r="E31" i="64"/>
  <c r="F31" i="64" s="1"/>
  <c r="E7" i="64"/>
  <c r="F7" i="64" s="1"/>
  <c r="Q7" i="33"/>
  <c r="B87" i="33" s="1"/>
  <c r="Q122" i="33" s="1"/>
  <c r="P8" i="33"/>
  <c r="H7" i="49"/>
  <c r="H136" i="49" s="1"/>
  <c r="J6" i="65"/>
  <c r="G32" i="52"/>
  <c r="H32" i="52" s="1"/>
  <c r="G7" i="52"/>
  <c r="H7" i="52" s="1"/>
  <c r="F7" i="50"/>
  <c r="G31" i="50"/>
  <c r="J31" i="65"/>
  <c r="L31" i="65" s="1"/>
  <c r="Q6" i="65" s="1"/>
  <c r="O32" i="67" s="1"/>
  <c r="O110" i="67" s="1"/>
  <c r="C32" i="64"/>
  <c r="E32" i="65"/>
  <c r="H32" i="65"/>
  <c r="G32" i="65"/>
  <c r="H32" i="51"/>
  <c r="Q7" i="51" s="1"/>
  <c r="I33" i="67" s="1"/>
  <c r="I111" i="67" s="1"/>
  <c r="E32" i="50"/>
  <c r="H7" i="51"/>
  <c r="E7" i="50"/>
  <c r="H7" i="65"/>
  <c r="E7" i="65"/>
  <c r="G7" i="65"/>
  <c r="G8" i="49"/>
  <c r="G137" i="49" s="1"/>
  <c r="E8" i="49"/>
  <c r="E137" i="49" s="1"/>
  <c r="F7" i="48"/>
  <c r="G7" i="48" s="1"/>
  <c r="G6" i="50"/>
  <c r="I6" i="50" s="1"/>
  <c r="C13" i="5"/>
  <c r="B13" i="4" s="1"/>
  <c r="AC14" i="5"/>
  <c r="C11" i="5"/>
  <c r="B11" i="4" s="1"/>
  <c r="C12" i="5"/>
  <c r="B12" i="4" s="1"/>
  <c r="AB9" i="5"/>
  <c r="I9" i="4" s="1"/>
  <c r="J9" i="4" s="1"/>
  <c r="K9" i="4" s="1"/>
  <c r="AC8" i="5"/>
  <c r="C8" i="5"/>
  <c r="B8" i="4" s="1"/>
  <c r="AC4" i="5"/>
  <c r="C4" i="5"/>
  <c r="B4" i="4" s="1"/>
  <c r="AB4" i="5"/>
  <c r="I4" i="4" s="1"/>
  <c r="AC16" i="5"/>
  <c r="AB16" i="5"/>
  <c r="I16" i="4" s="1"/>
  <c r="J16" i="4" s="1"/>
  <c r="K16" i="4" s="1"/>
  <c r="AC11" i="5"/>
  <c r="AB5" i="5"/>
  <c r="I5" i="4" s="1"/>
  <c r="J5" i="4" s="1"/>
  <c r="K5" i="4" s="1"/>
  <c r="M5" i="117" s="1"/>
  <c r="AC5" i="5"/>
  <c r="AB6" i="5"/>
  <c r="I6" i="4" s="1"/>
  <c r="J6" i="4" s="1"/>
  <c r="K6" i="4" s="1"/>
  <c r="M6" i="117" s="1"/>
  <c r="AB10" i="5"/>
  <c r="I10" i="4" s="1"/>
  <c r="J10" i="4" s="1"/>
  <c r="K10" i="4" s="1"/>
  <c r="AC9" i="5"/>
  <c r="AB11" i="5"/>
  <c r="I11" i="4" s="1"/>
  <c r="AC10" i="5"/>
  <c r="AC7" i="5"/>
  <c r="AB8" i="5"/>
  <c r="I8" i="4" s="1"/>
  <c r="J8" i="4" s="1"/>
  <c r="K8" i="4" s="1"/>
  <c r="AC6" i="5"/>
  <c r="AB7" i="5"/>
  <c r="I7" i="4" s="1"/>
  <c r="J7" i="4" s="1"/>
  <c r="K7" i="4" s="1"/>
  <c r="L35" i="183" l="1"/>
  <c r="N35" i="183"/>
  <c r="E162" i="49"/>
  <c r="V52" i="183"/>
  <c r="B83" i="55"/>
  <c r="R120" i="55" s="1"/>
  <c r="K35" i="183"/>
  <c r="E35" i="183"/>
  <c r="I35" i="183"/>
  <c r="H35" i="183"/>
  <c r="M35" i="183"/>
  <c r="F35" i="183"/>
  <c r="D35" i="183"/>
  <c r="G35" i="183"/>
  <c r="O35" i="183"/>
  <c r="F84" i="48"/>
  <c r="V120" i="48" s="1"/>
  <c r="P11" i="65"/>
  <c r="O11" i="67" s="1"/>
  <c r="O89" i="67" s="1"/>
  <c r="B92" i="65"/>
  <c r="Q130" i="65" s="1"/>
  <c r="E33" i="49"/>
  <c r="E163" i="49" s="1"/>
  <c r="D143" i="37"/>
  <c r="T191" i="37" s="1"/>
  <c r="C143" i="37"/>
  <c r="G6" i="37"/>
  <c r="G190" i="37" s="1"/>
  <c r="R123" i="57"/>
  <c r="F85" i="57"/>
  <c r="M41" i="183"/>
  <c r="D41" i="183"/>
  <c r="J41" i="183"/>
  <c r="H41" i="183"/>
  <c r="O41" i="183"/>
  <c r="E41" i="183"/>
  <c r="G41" i="183"/>
  <c r="K41" i="183"/>
  <c r="N41" i="183"/>
  <c r="F41" i="183"/>
  <c r="I41" i="183"/>
  <c r="L41" i="183"/>
  <c r="O7" i="57"/>
  <c r="E7" i="67" s="1"/>
  <c r="E85" i="67" s="1"/>
  <c r="BG8" i="140" s="1"/>
  <c r="AS9" i="140" s="1"/>
  <c r="V64" i="183"/>
  <c r="B81" i="57"/>
  <c r="D81" i="49"/>
  <c r="Z134" i="49" s="1"/>
  <c r="C81" i="49"/>
  <c r="X134" i="49"/>
  <c r="O63" i="183"/>
  <c r="G63" i="183"/>
  <c r="N63" i="183"/>
  <c r="M63" i="183"/>
  <c r="F63" i="183"/>
  <c r="L63" i="183"/>
  <c r="I63" i="183"/>
  <c r="J63" i="183"/>
  <c r="K63" i="183"/>
  <c r="H63" i="183"/>
  <c r="Q118" i="57"/>
  <c r="S80" i="57"/>
  <c r="D80" i="57"/>
  <c r="S118" i="57" s="1"/>
  <c r="C80" i="57"/>
  <c r="J37" i="49"/>
  <c r="AC12" i="49" s="1"/>
  <c r="R37" i="67" s="1"/>
  <c r="R115" i="67" s="1"/>
  <c r="D89" i="60"/>
  <c r="S127" i="60" s="1"/>
  <c r="G33" i="49"/>
  <c r="G163" i="49" s="1"/>
  <c r="V44" i="183"/>
  <c r="N44" i="183" s="1"/>
  <c r="AB12" i="49"/>
  <c r="R11" i="67" s="1"/>
  <c r="R89" i="67" s="1"/>
  <c r="U125" i="63"/>
  <c r="U125" i="59"/>
  <c r="U122" i="58"/>
  <c r="U125" i="62"/>
  <c r="U124" i="51"/>
  <c r="B83" i="53"/>
  <c r="Q119" i="53" s="1"/>
  <c r="C85" i="54"/>
  <c r="R122" i="54" s="1"/>
  <c r="Q122" i="54"/>
  <c r="D85" i="54"/>
  <c r="S122" i="54" s="1"/>
  <c r="D84" i="98"/>
  <c r="S120" i="98" s="1"/>
  <c r="Q120" i="98"/>
  <c r="H74" i="183"/>
  <c r="N74" i="183"/>
  <c r="J74" i="183"/>
  <c r="G74" i="183"/>
  <c r="I74" i="183"/>
  <c r="M74" i="183"/>
  <c r="L74" i="183"/>
  <c r="K74" i="183"/>
  <c r="D86" i="50"/>
  <c r="R124" i="50" s="1"/>
  <c r="S83" i="50"/>
  <c r="P121" i="50"/>
  <c r="S86" i="50"/>
  <c r="P124" i="50"/>
  <c r="V124" i="55"/>
  <c r="R115" i="48"/>
  <c r="V105" i="183"/>
  <c r="M105" i="183" s="1"/>
  <c r="J11" i="37"/>
  <c r="G195" i="37"/>
  <c r="S191" i="37"/>
  <c r="C53" i="37"/>
  <c r="B216" i="37"/>
  <c r="C215" i="37"/>
  <c r="D52" i="37"/>
  <c r="F52" i="37"/>
  <c r="F215" i="37" s="1"/>
  <c r="J49" i="37"/>
  <c r="G212" i="37"/>
  <c r="D7" i="37"/>
  <c r="D191" i="37" s="1"/>
  <c r="C191" i="37"/>
  <c r="BH9" i="413"/>
  <c r="J32" i="49"/>
  <c r="H162" i="49"/>
  <c r="P6" i="58"/>
  <c r="L6" i="67" s="1"/>
  <c r="L84" i="67" s="1"/>
  <c r="C89" i="60"/>
  <c r="R127" i="60" s="1"/>
  <c r="B84" i="61"/>
  <c r="V69" i="183"/>
  <c r="L69" i="183" s="1"/>
  <c r="C84" i="98"/>
  <c r="F90" i="35"/>
  <c r="J6" i="37"/>
  <c r="J190" i="37" s="1"/>
  <c r="B84" i="60"/>
  <c r="D84" i="60" s="1"/>
  <c r="S122" i="60" s="1"/>
  <c r="F7" i="37"/>
  <c r="J32" i="63"/>
  <c r="P7" i="63" s="1"/>
  <c r="N33" i="67" s="1"/>
  <c r="N111" i="67" s="1"/>
  <c r="B79" i="98"/>
  <c r="Q115" i="98" s="1"/>
  <c r="F82" i="55"/>
  <c r="B84" i="62"/>
  <c r="G7" i="98"/>
  <c r="K7" i="98" s="1"/>
  <c r="P7" i="98" s="1"/>
  <c r="F7" i="67" s="1"/>
  <c r="F85" i="67" s="1"/>
  <c r="V48" i="347"/>
  <c r="F25" i="68"/>
  <c r="C92" i="33"/>
  <c r="R127" i="33" s="1"/>
  <c r="D92" i="33"/>
  <c r="S127" i="33" s="1"/>
  <c r="G7" i="58"/>
  <c r="K7" i="58" s="1"/>
  <c r="V106" i="183" s="1"/>
  <c r="F89" i="61"/>
  <c r="G32" i="60"/>
  <c r="J32" i="60" s="1"/>
  <c r="P7" i="60" s="1"/>
  <c r="S33" i="67" s="1"/>
  <c r="S111" i="67" s="1"/>
  <c r="X111" i="67" s="1"/>
  <c r="O7" i="53"/>
  <c r="H7" i="67" s="1"/>
  <c r="H85" i="67" s="1"/>
  <c r="V82" i="183"/>
  <c r="D82" i="58"/>
  <c r="S120" i="58" s="1"/>
  <c r="C82" i="58"/>
  <c r="R120" i="58" s="1"/>
  <c r="C84" i="63"/>
  <c r="R122" i="63" s="1"/>
  <c r="D84" i="63"/>
  <c r="S122" i="63" s="1"/>
  <c r="G10" i="63"/>
  <c r="J10" i="63" s="1"/>
  <c r="G35" i="63"/>
  <c r="J35" i="63" s="1"/>
  <c r="Q127" i="63" s="1"/>
  <c r="G32" i="98"/>
  <c r="K32" i="98" s="1"/>
  <c r="Q7" i="98" s="1"/>
  <c r="F33" i="67" s="1"/>
  <c r="F111" i="67" s="1"/>
  <c r="F89" i="66"/>
  <c r="U127" i="66" s="1"/>
  <c r="O100" i="183"/>
  <c r="M100" i="183"/>
  <c r="N100" i="183"/>
  <c r="L100" i="183"/>
  <c r="O112" i="183"/>
  <c r="N112" i="183"/>
  <c r="J52" i="183"/>
  <c r="L52" i="183"/>
  <c r="D52" i="183"/>
  <c r="G52" i="183"/>
  <c r="E52" i="183"/>
  <c r="H52" i="183"/>
  <c r="F52" i="183"/>
  <c r="O52" i="183"/>
  <c r="K52" i="183"/>
  <c r="N52" i="183"/>
  <c r="M52" i="183"/>
  <c r="I52" i="183"/>
  <c r="C84" i="66"/>
  <c r="R122" i="66" s="1"/>
  <c r="D84" i="66"/>
  <c r="S122" i="66" s="1"/>
  <c r="B86" i="35"/>
  <c r="Q124" i="35" s="1"/>
  <c r="N7" i="35"/>
  <c r="T7" i="67" s="1"/>
  <c r="T85" i="67" s="1"/>
  <c r="D83" i="59"/>
  <c r="S121" i="59" s="1"/>
  <c r="C83" i="59"/>
  <c r="R121" i="59" s="1"/>
  <c r="K10" i="346"/>
  <c r="M10" i="117"/>
  <c r="K10" i="116"/>
  <c r="G7" i="60"/>
  <c r="J7" i="60" s="1"/>
  <c r="J7" i="63"/>
  <c r="F82" i="59"/>
  <c r="D85" i="62"/>
  <c r="S121" i="62" s="1"/>
  <c r="C85" i="62"/>
  <c r="R121" i="62" s="1"/>
  <c r="S83" i="55"/>
  <c r="D83" i="55"/>
  <c r="T120" i="55" s="1"/>
  <c r="C83" i="55"/>
  <c r="S120" i="55" s="1"/>
  <c r="J75" i="183"/>
  <c r="L75" i="183"/>
  <c r="K75" i="183"/>
  <c r="I75" i="183"/>
  <c r="O75" i="183"/>
  <c r="M75" i="183"/>
  <c r="N75" i="183"/>
  <c r="H75" i="183"/>
  <c r="K16" i="346"/>
  <c r="M16" i="117"/>
  <c r="K16" i="116"/>
  <c r="D92" i="65"/>
  <c r="S130" i="65" s="1"/>
  <c r="C92" i="65"/>
  <c r="R130" i="65" s="1"/>
  <c r="K7" i="346"/>
  <c r="M7" i="117"/>
  <c r="K7" i="116"/>
  <c r="D85" i="35"/>
  <c r="S123" i="35" s="1"/>
  <c r="C85" i="35"/>
  <c r="R123" i="35" s="1"/>
  <c r="D82" i="53"/>
  <c r="S118" i="53" s="1"/>
  <c r="C82" i="53"/>
  <c r="R118" i="53" s="1"/>
  <c r="D80" i="54"/>
  <c r="S117" i="54" s="1"/>
  <c r="C80" i="54"/>
  <c r="R117" i="54" s="1"/>
  <c r="B81" i="54"/>
  <c r="Q118" i="54" s="1"/>
  <c r="V76" i="183"/>
  <c r="O7" i="54"/>
  <c r="G7" i="67" s="1"/>
  <c r="G85" i="67" s="1"/>
  <c r="B85" i="61"/>
  <c r="Q123" i="61" s="1"/>
  <c r="N7" i="61"/>
  <c r="U7" i="67" s="1"/>
  <c r="U85" i="67" s="1"/>
  <c r="F85" i="53"/>
  <c r="O7" i="66"/>
  <c r="W7" i="67" s="1"/>
  <c r="W85" i="67" s="1"/>
  <c r="B85" i="66"/>
  <c r="Q123" i="66" s="1"/>
  <c r="V99" i="183"/>
  <c r="K8" i="346"/>
  <c r="M8" i="117"/>
  <c r="K8" i="116"/>
  <c r="K9" i="346"/>
  <c r="M9" i="117"/>
  <c r="K9" i="116"/>
  <c r="F87" i="58"/>
  <c r="O81" i="183"/>
  <c r="N81" i="183"/>
  <c r="M81" i="183"/>
  <c r="J81" i="183"/>
  <c r="K81" i="183"/>
  <c r="L81" i="183"/>
  <c r="I81" i="183"/>
  <c r="F124" i="33"/>
  <c r="S9" i="96"/>
  <c r="G9" i="489" s="1"/>
  <c r="P7" i="67"/>
  <c r="P85" i="67" s="1"/>
  <c r="F9" i="68" s="1"/>
  <c r="B120" i="33"/>
  <c r="P32" i="67"/>
  <c r="P110" i="67" s="1"/>
  <c r="D119" i="33"/>
  <c r="C119" i="33"/>
  <c r="Q6" i="67"/>
  <c r="Q84" i="67" s="1"/>
  <c r="B87" i="64"/>
  <c r="Q125" i="64" s="1"/>
  <c r="F92" i="64"/>
  <c r="U130" i="64" s="1"/>
  <c r="H31" i="64"/>
  <c r="N6" i="64" s="1"/>
  <c r="Q32" i="67" s="1"/>
  <c r="Q110" i="67" s="1"/>
  <c r="H7" i="64"/>
  <c r="M7" i="64" s="1"/>
  <c r="L6" i="65"/>
  <c r="D79" i="48"/>
  <c r="T115" i="48" s="1"/>
  <c r="C79" i="48"/>
  <c r="S115" i="48" s="1"/>
  <c r="J7" i="48"/>
  <c r="O7" i="48" s="1"/>
  <c r="C7" i="67" s="1"/>
  <c r="C85" i="67" s="1"/>
  <c r="BD8" i="126" s="1"/>
  <c r="AP9" i="126" s="1"/>
  <c r="J7" i="52"/>
  <c r="J32" i="52"/>
  <c r="R7" i="52" s="1"/>
  <c r="J33" i="67" s="1"/>
  <c r="J111" i="67" s="1"/>
  <c r="B84" i="52"/>
  <c r="Q120" i="52" s="1"/>
  <c r="V93" i="183"/>
  <c r="O87" i="183"/>
  <c r="M87" i="183"/>
  <c r="N87" i="183"/>
  <c r="L87" i="183"/>
  <c r="K87" i="183"/>
  <c r="J87" i="183"/>
  <c r="P7" i="51"/>
  <c r="I7" i="67" s="1"/>
  <c r="I85" i="67" s="1"/>
  <c r="B84" i="51"/>
  <c r="Q120" i="51" s="1"/>
  <c r="V88" i="183"/>
  <c r="D83" i="51"/>
  <c r="S119" i="51" s="1"/>
  <c r="C83" i="51"/>
  <c r="R119" i="51" s="1"/>
  <c r="N59" i="183"/>
  <c r="O59" i="183"/>
  <c r="M59" i="183"/>
  <c r="J59" i="183"/>
  <c r="K59" i="183"/>
  <c r="H59" i="183"/>
  <c r="I59" i="183"/>
  <c r="E59" i="183"/>
  <c r="F59" i="183"/>
  <c r="L59" i="183"/>
  <c r="G59" i="183"/>
  <c r="I31" i="50"/>
  <c r="Q6" i="50" s="1"/>
  <c r="V32" i="67" s="1"/>
  <c r="V110" i="67" s="1"/>
  <c r="B84" i="50"/>
  <c r="V60" i="183"/>
  <c r="C83" i="50"/>
  <c r="Q121" i="50" s="1"/>
  <c r="D83" i="50"/>
  <c r="R121" i="50" s="1"/>
  <c r="Q9" i="50"/>
  <c r="V35" i="67" s="1"/>
  <c r="V113" i="67" s="1"/>
  <c r="J7" i="49"/>
  <c r="E32" i="64"/>
  <c r="F32" i="64" s="1"/>
  <c r="Q8" i="33"/>
  <c r="B88" i="33" s="1"/>
  <c r="Q123" i="33" s="1"/>
  <c r="P6" i="50"/>
  <c r="V6" i="67" s="1"/>
  <c r="V84" i="67" s="1"/>
  <c r="G7" i="50"/>
  <c r="I7" i="50" s="1"/>
  <c r="G32" i="50"/>
  <c r="H8" i="49"/>
  <c r="J32" i="65"/>
  <c r="L32" i="65" s="1"/>
  <c r="Q7" i="65" s="1"/>
  <c r="O33" i="67" s="1"/>
  <c r="O111" i="67" s="1"/>
  <c r="J4" i="4"/>
  <c r="K4" i="4" s="1"/>
  <c r="M4" i="117" s="1"/>
  <c r="J11" i="4"/>
  <c r="K11" i="4" s="1"/>
  <c r="J7" i="65"/>
  <c r="J12" i="4"/>
  <c r="K12" i="4" s="1"/>
  <c r="C15" i="5"/>
  <c r="B15" i="4" s="1"/>
  <c r="B14" i="4"/>
  <c r="B85" i="63" l="1"/>
  <c r="O10" i="63"/>
  <c r="N10" i="67" s="1"/>
  <c r="N88" i="67" s="1"/>
  <c r="B88" i="63"/>
  <c r="F143" i="37"/>
  <c r="V191" i="37" s="1"/>
  <c r="P6" i="65"/>
  <c r="O6" i="67" s="1"/>
  <c r="O84" i="67" s="1"/>
  <c r="B87" i="65"/>
  <c r="Q125" i="65" s="1"/>
  <c r="H33" i="49"/>
  <c r="H163" i="49" s="1"/>
  <c r="M44" i="183"/>
  <c r="B84" i="49"/>
  <c r="X137" i="49" s="1"/>
  <c r="J167" i="49"/>
  <c r="O6" i="37"/>
  <c r="B6" i="67" s="1"/>
  <c r="B84" i="67" s="1"/>
  <c r="BH7" i="413" s="1"/>
  <c r="R118" i="57"/>
  <c r="F80" i="57"/>
  <c r="K44" i="183"/>
  <c r="Q119" i="57"/>
  <c r="S81" i="57"/>
  <c r="D81" i="57"/>
  <c r="S119" i="57" s="1"/>
  <c r="C81" i="57"/>
  <c r="N64" i="183"/>
  <c r="M64" i="183"/>
  <c r="L64" i="183"/>
  <c r="I64" i="183"/>
  <c r="O64" i="183"/>
  <c r="H64" i="183"/>
  <c r="G64" i="183"/>
  <c r="F64" i="183"/>
  <c r="J64" i="183"/>
  <c r="K64" i="183"/>
  <c r="U123" i="57"/>
  <c r="F81" i="49"/>
  <c r="Y134" i="49"/>
  <c r="I44" i="183"/>
  <c r="E44" i="183"/>
  <c r="H44" i="183"/>
  <c r="O44" i="183"/>
  <c r="L44" i="183"/>
  <c r="G44" i="183"/>
  <c r="J44" i="183"/>
  <c r="F44" i="183"/>
  <c r="D44" i="183"/>
  <c r="D84" i="61"/>
  <c r="S122" i="61" s="1"/>
  <c r="Q122" i="61"/>
  <c r="U127" i="61"/>
  <c r="C84" i="61"/>
  <c r="R122" i="61" s="1"/>
  <c r="U128" i="35"/>
  <c r="F85" i="35"/>
  <c r="U123" i="35" s="1"/>
  <c r="C84" i="60"/>
  <c r="R122" i="60" s="1"/>
  <c r="Q122" i="60"/>
  <c r="F89" i="60"/>
  <c r="U127" i="60" s="1"/>
  <c r="D84" i="49"/>
  <c r="Z137" i="49" s="1"/>
  <c r="C84" i="49"/>
  <c r="Y137" i="49" s="1"/>
  <c r="U120" i="59"/>
  <c r="O105" i="183"/>
  <c r="U125" i="58"/>
  <c r="N105" i="183"/>
  <c r="D84" i="62"/>
  <c r="S120" i="62" s="1"/>
  <c r="Q120" i="62"/>
  <c r="F86" i="50"/>
  <c r="T124" i="50" s="1"/>
  <c r="F85" i="54"/>
  <c r="U122" i="54" s="1"/>
  <c r="U121" i="53"/>
  <c r="C79" i="98"/>
  <c r="R115" i="98" s="1"/>
  <c r="D79" i="98"/>
  <c r="S115" i="98" s="1"/>
  <c r="F84" i="98"/>
  <c r="U120" i="98" s="1"/>
  <c r="R120" i="98"/>
  <c r="M69" i="183"/>
  <c r="J69" i="183"/>
  <c r="H69" i="183"/>
  <c r="N69" i="183"/>
  <c r="S84" i="50"/>
  <c r="P122" i="50"/>
  <c r="V119" i="55"/>
  <c r="D215" i="37"/>
  <c r="G52" i="37"/>
  <c r="C216" i="37"/>
  <c r="F53" i="37"/>
  <c r="F216" i="37" s="1"/>
  <c r="D53" i="37"/>
  <c r="P3" i="37"/>
  <c r="B29" i="67" s="1"/>
  <c r="B107" i="67" s="1"/>
  <c r="J212" i="37"/>
  <c r="G7" i="37"/>
  <c r="F191" i="37"/>
  <c r="O11" i="37"/>
  <c r="B11" i="67" s="1"/>
  <c r="B89" i="67" s="1"/>
  <c r="J195" i="37"/>
  <c r="J8" i="49"/>
  <c r="J137" i="49" s="1"/>
  <c r="H137" i="49"/>
  <c r="AB7" i="49"/>
  <c r="R6" i="67" s="1"/>
  <c r="R84" i="67" s="1"/>
  <c r="J136" i="49"/>
  <c r="J33" i="49"/>
  <c r="J162" i="49"/>
  <c r="AC7" i="49"/>
  <c r="R32" i="67" s="1"/>
  <c r="R110" i="67" s="1"/>
  <c r="O69" i="183"/>
  <c r="K69" i="183"/>
  <c r="I69" i="183"/>
  <c r="G69" i="183"/>
  <c r="C84" i="62"/>
  <c r="F84" i="49"/>
  <c r="AB137" i="49" s="1"/>
  <c r="AJ137" i="49" s="1"/>
  <c r="P7" i="58"/>
  <c r="L7" i="67" s="1"/>
  <c r="L85" i="67" s="1"/>
  <c r="P10" i="63"/>
  <c r="N36" i="67" s="1"/>
  <c r="N114" i="67" s="1"/>
  <c r="B83" i="58"/>
  <c r="F83" i="55"/>
  <c r="F119" i="33"/>
  <c r="F82" i="58"/>
  <c r="F92" i="33"/>
  <c r="U127" i="33" s="1"/>
  <c r="Q48" i="347"/>
  <c r="C48" i="347" s="1"/>
  <c r="V49" i="347"/>
  <c r="F85" i="62"/>
  <c r="F84" i="63"/>
  <c r="K11" i="346"/>
  <c r="M11" i="117"/>
  <c r="K11" i="116"/>
  <c r="F82" i="53"/>
  <c r="F92" i="65"/>
  <c r="F84" i="66"/>
  <c r="U122" i="66" s="1"/>
  <c r="C85" i="61"/>
  <c r="R123" i="61" s="1"/>
  <c r="D85" i="61"/>
  <c r="S123" i="61" s="1"/>
  <c r="D86" i="35"/>
  <c r="S124" i="35" s="1"/>
  <c r="C86" i="35"/>
  <c r="R124" i="35" s="1"/>
  <c r="C89" i="63"/>
  <c r="R127" i="63" s="1"/>
  <c r="D89" i="63"/>
  <c r="S127" i="63" s="1"/>
  <c r="O106" i="183"/>
  <c r="M106" i="183"/>
  <c r="N106" i="183"/>
  <c r="O7" i="60"/>
  <c r="S7" i="67" s="1"/>
  <c r="S85" i="67" s="1"/>
  <c r="X85" i="67" s="1"/>
  <c r="B85" i="60"/>
  <c r="Q123" i="60" s="1"/>
  <c r="F83" i="59"/>
  <c r="V121" i="183"/>
  <c r="O121" i="183" s="1"/>
  <c r="Q126" i="63"/>
  <c r="V70" i="183"/>
  <c r="O76" i="183"/>
  <c r="I76" i="183"/>
  <c r="M76" i="183"/>
  <c r="K76" i="183"/>
  <c r="H76" i="183"/>
  <c r="L76" i="183"/>
  <c r="J76" i="183"/>
  <c r="N76" i="183"/>
  <c r="B80" i="98"/>
  <c r="Q116" i="98" s="1"/>
  <c r="L99" i="183"/>
  <c r="O99" i="183"/>
  <c r="M99" i="183"/>
  <c r="N99" i="183"/>
  <c r="D81" i="54"/>
  <c r="S118" i="54" s="1"/>
  <c r="C81" i="54"/>
  <c r="R118" i="54" s="1"/>
  <c r="I82" i="183"/>
  <c r="K82" i="183"/>
  <c r="L82" i="183"/>
  <c r="J82" i="183"/>
  <c r="O82" i="183"/>
  <c r="M82" i="183"/>
  <c r="N82" i="183"/>
  <c r="K12" i="346"/>
  <c r="M12" i="117"/>
  <c r="K12" i="116"/>
  <c r="D85" i="66"/>
  <c r="S123" i="66" s="1"/>
  <c r="C85" i="66"/>
  <c r="R123" i="66" s="1"/>
  <c r="F80" i="54"/>
  <c r="U117" i="54" s="1"/>
  <c r="O7" i="63"/>
  <c r="N7" i="67" s="1"/>
  <c r="N85" i="67" s="1"/>
  <c r="V118" i="183"/>
  <c r="O118" i="183" s="1"/>
  <c r="Q123" i="63"/>
  <c r="D83" i="53"/>
  <c r="S119" i="53" s="1"/>
  <c r="C83" i="53"/>
  <c r="R119" i="53" s="1"/>
  <c r="V57" i="183"/>
  <c r="G57" i="183" s="1"/>
  <c r="D87" i="33"/>
  <c r="S122" i="33" s="1"/>
  <c r="C87" i="33"/>
  <c r="R122" i="33" s="1"/>
  <c r="F20" i="68"/>
  <c r="C20" i="68" s="1"/>
  <c r="V43" i="347"/>
  <c r="D120" i="33"/>
  <c r="C120" i="33"/>
  <c r="P33" i="67"/>
  <c r="P111" i="67" s="1"/>
  <c r="V44" i="347" s="1"/>
  <c r="Q7" i="67"/>
  <c r="Q85" i="67" s="1"/>
  <c r="B88" i="64"/>
  <c r="Q126" i="64" s="1"/>
  <c r="H32" i="64"/>
  <c r="N7" i="64" s="1"/>
  <c r="Q33" i="67" s="1"/>
  <c r="Q111" i="67" s="1"/>
  <c r="C87" i="64"/>
  <c r="R125" i="64" s="1"/>
  <c r="D87" i="64"/>
  <c r="S125" i="64" s="1"/>
  <c r="L7" i="65"/>
  <c r="F83" i="50"/>
  <c r="T121" i="50" s="1"/>
  <c r="B80" i="48"/>
  <c r="V46" i="183"/>
  <c r="F79" i="48"/>
  <c r="V115" i="48" s="1"/>
  <c r="O93" i="183"/>
  <c r="N93" i="183"/>
  <c r="M93" i="183"/>
  <c r="L93" i="183"/>
  <c r="K93" i="183"/>
  <c r="C84" i="52"/>
  <c r="R120" i="52" s="1"/>
  <c r="D84" i="52"/>
  <c r="S120" i="52" s="1"/>
  <c r="B85" i="52"/>
  <c r="Q121" i="52" s="1"/>
  <c r="V94" i="183"/>
  <c r="Q7" i="52"/>
  <c r="J7" i="67" s="1"/>
  <c r="J85" i="67" s="1"/>
  <c r="D84" i="51"/>
  <c r="S120" i="51" s="1"/>
  <c r="C84" i="51"/>
  <c r="R120" i="51" s="1"/>
  <c r="F83" i="51"/>
  <c r="U119" i="51" s="1"/>
  <c r="O88" i="183"/>
  <c r="M88" i="183"/>
  <c r="N88" i="183"/>
  <c r="L88" i="183"/>
  <c r="K88" i="183"/>
  <c r="J88" i="183"/>
  <c r="B81" i="50"/>
  <c r="H60" i="183"/>
  <c r="N60" i="183"/>
  <c r="M60" i="183"/>
  <c r="O60" i="183"/>
  <c r="G60" i="183"/>
  <c r="I60" i="183"/>
  <c r="L60" i="183"/>
  <c r="J60" i="183"/>
  <c r="K60" i="183"/>
  <c r="F60" i="183"/>
  <c r="E60" i="183"/>
  <c r="D84" i="50"/>
  <c r="R122" i="50" s="1"/>
  <c r="C84" i="50"/>
  <c r="Q122" i="50" s="1"/>
  <c r="I32" i="50"/>
  <c r="Q7" i="50" s="1"/>
  <c r="V33" i="67" s="1"/>
  <c r="V111" i="67" s="1"/>
  <c r="B79" i="49"/>
  <c r="X132" i="49" s="1"/>
  <c r="V39" i="183"/>
  <c r="P7" i="50"/>
  <c r="V7" i="67" s="1"/>
  <c r="V85" i="67" s="1"/>
  <c r="C16" i="4"/>
  <c r="F84" i="60" l="1"/>
  <c r="P7" i="65"/>
  <c r="O7" i="67" s="1"/>
  <c r="O85" i="67" s="1"/>
  <c r="B88" i="65"/>
  <c r="Q126" i="65" s="1"/>
  <c r="D87" i="65"/>
  <c r="S125" i="65" s="1"/>
  <c r="C87" i="65"/>
  <c r="R125" i="65" s="1"/>
  <c r="AB134" i="49"/>
  <c r="AJ134" i="49" s="1"/>
  <c r="U118" i="57"/>
  <c r="R119" i="57"/>
  <c r="F81" i="57"/>
  <c r="F84" i="61"/>
  <c r="U122" i="61" s="1"/>
  <c r="U122" i="60"/>
  <c r="AB8" i="49"/>
  <c r="R7" i="67" s="1"/>
  <c r="R85" i="67" s="1"/>
  <c r="V40" i="183"/>
  <c r="I40" i="183" s="1"/>
  <c r="B80" i="49"/>
  <c r="X133" i="49" s="1"/>
  <c r="U130" i="65"/>
  <c r="U122" i="63"/>
  <c r="C86" i="63"/>
  <c r="R124" i="63" s="1"/>
  <c r="Q124" i="63"/>
  <c r="R83" i="59"/>
  <c r="P8" i="224" s="1"/>
  <c r="U121" i="59"/>
  <c r="AC121" i="59" s="1"/>
  <c r="C83" i="58"/>
  <c r="R121" i="58" s="1"/>
  <c r="Q121" i="58"/>
  <c r="U120" i="58"/>
  <c r="S85" i="62"/>
  <c r="P8" i="218" s="1"/>
  <c r="U121" i="62"/>
  <c r="AC121" i="62" s="1"/>
  <c r="F84" i="62"/>
  <c r="R120" i="62"/>
  <c r="F79" i="98"/>
  <c r="U115" i="98" s="1"/>
  <c r="U118" i="53"/>
  <c r="S81" i="50"/>
  <c r="P119" i="50"/>
  <c r="R83" i="55"/>
  <c r="V120" i="55"/>
  <c r="AD120" i="55" s="1"/>
  <c r="S80" i="48"/>
  <c r="R116" i="48"/>
  <c r="D216" i="37"/>
  <c r="G53" i="37"/>
  <c r="BH12" i="413"/>
  <c r="J52" i="37"/>
  <c r="G215" i="37"/>
  <c r="J7" i="37"/>
  <c r="G191" i="37"/>
  <c r="AC8" i="49"/>
  <c r="R33" i="67" s="1"/>
  <c r="R111" i="67" s="1"/>
  <c r="J163" i="49"/>
  <c r="D86" i="63"/>
  <c r="S124" i="63" s="1"/>
  <c r="D83" i="58"/>
  <c r="S121" i="58" s="1"/>
  <c r="J57" i="183"/>
  <c r="F84" i="52"/>
  <c r="E57" i="183"/>
  <c r="F85" i="66"/>
  <c r="F89" i="63"/>
  <c r="S13" i="96"/>
  <c r="G13" i="489" s="1"/>
  <c r="Q49" i="347"/>
  <c r="C49" i="347" s="1"/>
  <c r="V50" i="347"/>
  <c r="M57" i="183"/>
  <c r="L57" i="183"/>
  <c r="I70" i="183"/>
  <c r="L70" i="183"/>
  <c r="O70" i="183"/>
  <c r="M70" i="183"/>
  <c r="N70" i="183"/>
  <c r="H70" i="183"/>
  <c r="G70" i="183"/>
  <c r="J70" i="183"/>
  <c r="K70" i="183"/>
  <c r="F83" i="53"/>
  <c r="S83" i="53" s="1"/>
  <c r="D85" i="63"/>
  <c r="S123" i="63" s="1"/>
  <c r="C85" i="63"/>
  <c r="R123" i="63" s="1"/>
  <c r="F86" i="35"/>
  <c r="U124" i="35" s="1"/>
  <c r="AD124" i="35" s="1"/>
  <c r="F85" i="61"/>
  <c r="U123" i="61" s="1"/>
  <c r="AC123" i="61" s="1"/>
  <c r="D85" i="60"/>
  <c r="S123" i="60" s="1"/>
  <c r="C85" i="60"/>
  <c r="R123" i="60" s="1"/>
  <c r="F81" i="54"/>
  <c r="U118" i="54" s="1"/>
  <c r="AC118" i="54" s="1"/>
  <c r="D80" i="98"/>
  <c r="S116" i="98" s="1"/>
  <c r="C80" i="98"/>
  <c r="R116" i="98" s="1"/>
  <c r="D88" i="63"/>
  <c r="S126" i="63" s="1"/>
  <c r="C88" i="63"/>
  <c r="R126" i="63" s="1"/>
  <c r="V58" i="183"/>
  <c r="M58" i="183" s="1"/>
  <c r="H57" i="183"/>
  <c r="O57" i="183"/>
  <c r="F57" i="183"/>
  <c r="N57" i="183"/>
  <c r="K57" i="183"/>
  <c r="I57" i="183"/>
  <c r="F84" i="51"/>
  <c r="D81" i="50"/>
  <c r="R119" i="50" s="1"/>
  <c r="C81" i="50"/>
  <c r="Q119" i="50" s="1"/>
  <c r="C88" i="33"/>
  <c r="R123" i="33" s="1"/>
  <c r="D88" i="33"/>
  <c r="S123" i="33" s="1"/>
  <c r="F120" i="33"/>
  <c r="Q43" i="347"/>
  <c r="F21" i="68"/>
  <c r="C21" i="68" s="1"/>
  <c r="F87" i="33"/>
  <c r="U122" i="33" s="1"/>
  <c r="F87" i="64"/>
  <c r="U125" i="64" s="1"/>
  <c r="D88" i="64"/>
  <c r="S126" i="64" s="1"/>
  <c r="C88" i="64"/>
  <c r="R126" i="64" s="1"/>
  <c r="Q44" i="347"/>
  <c r="C44" i="347" s="1"/>
  <c r="D88" i="65"/>
  <c r="S126" i="65" s="1"/>
  <c r="C88" i="65"/>
  <c r="R126" i="65" s="1"/>
  <c r="M46" i="183"/>
  <c r="D46" i="183"/>
  <c r="F46" i="183"/>
  <c r="E46" i="183"/>
  <c r="I46" i="183"/>
  <c r="J46" i="183"/>
  <c r="H46" i="183"/>
  <c r="L46" i="183"/>
  <c r="N46" i="183"/>
  <c r="K46" i="183"/>
  <c r="O46" i="183"/>
  <c r="G46" i="183"/>
  <c r="D80" i="48"/>
  <c r="T116" i="48" s="1"/>
  <c r="C80" i="48"/>
  <c r="S116" i="48" s="1"/>
  <c r="C85" i="52"/>
  <c r="R121" i="52" s="1"/>
  <c r="D85" i="52"/>
  <c r="S121" i="52" s="1"/>
  <c r="O94" i="183"/>
  <c r="N94" i="183"/>
  <c r="M94" i="183"/>
  <c r="L94" i="183"/>
  <c r="K94" i="183"/>
  <c r="F84" i="50"/>
  <c r="T122" i="50" s="1"/>
  <c r="B82" i="50"/>
  <c r="H39" i="183"/>
  <c r="N39" i="183"/>
  <c r="M39" i="183"/>
  <c r="O39" i="183"/>
  <c r="F39" i="183"/>
  <c r="J39" i="183"/>
  <c r="E39" i="183"/>
  <c r="G39" i="183"/>
  <c r="K39" i="183"/>
  <c r="I39" i="183"/>
  <c r="L39" i="183"/>
  <c r="D39" i="183"/>
  <c r="D79" i="49"/>
  <c r="Z132" i="49" s="1"/>
  <c r="C79" i="49"/>
  <c r="Y132" i="49" s="1"/>
  <c r="D80" i="49"/>
  <c r="Z133" i="49" s="1"/>
  <c r="C80" i="49"/>
  <c r="Y133" i="49" s="1"/>
  <c r="B15" i="5"/>
  <c r="BF89" i="5"/>
  <c r="BC89" i="5" s="1"/>
  <c r="BF87" i="5"/>
  <c r="BC87" i="5" s="1"/>
  <c r="BF88" i="5"/>
  <c r="BC88" i="5" s="1"/>
  <c r="AZ4" i="5"/>
  <c r="AZ5" i="5"/>
  <c r="AZ6" i="5"/>
  <c r="AZ7" i="5"/>
  <c r="AZ8" i="5"/>
  <c r="AZ9" i="5"/>
  <c r="AZ10" i="5"/>
  <c r="AZ11" i="5"/>
  <c r="AZ14" i="5"/>
  <c r="AZ15" i="5"/>
  <c r="AZ16" i="5"/>
  <c r="AZ17" i="5"/>
  <c r="AZ18" i="5"/>
  <c r="AZ19" i="5"/>
  <c r="AZ20" i="5"/>
  <c r="AZ21" i="5"/>
  <c r="AZ22" i="5"/>
  <c r="AZ23" i="5"/>
  <c r="AZ24" i="5"/>
  <c r="AZ25" i="5"/>
  <c r="AZ27" i="5"/>
  <c r="AZ28" i="5"/>
  <c r="AZ29" i="5"/>
  <c r="AZ30" i="5"/>
  <c r="AZ32" i="5"/>
  <c r="AZ34" i="5"/>
  <c r="AZ36" i="5"/>
  <c r="AZ37" i="5"/>
  <c r="AZ38" i="5"/>
  <c r="AZ39" i="5"/>
  <c r="AZ40" i="5"/>
  <c r="AZ43" i="5"/>
  <c r="AZ47" i="5"/>
  <c r="AZ48" i="5"/>
  <c r="AZ52" i="5"/>
  <c r="AZ54" i="5"/>
  <c r="AZ61" i="5"/>
  <c r="AZ62" i="5"/>
  <c r="AZ12" i="5"/>
  <c r="AZ13" i="5"/>
  <c r="AZ26" i="5"/>
  <c r="AZ31" i="5"/>
  <c r="AZ33" i="5"/>
  <c r="AZ35" i="5"/>
  <c r="AZ41" i="5"/>
  <c r="AZ42" i="5"/>
  <c r="AZ45" i="5"/>
  <c r="AZ46" i="5"/>
  <c r="AZ49" i="5"/>
  <c r="AZ50" i="5"/>
  <c r="AZ51" i="5"/>
  <c r="AZ53" i="5"/>
  <c r="AZ55" i="5"/>
  <c r="AZ56" i="5"/>
  <c r="AZ57" i="5"/>
  <c r="AZ58" i="5"/>
  <c r="AZ59" i="5"/>
  <c r="AZ60" i="5"/>
  <c r="AZ63" i="5"/>
  <c r="AZ64" i="5"/>
  <c r="AZ65" i="5"/>
  <c r="AZ66" i="5"/>
  <c r="AZ67" i="5"/>
  <c r="AZ68" i="5"/>
  <c r="AZ69" i="5"/>
  <c r="AZ70" i="5"/>
  <c r="AZ71" i="5"/>
  <c r="F87" i="65" l="1"/>
  <c r="U125" i="65" s="1"/>
  <c r="P8" i="130"/>
  <c r="O8" i="130" s="1"/>
  <c r="W55" i="258"/>
  <c r="O8" i="224"/>
  <c r="H8" i="224"/>
  <c r="G8" i="224" s="1"/>
  <c r="F8" i="224" s="1"/>
  <c r="O8" i="218"/>
  <c r="C103" i="258" s="1"/>
  <c r="H8" i="218"/>
  <c r="G8" i="218" s="1"/>
  <c r="F8" i="218" s="1"/>
  <c r="W52" i="201"/>
  <c r="N52" i="201" s="1"/>
  <c r="E40" i="183"/>
  <c r="F40" i="183"/>
  <c r="H40" i="183"/>
  <c r="O40" i="183"/>
  <c r="D40" i="183"/>
  <c r="G40" i="183"/>
  <c r="J40" i="183"/>
  <c r="N40" i="183"/>
  <c r="L40" i="183"/>
  <c r="K40" i="183"/>
  <c r="M40" i="183"/>
  <c r="R81" i="57"/>
  <c r="U119" i="57"/>
  <c r="AC119" i="57" s="1"/>
  <c r="C112" i="201"/>
  <c r="R85" i="66"/>
  <c r="P8" i="377" s="1"/>
  <c r="O8" i="377" s="1"/>
  <c r="U123" i="66"/>
  <c r="AC123" i="66" s="1"/>
  <c r="S85" i="66"/>
  <c r="U127" i="63"/>
  <c r="F86" i="63"/>
  <c r="F83" i="58"/>
  <c r="U120" i="62"/>
  <c r="U120" i="52"/>
  <c r="S84" i="51"/>
  <c r="W88" i="201" s="1"/>
  <c r="U120" i="51"/>
  <c r="AC120" i="51" s="1"/>
  <c r="R83" i="53"/>
  <c r="P8" i="209" s="1"/>
  <c r="U119" i="53"/>
  <c r="AC119" i="53" s="1"/>
  <c r="S82" i="50"/>
  <c r="P120" i="50"/>
  <c r="F58" i="183"/>
  <c r="L58" i="183"/>
  <c r="E58" i="183"/>
  <c r="G58" i="183"/>
  <c r="H55" i="258"/>
  <c r="K55" i="258"/>
  <c r="R81" i="54"/>
  <c r="S81" i="54"/>
  <c r="AB17" i="205" s="1"/>
  <c r="AA17" i="205" s="1"/>
  <c r="P6" i="37"/>
  <c r="B32" i="67" s="1"/>
  <c r="B110" i="67" s="1"/>
  <c r="J215" i="37"/>
  <c r="B141" i="37"/>
  <c r="V33" i="183"/>
  <c r="J53" i="37"/>
  <c r="V34" i="183" s="1"/>
  <c r="G216" i="37"/>
  <c r="J191" i="37"/>
  <c r="O7" i="37"/>
  <c r="B7" i="67" s="1"/>
  <c r="B85" i="67" s="1"/>
  <c r="M55" i="258"/>
  <c r="O55" i="258"/>
  <c r="E55" i="258"/>
  <c r="K58" i="183"/>
  <c r="J58" i="183"/>
  <c r="I58" i="183"/>
  <c r="O58" i="183"/>
  <c r="H58" i="183"/>
  <c r="N58" i="183"/>
  <c r="F80" i="98"/>
  <c r="U116" i="98" s="1"/>
  <c r="AC116" i="98" s="1"/>
  <c r="F80" i="48"/>
  <c r="V116" i="48" s="1"/>
  <c r="AD116" i="48" s="1"/>
  <c r="F85" i="63"/>
  <c r="E92" i="347"/>
  <c r="S14" i="96" s="1"/>
  <c r="G14" i="489" s="1"/>
  <c r="Q50" i="347"/>
  <c r="C50" i="347" s="1"/>
  <c r="V51" i="347"/>
  <c r="F85" i="60"/>
  <c r="F88" i="64"/>
  <c r="F88" i="63"/>
  <c r="T86" i="35"/>
  <c r="S86" i="35"/>
  <c r="F80" i="49"/>
  <c r="R80" i="49" s="1"/>
  <c r="F88" i="65"/>
  <c r="S88" i="33"/>
  <c r="U88" i="33"/>
  <c r="R85" i="61"/>
  <c r="P8" i="375" s="1"/>
  <c r="S85" i="61"/>
  <c r="F81" i="50"/>
  <c r="T119" i="50" s="1"/>
  <c r="F88" i="33"/>
  <c r="U123" i="33" s="1"/>
  <c r="AC123" i="33" s="1"/>
  <c r="E86" i="347"/>
  <c r="F79" i="49"/>
  <c r="F85" i="52"/>
  <c r="U121" i="52" s="1"/>
  <c r="AC121" i="52" s="1"/>
  <c r="D82" i="50"/>
  <c r="R120" i="50" s="1"/>
  <c r="C82" i="50"/>
  <c r="Q120" i="50" s="1"/>
  <c r="AZ44" i="5"/>
  <c r="F55" i="258" l="1"/>
  <c r="G55" i="258"/>
  <c r="I55" i="258"/>
  <c r="J55" i="258"/>
  <c r="N55" i="258"/>
  <c r="D55" i="258"/>
  <c r="L55" i="258"/>
  <c r="C100" i="201"/>
  <c r="C100" i="183"/>
  <c r="G52" i="201"/>
  <c r="J52" i="201"/>
  <c r="H8" i="130"/>
  <c r="G8" i="130" s="1"/>
  <c r="F8" i="130" s="1"/>
  <c r="L52" i="201"/>
  <c r="D52" i="201"/>
  <c r="M52" i="201"/>
  <c r="O52" i="201"/>
  <c r="K52" i="201"/>
  <c r="H52" i="201"/>
  <c r="E52" i="201"/>
  <c r="C115" i="258"/>
  <c r="C112" i="183"/>
  <c r="N8" i="130"/>
  <c r="M8" i="130" s="1"/>
  <c r="L8" i="130" s="1"/>
  <c r="J8" i="130" s="1"/>
  <c r="E8" i="130" s="1"/>
  <c r="D8" i="130" s="1"/>
  <c r="C8" i="130" s="1"/>
  <c r="AH8" i="96" s="1"/>
  <c r="F52" i="201"/>
  <c r="I52" i="201"/>
  <c r="P8" i="214"/>
  <c r="O8" i="214" s="1"/>
  <c r="W91" i="258"/>
  <c r="J91" i="258" s="1"/>
  <c r="O8" i="209"/>
  <c r="C85" i="258" s="1"/>
  <c r="H8" i="209"/>
  <c r="G8" i="209" s="1"/>
  <c r="F8" i="209" s="1"/>
  <c r="P8" i="140"/>
  <c r="W64" i="201"/>
  <c r="W67" i="258"/>
  <c r="O8" i="375"/>
  <c r="S85" i="60"/>
  <c r="U123" i="60"/>
  <c r="AC123" i="60" s="1"/>
  <c r="S88" i="64"/>
  <c r="U126" i="64"/>
  <c r="AC126" i="64" s="1"/>
  <c r="R88" i="65"/>
  <c r="P8" i="325" s="1"/>
  <c r="O8" i="325" s="1"/>
  <c r="U126" i="65"/>
  <c r="AC126" i="65" s="1"/>
  <c r="R85" i="63"/>
  <c r="P8" i="226" s="1"/>
  <c r="U123" i="63"/>
  <c r="AC123" i="63" s="1"/>
  <c r="U124" i="63"/>
  <c r="U126" i="63"/>
  <c r="R83" i="58"/>
  <c r="U121" i="58"/>
  <c r="AC121" i="58" s="1"/>
  <c r="W85" i="258"/>
  <c r="I85" i="258" s="1"/>
  <c r="W82" i="201"/>
  <c r="O82" i="201" s="1"/>
  <c r="W79" i="258"/>
  <c r="J79" i="258" s="1"/>
  <c r="L17" i="205"/>
  <c r="W76" i="201"/>
  <c r="H76" i="201" s="1"/>
  <c r="R88" i="64"/>
  <c r="P8" i="365" s="1"/>
  <c r="O8" i="365" s="1"/>
  <c r="R80" i="98"/>
  <c r="S80" i="98"/>
  <c r="G34" i="183"/>
  <c r="J34" i="183"/>
  <c r="F34" i="183"/>
  <c r="M34" i="183"/>
  <c r="L34" i="183"/>
  <c r="O34" i="183"/>
  <c r="K34" i="183"/>
  <c r="D34" i="183"/>
  <c r="I34" i="183"/>
  <c r="N34" i="183"/>
  <c r="H34" i="183"/>
  <c r="E34" i="183"/>
  <c r="N33" i="183"/>
  <c r="H33" i="183"/>
  <c r="O33" i="183"/>
  <c r="G33" i="183"/>
  <c r="I33" i="183"/>
  <c r="E33" i="183"/>
  <c r="F33" i="183"/>
  <c r="K33" i="183"/>
  <c r="J33" i="183"/>
  <c r="L33" i="183"/>
  <c r="M33" i="183"/>
  <c r="D33" i="183"/>
  <c r="R189" i="37"/>
  <c r="C141" i="37"/>
  <c r="D141" i="37"/>
  <c r="T189" i="37" s="1"/>
  <c r="P7" i="37"/>
  <c r="B33" i="67" s="1"/>
  <c r="B111" i="67" s="1"/>
  <c r="J216" i="37"/>
  <c r="BH8" i="413"/>
  <c r="AA85" i="67"/>
  <c r="Z85" i="67"/>
  <c r="B142" i="37"/>
  <c r="R85" i="60"/>
  <c r="R80" i="48"/>
  <c r="T80" i="48"/>
  <c r="S80" i="49"/>
  <c r="AB133" i="49"/>
  <c r="AJ133" i="49" s="1"/>
  <c r="AB132" i="49"/>
  <c r="AJ132" i="49" s="1"/>
  <c r="E93" i="347"/>
  <c r="S15" i="96" s="1"/>
  <c r="G15" i="489" s="1"/>
  <c r="Q51" i="347"/>
  <c r="C51" i="347" s="1"/>
  <c r="V52" i="347"/>
  <c r="P8" i="373"/>
  <c r="R88" i="33"/>
  <c r="T88" i="33"/>
  <c r="S86" i="347" s="1"/>
  <c r="F82" i="50"/>
  <c r="W43" i="258"/>
  <c r="M43" i="258" s="1"/>
  <c r="V18" i="20"/>
  <c r="S8" i="96"/>
  <c r="S7" i="96"/>
  <c r="G7" i="489" s="1"/>
  <c r="R85" i="52"/>
  <c r="L88" i="201"/>
  <c r="M88" i="201"/>
  <c r="J88" i="201"/>
  <c r="O88" i="201"/>
  <c r="N88" i="201"/>
  <c r="K88" i="201"/>
  <c r="W40" i="201"/>
  <c r="AA13" i="5"/>
  <c r="AA14" i="5"/>
  <c r="AH14" i="5" s="1"/>
  <c r="AC15" i="5"/>
  <c r="K79" i="258" l="1"/>
  <c r="G8" i="489"/>
  <c r="D79" i="96"/>
  <c r="J76" i="201"/>
  <c r="M91" i="258"/>
  <c r="K91" i="258"/>
  <c r="C82" i="201"/>
  <c r="C82" i="183"/>
  <c r="K82" i="201"/>
  <c r="O76" i="201"/>
  <c r="I79" i="258"/>
  <c r="M79" i="258"/>
  <c r="M76" i="201"/>
  <c r="N79" i="258"/>
  <c r="L79" i="258"/>
  <c r="O79" i="258"/>
  <c r="H79" i="258"/>
  <c r="C88" i="183"/>
  <c r="C88" i="201"/>
  <c r="C91" i="258"/>
  <c r="L91" i="258"/>
  <c r="N91" i="258"/>
  <c r="O91" i="258"/>
  <c r="H8" i="214"/>
  <c r="G8" i="214" s="1"/>
  <c r="F8" i="214" s="1"/>
  <c r="O8" i="226"/>
  <c r="C118" i="183" s="1"/>
  <c r="H8" i="226"/>
  <c r="G8" i="226" s="1"/>
  <c r="F8" i="226" s="1"/>
  <c r="O8" i="140"/>
  <c r="C67" i="258" s="1"/>
  <c r="H8" i="140"/>
  <c r="G8" i="140" s="1"/>
  <c r="F8" i="140" s="1"/>
  <c r="R86" i="347"/>
  <c r="O85" i="258"/>
  <c r="L85" i="258"/>
  <c r="M85" i="258"/>
  <c r="K85" i="258"/>
  <c r="L82" i="201"/>
  <c r="J85" i="258"/>
  <c r="N85" i="258"/>
  <c r="J82" i="201"/>
  <c r="M82" i="201"/>
  <c r="U18" i="20"/>
  <c r="N18" i="20"/>
  <c r="M18" i="20" s="1"/>
  <c r="L18" i="20" s="1"/>
  <c r="K64" i="201"/>
  <c r="M64" i="201"/>
  <c r="G64" i="201"/>
  <c r="H64" i="201"/>
  <c r="O64" i="201"/>
  <c r="F64" i="201"/>
  <c r="N64" i="201"/>
  <c r="L64" i="201"/>
  <c r="J64" i="201"/>
  <c r="I64" i="201"/>
  <c r="I67" i="258"/>
  <c r="F67" i="258"/>
  <c r="M67" i="258"/>
  <c r="N67" i="258"/>
  <c r="O67" i="258"/>
  <c r="G67" i="258"/>
  <c r="K67" i="258"/>
  <c r="J67" i="258"/>
  <c r="L67" i="258"/>
  <c r="H67" i="258"/>
  <c r="N82" i="201"/>
  <c r="I82" i="201"/>
  <c r="O8" i="373"/>
  <c r="P8" i="370"/>
  <c r="O8" i="370" s="1"/>
  <c r="P8" i="221"/>
  <c r="L76" i="201"/>
  <c r="N76" i="201"/>
  <c r="K76" i="201"/>
  <c r="I76" i="201"/>
  <c r="R82" i="50"/>
  <c r="W61" i="258" s="1"/>
  <c r="J61" i="258" s="1"/>
  <c r="T120" i="50"/>
  <c r="AB120" i="50" s="1"/>
  <c r="W70" i="201"/>
  <c r="W73" i="258"/>
  <c r="P8" i="200"/>
  <c r="Z111" i="67"/>
  <c r="AA111" i="67"/>
  <c r="R190" i="37"/>
  <c r="D142" i="37"/>
  <c r="T190" i="37" s="1"/>
  <c r="C142" i="37"/>
  <c r="S189" i="37"/>
  <c r="F141" i="37"/>
  <c r="V189" i="37" s="1"/>
  <c r="P8" i="126"/>
  <c r="W49" i="258"/>
  <c r="W46" i="201"/>
  <c r="O43" i="258"/>
  <c r="E94" i="347"/>
  <c r="S16" i="96" s="1"/>
  <c r="G16" i="489" s="1"/>
  <c r="V53" i="347"/>
  <c r="Q52" i="347"/>
  <c r="C52" i="347" s="1"/>
  <c r="W97" i="258"/>
  <c r="P8" i="216"/>
  <c r="F43" i="258"/>
  <c r="H43" i="258"/>
  <c r="G43" i="258"/>
  <c r="L43" i="258"/>
  <c r="K43" i="258"/>
  <c r="N43" i="258"/>
  <c r="E43" i="258"/>
  <c r="J43" i="258"/>
  <c r="I43" i="258"/>
  <c r="D43" i="258"/>
  <c r="F40" i="201"/>
  <c r="E40" i="201"/>
  <c r="N40" i="201"/>
  <c r="O40" i="201"/>
  <c r="H40" i="201"/>
  <c r="G40" i="201"/>
  <c r="L40" i="201"/>
  <c r="K40" i="201"/>
  <c r="I40" i="201"/>
  <c r="J40" i="201"/>
  <c r="M40" i="201"/>
  <c r="D40" i="201"/>
  <c r="W94" i="201"/>
  <c r="AB13" i="5"/>
  <c r="I13" i="4" s="1"/>
  <c r="AC13" i="5"/>
  <c r="AB14" i="5"/>
  <c r="AH13" i="5"/>
  <c r="AH11" i="5"/>
  <c r="AH12" i="5"/>
  <c r="AA15" i="5"/>
  <c r="C64" i="183" l="1"/>
  <c r="C64" i="201"/>
  <c r="C121" i="258"/>
  <c r="C118" i="201"/>
  <c r="W58" i="201"/>
  <c r="E58" i="201" s="1"/>
  <c r="P8" i="134"/>
  <c r="O8" i="134" s="1"/>
  <c r="C58" i="201" s="1"/>
  <c r="O8" i="126"/>
  <c r="H8" i="126"/>
  <c r="G8" i="126" s="1"/>
  <c r="F8" i="126" s="1"/>
  <c r="O8" i="221"/>
  <c r="C106" i="201" s="1"/>
  <c r="H8" i="221"/>
  <c r="G8" i="221" s="1"/>
  <c r="F8" i="221" s="1"/>
  <c r="O8" i="216"/>
  <c r="H8" i="216"/>
  <c r="G8" i="216" s="1"/>
  <c r="F8" i="216" s="1"/>
  <c r="O8" i="200"/>
  <c r="H8" i="200"/>
  <c r="G8" i="200" s="1"/>
  <c r="F8" i="200" s="1"/>
  <c r="H8" i="134"/>
  <c r="G8" i="134" s="1"/>
  <c r="F8" i="134" s="1"/>
  <c r="I73" i="258"/>
  <c r="H73" i="258"/>
  <c r="G73" i="258"/>
  <c r="M73" i="258"/>
  <c r="J73" i="258"/>
  <c r="K73" i="258"/>
  <c r="L73" i="258"/>
  <c r="O73" i="258"/>
  <c r="N73" i="258"/>
  <c r="N70" i="201"/>
  <c r="M70" i="201"/>
  <c r="G70" i="201"/>
  <c r="O70" i="201"/>
  <c r="H70" i="201"/>
  <c r="J70" i="201"/>
  <c r="I70" i="201"/>
  <c r="K70" i="201"/>
  <c r="L70" i="201"/>
  <c r="S190" i="37"/>
  <c r="F142" i="37"/>
  <c r="S142" i="37" s="1"/>
  <c r="I46" i="201"/>
  <c r="D46" i="201"/>
  <c r="H46" i="201"/>
  <c r="K46" i="201"/>
  <c r="L46" i="201"/>
  <c r="O46" i="201"/>
  <c r="N46" i="201"/>
  <c r="G46" i="201"/>
  <c r="J46" i="201"/>
  <c r="F46" i="201"/>
  <c r="M46" i="201"/>
  <c r="E46" i="201"/>
  <c r="L49" i="258"/>
  <c r="N49" i="258"/>
  <c r="O49" i="258"/>
  <c r="I49" i="258"/>
  <c r="J49" i="258"/>
  <c r="E49" i="258"/>
  <c r="G49" i="258"/>
  <c r="K49" i="258"/>
  <c r="D49" i="258"/>
  <c r="M49" i="258"/>
  <c r="F49" i="258"/>
  <c r="H49" i="258"/>
  <c r="E95" i="347"/>
  <c r="S17" i="96" s="1"/>
  <c r="G17" i="489" s="1"/>
  <c r="V54" i="347"/>
  <c r="Q53" i="347"/>
  <c r="C53" i="347" s="1"/>
  <c r="G37" i="63"/>
  <c r="G38" i="63" s="1"/>
  <c r="G39" i="63" s="1"/>
  <c r="G40" i="63" s="1"/>
  <c r="G41" i="63" s="1"/>
  <c r="G42" i="63" s="1"/>
  <c r="G43" i="63" s="1"/>
  <c r="G44" i="63" s="1"/>
  <c r="G45" i="63" s="1"/>
  <c r="G46" i="63" s="1"/>
  <c r="G47" i="63" s="1"/>
  <c r="G48" i="63" s="1"/>
  <c r="G49" i="63" s="1"/>
  <c r="G12" i="63"/>
  <c r="G13" i="63" s="1"/>
  <c r="G14" i="63" s="1"/>
  <c r="G15" i="63" s="1"/>
  <c r="G16" i="63" s="1"/>
  <c r="G17" i="63" s="1"/>
  <c r="G18" i="63" s="1"/>
  <c r="G19" i="63" s="1"/>
  <c r="G20" i="63" s="1"/>
  <c r="G21" i="63" s="1"/>
  <c r="G22" i="63" s="1"/>
  <c r="G23" i="63" s="1"/>
  <c r="G24" i="63" s="1"/>
  <c r="L97" i="258"/>
  <c r="K97" i="258"/>
  <c r="E61" i="258"/>
  <c r="M61" i="258"/>
  <c r="O97" i="258"/>
  <c r="O61" i="258"/>
  <c r="M97" i="258"/>
  <c r="H61" i="258"/>
  <c r="K61" i="258"/>
  <c r="N97" i="258"/>
  <c r="N61" i="258"/>
  <c r="F61" i="258"/>
  <c r="L61" i="258"/>
  <c r="I61" i="258"/>
  <c r="K58" i="201"/>
  <c r="O58" i="201"/>
  <c r="M58" i="201"/>
  <c r="G61" i="258"/>
  <c r="O94" i="201"/>
  <c r="N94" i="201"/>
  <c r="K94" i="201"/>
  <c r="L94" i="201"/>
  <c r="M94" i="201"/>
  <c r="AB15" i="5"/>
  <c r="I15" i="4" s="1"/>
  <c r="J15" i="4" s="1"/>
  <c r="K15" i="4" s="1"/>
  <c r="I14" i="4"/>
  <c r="J13" i="4"/>
  <c r="K13" i="4" s="1"/>
  <c r="AA6" i="5"/>
  <c r="AA5" i="5"/>
  <c r="AA4" i="5"/>
  <c r="C10" i="4"/>
  <c r="C8" i="4"/>
  <c r="C6" i="4"/>
  <c r="C5" i="4"/>
  <c r="B4" i="5"/>
  <c r="C70" i="183" l="1"/>
  <c r="C73" i="258"/>
  <c r="J58" i="201"/>
  <c r="G58" i="201"/>
  <c r="L58" i="201"/>
  <c r="F58" i="201"/>
  <c r="H58" i="201"/>
  <c r="C61" i="258"/>
  <c r="C58" i="183"/>
  <c r="N58" i="201"/>
  <c r="I58" i="201"/>
  <c r="C109" i="258"/>
  <c r="C106" i="183"/>
  <c r="C94" i="183"/>
  <c r="C94" i="201"/>
  <c r="C97" i="258"/>
  <c r="C70" i="201"/>
  <c r="V190" i="37"/>
  <c r="AD190" i="37" s="1"/>
  <c r="R142" i="37"/>
  <c r="E96" i="347"/>
  <c r="V55" i="347"/>
  <c r="Q54" i="347"/>
  <c r="C54" i="347" s="1"/>
  <c r="K13" i="346"/>
  <c r="M13" i="117"/>
  <c r="K13" i="116"/>
  <c r="K15" i="346"/>
  <c r="M15" i="117"/>
  <c r="K15" i="116"/>
  <c r="J14" i="4"/>
  <c r="K14" i="4" s="1"/>
  <c r="D6" i="5"/>
  <c r="M6" i="4" s="1"/>
  <c r="C7" i="4"/>
  <c r="D7" i="5" s="1"/>
  <c r="M7" i="4" s="1"/>
  <c r="D8" i="5"/>
  <c r="M8" i="4" s="1"/>
  <c r="C9" i="4"/>
  <c r="AH4" i="5"/>
  <c r="AH5" i="5"/>
  <c r="AH6" i="5"/>
  <c r="AH7" i="5"/>
  <c r="AH8" i="5"/>
  <c r="AH9" i="5"/>
  <c r="AH10" i="5"/>
  <c r="D15" i="4"/>
  <c r="D12" i="4"/>
  <c r="D7" i="4"/>
  <c r="R47" i="4"/>
  <c r="R48" i="4" s="1"/>
  <c r="R49" i="4" s="1"/>
  <c r="R50" i="4" s="1"/>
  <c r="R51" i="4" s="1"/>
  <c r="R52" i="4" s="1"/>
  <c r="R53" i="4" s="1"/>
  <c r="R54" i="4" s="1"/>
  <c r="R55" i="4" s="1"/>
  <c r="R56" i="4" s="1"/>
  <c r="R57" i="4" s="1"/>
  <c r="R58" i="4" s="1"/>
  <c r="R59" i="4" s="1"/>
  <c r="R60" i="4" s="1"/>
  <c r="R62" i="4" s="1"/>
  <c r="R30" i="4"/>
  <c r="R31" i="4" s="1"/>
  <c r="R32" i="4" s="1"/>
  <c r="R33" i="4" s="1"/>
  <c r="R34" i="4" s="1"/>
  <c r="R35" i="4" s="1"/>
  <c r="R36" i="4" s="1"/>
  <c r="R37" i="4" s="1"/>
  <c r="R38" i="4" s="1"/>
  <c r="R39" i="4" s="1"/>
  <c r="R40" i="4" s="1"/>
  <c r="R41" i="4" s="1"/>
  <c r="R42" i="4" s="1"/>
  <c r="R43" i="4" s="1"/>
  <c r="R44" i="4" s="1"/>
  <c r="R45" i="4" s="1"/>
  <c r="R13" i="4"/>
  <c r="R14" i="4" s="1"/>
  <c r="R15" i="4" s="1"/>
  <c r="R16" i="4" s="1"/>
  <c r="R17" i="4" s="1"/>
  <c r="R18" i="4" s="1"/>
  <c r="R19" i="4" s="1"/>
  <c r="R20" i="4" s="1"/>
  <c r="R21" i="4" s="1"/>
  <c r="R22" i="4" s="1"/>
  <c r="R23" i="4" s="1"/>
  <c r="R24" i="4" s="1"/>
  <c r="R25" i="4" s="1"/>
  <c r="R26" i="4" s="1"/>
  <c r="R27" i="4" s="1"/>
  <c r="R28" i="4" s="1"/>
  <c r="R5" i="4"/>
  <c r="R6" i="4" s="1"/>
  <c r="R7" i="4" s="1"/>
  <c r="R8" i="4" s="1"/>
  <c r="R9" i="4" s="1"/>
  <c r="R10" i="4" s="1"/>
  <c r="R11" i="4" s="1"/>
  <c r="D6" i="4" s="1"/>
  <c r="C13" i="4"/>
  <c r="D14" i="4" l="1"/>
  <c r="D16" i="4"/>
  <c r="S18" i="96"/>
  <c r="G18" i="489" s="1"/>
  <c r="R8" i="413"/>
  <c r="W34" i="201"/>
  <c r="W37" i="258"/>
  <c r="S19" i="96"/>
  <c r="G19" i="489" s="1"/>
  <c r="V56" i="347"/>
  <c r="Q55" i="347"/>
  <c r="C55" i="347" s="1"/>
  <c r="K14" i="346"/>
  <c r="M14" i="117"/>
  <c r="K14" i="116"/>
  <c r="N7" i="4"/>
  <c r="O7" i="4" s="1"/>
  <c r="AU17" i="20" s="1"/>
  <c r="N8" i="4"/>
  <c r="O8" i="4" s="1"/>
  <c r="AU18" i="20" s="1"/>
  <c r="N6" i="4"/>
  <c r="O6" i="4" s="1"/>
  <c r="AU16" i="20" s="1"/>
  <c r="D17" i="4"/>
  <c r="R63" i="4"/>
  <c r="R64" i="4" s="1"/>
  <c r="R65" i="4" s="1"/>
  <c r="R66" i="4" s="1"/>
  <c r="D8" i="4"/>
  <c r="D9" i="4"/>
  <c r="D10" i="4"/>
  <c r="H8" i="5"/>
  <c r="I8" i="5" s="1"/>
  <c r="G8" i="5" s="1"/>
  <c r="AA9" i="19"/>
  <c r="H7" i="5"/>
  <c r="I7" i="5" s="1"/>
  <c r="G7" i="5" s="1"/>
  <c r="AA8" i="19"/>
  <c r="D11" i="4"/>
  <c r="D4" i="4"/>
  <c r="D5" i="4"/>
  <c r="D13" i="4"/>
  <c r="H6" i="5"/>
  <c r="I6" i="5" s="1"/>
  <c r="G6" i="5" s="1"/>
  <c r="AA7" i="19"/>
  <c r="D13" i="5"/>
  <c r="M13" i="4" s="1"/>
  <c r="C14" i="4"/>
  <c r="C15" i="4" s="1"/>
  <c r="D15" i="5" s="1"/>
  <c r="M15" i="4" s="1"/>
  <c r="D9" i="5"/>
  <c r="M9" i="4" s="1"/>
  <c r="D10" i="5"/>
  <c r="M10" i="4" s="1"/>
  <c r="D18" i="4"/>
  <c r="R67" i="4"/>
  <c r="R68" i="4" s="1"/>
  <c r="R69" i="4" s="1"/>
  <c r="R70" i="4" s="1"/>
  <c r="R71" i="4" s="1"/>
  <c r="C11" i="4"/>
  <c r="Q8" i="413" l="1"/>
  <c r="J8" i="413"/>
  <c r="I8" i="413" s="1"/>
  <c r="H8" i="413" s="1"/>
  <c r="I19" i="20"/>
  <c r="AE9" i="96"/>
  <c r="AE8" i="96"/>
  <c r="I18" i="20"/>
  <c r="I17" i="20"/>
  <c r="AE7" i="96"/>
  <c r="D37" i="258"/>
  <c r="L37" i="258"/>
  <c r="N37" i="258"/>
  <c r="F37" i="258"/>
  <c r="K37" i="258"/>
  <c r="H37" i="258"/>
  <c r="M37" i="258"/>
  <c r="G37" i="258"/>
  <c r="I37" i="258"/>
  <c r="J37" i="258"/>
  <c r="E37" i="258"/>
  <c r="O37" i="258"/>
  <c r="G34" i="201"/>
  <c r="N34" i="201"/>
  <c r="O34" i="201"/>
  <c r="F34" i="201"/>
  <c r="I34" i="201"/>
  <c r="M34" i="201"/>
  <c r="L34" i="201"/>
  <c r="H34" i="201"/>
  <c r="E34" i="201"/>
  <c r="K34" i="201"/>
  <c r="D34" i="201"/>
  <c r="J34" i="201"/>
  <c r="E98" i="347"/>
  <c r="V57" i="347"/>
  <c r="Q56" i="347"/>
  <c r="C56" i="347" s="1"/>
  <c r="N9" i="4"/>
  <c r="O9" i="4" s="1"/>
  <c r="AU19" i="20" s="1"/>
  <c r="N13" i="4"/>
  <c r="O13" i="4" s="1"/>
  <c r="AU23" i="20" s="1"/>
  <c r="N15" i="4"/>
  <c r="O15" i="4"/>
  <c r="AU25" i="20" s="1"/>
  <c r="N10" i="4"/>
  <c r="O10" i="4" s="1"/>
  <c r="AU20" i="20" s="1"/>
  <c r="P6" i="5"/>
  <c r="AB7" i="19"/>
  <c r="P8" i="5"/>
  <c r="AB9" i="19"/>
  <c r="P7" i="5"/>
  <c r="AB8" i="19"/>
  <c r="H9" i="5"/>
  <c r="I9" i="5" s="1"/>
  <c r="G9" i="5" s="1"/>
  <c r="AA10" i="19"/>
  <c r="W12" i="18"/>
  <c r="AA14" i="19"/>
  <c r="H10" i="5"/>
  <c r="I10" i="5" s="1"/>
  <c r="G10" i="5" s="1"/>
  <c r="AA11" i="19"/>
  <c r="AA16" i="19"/>
  <c r="W14" i="18"/>
  <c r="H15" i="5"/>
  <c r="I15" i="5" s="1"/>
  <c r="G15" i="5" s="1"/>
  <c r="AB16" i="19" s="1"/>
  <c r="H13" i="5"/>
  <c r="I13" i="5" s="1"/>
  <c r="G13" i="5" s="1"/>
  <c r="AB14" i="19" s="1"/>
  <c r="D14" i="5"/>
  <c r="M14" i="4" s="1"/>
  <c r="D16" i="5"/>
  <c r="C12" i="4"/>
  <c r="D12" i="5" s="1"/>
  <c r="M12" i="4" s="1"/>
  <c r="D11" i="5"/>
  <c r="M11" i="4" s="1"/>
  <c r="C4" i="4"/>
  <c r="S20" i="96" l="1"/>
  <c r="G20" i="489" s="1"/>
  <c r="M16" i="4"/>
  <c r="E99" i="347"/>
  <c r="S21" i="96" s="1"/>
  <c r="G21" i="489" s="1"/>
  <c r="V58" i="347"/>
  <c r="Q57" i="347"/>
  <c r="C57" i="347" s="1"/>
  <c r="N12" i="4"/>
  <c r="O12" i="4" s="1"/>
  <c r="AU22" i="20" s="1"/>
  <c r="N11" i="4"/>
  <c r="O11" i="4" s="1"/>
  <c r="AU21" i="20" s="1"/>
  <c r="N16" i="4"/>
  <c r="O16" i="4" s="1"/>
  <c r="AU26" i="20" s="1"/>
  <c r="N14" i="4"/>
  <c r="O14" i="4" s="1"/>
  <c r="AU24" i="20" s="1"/>
  <c r="P9" i="5"/>
  <c r="AB10" i="19"/>
  <c r="P10" i="5"/>
  <c r="AB11" i="19"/>
  <c r="H11" i="5"/>
  <c r="I11" i="5" s="1"/>
  <c r="G11" i="5" s="1"/>
  <c r="AA12" i="19"/>
  <c r="W13" i="18"/>
  <c r="AA15" i="19"/>
  <c r="AA13" i="19"/>
  <c r="B4" i="19" s="1"/>
  <c r="F4" i="19" s="1"/>
  <c r="G4" i="19" s="1"/>
  <c r="H4" i="19" s="1"/>
  <c r="W11" i="18"/>
  <c r="AA17" i="19"/>
  <c r="W15" i="18"/>
  <c r="H12" i="5"/>
  <c r="I12" i="5" s="1"/>
  <c r="G12" i="5" s="1"/>
  <c r="AB13" i="19" s="1"/>
  <c r="H16" i="5"/>
  <c r="I16" i="5" s="1"/>
  <c r="G16" i="5" s="1"/>
  <c r="AB17" i="19" s="1"/>
  <c r="H14" i="5"/>
  <c r="I14" i="5" s="1"/>
  <c r="G14" i="5" s="1"/>
  <c r="AB15" i="19" s="1"/>
  <c r="P15" i="5"/>
  <c r="X14" i="18"/>
  <c r="P13" i="5"/>
  <c r="X12" i="18"/>
  <c r="D5" i="5"/>
  <c r="M5" i="4" s="1"/>
  <c r="D4" i="5"/>
  <c r="M4" i="4" s="1"/>
  <c r="E100" i="347" l="1"/>
  <c r="V59" i="347"/>
  <c r="Q58" i="347"/>
  <c r="C58" i="347" s="1"/>
  <c r="N4" i="4"/>
  <c r="O4" i="4" s="1"/>
  <c r="AU14" i="20" s="1"/>
  <c r="AU13" i="20" s="1"/>
  <c r="AU12" i="20" s="1"/>
  <c r="N5" i="4"/>
  <c r="O5" i="4" s="1"/>
  <c r="AU15" i="20" s="1"/>
  <c r="B5" i="18"/>
  <c r="H4" i="5"/>
  <c r="I4" i="5" s="1"/>
  <c r="G4" i="5" s="1"/>
  <c r="AA5" i="19"/>
  <c r="H5" i="5"/>
  <c r="AA6" i="19"/>
  <c r="P11" i="5"/>
  <c r="AB12" i="19"/>
  <c r="B5" i="19"/>
  <c r="F10" i="18"/>
  <c r="P14" i="5"/>
  <c r="X13" i="18"/>
  <c r="P16" i="5"/>
  <c r="X15" i="18"/>
  <c r="P12" i="5"/>
  <c r="G17" i="3"/>
  <c r="S22" i="96" l="1"/>
  <c r="G22" i="489" s="1"/>
  <c r="E101" i="347"/>
  <c r="Q59" i="347"/>
  <c r="C59" i="347" s="1"/>
  <c r="V60" i="347"/>
  <c r="P4" i="5"/>
  <c r="Q4" i="5" s="1"/>
  <c r="AB5" i="19"/>
  <c r="F5" i="19"/>
  <c r="I5" i="5"/>
  <c r="G5" i="5" s="1"/>
  <c r="G10" i="18"/>
  <c r="H25" i="3"/>
  <c r="H26" i="3" s="1"/>
  <c r="H27" i="3" s="1"/>
  <c r="S23" i="96" l="1"/>
  <c r="G23" i="489" s="1"/>
  <c r="E102" i="347"/>
  <c r="Q60" i="347"/>
  <c r="C60" i="347" s="1"/>
  <c r="V61" i="347"/>
  <c r="K5" i="19"/>
  <c r="R5" i="19" s="1"/>
  <c r="AD5" i="19"/>
  <c r="P5" i="5"/>
  <c r="AB6" i="19"/>
  <c r="G5" i="19"/>
  <c r="H10" i="18"/>
  <c r="P19" i="3"/>
  <c r="P20" i="3"/>
  <c r="P18" i="3"/>
  <c r="P17" i="3"/>
  <c r="I34" i="3"/>
  <c r="I35" i="3"/>
  <c r="I36" i="3"/>
  <c r="I37" i="3"/>
  <c r="I38" i="3"/>
  <c r="I33" i="3"/>
  <c r="I18" i="3"/>
  <c r="F19" i="3"/>
  <c r="R19" i="3" s="1"/>
  <c r="T18" i="3" l="1"/>
  <c r="L5" i="5"/>
  <c r="O5" i="5" s="1"/>
  <c r="AC6" i="19" s="1"/>
  <c r="T37" i="3"/>
  <c r="S37" i="3" s="1"/>
  <c r="L24" i="5"/>
  <c r="G37" i="3"/>
  <c r="M24" i="5" s="1"/>
  <c r="O24" i="5" s="1"/>
  <c r="T36" i="3"/>
  <c r="S36" i="3" s="1"/>
  <c r="L23" i="5"/>
  <c r="G36" i="3"/>
  <c r="M23" i="5" s="1"/>
  <c r="T35" i="3"/>
  <c r="S35" i="3" s="1"/>
  <c r="L22" i="5"/>
  <c r="G35" i="3"/>
  <c r="M22" i="5" s="1"/>
  <c r="O22" i="5" s="1"/>
  <c r="T33" i="3"/>
  <c r="S33" i="3" s="1"/>
  <c r="L20" i="5"/>
  <c r="G33" i="3"/>
  <c r="M20" i="5" s="1"/>
  <c r="O20" i="5" s="1"/>
  <c r="T38" i="3"/>
  <c r="S38" i="3" s="1"/>
  <c r="L25" i="5"/>
  <c r="G38" i="3"/>
  <c r="M25" i="5" s="1"/>
  <c r="O25" i="5" s="1"/>
  <c r="T34" i="3"/>
  <c r="S34" i="3" s="1"/>
  <c r="L21" i="5"/>
  <c r="G34" i="3"/>
  <c r="M21" i="5" s="1"/>
  <c r="Q5" i="5"/>
  <c r="S24" i="96"/>
  <c r="G24" i="489" s="1"/>
  <c r="E103" i="347"/>
  <c r="Q61" i="347"/>
  <c r="C61" i="347" s="1"/>
  <c r="V62" i="347"/>
  <c r="K6" i="19"/>
  <c r="AD6" i="19"/>
  <c r="H5" i="19"/>
  <c r="F20" i="3"/>
  <c r="H20" i="3" s="1"/>
  <c r="AC21" i="19" l="1"/>
  <c r="Y19" i="18"/>
  <c r="L19" i="18" s="1"/>
  <c r="S19" i="18" s="1"/>
  <c r="Y23" i="18"/>
  <c r="L23" i="18" s="1"/>
  <c r="S23" i="18" s="1"/>
  <c r="AC25" i="19"/>
  <c r="L25" i="19" s="1"/>
  <c r="W25" i="19" s="1"/>
  <c r="O21" i="5"/>
  <c r="AC23" i="19"/>
  <c r="L23" i="19" s="1"/>
  <c r="W23" i="19" s="1"/>
  <c r="Y21" i="18"/>
  <c r="L21" i="18" s="1"/>
  <c r="S21" i="18" s="1"/>
  <c r="H21" i="3"/>
  <c r="H22" i="3" s="1"/>
  <c r="H23" i="3" s="1"/>
  <c r="H24" i="3" s="1"/>
  <c r="H18" i="3"/>
  <c r="AC26" i="19"/>
  <c r="Y24" i="18"/>
  <c r="L24" i="18" s="1"/>
  <c r="S24" i="18" s="1"/>
  <c r="O23" i="5"/>
  <c r="S18" i="3"/>
  <c r="S25" i="96"/>
  <c r="G25" i="489" s="1"/>
  <c r="E104" i="347"/>
  <c r="V63" i="347"/>
  <c r="Q62" i="347"/>
  <c r="C62" i="347" s="1"/>
  <c r="F21" i="3"/>
  <c r="R21" i="3" s="1"/>
  <c r="R20" i="3"/>
  <c r="AC24" i="19" l="1"/>
  <c r="L24" i="19" s="1"/>
  <c r="W24" i="19" s="1"/>
  <c r="Y22" i="18"/>
  <c r="L22" i="18" s="1"/>
  <c r="S22" i="18" s="1"/>
  <c r="AC22" i="19"/>
  <c r="L22" i="19" s="1"/>
  <c r="W22" i="19" s="1"/>
  <c r="Y20" i="18"/>
  <c r="L20" i="18" s="1"/>
  <c r="S20" i="18" s="1"/>
  <c r="D6" i="19"/>
  <c r="L26" i="19"/>
  <c r="W26" i="19" s="1"/>
  <c r="H19" i="3"/>
  <c r="G18" i="3"/>
  <c r="C6" i="19"/>
  <c r="L21" i="19"/>
  <c r="W21" i="19" s="1"/>
  <c r="S26" i="96"/>
  <c r="G26" i="489" s="1"/>
  <c r="V64" i="347"/>
  <c r="Q63" i="347"/>
  <c r="C63" i="347" s="1"/>
  <c r="D87" i="53"/>
  <c r="S123" i="53" s="1"/>
  <c r="C87" i="53"/>
  <c r="R123" i="53" s="1"/>
  <c r="I23" i="3"/>
  <c r="I24" i="3"/>
  <c r="I25" i="3"/>
  <c r="I26" i="3"/>
  <c r="I27" i="3"/>
  <c r="I28" i="3"/>
  <c r="I29" i="3"/>
  <c r="I30" i="3"/>
  <c r="I31" i="3"/>
  <c r="I32" i="3"/>
  <c r="I22" i="3"/>
  <c r="T28" i="3" l="1"/>
  <c r="S28" i="3" s="1"/>
  <c r="L15" i="5"/>
  <c r="G28" i="3"/>
  <c r="M15" i="5" s="1"/>
  <c r="H6" i="19"/>
  <c r="D12" i="18"/>
  <c r="T27" i="3"/>
  <c r="S27" i="3" s="1"/>
  <c r="L14" i="5"/>
  <c r="O14" i="5" s="1"/>
  <c r="G27" i="3"/>
  <c r="M14" i="5" s="1"/>
  <c r="T25" i="3"/>
  <c r="S25" i="3" s="1"/>
  <c r="L12" i="5"/>
  <c r="O12" i="5" s="1"/>
  <c r="G6" i="19"/>
  <c r="C12" i="18"/>
  <c r="T29" i="3"/>
  <c r="S29" i="3" s="1"/>
  <c r="L16" i="5"/>
  <c r="G29" i="3"/>
  <c r="M16" i="5" s="1"/>
  <c r="T32" i="3"/>
  <c r="S32" i="3" s="1"/>
  <c r="L19" i="5"/>
  <c r="G32" i="3"/>
  <c r="M19" i="5" s="1"/>
  <c r="O19" i="5" s="1"/>
  <c r="T24" i="3"/>
  <c r="S24" i="3" s="1"/>
  <c r="L11" i="5"/>
  <c r="O11" i="5" s="1"/>
  <c r="G24" i="3"/>
  <c r="M11" i="5" s="1"/>
  <c r="T22" i="3"/>
  <c r="S22" i="3" s="1"/>
  <c r="L9" i="5"/>
  <c r="G22" i="3"/>
  <c r="M9" i="5" s="1"/>
  <c r="T26" i="3"/>
  <c r="S26" i="3" s="1"/>
  <c r="L13" i="5"/>
  <c r="G26" i="3"/>
  <c r="M13" i="5" s="1"/>
  <c r="T31" i="3"/>
  <c r="S31" i="3" s="1"/>
  <c r="L18" i="5"/>
  <c r="G31" i="3"/>
  <c r="M18" i="5" s="1"/>
  <c r="O18" i="5" s="1"/>
  <c r="T23" i="3"/>
  <c r="S23" i="3" s="1"/>
  <c r="L10" i="5"/>
  <c r="G23" i="3"/>
  <c r="M10" i="5" s="1"/>
  <c r="T30" i="3"/>
  <c r="S30" i="3" s="1"/>
  <c r="L17" i="5"/>
  <c r="G30" i="3"/>
  <c r="M17" i="5" s="1"/>
  <c r="S27" i="96"/>
  <c r="G27" i="489" s="1"/>
  <c r="E106" i="347"/>
  <c r="V65" i="347"/>
  <c r="Q64" i="347"/>
  <c r="C64" i="347" s="1"/>
  <c r="F87" i="53"/>
  <c r="C86" i="53"/>
  <c r="R122" i="53" s="1"/>
  <c r="D86" i="53"/>
  <c r="S122" i="53" s="1"/>
  <c r="I19" i="3"/>
  <c r="Q34" i="3"/>
  <c r="Q35" i="3"/>
  <c r="Q36" i="3"/>
  <c r="Q37" i="3"/>
  <c r="Q38" i="3"/>
  <c r="P23" i="3"/>
  <c r="P24" i="3"/>
  <c r="P25" i="3"/>
  <c r="P26" i="3"/>
  <c r="P27" i="3"/>
  <c r="P28" i="3"/>
  <c r="P22" i="3"/>
  <c r="O17" i="5" l="1"/>
  <c r="Y13" i="18"/>
  <c r="AC15" i="19"/>
  <c r="Q14" i="5"/>
  <c r="O13" i="5"/>
  <c r="AC20" i="19"/>
  <c r="L20" i="19" s="1"/>
  <c r="W20" i="19" s="1"/>
  <c r="Y18" i="18"/>
  <c r="L18" i="18" s="1"/>
  <c r="S18" i="18" s="1"/>
  <c r="G10" i="19"/>
  <c r="G16" i="19" s="1"/>
  <c r="G12" i="18"/>
  <c r="G16" i="18" s="1"/>
  <c r="G21" i="18" s="1"/>
  <c r="H12" i="18"/>
  <c r="H16" i="18" s="1"/>
  <c r="H21" i="18" s="1"/>
  <c r="H10" i="19"/>
  <c r="H16" i="19" s="1"/>
  <c r="O10" i="5"/>
  <c r="AC13" i="19"/>
  <c r="Y11" i="18"/>
  <c r="Q12" i="5"/>
  <c r="S25" i="5"/>
  <c r="AC12" i="19"/>
  <c r="Q11" i="5"/>
  <c r="O15" i="5"/>
  <c r="T19" i="3"/>
  <c r="S19" i="3" s="1"/>
  <c r="L6" i="5"/>
  <c r="O6" i="5" s="1"/>
  <c r="G19" i="3"/>
  <c r="Y17" i="18"/>
  <c r="L17" i="18" s="1"/>
  <c r="S17" i="18" s="1"/>
  <c r="AC19" i="19"/>
  <c r="L19" i="19" s="1"/>
  <c r="W19" i="19" s="1"/>
  <c r="O9" i="5"/>
  <c r="O16" i="5"/>
  <c r="S28" i="96"/>
  <c r="G28" i="489" s="1"/>
  <c r="U123" i="53"/>
  <c r="F86" i="53"/>
  <c r="E107" i="347"/>
  <c r="Q65" i="347"/>
  <c r="C65" i="347" s="1"/>
  <c r="V66" i="347"/>
  <c r="F17" i="3"/>
  <c r="I20" i="3"/>
  <c r="C13" i="3"/>
  <c r="O13" i="3" s="1"/>
  <c r="C14" i="3"/>
  <c r="O14" i="3" s="1"/>
  <c r="C15" i="3"/>
  <c r="O15" i="3" s="1"/>
  <c r="C16" i="3"/>
  <c r="C17" i="3"/>
  <c r="O17" i="3" s="1"/>
  <c r="C18" i="3"/>
  <c r="O18" i="3" s="1"/>
  <c r="C19" i="3"/>
  <c r="C22" i="3"/>
  <c r="O22" i="3" s="1"/>
  <c r="C26" i="3"/>
  <c r="C27" i="3"/>
  <c r="O27" i="3" s="1"/>
  <c r="C28" i="3"/>
  <c r="O28" i="3" s="1"/>
  <c r="C12" i="3"/>
  <c r="E16" i="3" l="1"/>
  <c r="O16" i="3"/>
  <c r="AC7" i="19"/>
  <c r="Q6" i="5"/>
  <c r="L11" i="18"/>
  <c r="S11" i="18" s="1"/>
  <c r="K11" i="18"/>
  <c r="R11" i="18" s="1"/>
  <c r="V20" i="19"/>
  <c r="B6" i="19"/>
  <c r="L13" i="19"/>
  <c r="W13" i="19" s="1"/>
  <c r="K13" i="19"/>
  <c r="R13" i="19" s="1"/>
  <c r="AD13" i="19"/>
  <c r="AG21" i="19"/>
  <c r="AC14" i="19"/>
  <c r="Y12" i="18"/>
  <c r="Q13" i="5"/>
  <c r="AC11" i="19"/>
  <c r="Q10" i="5"/>
  <c r="O19" i="3"/>
  <c r="C20" i="3"/>
  <c r="AC17" i="19"/>
  <c r="Y15" i="18"/>
  <c r="Q16" i="5"/>
  <c r="Y14" i="18"/>
  <c r="AC16" i="19"/>
  <c r="Q15" i="5"/>
  <c r="K15" i="19"/>
  <c r="R15" i="19" s="1"/>
  <c r="L15" i="19"/>
  <c r="W15" i="19" s="1"/>
  <c r="V15" i="19" s="1"/>
  <c r="AD15" i="19"/>
  <c r="AC10" i="19"/>
  <c r="Q9" i="5"/>
  <c r="L13" i="18"/>
  <c r="S13" i="18" s="1"/>
  <c r="K13" i="18"/>
  <c r="R13" i="18" s="1"/>
  <c r="O26" i="3"/>
  <c r="C24" i="3"/>
  <c r="T20" i="3"/>
  <c r="S20" i="3" s="1"/>
  <c r="L7" i="5"/>
  <c r="O7" i="5" s="1"/>
  <c r="E12" i="3"/>
  <c r="O12" i="3"/>
  <c r="AD12" i="19"/>
  <c r="K12" i="19"/>
  <c r="R12" i="19" s="1"/>
  <c r="AC18" i="19"/>
  <c r="L18" i="19" s="1"/>
  <c r="W18" i="19" s="1"/>
  <c r="V18" i="19" s="1"/>
  <c r="Y16" i="18"/>
  <c r="L16" i="18" s="1"/>
  <c r="S16" i="18" s="1"/>
  <c r="S29" i="96"/>
  <c r="G29" i="489" s="1"/>
  <c r="U122" i="53"/>
  <c r="E108" i="347"/>
  <c r="Q66" i="347"/>
  <c r="C66" i="347" s="1"/>
  <c r="V67" i="347"/>
  <c r="E14" i="3"/>
  <c r="E15" i="3"/>
  <c r="E13" i="3"/>
  <c r="I21" i="3"/>
  <c r="C2" i="2"/>
  <c r="D2" i="2" s="1"/>
  <c r="E2" i="2" s="1"/>
  <c r="F2" i="2" s="1"/>
  <c r="G2" i="2" s="1"/>
  <c r="H2" i="2" s="1"/>
  <c r="I2" i="2" s="1"/>
  <c r="J2" i="2" s="1"/>
  <c r="K2" i="2" s="1"/>
  <c r="L2" i="2" s="1"/>
  <c r="M2" i="2" s="1"/>
  <c r="N2" i="2" s="1"/>
  <c r="O2" i="2" s="1"/>
  <c r="P2" i="2" s="1"/>
  <c r="Q2" i="2" s="1"/>
  <c r="R2" i="2" s="1"/>
  <c r="S2" i="2" s="1"/>
  <c r="T2" i="2" s="1"/>
  <c r="U2" i="2" s="1"/>
  <c r="V2" i="2" s="1"/>
  <c r="W2" i="2" s="1"/>
  <c r="X2" i="2" s="1"/>
  <c r="Y2" i="2" s="1"/>
  <c r="L12" i="18" l="1"/>
  <c r="S12" i="18" s="1"/>
  <c r="K12" i="18"/>
  <c r="R12" i="18" s="1"/>
  <c r="AD10" i="19"/>
  <c r="K10" i="19"/>
  <c r="R10" i="19" s="1"/>
  <c r="AC8" i="19"/>
  <c r="Q7" i="5"/>
  <c r="AD17" i="19"/>
  <c r="K17" i="19"/>
  <c r="R17" i="19" s="1"/>
  <c r="L17" i="19"/>
  <c r="W17" i="19" s="1"/>
  <c r="V17" i="19" s="1"/>
  <c r="L15" i="18"/>
  <c r="S15" i="18" s="1"/>
  <c r="K15" i="18"/>
  <c r="R15" i="18" s="1"/>
  <c r="C21" i="3"/>
  <c r="O21" i="3" s="1"/>
  <c r="O20" i="3"/>
  <c r="O24" i="3"/>
  <c r="C25" i="3"/>
  <c r="O25" i="3" s="1"/>
  <c r="T15" i="19"/>
  <c r="U15" i="19"/>
  <c r="K7" i="19"/>
  <c r="AD7" i="19"/>
  <c r="T21" i="3"/>
  <c r="S21" i="3" s="1"/>
  <c r="L8" i="5"/>
  <c r="G21" i="3"/>
  <c r="M8" i="5" s="1"/>
  <c r="V23" i="19"/>
  <c r="V25" i="19"/>
  <c r="V26" i="19"/>
  <c r="V22" i="19"/>
  <c r="V21" i="19"/>
  <c r="V24" i="19"/>
  <c r="AD14" i="19"/>
  <c r="K14" i="19"/>
  <c r="R14" i="19" s="1"/>
  <c r="U14" i="19" s="1"/>
  <c r="L14" i="19"/>
  <c r="W14" i="19" s="1"/>
  <c r="V14" i="19" s="1"/>
  <c r="AD16" i="19"/>
  <c r="K16" i="19"/>
  <c r="R16" i="19" s="1"/>
  <c r="L16" i="19"/>
  <c r="W16" i="19" s="1"/>
  <c r="V16" i="19" s="1"/>
  <c r="K11" i="19"/>
  <c r="R11" i="19" s="1"/>
  <c r="AD11" i="19"/>
  <c r="F6" i="19"/>
  <c r="B7" i="18"/>
  <c r="B11" i="18" s="1"/>
  <c r="B16" i="18" s="1"/>
  <c r="B10" i="19"/>
  <c r="B16" i="19" s="1"/>
  <c r="V19" i="19"/>
  <c r="L14" i="18"/>
  <c r="S14" i="18" s="1"/>
  <c r="K14" i="18"/>
  <c r="R14" i="18" s="1"/>
  <c r="S30" i="96"/>
  <c r="G30" i="489" s="1"/>
  <c r="E109" i="347"/>
  <c r="V68" i="347"/>
  <c r="Q67" i="347"/>
  <c r="C67" i="347" s="1"/>
  <c r="I13" i="3"/>
  <c r="I16" i="3"/>
  <c r="I14" i="3"/>
  <c r="I15" i="3"/>
  <c r="I12" i="3"/>
  <c r="E3" i="1"/>
  <c r="F3" i="1" s="1"/>
  <c r="G3" i="1" s="1"/>
  <c r="H3" i="1" s="1"/>
  <c r="I3" i="1" s="1"/>
  <c r="J3" i="1" s="1"/>
  <c r="K3" i="1" s="1"/>
  <c r="L3" i="1" s="1"/>
  <c r="M3" i="1" s="1"/>
  <c r="N3" i="1" s="1"/>
  <c r="X13" i="98" l="1"/>
  <c r="X13" i="49"/>
  <c r="X13" i="62"/>
  <c r="X13" i="35"/>
  <c r="X13" i="54"/>
  <c r="X13" i="51"/>
  <c r="BH24" i="20"/>
  <c r="X13" i="60"/>
  <c r="X13" i="63"/>
  <c r="W13" i="55"/>
  <c r="X13" i="52"/>
  <c r="X13" i="66"/>
  <c r="X13" i="64"/>
  <c r="X13" i="65"/>
  <c r="Y13" i="48"/>
  <c r="X13" i="33"/>
  <c r="X13" i="50"/>
  <c r="X13" i="59"/>
  <c r="X13" i="57"/>
  <c r="X13" i="53"/>
  <c r="AB13" i="37"/>
  <c r="X13" i="61"/>
  <c r="X13" i="58"/>
  <c r="U17" i="19"/>
  <c r="T17" i="19"/>
  <c r="O8" i="5"/>
  <c r="AD8" i="19"/>
  <c r="K8" i="19"/>
  <c r="R8" i="19" s="1"/>
  <c r="T13" i="3"/>
  <c r="G13" i="3"/>
  <c r="T16" i="19"/>
  <c r="U16" i="19"/>
  <c r="T15" i="3"/>
  <c r="G15" i="3"/>
  <c r="T14" i="3"/>
  <c r="G14" i="3"/>
  <c r="T14" i="19"/>
  <c r="F12" i="18"/>
  <c r="F16" i="18" s="1"/>
  <c r="F21" i="18" s="1"/>
  <c r="F10" i="19"/>
  <c r="F16" i="19" s="1"/>
  <c r="G12" i="3"/>
  <c r="T12" i="3"/>
  <c r="T16" i="3"/>
  <c r="G16" i="3"/>
  <c r="G14" i="325"/>
  <c r="F14" i="325" s="1"/>
  <c r="S31" i="96"/>
  <c r="G31" i="489" s="1"/>
  <c r="E110" i="347"/>
  <c r="V69" i="347"/>
  <c r="Q68" i="347"/>
  <c r="C68" i="347" s="1"/>
  <c r="E113" i="347"/>
  <c r="C17" i="4"/>
  <c r="B14" i="33" l="1"/>
  <c r="W13" i="33"/>
  <c r="Y13" i="33"/>
  <c r="B13" i="60"/>
  <c r="Y13" i="60"/>
  <c r="W13" i="60"/>
  <c r="AB14" i="37"/>
  <c r="X14" i="49"/>
  <c r="X14" i="98"/>
  <c r="BH25" i="20"/>
  <c r="X14" i="63"/>
  <c r="X14" i="59"/>
  <c r="X14" i="57"/>
  <c r="X14" i="65"/>
  <c r="X14" i="58"/>
  <c r="X14" i="54"/>
  <c r="X14" i="35"/>
  <c r="X14" i="52"/>
  <c r="X14" i="62"/>
  <c r="X14" i="50"/>
  <c r="X14" i="64"/>
  <c r="X14" i="53"/>
  <c r="X14" i="51"/>
  <c r="W14" i="55"/>
  <c r="X14" i="60"/>
  <c r="X14" i="33"/>
  <c r="Y14" i="48"/>
  <c r="X14" i="61"/>
  <c r="X14" i="66"/>
  <c r="B13" i="58"/>
  <c r="W13" i="58"/>
  <c r="Y13" i="58"/>
  <c r="B13" i="48"/>
  <c r="X13" i="48"/>
  <c r="Z13" i="48"/>
  <c r="B13" i="61"/>
  <c r="W13" i="61"/>
  <c r="Y13" i="61"/>
  <c r="B13" i="65"/>
  <c r="W13" i="65"/>
  <c r="Y13" i="65"/>
  <c r="B13" i="51"/>
  <c r="W13" i="51"/>
  <c r="Y13" i="51"/>
  <c r="X12" i="51"/>
  <c r="X12" i="64"/>
  <c r="Y12" i="48"/>
  <c r="X12" i="54"/>
  <c r="W12" i="55"/>
  <c r="X12" i="52"/>
  <c r="X12" i="33"/>
  <c r="X12" i="50"/>
  <c r="X12" i="35"/>
  <c r="X12" i="53"/>
  <c r="X12" i="57"/>
  <c r="X12" i="65"/>
  <c r="X12" i="66"/>
  <c r="X12" i="58"/>
  <c r="AB12" i="37"/>
  <c r="X12" i="98"/>
  <c r="X12" i="61"/>
  <c r="X12" i="60"/>
  <c r="X12" i="59"/>
  <c r="X12" i="63"/>
  <c r="X12" i="49"/>
  <c r="X12" i="62"/>
  <c r="BH23" i="20"/>
  <c r="B13" i="37"/>
  <c r="AC13" i="37"/>
  <c r="AA13" i="37"/>
  <c r="B13" i="64"/>
  <c r="Y13" i="64"/>
  <c r="W13" i="64"/>
  <c r="B13" i="54"/>
  <c r="W13" i="54"/>
  <c r="Y13" i="54"/>
  <c r="B13" i="53"/>
  <c r="Y13" i="53"/>
  <c r="W13" i="53"/>
  <c r="B13" i="66"/>
  <c r="W13" i="66"/>
  <c r="Y13" i="66"/>
  <c r="B13" i="35"/>
  <c r="W13" i="35"/>
  <c r="Y13" i="35"/>
  <c r="B13" i="57"/>
  <c r="Y13" i="57"/>
  <c r="W13" i="57"/>
  <c r="B13" i="52"/>
  <c r="W13" i="52"/>
  <c r="Y13" i="52"/>
  <c r="B13" i="62"/>
  <c r="W13" i="62"/>
  <c r="Y13" i="62"/>
  <c r="AC9" i="19"/>
  <c r="Q8" i="5"/>
  <c r="B13" i="59"/>
  <c r="W13" i="59"/>
  <c r="Y13" i="59"/>
  <c r="B13" i="55"/>
  <c r="V13" i="55"/>
  <c r="X13" i="55"/>
  <c r="B14" i="49"/>
  <c r="Y13" i="49"/>
  <c r="B143" i="49" s="1"/>
  <c r="W13" i="49"/>
  <c r="X15" i="59"/>
  <c r="X15" i="53"/>
  <c r="X15" i="49"/>
  <c r="X15" i="58"/>
  <c r="X15" i="35"/>
  <c r="X15" i="54"/>
  <c r="X15" i="62"/>
  <c r="X15" i="60"/>
  <c r="X15" i="50"/>
  <c r="X15" i="51"/>
  <c r="X15" i="64"/>
  <c r="Y15" i="48"/>
  <c r="X15" i="63"/>
  <c r="X15" i="33"/>
  <c r="W15" i="55"/>
  <c r="X15" i="65"/>
  <c r="X15" i="57"/>
  <c r="X15" i="98"/>
  <c r="X15" i="66"/>
  <c r="AB15" i="37"/>
  <c r="X15" i="52"/>
  <c r="X15" i="61"/>
  <c r="BH26" i="20"/>
  <c r="BI25" i="20" s="1"/>
  <c r="B13" i="50"/>
  <c r="Y13" i="50"/>
  <c r="W13" i="50"/>
  <c r="B13" i="63"/>
  <c r="Y13" i="63"/>
  <c r="W13" i="63"/>
  <c r="B13" i="98"/>
  <c r="W13" i="98"/>
  <c r="Y13" i="98"/>
  <c r="S35" i="96"/>
  <c r="G35" i="489" s="1"/>
  <c r="S32" i="96"/>
  <c r="G32" i="489" s="1"/>
  <c r="E111" i="347"/>
  <c r="Q69" i="347"/>
  <c r="C69" i="347" s="1"/>
  <c r="V70" i="347"/>
  <c r="D17" i="5"/>
  <c r="M17" i="4" s="1"/>
  <c r="D20" i="5"/>
  <c r="M20" i="4" s="1"/>
  <c r="B15" i="55" l="1"/>
  <c r="X15" i="55"/>
  <c r="V15" i="55"/>
  <c r="B15" i="62"/>
  <c r="Y15" i="62"/>
  <c r="W15" i="62"/>
  <c r="C13" i="66"/>
  <c r="E13" i="66" s="1"/>
  <c r="F13" i="66" s="1"/>
  <c r="J13" i="66" s="1"/>
  <c r="B38" i="66"/>
  <c r="C38" i="66" s="1"/>
  <c r="E38" i="66" s="1"/>
  <c r="F38" i="66" s="1"/>
  <c r="J38" i="66" s="1"/>
  <c r="P13" i="66" s="1"/>
  <c r="W39" i="67" s="1"/>
  <c r="W117" i="67" s="1"/>
  <c r="B12" i="63"/>
  <c r="Y12" i="63"/>
  <c r="W12" i="63"/>
  <c r="B12" i="65"/>
  <c r="W12" i="65"/>
  <c r="Y12" i="65"/>
  <c r="B12" i="54"/>
  <c r="W12" i="54"/>
  <c r="Y12" i="54"/>
  <c r="B14" i="55"/>
  <c r="X14" i="55"/>
  <c r="V14" i="55"/>
  <c r="B14" i="54"/>
  <c r="Y14" i="54"/>
  <c r="W14" i="54"/>
  <c r="B15" i="49"/>
  <c r="Y14" i="49"/>
  <c r="W14" i="49"/>
  <c r="B38" i="98"/>
  <c r="C38" i="98" s="1"/>
  <c r="C13" i="98"/>
  <c r="B15" i="61"/>
  <c r="Y15" i="61"/>
  <c r="W15" i="61"/>
  <c r="B16" i="33"/>
  <c r="W15" i="33"/>
  <c r="Y15" i="33"/>
  <c r="B15" i="54"/>
  <c r="W15" i="54"/>
  <c r="Y15" i="54"/>
  <c r="C14" i="49"/>
  <c r="B39" i="49"/>
  <c r="K9" i="19"/>
  <c r="R9" i="19" s="1"/>
  <c r="AD9" i="19"/>
  <c r="B38" i="64"/>
  <c r="C38" i="64" s="1"/>
  <c r="E38" i="64" s="1"/>
  <c r="F38" i="64" s="1"/>
  <c r="H38" i="64" s="1"/>
  <c r="N13" i="64" s="1"/>
  <c r="Q39" i="67" s="1"/>
  <c r="Q117" i="67" s="1"/>
  <c r="C13" i="64"/>
  <c r="E13" i="64" s="1"/>
  <c r="F13" i="64" s="1"/>
  <c r="H13" i="64" s="1"/>
  <c r="M13" i="64" s="1"/>
  <c r="B12" i="59"/>
  <c r="W12" i="59"/>
  <c r="Y12" i="59"/>
  <c r="B12" i="57"/>
  <c r="W12" i="57"/>
  <c r="Y12" i="57"/>
  <c r="B12" i="48"/>
  <c r="X12" i="48"/>
  <c r="Z12" i="48"/>
  <c r="B38" i="65"/>
  <c r="C38" i="65" s="1"/>
  <c r="C13" i="65"/>
  <c r="B14" i="51"/>
  <c r="W14" i="51"/>
  <c r="Y14" i="51"/>
  <c r="B14" i="58"/>
  <c r="Y14" i="58"/>
  <c r="W14" i="58"/>
  <c r="B14" i="37"/>
  <c r="AC14" i="37"/>
  <c r="AA14" i="37"/>
  <c r="B15" i="52"/>
  <c r="W15" i="52"/>
  <c r="Y15" i="52"/>
  <c r="B15" i="63"/>
  <c r="W15" i="63"/>
  <c r="Y15" i="63"/>
  <c r="B15" i="35"/>
  <c r="W15" i="35"/>
  <c r="Y15" i="35"/>
  <c r="B38" i="57"/>
  <c r="C38" i="57" s="1"/>
  <c r="F38" i="57" s="1"/>
  <c r="G38" i="57" s="1"/>
  <c r="J38" i="57" s="1"/>
  <c r="P13" i="57" s="1"/>
  <c r="E39" i="67" s="1"/>
  <c r="E117" i="67" s="1"/>
  <c r="C13" i="57"/>
  <c r="F13" i="57" s="1"/>
  <c r="G13" i="57" s="1"/>
  <c r="J13" i="57" s="1"/>
  <c r="B12" i="60"/>
  <c r="W12" i="60"/>
  <c r="Y12" i="60"/>
  <c r="B12" i="53"/>
  <c r="W12" i="53"/>
  <c r="Y12" i="53"/>
  <c r="B12" i="64"/>
  <c r="Y12" i="64"/>
  <c r="W12" i="64"/>
  <c r="B38" i="58"/>
  <c r="C38" i="58" s="1"/>
  <c r="F38" i="58" s="1"/>
  <c r="G38" i="58" s="1"/>
  <c r="H38" i="58" s="1"/>
  <c r="K38" i="58" s="1"/>
  <c r="Q13" i="58" s="1"/>
  <c r="L39" i="67" s="1"/>
  <c r="L117" i="67" s="1"/>
  <c r="C13" i="58"/>
  <c r="B14" i="53"/>
  <c r="B39" i="53" s="1"/>
  <c r="C39" i="53" s="1"/>
  <c r="F39" i="53" s="1"/>
  <c r="G39" i="53" s="1"/>
  <c r="J39" i="53" s="1"/>
  <c r="P14" i="53" s="1"/>
  <c r="H40" i="67" s="1"/>
  <c r="H118" i="67" s="1"/>
  <c r="W14" i="53"/>
  <c r="Y14" i="53"/>
  <c r="B14" i="65"/>
  <c r="W14" i="65"/>
  <c r="Y14" i="65"/>
  <c r="B199" i="37"/>
  <c r="B15" i="37"/>
  <c r="AA15" i="37"/>
  <c r="AC15" i="37"/>
  <c r="B15" i="48"/>
  <c r="Z15" i="48"/>
  <c r="X15" i="48"/>
  <c r="B15" i="58"/>
  <c r="W15" i="58"/>
  <c r="Y15" i="58"/>
  <c r="C13" i="53"/>
  <c r="F13" i="53" s="1"/>
  <c r="G13" i="53" s="1"/>
  <c r="J13" i="53" s="1"/>
  <c r="B38" i="53"/>
  <c r="C38" i="53" s="1"/>
  <c r="F38" i="53" s="1"/>
  <c r="G38" i="53" s="1"/>
  <c r="J38" i="53" s="1"/>
  <c r="P13" i="53" s="1"/>
  <c r="H39" i="67" s="1"/>
  <c r="H117" i="67" s="1"/>
  <c r="B12" i="61"/>
  <c r="Y12" i="61"/>
  <c r="W12" i="61"/>
  <c r="B12" i="35"/>
  <c r="Y12" i="35"/>
  <c r="W12" i="35"/>
  <c r="B12" i="51"/>
  <c r="Y12" i="51"/>
  <c r="W12" i="51"/>
  <c r="B14" i="66"/>
  <c r="W14" i="66"/>
  <c r="Y14" i="66"/>
  <c r="B14" i="64"/>
  <c r="W14" i="64"/>
  <c r="Y14" i="64"/>
  <c r="B14" i="57"/>
  <c r="Y14" i="57"/>
  <c r="W14" i="57"/>
  <c r="B38" i="63"/>
  <c r="C38" i="63" s="1"/>
  <c r="C13" i="63"/>
  <c r="B15" i="66"/>
  <c r="W15" i="66"/>
  <c r="Y15" i="66"/>
  <c r="B15" i="64"/>
  <c r="Y15" i="64"/>
  <c r="W15" i="64"/>
  <c r="B16" i="49"/>
  <c r="Y15" i="49"/>
  <c r="W15" i="49"/>
  <c r="C13" i="55"/>
  <c r="F13" i="55" s="1"/>
  <c r="G13" i="55" s="1"/>
  <c r="J13" i="55" s="1"/>
  <c r="B39" i="55"/>
  <c r="C39" i="55" s="1"/>
  <c r="F39" i="55" s="1"/>
  <c r="G39" i="55" s="1"/>
  <c r="J39" i="55" s="1"/>
  <c r="P13" i="55" s="1"/>
  <c r="D39" i="67" s="1"/>
  <c r="D117" i="67" s="1"/>
  <c r="C13" i="62"/>
  <c r="F13" i="62" s="1"/>
  <c r="G13" i="62" s="1"/>
  <c r="J13" i="62" s="1"/>
  <c r="B38" i="62"/>
  <c r="C38" i="62" s="1"/>
  <c r="F38" i="62" s="1"/>
  <c r="G38" i="62" s="1"/>
  <c r="J38" i="62" s="1"/>
  <c r="P13" i="62" s="1"/>
  <c r="K39" i="67" s="1"/>
  <c r="K117" i="67" s="1"/>
  <c r="B197" i="37"/>
  <c r="B59" i="37"/>
  <c r="C13" i="37"/>
  <c r="B12" i="98"/>
  <c r="Y12" i="98"/>
  <c r="W12" i="98"/>
  <c r="B12" i="50"/>
  <c r="W12" i="50"/>
  <c r="Y12" i="50"/>
  <c r="C13" i="61"/>
  <c r="F13" i="61" s="1"/>
  <c r="G13" i="61" s="1"/>
  <c r="I13" i="61" s="1"/>
  <c r="B38" i="61"/>
  <c r="C38" i="61" s="1"/>
  <c r="F38" i="61" s="1"/>
  <c r="G38" i="61" s="1"/>
  <c r="I38" i="61" s="1"/>
  <c r="O13" i="61" s="1"/>
  <c r="U39" i="67" s="1"/>
  <c r="U117" i="67" s="1"/>
  <c r="B14" i="61"/>
  <c r="Y14" i="61"/>
  <c r="W14" i="61"/>
  <c r="B14" i="50"/>
  <c r="W14" i="50"/>
  <c r="Y14" i="50"/>
  <c r="B14" i="59"/>
  <c r="W14" i="59"/>
  <c r="Y14" i="59"/>
  <c r="B38" i="60"/>
  <c r="C38" i="60" s="1"/>
  <c r="F38" i="60" s="1"/>
  <c r="G38" i="60" s="1"/>
  <c r="J38" i="60" s="1"/>
  <c r="P13" i="60" s="1"/>
  <c r="S39" i="67" s="1"/>
  <c r="S117" i="67" s="1"/>
  <c r="X117" i="67" s="1"/>
  <c r="C13" i="60"/>
  <c r="B15" i="98"/>
  <c r="W15" i="98"/>
  <c r="Y15" i="98"/>
  <c r="B15" i="51"/>
  <c r="Y15" i="51"/>
  <c r="W15" i="51"/>
  <c r="B15" i="53"/>
  <c r="Y15" i="53"/>
  <c r="W15" i="53"/>
  <c r="C13" i="35"/>
  <c r="F13" i="35" s="1"/>
  <c r="G13" i="35" s="1"/>
  <c r="I13" i="35" s="1"/>
  <c r="B38" i="35"/>
  <c r="C38" i="35" s="1"/>
  <c r="F38" i="35" s="1"/>
  <c r="G38" i="35" s="1"/>
  <c r="I38" i="35" s="1"/>
  <c r="O13" i="35" s="1"/>
  <c r="T39" i="67" s="1"/>
  <c r="T117" i="67" s="1"/>
  <c r="BI22" i="20"/>
  <c r="BI24" i="20"/>
  <c r="BI23" i="20"/>
  <c r="B12" i="37"/>
  <c r="AC12" i="37"/>
  <c r="AA12" i="37"/>
  <c r="J57" i="37" s="1"/>
  <c r="B13" i="33"/>
  <c r="Y12" i="33"/>
  <c r="W12" i="33"/>
  <c r="B14" i="48"/>
  <c r="Z14" i="48"/>
  <c r="X14" i="48"/>
  <c r="B14" i="62"/>
  <c r="Y14" i="62"/>
  <c r="W14" i="62"/>
  <c r="B14" i="63"/>
  <c r="W14" i="63"/>
  <c r="Y14" i="63"/>
  <c r="B15" i="57"/>
  <c r="W15" i="57"/>
  <c r="Y15" i="57"/>
  <c r="B15" i="50"/>
  <c r="Y15" i="50"/>
  <c r="W15" i="50"/>
  <c r="B15" i="59"/>
  <c r="W15" i="59"/>
  <c r="Y15" i="59"/>
  <c r="B38" i="54"/>
  <c r="C38" i="54" s="1"/>
  <c r="F38" i="54" s="1"/>
  <c r="G38" i="54" s="1"/>
  <c r="I38" i="54" s="1"/>
  <c r="P13" i="54" s="1"/>
  <c r="G39" i="67" s="1"/>
  <c r="G117" i="67" s="1"/>
  <c r="C13" i="54"/>
  <c r="F13" i="54" s="1"/>
  <c r="G13" i="54" s="1"/>
  <c r="I13" i="54" s="1"/>
  <c r="B12" i="62"/>
  <c r="Y12" i="62"/>
  <c r="W12" i="62"/>
  <c r="B12" i="58"/>
  <c r="W12" i="58"/>
  <c r="Y12" i="58"/>
  <c r="B12" i="52"/>
  <c r="W12" i="52"/>
  <c r="Y12" i="52"/>
  <c r="C13" i="51"/>
  <c r="E13" i="51" s="1"/>
  <c r="H13" i="51" s="1"/>
  <c r="B38" i="51"/>
  <c r="C38" i="51" s="1"/>
  <c r="E38" i="51" s="1"/>
  <c r="H38" i="51" s="1"/>
  <c r="Q13" i="51" s="1"/>
  <c r="I39" i="67" s="1"/>
  <c r="I117" i="67" s="1"/>
  <c r="B15" i="33"/>
  <c r="W14" i="33"/>
  <c r="Y14" i="33"/>
  <c r="B14" i="52"/>
  <c r="W14" i="52"/>
  <c r="Y14" i="52"/>
  <c r="B38" i="50"/>
  <c r="C38" i="50" s="1"/>
  <c r="C13" i="50"/>
  <c r="E13" i="50" s="1"/>
  <c r="G13" i="50" s="1"/>
  <c r="I13" i="50" s="1"/>
  <c r="B15" i="65"/>
  <c r="W15" i="65"/>
  <c r="Y15" i="65"/>
  <c r="B15" i="60"/>
  <c r="Y15" i="60"/>
  <c r="W15" i="60"/>
  <c r="B38" i="59"/>
  <c r="C38" i="59" s="1"/>
  <c r="E38" i="59" s="1"/>
  <c r="F38" i="59" s="1"/>
  <c r="I38" i="59" s="1"/>
  <c r="O13" i="59" s="1"/>
  <c r="M39" i="67" s="1"/>
  <c r="M117" i="67" s="1"/>
  <c r="C13" i="59"/>
  <c r="E13" i="59" s="1"/>
  <c r="F13" i="59" s="1"/>
  <c r="I13" i="59" s="1"/>
  <c r="B38" i="52"/>
  <c r="C38" i="52" s="1"/>
  <c r="G38" i="52" s="1"/>
  <c r="H38" i="52" s="1"/>
  <c r="J38" i="52" s="1"/>
  <c r="R13" i="52" s="1"/>
  <c r="J39" i="67" s="1"/>
  <c r="J117" i="67" s="1"/>
  <c r="C13" i="52"/>
  <c r="G13" i="52" s="1"/>
  <c r="H13" i="52" s="1"/>
  <c r="J13" i="52" s="1"/>
  <c r="B13" i="49"/>
  <c r="Y12" i="49"/>
  <c r="B142" i="49" s="1"/>
  <c r="W12" i="49"/>
  <c r="B12" i="66"/>
  <c r="W12" i="66"/>
  <c r="Y12" i="66"/>
  <c r="B12" i="55"/>
  <c r="X12" i="55"/>
  <c r="V12" i="55"/>
  <c r="C13" i="48"/>
  <c r="F13" i="48" s="1"/>
  <c r="G13" i="48" s="1"/>
  <c r="J13" i="48" s="1"/>
  <c r="B38" i="48"/>
  <c r="C38" i="48" s="1"/>
  <c r="F38" i="48" s="1"/>
  <c r="G38" i="48" s="1"/>
  <c r="J38" i="48" s="1"/>
  <c r="P13" i="48" s="1"/>
  <c r="C39" i="67" s="1"/>
  <c r="B14" i="60"/>
  <c r="Y14" i="60"/>
  <c r="W14" i="60"/>
  <c r="B14" i="35"/>
  <c r="W14" i="35"/>
  <c r="Y14" i="35"/>
  <c r="B14" i="98"/>
  <c r="W14" i="98"/>
  <c r="Y14" i="98"/>
  <c r="B39" i="33"/>
  <c r="C39" i="33" s="1"/>
  <c r="C14" i="33"/>
  <c r="Y14" i="126"/>
  <c r="S33" i="96"/>
  <c r="G33" i="489" s="1"/>
  <c r="E112" i="347"/>
  <c r="Q70" i="347"/>
  <c r="C70" i="347" s="1"/>
  <c r="V71" i="347"/>
  <c r="Q71" i="347" s="1"/>
  <c r="C71" i="347" s="1"/>
  <c r="N20" i="4"/>
  <c r="O20" i="4"/>
  <c r="AU30" i="20" s="1"/>
  <c r="N17" i="4"/>
  <c r="O17" i="4" s="1"/>
  <c r="AU27" i="20" s="1"/>
  <c r="AA21" i="19"/>
  <c r="C4" i="19" s="1"/>
  <c r="C10" i="18" s="1"/>
  <c r="W19" i="18"/>
  <c r="AA18" i="19"/>
  <c r="W16" i="18"/>
  <c r="AA20" i="5"/>
  <c r="AB20" i="5" s="1"/>
  <c r="AA17" i="5"/>
  <c r="B17" i="5"/>
  <c r="C17" i="5" s="1"/>
  <c r="B17" i="4" s="1"/>
  <c r="H17" i="5"/>
  <c r="H20" i="5"/>
  <c r="B20" i="5"/>
  <c r="C20" i="5" s="1"/>
  <c r="B20" i="4" s="1"/>
  <c r="D18" i="5"/>
  <c r="C14" i="60" l="1"/>
  <c r="B39" i="60"/>
  <c r="C39" i="60" s="1"/>
  <c r="F39" i="60" s="1"/>
  <c r="G39" i="60" s="1"/>
  <c r="J39" i="60" s="1"/>
  <c r="P14" i="60" s="1"/>
  <c r="S40" i="67" s="1"/>
  <c r="S118" i="67" s="1"/>
  <c r="X118" i="67" s="1"/>
  <c r="C12" i="66"/>
  <c r="E12" i="66" s="1"/>
  <c r="F12" i="66" s="1"/>
  <c r="J12" i="66" s="1"/>
  <c r="B37" i="66"/>
  <c r="C37" i="66" s="1"/>
  <c r="E37" i="66" s="1"/>
  <c r="F37" i="66" s="1"/>
  <c r="J37" i="66" s="1"/>
  <c r="P12" i="66" s="1"/>
  <c r="W38" i="67" s="1"/>
  <c r="W116" i="67" s="1"/>
  <c r="B37" i="62"/>
  <c r="C37" i="62" s="1"/>
  <c r="F37" i="62" s="1"/>
  <c r="G37" i="62" s="1"/>
  <c r="J37" i="62" s="1"/>
  <c r="P12" i="62" s="1"/>
  <c r="K38" i="67" s="1"/>
  <c r="K116" i="67" s="1"/>
  <c r="C12" i="62"/>
  <c r="F12" i="62" s="1"/>
  <c r="G12" i="62" s="1"/>
  <c r="J12" i="62" s="1"/>
  <c r="B40" i="50"/>
  <c r="C40" i="50" s="1"/>
  <c r="C15" i="50"/>
  <c r="E15" i="50" s="1"/>
  <c r="G15" i="50" s="1"/>
  <c r="I15" i="50" s="1"/>
  <c r="J220" i="37"/>
  <c r="V38" i="183"/>
  <c r="P11" i="37"/>
  <c r="B37" i="67" s="1"/>
  <c r="B115" i="67" s="1"/>
  <c r="B146" i="37"/>
  <c r="B40" i="98"/>
  <c r="C40" i="98" s="1"/>
  <c r="C15" i="98"/>
  <c r="B39" i="50"/>
  <c r="C39" i="50" s="1"/>
  <c r="C14" i="50"/>
  <c r="E14" i="50" s="1"/>
  <c r="G14" i="50" s="1"/>
  <c r="I14" i="50" s="1"/>
  <c r="P14" i="50" s="1"/>
  <c r="V14" i="67" s="1"/>
  <c r="V92" i="67" s="1"/>
  <c r="C12" i="50"/>
  <c r="B37" i="50"/>
  <c r="C37" i="50" s="1"/>
  <c r="O13" i="62"/>
  <c r="K13" i="67" s="1"/>
  <c r="K91" i="67" s="1"/>
  <c r="B91" i="62"/>
  <c r="B40" i="64"/>
  <c r="C40" i="64" s="1"/>
  <c r="E40" i="64" s="1"/>
  <c r="F40" i="64" s="1"/>
  <c r="H40" i="64" s="1"/>
  <c r="N15" i="64" s="1"/>
  <c r="Q41" i="67" s="1"/>
  <c r="Q119" i="67" s="1"/>
  <c r="C15" i="64"/>
  <c r="E15" i="64" s="1"/>
  <c r="F15" i="64" s="1"/>
  <c r="H15" i="64" s="1"/>
  <c r="M15" i="64" s="1"/>
  <c r="B39" i="57"/>
  <c r="C39" i="57" s="1"/>
  <c r="F39" i="57" s="1"/>
  <c r="G39" i="57" s="1"/>
  <c r="J39" i="57" s="1"/>
  <c r="P14" i="57" s="1"/>
  <c r="E40" i="67" s="1"/>
  <c r="E118" i="67" s="1"/>
  <c r="C14" i="57"/>
  <c r="F14" i="57" s="1"/>
  <c r="G14" i="57" s="1"/>
  <c r="J14" i="57" s="1"/>
  <c r="B41" i="33"/>
  <c r="C41" i="33" s="1"/>
  <c r="C16" i="33"/>
  <c r="C15" i="49"/>
  <c r="B40" i="49"/>
  <c r="O13" i="54"/>
  <c r="G13" i="67" s="1"/>
  <c r="G91" i="67" s="1"/>
  <c r="B87" i="54"/>
  <c r="AG13" i="60"/>
  <c r="AJ13" i="60" s="1"/>
  <c r="H13" i="60" s="1"/>
  <c r="F13" i="60"/>
  <c r="G13" i="60" s="1"/>
  <c r="J13" i="60" s="1"/>
  <c r="B89" i="53"/>
  <c r="O13" i="53"/>
  <c r="H13" i="67" s="1"/>
  <c r="H91" i="67" s="1"/>
  <c r="C15" i="35"/>
  <c r="F15" i="35" s="1"/>
  <c r="G15" i="35" s="1"/>
  <c r="I15" i="35" s="1"/>
  <c r="B40" i="35"/>
  <c r="C40" i="35" s="1"/>
  <c r="F40" i="35" s="1"/>
  <c r="G40" i="35" s="1"/>
  <c r="I40" i="35" s="1"/>
  <c r="O15" i="35" s="1"/>
  <c r="T41" i="67" s="1"/>
  <c r="T119" i="67" s="1"/>
  <c r="B37" i="54"/>
  <c r="C37" i="54" s="1"/>
  <c r="C12" i="54"/>
  <c r="B39" i="98"/>
  <c r="C39" i="98" s="1"/>
  <c r="C14" i="98"/>
  <c r="B86" i="48"/>
  <c r="O13" i="48"/>
  <c r="C13" i="67" s="1"/>
  <c r="B40" i="60"/>
  <c r="C40" i="60" s="1"/>
  <c r="F40" i="60" s="1"/>
  <c r="G40" i="60" s="1"/>
  <c r="J40" i="60" s="1"/>
  <c r="P15" i="60" s="1"/>
  <c r="S41" i="67" s="1"/>
  <c r="S119" i="67" s="1"/>
  <c r="X119" i="67" s="1"/>
  <c r="C15" i="60"/>
  <c r="C14" i="52"/>
  <c r="G14" i="52" s="1"/>
  <c r="H14" i="52" s="1"/>
  <c r="J14" i="52" s="1"/>
  <c r="B39" i="52"/>
  <c r="C39" i="52" s="1"/>
  <c r="G39" i="52" s="1"/>
  <c r="H39" i="52" s="1"/>
  <c r="J39" i="52" s="1"/>
  <c r="R14" i="52" s="1"/>
  <c r="J40" i="67" s="1"/>
  <c r="J118" i="67" s="1"/>
  <c r="B37" i="52"/>
  <c r="C37" i="52" s="1"/>
  <c r="G37" i="52" s="1"/>
  <c r="H37" i="52" s="1"/>
  <c r="J37" i="52" s="1"/>
  <c r="R12" i="52" s="1"/>
  <c r="J38" i="67" s="1"/>
  <c r="J116" i="67" s="1"/>
  <c r="C12" i="52"/>
  <c r="G12" i="52" s="1"/>
  <c r="H12" i="52" s="1"/>
  <c r="J12" i="52" s="1"/>
  <c r="B196" i="37"/>
  <c r="C12" i="37"/>
  <c r="B58" i="37"/>
  <c r="C15" i="53"/>
  <c r="F15" i="53" s="1"/>
  <c r="G15" i="53" s="1"/>
  <c r="J15" i="53" s="1"/>
  <c r="B40" i="53"/>
  <c r="C40" i="53" s="1"/>
  <c r="F40" i="53" s="1"/>
  <c r="G40" i="53" s="1"/>
  <c r="J40" i="53" s="1"/>
  <c r="P15" i="53" s="1"/>
  <c r="H41" i="67" s="1"/>
  <c r="H119" i="67" s="1"/>
  <c r="O13" i="55"/>
  <c r="D13" i="67" s="1"/>
  <c r="D91" i="67" s="1"/>
  <c r="BH14" i="130" s="1"/>
  <c r="AT15" i="130" s="1"/>
  <c r="AS15" i="130" s="1"/>
  <c r="B89" i="55"/>
  <c r="C15" i="37"/>
  <c r="B61" i="37"/>
  <c r="F13" i="58"/>
  <c r="D13" i="58"/>
  <c r="G13" i="58"/>
  <c r="H13" i="58" s="1"/>
  <c r="K13" i="58" s="1"/>
  <c r="B60" i="37"/>
  <c r="C14" i="37"/>
  <c r="E13" i="65"/>
  <c r="J13" i="65" s="1"/>
  <c r="L13" i="65" s="1"/>
  <c r="H13" i="65"/>
  <c r="G13" i="65"/>
  <c r="C143" i="49"/>
  <c r="E14" i="49"/>
  <c r="E143" i="49" s="1"/>
  <c r="G14" i="49"/>
  <c r="G143" i="49" s="1"/>
  <c r="B91" i="66"/>
  <c r="O13" i="66"/>
  <c r="W13" i="67" s="1"/>
  <c r="W91" i="67" s="1"/>
  <c r="C13" i="49"/>
  <c r="B38" i="49"/>
  <c r="C15" i="57"/>
  <c r="F15" i="57" s="1"/>
  <c r="G15" i="57" s="1"/>
  <c r="J15" i="57" s="1"/>
  <c r="B40" i="57"/>
  <c r="C40" i="57" s="1"/>
  <c r="F40" i="57" s="1"/>
  <c r="G40" i="57" s="1"/>
  <c r="J40" i="57" s="1"/>
  <c r="P15" i="57" s="1"/>
  <c r="E41" i="67" s="1"/>
  <c r="E119" i="67" s="1"/>
  <c r="C14" i="61"/>
  <c r="F14" i="61" s="1"/>
  <c r="G14" i="61" s="1"/>
  <c r="I14" i="61" s="1"/>
  <c r="B39" i="61"/>
  <c r="C39" i="61" s="1"/>
  <c r="F39" i="61" s="1"/>
  <c r="G39" i="61" s="1"/>
  <c r="I39" i="61" s="1"/>
  <c r="O14" i="61" s="1"/>
  <c r="U40" i="67" s="1"/>
  <c r="U118" i="67" s="1"/>
  <c r="C12" i="98"/>
  <c r="B37" i="98"/>
  <c r="C37" i="98" s="1"/>
  <c r="C15" i="66"/>
  <c r="E15" i="66" s="1"/>
  <c r="F15" i="66" s="1"/>
  <c r="J15" i="66" s="1"/>
  <c r="B40" i="66"/>
  <c r="C40" i="66" s="1"/>
  <c r="E40" i="66" s="1"/>
  <c r="F40" i="66" s="1"/>
  <c r="J40" i="66" s="1"/>
  <c r="P15" i="66" s="1"/>
  <c r="W41" i="67" s="1"/>
  <c r="W119" i="67" s="1"/>
  <c r="C14" i="64"/>
  <c r="E14" i="64" s="1"/>
  <c r="F14" i="64" s="1"/>
  <c r="H14" i="64" s="1"/>
  <c r="M14" i="64" s="1"/>
  <c r="B39" i="64"/>
  <c r="C39" i="64" s="1"/>
  <c r="E39" i="64" s="1"/>
  <c r="F39" i="64" s="1"/>
  <c r="H39" i="64" s="1"/>
  <c r="N14" i="64" s="1"/>
  <c r="Q40" i="67" s="1"/>
  <c r="Q118" i="67" s="1"/>
  <c r="B198" i="37"/>
  <c r="G38" i="65"/>
  <c r="H38" i="65"/>
  <c r="E38" i="65"/>
  <c r="J38" i="65" s="1"/>
  <c r="L38" i="65" s="1"/>
  <c r="Q13" i="65" s="1"/>
  <c r="O39" i="67" s="1"/>
  <c r="O117" i="67" s="1"/>
  <c r="C15" i="61"/>
  <c r="F15" i="61" s="1"/>
  <c r="G15" i="61" s="1"/>
  <c r="I15" i="61" s="1"/>
  <c r="B40" i="61"/>
  <c r="C40" i="61" s="1"/>
  <c r="F40" i="61" s="1"/>
  <c r="G40" i="61" s="1"/>
  <c r="I40" i="61" s="1"/>
  <c r="O15" i="61" s="1"/>
  <c r="U41" i="67" s="1"/>
  <c r="U119" i="67" s="1"/>
  <c r="C14" i="54"/>
  <c r="F14" i="54" s="1"/>
  <c r="G14" i="54" s="1"/>
  <c r="I14" i="54" s="1"/>
  <c r="B39" i="54"/>
  <c r="C39" i="54" s="1"/>
  <c r="F39" i="54" s="1"/>
  <c r="G39" i="54" s="1"/>
  <c r="I39" i="54" s="1"/>
  <c r="P14" i="54" s="1"/>
  <c r="G40" i="67" s="1"/>
  <c r="G118" i="67" s="1"/>
  <c r="B91" i="52"/>
  <c r="Q13" i="52"/>
  <c r="J13" i="67" s="1"/>
  <c r="J91" i="67" s="1"/>
  <c r="B39" i="48"/>
  <c r="C39" i="48" s="1"/>
  <c r="F39" i="48" s="1"/>
  <c r="G39" i="48" s="1"/>
  <c r="J39" i="48" s="1"/>
  <c r="P14" i="48" s="1"/>
  <c r="C40" i="67" s="1"/>
  <c r="C14" i="48"/>
  <c r="F14" i="48" s="1"/>
  <c r="G14" i="48" s="1"/>
  <c r="J14" i="48" s="1"/>
  <c r="C197" i="37"/>
  <c r="F13" i="37"/>
  <c r="F197" i="37" s="1"/>
  <c r="D13" i="37"/>
  <c r="D197" i="37" s="1"/>
  <c r="G13" i="37"/>
  <c r="C16" i="49"/>
  <c r="E13" i="63"/>
  <c r="F13" i="63" s="1"/>
  <c r="J13" i="63" s="1"/>
  <c r="H13" i="63"/>
  <c r="B37" i="35"/>
  <c r="C37" i="35" s="1"/>
  <c r="F37" i="35" s="1"/>
  <c r="G37" i="35" s="1"/>
  <c r="I37" i="35" s="1"/>
  <c r="O12" i="35" s="1"/>
  <c r="T38" i="67" s="1"/>
  <c r="T116" i="67" s="1"/>
  <c r="C12" i="35"/>
  <c r="F12" i="35" s="1"/>
  <c r="G12" i="35" s="1"/>
  <c r="I12" i="35" s="1"/>
  <c r="C15" i="58"/>
  <c r="B40" i="58"/>
  <c r="C40" i="58" s="1"/>
  <c r="F40" i="58" s="1"/>
  <c r="G40" i="58" s="1"/>
  <c r="H40" i="58" s="1"/>
  <c r="K40" i="58" s="1"/>
  <c r="Q15" i="58" s="1"/>
  <c r="L41" i="67" s="1"/>
  <c r="L119" i="67" s="1"/>
  <c r="B37" i="60"/>
  <c r="C37" i="60" s="1"/>
  <c r="F37" i="60" s="1"/>
  <c r="G37" i="60" s="1"/>
  <c r="J37" i="60" s="1"/>
  <c r="P12" i="60" s="1"/>
  <c r="S38" i="67" s="1"/>
  <c r="S116" i="67" s="1"/>
  <c r="X116" i="67" s="1"/>
  <c r="C12" i="60"/>
  <c r="C15" i="63"/>
  <c r="B40" i="63"/>
  <c r="C40" i="63" s="1"/>
  <c r="C12" i="59"/>
  <c r="E12" i="59" s="1"/>
  <c r="F12" i="59" s="1"/>
  <c r="I12" i="59" s="1"/>
  <c r="B37" i="59"/>
  <c r="C37" i="59" s="1"/>
  <c r="E37" i="59" s="1"/>
  <c r="F37" i="59" s="1"/>
  <c r="I37" i="59" s="1"/>
  <c r="O12" i="59" s="1"/>
  <c r="M38" i="67" s="1"/>
  <c r="M116" i="67" s="1"/>
  <c r="D13" i="98"/>
  <c r="F13" i="98"/>
  <c r="G13" i="98"/>
  <c r="K13" i="98" s="1"/>
  <c r="C12" i="65"/>
  <c r="B37" i="65"/>
  <c r="C37" i="65" s="1"/>
  <c r="B40" i="62"/>
  <c r="C40" i="62" s="1"/>
  <c r="F40" i="62" s="1"/>
  <c r="G40" i="62" s="1"/>
  <c r="J40" i="62" s="1"/>
  <c r="P15" i="62" s="1"/>
  <c r="K41" i="67" s="1"/>
  <c r="K119" i="67" s="1"/>
  <c r="C15" i="62"/>
  <c r="F15" i="62" s="1"/>
  <c r="G15" i="62" s="1"/>
  <c r="J15" i="62" s="1"/>
  <c r="B39" i="62"/>
  <c r="C39" i="62" s="1"/>
  <c r="F39" i="62" s="1"/>
  <c r="G39" i="62" s="1"/>
  <c r="J39" i="62" s="1"/>
  <c r="P14" i="62" s="1"/>
  <c r="K40" i="67" s="1"/>
  <c r="K118" i="67" s="1"/>
  <c r="C14" i="62"/>
  <c r="F14" i="62" s="1"/>
  <c r="G14" i="62" s="1"/>
  <c r="J14" i="62" s="1"/>
  <c r="C12" i="51"/>
  <c r="E12" i="51" s="1"/>
  <c r="H12" i="51" s="1"/>
  <c r="B37" i="51"/>
  <c r="C37" i="51" s="1"/>
  <c r="E37" i="51" s="1"/>
  <c r="H37" i="51" s="1"/>
  <c r="Q12" i="51" s="1"/>
  <c r="I38" i="67" s="1"/>
  <c r="I116" i="67" s="1"/>
  <c r="C14" i="35"/>
  <c r="F14" i="35" s="1"/>
  <c r="G14" i="35" s="1"/>
  <c r="I14" i="35" s="1"/>
  <c r="B39" i="35"/>
  <c r="C39" i="35" s="1"/>
  <c r="F39" i="35" s="1"/>
  <c r="G39" i="35" s="1"/>
  <c r="I39" i="35" s="1"/>
  <c r="O14" i="35" s="1"/>
  <c r="T40" i="67" s="1"/>
  <c r="T118" i="67" s="1"/>
  <c r="C12" i="55"/>
  <c r="F12" i="55" s="1"/>
  <c r="G12" i="55" s="1"/>
  <c r="J12" i="55" s="1"/>
  <c r="B38" i="55"/>
  <c r="C38" i="55" s="1"/>
  <c r="F38" i="55" s="1"/>
  <c r="G38" i="55" s="1"/>
  <c r="J38" i="55" s="1"/>
  <c r="P12" i="55" s="1"/>
  <c r="D38" i="67" s="1"/>
  <c r="D116" i="67" s="1"/>
  <c r="B40" i="65"/>
  <c r="C40" i="65" s="1"/>
  <c r="C15" i="65"/>
  <c r="B40" i="33"/>
  <c r="C40" i="33" s="1"/>
  <c r="C15" i="33"/>
  <c r="B37" i="58"/>
  <c r="C37" i="58" s="1"/>
  <c r="F37" i="58" s="1"/>
  <c r="G37" i="58" s="1"/>
  <c r="H37" i="58" s="1"/>
  <c r="K37" i="58" s="1"/>
  <c r="Q12" i="58" s="1"/>
  <c r="L38" i="67" s="1"/>
  <c r="L116" i="67" s="1"/>
  <c r="C12" i="58"/>
  <c r="B40" i="59"/>
  <c r="C40" i="59" s="1"/>
  <c r="E40" i="59" s="1"/>
  <c r="F40" i="59" s="1"/>
  <c r="I40" i="59" s="1"/>
  <c r="O15" i="59" s="1"/>
  <c r="M41" i="67" s="1"/>
  <c r="M119" i="67" s="1"/>
  <c r="C15" i="59"/>
  <c r="E15" i="59" s="1"/>
  <c r="F15" i="59" s="1"/>
  <c r="I15" i="59" s="1"/>
  <c r="C15" i="51"/>
  <c r="E15" i="51" s="1"/>
  <c r="H15" i="51" s="1"/>
  <c r="B40" i="51"/>
  <c r="C40" i="51" s="1"/>
  <c r="E40" i="51" s="1"/>
  <c r="H40" i="51" s="1"/>
  <c r="Q15" i="51" s="1"/>
  <c r="I41" i="67" s="1"/>
  <c r="I119" i="67" s="1"/>
  <c r="B39" i="59"/>
  <c r="C39" i="59" s="1"/>
  <c r="E39" i="59" s="1"/>
  <c r="F39" i="59" s="1"/>
  <c r="I39" i="59" s="1"/>
  <c r="O14" i="59" s="1"/>
  <c r="M40" i="67" s="1"/>
  <c r="M118" i="67" s="1"/>
  <c r="C14" i="59"/>
  <c r="E14" i="59" s="1"/>
  <c r="F14" i="59" s="1"/>
  <c r="I14" i="59" s="1"/>
  <c r="B91" i="61"/>
  <c r="N13" i="61"/>
  <c r="U13" i="67" s="1"/>
  <c r="U91" i="67" s="1"/>
  <c r="C59" i="37"/>
  <c r="B222" i="37"/>
  <c r="B145" i="49"/>
  <c r="B41" i="49"/>
  <c r="E38" i="63"/>
  <c r="F38" i="63" s="1"/>
  <c r="J38" i="63" s="1"/>
  <c r="P13" i="63" s="1"/>
  <c r="N39" i="67" s="1"/>
  <c r="N117" i="67" s="1"/>
  <c r="H38" i="63"/>
  <c r="O13" i="57"/>
  <c r="E13" i="67" s="1"/>
  <c r="E91" i="67" s="1"/>
  <c r="BG14" i="140" s="1"/>
  <c r="AS15" i="140" s="1"/>
  <c r="B87" i="57"/>
  <c r="Q13" i="67"/>
  <c r="Q91" i="67" s="1"/>
  <c r="B94" i="64"/>
  <c r="C15" i="54"/>
  <c r="F15" i="54" s="1"/>
  <c r="G15" i="54" s="1"/>
  <c r="I15" i="54" s="1"/>
  <c r="B40" i="54"/>
  <c r="C40" i="54" s="1"/>
  <c r="F40" i="54" s="1"/>
  <c r="G40" i="54" s="1"/>
  <c r="I40" i="54" s="1"/>
  <c r="P15" i="54" s="1"/>
  <c r="G41" i="67" s="1"/>
  <c r="G119" i="67" s="1"/>
  <c r="D38" i="98"/>
  <c r="G38" i="98" s="1"/>
  <c r="K38" i="98" s="1"/>
  <c r="Q13" i="98" s="1"/>
  <c r="F39" i="67" s="1"/>
  <c r="F117" i="67" s="1"/>
  <c r="F38" i="98"/>
  <c r="B37" i="53"/>
  <c r="C37" i="53" s="1"/>
  <c r="F37" i="53" s="1"/>
  <c r="G37" i="53" s="1"/>
  <c r="J37" i="53" s="1"/>
  <c r="P12" i="53" s="1"/>
  <c r="H38" i="67" s="1"/>
  <c r="H116" i="67" s="1"/>
  <c r="C12" i="53"/>
  <c r="F12" i="53" s="1"/>
  <c r="G12" i="53" s="1"/>
  <c r="J12" i="53" s="1"/>
  <c r="C14" i="51"/>
  <c r="E14" i="51" s="1"/>
  <c r="H14" i="51" s="1"/>
  <c r="B39" i="51"/>
  <c r="C39" i="51" s="1"/>
  <c r="E39" i="51" s="1"/>
  <c r="H39" i="51" s="1"/>
  <c r="Q14" i="51" s="1"/>
  <c r="I40" i="67" s="1"/>
  <c r="I118" i="67" s="1"/>
  <c r="B37" i="57"/>
  <c r="C37" i="57" s="1"/>
  <c r="F37" i="57" s="1"/>
  <c r="G37" i="57" s="1"/>
  <c r="J37" i="57" s="1"/>
  <c r="P12" i="57" s="1"/>
  <c r="E38" i="67" s="1"/>
  <c r="E116" i="67" s="1"/>
  <c r="C12" i="57"/>
  <c r="F12" i="57" s="1"/>
  <c r="G12" i="57" s="1"/>
  <c r="J12" i="57" s="1"/>
  <c r="C39" i="49"/>
  <c r="B169" i="49"/>
  <c r="F14" i="33"/>
  <c r="D14" i="33"/>
  <c r="G14" i="33"/>
  <c r="P14" i="33" s="1"/>
  <c r="N13" i="59"/>
  <c r="M13" i="67" s="1"/>
  <c r="M91" i="67" s="1"/>
  <c r="B89" i="59"/>
  <c r="P13" i="50"/>
  <c r="V13" i="67" s="1"/>
  <c r="V91" i="67" s="1"/>
  <c r="C14" i="63"/>
  <c r="B39" i="63"/>
  <c r="C39" i="63" s="1"/>
  <c r="C14" i="66"/>
  <c r="E14" i="66" s="1"/>
  <c r="F14" i="66" s="1"/>
  <c r="J14" i="66" s="1"/>
  <c r="B39" i="66"/>
  <c r="C39" i="66" s="1"/>
  <c r="E39" i="66" s="1"/>
  <c r="F39" i="66" s="1"/>
  <c r="J39" i="66" s="1"/>
  <c r="P14" i="66" s="1"/>
  <c r="W40" i="67" s="1"/>
  <c r="W118" i="67" s="1"/>
  <c r="B39" i="65"/>
  <c r="C39" i="65" s="1"/>
  <c r="C14" i="65"/>
  <c r="B37" i="64"/>
  <c r="C37" i="64" s="1"/>
  <c r="E37" i="64" s="1"/>
  <c r="F37" i="64" s="1"/>
  <c r="H37" i="64" s="1"/>
  <c r="N12" i="64" s="1"/>
  <c r="Q38" i="67" s="1"/>
  <c r="Q116" i="67" s="1"/>
  <c r="C12" i="64"/>
  <c r="E12" i="64" s="1"/>
  <c r="F12" i="64" s="1"/>
  <c r="H12" i="64" s="1"/>
  <c r="M12" i="64" s="1"/>
  <c r="C14" i="58"/>
  <c r="B39" i="58"/>
  <c r="C39" i="58" s="1"/>
  <c r="F39" i="58" s="1"/>
  <c r="G39" i="58" s="1"/>
  <c r="H39" i="58" s="1"/>
  <c r="K39" i="58" s="1"/>
  <c r="Q14" i="58" s="1"/>
  <c r="L40" i="67" s="1"/>
  <c r="L118" i="67" s="1"/>
  <c r="B37" i="48"/>
  <c r="C37" i="48" s="1"/>
  <c r="C12" i="48"/>
  <c r="B40" i="55"/>
  <c r="C40" i="55" s="1"/>
  <c r="F40" i="55" s="1"/>
  <c r="G40" i="55" s="1"/>
  <c r="J40" i="55" s="1"/>
  <c r="P14" i="55" s="1"/>
  <c r="D40" i="67" s="1"/>
  <c r="D118" i="67" s="1"/>
  <c r="C14" i="55"/>
  <c r="F14" i="55" s="1"/>
  <c r="G14" i="55" s="1"/>
  <c r="J14" i="55" s="1"/>
  <c r="M18" i="4"/>
  <c r="N18" i="4" s="1"/>
  <c r="AA18" i="5"/>
  <c r="D39" i="33"/>
  <c r="G39" i="33" s="1"/>
  <c r="Q14" i="33" s="1"/>
  <c r="F39" i="33"/>
  <c r="E38" i="50"/>
  <c r="G38" i="50" s="1"/>
  <c r="I38" i="50" s="1"/>
  <c r="Q13" i="50" s="1"/>
  <c r="V39" i="67" s="1"/>
  <c r="V117" i="67" s="1"/>
  <c r="AH40" i="50"/>
  <c r="AJ40" i="50" s="1"/>
  <c r="F40" i="50" s="1"/>
  <c r="P13" i="51"/>
  <c r="I13" i="67" s="1"/>
  <c r="I91" i="67" s="1"/>
  <c r="B90" i="51"/>
  <c r="C13" i="33"/>
  <c r="B38" i="33"/>
  <c r="C38" i="33" s="1"/>
  <c r="N13" i="35"/>
  <c r="T13" i="67" s="1"/>
  <c r="T91" i="67" s="1"/>
  <c r="B92" i="35"/>
  <c r="B37" i="61"/>
  <c r="C37" i="61" s="1"/>
  <c r="F37" i="61" s="1"/>
  <c r="G37" i="61" s="1"/>
  <c r="I37" i="61" s="1"/>
  <c r="O12" i="61" s="1"/>
  <c r="U38" i="67" s="1"/>
  <c r="U116" i="67" s="1"/>
  <c r="C12" i="61"/>
  <c r="F12" i="61" s="1"/>
  <c r="G12" i="61" s="1"/>
  <c r="I12" i="61" s="1"/>
  <c r="C15" i="48"/>
  <c r="F15" i="48" s="1"/>
  <c r="G15" i="48" s="1"/>
  <c r="J15" i="48" s="1"/>
  <c r="B40" i="48"/>
  <c r="C40" i="48" s="1"/>
  <c r="F40" i="48" s="1"/>
  <c r="G40" i="48" s="1"/>
  <c r="J40" i="48" s="1"/>
  <c r="P15" i="48" s="1"/>
  <c r="C41" i="67" s="1"/>
  <c r="C14" i="53"/>
  <c r="F14" i="53" s="1"/>
  <c r="G14" i="53" s="1"/>
  <c r="J14" i="53" s="1"/>
  <c r="C15" i="52"/>
  <c r="G15" i="52" s="1"/>
  <c r="H15" i="52" s="1"/>
  <c r="J15" i="52" s="1"/>
  <c r="B40" i="52"/>
  <c r="C40" i="52" s="1"/>
  <c r="G40" i="52" s="1"/>
  <c r="H40" i="52" s="1"/>
  <c r="J40" i="52" s="1"/>
  <c r="R15" i="52" s="1"/>
  <c r="J41" i="67" s="1"/>
  <c r="J119" i="67" s="1"/>
  <c r="B144" i="49"/>
  <c r="B37" i="63"/>
  <c r="C37" i="63" s="1"/>
  <c r="C12" i="63"/>
  <c r="C15" i="55"/>
  <c r="F15" i="55" s="1"/>
  <c r="G15" i="55" s="1"/>
  <c r="J15" i="55" s="1"/>
  <c r="B41" i="55"/>
  <c r="C41" i="55" s="1"/>
  <c r="F41" i="55" s="1"/>
  <c r="G41" i="55" s="1"/>
  <c r="J41" i="55" s="1"/>
  <c r="P15" i="55" s="1"/>
  <c r="D41" i="67" s="1"/>
  <c r="D119" i="67" s="1"/>
  <c r="S34" i="96"/>
  <c r="G34" i="489" s="1"/>
  <c r="AC20" i="5"/>
  <c r="I20" i="4"/>
  <c r="J20" i="4" s="1"/>
  <c r="K20" i="4" s="1"/>
  <c r="AA19" i="19"/>
  <c r="W17" i="18"/>
  <c r="B18" i="5"/>
  <c r="C18" i="5" s="1"/>
  <c r="B18" i="4" s="1"/>
  <c r="H18" i="5"/>
  <c r="I17" i="5"/>
  <c r="G17" i="5" s="1"/>
  <c r="I20" i="5"/>
  <c r="G20" i="5" s="1"/>
  <c r="AB17" i="5"/>
  <c r="D21" i="5"/>
  <c r="M21" i="4" s="1"/>
  <c r="D19" i="5"/>
  <c r="M19" i="4" s="1"/>
  <c r="P13" i="65" l="1"/>
  <c r="O13" i="67" s="1"/>
  <c r="O91" i="67" s="1"/>
  <c r="B94" i="65"/>
  <c r="B94" i="33"/>
  <c r="P39" i="67"/>
  <c r="P117" i="67" s="1"/>
  <c r="O18" i="4"/>
  <c r="AU28" i="20" s="1"/>
  <c r="B93" i="52"/>
  <c r="Q15" i="52"/>
  <c r="J15" i="67" s="1"/>
  <c r="J93" i="67" s="1"/>
  <c r="F38" i="33"/>
  <c r="G38" i="33" s="1"/>
  <c r="Q13" i="33" s="1"/>
  <c r="D38" i="33"/>
  <c r="F14" i="58"/>
  <c r="D14" i="58"/>
  <c r="G14" i="58"/>
  <c r="H14" i="58" s="1"/>
  <c r="K14" i="58" s="1"/>
  <c r="E14" i="63"/>
  <c r="F14" i="63" s="1"/>
  <c r="H14" i="63"/>
  <c r="Q129" i="61"/>
  <c r="D91" i="61"/>
  <c r="S129" i="61" s="1"/>
  <c r="C91" i="61"/>
  <c r="B93" i="35"/>
  <c r="N14" i="35"/>
  <c r="T14" i="67" s="1"/>
  <c r="T92" i="67" s="1"/>
  <c r="E37" i="65"/>
  <c r="G37" i="65"/>
  <c r="J37" i="65" s="1"/>
  <c r="L37" i="65" s="1"/>
  <c r="Q12" i="65" s="1"/>
  <c r="O38" i="67" s="1"/>
  <c r="O116" i="67" s="1"/>
  <c r="H37" i="65"/>
  <c r="H15" i="63"/>
  <c r="E15" i="63"/>
  <c r="F15" i="63" s="1"/>
  <c r="J15" i="63" s="1"/>
  <c r="O13" i="63"/>
  <c r="N13" i="67" s="1"/>
  <c r="N91" i="67" s="1"/>
  <c r="B91" i="63"/>
  <c r="F37" i="98"/>
  <c r="D37" i="98"/>
  <c r="G37" i="98" s="1"/>
  <c r="K37" i="98" s="1"/>
  <c r="Q12" i="98" s="1"/>
  <c r="F38" i="67" s="1"/>
  <c r="F116" i="67" s="1"/>
  <c r="C199" i="37"/>
  <c r="D15" i="37"/>
  <c r="D199" i="37" s="1"/>
  <c r="F15" i="37"/>
  <c r="F199" i="37" s="1"/>
  <c r="G15" i="37"/>
  <c r="Q12" i="52"/>
  <c r="J12" i="67" s="1"/>
  <c r="J90" i="67" s="1"/>
  <c r="B90" i="52"/>
  <c r="D14" i="98"/>
  <c r="G14" i="98" s="1"/>
  <c r="K14" i="98" s="1"/>
  <c r="F14" i="98"/>
  <c r="O13" i="60"/>
  <c r="S13" i="67" s="1"/>
  <c r="S91" i="67" s="1"/>
  <c r="X91" i="67" s="1"/>
  <c r="B91" i="60"/>
  <c r="O14" i="57"/>
  <c r="E14" i="67" s="1"/>
  <c r="E92" i="67" s="1"/>
  <c r="BG15" i="140" s="1"/>
  <c r="AS16" i="140" s="1"/>
  <c r="B88" i="57"/>
  <c r="P15" i="50"/>
  <c r="V15" i="67" s="1"/>
  <c r="V93" i="67" s="1"/>
  <c r="B90" i="50"/>
  <c r="Q126" i="51"/>
  <c r="C90" i="51"/>
  <c r="D90" i="51"/>
  <c r="S126" i="51" s="1"/>
  <c r="O15" i="55"/>
  <c r="D15" i="67" s="1"/>
  <c r="D93" i="67" s="1"/>
  <c r="BH16" i="130" s="1"/>
  <c r="AT17" i="130" s="1"/>
  <c r="AS17" i="130" s="1"/>
  <c r="B91" i="55"/>
  <c r="O14" i="53"/>
  <c r="H14" i="67" s="1"/>
  <c r="H92" i="67" s="1"/>
  <c r="B90" i="53"/>
  <c r="Q126" i="53" s="1"/>
  <c r="D13" i="33"/>
  <c r="F13" i="33"/>
  <c r="G13" i="33" s="1"/>
  <c r="P13" i="33" s="1"/>
  <c r="Q12" i="67"/>
  <c r="Q90" i="67" s="1"/>
  <c r="B93" i="64"/>
  <c r="B88" i="50"/>
  <c r="C169" i="49"/>
  <c r="G39" i="49"/>
  <c r="G169" i="49" s="1"/>
  <c r="E39" i="49"/>
  <c r="E169" i="49" s="1"/>
  <c r="N14" i="59"/>
  <c r="M14" i="67" s="1"/>
  <c r="M92" i="67" s="1"/>
  <c r="B90" i="59"/>
  <c r="D15" i="33"/>
  <c r="F15" i="33"/>
  <c r="G15" i="33"/>
  <c r="P15" i="33" s="1"/>
  <c r="H12" i="65"/>
  <c r="G12" i="65"/>
  <c r="E12" i="65"/>
  <c r="J12" i="65" s="1"/>
  <c r="L12" i="65" s="1"/>
  <c r="AG12" i="60"/>
  <c r="AJ12" i="60" s="1"/>
  <c r="H12" i="60" s="1"/>
  <c r="F12" i="60"/>
  <c r="G12" i="60" s="1"/>
  <c r="J12" i="60" s="1"/>
  <c r="G16" i="49"/>
  <c r="G145" i="49" s="1"/>
  <c r="C145" i="49"/>
  <c r="E16" i="49"/>
  <c r="E145" i="49" s="1"/>
  <c r="H16" i="49"/>
  <c r="Q127" i="52"/>
  <c r="C91" i="52"/>
  <c r="D91" i="52"/>
  <c r="S127" i="52" s="1"/>
  <c r="D12" i="98"/>
  <c r="F12" i="98"/>
  <c r="G12" i="98"/>
  <c r="K12" i="98" s="1"/>
  <c r="Q129" i="66"/>
  <c r="D91" i="66"/>
  <c r="S129" i="66" s="1"/>
  <c r="C91" i="66"/>
  <c r="C89" i="55"/>
  <c r="S89" i="55"/>
  <c r="D89" i="55"/>
  <c r="T126" i="55" s="1"/>
  <c r="R126" i="55"/>
  <c r="F39" i="98"/>
  <c r="D39" i="98"/>
  <c r="G39" i="98"/>
  <c r="K39" i="98" s="1"/>
  <c r="Q14" i="98" s="1"/>
  <c r="F40" i="67" s="1"/>
  <c r="F118" i="67" s="1"/>
  <c r="AH41" i="50"/>
  <c r="AJ41" i="50" s="1"/>
  <c r="F41" i="50" s="1"/>
  <c r="E39" i="50"/>
  <c r="AH42" i="50"/>
  <c r="AJ42" i="50" s="1"/>
  <c r="F42" i="50" s="1"/>
  <c r="E40" i="50"/>
  <c r="G40" i="50" s="1"/>
  <c r="I40" i="50" s="1"/>
  <c r="Q15" i="50" s="1"/>
  <c r="V41" i="67" s="1"/>
  <c r="V119" i="67" s="1"/>
  <c r="F40" i="33"/>
  <c r="D40" i="33"/>
  <c r="G40" i="33"/>
  <c r="Q15" i="33" s="1"/>
  <c r="P12" i="51"/>
  <c r="I12" i="67" s="1"/>
  <c r="I90" i="67" s="1"/>
  <c r="B89" i="51"/>
  <c r="P13" i="98"/>
  <c r="F13" i="67" s="1"/>
  <c r="F91" i="67" s="1"/>
  <c r="B86" i="98"/>
  <c r="G197" i="37"/>
  <c r="H14" i="49"/>
  <c r="C198" i="37"/>
  <c r="D14" i="37"/>
  <c r="D198" i="37" s="1"/>
  <c r="F14" i="37"/>
  <c r="F198" i="37" s="1"/>
  <c r="F12" i="54"/>
  <c r="D12" i="54"/>
  <c r="D37" i="54" s="1"/>
  <c r="G12" i="54"/>
  <c r="I12" i="54" s="1"/>
  <c r="Q124" i="54"/>
  <c r="C87" i="54"/>
  <c r="D87" i="54"/>
  <c r="S124" i="54" s="1"/>
  <c r="Q15" i="67"/>
  <c r="Q93" i="67" s="1"/>
  <c r="B96" i="64"/>
  <c r="F15" i="98"/>
  <c r="D15" i="98"/>
  <c r="G15" i="98"/>
  <c r="K15" i="98" s="1"/>
  <c r="O12" i="62"/>
  <c r="K12" i="67" s="1"/>
  <c r="K90" i="67" s="1"/>
  <c r="B90" i="62"/>
  <c r="O15" i="48"/>
  <c r="C15" i="67" s="1"/>
  <c r="B88" i="48"/>
  <c r="B90" i="55"/>
  <c r="O14" i="55"/>
  <c r="D14" i="67" s="1"/>
  <c r="D92" i="67" s="1"/>
  <c r="BH15" i="130" s="1"/>
  <c r="AT16" i="130" s="1"/>
  <c r="AS16" i="130" s="1"/>
  <c r="H14" i="65"/>
  <c r="E14" i="65"/>
  <c r="G14" i="65"/>
  <c r="J14" i="65"/>
  <c r="L14" i="65" s="1"/>
  <c r="Q127" i="59"/>
  <c r="D89" i="59"/>
  <c r="S127" i="59" s="1"/>
  <c r="C89" i="59"/>
  <c r="C41" i="49"/>
  <c r="B171" i="49"/>
  <c r="G15" i="65"/>
  <c r="E15" i="65"/>
  <c r="H15" i="65"/>
  <c r="J15" i="65"/>
  <c r="L15" i="65" s="1"/>
  <c r="B92" i="62"/>
  <c r="O14" i="62"/>
  <c r="K14" i="67" s="1"/>
  <c r="K92" i="67" s="1"/>
  <c r="B92" i="61"/>
  <c r="N14" i="61"/>
  <c r="U14" i="67" s="1"/>
  <c r="U92" i="67" s="1"/>
  <c r="C60" i="37"/>
  <c r="B223" i="37"/>
  <c r="Q14" i="52"/>
  <c r="J14" i="67" s="1"/>
  <c r="J92" i="67" s="1"/>
  <c r="B92" i="52"/>
  <c r="F37" i="54"/>
  <c r="G37" i="54" s="1"/>
  <c r="I37" i="54" s="1"/>
  <c r="P12" i="54" s="1"/>
  <c r="G38" i="67" s="1"/>
  <c r="G116" i="67" s="1"/>
  <c r="F40" i="98"/>
  <c r="D40" i="98"/>
  <c r="G40" i="98"/>
  <c r="K40" i="98" s="1"/>
  <c r="Q15" i="98" s="1"/>
  <c r="F41" i="67" s="1"/>
  <c r="F119" i="67" s="1"/>
  <c r="O15" i="54"/>
  <c r="G15" i="67" s="1"/>
  <c r="G93" i="67" s="1"/>
  <c r="B89" i="54"/>
  <c r="P15" i="51"/>
  <c r="I15" i="67" s="1"/>
  <c r="I93" i="67" s="1"/>
  <c r="B92" i="51"/>
  <c r="E40" i="65"/>
  <c r="J40" i="65" s="1"/>
  <c r="L40" i="65" s="1"/>
  <c r="Q15" i="65" s="1"/>
  <c r="O41" i="67" s="1"/>
  <c r="O119" i="67" s="1"/>
  <c r="G40" i="65"/>
  <c r="H40" i="65"/>
  <c r="F15" i="58"/>
  <c r="D15" i="58"/>
  <c r="G15" i="58"/>
  <c r="H15" i="58" s="1"/>
  <c r="K15" i="58" s="1"/>
  <c r="O14" i="54"/>
  <c r="G14" i="67" s="1"/>
  <c r="G92" i="67" s="1"/>
  <c r="B88" i="54"/>
  <c r="P13" i="58"/>
  <c r="L13" i="67" s="1"/>
  <c r="L91" i="67" s="1"/>
  <c r="B89" i="58"/>
  <c r="B91" i="53"/>
  <c r="Q127" i="53" s="1"/>
  <c r="O15" i="53"/>
  <c r="H15" i="67" s="1"/>
  <c r="H93" i="67" s="1"/>
  <c r="AG15" i="60"/>
  <c r="AJ15" i="60" s="1"/>
  <c r="H15" i="60" s="1"/>
  <c r="F15" i="60"/>
  <c r="G15" i="60" s="1"/>
  <c r="J15" i="60" s="1"/>
  <c r="C40" i="49"/>
  <c r="B170" i="49"/>
  <c r="Q127" i="62"/>
  <c r="C91" i="62"/>
  <c r="D91" i="62"/>
  <c r="S127" i="62" s="1"/>
  <c r="R194" i="37"/>
  <c r="D146" i="37"/>
  <c r="T194" i="37" s="1"/>
  <c r="C146" i="37"/>
  <c r="E12" i="63"/>
  <c r="F12" i="63" s="1"/>
  <c r="J12" i="63" s="1"/>
  <c r="H12" i="63"/>
  <c r="E37" i="63"/>
  <c r="F37" i="63" s="1"/>
  <c r="H37" i="63"/>
  <c r="F12" i="48"/>
  <c r="G12" i="48" s="1"/>
  <c r="J12" i="48" s="1"/>
  <c r="B126" i="33"/>
  <c r="P13" i="67"/>
  <c r="P91" i="67" s="1"/>
  <c r="P14" i="51"/>
  <c r="I14" i="67" s="1"/>
  <c r="I92" i="67" s="1"/>
  <c r="B91" i="51"/>
  <c r="Q132" i="64"/>
  <c r="D94" i="64"/>
  <c r="S132" i="64" s="1"/>
  <c r="C94" i="64"/>
  <c r="B91" i="59"/>
  <c r="N15" i="59"/>
  <c r="M15" i="67" s="1"/>
  <c r="M93" i="67" s="1"/>
  <c r="B91" i="35"/>
  <c r="N12" i="35"/>
  <c r="T12" i="67" s="1"/>
  <c r="T90" i="67" s="1"/>
  <c r="Q14" i="67"/>
  <c r="Q92" i="67" s="1"/>
  <c r="B95" i="64"/>
  <c r="O15" i="57"/>
  <c r="E15" i="67" s="1"/>
  <c r="E93" i="67" s="1"/>
  <c r="BG16" i="140" s="1"/>
  <c r="AS17" i="140" s="1"/>
  <c r="B89" i="57"/>
  <c r="C58" i="37"/>
  <c r="B221" i="37"/>
  <c r="N15" i="35"/>
  <c r="T15" i="67" s="1"/>
  <c r="T93" i="67" s="1"/>
  <c r="B94" i="35"/>
  <c r="G15" i="49"/>
  <c r="G144" i="49" s="1"/>
  <c r="C144" i="49"/>
  <c r="E15" i="49"/>
  <c r="E144" i="49" s="1"/>
  <c r="H15" i="49"/>
  <c r="O12" i="66"/>
  <c r="W12" i="67" s="1"/>
  <c r="W90" i="67" s="1"/>
  <c r="B90" i="66"/>
  <c r="B90" i="61"/>
  <c r="N12" i="61"/>
  <c r="U12" i="67" s="1"/>
  <c r="U90" i="67" s="1"/>
  <c r="H39" i="65"/>
  <c r="E39" i="65"/>
  <c r="G39" i="65"/>
  <c r="J39" i="65"/>
  <c r="L39" i="65" s="1"/>
  <c r="Q14" i="65" s="1"/>
  <c r="O40" i="67" s="1"/>
  <c r="O118" i="67" s="1"/>
  <c r="Q130" i="35"/>
  <c r="C92" i="35"/>
  <c r="D92" i="35"/>
  <c r="S130" i="35" s="1"/>
  <c r="F37" i="48"/>
  <c r="G37" i="48" s="1"/>
  <c r="J37" i="48" s="1"/>
  <c r="P12" i="48" s="1"/>
  <c r="C38" i="67" s="1"/>
  <c r="B92" i="66"/>
  <c r="O14" i="66"/>
  <c r="W14" i="67" s="1"/>
  <c r="W92" i="67" s="1"/>
  <c r="B88" i="53"/>
  <c r="O12" i="53"/>
  <c r="H12" i="67" s="1"/>
  <c r="H90" i="67" s="1"/>
  <c r="C222" i="37"/>
  <c r="D59" i="37"/>
  <c r="D222" i="37" s="1"/>
  <c r="F59" i="37"/>
  <c r="F222" i="37" s="1"/>
  <c r="O12" i="55"/>
  <c r="D12" i="67" s="1"/>
  <c r="D90" i="67" s="1"/>
  <c r="BH13" i="130" s="1"/>
  <c r="AT14" i="130" s="1"/>
  <c r="AS14" i="130" s="1"/>
  <c r="B88" i="55"/>
  <c r="O15" i="62"/>
  <c r="K15" i="67" s="1"/>
  <c r="K93" i="67" s="1"/>
  <c r="B93" i="62"/>
  <c r="N12" i="59"/>
  <c r="M12" i="67" s="1"/>
  <c r="M90" i="67" s="1"/>
  <c r="B88" i="59"/>
  <c r="B87" i="48"/>
  <c r="O14" i="48"/>
  <c r="C14" i="67" s="1"/>
  <c r="N15" i="61"/>
  <c r="U15" i="67" s="1"/>
  <c r="U93" i="67" s="1"/>
  <c r="B93" i="61"/>
  <c r="C38" i="49"/>
  <c r="B168" i="49"/>
  <c r="C196" i="37"/>
  <c r="F12" i="37"/>
  <c r="F196" i="37" s="1"/>
  <c r="D12" i="37"/>
  <c r="D196" i="37" s="1"/>
  <c r="F16" i="33"/>
  <c r="D16" i="33"/>
  <c r="G16" i="33" s="1"/>
  <c r="P16" i="33" s="1"/>
  <c r="AH39" i="50"/>
  <c r="AJ39" i="50" s="1"/>
  <c r="F39" i="50" s="1"/>
  <c r="E37" i="50"/>
  <c r="G37" i="50"/>
  <c r="I37" i="50" s="1"/>
  <c r="F38" i="183"/>
  <c r="M38" i="183"/>
  <c r="G38" i="183"/>
  <c r="N38" i="183"/>
  <c r="I38" i="183"/>
  <c r="O38" i="183"/>
  <c r="H38" i="183"/>
  <c r="D38" i="183"/>
  <c r="K38" i="183"/>
  <c r="L38" i="183"/>
  <c r="J38" i="183"/>
  <c r="E38" i="183"/>
  <c r="O12" i="57"/>
  <c r="E12" i="67" s="1"/>
  <c r="E90" i="67" s="1"/>
  <c r="BG13" i="140" s="1"/>
  <c r="AS14" i="140" s="1"/>
  <c r="B86" i="57"/>
  <c r="H39" i="63"/>
  <c r="E39" i="63"/>
  <c r="F39" i="63" s="1"/>
  <c r="J39" i="63" s="1"/>
  <c r="P14" i="63" s="1"/>
  <c r="N40" i="67" s="1"/>
  <c r="N118" i="67" s="1"/>
  <c r="Q125" i="57"/>
  <c r="S87" i="57"/>
  <c r="D87" i="57"/>
  <c r="S125" i="57" s="1"/>
  <c r="C87" i="57"/>
  <c r="D12" i="58"/>
  <c r="F12" i="58"/>
  <c r="G12" i="58" s="1"/>
  <c r="H12" i="58" s="1"/>
  <c r="K12" i="58" s="1"/>
  <c r="H40" i="63"/>
  <c r="E40" i="63"/>
  <c r="F40" i="63" s="1"/>
  <c r="B93" i="66"/>
  <c r="O15" i="66"/>
  <c r="W15" i="67" s="1"/>
  <c r="W93" i="67" s="1"/>
  <c r="G13" i="49"/>
  <c r="G142" i="49" s="1"/>
  <c r="C142" i="49"/>
  <c r="E13" i="49"/>
  <c r="E142" i="49" s="1"/>
  <c r="C61" i="37"/>
  <c r="B224" i="37"/>
  <c r="R122" i="48"/>
  <c r="C86" i="48"/>
  <c r="D86" i="48"/>
  <c r="T122" i="48" s="1"/>
  <c r="Q125" i="53"/>
  <c r="D89" i="53"/>
  <c r="S125" i="53" s="1"/>
  <c r="C89" i="53"/>
  <c r="D41" i="33"/>
  <c r="F41" i="33"/>
  <c r="G41" i="33" s="1"/>
  <c r="Q16" i="33" s="1"/>
  <c r="E12" i="50"/>
  <c r="G12" i="50"/>
  <c r="I12" i="50" s="1"/>
  <c r="P12" i="50" s="1"/>
  <c r="V12" i="67" s="1"/>
  <c r="V90" i="67" s="1"/>
  <c r="AG14" i="60"/>
  <c r="AJ14" i="60" s="1"/>
  <c r="H14" i="60" s="1"/>
  <c r="F14" i="60"/>
  <c r="G14" i="60" s="1"/>
  <c r="K20" i="346"/>
  <c r="M20" i="117"/>
  <c r="K20" i="116"/>
  <c r="N21" i="4"/>
  <c r="O21" i="4" s="1"/>
  <c r="AU31" i="20" s="1"/>
  <c r="N19" i="4"/>
  <c r="O19" i="4"/>
  <c r="AU29" i="20" s="1"/>
  <c r="AC17" i="5"/>
  <c r="I17" i="4"/>
  <c r="J17" i="4" s="1"/>
  <c r="K17" i="4" s="1"/>
  <c r="AB18" i="19"/>
  <c r="AA20" i="19"/>
  <c r="W18" i="18"/>
  <c r="AB21" i="19"/>
  <c r="W20" i="18"/>
  <c r="AA22" i="19"/>
  <c r="AA21" i="5"/>
  <c r="AB21" i="5" s="1"/>
  <c r="AC21" i="5" s="1"/>
  <c r="F20" i="5"/>
  <c r="P20" i="5"/>
  <c r="Q20" i="5" s="1"/>
  <c r="P17" i="5"/>
  <c r="Q17" i="5" s="1"/>
  <c r="F17" i="5"/>
  <c r="H19" i="5"/>
  <c r="I19" i="5" s="1"/>
  <c r="G19" i="5" s="1"/>
  <c r="AA19" i="5"/>
  <c r="I18" i="5"/>
  <c r="G18" i="5" s="1"/>
  <c r="B21" i="5"/>
  <c r="C21" i="5" s="1"/>
  <c r="B21" i="4" s="1"/>
  <c r="H21" i="5"/>
  <c r="B19" i="5"/>
  <c r="C19" i="5" s="1"/>
  <c r="B19" i="4" s="1"/>
  <c r="AB18" i="5"/>
  <c r="D22" i="5"/>
  <c r="M22" i="4" s="1"/>
  <c r="B93" i="33" l="1"/>
  <c r="P38" i="67"/>
  <c r="P116" i="67" s="1"/>
  <c r="P41" i="67"/>
  <c r="P119" i="67" s="1"/>
  <c r="B96" i="33"/>
  <c r="B88" i="58"/>
  <c r="P12" i="58"/>
  <c r="L12" i="67" s="1"/>
  <c r="L90" i="67" s="1"/>
  <c r="P12" i="67"/>
  <c r="P90" i="67" s="1"/>
  <c r="B125" i="33"/>
  <c r="P14" i="98"/>
  <c r="F14" i="67" s="1"/>
  <c r="F92" i="67" s="1"/>
  <c r="B87" i="98"/>
  <c r="P15" i="67"/>
  <c r="P93" i="67" s="1"/>
  <c r="B128" i="33"/>
  <c r="B85" i="48"/>
  <c r="O12" i="48"/>
  <c r="C12" i="67" s="1"/>
  <c r="P12" i="65"/>
  <c r="O12" i="67" s="1"/>
  <c r="O90" i="67" s="1"/>
  <c r="B93" i="65"/>
  <c r="R125" i="57"/>
  <c r="F87" i="57"/>
  <c r="U125" i="57" s="1"/>
  <c r="Q124" i="57"/>
  <c r="D86" i="57"/>
  <c r="S124" i="57" s="1"/>
  <c r="S86" i="57"/>
  <c r="C86" i="57"/>
  <c r="R130" i="35"/>
  <c r="F92" i="35"/>
  <c r="Q127" i="51"/>
  <c r="D91" i="51"/>
  <c r="S127" i="51" s="1"/>
  <c r="C91" i="51"/>
  <c r="Q125" i="54"/>
  <c r="D88" i="54"/>
  <c r="S125" i="54" s="1"/>
  <c r="C88" i="54"/>
  <c r="R127" i="59"/>
  <c r="F89" i="59"/>
  <c r="U127" i="59" s="1"/>
  <c r="D90" i="55"/>
  <c r="T127" i="55" s="1"/>
  <c r="C90" i="55"/>
  <c r="S90" i="55"/>
  <c r="R127" i="55"/>
  <c r="Q134" i="64"/>
  <c r="C96" i="64"/>
  <c r="D96" i="64"/>
  <c r="S134" i="64" s="1"/>
  <c r="G14" i="37"/>
  <c r="G39" i="50"/>
  <c r="I39" i="50" s="1"/>
  <c r="S126" i="55"/>
  <c r="F89" i="55"/>
  <c r="V126" i="55" s="1"/>
  <c r="R127" i="52"/>
  <c r="F91" i="52"/>
  <c r="U127" i="52" s="1"/>
  <c r="R126" i="51"/>
  <c r="F90" i="51"/>
  <c r="U126" i="51" s="1"/>
  <c r="Q129" i="62"/>
  <c r="C93" i="62"/>
  <c r="D93" i="62"/>
  <c r="S129" i="62" s="1"/>
  <c r="Q128" i="66"/>
  <c r="C90" i="66"/>
  <c r="D90" i="66"/>
  <c r="S128" i="66" s="1"/>
  <c r="Q132" i="35"/>
  <c r="D94" i="35"/>
  <c r="S132" i="35" s="1"/>
  <c r="C94" i="35"/>
  <c r="O12" i="63"/>
  <c r="N12" i="67" s="1"/>
  <c r="N90" i="67" s="1"/>
  <c r="E40" i="49"/>
  <c r="E170" i="49" s="1"/>
  <c r="G40" i="49"/>
  <c r="G170" i="49" s="1"/>
  <c r="C170" i="49"/>
  <c r="H40" i="49"/>
  <c r="Q128" i="51"/>
  <c r="C92" i="51"/>
  <c r="D92" i="51"/>
  <c r="S128" i="51" s="1"/>
  <c r="Q128" i="62"/>
  <c r="D92" i="62"/>
  <c r="S128" i="62" s="1"/>
  <c r="C92" i="62"/>
  <c r="R124" i="48"/>
  <c r="C88" i="48"/>
  <c r="D88" i="48"/>
  <c r="T124" i="48" s="1"/>
  <c r="Q125" i="51"/>
  <c r="C89" i="51"/>
  <c r="D89" i="51"/>
  <c r="S125" i="51" s="1"/>
  <c r="R129" i="66"/>
  <c r="F91" i="66"/>
  <c r="H39" i="49"/>
  <c r="C168" i="49"/>
  <c r="E38" i="49"/>
  <c r="E168" i="49" s="1"/>
  <c r="G38" i="49"/>
  <c r="G168" i="49" s="1"/>
  <c r="Q124" i="53"/>
  <c r="C88" i="53"/>
  <c r="D88" i="53"/>
  <c r="S124" i="53" s="1"/>
  <c r="Q129" i="35"/>
  <c r="D91" i="35"/>
  <c r="S129" i="35" s="1"/>
  <c r="C91" i="35"/>
  <c r="S194" i="37"/>
  <c r="F146" i="37"/>
  <c r="V194" i="37" s="1"/>
  <c r="O15" i="60"/>
  <c r="S15" i="67" s="1"/>
  <c r="S93" i="67" s="1"/>
  <c r="X93" i="67" s="1"/>
  <c r="B93" i="60"/>
  <c r="B91" i="58"/>
  <c r="P15" i="58"/>
  <c r="L15" i="67" s="1"/>
  <c r="L93" i="67" s="1"/>
  <c r="Q128" i="52"/>
  <c r="C92" i="52"/>
  <c r="D92" i="52"/>
  <c r="S128" i="52" s="1"/>
  <c r="P15" i="65"/>
  <c r="O15" i="67" s="1"/>
  <c r="O93" i="67" s="1"/>
  <c r="B96" i="65"/>
  <c r="H145" i="49"/>
  <c r="J16" i="49"/>
  <c r="P128" i="50"/>
  <c r="D90" i="50"/>
  <c r="R128" i="50" s="1"/>
  <c r="C90" i="50"/>
  <c r="S90" i="50"/>
  <c r="J14" i="63"/>
  <c r="Q129" i="52"/>
  <c r="D93" i="52"/>
  <c r="S129" i="52" s="1"/>
  <c r="C93" i="52"/>
  <c r="Q131" i="66"/>
  <c r="D93" i="66"/>
  <c r="S131" i="66" s="1"/>
  <c r="C93" i="66"/>
  <c r="Q131" i="61"/>
  <c r="D93" i="61"/>
  <c r="S131" i="61" s="1"/>
  <c r="C93" i="61"/>
  <c r="R125" i="55"/>
  <c r="C88" i="55"/>
  <c r="S88" i="55"/>
  <c r="D88" i="55"/>
  <c r="T125" i="55" s="1"/>
  <c r="C126" i="33"/>
  <c r="D126" i="33"/>
  <c r="Q126" i="54"/>
  <c r="D89" i="54"/>
  <c r="S126" i="54" s="1"/>
  <c r="C89" i="54"/>
  <c r="P14" i="65"/>
  <c r="O14" i="67" s="1"/>
  <c r="O92" i="67" s="1"/>
  <c r="B95" i="65"/>
  <c r="Q126" i="62"/>
  <c r="D90" i="62"/>
  <c r="S126" i="62" s="1"/>
  <c r="C90" i="62"/>
  <c r="R124" i="54"/>
  <c r="F87" i="54"/>
  <c r="B95" i="33"/>
  <c r="P40" i="67"/>
  <c r="P118" i="67" s="1"/>
  <c r="Q126" i="52"/>
  <c r="C90" i="52"/>
  <c r="D90" i="52"/>
  <c r="S126" i="52" s="1"/>
  <c r="B90" i="58"/>
  <c r="P14" i="58"/>
  <c r="L14" i="67" s="1"/>
  <c r="L92" i="67" s="1"/>
  <c r="Q130" i="66"/>
  <c r="C92" i="66"/>
  <c r="D92" i="66"/>
  <c r="S130" i="66" s="1"/>
  <c r="C221" i="37"/>
  <c r="G58" i="37"/>
  <c r="F58" i="37"/>
  <c r="F221" i="37" s="1"/>
  <c r="D58" i="37"/>
  <c r="D221" i="37" s="1"/>
  <c r="Q129" i="59"/>
  <c r="D91" i="59"/>
  <c r="S129" i="59" s="1"/>
  <c r="C91" i="59"/>
  <c r="J14" i="49"/>
  <c r="H143" i="49"/>
  <c r="P12" i="98"/>
  <c r="F12" i="67" s="1"/>
  <c r="F90" i="67" s="1"/>
  <c r="B85" i="98"/>
  <c r="P14" i="67"/>
  <c r="P92" i="67" s="1"/>
  <c r="B127" i="33"/>
  <c r="Q126" i="57"/>
  <c r="C88" i="57"/>
  <c r="D88" i="57"/>
  <c r="S126" i="57" s="1"/>
  <c r="S88" i="57"/>
  <c r="D91" i="63"/>
  <c r="S129" i="63" s="1"/>
  <c r="Q129" i="63"/>
  <c r="C91" i="63"/>
  <c r="S122" i="48"/>
  <c r="F86" i="48"/>
  <c r="C224" i="37"/>
  <c r="F61" i="37"/>
  <c r="F224" i="37" s="1"/>
  <c r="D61" i="37"/>
  <c r="D224" i="37" s="1"/>
  <c r="J40" i="63"/>
  <c r="P15" i="63" s="1"/>
  <c r="N41" i="67" s="1"/>
  <c r="N119" i="67" s="1"/>
  <c r="G12" i="37"/>
  <c r="G59" i="37"/>
  <c r="J15" i="49"/>
  <c r="H144" i="49"/>
  <c r="Q127" i="57"/>
  <c r="S89" i="57"/>
  <c r="D89" i="57"/>
  <c r="S127" i="57" s="1"/>
  <c r="C89" i="57"/>
  <c r="R132" i="64"/>
  <c r="F94" i="64"/>
  <c r="U132" i="64" s="1"/>
  <c r="C223" i="37"/>
  <c r="F60" i="37"/>
  <c r="F223" i="37" s="1"/>
  <c r="D60" i="37"/>
  <c r="D223" i="37" s="1"/>
  <c r="G60" i="37"/>
  <c r="P15" i="98"/>
  <c r="F15" i="67" s="1"/>
  <c r="F93" i="67" s="1"/>
  <c r="B88" i="98"/>
  <c r="B86" i="54"/>
  <c r="O12" i="54"/>
  <c r="G12" i="67" s="1"/>
  <c r="G90" i="67" s="1"/>
  <c r="P126" i="50"/>
  <c r="D88" i="50"/>
  <c r="R126" i="50" s="1"/>
  <c r="C88" i="50"/>
  <c r="S88" i="50"/>
  <c r="C91" i="55"/>
  <c r="D91" i="55"/>
  <c r="T128" i="55" s="1"/>
  <c r="R128" i="55"/>
  <c r="S91" i="55"/>
  <c r="G199" i="37"/>
  <c r="Q131" i="35"/>
  <c r="C93" i="35"/>
  <c r="D93" i="35"/>
  <c r="S131" i="35" s="1"/>
  <c r="Q129" i="33"/>
  <c r="D94" i="33"/>
  <c r="S129" i="33" s="1"/>
  <c r="C94" i="33"/>
  <c r="H13" i="49"/>
  <c r="B87" i="50"/>
  <c r="Q12" i="50"/>
  <c r="V38" i="67" s="1"/>
  <c r="V116" i="67" s="1"/>
  <c r="R123" i="48"/>
  <c r="D87" i="48"/>
  <c r="T123" i="48" s="1"/>
  <c r="C87" i="48"/>
  <c r="R127" i="62"/>
  <c r="F91" i="62"/>
  <c r="U127" i="62" s="1"/>
  <c r="Q127" i="58"/>
  <c r="C89" i="58"/>
  <c r="D89" i="58"/>
  <c r="S127" i="58" s="1"/>
  <c r="J197" i="37"/>
  <c r="O13" i="37"/>
  <c r="B13" i="67" s="1"/>
  <c r="B91" i="67" s="1"/>
  <c r="O12" i="60"/>
  <c r="S12" i="67" s="1"/>
  <c r="S90" i="67" s="1"/>
  <c r="X90" i="67" s="1"/>
  <c r="B90" i="60"/>
  <c r="Q131" i="64"/>
  <c r="D93" i="64"/>
  <c r="S131" i="64" s="1"/>
  <c r="C93" i="64"/>
  <c r="Q129" i="60"/>
  <c r="C91" i="60"/>
  <c r="D91" i="60"/>
  <c r="S129" i="60" s="1"/>
  <c r="B93" i="63"/>
  <c r="O15" i="63"/>
  <c r="N15" i="67" s="1"/>
  <c r="N93" i="67" s="1"/>
  <c r="R129" i="61"/>
  <c r="F91" i="61"/>
  <c r="Q132" i="65"/>
  <c r="D94" i="65"/>
  <c r="S132" i="65" s="1"/>
  <c r="C94" i="65"/>
  <c r="R125" i="53"/>
  <c r="F89" i="53"/>
  <c r="J14" i="60"/>
  <c r="Q126" i="59"/>
  <c r="C88" i="59"/>
  <c r="D88" i="59"/>
  <c r="S126" i="59" s="1"/>
  <c r="Q128" i="61"/>
  <c r="C90" i="61"/>
  <c r="D90" i="61"/>
  <c r="S128" i="61" s="1"/>
  <c r="Q133" i="64"/>
  <c r="D95" i="64"/>
  <c r="S133" i="64" s="1"/>
  <c r="C95" i="64"/>
  <c r="J37" i="63"/>
  <c r="P12" i="63" s="1"/>
  <c r="N38" i="67" s="1"/>
  <c r="N116" i="67" s="1"/>
  <c r="Q130" i="61"/>
  <c r="C92" i="61"/>
  <c r="D92" i="61"/>
  <c r="S130" i="61" s="1"/>
  <c r="G41" i="49"/>
  <c r="G171" i="49" s="1"/>
  <c r="C171" i="49"/>
  <c r="E41" i="49"/>
  <c r="E171" i="49" s="1"/>
  <c r="Q122" i="98"/>
  <c r="C86" i="98"/>
  <c r="D86" i="98"/>
  <c r="S122" i="98" s="1"/>
  <c r="Q128" i="59"/>
  <c r="D90" i="59"/>
  <c r="S128" i="59" s="1"/>
  <c r="C90" i="59"/>
  <c r="AD21" i="19"/>
  <c r="AF21" i="19"/>
  <c r="K18" i="19"/>
  <c r="R18" i="19" s="1"/>
  <c r="T18" i="19" s="1"/>
  <c r="AD18" i="19"/>
  <c r="K17" i="346"/>
  <c r="M17" i="117"/>
  <c r="K17" i="116"/>
  <c r="N22" i="4"/>
  <c r="O22" i="4"/>
  <c r="AU32" i="20" s="1"/>
  <c r="AC18" i="5"/>
  <c r="I18" i="4"/>
  <c r="J18" i="4" s="1"/>
  <c r="K18" i="4" s="1"/>
  <c r="C5" i="19"/>
  <c r="K21" i="19"/>
  <c r="R21" i="19" s="1"/>
  <c r="U18" i="19"/>
  <c r="AB20" i="19"/>
  <c r="W21" i="18"/>
  <c r="AA23" i="19"/>
  <c r="X19" i="18"/>
  <c r="K19" i="18" s="1"/>
  <c r="R19" i="18" s="1"/>
  <c r="AB19" i="19"/>
  <c r="X16" i="18"/>
  <c r="K16" i="18" s="1"/>
  <c r="R16" i="18" s="1"/>
  <c r="AA22" i="5"/>
  <c r="AB22" i="5" s="1"/>
  <c r="AC22" i="5" s="1"/>
  <c r="P19" i="5"/>
  <c r="Q19" i="5" s="1"/>
  <c r="F19" i="5"/>
  <c r="P18" i="5"/>
  <c r="Q18" i="5" s="1"/>
  <c r="F18" i="5"/>
  <c r="I21" i="5"/>
  <c r="G21" i="5" s="1"/>
  <c r="B22" i="5"/>
  <c r="C22" i="5" s="1"/>
  <c r="B22" i="4" s="1"/>
  <c r="H22" i="5"/>
  <c r="I21" i="4"/>
  <c r="AB19" i="5"/>
  <c r="D23" i="5"/>
  <c r="M23" i="4" s="1"/>
  <c r="R128" i="61" l="1"/>
  <c r="F90" i="61"/>
  <c r="R132" i="65"/>
  <c r="F94" i="65"/>
  <c r="U132" i="65" s="1"/>
  <c r="R129" i="60"/>
  <c r="F91" i="60"/>
  <c r="R131" i="35"/>
  <c r="F93" i="35"/>
  <c r="J60" i="37"/>
  <c r="G223" i="37"/>
  <c r="J58" i="37"/>
  <c r="G221" i="37"/>
  <c r="R126" i="52"/>
  <c r="F90" i="52"/>
  <c r="U126" i="52" s="1"/>
  <c r="R128" i="52"/>
  <c r="F92" i="52"/>
  <c r="U128" i="52" s="1"/>
  <c r="R129" i="35"/>
  <c r="F91" i="35"/>
  <c r="D125" i="33"/>
  <c r="C125" i="33"/>
  <c r="F125" i="33" s="1"/>
  <c r="R130" i="61"/>
  <c r="F92" i="61"/>
  <c r="Q126" i="50"/>
  <c r="F88" i="50"/>
  <c r="T126" i="50" s="1"/>
  <c r="D95" i="65"/>
  <c r="S133" i="65" s="1"/>
  <c r="Q133" i="65"/>
  <c r="C95" i="65"/>
  <c r="S124" i="48"/>
  <c r="F88" i="48"/>
  <c r="H170" i="49"/>
  <c r="J40" i="49"/>
  <c r="R134" i="64"/>
  <c r="F96" i="64"/>
  <c r="U134" i="64" s="1"/>
  <c r="R125" i="54"/>
  <c r="F88" i="54"/>
  <c r="R124" i="57"/>
  <c r="F86" i="57"/>
  <c r="U124" i="57" s="1"/>
  <c r="R131" i="64"/>
  <c r="F93" i="64"/>
  <c r="U131" i="64" s="1"/>
  <c r="R127" i="58"/>
  <c r="F89" i="58"/>
  <c r="U127" i="58" s="1"/>
  <c r="S87" i="50"/>
  <c r="D87" i="50"/>
  <c r="R125" i="50" s="1"/>
  <c r="P125" i="50"/>
  <c r="C87" i="50"/>
  <c r="G61" i="37"/>
  <c r="G224" i="37" s="1"/>
  <c r="J143" i="49"/>
  <c r="AB14" i="49"/>
  <c r="R13" i="67" s="1"/>
  <c r="R91" i="67" s="1"/>
  <c r="S125" i="55"/>
  <c r="F88" i="55"/>
  <c r="V125" i="55" s="1"/>
  <c r="R129" i="52"/>
  <c r="F93" i="52"/>
  <c r="U129" i="52" s="1"/>
  <c r="J145" i="49"/>
  <c r="AB16" i="49"/>
  <c r="R15" i="67" s="1"/>
  <c r="R93" i="67" s="1"/>
  <c r="H169" i="49"/>
  <c r="J39" i="49"/>
  <c r="R121" i="48"/>
  <c r="D85" i="48"/>
  <c r="T121" i="48" s="1"/>
  <c r="C85" i="48"/>
  <c r="R126" i="59"/>
  <c r="F88" i="59"/>
  <c r="U126" i="59" s="1"/>
  <c r="U129" i="61"/>
  <c r="J13" i="49"/>
  <c r="H142" i="49"/>
  <c r="J199" i="37"/>
  <c r="O15" i="37"/>
  <c r="B15" i="67" s="1"/>
  <c r="B93" i="67" s="1"/>
  <c r="J144" i="49"/>
  <c r="AB15" i="49"/>
  <c r="R14" i="67" s="1"/>
  <c r="R92" i="67" s="1"/>
  <c r="R126" i="57"/>
  <c r="F88" i="57"/>
  <c r="U126" i="57" s="1"/>
  <c r="R129" i="59"/>
  <c r="F91" i="59"/>
  <c r="U129" i="59" s="1"/>
  <c r="R130" i="66"/>
  <c r="F92" i="66"/>
  <c r="Q130" i="33"/>
  <c r="D95" i="33"/>
  <c r="S130" i="33" s="1"/>
  <c r="C95" i="33"/>
  <c r="R126" i="54"/>
  <c r="F89" i="54"/>
  <c r="Q129" i="58"/>
  <c r="C91" i="58"/>
  <c r="D91" i="58"/>
  <c r="S129" i="58" s="1"/>
  <c r="U129" i="66"/>
  <c r="R128" i="62"/>
  <c r="F92" i="62"/>
  <c r="U128" i="62" s="1"/>
  <c r="R128" i="66"/>
  <c r="F90" i="66"/>
  <c r="D128" i="33"/>
  <c r="C128" i="33"/>
  <c r="F128" i="33" s="1"/>
  <c r="Q126" i="58"/>
  <c r="D88" i="58"/>
  <c r="S126" i="58" s="1"/>
  <c r="C88" i="58"/>
  <c r="H41" i="49"/>
  <c r="R133" i="64"/>
  <c r="F95" i="64"/>
  <c r="U133" i="64" s="1"/>
  <c r="R129" i="33"/>
  <c r="F94" i="33"/>
  <c r="J59" i="37"/>
  <c r="G222" i="37"/>
  <c r="V122" i="48"/>
  <c r="U124" i="54"/>
  <c r="R131" i="61"/>
  <c r="F93" i="61"/>
  <c r="Q131" i="60"/>
  <c r="D93" i="60"/>
  <c r="S131" i="60" s="1"/>
  <c r="C93" i="60"/>
  <c r="R124" i="53"/>
  <c r="F88" i="53"/>
  <c r="R127" i="51"/>
  <c r="F91" i="51"/>
  <c r="U127" i="51" s="1"/>
  <c r="D96" i="33"/>
  <c r="S131" i="33" s="1"/>
  <c r="C96" i="33"/>
  <c r="Q131" i="33"/>
  <c r="B92" i="60"/>
  <c r="O14" i="60"/>
  <c r="S14" i="67" s="1"/>
  <c r="S92" i="67" s="1"/>
  <c r="X92" i="67" s="1"/>
  <c r="Q128" i="60"/>
  <c r="D90" i="60"/>
  <c r="S128" i="60" s="1"/>
  <c r="C90" i="60"/>
  <c r="D86" i="54"/>
  <c r="S123" i="54" s="1"/>
  <c r="Q123" i="54"/>
  <c r="C86" i="54"/>
  <c r="D127" i="33"/>
  <c r="C127" i="33"/>
  <c r="F127" i="33" s="1"/>
  <c r="O14" i="63"/>
  <c r="N14" i="67" s="1"/>
  <c r="N92" i="67" s="1"/>
  <c r="B92" i="63"/>
  <c r="D96" i="65"/>
  <c r="S134" i="65" s="1"/>
  <c r="Q134" i="65"/>
  <c r="C96" i="65"/>
  <c r="S127" i="55"/>
  <c r="F90" i="55"/>
  <c r="V127" i="55" s="1"/>
  <c r="F86" i="98"/>
  <c r="R122" i="98"/>
  <c r="R128" i="59"/>
  <c r="F90" i="59"/>
  <c r="U128" i="59" s="1"/>
  <c r="U125" i="53"/>
  <c r="Q131" i="63"/>
  <c r="D93" i="63"/>
  <c r="S131" i="63" s="1"/>
  <c r="C93" i="63"/>
  <c r="S123" i="48"/>
  <c r="F87" i="48"/>
  <c r="D88" i="98"/>
  <c r="S124" i="98" s="1"/>
  <c r="Q124" i="98"/>
  <c r="C88" i="98"/>
  <c r="R127" i="57"/>
  <c r="F89" i="57"/>
  <c r="U127" i="57" s="1"/>
  <c r="J12" i="37"/>
  <c r="G196" i="37"/>
  <c r="F91" i="63"/>
  <c r="U129" i="63" s="1"/>
  <c r="R129" i="63"/>
  <c r="Q128" i="58"/>
  <c r="D90" i="58"/>
  <c r="S128" i="58" s="1"/>
  <c r="C90" i="58"/>
  <c r="R126" i="62"/>
  <c r="F90" i="62"/>
  <c r="U126" i="62" s="1"/>
  <c r="H38" i="49"/>
  <c r="R125" i="51"/>
  <c r="F89" i="51"/>
  <c r="U125" i="51" s="1"/>
  <c r="B90" i="63"/>
  <c r="R129" i="62"/>
  <c r="F93" i="62"/>
  <c r="U129" i="62" s="1"/>
  <c r="B89" i="50"/>
  <c r="Q14" i="50"/>
  <c r="V40" i="67" s="1"/>
  <c r="V118" i="67" s="1"/>
  <c r="C87" i="98"/>
  <c r="D87" i="98"/>
  <c r="S123" i="98" s="1"/>
  <c r="Q123" i="98"/>
  <c r="BH14" i="413"/>
  <c r="S128" i="55"/>
  <c r="F91" i="55"/>
  <c r="V128" i="55" s="1"/>
  <c r="Q121" i="98"/>
  <c r="D85" i="98"/>
  <c r="S121" i="98" s="1"/>
  <c r="C85" i="98"/>
  <c r="F126" i="33"/>
  <c r="R131" i="66"/>
  <c r="F93" i="66"/>
  <c r="Q128" i="50"/>
  <c r="F90" i="50"/>
  <c r="T128" i="50" s="1"/>
  <c r="R128" i="51"/>
  <c r="F92" i="51"/>
  <c r="U128" i="51" s="1"/>
  <c r="R132" i="35"/>
  <c r="F94" i="35"/>
  <c r="G198" i="37"/>
  <c r="U130" i="35"/>
  <c r="Q131" i="65"/>
  <c r="C93" i="65"/>
  <c r="D93" i="65"/>
  <c r="S131" i="65" s="1"/>
  <c r="Q128" i="33"/>
  <c r="C93" i="33"/>
  <c r="D93" i="33"/>
  <c r="S128" i="33" s="1"/>
  <c r="AB16" i="37"/>
  <c r="B16" i="37" s="1"/>
  <c r="B200" i="37" s="1"/>
  <c r="X16" i="98"/>
  <c r="B16" i="98" s="1"/>
  <c r="X16" i="35"/>
  <c r="B16" i="35" s="1"/>
  <c r="X16" i="60"/>
  <c r="B16" i="60" s="1"/>
  <c r="X16" i="64"/>
  <c r="B16" i="64" s="1"/>
  <c r="X16" i="33"/>
  <c r="B17" i="33" s="1"/>
  <c r="X16" i="57"/>
  <c r="B16" i="57" s="1"/>
  <c r="X16" i="66"/>
  <c r="B16" i="66" s="1"/>
  <c r="X16" i="61"/>
  <c r="B16" i="61" s="1"/>
  <c r="X16" i="49"/>
  <c r="B17" i="49" s="1"/>
  <c r="X16" i="54"/>
  <c r="B16" i="54" s="1"/>
  <c r="X16" i="51"/>
  <c r="B16" i="51" s="1"/>
  <c r="X16" i="63"/>
  <c r="B16" i="63" s="1"/>
  <c r="X16" i="59"/>
  <c r="B16" i="59" s="1"/>
  <c r="X16" i="58"/>
  <c r="B16" i="58" s="1"/>
  <c r="X16" i="65"/>
  <c r="B16" i="65" s="1"/>
  <c r="X16" i="52"/>
  <c r="B16" i="52" s="1"/>
  <c r="X16" i="53"/>
  <c r="B16" i="53" s="1"/>
  <c r="X16" i="62"/>
  <c r="B16" i="62" s="1"/>
  <c r="Y16" i="48"/>
  <c r="B16" i="48" s="1"/>
  <c r="X16" i="50"/>
  <c r="B16" i="50" s="1"/>
  <c r="W16" i="55"/>
  <c r="B16" i="55" s="1"/>
  <c r="K20" i="19"/>
  <c r="R20" i="19" s="1"/>
  <c r="U20" i="19" s="1"/>
  <c r="AD20" i="19"/>
  <c r="K19" i="19"/>
  <c r="R19" i="19" s="1"/>
  <c r="U19" i="19" s="1"/>
  <c r="AD19" i="19"/>
  <c r="K18" i="346"/>
  <c r="M18" i="117"/>
  <c r="K18" i="116"/>
  <c r="BH27" i="20"/>
  <c r="BI26" i="20" s="1"/>
  <c r="N23" i="4"/>
  <c r="O23" i="4"/>
  <c r="AU33" i="20" s="1"/>
  <c r="AC19" i="5"/>
  <c r="I19" i="4"/>
  <c r="J21" i="4"/>
  <c r="K21" i="4" s="1"/>
  <c r="I22" i="4"/>
  <c r="AA24" i="19"/>
  <c r="W22" i="18"/>
  <c r="X18" i="18"/>
  <c r="K18" i="18" s="1"/>
  <c r="R18" i="18" s="1"/>
  <c r="X17" i="18"/>
  <c r="K17" i="18" s="1"/>
  <c r="R17" i="18" s="1"/>
  <c r="T21" i="19"/>
  <c r="U21" i="19"/>
  <c r="AB22" i="19"/>
  <c r="K22" i="19" s="1"/>
  <c r="C10" i="19"/>
  <c r="C16" i="19" s="1"/>
  <c r="C11" i="18"/>
  <c r="C16" i="18" s="1"/>
  <c r="C21" i="18" s="1"/>
  <c r="AA23" i="5"/>
  <c r="AB23" i="5" s="1"/>
  <c r="AC23" i="5" s="1"/>
  <c r="P21" i="5"/>
  <c r="Q21" i="5" s="1"/>
  <c r="F21" i="5"/>
  <c r="I22" i="5"/>
  <c r="G22" i="5" s="1"/>
  <c r="B23" i="5"/>
  <c r="C23" i="5" s="1"/>
  <c r="B23" i="4" s="1"/>
  <c r="H23" i="5"/>
  <c r="D24" i="5"/>
  <c r="M24" i="4" s="1"/>
  <c r="J196" i="37" l="1"/>
  <c r="O12" i="37"/>
  <c r="B12" i="67" s="1"/>
  <c r="B90" i="67" s="1"/>
  <c r="B147" i="37"/>
  <c r="R131" i="63"/>
  <c r="F93" i="63"/>
  <c r="U131" i="63" s="1"/>
  <c r="U122" i="98"/>
  <c r="U130" i="66"/>
  <c r="BH16" i="413"/>
  <c r="S121" i="48"/>
  <c r="F85" i="48"/>
  <c r="Q125" i="50"/>
  <c r="F87" i="50"/>
  <c r="T125" i="50" s="1"/>
  <c r="U130" i="61"/>
  <c r="U131" i="35"/>
  <c r="R128" i="33"/>
  <c r="F93" i="33"/>
  <c r="U131" i="66"/>
  <c r="C89" i="50"/>
  <c r="D89" i="50"/>
  <c r="R127" i="50" s="1"/>
  <c r="S89" i="50"/>
  <c r="P127" i="50"/>
  <c r="U124" i="53"/>
  <c r="F91" i="58"/>
  <c r="U129" i="58" s="1"/>
  <c r="R129" i="58"/>
  <c r="V124" i="48"/>
  <c r="R128" i="58"/>
  <c r="F90" i="58"/>
  <c r="U128" i="58" s="1"/>
  <c r="Q130" i="60"/>
  <c r="C92" i="60"/>
  <c r="D92" i="60"/>
  <c r="S130" i="60" s="1"/>
  <c r="U128" i="66"/>
  <c r="U129" i="60"/>
  <c r="AC16" i="37"/>
  <c r="U132" i="35"/>
  <c r="R124" i="98"/>
  <c r="F88" i="98"/>
  <c r="R123" i="54"/>
  <c r="F86" i="54"/>
  <c r="R131" i="60"/>
  <c r="F93" i="60"/>
  <c r="U126" i="54"/>
  <c r="J142" i="49"/>
  <c r="AB13" i="49"/>
  <c r="R12" i="67" s="1"/>
  <c r="R90" i="67" s="1"/>
  <c r="U125" i="54"/>
  <c r="R133" i="65"/>
  <c r="F95" i="65"/>
  <c r="AA16" i="37"/>
  <c r="J61" i="37" s="1"/>
  <c r="J224" i="37" s="1"/>
  <c r="R131" i="65"/>
  <c r="F93" i="65"/>
  <c r="U131" i="65" s="1"/>
  <c r="R121" i="98"/>
  <c r="F85" i="98"/>
  <c r="D90" i="63"/>
  <c r="S128" i="63" s="1"/>
  <c r="C90" i="63"/>
  <c r="Q128" i="63"/>
  <c r="R134" i="65"/>
  <c r="F96" i="65"/>
  <c r="U134" i="65" s="1"/>
  <c r="F96" i="33"/>
  <c r="R131" i="33"/>
  <c r="J41" i="49"/>
  <c r="H171" i="49"/>
  <c r="B86" i="49"/>
  <c r="J169" i="49"/>
  <c r="AC14" i="49"/>
  <c r="R39" i="67" s="1"/>
  <c r="R117" i="67" s="1"/>
  <c r="T19" i="19"/>
  <c r="B148" i="37"/>
  <c r="P13" i="37"/>
  <c r="B39" i="67" s="1"/>
  <c r="B117" i="67" s="1"/>
  <c r="J222" i="37"/>
  <c r="R126" i="58"/>
  <c r="F88" i="58"/>
  <c r="U126" i="58" s="1"/>
  <c r="R130" i="33"/>
  <c r="F95" i="33"/>
  <c r="P12" i="37"/>
  <c r="B38" i="67" s="1"/>
  <c r="B116" i="67" s="1"/>
  <c r="J221" i="37"/>
  <c r="O14" i="37"/>
  <c r="B14" i="67" s="1"/>
  <c r="B92" i="67" s="1"/>
  <c r="B149" i="37"/>
  <c r="J198" i="37"/>
  <c r="V123" i="48"/>
  <c r="R128" i="60"/>
  <c r="F90" i="60"/>
  <c r="U131" i="61"/>
  <c r="U129" i="35"/>
  <c r="U128" i="61"/>
  <c r="R123" i="98"/>
  <c r="F87" i="98"/>
  <c r="H168" i="49"/>
  <c r="J38" i="49"/>
  <c r="C92" i="63"/>
  <c r="D92" i="63"/>
  <c r="S130" i="63" s="1"/>
  <c r="Q130" i="63"/>
  <c r="U129" i="33"/>
  <c r="B87" i="49"/>
  <c r="AC15" i="49"/>
  <c r="R40" i="67" s="1"/>
  <c r="R118" i="67" s="1"/>
  <c r="J170" i="49"/>
  <c r="P14" i="37"/>
  <c r="B40" i="67" s="1"/>
  <c r="B118" i="67" s="1"/>
  <c r="J223" i="37"/>
  <c r="W16" i="65"/>
  <c r="Y16" i="65"/>
  <c r="C16" i="55"/>
  <c r="X16" i="55"/>
  <c r="V16" i="55"/>
  <c r="B41" i="59"/>
  <c r="C41" i="59" s="1"/>
  <c r="E41" i="59" s="1"/>
  <c r="F41" i="59" s="1"/>
  <c r="I41" i="59" s="1"/>
  <c r="O16" i="59" s="1"/>
  <c r="M42" i="67" s="1"/>
  <c r="M120" i="67" s="1"/>
  <c r="Y16" i="59"/>
  <c r="W16" i="59"/>
  <c r="Y16" i="33"/>
  <c r="W16" i="33"/>
  <c r="AB19" i="37"/>
  <c r="B19" i="37" s="1"/>
  <c r="X19" i="59"/>
  <c r="B19" i="59" s="1"/>
  <c r="X19" i="58"/>
  <c r="B19" i="58" s="1"/>
  <c r="X19" i="62"/>
  <c r="B19" i="62" s="1"/>
  <c r="X19" i="51"/>
  <c r="B19" i="51" s="1"/>
  <c r="X19" i="65"/>
  <c r="B19" i="65" s="1"/>
  <c r="X19" i="98"/>
  <c r="B19" i="98" s="1"/>
  <c r="X19" i="35"/>
  <c r="B19" i="35" s="1"/>
  <c r="X19" i="60"/>
  <c r="B19" i="60" s="1"/>
  <c r="X19" i="64"/>
  <c r="B19" i="64" s="1"/>
  <c r="X19" i="33"/>
  <c r="B20" i="33" s="1"/>
  <c r="X19" i="57"/>
  <c r="B19" i="57" s="1"/>
  <c r="X19" i="63"/>
  <c r="B19" i="63" s="1"/>
  <c r="X19" i="52"/>
  <c r="B19" i="52" s="1"/>
  <c r="X19" i="53"/>
  <c r="B19" i="53" s="1"/>
  <c r="X19" i="66"/>
  <c r="B19" i="66" s="1"/>
  <c r="X19" i="61"/>
  <c r="B19" i="61" s="1"/>
  <c r="X19" i="49"/>
  <c r="B20" i="49" s="1"/>
  <c r="X19" i="54"/>
  <c r="B19" i="54" s="1"/>
  <c r="W19" i="55"/>
  <c r="B19" i="55" s="1"/>
  <c r="Y19" i="48"/>
  <c r="B19" i="48" s="1"/>
  <c r="X19" i="50"/>
  <c r="B19" i="50" s="1"/>
  <c r="Y16" i="58"/>
  <c r="W16" i="58"/>
  <c r="Y16" i="50"/>
  <c r="W16" i="50"/>
  <c r="Y16" i="64"/>
  <c r="W16" i="64"/>
  <c r="AB17" i="37"/>
  <c r="B17" i="37" s="1"/>
  <c r="X17" i="35"/>
  <c r="B17" i="35" s="1"/>
  <c r="X17" i="60"/>
  <c r="B17" i="60" s="1"/>
  <c r="X17" i="64"/>
  <c r="B17" i="64" s="1"/>
  <c r="X17" i="33"/>
  <c r="B18" i="33" s="1"/>
  <c r="X17" i="57"/>
  <c r="B17" i="57" s="1"/>
  <c r="X17" i="66"/>
  <c r="B17" i="66" s="1"/>
  <c r="X17" i="61"/>
  <c r="B17" i="61" s="1"/>
  <c r="X17" i="49"/>
  <c r="B18" i="49" s="1"/>
  <c r="X17" i="54"/>
  <c r="B17" i="54" s="1"/>
  <c r="X17" i="63"/>
  <c r="B17" i="63" s="1"/>
  <c r="X17" i="65"/>
  <c r="B17" i="65" s="1"/>
  <c r="X17" i="52"/>
  <c r="B17" i="52" s="1"/>
  <c r="X17" i="53"/>
  <c r="B17" i="53" s="1"/>
  <c r="X17" i="59"/>
  <c r="B17" i="59" s="1"/>
  <c r="X17" i="58"/>
  <c r="B17" i="58" s="1"/>
  <c r="X17" i="62"/>
  <c r="B17" i="62" s="1"/>
  <c r="X17" i="51"/>
  <c r="B17" i="51" s="1"/>
  <c r="X17" i="98"/>
  <c r="B17" i="98" s="1"/>
  <c r="Y17" i="48"/>
  <c r="B17" i="48" s="1"/>
  <c r="X17" i="50"/>
  <c r="B17" i="50" s="1"/>
  <c r="W17" i="55"/>
  <c r="B17" i="55" s="1"/>
  <c r="Z16" i="48"/>
  <c r="X16" i="48"/>
  <c r="Y16" i="51"/>
  <c r="W16" i="51"/>
  <c r="Y16" i="60"/>
  <c r="W16" i="60"/>
  <c r="C16" i="57"/>
  <c r="F16" i="57" s="1"/>
  <c r="G16" i="57" s="1"/>
  <c r="J16" i="57" s="1"/>
  <c r="O16" i="57" s="1"/>
  <c r="E16" i="67" s="1"/>
  <c r="E94" i="67" s="1"/>
  <c r="BG17" i="140" s="1"/>
  <c r="AS18" i="140" s="1"/>
  <c r="Y16" i="57"/>
  <c r="W16" i="57"/>
  <c r="C16" i="63"/>
  <c r="W16" i="63"/>
  <c r="Y16" i="63"/>
  <c r="T20" i="19"/>
  <c r="BH29" i="20" s="1"/>
  <c r="Y16" i="62"/>
  <c r="W16" i="62"/>
  <c r="Y16" i="54"/>
  <c r="W16" i="54"/>
  <c r="Y16" i="35"/>
  <c r="W16" i="35"/>
  <c r="B41" i="66"/>
  <c r="C41" i="66" s="1"/>
  <c r="E41" i="66" s="1"/>
  <c r="F41" i="66" s="1"/>
  <c r="J41" i="66" s="1"/>
  <c r="P16" i="66" s="1"/>
  <c r="W42" i="67" s="1"/>
  <c r="W120" i="67" s="1"/>
  <c r="W16" i="66"/>
  <c r="Y16" i="66"/>
  <c r="Y16" i="53"/>
  <c r="C16" i="53" s="1"/>
  <c r="F16" i="53" s="1"/>
  <c r="G16" i="53" s="1"/>
  <c r="J16" i="53" s="1"/>
  <c r="W16" i="53"/>
  <c r="Y16" i="49"/>
  <c r="B146" i="49" s="1"/>
  <c r="W16" i="49"/>
  <c r="W16" i="98"/>
  <c r="Y16" i="98"/>
  <c r="B41" i="52"/>
  <c r="C41" i="52" s="1"/>
  <c r="Y16" i="52"/>
  <c r="W16" i="52"/>
  <c r="Y16" i="61"/>
  <c r="W16" i="61"/>
  <c r="R22" i="19"/>
  <c r="T22" i="19" s="1"/>
  <c r="AD22" i="19"/>
  <c r="B201" i="37"/>
  <c r="AA17" i="37"/>
  <c r="K21" i="346"/>
  <c r="M21" i="117"/>
  <c r="K21" i="116"/>
  <c r="P15" i="37"/>
  <c r="B41" i="67" s="1"/>
  <c r="B119" i="67" s="1"/>
  <c r="B150" i="37"/>
  <c r="R198" i="37" s="1"/>
  <c r="B203" i="37"/>
  <c r="AA19" i="37"/>
  <c r="AC19" i="37"/>
  <c r="C16" i="58"/>
  <c r="B41" i="58"/>
  <c r="C41" i="58" s="1"/>
  <c r="B41" i="65"/>
  <c r="C41" i="65" s="1"/>
  <c r="C16" i="65"/>
  <c r="C16" i="51"/>
  <c r="E16" i="51" s="1"/>
  <c r="H16" i="51" s="1"/>
  <c r="B41" i="51"/>
  <c r="C41" i="51" s="1"/>
  <c r="E41" i="51" s="1"/>
  <c r="H41" i="51" s="1"/>
  <c r="Q16" i="51" s="1"/>
  <c r="I42" i="67" s="1"/>
  <c r="I120" i="67" s="1"/>
  <c r="B41" i="54"/>
  <c r="C41" i="54" s="1"/>
  <c r="C16" i="54"/>
  <c r="B41" i="35"/>
  <c r="C41" i="35" s="1"/>
  <c r="F41" i="35" s="1"/>
  <c r="G41" i="35" s="1"/>
  <c r="I41" i="35" s="1"/>
  <c r="O16" i="35" s="1"/>
  <c r="T42" i="67" s="1"/>
  <c r="T120" i="67" s="1"/>
  <c r="C16" i="35"/>
  <c r="F16" i="35" s="1"/>
  <c r="G16" i="35" s="1"/>
  <c r="I16" i="35" s="1"/>
  <c r="F16" i="55"/>
  <c r="G16" i="55" s="1"/>
  <c r="J16" i="55" s="1"/>
  <c r="C16" i="66"/>
  <c r="E16" i="66" s="1"/>
  <c r="F16" i="66" s="1"/>
  <c r="J16" i="66" s="1"/>
  <c r="C16" i="48"/>
  <c r="F16" i="48" s="1"/>
  <c r="G16" i="48" s="1"/>
  <c r="J16" i="48" s="1"/>
  <c r="O16" i="48" s="1"/>
  <c r="C16" i="67" s="1"/>
  <c r="B41" i="48"/>
  <c r="C41" i="48" s="1"/>
  <c r="F41" i="48" s="1"/>
  <c r="G41" i="48" s="1"/>
  <c r="J41" i="48" s="1"/>
  <c r="B42" i="33"/>
  <c r="C42" i="33" s="1"/>
  <c r="C17" i="33"/>
  <c r="B42" i="49"/>
  <c r="C17" i="49"/>
  <c r="B41" i="62"/>
  <c r="C41" i="62" s="1"/>
  <c r="F41" i="62" s="1"/>
  <c r="G41" i="62" s="1"/>
  <c r="J41" i="62" s="1"/>
  <c r="P16" i="62" s="1"/>
  <c r="K42" i="67" s="1"/>
  <c r="K120" i="67" s="1"/>
  <c r="C16" i="62"/>
  <c r="F16" i="62" s="1"/>
  <c r="G16" i="62" s="1"/>
  <c r="J16" i="62" s="1"/>
  <c r="B41" i="50"/>
  <c r="C41" i="50" s="1"/>
  <c r="C16" i="50"/>
  <c r="C16" i="60"/>
  <c r="B41" i="60"/>
  <c r="C41" i="60" s="1"/>
  <c r="C16" i="64"/>
  <c r="E16" i="64" s="1"/>
  <c r="F16" i="64" s="1"/>
  <c r="H16" i="64" s="1"/>
  <c r="M16" i="64" s="1"/>
  <c r="B41" i="64"/>
  <c r="C41" i="64" s="1"/>
  <c r="E41" i="64" s="1"/>
  <c r="F41" i="64" s="1"/>
  <c r="H41" i="64" s="1"/>
  <c r="N16" i="64" s="1"/>
  <c r="Q42" i="67" s="1"/>
  <c r="Q120" i="67" s="1"/>
  <c r="B41" i="98"/>
  <c r="C41" i="98" s="1"/>
  <c r="C16" i="98"/>
  <c r="B41" i="61"/>
  <c r="C41" i="61" s="1"/>
  <c r="F41" i="61" s="1"/>
  <c r="G41" i="61" s="1"/>
  <c r="I41" i="61" s="1"/>
  <c r="O16" i="61" s="1"/>
  <c r="U42" i="67" s="1"/>
  <c r="U120" i="67" s="1"/>
  <c r="C16" i="61"/>
  <c r="F16" i="61" s="1"/>
  <c r="G16" i="61" s="1"/>
  <c r="I16" i="61" s="1"/>
  <c r="BH30" i="20"/>
  <c r="N24" i="4"/>
  <c r="O24" i="4" s="1"/>
  <c r="AU34" i="20" s="1"/>
  <c r="BH28" i="20"/>
  <c r="BI27" i="20" s="1"/>
  <c r="C16" i="37"/>
  <c r="C200" i="37" s="1"/>
  <c r="B62" i="37"/>
  <c r="J19" i="4"/>
  <c r="K19" i="4" s="1"/>
  <c r="J22" i="4"/>
  <c r="K22" i="4" s="1"/>
  <c r="I23" i="4"/>
  <c r="U22" i="19"/>
  <c r="X20" i="18"/>
  <c r="K20" i="18" s="1"/>
  <c r="R20" i="18" s="1"/>
  <c r="AB23" i="19"/>
  <c r="AA25" i="19"/>
  <c r="W23" i="18"/>
  <c r="AA24" i="5"/>
  <c r="AB24" i="5" s="1"/>
  <c r="AC24" i="5" s="1"/>
  <c r="P22" i="5"/>
  <c r="Q22" i="5" s="1"/>
  <c r="F22" i="5"/>
  <c r="I23" i="5"/>
  <c r="G23" i="5" s="1"/>
  <c r="B24" i="5"/>
  <c r="C24" i="5" s="1"/>
  <c r="B24" i="4" s="1"/>
  <c r="H24" i="5"/>
  <c r="D25" i="5"/>
  <c r="M25" i="4" s="1"/>
  <c r="X139" i="49" l="1"/>
  <c r="D86" i="49"/>
  <c r="Z139" i="49" s="1"/>
  <c r="C86" i="49"/>
  <c r="R130" i="60"/>
  <c r="F92" i="60"/>
  <c r="V121" i="48"/>
  <c r="U130" i="33"/>
  <c r="R128" i="63"/>
  <c r="F90" i="63"/>
  <c r="U128" i="63" s="1"/>
  <c r="U133" i="65"/>
  <c r="U124" i="98"/>
  <c r="R130" i="63"/>
  <c r="F92" i="63"/>
  <c r="U130" i="63" s="1"/>
  <c r="D149" i="37"/>
  <c r="T197" i="37" s="1"/>
  <c r="C149" i="37"/>
  <c r="R197" i="37"/>
  <c r="J168" i="49"/>
  <c r="AC13" i="49"/>
  <c r="R38" i="67" s="1"/>
  <c r="R116" i="67" s="1"/>
  <c r="BH15" i="413"/>
  <c r="J171" i="49"/>
  <c r="AC16" i="49"/>
  <c r="R41" i="67" s="1"/>
  <c r="R119" i="67" s="1"/>
  <c r="B88" i="49"/>
  <c r="U121" i="98"/>
  <c r="Q127" i="50"/>
  <c r="F89" i="50"/>
  <c r="T127" i="50" s="1"/>
  <c r="C147" i="37"/>
  <c r="R195" i="37"/>
  <c r="D147" i="37"/>
  <c r="T195" i="37" s="1"/>
  <c r="C87" i="49"/>
  <c r="X140" i="49"/>
  <c r="D87" i="49"/>
  <c r="Z140" i="49" s="1"/>
  <c r="U128" i="60"/>
  <c r="U131" i="60"/>
  <c r="BH13" i="413"/>
  <c r="U123" i="98"/>
  <c r="U131" i="33"/>
  <c r="D148" i="37"/>
  <c r="T196" i="37" s="1"/>
  <c r="C148" i="37"/>
  <c r="R196" i="37"/>
  <c r="B85" i="49"/>
  <c r="U123" i="54"/>
  <c r="U128" i="33"/>
  <c r="W17" i="65"/>
  <c r="Y17" i="65"/>
  <c r="W19" i="54"/>
  <c r="Y19" i="54"/>
  <c r="B41" i="63"/>
  <c r="C41" i="63" s="1"/>
  <c r="H41" i="63" s="1"/>
  <c r="B42" i="98"/>
  <c r="C42" i="98" s="1"/>
  <c r="W17" i="98"/>
  <c r="Y17" i="98"/>
  <c r="Y17" i="63"/>
  <c r="W17" i="63"/>
  <c r="Y17" i="60"/>
  <c r="W17" i="60"/>
  <c r="Y19" i="49"/>
  <c r="B149" i="49" s="1"/>
  <c r="W19" i="49"/>
  <c r="W19" i="64"/>
  <c r="Y19" i="64"/>
  <c r="Y19" i="59"/>
  <c r="W19" i="59"/>
  <c r="C17" i="48"/>
  <c r="F17" i="48" s="1"/>
  <c r="G17" i="48" s="1"/>
  <c r="J17" i="48" s="1"/>
  <c r="Z17" i="48"/>
  <c r="X17" i="48"/>
  <c r="C17" i="51"/>
  <c r="E17" i="51" s="1"/>
  <c r="H17" i="51" s="1"/>
  <c r="Y17" i="51"/>
  <c r="W17" i="51"/>
  <c r="B42" i="54"/>
  <c r="C42" i="54" s="1"/>
  <c r="W17" i="54"/>
  <c r="Y17" i="54"/>
  <c r="Y17" i="35"/>
  <c r="W17" i="35"/>
  <c r="Y19" i="61"/>
  <c r="W19" i="61"/>
  <c r="Y19" i="60"/>
  <c r="W19" i="60"/>
  <c r="W17" i="64"/>
  <c r="Y17" i="64"/>
  <c r="Y17" i="62"/>
  <c r="W17" i="62"/>
  <c r="B147" i="49"/>
  <c r="Y17" i="49"/>
  <c r="W17" i="49"/>
  <c r="C19" i="66"/>
  <c r="E19" i="66" s="1"/>
  <c r="F19" i="66" s="1"/>
  <c r="J19" i="66" s="1"/>
  <c r="Y19" i="66"/>
  <c r="W19" i="66"/>
  <c r="B44" i="35"/>
  <c r="C44" i="35" s="1"/>
  <c r="F44" i="35" s="1"/>
  <c r="G44" i="35" s="1"/>
  <c r="I44" i="35" s="1"/>
  <c r="O19" i="35" s="1"/>
  <c r="T45" i="67" s="1"/>
  <c r="T123" i="67" s="1"/>
  <c r="Y19" i="35"/>
  <c r="W19" i="35"/>
  <c r="AB20" i="37"/>
  <c r="B20" i="37" s="1"/>
  <c r="B204" i="37" s="1"/>
  <c r="X20" i="98"/>
  <c r="B20" i="98" s="1"/>
  <c r="X20" i="35"/>
  <c r="B20" i="35" s="1"/>
  <c r="X20" i="60"/>
  <c r="B20" i="60" s="1"/>
  <c r="X20" i="64"/>
  <c r="B20" i="64" s="1"/>
  <c r="X20" i="33"/>
  <c r="B21" i="33" s="1"/>
  <c r="X20" i="57"/>
  <c r="B20" i="57" s="1"/>
  <c r="X20" i="66"/>
  <c r="B20" i="66" s="1"/>
  <c r="X20" i="61"/>
  <c r="B20" i="61" s="1"/>
  <c r="X20" i="49"/>
  <c r="B21" i="49" s="1"/>
  <c r="X20" i="54"/>
  <c r="B20" i="54" s="1"/>
  <c r="X20" i="59"/>
  <c r="B20" i="59" s="1"/>
  <c r="X20" i="63"/>
  <c r="B20" i="63" s="1"/>
  <c r="X20" i="62"/>
  <c r="B20" i="62" s="1"/>
  <c r="X20" i="65"/>
  <c r="B20" i="65" s="1"/>
  <c r="X20" i="52"/>
  <c r="B20" i="52" s="1"/>
  <c r="X20" i="53"/>
  <c r="B20" i="53" s="1"/>
  <c r="X20" i="58"/>
  <c r="B20" i="58" s="1"/>
  <c r="X20" i="51"/>
  <c r="B20" i="51" s="1"/>
  <c r="W20" i="55"/>
  <c r="B20" i="55" s="1"/>
  <c r="Y20" i="48"/>
  <c r="B20" i="48" s="1"/>
  <c r="X20" i="50"/>
  <c r="B20" i="50" s="1"/>
  <c r="B41" i="53"/>
  <c r="C41" i="53" s="1"/>
  <c r="F41" i="53" s="1"/>
  <c r="G41" i="53" s="1"/>
  <c r="J41" i="53" s="1"/>
  <c r="B92" i="53" s="1"/>
  <c r="Q128" i="53" s="1"/>
  <c r="B41" i="57"/>
  <c r="C41" i="57" s="1"/>
  <c r="F41" i="57" s="1"/>
  <c r="G41" i="57" s="1"/>
  <c r="J41" i="57" s="1"/>
  <c r="B90" i="57" s="1"/>
  <c r="Q128" i="57" s="1"/>
  <c r="Y17" i="58"/>
  <c r="W17" i="58"/>
  <c r="Y17" i="61"/>
  <c r="W17" i="61"/>
  <c r="Y19" i="53"/>
  <c r="W19" i="53"/>
  <c r="W19" i="98"/>
  <c r="Y19" i="98"/>
  <c r="B42" i="55"/>
  <c r="C42" i="55" s="1"/>
  <c r="F42" i="55" s="1"/>
  <c r="G42" i="55" s="1"/>
  <c r="J42" i="55" s="1"/>
  <c r="P16" i="55" s="1"/>
  <c r="D42" i="67" s="1"/>
  <c r="D120" i="67" s="1"/>
  <c r="Y19" i="58"/>
  <c r="W19" i="58"/>
  <c r="AB18" i="37"/>
  <c r="B18" i="37" s="1"/>
  <c r="X18" i="63"/>
  <c r="B18" i="63" s="1"/>
  <c r="X18" i="35"/>
  <c r="B18" i="35" s="1"/>
  <c r="X18" i="64"/>
  <c r="B18" i="64" s="1"/>
  <c r="X18" i="49"/>
  <c r="B19" i="49" s="1"/>
  <c r="X18" i="65"/>
  <c r="B18" i="65" s="1"/>
  <c r="X18" i="52"/>
  <c r="B18" i="52" s="1"/>
  <c r="X18" i="53"/>
  <c r="B18" i="53" s="1"/>
  <c r="X18" i="33"/>
  <c r="B19" i="33" s="1"/>
  <c r="X18" i="66"/>
  <c r="B18" i="66" s="1"/>
  <c r="X18" i="59"/>
  <c r="B18" i="59" s="1"/>
  <c r="X18" i="58"/>
  <c r="B18" i="58" s="1"/>
  <c r="X18" i="62"/>
  <c r="B18" i="62" s="1"/>
  <c r="X18" i="51"/>
  <c r="B18" i="51" s="1"/>
  <c r="X18" i="57"/>
  <c r="B18" i="57" s="1"/>
  <c r="X18" i="61"/>
  <c r="B18" i="61" s="1"/>
  <c r="X18" i="54"/>
  <c r="B18" i="54" s="1"/>
  <c r="X18" i="98"/>
  <c r="B18" i="98" s="1"/>
  <c r="X18" i="60"/>
  <c r="B18" i="60" s="1"/>
  <c r="W18" i="55"/>
  <c r="B18" i="55" s="1"/>
  <c r="Y18" i="48"/>
  <c r="B18" i="48" s="1"/>
  <c r="X18" i="50"/>
  <c r="B18" i="50" s="1"/>
  <c r="C17" i="59"/>
  <c r="E17" i="59" s="1"/>
  <c r="F17" i="59" s="1"/>
  <c r="I17" i="59" s="1"/>
  <c r="Y17" i="59"/>
  <c r="W17" i="59"/>
  <c r="Y17" i="66"/>
  <c r="W17" i="66"/>
  <c r="Y19" i="50"/>
  <c r="W19" i="50"/>
  <c r="Y19" i="52"/>
  <c r="W19" i="52"/>
  <c r="W19" i="65"/>
  <c r="Y19" i="65"/>
  <c r="Y19" i="33"/>
  <c r="W19" i="33"/>
  <c r="C16" i="59"/>
  <c r="E16" i="59" s="1"/>
  <c r="F16" i="59" s="1"/>
  <c r="I16" i="59" s="1"/>
  <c r="B92" i="59" s="1"/>
  <c r="Q130" i="59" s="1"/>
  <c r="C16" i="52"/>
  <c r="G16" i="52" s="1"/>
  <c r="H16" i="52" s="1"/>
  <c r="J16" i="52" s="1"/>
  <c r="AC17" i="37"/>
  <c r="B43" i="55"/>
  <c r="C43" i="55" s="1"/>
  <c r="F43" i="55" s="1"/>
  <c r="G43" i="55" s="1"/>
  <c r="J43" i="55" s="1"/>
  <c r="P17" i="55" s="1"/>
  <c r="D43" i="67" s="1"/>
  <c r="D121" i="67" s="1"/>
  <c r="C17" i="55"/>
  <c r="F17" i="55" s="1"/>
  <c r="G17" i="55" s="1"/>
  <c r="J17" i="55" s="1"/>
  <c r="X17" i="55"/>
  <c r="V17" i="55"/>
  <c r="W17" i="53"/>
  <c r="Y17" i="53"/>
  <c r="C17" i="53" s="1"/>
  <c r="C17" i="57"/>
  <c r="F17" i="57" s="1"/>
  <c r="G17" i="57" s="1"/>
  <c r="J17" i="57" s="1"/>
  <c r="Y17" i="57"/>
  <c r="W17" i="57"/>
  <c r="Z19" i="48"/>
  <c r="X19" i="48"/>
  <c r="B44" i="63"/>
  <c r="C44" i="63" s="1"/>
  <c r="Y19" i="63"/>
  <c r="W19" i="63"/>
  <c r="C19" i="51"/>
  <c r="E19" i="51" s="1"/>
  <c r="H19" i="51" s="1"/>
  <c r="Y19" i="51"/>
  <c r="W19" i="51"/>
  <c r="B42" i="50"/>
  <c r="C42" i="50" s="1"/>
  <c r="Y17" i="50"/>
  <c r="W17" i="50"/>
  <c r="Y17" i="52"/>
  <c r="W17" i="52"/>
  <c r="Y17" i="33"/>
  <c r="W17" i="33"/>
  <c r="C19" i="55"/>
  <c r="F19" i="55" s="1"/>
  <c r="G19" i="55" s="1"/>
  <c r="J19" i="55" s="1"/>
  <c r="O19" i="55" s="1"/>
  <c r="D19" i="67" s="1"/>
  <c r="D97" i="67" s="1"/>
  <c r="BH20" i="130" s="1"/>
  <c r="AT21" i="130" s="1"/>
  <c r="AS21" i="130" s="1"/>
  <c r="X19" i="55"/>
  <c r="V19" i="55"/>
  <c r="B44" i="57"/>
  <c r="C44" i="57" s="1"/>
  <c r="F44" i="57" s="1"/>
  <c r="G44" i="57" s="1"/>
  <c r="J44" i="57" s="1"/>
  <c r="P19" i="57" s="1"/>
  <c r="E45" i="67" s="1"/>
  <c r="E123" i="67" s="1"/>
  <c r="C19" i="57"/>
  <c r="F19" i="57" s="1"/>
  <c r="G19" i="57" s="1"/>
  <c r="J19" i="57" s="1"/>
  <c r="O19" i="57" s="1"/>
  <c r="E19" i="67" s="1"/>
  <c r="E97" i="67" s="1"/>
  <c r="BG20" i="140" s="1"/>
  <c r="AS21" i="140" s="1"/>
  <c r="Y19" i="57"/>
  <c r="W19" i="57"/>
  <c r="Y19" i="62"/>
  <c r="W19" i="62"/>
  <c r="C146" i="49"/>
  <c r="E17" i="49"/>
  <c r="E146" i="49" s="1"/>
  <c r="C62" i="37"/>
  <c r="C225" i="37" s="1"/>
  <c r="B225" i="37"/>
  <c r="C42" i="49"/>
  <c r="C172" i="49" s="1"/>
  <c r="B172" i="49"/>
  <c r="G17" i="49"/>
  <c r="G146" i="49" s="1"/>
  <c r="K23" i="19"/>
  <c r="R23" i="19" s="1"/>
  <c r="AD23" i="19"/>
  <c r="K22" i="346"/>
  <c r="M22" i="117"/>
  <c r="K22" i="116"/>
  <c r="K19" i="346"/>
  <c r="M19" i="117"/>
  <c r="K19" i="116"/>
  <c r="D150" i="37"/>
  <c r="T198" i="37" s="1"/>
  <c r="C150" i="37"/>
  <c r="S198" i="37" s="1"/>
  <c r="O16" i="55"/>
  <c r="D16" i="67" s="1"/>
  <c r="D94" i="67" s="1"/>
  <c r="BH17" i="130" s="1"/>
  <c r="AT18" i="130" s="1"/>
  <c r="AS18" i="130" s="1"/>
  <c r="G41" i="65"/>
  <c r="H41" i="65"/>
  <c r="E41" i="65"/>
  <c r="C19" i="61"/>
  <c r="F19" i="61" s="1"/>
  <c r="G19" i="61" s="1"/>
  <c r="I19" i="61" s="1"/>
  <c r="B44" i="61"/>
  <c r="C44" i="61" s="1"/>
  <c r="AG16" i="60"/>
  <c r="AJ16" i="60" s="1"/>
  <c r="H16" i="60" s="1"/>
  <c r="F16" i="60"/>
  <c r="G16" i="60" s="1"/>
  <c r="F42" i="33"/>
  <c r="D42" i="33"/>
  <c r="O17" i="55"/>
  <c r="D17" i="67" s="1"/>
  <c r="D95" i="67" s="1"/>
  <c r="BH18" i="130" s="1"/>
  <c r="AT19" i="130" s="1"/>
  <c r="AS19" i="130" s="1"/>
  <c r="B42" i="62"/>
  <c r="C42" i="62" s="1"/>
  <c r="C17" i="62"/>
  <c r="B42" i="35"/>
  <c r="C42" i="35" s="1"/>
  <c r="F42" i="35" s="1"/>
  <c r="G42" i="35" s="1"/>
  <c r="I42" i="35" s="1"/>
  <c r="O17" i="35" s="1"/>
  <c r="T43" i="67" s="1"/>
  <c r="T121" i="67" s="1"/>
  <c r="C17" i="35"/>
  <c r="F17" i="35" s="1"/>
  <c r="G17" i="35" s="1"/>
  <c r="I17" i="35" s="1"/>
  <c r="N16" i="35"/>
  <c r="T16" i="67" s="1"/>
  <c r="T94" i="67" s="1"/>
  <c r="B95" i="35"/>
  <c r="Q133" i="35" s="1"/>
  <c r="F41" i="58"/>
  <c r="G41" i="58" s="1"/>
  <c r="C19" i="50"/>
  <c r="B44" i="50"/>
  <c r="C44" i="50" s="1"/>
  <c r="C19" i="62"/>
  <c r="F19" i="62" s="1"/>
  <c r="G19" i="62" s="1"/>
  <c r="J19" i="62" s="1"/>
  <c r="B44" i="62"/>
  <c r="C44" i="62" s="1"/>
  <c r="F44" i="62" s="1"/>
  <c r="G44" i="62" s="1"/>
  <c r="J44" i="62" s="1"/>
  <c r="P19" i="62" s="1"/>
  <c r="K45" i="67" s="1"/>
  <c r="K123" i="67" s="1"/>
  <c r="B44" i="60"/>
  <c r="C44" i="60" s="1"/>
  <c r="C19" i="60"/>
  <c r="D41" i="98"/>
  <c r="F41" i="98"/>
  <c r="F17" i="33"/>
  <c r="D17" i="33"/>
  <c r="C17" i="61"/>
  <c r="F17" i="61" s="1"/>
  <c r="G17" i="61" s="1"/>
  <c r="I17" i="61" s="1"/>
  <c r="B42" i="61"/>
  <c r="C42" i="61" s="1"/>
  <c r="F42" i="61" s="1"/>
  <c r="G42" i="61" s="1"/>
  <c r="I42" i="61" s="1"/>
  <c r="O17" i="61" s="1"/>
  <c r="U43" i="67" s="1"/>
  <c r="U121" i="67" s="1"/>
  <c r="C19" i="48"/>
  <c r="F19" i="48" s="1"/>
  <c r="G19" i="48" s="1"/>
  <c r="J19" i="48" s="1"/>
  <c r="B44" i="48"/>
  <c r="C44" i="48" s="1"/>
  <c r="H16" i="63"/>
  <c r="E16" i="63"/>
  <c r="F16" i="63" s="1"/>
  <c r="E16" i="50"/>
  <c r="G16" i="50" s="1"/>
  <c r="I16" i="50" s="1"/>
  <c r="P16" i="50" s="1"/>
  <c r="V16" i="67" s="1"/>
  <c r="V94" i="67" s="1"/>
  <c r="B89" i="48"/>
  <c r="R125" i="48" s="1"/>
  <c r="P16" i="48"/>
  <c r="C42" i="67" s="1"/>
  <c r="B43" i="33"/>
  <c r="C43" i="33" s="1"/>
  <c r="C18" i="33"/>
  <c r="C17" i="66"/>
  <c r="E17" i="66" s="1"/>
  <c r="F17" i="66" s="1"/>
  <c r="J17" i="66" s="1"/>
  <c r="B42" i="66"/>
  <c r="C42" i="66" s="1"/>
  <c r="F16" i="58"/>
  <c r="D16" i="58"/>
  <c r="C19" i="59"/>
  <c r="B44" i="59"/>
  <c r="C44" i="59" s="1"/>
  <c r="E44" i="59" s="1"/>
  <c r="F44" i="59" s="1"/>
  <c r="I44" i="59" s="1"/>
  <c r="O19" i="59" s="1"/>
  <c r="M45" i="67" s="1"/>
  <c r="M123" i="67" s="1"/>
  <c r="B44" i="64"/>
  <c r="C44" i="64" s="1"/>
  <c r="E44" i="64" s="1"/>
  <c r="F44" i="64" s="1"/>
  <c r="H44" i="64" s="1"/>
  <c r="N19" i="64" s="1"/>
  <c r="Q45" i="67" s="1"/>
  <c r="Q123" i="67" s="1"/>
  <c r="C19" i="64"/>
  <c r="E19" i="64" s="1"/>
  <c r="F19" i="64" s="1"/>
  <c r="H19" i="64" s="1"/>
  <c r="M19" i="64" s="1"/>
  <c r="C17" i="50"/>
  <c r="C17" i="63"/>
  <c r="B42" i="63"/>
  <c r="C42" i="63" s="1"/>
  <c r="F16" i="54"/>
  <c r="G16" i="54" s="1"/>
  <c r="I16" i="54" s="1"/>
  <c r="O16" i="54" s="1"/>
  <c r="G16" i="67" s="1"/>
  <c r="G94" i="67" s="1"/>
  <c r="B44" i="54"/>
  <c r="C44" i="54" s="1"/>
  <c r="C19" i="54"/>
  <c r="C19" i="63"/>
  <c r="Q16" i="67"/>
  <c r="Q94" i="67" s="1"/>
  <c r="B97" i="64"/>
  <c r="Q135" i="64" s="1"/>
  <c r="B94" i="62"/>
  <c r="Q130" i="62" s="1"/>
  <c r="O16" i="62"/>
  <c r="K16" i="67" s="1"/>
  <c r="K94" i="67" s="1"/>
  <c r="B42" i="51"/>
  <c r="C42" i="51" s="1"/>
  <c r="E42" i="51" s="1"/>
  <c r="H42" i="51" s="1"/>
  <c r="Q17" i="51" s="1"/>
  <c r="I43" i="67" s="1"/>
  <c r="I121" i="67" s="1"/>
  <c r="B42" i="65"/>
  <c r="C42" i="65" s="1"/>
  <c r="C17" i="65"/>
  <c r="O16" i="66"/>
  <c r="W16" i="67" s="1"/>
  <c r="W94" i="67" s="1"/>
  <c r="B94" i="66"/>
  <c r="Q132" i="66" s="1"/>
  <c r="F41" i="54"/>
  <c r="G41" i="54" s="1"/>
  <c r="I41" i="54" s="1"/>
  <c r="B44" i="52"/>
  <c r="C44" i="52" s="1"/>
  <c r="C19" i="52"/>
  <c r="B44" i="65"/>
  <c r="C44" i="65" s="1"/>
  <c r="C19" i="65"/>
  <c r="AH43" i="50"/>
  <c r="AJ43" i="50" s="1"/>
  <c r="F43" i="50" s="1"/>
  <c r="E41" i="50"/>
  <c r="G41" i="50" s="1"/>
  <c r="I41" i="50" s="1"/>
  <c r="B94" i="61"/>
  <c r="Q132" i="61" s="1"/>
  <c r="N16" i="61"/>
  <c r="U16" i="67" s="1"/>
  <c r="U94" i="67" s="1"/>
  <c r="C17" i="52"/>
  <c r="B42" i="52"/>
  <c r="C42" i="52" s="1"/>
  <c r="C17" i="60"/>
  <c r="B42" i="60"/>
  <c r="C42" i="60" s="1"/>
  <c r="C19" i="98"/>
  <c r="B44" i="98"/>
  <c r="C44" i="98" s="1"/>
  <c r="C20" i="49"/>
  <c r="B45" i="49"/>
  <c r="F41" i="60"/>
  <c r="G41" i="60" s="1"/>
  <c r="J41" i="60" s="1"/>
  <c r="P16" i="60" s="1"/>
  <c r="S42" i="67" s="1"/>
  <c r="S120" i="67" s="1"/>
  <c r="X120" i="67" s="1"/>
  <c r="B42" i="48"/>
  <c r="C42" i="48" s="1"/>
  <c r="F42" i="48" s="1"/>
  <c r="G42" i="48" s="1"/>
  <c r="J42" i="48" s="1"/>
  <c r="P17" i="48" s="1"/>
  <c r="C43" i="67" s="1"/>
  <c r="B42" i="53"/>
  <c r="C42" i="53" s="1"/>
  <c r="F42" i="53" s="1"/>
  <c r="G42" i="53" s="1"/>
  <c r="J42" i="53" s="1"/>
  <c r="B42" i="64"/>
  <c r="C42" i="64" s="1"/>
  <c r="E42" i="64" s="1"/>
  <c r="F42" i="64" s="1"/>
  <c r="H42" i="64" s="1"/>
  <c r="N17" i="64" s="1"/>
  <c r="Q43" i="67" s="1"/>
  <c r="Q121" i="67" s="1"/>
  <c r="C17" i="64"/>
  <c r="E17" i="64" s="1"/>
  <c r="F17" i="64" s="1"/>
  <c r="H17" i="64" s="1"/>
  <c r="M17" i="64" s="1"/>
  <c r="G41" i="52"/>
  <c r="H41" i="52" s="1"/>
  <c r="J41" i="52" s="1"/>
  <c r="R16" i="52" s="1"/>
  <c r="J42" i="67" s="1"/>
  <c r="J120" i="67" s="1"/>
  <c r="P16" i="51"/>
  <c r="I16" i="67" s="1"/>
  <c r="I94" i="67" s="1"/>
  <c r="B93" i="51"/>
  <c r="Q129" i="51" s="1"/>
  <c r="O16" i="53"/>
  <c r="H16" i="67" s="1"/>
  <c r="H94" i="67" s="1"/>
  <c r="B44" i="53"/>
  <c r="C44" i="53" s="1"/>
  <c r="F44" i="53" s="1"/>
  <c r="G44" i="53" s="1"/>
  <c r="J44" i="53" s="1"/>
  <c r="P19" i="53" s="1"/>
  <c r="H45" i="67" s="1"/>
  <c r="H123" i="67" s="1"/>
  <c r="C19" i="53"/>
  <c r="F16" i="98"/>
  <c r="D16" i="98"/>
  <c r="N16" i="59"/>
  <c r="M16" i="67" s="1"/>
  <c r="M94" i="67" s="1"/>
  <c r="C17" i="54"/>
  <c r="F17" i="54" s="1"/>
  <c r="G17" i="54" s="1"/>
  <c r="I17" i="54" s="1"/>
  <c r="C17" i="58"/>
  <c r="B42" i="58"/>
  <c r="C42" i="58" s="1"/>
  <c r="B43" i="49"/>
  <c r="C18" i="49"/>
  <c r="H16" i="65"/>
  <c r="G16" i="65"/>
  <c r="E16" i="65"/>
  <c r="B45" i="33"/>
  <c r="C45" i="33" s="1"/>
  <c r="C20" i="33"/>
  <c r="B44" i="58"/>
  <c r="C44" i="58" s="1"/>
  <c r="C19" i="58"/>
  <c r="N25" i="4"/>
  <c r="O25" i="4" s="1"/>
  <c r="AU35" i="20" s="1"/>
  <c r="BI28" i="20"/>
  <c r="BI29" i="20"/>
  <c r="F62" i="37"/>
  <c r="F225" i="37" s="1"/>
  <c r="D62" i="37"/>
  <c r="D225" i="37" s="1"/>
  <c r="B65" i="37"/>
  <c r="C19" i="37"/>
  <c r="C203" i="37" s="1"/>
  <c r="C17" i="37"/>
  <c r="C201" i="37" s="1"/>
  <c r="B63" i="37"/>
  <c r="BH31" i="20"/>
  <c r="BI30" i="20" s="1"/>
  <c r="F16" i="37"/>
  <c r="F200" i="37" s="1"/>
  <c r="D16" i="37"/>
  <c r="D200" i="37" s="1"/>
  <c r="J23" i="4"/>
  <c r="K23" i="4" s="1"/>
  <c r="I24" i="4"/>
  <c r="W24" i="18"/>
  <c r="AA26" i="19"/>
  <c r="D4" i="19" s="1"/>
  <c r="D10" i="18" s="1"/>
  <c r="U23" i="19"/>
  <c r="T23" i="19"/>
  <c r="X21" i="18"/>
  <c r="K21" i="18" s="1"/>
  <c r="R21" i="18" s="1"/>
  <c r="AB24" i="19"/>
  <c r="AA25" i="5"/>
  <c r="AB25" i="5" s="1"/>
  <c r="AC25" i="5" s="1"/>
  <c r="P23" i="5"/>
  <c r="Q23" i="5" s="1"/>
  <c r="F23" i="5"/>
  <c r="I24" i="5"/>
  <c r="G24" i="5" s="1"/>
  <c r="B25" i="5"/>
  <c r="C25" i="5" s="1"/>
  <c r="B25" i="4" s="1"/>
  <c r="H25" i="5"/>
  <c r="F148" i="37" l="1"/>
  <c r="V196" i="37" s="1"/>
  <c r="S196" i="37"/>
  <c r="S195" i="37"/>
  <c r="F147" i="37"/>
  <c r="V195" i="37" s="1"/>
  <c r="U130" i="60"/>
  <c r="AA20" i="37"/>
  <c r="AC20" i="37"/>
  <c r="S197" i="37"/>
  <c r="F149" i="37"/>
  <c r="V197" i="37" s="1"/>
  <c r="Y139" i="49"/>
  <c r="F86" i="49"/>
  <c r="X138" i="49"/>
  <c r="C85" i="49"/>
  <c r="D85" i="49"/>
  <c r="Z138" i="49" s="1"/>
  <c r="F87" i="49"/>
  <c r="Y140" i="49"/>
  <c r="X141" i="49"/>
  <c r="C88" i="49"/>
  <c r="D88" i="49"/>
  <c r="Z141" i="49" s="1"/>
  <c r="E41" i="63"/>
  <c r="F41" i="63" s="1"/>
  <c r="P16" i="57"/>
  <c r="E42" i="67" s="1"/>
  <c r="E120" i="67" s="1"/>
  <c r="B92" i="55"/>
  <c r="C18" i="57"/>
  <c r="F18" i="57" s="1"/>
  <c r="G18" i="57" s="1"/>
  <c r="J18" i="57" s="1"/>
  <c r="Y18" i="57"/>
  <c r="W18" i="57"/>
  <c r="Y18" i="52"/>
  <c r="W18" i="52"/>
  <c r="B45" i="50"/>
  <c r="C45" i="50" s="1"/>
  <c r="Y20" i="50"/>
  <c r="W20" i="50"/>
  <c r="Y20" i="62"/>
  <c r="W20" i="62"/>
  <c r="Y20" i="33"/>
  <c r="W20" i="33"/>
  <c r="B44" i="51"/>
  <c r="C44" i="51" s="1"/>
  <c r="E44" i="51" s="1"/>
  <c r="H44" i="51" s="1"/>
  <c r="Q19" i="51" s="1"/>
  <c r="I45" i="67" s="1"/>
  <c r="I123" i="67" s="1"/>
  <c r="B42" i="59"/>
  <c r="C42" i="59" s="1"/>
  <c r="E42" i="59" s="1"/>
  <c r="F42" i="59" s="1"/>
  <c r="I42" i="59" s="1"/>
  <c r="O17" i="59" s="1"/>
  <c r="M43" i="67" s="1"/>
  <c r="M121" i="67" s="1"/>
  <c r="B93" i="55"/>
  <c r="Y18" i="50"/>
  <c r="W18" i="50"/>
  <c r="Y18" i="51"/>
  <c r="W18" i="51"/>
  <c r="W18" i="65"/>
  <c r="Y18" i="65"/>
  <c r="Z20" i="48"/>
  <c r="X20" i="48"/>
  <c r="B45" i="63"/>
  <c r="C45" i="63" s="1"/>
  <c r="Y20" i="63"/>
  <c r="W20" i="63"/>
  <c r="Y20" i="64"/>
  <c r="W20" i="64"/>
  <c r="Z18" i="48"/>
  <c r="X18" i="48"/>
  <c r="Y18" i="62"/>
  <c r="W18" i="62"/>
  <c r="Y18" i="49"/>
  <c r="W18" i="49"/>
  <c r="C20" i="55"/>
  <c r="F20" i="55" s="1"/>
  <c r="G20" i="55" s="1"/>
  <c r="J20" i="55" s="1"/>
  <c r="X20" i="55"/>
  <c r="V20" i="55"/>
  <c r="Y20" i="59"/>
  <c r="W20" i="59"/>
  <c r="Y20" i="60"/>
  <c r="W20" i="60"/>
  <c r="Y18" i="58"/>
  <c r="W18" i="58"/>
  <c r="C18" i="55"/>
  <c r="F18" i="55" s="1"/>
  <c r="G18" i="55" s="1"/>
  <c r="J18" i="55" s="1"/>
  <c r="X18" i="55"/>
  <c r="V18" i="55"/>
  <c r="W18" i="64"/>
  <c r="Y18" i="64"/>
  <c r="W20" i="54"/>
  <c r="Y20" i="54"/>
  <c r="C17" i="98"/>
  <c r="D17" i="98" s="1"/>
  <c r="B44" i="66"/>
  <c r="C44" i="66" s="1"/>
  <c r="E44" i="66" s="1"/>
  <c r="F44" i="66" s="1"/>
  <c r="J44" i="66" s="1"/>
  <c r="P19" i="66" s="1"/>
  <c r="W45" i="67" s="1"/>
  <c r="W123" i="67" s="1"/>
  <c r="C19" i="35"/>
  <c r="F19" i="35" s="1"/>
  <c r="G19" i="35" s="1"/>
  <c r="I19" i="35" s="1"/>
  <c r="N19" i="35" s="1"/>
  <c r="T19" i="67" s="1"/>
  <c r="T97" i="67" s="1"/>
  <c r="B93" i="57"/>
  <c r="Q131" i="57" s="1"/>
  <c r="Y18" i="60"/>
  <c r="W18" i="60"/>
  <c r="Y18" i="59"/>
  <c r="W18" i="59"/>
  <c r="W18" i="35"/>
  <c r="Y18" i="35"/>
  <c r="Y20" i="58"/>
  <c r="W20" i="58"/>
  <c r="Y20" i="49"/>
  <c r="C21" i="49" s="1"/>
  <c r="W20" i="49"/>
  <c r="W20" i="98"/>
  <c r="Y20" i="98"/>
  <c r="Y20" i="51"/>
  <c r="W20" i="51"/>
  <c r="B45" i="35"/>
  <c r="C45" i="35" s="1"/>
  <c r="F45" i="35" s="1"/>
  <c r="G45" i="35" s="1"/>
  <c r="I45" i="35" s="1"/>
  <c r="O20" i="35" s="1"/>
  <c r="T46" i="67" s="1"/>
  <c r="T124" i="67" s="1"/>
  <c r="Y20" i="35"/>
  <c r="W20" i="35"/>
  <c r="AB21" i="37"/>
  <c r="B21" i="37" s="1"/>
  <c r="X21" i="35"/>
  <c r="B21" i="35" s="1"/>
  <c r="X21" i="60"/>
  <c r="B21" i="60" s="1"/>
  <c r="X21" i="64"/>
  <c r="B21" i="64" s="1"/>
  <c r="X21" i="33"/>
  <c r="B22" i="33" s="1"/>
  <c r="X21" i="57"/>
  <c r="B21" i="57" s="1"/>
  <c r="X21" i="66"/>
  <c r="B21" i="66" s="1"/>
  <c r="X21" i="61"/>
  <c r="B21" i="61" s="1"/>
  <c r="X21" i="49"/>
  <c r="B22" i="49" s="1"/>
  <c r="X21" i="54"/>
  <c r="B21" i="54" s="1"/>
  <c r="X21" i="63"/>
  <c r="B21" i="63" s="1"/>
  <c r="X21" i="98"/>
  <c r="B21" i="98" s="1"/>
  <c r="X21" i="65"/>
  <c r="B21" i="65" s="1"/>
  <c r="X21" i="52"/>
  <c r="B21" i="52" s="1"/>
  <c r="X21" i="53"/>
  <c r="B21" i="53" s="1"/>
  <c r="X21" i="59"/>
  <c r="B21" i="59" s="1"/>
  <c r="X21" i="58"/>
  <c r="B21" i="58" s="1"/>
  <c r="X21" i="62"/>
  <c r="B21" i="62" s="1"/>
  <c r="X21" i="51"/>
  <c r="B21" i="51" s="1"/>
  <c r="W21" i="55"/>
  <c r="B21" i="55" s="1"/>
  <c r="Y21" i="48"/>
  <c r="B21" i="48" s="1"/>
  <c r="X21" i="50"/>
  <c r="B21" i="50" s="1"/>
  <c r="B42" i="57"/>
  <c r="C42" i="57" s="1"/>
  <c r="F42" i="57" s="1"/>
  <c r="G42" i="57" s="1"/>
  <c r="J42" i="57" s="1"/>
  <c r="P17" i="57" s="1"/>
  <c r="E43" i="67" s="1"/>
  <c r="E121" i="67" s="1"/>
  <c r="W18" i="98"/>
  <c r="Y18" i="98"/>
  <c r="W18" i="66"/>
  <c r="Y18" i="66"/>
  <c r="W18" i="63"/>
  <c r="Y18" i="63"/>
  <c r="W20" i="53"/>
  <c r="Y20" i="53"/>
  <c r="Y20" i="61"/>
  <c r="W20" i="61"/>
  <c r="C20" i="66"/>
  <c r="E20" i="66" s="1"/>
  <c r="F20" i="66" s="1"/>
  <c r="J20" i="66" s="1"/>
  <c r="Y20" i="66"/>
  <c r="W20" i="66"/>
  <c r="W18" i="54"/>
  <c r="Y18" i="54"/>
  <c r="Y18" i="33"/>
  <c r="W18" i="33"/>
  <c r="AA18" i="37"/>
  <c r="AC18" i="37"/>
  <c r="Y20" i="52"/>
  <c r="W20" i="52"/>
  <c r="B45" i="55"/>
  <c r="C45" i="55" s="1"/>
  <c r="F45" i="55" s="1"/>
  <c r="G45" i="55" s="1"/>
  <c r="J45" i="55" s="1"/>
  <c r="P19" i="55" s="1"/>
  <c r="D45" i="67" s="1"/>
  <c r="D123" i="67" s="1"/>
  <c r="Y18" i="61"/>
  <c r="W18" i="61"/>
  <c r="W18" i="53"/>
  <c r="Y18" i="53"/>
  <c r="W20" i="65"/>
  <c r="Y20" i="65"/>
  <c r="B45" i="57"/>
  <c r="C45" i="57" s="1"/>
  <c r="F45" i="57" s="1"/>
  <c r="G45" i="57" s="1"/>
  <c r="J45" i="57" s="1"/>
  <c r="P20" i="57" s="1"/>
  <c r="E46" i="67" s="1"/>
  <c r="E124" i="67" s="1"/>
  <c r="C20" i="57"/>
  <c r="F20" i="57" s="1"/>
  <c r="G20" i="57" s="1"/>
  <c r="J20" i="57" s="1"/>
  <c r="Y20" i="57"/>
  <c r="W20" i="57"/>
  <c r="C147" i="49"/>
  <c r="E18" i="49"/>
  <c r="E147" i="49" s="1"/>
  <c r="C149" i="49"/>
  <c r="E20" i="49"/>
  <c r="E149" i="49" s="1"/>
  <c r="E42" i="49"/>
  <c r="E172" i="49" s="1"/>
  <c r="G42" i="49"/>
  <c r="G172" i="49" s="1"/>
  <c r="S93" i="55"/>
  <c r="R130" i="55"/>
  <c r="S92" i="55"/>
  <c r="R129" i="55"/>
  <c r="C63" i="37"/>
  <c r="C226" i="37" s="1"/>
  <c r="B226" i="37"/>
  <c r="C65" i="37"/>
  <c r="C228" i="37" s="1"/>
  <c r="B228" i="37"/>
  <c r="C43" i="49"/>
  <c r="C173" i="49" s="1"/>
  <c r="B173" i="49"/>
  <c r="C45" i="49"/>
  <c r="C175" i="49" s="1"/>
  <c r="B175" i="49"/>
  <c r="G20" i="49"/>
  <c r="G149" i="49" s="1"/>
  <c r="G18" i="49"/>
  <c r="G147" i="49" s="1"/>
  <c r="J16" i="63"/>
  <c r="K24" i="19"/>
  <c r="R24" i="19" s="1"/>
  <c r="U24" i="19" s="1"/>
  <c r="AD24" i="19"/>
  <c r="G16" i="58"/>
  <c r="H16" i="58" s="1"/>
  <c r="K16" i="58" s="1"/>
  <c r="J41" i="63"/>
  <c r="P16" i="63" s="1"/>
  <c r="N42" i="67" s="1"/>
  <c r="N120" i="67" s="1"/>
  <c r="F150" i="37"/>
  <c r="V198" i="37" s="1"/>
  <c r="J41" i="65"/>
  <c r="L41" i="65" s="1"/>
  <c r="Q16" i="65" s="1"/>
  <c r="O42" i="67" s="1"/>
  <c r="O120" i="67" s="1"/>
  <c r="G16" i="98"/>
  <c r="K16" i="98" s="1"/>
  <c r="P16" i="98" s="1"/>
  <c r="F16" i="67" s="1"/>
  <c r="F94" i="67" s="1"/>
  <c r="K23" i="346"/>
  <c r="M23" i="117"/>
  <c r="K23" i="116"/>
  <c r="B205" i="37"/>
  <c r="AC21" i="37"/>
  <c r="AA21" i="37"/>
  <c r="J16" i="65"/>
  <c r="L16" i="65" s="1"/>
  <c r="H17" i="49"/>
  <c r="G17" i="33"/>
  <c r="P17" i="33" s="1"/>
  <c r="P16" i="67" s="1"/>
  <c r="P94" i="67" s="1"/>
  <c r="G41" i="98"/>
  <c r="K41" i="98" s="1"/>
  <c r="Q16" i="98" s="1"/>
  <c r="F42" i="67" s="1"/>
  <c r="F120" i="67" s="1"/>
  <c r="G42" i="33"/>
  <c r="Q17" i="33" s="1"/>
  <c r="B97" i="33" s="1"/>
  <c r="Q132" i="33" s="1"/>
  <c r="J16" i="60"/>
  <c r="O16" i="60" s="1"/>
  <c r="S16" i="67" s="1"/>
  <c r="S94" i="67" s="1"/>
  <c r="X94" i="67" s="1"/>
  <c r="O18" i="57"/>
  <c r="E18" i="67" s="1"/>
  <c r="E96" i="67" s="1"/>
  <c r="BG19" i="140" s="1"/>
  <c r="AS20" i="140" s="1"/>
  <c r="O20" i="57"/>
  <c r="E20" i="67" s="1"/>
  <c r="E98" i="67" s="1"/>
  <c r="BG21" i="140" s="1"/>
  <c r="AS22" i="140" s="1"/>
  <c r="C20" i="50"/>
  <c r="B45" i="61"/>
  <c r="C45" i="61" s="1"/>
  <c r="F45" i="61" s="1"/>
  <c r="G45" i="61" s="1"/>
  <c r="I45" i="61" s="1"/>
  <c r="O20" i="61" s="1"/>
  <c r="U46" i="67" s="1"/>
  <c r="U124" i="67" s="1"/>
  <c r="C20" i="61"/>
  <c r="D45" i="33"/>
  <c r="F45" i="33"/>
  <c r="F17" i="58"/>
  <c r="D17" i="58"/>
  <c r="P17" i="53"/>
  <c r="H43" i="67" s="1"/>
  <c r="H121" i="67" s="1"/>
  <c r="F42" i="60"/>
  <c r="G42" i="60" s="1"/>
  <c r="J42" i="60" s="1"/>
  <c r="P17" i="60" s="1"/>
  <c r="S43" i="67" s="1"/>
  <c r="S121" i="67" s="1"/>
  <c r="X121" i="67" s="1"/>
  <c r="G44" i="52"/>
  <c r="H44" i="52" s="1"/>
  <c r="J44" i="52" s="1"/>
  <c r="R19" i="52" s="1"/>
  <c r="J45" i="67" s="1"/>
  <c r="J123" i="67" s="1"/>
  <c r="H44" i="63"/>
  <c r="E44" i="63"/>
  <c r="F44" i="63" s="1"/>
  <c r="E17" i="50"/>
  <c r="G17" i="50" s="1"/>
  <c r="I17" i="50" s="1"/>
  <c r="P17" i="50" s="1"/>
  <c r="V17" i="67" s="1"/>
  <c r="V95" i="67" s="1"/>
  <c r="D89" i="48"/>
  <c r="T125" i="48" s="1"/>
  <c r="C89" i="48"/>
  <c r="S125" i="48" s="1"/>
  <c r="C20" i="62"/>
  <c r="F20" i="62" s="1"/>
  <c r="G20" i="62" s="1"/>
  <c r="J20" i="62" s="1"/>
  <c r="B45" i="62"/>
  <c r="C45" i="62" s="1"/>
  <c r="F45" i="62" s="1"/>
  <c r="G45" i="62" s="1"/>
  <c r="J45" i="62" s="1"/>
  <c r="P20" i="62" s="1"/>
  <c r="K46" i="67" s="1"/>
  <c r="K124" i="67" s="1"/>
  <c r="C20" i="54"/>
  <c r="B45" i="54"/>
  <c r="C45" i="54" s="1"/>
  <c r="F44" i="48"/>
  <c r="G44" i="48" s="1"/>
  <c r="J44" i="48" s="1"/>
  <c r="E19" i="50"/>
  <c r="G19" i="50" s="1"/>
  <c r="I19" i="50" s="1"/>
  <c r="F42" i="62"/>
  <c r="G42" i="62" s="1"/>
  <c r="J42" i="62" s="1"/>
  <c r="P17" i="62" s="1"/>
  <c r="K43" i="67" s="1"/>
  <c r="K121" i="67" s="1"/>
  <c r="F42" i="54"/>
  <c r="G42" i="54" s="1"/>
  <c r="I42" i="54" s="1"/>
  <c r="B90" i="48"/>
  <c r="R126" i="48" s="1"/>
  <c r="O17" i="48"/>
  <c r="C17" i="67" s="1"/>
  <c r="F44" i="54"/>
  <c r="G44" i="54" s="1"/>
  <c r="I44" i="54" s="1"/>
  <c r="P19" i="54" s="1"/>
  <c r="G45" i="67" s="1"/>
  <c r="G123" i="67" s="1"/>
  <c r="F19" i="98"/>
  <c r="D19" i="98"/>
  <c r="D42" i="98"/>
  <c r="F42" i="98"/>
  <c r="C94" i="66"/>
  <c r="R132" i="66" s="1"/>
  <c r="D94" i="66"/>
  <c r="S132" i="66" s="1"/>
  <c r="D97" i="64"/>
  <c r="S135" i="64" s="1"/>
  <c r="C97" i="64"/>
  <c r="R135" i="64" s="1"/>
  <c r="Q19" i="67"/>
  <c r="Q97" i="67" s="1"/>
  <c r="B100" i="64"/>
  <c r="Q138" i="64" s="1"/>
  <c r="C20" i="98"/>
  <c r="B45" i="98"/>
  <c r="C45" i="98" s="1"/>
  <c r="B45" i="65"/>
  <c r="C45" i="65" s="1"/>
  <c r="C20" i="65"/>
  <c r="B45" i="64"/>
  <c r="C45" i="64" s="1"/>
  <c r="E45" i="64" s="1"/>
  <c r="F45" i="64" s="1"/>
  <c r="H45" i="64" s="1"/>
  <c r="N20" i="64" s="1"/>
  <c r="Q46" i="67" s="1"/>
  <c r="Q124" i="67" s="1"/>
  <c r="C20" i="64"/>
  <c r="E20" i="64" s="1"/>
  <c r="F20" i="64" s="1"/>
  <c r="H20" i="64" s="1"/>
  <c r="M20" i="64" s="1"/>
  <c r="AG19" i="60"/>
  <c r="AJ19" i="60" s="1"/>
  <c r="H19" i="60" s="1"/>
  <c r="F19" i="60"/>
  <c r="G19" i="60" s="1"/>
  <c r="C95" i="35"/>
  <c r="R133" i="35" s="1"/>
  <c r="D95" i="35"/>
  <c r="S133" i="35" s="1"/>
  <c r="O17" i="54"/>
  <c r="G17" i="67" s="1"/>
  <c r="G95" i="67" s="1"/>
  <c r="C93" i="51"/>
  <c r="R129" i="51" s="1"/>
  <c r="D93" i="51"/>
  <c r="S129" i="51" s="1"/>
  <c r="AG17" i="60"/>
  <c r="AJ17" i="60" s="1"/>
  <c r="H17" i="60" s="1"/>
  <c r="F17" i="60"/>
  <c r="G17" i="60" s="1"/>
  <c r="O19" i="48"/>
  <c r="C19" i="67" s="1"/>
  <c r="F44" i="98"/>
  <c r="D44" i="98"/>
  <c r="P19" i="51"/>
  <c r="I19" i="67" s="1"/>
  <c r="I97" i="67" s="1"/>
  <c r="D92" i="59"/>
  <c r="S130" i="59" s="1"/>
  <c r="C92" i="59"/>
  <c r="R130" i="59" s="1"/>
  <c r="P16" i="53"/>
  <c r="H42" i="67" s="1"/>
  <c r="H120" i="67" s="1"/>
  <c r="G42" i="52"/>
  <c r="H42" i="52" s="1"/>
  <c r="J42" i="52" s="1"/>
  <c r="R17" i="52" s="1"/>
  <c r="J43" i="67" s="1"/>
  <c r="J121" i="67" s="1"/>
  <c r="O19" i="66"/>
  <c r="W19" i="67" s="1"/>
  <c r="W97" i="67" s="1"/>
  <c r="D94" i="62"/>
  <c r="S130" i="62" s="1"/>
  <c r="C94" i="62"/>
  <c r="R130" i="62" s="1"/>
  <c r="B93" i="59"/>
  <c r="Q131" i="59" s="1"/>
  <c r="N17" i="59"/>
  <c r="M17" i="67" s="1"/>
  <c r="M95" i="67" s="1"/>
  <c r="B46" i="33"/>
  <c r="C46" i="33" s="1"/>
  <c r="C21" i="33"/>
  <c r="C20" i="35"/>
  <c r="F20" i="35" s="1"/>
  <c r="G20" i="35" s="1"/>
  <c r="I20" i="35" s="1"/>
  <c r="F44" i="60"/>
  <c r="G44" i="60" s="1"/>
  <c r="J44" i="60" s="1"/>
  <c r="P19" i="60" s="1"/>
  <c r="S45" i="67" s="1"/>
  <c r="S123" i="67" s="1"/>
  <c r="X123" i="67" s="1"/>
  <c r="S90" i="57"/>
  <c r="D90" i="57"/>
  <c r="S128" i="57" s="1"/>
  <c r="C90" i="57"/>
  <c r="R128" i="57" s="1"/>
  <c r="F19" i="54"/>
  <c r="G19" i="54" s="1"/>
  <c r="I19" i="54" s="1"/>
  <c r="F19" i="58"/>
  <c r="D19" i="58"/>
  <c r="F19" i="53"/>
  <c r="G19" i="53" s="1"/>
  <c r="J19" i="53" s="1"/>
  <c r="B95" i="53" s="1"/>
  <c r="Q131" i="53" s="1"/>
  <c r="Q17" i="67"/>
  <c r="Q95" i="67" s="1"/>
  <c r="B98" i="64"/>
  <c r="Q136" i="64" s="1"/>
  <c r="G17" i="52"/>
  <c r="H17" i="52" s="1"/>
  <c r="J17" i="52" s="1"/>
  <c r="C94" i="61"/>
  <c r="R132" i="61" s="1"/>
  <c r="D94" i="61"/>
  <c r="S132" i="61" s="1"/>
  <c r="H19" i="65"/>
  <c r="E19" i="65"/>
  <c r="G19" i="65"/>
  <c r="G17" i="65"/>
  <c r="H17" i="65"/>
  <c r="E17" i="65"/>
  <c r="E42" i="63"/>
  <c r="F42" i="63" s="1"/>
  <c r="H42" i="63"/>
  <c r="F18" i="33"/>
  <c r="D18" i="33"/>
  <c r="B45" i="53"/>
  <c r="C45" i="53" s="1"/>
  <c r="C20" i="53"/>
  <c r="B95" i="61"/>
  <c r="Q133" i="61" s="1"/>
  <c r="N17" i="61"/>
  <c r="U17" i="67" s="1"/>
  <c r="U95" i="67" s="1"/>
  <c r="N17" i="35"/>
  <c r="T17" i="67" s="1"/>
  <c r="T95" i="67" s="1"/>
  <c r="B96" i="35"/>
  <c r="Q134" i="35" s="1"/>
  <c r="E42" i="66"/>
  <c r="F42" i="66" s="1"/>
  <c r="J42" i="66" s="1"/>
  <c r="P17" i="66" s="1"/>
  <c r="W43" i="67" s="1"/>
  <c r="W121" i="67" s="1"/>
  <c r="B45" i="52"/>
  <c r="C45" i="52" s="1"/>
  <c r="C20" i="52"/>
  <c r="H41" i="58"/>
  <c r="K41" i="58" s="1"/>
  <c r="Q16" i="58" s="1"/>
  <c r="L42" i="67" s="1"/>
  <c r="L120" i="67" s="1"/>
  <c r="P17" i="51"/>
  <c r="I17" i="67" s="1"/>
  <c r="I95" i="67" s="1"/>
  <c r="B94" i="51"/>
  <c r="Q130" i="51" s="1"/>
  <c r="O17" i="66"/>
  <c r="W17" i="67" s="1"/>
  <c r="W95" i="67" s="1"/>
  <c r="Q16" i="52"/>
  <c r="J16" i="67" s="1"/>
  <c r="J94" i="67" s="1"/>
  <c r="B94" i="52"/>
  <c r="Q130" i="52" s="1"/>
  <c r="B91" i="50"/>
  <c r="Q16" i="50"/>
  <c r="V42" i="67" s="1"/>
  <c r="V120" i="67" s="1"/>
  <c r="G44" i="65"/>
  <c r="H44" i="65"/>
  <c r="E44" i="65"/>
  <c r="G42" i="65"/>
  <c r="H42" i="65"/>
  <c r="E42" i="65"/>
  <c r="H17" i="63"/>
  <c r="E17" i="63"/>
  <c r="F17" i="63" s="1"/>
  <c r="E19" i="59"/>
  <c r="F19" i="59" s="1"/>
  <c r="I19" i="59" s="1"/>
  <c r="D43" i="33"/>
  <c r="F43" i="33"/>
  <c r="B45" i="58"/>
  <c r="C45" i="58" s="1"/>
  <c r="C20" i="58"/>
  <c r="C20" i="51"/>
  <c r="E20" i="51" s="1"/>
  <c r="H20" i="51" s="1"/>
  <c r="B45" i="51"/>
  <c r="C45" i="51" s="1"/>
  <c r="E45" i="51" s="1"/>
  <c r="H45" i="51" s="1"/>
  <c r="Q20" i="51" s="1"/>
  <c r="I46" i="67" s="1"/>
  <c r="I124" i="67" s="1"/>
  <c r="B45" i="60"/>
  <c r="C45" i="60" s="1"/>
  <c r="C20" i="60"/>
  <c r="O19" i="62"/>
  <c r="K19" i="67" s="1"/>
  <c r="K97" i="67" s="1"/>
  <c r="B97" i="62"/>
  <c r="Q133" i="62" s="1"/>
  <c r="F44" i="61"/>
  <c r="G44" i="61" s="1"/>
  <c r="I44" i="61" s="1"/>
  <c r="D92" i="55"/>
  <c r="T129" i="55" s="1"/>
  <c r="C92" i="55"/>
  <c r="S129" i="55" s="1"/>
  <c r="B90" i="54"/>
  <c r="Q127" i="54" s="1"/>
  <c r="P16" i="54"/>
  <c r="G42" i="67" s="1"/>
  <c r="G120" i="67" s="1"/>
  <c r="C20" i="59"/>
  <c r="E20" i="59" s="1"/>
  <c r="F20" i="59" s="1"/>
  <c r="I20" i="59" s="1"/>
  <c r="B45" i="59"/>
  <c r="C45" i="59" s="1"/>
  <c r="E45" i="59" s="1"/>
  <c r="F45" i="59" s="1"/>
  <c r="I45" i="59" s="1"/>
  <c r="O20" i="59" s="1"/>
  <c r="M46" i="67" s="1"/>
  <c r="M124" i="67" s="1"/>
  <c r="D93" i="55"/>
  <c r="T130" i="55" s="1"/>
  <c r="C93" i="55"/>
  <c r="S130" i="55" s="1"/>
  <c r="F17" i="98"/>
  <c r="F44" i="58"/>
  <c r="G44" i="58" s="1"/>
  <c r="F20" i="33"/>
  <c r="D20" i="33"/>
  <c r="F42" i="58"/>
  <c r="G42" i="58" s="1"/>
  <c r="D92" i="53"/>
  <c r="S128" i="53" s="1"/>
  <c r="C92" i="53"/>
  <c r="R128" i="53" s="1"/>
  <c r="F17" i="53"/>
  <c r="G17" i="53" s="1"/>
  <c r="J17" i="53" s="1"/>
  <c r="B93" i="53" s="1"/>
  <c r="Q129" i="53" s="1"/>
  <c r="G19" i="52"/>
  <c r="H19" i="52" s="1"/>
  <c r="J19" i="52" s="1"/>
  <c r="O17" i="57"/>
  <c r="E17" i="67" s="1"/>
  <c r="E95" i="67" s="1"/>
  <c r="BG18" i="140" s="1"/>
  <c r="AS19" i="140" s="1"/>
  <c r="B91" i="57"/>
  <c r="Q129" i="57" s="1"/>
  <c r="H19" i="63"/>
  <c r="E19" i="63"/>
  <c r="F19" i="63" s="1"/>
  <c r="AH44" i="50"/>
  <c r="AJ44" i="50" s="1"/>
  <c r="F44" i="50" s="1"/>
  <c r="E42" i="50"/>
  <c r="G42" i="50" s="1"/>
  <c r="I42" i="50" s="1"/>
  <c r="B45" i="48"/>
  <c r="C45" i="48" s="1"/>
  <c r="F45" i="48" s="1"/>
  <c r="G45" i="48" s="1"/>
  <c r="J45" i="48" s="1"/>
  <c r="P20" i="48" s="1"/>
  <c r="C46" i="67" s="1"/>
  <c r="C20" i="48"/>
  <c r="F20" i="48" s="1"/>
  <c r="G20" i="48" s="1"/>
  <c r="J20" i="48" s="1"/>
  <c r="AH46" i="50"/>
  <c r="AJ46" i="50" s="1"/>
  <c r="F46" i="50" s="1"/>
  <c r="E44" i="50"/>
  <c r="F17" i="62"/>
  <c r="G17" i="62" s="1"/>
  <c r="J17" i="62" s="1"/>
  <c r="N19" i="61"/>
  <c r="U19" i="67" s="1"/>
  <c r="U97" i="67" s="1"/>
  <c r="G16" i="37"/>
  <c r="G62" i="37"/>
  <c r="BH32" i="20"/>
  <c r="BI31" i="20" s="1"/>
  <c r="F17" i="37"/>
  <c r="F201" i="37" s="1"/>
  <c r="D17" i="37"/>
  <c r="D201" i="37" s="1"/>
  <c r="X22" i="18"/>
  <c r="K22" i="18" s="1"/>
  <c r="R22" i="18" s="1"/>
  <c r="F19" i="37"/>
  <c r="F203" i="37" s="1"/>
  <c r="D19" i="37"/>
  <c r="D203" i="37" s="1"/>
  <c r="B66" i="37"/>
  <c r="C20" i="37"/>
  <c r="C204" i="37" s="1"/>
  <c r="J24" i="4"/>
  <c r="K24" i="4" s="1"/>
  <c r="I25" i="4"/>
  <c r="AB25" i="19"/>
  <c r="P24" i="5"/>
  <c r="Q24" i="5" s="1"/>
  <c r="F24" i="5"/>
  <c r="I25" i="5"/>
  <c r="G25" i="5" s="1"/>
  <c r="AB139" i="49" l="1"/>
  <c r="AJ139" i="49" s="1"/>
  <c r="Y138" i="49"/>
  <c r="F85" i="49"/>
  <c r="Y141" i="49"/>
  <c r="F88" i="49"/>
  <c r="AB140" i="49"/>
  <c r="AJ140" i="49" s="1"/>
  <c r="B97" i="66"/>
  <c r="Q135" i="66" s="1"/>
  <c r="B94" i="63"/>
  <c r="Q132" i="63" s="1"/>
  <c r="C93" i="57"/>
  <c r="R131" i="57" s="1"/>
  <c r="D93" i="57"/>
  <c r="S131" i="57" s="1"/>
  <c r="S93" i="57"/>
  <c r="B98" i="35"/>
  <c r="Q136" i="35" s="1"/>
  <c r="P16" i="65"/>
  <c r="O16" i="67" s="1"/>
  <c r="O94" i="67" s="1"/>
  <c r="B97" i="65"/>
  <c r="B96" i="51"/>
  <c r="Q132" i="51" s="1"/>
  <c r="E45" i="49"/>
  <c r="E175" i="49" s="1"/>
  <c r="F63" i="37"/>
  <c r="F226" i="37" s="1"/>
  <c r="D63" i="37"/>
  <c r="D226" i="37" s="1"/>
  <c r="Y21" i="50"/>
  <c r="W21" i="50"/>
  <c r="C21" i="48"/>
  <c r="F21" i="48" s="1"/>
  <c r="G21" i="48" s="1"/>
  <c r="J21" i="48" s="1"/>
  <c r="Z21" i="48"/>
  <c r="X21" i="48"/>
  <c r="B46" i="65"/>
  <c r="C46" i="65" s="1"/>
  <c r="W21" i="65"/>
  <c r="Y21" i="65"/>
  <c r="Y21" i="33"/>
  <c r="W21" i="33"/>
  <c r="B150" i="49"/>
  <c r="B46" i="55"/>
  <c r="C46" i="55" s="1"/>
  <c r="F46" i="55" s="1"/>
  <c r="G46" i="55" s="1"/>
  <c r="J46" i="55" s="1"/>
  <c r="P20" i="55" s="1"/>
  <c r="D46" i="67" s="1"/>
  <c r="D124" i="67" s="1"/>
  <c r="B43" i="51"/>
  <c r="C43" i="51" s="1"/>
  <c r="E43" i="51" s="1"/>
  <c r="H43" i="51" s="1"/>
  <c r="Q18" i="51" s="1"/>
  <c r="I44" i="67" s="1"/>
  <c r="I122" i="67" s="1"/>
  <c r="C18" i="51"/>
  <c r="E18" i="51" s="1"/>
  <c r="H18" i="51" s="1"/>
  <c r="B43" i="61"/>
  <c r="C43" i="61" s="1"/>
  <c r="F43" i="61" s="1"/>
  <c r="G43" i="61" s="1"/>
  <c r="I43" i="61" s="1"/>
  <c r="O18" i="61" s="1"/>
  <c r="U44" i="67" s="1"/>
  <c r="U122" i="67" s="1"/>
  <c r="C18" i="61"/>
  <c r="F18" i="61" s="1"/>
  <c r="G18" i="61" s="1"/>
  <c r="I18" i="61" s="1"/>
  <c r="C18" i="63"/>
  <c r="B43" i="63"/>
  <c r="C43" i="63" s="1"/>
  <c r="C18" i="64"/>
  <c r="E18" i="64" s="1"/>
  <c r="F18" i="64" s="1"/>
  <c r="H18" i="64" s="1"/>
  <c r="M18" i="64" s="1"/>
  <c r="B43" i="64"/>
  <c r="C43" i="64" s="1"/>
  <c r="E43" i="64" s="1"/>
  <c r="F43" i="64" s="1"/>
  <c r="H43" i="64" s="1"/>
  <c r="N18" i="64" s="1"/>
  <c r="Q44" i="67" s="1"/>
  <c r="Q122" i="67" s="1"/>
  <c r="B44" i="33"/>
  <c r="C44" i="33" s="1"/>
  <c r="C19" i="33"/>
  <c r="C21" i="55"/>
  <c r="F21" i="55" s="1"/>
  <c r="G21" i="55" s="1"/>
  <c r="J21" i="55" s="1"/>
  <c r="O21" i="55" s="1"/>
  <c r="D21" i="67" s="1"/>
  <c r="D99" i="67" s="1"/>
  <c r="BH22" i="130" s="1"/>
  <c r="AT23" i="130" s="1"/>
  <c r="AS23" i="130" s="1"/>
  <c r="X21" i="55"/>
  <c r="V21" i="55"/>
  <c r="W21" i="98"/>
  <c r="Y21" i="98"/>
  <c r="B46" i="64"/>
  <c r="C46" i="64" s="1"/>
  <c r="E46" i="64" s="1"/>
  <c r="F46" i="64" s="1"/>
  <c r="H46" i="64" s="1"/>
  <c r="N21" i="64" s="1"/>
  <c r="Q47" i="67" s="1"/>
  <c r="Q125" i="67" s="1"/>
  <c r="Y21" i="64"/>
  <c r="W21" i="64"/>
  <c r="B43" i="59"/>
  <c r="C43" i="59" s="1"/>
  <c r="E43" i="59" s="1"/>
  <c r="F43" i="59" s="1"/>
  <c r="I43" i="59" s="1"/>
  <c r="O18" i="59" s="1"/>
  <c r="M44" i="67" s="1"/>
  <c r="M122" i="67" s="1"/>
  <c r="C18" i="59"/>
  <c r="E18" i="59" s="1"/>
  <c r="F18" i="59" s="1"/>
  <c r="I18" i="59" s="1"/>
  <c r="B95" i="55"/>
  <c r="B43" i="48"/>
  <c r="C43" i="48" s="1"/>
  <c r="F43" i="48" s="1"/>
  <c r="G43" i="48" s="1"/>
  <c r="J43" i="48" s="1"/>
  <c r="P18" i="48" s="1"/>
  <c r="C44" i="67" s="1"/>
  <c r="C18" i="48"/>
  <c r="F18" i="48" s="1"/>
  <c r="G18" i="48" s="1"/>
  <c r="J18" i="48" s="1"/>
  <c r="G45" i="49"/>
  <c r="G175" i="49" s="1"/>
  <c r="B43" i="66"/>
  <c r="C43" i="66" s="1"/>
  <c r="E43" i="66" s="1"/>
  <c r="F43" i="66" s="1"/>
  <c r="J43" i="66" s="1"/>
  <c r="P18" i="66" s="1"/>
  <c r="W44" i="67" s="1"/>
  <c r="W122" i="67" s="1"/>
  <c r="C18" i="66"/>
  <c r="E18" i="66" s="1"/>
  <c r="F18" i="66" s="1"/>
  <c r="J18" i="66" s="1"/>
  <c r="Y21" i="51"/>
  <c r="W21" i="51"/>
  <c r="Y21" i="63"/>
  <c r="W21" i="63"/>
  <c r="Y21" i="60"/>
  <c r="W21" i="60"/>
  <c r="B94" i="55"/>
  <c r="O18" i="55"/>
  <c r="D18" i="67" s="1"/>
  <c r="D96" i="67" s="1"/>
  <c r="BH19" i="130" s="1"/>
  <c r="AT20" i="130" s="1"/>
  <c r="AS20" i="130" s="1"/>
  <c r="B44" i="49"/>
  <c r="C19" i="49"/>
  <c r="C18" i="52"/>
  <c r="G18" i="52" s="1"/>
  <c r="H18" i="52" s="1"/>
  <c r="J18" i="52" s="1"/>
  <c r="B43" i="52"/>
  <c r="C43" i="52" s="1"/>
  <c r="G43" i="52" s="1"/>
  <c r="H43" i="52" s="1"/>
  <c r="J43" i="52" s="1"/>
  <c r="R18" i="52" s="1"/>
  <c r="J44" i="67" s="1"/>
  <c r="J122" i="67" s="1"/>
  <c r="C21" i="57"/>
  <c r="F21" i="57" s="1"/>
  <c r="G21" i="57" s="1"/>
  <c r="J21" i="57" s="1"/>
  <c r="Y21" i="57"/>
  <c r="W21" i="57"/>
  <c r="C20" i="63"/>
  <c r="B43" i="53"/>
  <c r="C43" i="53" s="1"/>
  <c r="F43" i="53" s="1"/>
  <c r="G43" i="53" s="1"/>
  <c r="J43" i="53" s="1"/>
  <c r="P18" i="53" s="1"/>
  <c r="H44" i="67" s="1"/>
  <c r="H122" i="67" s="1"/>
  <c r="C18" i="53"/>
  <c r="F18" i="53" s="1"/>
  <c r="G18" i="53" s="1"/>
  <c r="J18" i="53" s="1"/>
  <c r="Y21" i="62"/>
  <c r="W21" i="62"/>
  <c r="W21" i="54"/>
  <c r="Y21" i="54"/>
  <c r="C21" i="35"/>
  <c r="F21" i="35" s="1"/>
  <c r="G21" i="35" s="1"/>
  <c r="I21" i="35" s="1"/>
  <c r="Y21" i="35"/>
  <c r="W21" i="35"/>
  <c r="B44" i="55"/>
  <c r="C44" i="55" s="1"/>
  <c r="F44" i="55" s="1"/>
  <c r="G44" i="55" s="1"/>
  <c r="J44" i="55" s="1"/>
  <c r="P18" i="55" s="1"/>
  <c r="D44" i="67" s="1"/>
  <c r="D122" i="67" s="1"/>
  <c r="B148" i="49"/>
  <c r="C18" i="50"/>
  <c r="E18" i="50" s="1"/>
  <c r="G18" i="50" s="1"/>
  <c r="I18" i="50" s="1"/>
  <c r="P18" i="50" s="1"/>
  <c r="V18" i="67" s="1"/>
  <c r="V96" i="67" s="1"/>
  <c r="B43" i="50"/>
  <c r="C43" i="50" s="1"/>
  <c r="B94" i="57"/>
  <c r="Q132" i="57" s="1"/>
  <c r="B46" i="52"/>
  <c r="C46" i="52" s="1"/>
  <c r="Y21" i="52"/>
  <c r="W21" i="52"/>
  <c r="B45" i="66"/>
  <c r="C45" i="66" s="1"/>
  <c r="E45" i="66" s="1"/>
  <c r="F45" i="66" s="1"/>
  <c r="J45" i="66" s="1"/>
  <c r="P20" i="66" s="1"/>
  <c r="W46" i="67" s="1"/>
  <c r="W124" i="67" s="1"/>
  <c r="B43" i="54"/>
  <c r="C43" i="54" s="1"/>
  <c r="F43" i="54" s="1"/>
  <c r="G43" i="54" s="1"/>
  <c r="I43" i="54" s="1"/>
  <c r="P18" i="54" s="1"/>
  <c r="G44" i="67" s="1"/>
  <c r="G122" i="67" s="1"/>
  <c r="C18" i="54"/>
  <c r="F18" i="54" s="1"/>
  <c r="G18" i="54" s="1"/>
  <c r="I18" i="54" s="1"/>
  <c r="B92" i="54" s="1"/>
  <c r="Q129" i="54" s="1"/>
  <c r="Y21" i="58"/>
  <c r="W21" i="58"/>
  <c r="B151" i="49"/>
  <c r="Y21" i="49"/>
  <c r="W21" i="49"/>
  <c r="B43" i="60"/>
  <c r="C43" i="60" s="1"/>
  <c r="F43" i="60" s="1"/>
  <c r="G43" i="60" s="1"/>
  <c r="J43" i="60" s="1"/>
  <c r="P18" i="60" s="1"/>
  <c r="S44" i="67" s="1"/>
  <c r="S122" i="67" s="1"/>
  <c r="X122" i="67" s="1"/>
  <c r="C18" i="60"/>
  <c r="B46" i="49"/>
  <c r="B176" i="49" s="1"/>
  <c r="B43" i="98"/>
  <c r="C43" i="98" s="1"/>
  <c r="C18" i="98"/>
  <c r="C21" i="59"/>
  <c r="E21" i="59" s="1"/>
  <c r="F21" i="59" s="1"/>
  <c r="I21" i="59" s="1"/>
  <c r="Y21" i="59"/>
  <c r="W21" i="59"/>
  <c r="Y21" i="61"/>
  <c r="W21" i="61"/>
  <c r="C18" i="65"/>
  <c r="B43" i="65"/>
  <c r="C43" i="65" s="1"/>
  <c r="T24" i="19"/>
  <c r="B202" i="37"/>
  <c r="B64" i="37"/>
  <c r="C18" i="37"/>
  <c r="Y21" i="53"/>
  <c r="W21" i="53"/>
  <c r="Y21" i="66"/>
  <c r="W21" i="66"/>
  <c r="B43" i="35"/>
  <c r="C43" i="35" s="1"/>
  <c r="F43" i="35" s="1"/>
  <c r="G43" i="35" s="1"/>
  <c r="I43" i="35" s="1"/>
  <c r="O18" i="35" s="1"/>
  <c r="T44" i="67" s="1"/>
  <c r="T122" i="67" s="1"/>
  <c r="C18" i="35"/>
  <c r="F18" i="35" s="1"/>
  <c r="G18" i="35" s="1"/>
  <c r="I18" i="35" s="1"/>
  <c r="C18" i="58"/>
  <c r="B43" i="58"/>
  <c r="C43" i="58" s="1"/>
  <c r="F43" i="58" s="1"/>
  <c r="G43" i="58" s="1"/>
  <c r="H43" i="58" s="1"/>
  <c r="K43" i="58" s="1"/>
  <c r="Q18" i="58" s="1"/>
  <c r="L44" i="67" s="1"/>
  <c r="L122" i="67" s="1"/>
  <c r="C18" i="62"/>
  <c r="F18" i="62" s="1"/>
  <c r="G18" i="62" s="1"/>
  <c r="J18" i="62" s="1"/>
  <c r="O18" i="62" s="1"/>
  <c r="K18" i="67" s="1"/>
  <c r="K96" i="67" s="1"/>
  <c r="B43" i="62"/>
  <c r="C43" i="62" s="1"/>
  <c r="F43" i="62" s="1"/>
  <c r="G43" i="62" s="1"/>
  <c r="J43" i="62" s="1"/>
  <c r="P18" i="62" s="1"/>
  <c r="K44" i="67" s="1"/>
  <c r="K122" i="67" s="1"/>
  <c r="B43" i="57"/>
  <c r="C43" i="57" s="1"/>
  <c r="F43" i="57" s="1"/>
  <c r="G43" i="57" s="1"/>
  <c r="J43" i="57" s="1"/>
  <c r="H42" i="49"/>
  <c r="J42" i="49" s="1"/>
  <c r="J172" i="49" s="1"/>
  <c r="C150" i="49"/>
  <c r="E21" i="49"/>
  <c r="E150" i="49" s="1"/>
  <c r="F65" i="37"/>
  <c r="F228" i="37" s="1"/>
  <c r="D65" i="37"/>
  <c r="D228" i="37" s="1"/>
  <c r="S91" i="50"/>
  <c r="P129" i="50"/>
  <c r="J62" i="37"/>
  <c r="G225" i="37"/>
  <c r="C66" i="37"/>
  <c r="C229" i="37" s="1"/>
  <c r="B229" i="37"/>
  <c r="G200" i="37"/>
  <c r="J17" i="49"/>
  <c r="H146" i="49"/>
  <c r="E43" i="49"/>
  <c r="E173" i="49" s="1"/>
  <c r="G43" i="49"/>
  <c r="G173" i="49" s="1"/>
  <c r="G21" i="49"/>
  <c r="G150" i="49" s="1"/>
  <c r="O16" i="63"/>
  <c r="N16" i="67" s="1"/>
  <c r="N94" i="67" s="1"/>
  <c r="G42" i="98"/>
  <c r="K42" i="98" s="1"/>
  <c r="Q17" i="98" s="1"/>
  <c r="F43" i="67" s="1"/>
  <c r="F121" i="67" s="1"/>
  <c r="B89" i="98"/>
  <c r="K25" i="19"/>
  <c r="R25" i="19" s="1"/>
  <c r="AD25" i="19"/>
  <c r="H18" i="49"/>
  <c r="G44" i="98"/>
  <c r="K44" i="98" s="1"/>
  <c r="Q19" i="98" s="1"/>
  <c r="F45" i="67" s="1"/>
  <c r="F123" i="67" s="1"/>
  <c r="P42" i="67"/>
  <c r="P120" i="67" s="1"/>
  <c r="K24" i="346"/>
  <c r="M24" i="117"/>
  <c r="K24" i="116"/>
  <c r="J19" i="65"/>
  <c r="L19" i="65" s="1"/>
  <c r="G44" i="50"/>
  <c r="I44" i="50" s="1"/>
  <c r="Q19" i="50" s="1"/>
  <c r="V45" i="67" s="1"/>
  <c r="V123" i="67" s="1"/>
  <c r="F92" i="53"/>
  <c r="G43" i="33"/>
  <c r="Q18" i="33" s="1"/>
  <c r="P43" i="67" s="1"/>
  <c r="P121" i="67" s="1"/>
  <c r="J44" i="65"/>
  <c r="L44" i="65" s="1"/>
  <c r="Q19" i="65" s="1"/>
  <c r="O45" i="67" s="1"/>
  <c r="O123" i="67" s="1"/>
  <c r="B129" i="33"/>
  <c r="D129" i="33" s="1"/>
  <c r="F94" i="61"/>
  <c r="U132" i="61" s="1"/>
  <c r="J17" i="65"/>
  <c r="L17" i="65" s="1"/>
  <c r="H20" i="49"/>
  <c r="J42" i="65"/>
  <c r="L42" i="65" s="1"/>
  <c r="Q17" i="65" s="1"/>
  <c r="O43" i="67" s="1"/>
  <c r="O121" i="67" s="1"/>
  <c r="G17" i="58"/>
  <c r="H17" i="58" s="1"/>
  <c r="K17" i="58" s="1"/>
  <c r="J42" i="63"/>
  <c r="P17" i="63" s="1"/>
  <c r="N43" i="67" s="1"/>
  <c r="N121" i="67" s="1"/>
  <c r="J19" i="63"/>
  <c r="G19" i="98"/>
  <c r="K19" i="98" s="1"/>
  <c r="P19" i="98" s="1"/>
  <c r="F19" i="67" s="1"/>
  <c r="F97" i="67" s="1"/>
  <c r="P17" i="54"/>
  <c r="G43" i="67" s="1"/>
  <c r="G121" i="67" s="1"/>
  <c r="B91" i="54"/>
  <c r="G17" i="98"/>
  <c r="K17" i="98" s="1"/>
  <c r="F92" i="55"/>
  <c r="J17" i="63"/>
  <c r="F97" i="64"/>
  <c r="J17" i="60"/>
  <c r="B95" i="60" s="1"/>
  <c r="Q133" i="60" s="1"/>
  <c r="G20" i="33"/>
  <c r="P20" i="33" s="1"/>
  <c r="P19" i="67" s="1"/>
  <c r="P97" i="67" s="1"/>
  <c r="F94" i="66"/>
  <c r="U132" i="66" s="1"/>
  <c r="G45" i="33"/>
  <c r="Q20" i="33" s="1"/>
  <c r="B100" i="33" s="1"/>
  <c r="Q135" i="33" s="1"/>
  <c r="B94" i="60"/>
  <c r="Q132" i="60" s="1"/>
  <c r="F92" i="59"/>
  <c r="Q19" i="52"/>
  <c r="J19" i="67" s="1"/>
  <c r="J97" i="67" s="1"/>
  <c r="B97" i="52"/>
  <c r="Q133" i="52" s="1"/>
  <c r="P19" i="50"/>
  <c r="V19" i="67" s="1"/>
  <c r="V97" i="67" s="1"/>
  <c r="Q17" i="52"/>
  <c r="J17" i="67" s="1"/>
  <c r="J95" i="67" s="1"/>
  <c r="B95" i="52"/>
  <c r="Q131" i="52" s="1"/>
  <c r="P19" i="48"/>
  <c r="C45" i="67" s="1"/>
  <c r="B92" i="48"/>
  <c r="R128" i="48" s="1"/>
  <c r="B93" i="54"/>
  <c r="Q130" i="54" s="1"/>
  <c r="O19" i="54"/>
  <c r="G19" i="67" s="1"/>
  <c r="G97" i="67" s="1"/>
  <c r="B95" i="59"/>
  <c r="Q133" i="59" s="1"/>
  <c r="N19" i="59"/>
  <c r="M19" i="67" s="1"/>
  <c r="M97" i="67" s="1"/>
  <c r="O19" i="61"/>
  <c r="U45" i="67" s="1"/>
  <c r="U123" i="67" s="1"/>
  <c r="B97" i="61"/>
  <c r="Q135" i="61" s="1"/>
  <c r="F45" i="58"/>
  <c r="G45" i="58" s="1"/>
  <c r="H45" i="58" s="1"/>
  <c r="K45" i="58" s="1"/>
  <c r="Q20" i="58" s="1"/>
  <c r="L46" i="67" s="1"/>
  <c r="L124" i="67" s="1"/>
  <c r="S91" i="57"/>
  <c r="D91" i="57"/>
  <c r="S129" i="57" s="1"/>
  <c r="C91" i="57"/>
  <c r="R129" i="57" s="1"/>
  <c r="D97" i="62"/>
  <c r="S133" i="62" s="1"/>
  <c r="C97" i="62"/>
  <c r="R133" i="62" s="1"/>
  <c r="G18" i="33"/>
  <c r="P18" i="33" s="1"/>
  <c r="B46" i="98"/>
  <c r="C46" i="98" s="1"/>
  <c r="C21" i="98"/>
  <c r="C21" i="61"/>
  <c r="F21" i="61" s="1"/>
  <c r="G21" i="61" s="1"/>
  <c r="I21" i="61" s="1"/>
  <c r="B46" i="61"/>
  <c r="C46" i="61" s="1"/>
  <c r="F46" i="61" s="1"/>
  <c r="G46" i="61" s="1"/>
  <c r="I46" i="61" s="1"/>
  <c r="O21" i="61" s="1"/>
  <c r="U47" i="67" s="1"/>
  <c r="U125" i="67" s="1"/>
  <c r="N20" i="35"/>
  <c r="T20" i="67" s="1"/>
  <c r="T98" i="67" s="1"/>
  <c r="B99" i="35"/>
  <c r="Q137" i="35" s="1"/>
  <c r="C90" i="53"/>
  <c r="R126" i="53" s="1"/>
  <c r="D90" i="53"/>
  <c r="S126" i="53" s="1"/>
  <c r="F93" i="57"/>
  <c r="J19" i="60"/>
  <c r="F20" i="61"/>
  <c r="G20" i="61" s="1"/>
  <c r="I20" i="61" s="1"/>
  <c r="O20" i="55"/>
  <c r="D20" i="67" s="1"/>
  <c r="D98" i="67" s="1"/>
  <c r="BH21" i="130" s="1"/>
  <c r="AT22" i="130" s="1"/>
  <c r="AS22" i="130" s="1"/>
  <c r="B96" i="55"/>
  <c r="D93" i="59"/>
  <c r="S131" i="59" s="1"/>
  <c r="C93" i="59"/>
  <c r="R131" i="59" s="1"/>
  <c r="B101" i="64"/>
  <c r="Q139" i="64" s="1"/>
  <c r="Q20" i="67"/>
  <c r="Q98" i="67" s="1"/>
  <c r="B92" i="50"/>
  <c r="Q17" i="50"/>
  <c r="V43" i="67" s="1"/>
  <c r="V121" i="67" s="1"/>
  <c r="H44" i="58"/>
  <c r="K44" i="58" s="1"/>
  <c r="Q19" i="58" s="1"/>
  <c r="L45" i="67" s="1"/>
  <c r="L123" i="67" s="1"/>
  <c r="B96" i="59"/>
  <c r="Q134" i="59" s="1"/>
  <c r="N20" i="59"/>
  <c r="M20" i="67" s="1"/>
  <c r="M98" i="67" s="1"/>
  <c r="O20" i="66"/>
  <c r="W20" i="67" s="1"/>
  <c r="W98" i="67" s="1"/>
  <c r="AG20" i="60"/>
  <c r="AJ20" i="60" s="1"/>
  <c r="H20" i="60" s="1"/>
  <c r="F20" i="60"/>
  <c r="G20" i="60" s="1"/>
  <c r="D91" i="50"/>
  <c r="R129" i="50" s="1"/>
  <c r="C91" i="50"/>
  <c r="Q129" i="50" s="1"/>
  <c r="H20" i="63"/>
  <c r="E20" i="63"/>
  <c r="F20" i="63" s="1"/>
  <c r="G20" i="52"/>
  <c r="H20" i="52" s="1"/>
  <c r="J20" i="52" s="1"/>
  <c r="F20" i="53"/>
  <c r="G20" i="53" s="1"/>
  <c r="J20" i="53" s="1"/>
  <c r="B46" i="50"/>
  <c r="C46" i="50" s="1"/>
  <c r="C21" i="50"/>
  <c r="B46" i="53"/>
  <c r="C46" i="53" s="1"/>
  <c r="F46" i="53" s="1"/>
  <c r="G46" i="53" s="1"/>
  <c r="J46" i="53" s="1"/>
  <c r="P21" i="53" s="1"/>
  <c r="H47" i="67" s="1"/>
  <c r="H125" i="67" s="1"/>
  <c r="C21" i="53"/>
  <c r="F94" i="62"/>
  <c r="D100" i="64"/>
  <c r="S138" i="64" s="1"/>
  <c r="C100" i="64"/>
  <c r="R138" i="64" s="1"/>
  <c r="F45" i="54"/>
  <c r="G45" i="54" s="1"/>
  <c r="I45" i="54" s="1"/>
  <c r="P20" i="54" s="1"/>
  <c r="G46" i="67" s="1"/>
  <c r="G124" i="67" s="1"/>
  <c r="J44" i="63"/>
  <c r="P19" i="63" s="1"/>
  <c r="N45" i="67" s="1"/>
  <c r="N123" i="67" s="1"/>
  <c r="E20" i="50"/>
  <c r="G20" i="50" s="1"/>
  <c r="I20" i="50" s="1"/>
  <c r="O20" i="48"/>
  <c r="C20" i="67" s="1"/>
  <c r="B93" i="48"/>
  <c r="R129" i="48" s="1"/>
  <c r="O17" i="53"/>
  <c r="H17" i="67" s="1"/>
  <c r="H95" i="67" s="1"/>
  <c r="D90" i="54"/>
  <c r="S127" i="54" s="1"/>
  <c r="C90" i="54"/>
  <c r="R127" i="54" s="1"/>
  <c r="F45" i="60"/>
  <c r="G45" i="60" s="1"/>
  <c r="J45" i="60" s="1"/>
  <c r="P20" i="60" s="1"/>
  <c r="S46" i="67" s="1"/>
  <c r="S124" i="67" s="1"/>
  <c r="X124" i="67" s="1"/>
  <c r="E45" i="63"/>
  <c r="F45" i="63" s="1"/>
  <c r="H45" i="63"/>
  <c r="G45" i="52"/>
  <c r="H45" i="52" s="1"/>
  <c r="J45" i="52" s="1"/>
  <c r="R20" i="52" s="1"/>
  <c r="J46" i="67" s="1"/>
  <c r="J124" i="67" s="1"/>
  <c r="F45" i="53"/>
  <c r="G45" i="53" s="1"/>
  <c r="J45" i="53" s="1"/>
  <c r="P20" i="53" s="1"/>
  <c r="H46" i="67" s="1"/>
  <c r="H124" i="67" s="1"/>
  <c r="G19" i="58"/>
  <c r="C21" i="51"/>
  <c r="E21" i="51" s="1"/>
  <c r="H21" i="51" s="1"/>
  <c r="B46" i="51"/>
  <c r="C46" i="51" s="1"/>
  <c r="E46" i="51" s="1"/>
  <c r="H46" i="51" s="1"/>
  <c r="Q21" i="51" s="1"/>
  <c r="I47" i="67" s="1"/>
  <c r="I125" i="67" s="1"/>
  <c r="C21" i="66"/>
  <c r="E21" i="66" s="1"/>
  <c r="F21" i="66" s="1"/>
  <c r="J21" i="66" s="1"/>
  <c r="B46" i="66"/>
  <c r="C46" i="66" s="1"/>
  <c r="E46" i="66" s="1"/>
  <c r="F46" i="66" s="1"/>
  <c r="J46" i="66" s="1"/>
  <c r="P21" i="66" s="1"/>
  <c r="W47" i="67" s="1"/>
  <c r="W125" i="67" s="1"/>
  <c r="D21" i="33"/>
  <c r="F21" i="33"/>
  <c r="H20" i="65"/>
  <c r="E20" i="65"/>
  <c r="G20" i="65"/>
  <c r="F20" i="54"/>
  <c r="G20" i="54" s="1"/>
  <c r="I20" i="54" s="1"/>
  <c r="AH47" i="50"/>
  <c r="AJ47" i="50" s="1"/>
  <c r="F47" i="50" s="1"/>
  <c r="E45" i="50"/>
  <c r="O17" i="62"/>
  <c r="K17" i="67" s="1"/>
  <c r="K95" i="67" s="1"/>
  <c r="B95" i="62"/>
  <c r="Q131" i="62" s="1"/>
  <c r="H42" i="58"/>
  <c r="K42" i="58" s="1"/>
  <c r="Q17" i="58" s="1"/>
  <c r="L43" i="67" s="1"/>
  <c r="L121" i="67" s="1"/>
  <c r="B98" i="33"/>
  <c r="Q133" i="33" s="1"/>
  <c r="C98" i="35"/>
  <c r="R136" i="35" s="1"/>
  <c r="D98" i="35"/>
  <c r="S136" i="35" s="1"/>
  <c r="D98" i="64"/>
  <c r="S136" i="64" s="1"/>
  <c r="C98" i="64"/>
  <c r="R136" i="64" s="1"/>
  <c r="C22" i="49"/>
  <c r="B47" i="49"/>
  <c r="D97" i="33"/>
  <c r="S132" i="33" s="1"/>
  <c r="C97" i="33"/>
  <c r="R132" i="33" s="1"/>
  <c r="F46" i="33"/>
  <c r="D46" i="33"/>
  <c r="C97" i="66"/>
  <c r="R135" i="66" s="1"/>
  <c r="H45" i="65"/>
  <c r="E45" i="65"/>
  <c r="G45" i="65"/>
  <c r="D90" i="48"/>
  <c r="T126" i="48" s="1"/>
  <c r="C90" i="48"/>
  <c r="S126" i="48" s="1"/>
  <c r="D91" i="53"/>
  <c r="S127" i="53" s="1"/>
  <c r="C91" i="53"/>
  <c r="R127" i="53" s="1"/>
  <c r="S94" i="57"/>
  <c r="D94" i="57"/>
  <c r="S132" i="57" s="1"/>
  <c r="C94" i="57"/>
  <c r="R132" i="57" s="1"/>
  <c r="D94" i="63"/>
  <c r="S132" i="63" s="1"/>
  <c r="C94" i="63"/>
  <c r="R132" i="63" s="1"/>
  <c r="P20" i="51"/>
  <c r="I20" i="67" s="1"/>
  <c r="I98" i="67" s="1"/>
  <c r="B97" i="51"/>
  <c r="Q133" i="51" s="1"/>
  <c r="C94" i="52"/>
  <c r="R130" i="52" s="1"/>
  <c r="D94" i="52"/>
  <c r="S130" i="52" s="1"/>
  <c r="C21" i="62"/>
  <c r="B46" i="62"/>
  <c r="C46" i="62" s="1"/>
  <c r="C21" i="54"/>
  <c r="B46" i="54"/>
  <c r="C46" i="54" s="1"/>
  <c r="B46" i="60"/>
  <c r="C46" i="60" s="1"/>
  <c r="C21" i="60"/>
  <c r="F95" i="35"/>
  <c r="U133" i="35" s="1"/>
  <c r="D45" i="98"/>
  <c r="F45" i="98"/>
  <c r="B98" i="62"/>
  <c r="Q134" i="62" s="1"/>
  <c r="O20" i="62"/>
  <c r="K20" i="67" s="1"/>
  <c r="K98" i="67" s="1"/>
  <c r="B95" i="66"/>
  <c r="Q133" i="66" s="1"/>
  <c r="D96" i="35"/>
  <c r="S134" i="35" s="1"/>
  <c r="C96" i="35"/>
  <c r="R134" i="35" s="1"/>
  <c r="F93" i="55"/>
  <c r="F20" i="58"/>
  <c r="D20" i="58"/>
  <c r="C94" i="51"/>
  <c r="R130" i="51" s="1"/>
  <c r="D94" i="51"/>
  <c r="S130" i="51" s="1"/>
  <c r="B46" i="59"/>
  <c r="C46" i="59" s="1"/>
  <c r="E46" i="59" s="1"/>
  <c r="F46" i="59" s="1"/>
  <c r="I46" i="59" s="1"/>
  <c r="O21" i="59" s="1"/>
  <c r="M47" i="67" s="1"/>
  <c r="M125" i="67" s="1"/>
  <c r="F90" i="57"/>
  <c r="F93" i="51"/>
  <c r="D20" i="98"/>
  <c r="F20" i="98"/>
  <c r="F89" i="48"/>
  <c r="V125" i="48" s="1"/>
  <c r="P16" i="58"/>
  <c r="L16" i="67" s="1"/>
  <c r="L94" i="67" s="1"/>
  <c r="B92" i="58"/>
  <c r="Q130" i="58" s="1"/>
  <c r="D95" i="61"/>
  <c r="S133" i="61" s="1"/>
  <c r="C95" i="61"/>
  <c r="R133" i="61" s="1"/>
  <c r="O19" i="53"/>
  <c r="H19" i="67" s="1"/>
  <c r="H97" i="67" s="1"/>
  <c r="C21" i="58"/>
  <c r="B46" i="58"/>
  <c r="C46" i="58" s="1"/>
  <c r="B46" i="63"/>
  <c r="C46" i="63" s="1"/>
  <c r="C21" i="63"/>
  <c r="B47" i="33"/>
  <c r="C47" i="33" s="1"/>
  <c r="C22" i="33"/>
  <c r="G65" i="37"/>
  <c r="G17" i="37"/>
  <c r="G63" i="37"/>
  <c r="F20" i="37"/>
  <c r="F204" i="37" s="1"/>
  <c r="D20" i="37"/>
  <c r="D204" i="37" s="1"/>
  <c r="G19" i="37"/>
  <c r="B67" i="37"/>
  <c r="C21" i="37"/>
  <c r="C205" i="37" s="1"/>
  <c r="J25" i="4"/>
  <c r="K25" i="4" s="1"/>
  <c r="U25" i="19"/>
  <c r="T25" i="19"/>
  <c r="AB26" i="19"/>
  <c r="AD26" i="19" s="1"/>
  <c r="X23" i="18"/>
  <c r="K23" i="18" s="1"/>
  <c r="R23" i="18" s="1"/>
  <c r="P25" i="5"/>
  <c r="Q25" i="5" s="1"/>
  <c r="F25" i="5"/>
  <c r="AB138" i="49" l="1"/>
  <c r="AJ138" i="49" s="1"/>
  <c r="AB141" i="49"/>
  <c r="AJ141" i="49" s="1"/>
  <c r="D97" i="66"/>
  <c r="S135" i="66" s="1"/>
  <c r="B98" i="66"/>
  <c r="Q136" i="66" s="1"/>
  <c r="O17" i="63"/>
  <c r="N17" i="67" s="1"/>
  <c r="N95" i="67" s="1"/>
  <c r="B95" i="63"/>
  <c r="O19" i="63"/>
  <c r="N19" i="67" s="1"/>
  <c r="N97" i="67" s="1"/>
  <c r="B97" i="63"/>
  <c r="B96" i="62"/>
  <c r="Q132" i="62" s="1"/>
  <c r="D96" i="51"/>
  <c r="S132" i="51" s="1"/>
  <c r="C96" i="51"/>
  <c r="R132" i="51" s="1"/>
  <c r="P19" i="65"/>
  <c r="O19" i="67" s="1"/>
  <c r="O97" i="67" s="1"/>
  <c r="B100" i="65"/>
  <c r="P17" i="65"/>
  <c r="O17" i="67" s="1"/>
  <c r="O95" i="67" s="1"/>
  <c r="B98" i="65"/>
  <c r="B96" i="52"/>
  <c r="Q132" i="52" s="1"/>
  <c r="B94" i="53"/>
  <c r="Q130" i="53" s="1"/>
  <c r="C46" i="49"/>
  <c r="C176" i="49" s="1"/>
  <c r="H172" i="49"/>
  <c r="G18" i="65"/>
  <c r="H18" i="65"/>
  <c r="E18" i="65"/>
  <c r="F43" i="98"/>
  <c r="D43" i="98"/>
  <c r="C44" i="49"/>
  <c r="B174" i="49"/>
  <c r="AB22" i="37"/>
  <c r="B22" i="37" s="1"/>
  <c r="X22" i="63"/>
  <c r="B22" i="63" s="1"/>
  <c r="X22" i="57"/>
  <c r="B22" i="57" s="1"/>
  <c r="X22" i="66"/>
  <c r="B22" i="66" s="1"/>
  <c r="X22" i="49"/>
  <c r="B23" i="49" s="1"/>
  <c r="X22" i="65"/>
  <c r="B22" i="65" s="1"/>
  <c r="X22" i="52"/>
  <c r="B22" i="52" s="1"/>
  <c r="X22" i="53"/>
  <c r="B22" i="53" s="1"/>
  <c r="X22" i="59"/>
  <c r="B22" i="59" s="1"/>
  <c r="X22" i="58"/>
  <c r="B22" i="58" s="1"/>
  <c r="X22" i="62"/>
  <c r="B22" i="62" s="1"/>
  <c r="X22" i="51"/>
  <c r="B22" i="51" s="1"/>
  <c r="X22" i="35"/>
  <c r="B22" i="35" s="1"/>
  <c r="X22" i="60"/>
  <c r="B22" i="60" s="1"/>
  <c r="X22" i="64"/>
  <c r="B22" i="64" s="1"/>
  <c r="X22" i="33"/>
  <c r="B23" i="33" s="1"/>
  <c r="X22" i="61"/>
  <c r="B22" i="61" s="1"/>
  <c r="X22" i="54"/>
  <c r="B22" i="54" s="1"/>
  <c r="X22" i="98"/>
  <c r="B22" i="98" s="1"/>
  <c r="X22" i="50"/>
  <c r="B22" i="50" s="1"/>
  <c r="W22" i="55"/>
  <c r="B22" i="55" s="1"/>
  <c r="Y22" i="48"/>
  <c r="B22" i="48" s="1"/>
  <c r="D19" i="33"/>
  <c r="F19" i="33"/>
  <c r="P18" i="57"/>
  <c r="E44" i="67" s="1"/>
  <c r="E122" i="67" s="1"/>
  <c r="B92" i="57"/>
  <c r="G43" i="65"/>
  <c r="E43" i="65"/>
  <c r="H43" i="65"/>
  <c r="F18" i="98"/>
  <c r="D18" i="98"/>
  <c r="G18" i="98" s="1"/>
  <c r="K18" i="98" s="1"/>
  <c r="P18" i="98" s="1"/>
  <c r="F18" i="67" s="1"/>
  <c r="F96" i="67" s="1"/>
  <c r="G19" i="49"/>
  <c r="G148" i="49" s="1"/>
  <c r="C148" i="49"/>
  <c r="E19" i="49"/>
  <c r="O18" i="48"/>
  <c r="C18" i="67" s="1"/>
  <c r="B91" i="48"/>
  <c r="D44" i="33"/>
  <c r="F44" i="33"/>
  <c r="B46" i="48"/>
  <c r="C46" i="48" s="1"/>
  <c r="F46" i="48" s="1"/>
  <c r="G46" i="48" s="1"/>
  <c r="J46" i="48" s="1"/>
  <c r="P21" i="48" s="1"/>
  <c r="C47" i="67" s="1"/>
  <c r="AB23" i="37"/>
  <c r="B23" i="37" s="1"/>
  <c r="X23" i="59"/>
  <c r="B23" i="59" s="1"/>
  <c r="X23" i="58"/>
  <c r="B23" i="58" s="1"/>
  <c r="X23" i="62"/>
  <c r="B23" i="62" s="1"/>
  <c r="X23" i="51"/>
  <c r="B23" i="51" s="1"/>
  <c r="X23" i="63"/>
  <c r="B23" i="63" s="1"/>
  <c r="X23" i="98"/>
  <c r="B23" i="98" s="1"/>
  <c r="X23" i="65"/>
  <c r="B23" i="65" s="1"/>
  <c r="X23" i="35"/>
  <c r="B23" i="35" s="1"/>
  <c r="X23" i="60"/>
  <c r="B23" i="60" s="1"/>
  <c r="X23" i="64"/>
  <c r="B23" i="64" s="1"/>
  <c r="X23" i="33"/>
  <c r="B24" i="33" s="1"/>
  <c r="X23" i="57"/>
  <c r="B23" i="57" s="1"/>
  <c r="X23" i="66"/>
  <c r="B23" i="66" s="1"/>
  <c r="X23" i="61"/>
  <c r="B23" i="61" s="1"/>
  <c r="X23" i="49"/>
  <c r="B24" i="49" s="1"/>
  <c r="X23" i="54"/>
  <c r="B23" i="54" s="1"/>
  <c r="X23" i="52"/>
  <c r="B23" i="52" s="1"/>
  <c r="X23" i="53"/>
  <c r="B23" i="53" s="1"/>
  <c r="X23" i="50"/>
  <c r="B23" i="50" s="1"/>
  <c r="W23" i="55"/>
  <c r="B23" i="55" s="1"/>
  <c r="Y23" i="48"/>
  <c r="B23" i="48" s="1"/>
  <c r="Q18" i="52"/>
  <c r="J18" i="67" s="1"/>
  <c r="J96" i="67" s="1"/>
  <c r="H45" i="49"/>
  <c r="J45" i="49" s="1"/>
  <c r="AH45" i="50"/>
  <c r="AJ45" i="50" s="1"/>
  <c r="F45" i="50" s="1"/>
  <c r="G45" i="50" s="1"/>
  <c r="I45" i="50" s="1"/>
  <c r="E43" i="50"/>
  <c r="G43" i="50" s="1"/>
  <c r="I43" i="50" s="1"/>
  <c r="R132" i="55"/>
  <c r="C95" i="55"/>
  <c r="D95" i="55"/>
  <c r="T132" i="55" s="1"/>
  <c r="S95" i="55"/>
  <c r="Q18" i="67"/>
  <c r="Q96" i="67" s="1"/>
  <c r="B99" i="64"/>
  <c r="F18" i="58"/>
  <c r="D18" i="58"/>
  <c r="C202" i="37"/>
  <c r="F18" i="37"/>
  <c r="F202" i="37" s="1"/>
  <c r="D18" i="37"/>
  <c r="H18" i="63"/>
  <c r="E18" i="63"/>
  <c r="F18" i="63" s="1"/>
  <c r="P18" i="51"/>
  <c r="I18" i="67" s="1"/>
  <c r="I96" i="67" s="1"/>
  <c r="B95" i="51"/>
  <c r="BH33" i="20"/>
  <c r="BI32" i="20" s="1"/>
  <c r="AG18" i="60"/>
  <c r="AJ18" i="60" s="1"/>
  <c r="H18" i="60" s="1"/>
  <c r="F18" i="60"/>
  <c r="G18" i="60" s="1"/>
  <c r="S94" i="55"/>
  <c r="D94" i="55"/>
  <c r="T131" i="55" s="1"/>
  <c r="R131" i="55"/>
  <c r="C94" i="55"/>
  <c r="N18" i="59"/>
  <c r="M18" i="67" s="1"/>
  <c r="M96" i="67" s="1"/>
  <c r="B94" i="59"/>
  <c r="H43" i="63"/>
  <c r="E43" i="63"/>
  <c r="F43" i="63" s="1"/>
  <c r="C21" i="52"/>
  <c r="G21" i="52" s="1"/>
  <c r="H21" i="52" s="1"/>
  <c r="J21" i="52" s="1"/>
  <c r="O18" i="54"/>
  <c r="G18" i="67" s="1"/>
  <c r="G96" i="67" s="1"/>
  <c r="B46" i="35"/>
  <c r="C46" i="35" s="1"/>
  <c r="F46" i="35" s="1"/>
  <c r="G46" i="35" s="1"/>
  <c r="I46" i="35" s="1"/>
  <c r="O21" i="35" s="1"/>
  <c r="T47" i="67" s="1"/>
  <c r="T125" i="67" s="1"/>
  <c r="C21" i="64"/>
  <c r="E21" i="64" s="1"/>
  <c r="F21" i="64" s="1"/>
  <c r="H21" i="64" s="1"/>
  <c r="M21" i="64" s="1"/>
  <c r="B102" i="64" s="1"/>
  <c r="Q140" i="64" s="1"/>
  <c r="C21" i="65"/>
  <c r="G21" i="65" s="1"/>
  <c r="B97" i="35"/>
  <c r="N18" i="35"/>
  <c r="T18" i="67" s="1"/>
  <c r="T96" i="67" s="1"/>
  <c r="C64" i="37"/>
  <c r="B227" i="37"/>
  <c r="B46" i="57"/>
  <c r="C46" i="57" s="1"/>
  <c r="F46" i="57" s="1"/>
  <c r="G46" i="57" s="1"/>
  <c r="J46" i="57" s="1"/>
  <c r="P21" i="57" s="1"/>
  <c r="E47" i="67" s="1"/>
  <c r="E125" i="67" s="1"/>
  <c r="O18" i="66"/>
  <c r="W18" i="67" s="1"/>
  <c r="W96" i="67" s="1"/>
  <c r="B96" i="66"/>
  <c r="B96" i="61"/>
  <c r="N18" i="61"/>
  <c r="U18" i="67" s="1"/>
  <c r="U96" i="67" s="1"/>
  <c r="O18" i="53"/>
  <c r="H18" i="67" s="1"/>
  <c r="H96" i="67" s="1"/>
  <c r="B151" i="37"/>
  <c r="R199" i="37" s="1"/>
  <c r="B47" i="55"/>
  <c r="C47" i="55" s="1"/>
  <c r="F47" i="55" s="1"/>
  <c r="G47" i="55" s="1"/>
  <c r="J47" i="55" s="1"/>
  <c r="B89" i="49"/>
  <c r="X142" i="49" s="1"/>
  <c r="C151" i="49"/>
  <c r="E22" i="49"/>
  <c r="D66" i="37"/>
  <c r="D229" i="37" s="1"/>
  <c r="B96" i="53"/>
  <c r="Q132" i="53" s="1"/>
  <c r="C94" i="60"/>
  <c r="R132" i="60" s="1"/>
  <c r="D94" i="60"/>
  <c r="S132" i="60" s="1"/>
  <c r="U135" i="64"/>
  <c r="D97" i="65"/>
  <c r="S135" i="65" s="1"/>
  <c r="Q135" i="65"/>
  <c r="U130" i="59"/>
  <c r="U130" i="62"/>
  <c r="U129" i="51"/>
  <c r="C91" i="54"/>
  <c r="R128" i="54" s="1"/>
  <c r="Q128" i="54"/>
  <c r="U128" i="53"/>
  <c r="D89" i="98"/>
  <c r="S125" i="98" s="1"/>
  <c r="Q125" i="98"/>
  <c r="U131" i="57"/>
  <c r="U128" i="57"/>
  <c r="B94" i="50"/>
  <c r="D94" i="50" s="1"/>
  <c r="R132" i="50" s="1"/>
  <c r="S92" i="50"/>
  <c r="P130" i="50"/>
  <c r="V130" i="55"/>
  <c r="S96" i="55"/>
  <c r="R133" i="55"/>
  <c r="V129" i="55"/>
  <c r="AC17" i="49"/>
  <c r="R42" i="67" s="1"/>
  <c r="R120" i="67" s="1"/>
  <c r="J65" i="37"/>
  <c r="G228" i="37"/>
  <c r="J203" i="37"/>
  <c r="G203" i="37"/>
  <c r="O16" i="37"/>
  <c r="B16" i="67" s="1"/>
  <c r="B94" i="67" s="1"/>
  <c r="BH17" i="413" s="1"/>
  <c r="J200" i="37"/>
  <c r="F66" i="37"/>
  <c r="F229" i="37" s="1"/>
  <c r="J63" i="37"/>
  <c r="G226" i="37"/>
  <c r="C67" i="37"/>
  <c r="C230" i="37" s="1"/>
  <c r="B230" i="37"/>
  <c r="G201" i="37"/>
  <c r="P16" i="37"/>
  <c r="B42" i="67" s="1"/>
  <c r="B120" i="67" s="1"/>
  <c r="J225" i="37"/>
  <c r="C47" i="49"/>
  <c r="C177" i="49" s="1"/>
  <c r="B177" i="49"/>
  <c r="E46" i="49"/>
  <c r="E176" i="49" s="1"/>
  <c r="G46" i="49"/>
  <c r="G176" i="49" s="1"/>
  <c r="AB17" i="49"/>
  <c r="R16" i="67" s="1"/>
  <c r="R94" i="67" s="1"/>
  <c r="J146" i="49"/>
  <c r="J18" i="49"/>
  <c r="H147" i="49"/>
  <c r="H43" i="49"/>
  <c r="J20" i="49"/>
  <c r="H149" i="49"/>
  <c r="C89" i="98"/>
  <c r="R125" i="98" s="1"/>
  <c r="B90" i="98"/>
  <c r="O17" i="60"/>
  <c r="S17" i="67" s="1"/>
  <c r="S95" i="67" s="1"/>
  <c r="X95" i="67" s="1"/>
  <c r="G22" i="49"/>
  <c r="G151" i="49" s="1"/>
  <c r="E151" i="49"/>
  <c r="B92" i="98"/>
  <c r="C97" i="65"/>
  <c r="H21" i="49"/>
  <c r="D91" i="54"/>
  <c r="C95" i="53"/>
  <c r="R131" i="53" s="1"/>
  <c r="G20" i="98"/>
  <c r="K20" i="98" s="1"/>
  <c r="P20" i="98" s="1"/>
  <c r="F20" i="67" s="1"/>
  <c r="F98" i="67" s="1"/>
  <c r="F96" i="35"/>
  <c r="U134" i="35" s="1"/>
  <c r="F94" i="52"/>
  <c r="G21" i="33"/>
  <c r="P21" i="33" s="1"/>
  <c r="P20" i="67" s="1"/>
  <c r="P98" i="67" s="1"/>
  <c r="F90" i="53"/>
  <c r="F94" i="57"/>
  <c r="P45" i="67"/>
  <c r="P123" i="67" s="1"/>
  <c r="B207" i="37"/>
  <c r="AA23" i="37"/>
  <c r="AC23" i="37"/>
  <c r="K25" i="346"/>
  <c r="M25" i="117"/>
  <c r="K25" i="116"/>
  <c r="C129" i="33"/>
  <c r="F129" i="33" s="1"/>
  <c r="F93" i="59"/>
  <c r="P17" i="98"/>
  <c r="F17" i="67" s="1"/>
  <c r="F95" i="67" s="1"/>
  <c r="J20" i="65"/>
  <c r="F91" i="57"/>
  <c r="J45" i="63"/>
  <c r="P20" i="63" s="1"/>
  <c r="N46" i="67" s="1"/>
  <c r="N124" i="67" s="1"/>
  <c r="F91" i="53"/>
  <c r="J45" i="65"/>
  <c r="L45" i="65" s="1"/>
  <c r="Q20" i="65" s="1"/>
  <c r="O46" i="67" s="1"/>
  <c r="O124" i="67" s="1"/>
  <c r="J20" i="63"/>
  <c r="B132" i="33"/>
  <c r="C132" i="33" s="1"/>
  <c r="F90" i="48"/>
  <c r="V126" i="48" s="1"/>
  <c r="G46" i="33"/>
  <c r="Q21" i="33" s="1"/>
  <c r="B101" i="33" s="1"/>
  <c r="Q136" i="33" s="1"/>
  <c r="F98" i="64"/>
  <c r="F100" i="64"/>
  <c r="F97" i="33"/>
  <c r="U132" i="33" s="1"/>
  <c r="F97" i="62"/>
  <c r="B94" i="54"/>
  <c r="Q131" i="54" s="1"/>
  <c r="O20" i="54"/>
  <c r="G20" i="67" s="1"/>
  <c r="G98" i="67" s="1"/>
  <c r="B98" i="61"/>
  <c r="Q136" i="61" s="1"/>
  <c r="N20" i="61"/>
  <c r="U20" i="67" s="1"/>
  <c r="U98" i="67" s="1"/>
  <c r="P20" i="50"/>
  <c r="V20" i="67" s="1"/>
  <c r="V98" i="67" s="1"/>
  <c r="O20" i="53"/>
  <c r="H20" i="67" s="1"/>
  <c r="H98" i="67" s="1"/>
  <c r="B98" i="52"/>
  <c r="Q134" i="52" s="1"/>
  <c r="Q20" i="52"/>
  <c r="J20" i="67" s="1"/>
  <c r="J98" i="67" s="1"/>
  <c r="B97" i="59"/>
  <c r="Q135" i="59" s="1"/>
  <c r="N21" i="59"/>
  <c r="M21" i="67" s="1"/>
  <c r="M99" i="67" s="1"/>
  <c r="B154" i="37"/>
  <c r="G20" i="37"/>
  <c r="F96" i="51"/>
  <c r="F94" i="51"/>
  <c r="D98" i="62"/>
  <c r="S134" i="62" s="1"/>
  <c r="C98" i="62"/>
  <c r="R134" i="62" s="1"/>
  <c r="F46" i="54"/>
  <c r="G46" i="54" s="1"/>
  <c r="I46" i="54" s="1"/>
  <c r="F94" i="63"/>
  <c r="O21" i="57"/>
  <c r="E21" i="67" s="1"/>
  <c r="E99" i="67" s="1"/>
  <c r="BG22" i="140" s="1"/>
  <c r="AS23" i="140" s="1"/>
  <c r="B95" i="57"/>
  <c r="Q133" i="57" s="1"/>
  <c r="AH48" i="50"/>
  <c r="AJ48" i="50" s="1"/>
  <c r="F48" i="50" s="1"/>
  <c r="E46" i="50"/>
  <c r="G46" i="50" s="1"/>
  <c r="I46" i="50" s="1"/>
  <c r="Q21" i="50" s="1"/>
  <c r="V47" i="67" s="1"/>
  <c r="V125" i="67" s="1"/>
  <c r="D98" i="66"/>
  <c r="S136" i="66" s="1"/>
  <c r="C98" i="66"/>
  <c r="R136" i="66" s="1"/>
  <c r="B99" i="61"/>
  <c r="Q137" i="61" s="1"/>
  <c r="N21" i="61"/>
  <c r="U21" i="67" s="1"/>
  <c r="U99" i="67" s="1"/>
  <c r="D92" i="48"/>
  <c r="T128" i="48" s="1"/>
  <c r="C92" i="48"/>
  <c r="S128" i="48" s="1"/>
  <c r="F46" i="58"/>
  <c r="G46" i="58" s="1"/>
  <c r="H46" i="58" s="1"/>
  <c r="K46" i="58" s="1"/>
  <c r="Q21" i="58" s="1"/>
  <c r="L47" i="67" s="1"/>
  <c r="L125" i="67" s="1"/>
  <c r="D22" i="33"/>
  <c r="F22" i="33"/>
  <c r="G20" i="58"/>
  <c r="G45" i="98"/>
  <c r="K45" i="98" s="1"/>
  <c r="Q20" i="98" s="1"/>
  <c r="F46" i="67" s="1"/>
  <c r="F124" i="67" s="1"/>
  <c r="F21" i="54"/>
  <c r="G21" i="54" s="1"/>
  <c r="I21" i="54" s="1"/>
  <c r="O21" i="54" s="1"/>
  <c r="G21" i="67" s="1"/>
  <c r="G99" i="67" s="1"/>
  <c r="F97" i="66"/>
  <c r="U135" i="66" s="1"/>
  <c r="D93" i="53"/>
  <c r="S129" i="53" s="1"/>
  <c r="C93" i="53"/>
  <c r="R129" i="53" s="1"/>
  <c r="D95" i="59"/>
  <c r="S133" i="59" s="1"/>
  <c r="C95" i="59"/>
  <c r="R133" i="59" s="1"/>
  <c r="D93" i="54"/>
  <c r="S130" i="54" s="1"/>
  <c r="C93" i="54"/>
  <c r="R130" i="54" s="1"/>
  <c r="D47" i="33"/>
  <c r="F47" i="33"/>
  <c r="C95" i="62"/>
  <c r="R131" i="62" s="1"/>
  <c r="D95" i="62"/>
  <c r="S131" i="62" s="1"/>
  <c r="H19" i="58"/>
  <c r="K19" i="58" s="1"/>
  <c r="D92" i="50"/>
  <c r="R130" i="50" s="1"/>
  <c r="C92" i="50"/>
  <c r="Q130" i="50" s="1"/>
  <c r="H46" i="65"/>
  <c r="E46" i="65"/>
  <c r="G46" i="65"/>
  <c r="D97" i="61"/>
  <c r="S135" i="61" s="1"/>
  <c r="C97" i="61"/>
  <c r="R135" i="61" s="1"/>
  <c r="D95" i="52"/>
  <c r="S131" i="52" s="1"/>
  <c r="C95" i="52"/>
  <c r="R131" i="52" s="1"/>
  <c r="F46" i="62"/>
  <c r="G46" i="62" s="1"/>
  <c r="J46" i="62" s="1"/>
  <c r="P21" i="62" s="1"/>
  <c r="K47" i="67" s="1"/>
  <c r="K125" i="67" s="1"/>
  <c r="H21" i="63"/>
  <c r="E21" i="63"/>
  <c r="F21" i="63" s="1"/>
  <c r="F95" i="61"/>
  <c r="U133" i="61" s="1"/>
  <c r="G46" i="52"/>
  <c r="H46" i="52" s="1"/>
  <c r="J46" i="52" s="1"/>
  <c r="R21" i="52" s="1"/>
  <c r="J47" i="67" s="1"/>
  <c r="J125" i="67" s="1"/>
  <c r="F21" i="62"/>
  <c r="G21" i="62" s="1"/>
  <c r="J21" i="62" s="1"/>
  <c r="C95" i="60"/>
  <c r="R133" i="60" s="1"/>
  <c r="D95" i="60"/>
  <c r="S133" i="60" s="1"/>
  <c r="F98" i="35"/>
  <c r="U136" i="35" s="1"/>
  <c r="D93" i="48"/>
  <c r="T129" i="48" s="1"/>
  <c r="C93" i="48"/>
  <c r="S129" i="48" s="1"/>
  <c r="J20" i="60"/>
  <c r="D21" i="98"/>
  <c r="F21" i="98"/>
  <c r="D92" i="54"/>
  <c r="S129" i="54" s="1"/>
  <c r="C92" i="54"/>
  <c r="R129" i="54" s="1"/>
  <c r="O21" i="48"/>
  <c r="C21" i="67" s="1"/>
  <c r="B100" i="35"/>
  <c r="Q138" i="35" s="1"/>
  <c r="N21" i="35"/>
  <c r="T21" i="67" s="1"/>
  <c r="T99" i="67" s="1"/>
  <c r="C101" i="64"/>
  <c r="R139" i="64" s="1"/>
  <c r="D101" i="64"/>
  <c r="S139" i="64" s="1"/>
  <c r="D46" i="98"/>
  <c r="F46" i="98"/>
  <c r="C97" i="52"/>
  <c r="R133" i="52" s="1"/>
  <c r="D97" i="52"/>
  <c r="S133" i="52" s="1"/>
  <c r="H46" i="63"/>
  <c r="E46" i="63"/>
  <c r="F46" i="63" s="1"/>
  <c r="O21" i="66"/>
  <c r="W21" i="67" s="1"/>
  <c r="W99" i="67" s="1"/>
  <c r="B99" i="66"/>
  <c r="Q137" i="66" s="1"/>
  <c r="F21" i="53"/>
  <c r="G21" i="53" s="1"/>
  <c r="J21" i="53" s="1"/>
  <c r="B97" i="53" s="1"/>
  <c r="Q133" i="53" s="1"/>
  <c r="C96" i="59"/>
  <c r="R134" i="59" s="1"/>
  <c r="D96" i="59"/>
  <c r="S134" i="59" s="1"/>
  <c r="D96" i="62"/>
  <c r="S132" i="62" s="1"/>
  <c r="C96" i="62"/>
  <c r="R132" i="62" s="1"/>
  <c r="C99" i="35"/>
  <c r="R137" i="35" s="1"/>
  <c r="D99" i="35"/>
  <c r="S137" i="35" s="1"/>
  <c r="P17" i="67"/>
  <c r="P95" i="67" s="1"/>
  <c r="B130" i="33"/>
  <c r="C100" i="33"/>
  <c r="R135" i="33" s="1"/>
  <c r="D100" i="33"/>
  <c r="S135" i="33" s="1"/>
  <c r="D92" i="58"/>
  <c r="S130" i="58" s="1"/>
  <c r="C92" i="58"/>
  <c r="R130" i="58" s="1"/>
  <c r="D95" i="66"/>
  <c r="S133" i="66" s="1"/>
  <c r="C95" i="66"/>
  <c r="R133" i="66" s="1"/>
  <c r="AG21" i="60"/>
  <c r="AJ21" i="60" s="1"/>
  <c r="H21" i="60" s="1"/>
  <c r="F21" i="60"/>
  <c r="G21" i="60" s="1"/>
  <c r="C97" i="51"/>
  <c r="R133" i="51" s="1"/>
  <c r="D97" i="51"/>
  <c r="S133" i="51" s="1"/>
  <c r="P17" i="58"/>
  <c r="L17" i="67" s="1"/>
  <c r="L95" i="67" s="1"/>
  <c r="B93" i="58"/>
  <c r="Q131" i="58" s="1"/>
  <c r="C98" i="33"/>
  <c r="R133" i="33" s="1"/>
  <c r="D98" i="33"/>
  <c r="S133" i="33" s="1"/>
  <c r="F21" i="58"/>
  <c r="D21" i="58"/>
  <c r="F46" i="60"/>
  <c r="G46" i="60" s="1"/>
  <c r="J46" i="60" s="1"/>
  <c r="P21" i="60" s="1"/>
  <c r="S47" i="67" s="1"/>
  <c r="S125" i="67" s="1"/>
  <c r="X125" i="67" s="1"/>
  <c r="B98" i="51"/>
  <c r="Q134" i="51" s="1"/>
  <c r="P21" i="51"/>
  <c r="I21" i="67" s="1"/>
  <c r="I99" i="67" s="1"/>
  <c r="F90" i="54"/>
  <c r="U127" i="54" s="1"/>
  <c r="E21" i="50"/>
  <c r="G21" i="50" s="1"/>
  <c r="I21" i="50" s="1"/>
  <c r="F91" i="50"/>
  <c r="D96" i="55"/>
  <c r="T133" i="55" s="1"/>
  <c r="C96" i="55"/>
  <c r="S133" i="55" s="1"/>
  <c r="O19" i="60"/>
  <c r="S19" i="67" s="1"/>
  <c r="S97" i="67" s="1"/>
  <c r="X97" i="67" s="1"/>
  <c r="B97" i="60"/>
  <c r="Q135" i="60" s="1"/>
  <c r="D21" i="37"/>
  <c r="D205" i="37" s="1"/>
  <c r="F21" i="37"/>
  <c r="F205" i="37" s="1"/>
  <c r="BH34" i="20"/>
  <c r="BI33" i="20" s="1"/>
  <c r="K26" i="19"/>
  <c r="R26" i="19" s="1"/>
  <c r="D5" i="19"/>
  <c r="D10" i="19" s="1"/>
  <c r="X24" i="18"/>
  <c r="K24" i="18" s="1"/>
  <c r="R24" i="18" s="1"/>
  <c r="D151" i="37" l="1"/>
  <c r="T199" i="37" s="1"/>
  <c r="F94" i="60"/>
  <c r="U132" i="60" s="1"/>
  <c r="Q21" i="67"/>
  <c r="Q99" i="67" s="1"/>
  <c r="G19" i="33"/>
  <c r="P19" i="33" s="1"/>
  <c r="E21" i="65"/>
  <c r="O20" i="63"/>
  <c r="N20" i="67" s="1"/>
  <c r="N98" i="67" s="1"/>
  <c r="B98" i="63"/>
  <c r="J43" i="63"/>
  <c r="P18" i="63" s="1"/>
  <c r="N44" i="67" s="1"/>
  <c r="N122" i="67" s="1"/>
  <c r="C96" i="52"/>
  <c r="R132" i="52" s="1"/>
  <c r="D96" i="52"/>
  <c r="S132" i="52" s="1"/>
  <c r="Q20" i="50"/>
  <c r="V46" i="67" s="1"/>
  <c r="V124" i="67" s="1"/>
  <c r="B95" i="50"/>
  <c r="C94" i="50"/>
  <c r="Q132" i="50" s="1"/>
  <c r="B94" i="48"/>
  <c r="R130" i="48" s="1"/>
  <c r="J18" i="65"/>
  <c r="L18" i="65" s="1"/>
  <c r="J43" i="65"/>
  <c r="L43" i="65" s="1"/>
  <c r="Q18" i="65" s="1"/>
  <c r="O44" i="67" s="1"/>
  <c r="O122" i="67" s="1"/>
  <c r="H21" i="65"/>
  <c r="P18" i="65"/>
  <c r="O18" i="67" s="1"/>
  <c r="O96" i="67" s="1"/>
  <c r="G44" i="33"/>
  <c r="Q19" i="33" s="1"/>
  <c r="P18" i="67"/>
  <c r="P96" i="67" s="1"/>
  <c r="B131" i="33"/>
  <c r="C151" i="37"/>
  <c r="S199" i="37" s="1"/>
  <c r="B152" i="37"/>
  <c r="D152" i="37" s="1"/>
  <c r="T200" i="37" s="1"/>
  <c r="Y22" i="59"/>
  <c r="W22" i="59"/>
  <c r="H175" i="49"/>
  <c r="P21" i="55"/>
  <c r="D47" i="67" s="1"/>
  <c r="D125" i="67" s="1"/>
  <c r="B97" i="55"/>
  <c r="J18" i="63"/>
  <c r="B96" i="63" s="1"/>
  <c r="C23" i="61"/>
  <c r="F23" i="61" s="1"/>
  <c r="G23" i="61" s="1"/>
  <c r="I23" i="61" s="1"/>
  <c r="Y23" i="61"/>
  <c r="W23" i="61"/>
  <c r="W23" i="98"/>
  <c r="Y23" i="98"/>
  <c r="W22" i="33"/>
  <c r="Y22" i="33"/>
  <c r="Y22" i="53"/>
  <c r="W22" i="53"/>
  <c r="Q137" i="64"/>
  <c r="C99" i="64"/>
  <c r="D99" i="64"/>
  <c r="S137" i="64" s="1"/>
  <c r="W23" i="65"/>
  <c r="Y23" i="65"/>
  <c r="AC22" i="37"/>
  <c r="AA22" i="37"/>
  <c r="Z23" i="48"/>
  <c r="X23" i="48"/>
  <c r="C23" i="66"/>
  <c r="E23" i="66" s="1"/>
  <c r="F23" i="66" s="1"/>
  <c r="J23" i="66" s="1"/>
  <c r="W23" i="66"/>
  <c r="Y23" i="66"/>
  <c r="Y23" i="63"/>
  <c r="W23" i="63"/>
  <c r="B99" i="33"/>
  <c r="P44" i="67"/>
  <c r="P122" i="67" s="1"/>
  <c r="W22" i="64"/>
  <c r="Y22" i="64"/>
  <c r="Y22" i="52"/>
  <c r="W22" i="52"/>
  <c r="C174" i="49"/>
  <c r="E44" i="49"/>
  <c r="G44" i="49"/>
  <c r="G174" i="49" s="1"/>
  <c r="B153" i="49"/>
  <c r="Y23" i="49"/>
  <c r="W23" i="49"/>
  <c r="Y22" i="61"/>
  <c r="W22" i="61"/>
  <c r="F67" i="37"/>
  <c r="F230" i="37" s="1"/>
  <c r="C89" i="49"/>
  <c r="Y142" i="49" s="1"/>
  <c r="C227" i="37"/>
  <c r="D64" i="37"/>
  <c r="D227" i="37" s="1"/>
  <c r="F64" i="37"/>
  <c r="F227" i="37" s="1"/>
  <c r="J18" i="60"/>
  <c r="D202" i="37"/>
  <c r="G18" i="37"/>
  <c r="B49" i="55"/>
  <c r="C49" i="55" s="1"/>
  <c r="F49" i="55" s="1"/>
  <c r="G49" i="55" s="1"/>
  <c r="J49" i="55" s="1"/>
  <c r="P23" i="55" s="1"/>
  <c r="D49" i="67" s="1"/>
  <c r="D127" i="67" s="1"/>
  <c r="C23" i="55"/>
  <c r="F23" i="55" s="1"/>
  <c r="G23" i="55" s="1"/>
  <c r="J23" i="55" s="1"/>
  <c r="X23" i="55"/>
  <c r="V23" i="55"/>
  <c r="C23" i="57"/>
  <c r="F23" i="57" s="1"/>
  <c r="G23" i="57" s="1"/>
  <c r="J23" i="57" s="1"/>
  <c r="Y23" i="57"/>
  <c r="W23" i="57"/>
  <c r="B48" i="51"/>
  <c r="C48" i="51" s="1"/>
  <c r="E48" i="51" s="1"/>
  <c r="H48" i="51" s="1"/>
  <c r="Q23" i="51" s="1"/>
  <c r="I49" i="67" s="1"/>
  <c r="I127" i="67" s="1"/>
  <c r="Y23" i="51"/>
  <c r="W23" i="51"/>
  <c r="Z22" i="48"/>
  <c r="X22" i="48"/>
  <c r="Y22" i="60"/>
  <c r="W22" i="60"/>
  <c r="W22" i="65"/>
  <c r="Y22" i="65"/>
  <c r="G43" i="98"/>
  <c r="K43" i="98" s="1"/>
  <c r="Q18" i="98" s="1"/>
  <c r="F44" i="67" s="1"/>
  <c r="F122" i="67" s="1"/>
  <c r="D67" i="37"/>
  <c r="D230" i="37" s="1"/>
  <c r="D89" i="49"/>
  <c r="Z142" i="49" s="1"/>
  <c r="S132" i="55"/>
  <c r="F95" i="55"/>
  <c r="Y23" i="50"/>
  <c r="W23" i="50"/>
  <c r="Y23" i="33"/>
  <c r="W23" i="33"/>
  <c r="Y23" i="62"/>
  <c r="W23" i="62"/>
  <c r="R127" i="48"/>
  <c r="C91" i="48"/>
  <c r="D91" i="48"/>
  <c r="T127" i="48" s="1"/>
  <c r="B48" i="55"/>
  <c r="C48" i="55" s="1"/>
  <c r="F48" i="55" s="1"/>
  <c r="G48" i="55" s="1"/>
  <c r="J48" i="55" s="1"/>
  <c r="P22" i="55" s="1"/>
  <c r="D48" i="67" s="1"/>
  <c r="D126" i="67" s="1"/>
  <c r="C22" i="55"/>
  <c r="F22" i="55" s="1"/>
  <c r="G22" i="55" s="1"/>
  <c r="J22" i="55" s="1"/>
  <c r="O22" i="55" s="1"/>
  <c r="D22" i="67" s="1"/>
  <c r="D100" i="67" s="1"/>
  <c r="BH23" i="130" s="1"/>
  <c r="AT24" i="130" s="1"/>
  <c r="AS24" i="130" s="1"/>
  <c r="X22" i="55"/>
  <c r="V22" i="55"/>
  <c r="Y22" i="35"/>
  <c r="W22" i="35"/>
  <c r="Y22" i="49"/>
  <c r="W22" i="49"/>
  <c r="W22" i="66"/>
  <c r="Y22" i="66"/>
  <c r="Y23" i="53"/>
  <c r="W23" i="53"/>
  <c r="W23" i="64"/>
  <c r="Y23" i="64"/>
  <c r="Y23" i="58"/>
  <c r="W23" i="58"/>
  <c r="Y22" i="51"/>
  <c r="W22" i="51"/>
  <c r="Q134" i="61"/>
  <c r="C96" i="61"/>
  <c r="D96" i="61"/>
  <c r="S134" i="61" s="1"/>
  <c r="Q18" i="50"/>
  <c r="V44" i="67" s="1"/>
  <c r="V122" i="67" s="1"/>
  <c r="B93" i="50"/>
  <c r="Y23" i="52"/>
  <c r="W23" i="52"/>
  <c r="Y23" i="60"/>
  <c r="W23" i="60"/>
  <c r="Y23" i="59"/>
  <c r="W23" i="59"/>
  <c r="E148" i="49"/>
  <c r="H19" i="49"/>
  <c r="Q130" i="57"/>
  <c r="C92" i="57"/>
  <c r="S92" i="57"/>
  <c r="D92" i="57"/>
  <c r="S130" i="57" s="1"/>
  <c r="W22" i="98"/>
  <c r="Y22" i="98"/>
  <c r="Y22" i="62"/>
  <c r="W22" i="62"/>
  <c r="B47" i="57"/>
  <c r="C47" i="57" s="1"/>
  <c r="F47" i="57" s="1"/>
  <c r="G47" i="57" s="1"/>
  <c r="J47" i="57" s="1"/>
  <c r="P22" i="57" s="1"/>
  <c r="E48" i="67" s="1"/>
  <c r="E126" i="67" s="1"/>
  <c r="C22" i="57"/>
  <c r="F22" i="57" s="1"/>
  <c r="G22" i="57" s="1"/>
  <c r="J22" i="57" s="1"/>
  <c r="Y22" i="57"/>
  <c r="W22" i="57"/>
  <c r="Q135" i="35"/>
  <c r="D97" i="35"/>
  <c r="S135" i="35" s="1"/>
  <c r="C97" i="35"/>
  <c r="Q132" i="59"/>
  <c r="D94" i="59"/>
  <c r="S132" i="59" s="1"/>
  <c r="C94" i="59"/>
  <c r="Y22" i="50"/>
  <c r="W22" i="50"/>
  <c r="Q134" i="66"/>
  <c r="C96" i="66"/>
  <c r="D96" i="66"/>
  <c r="S134" i="66" s="1"/>
  <c r="S131" i="55"/>
  <c r="F94" i="55"/>
  <c r="Q131" i="51"/>
  <c r="C95" i="51"/>
  <c r="D95" i="51"/>
  <c r="S131" i="51" s="1"/>
  <c r="G18" i="58"/>
  <c r="H18" i="58" s="1"/>
  <c r="K18" i="58" s="1"/>
  <c r="W23" i="54"/>
  <c r="Y23" i="54"/>
  <c r="W23" i="35"/>
  <c r="Y23" i="35"/>
  <c r="W22" i="54"/>
  <c r="Y22" i="54"/>
  <c r="Y22" i="58"/>
  <c r="W22" i="58"/>
  <c r="Y22" i="63"/>
  <c r="W22" i="63"/>
  <c r="O19" i="37"/>
  <c r="B19" i="67" s="1"/>
  <c r="B97" i="67" s="1"/>
  <c r="BH20" i="413" s="1"/>
  <c r="G47" i="49"/>
  <c r="G177" i="49" s="1"/>
  <c r="H46" i="49"/>
  <c r="J46" i="49" s="1"/>
  <c r="J176" i="49" s="1"/>
  <c r="U138" i="64"/>
  <c r="U136" i="64"/>
  <c r="D100" i="65"/>
  <c r="S138" i="65" s="1"/>
  <c r="Q138" i="65"/>
  <c r="F97" i="65"/>
  <c r="R135" i="65"/>
  <c r="C98" i="65"/>
  <c r="R136" i="65" s="1"/>
  <c r="Q136" i="65"/>
  <c r="D98" i="65"/>
  <c r="S136" i="65" s="1"/>
  <c r="D97" i="63"/>
  <c r="S135" i="63" s="1"/>
  <c r="Q135" i="63"/>
  <c r="C95" i="63"/>
  <c r="R133" i="63" s="1"/>
  <c r="Q133" i="63"/>
  <c r="U132" i="63"/>
  <c r="C97" i="63"/>
  <c r="R135" i="63" s="1"/>
  <c r="D95" i="63"/>
  <c r="S133" i="63" s="1"/>
  <c r="U131" i="59"/>
  <c r="U133" i="62"/>
  <c r="U130" i="52"/>
  <c r="F89" i="98"/>
  <c r="U125" i="98" s="1"/>
  <c r="U130" i="51"/>
  <c r="U132" i="51"/>
  <c r="F91" i="54"/>
  <c r="U128" i="54" s="1"/>
  <c r="S128" i="54"/>
  <c r="U127" i="53"/>
  <c r="U126" i="53"/>
  <c r="D92" i="98"/>
  <c r="S128" i="98" s="1"/>
  <c r="Q128" i="98"/>
  <c r="D90" i="98"/>
  <c r="S126" i="98" s="1"/>
  <c r="Q126" i="98"/>
  <c r="U132" i="57"/>
  <c r="U129" i="57"/>
  <c r="S94" i="50"/>
  <c r="P132" i="50"/>
  <c r="T129" i="50"/>
  <c r="S95" i="50"/>
  <c r="P133" i="50"/>
  <c r="C90" i="98"/>
  <c r="R126" i="98" s="1"/>
  <c r="D154" i="37"/>
  <c r="T202" i="37" s="1"/>
  <c r="R202" i="37"/>
  <c r="P17" i="37"/>
  <c r="B43" i="67" s="1"/>
  <c r="B121" i="67" s="1"/>
  <c r="J226" i="37"/>
  <c r="G204" i="37"/>
  <c r="O17" i="37"/>
  <c r="B17" i="67" s="1"/>
  <c r="B95" i="67" s="1"/>
  <c r="BH18" i="413" s="1"/>
  <c r="J201" i="37"/>
  <c r="G66" i="37"/>
  <c r="P19" i="37"/>
  <c r="B45" i="67" s="1"/>
  <c r="B123" i="67" s="1"/>
  <c r="J228" i="37"/>
  <c r="J43" i="49"/>
  <c r="B90" i="49" s="1"/>
  <c r="H173" i="49"/>
  <c r="AB18" i="49"/>
  <c r="R17" i="67" s="1"/>
  <c r="R95" i="67" s="1"/>
  <c r="J147" i="49"/>
  <c r="J21" i="49"/>
  <c r="H150" i="49"/>
  <c r="AC20" i="49"/>
  <c r="R45" i="67" s="1"/>
  <c r="R123" i="67" s="1"/>
  <c r="J175" i="49"/>
  <c r="B92" i="49"/>
  <c r="D92" i="49" s="1"/>
  <c r="Z145" i="49" s="1"/>
  <c r="E47" i="49"/>
  <c r="E177" i="49" s="1"/>
  <c r="J149" i="49"/>
  <c r="AB20" i="49"/>
  <c r="R19" i="67" s="1"/>
  <c r="R97" i="67" s="1"/>
  <c r="C92" i="98"/>
  <c r="D132" i="33"/>
  <c r="F132" i="33" s="1"/>
  <c r="C100" i="65"/>
  <c r="R138" i="65" s="1"/>
  <c r="D95" i="53"/>
  <c r="B133" i="33"/>
  <c r="D133" i="33" s="1"/>
  <c r="F95" i="66"/>
  <c r="U133" i="66" s="1"/>
  <c r="J21" i="63"/>
  <c r="F92" i="48"/>
  <c r="V128" i="48" s="1"/>
  <c r="G21" i="58"/>
  <c r="H21" i="58" s="1"/>
  <c r="K21" i="58" s="1"/>
  <c r="B97" i="58" s="1"/>
  <c r="Q135" i="58" s="1"/>
  <c r="F97" i="51"/>
  <c r="G47" i="33"/>
  <c r="Q22" i="33" s="1"/>
  <c r="B102" i="33" s="1"/>
  <c r="Q137" i="33" s="1"/>
  <c r="P46" i="67"/>
  <c r="P124" i="67" s="1"/>
  <c r="H22" i="49"/>
  <c r="L20" i="65"/>
  <c r="G21" i="98"/>
  <c r="K21" i="98" s="1"/>
  <c r="P21" i="98" s="1"/>
  <c r="F21" i="67" s="1"/>
  <c r="F99" i="67" s="1"/>
  <c r="G46" i="98"/>
  <c r="K46" i="98" s="1"/>
  <c r="Q21" i="98" s="1"/>
  <c r="F47" i="67" s="1"/>
  <c r="F125" i="67" s="1"/>
  <c r="B93" i="98"/>
  <c r="F96" i="52"/>
  <c r="G22" i="33"/>
  <c r="P22" i="33" s="1"/>
  <c r="B134" i="33" s="1"/>
  <c r="F92" i="50"/>
  <c r="F93" i="54"/>
  <c r="U130" i="54" s="1"/>
  <c r="F95" i="62"/>
  <c r="J46" i="65"/>
  <c r="L46" i="65" s="1"/>
  <c r="Q21" i="65" s="1"/>
  <c r="O47" i="67" s="1"/>
  <c r="O125" i="67" s="1"/>
  <c r="J46" i="63"/>
  <c r="P21" i="63" s="1"/>
  <c r="N47" i="67" s="1"/>
  <c r="N125" i="67" s="1"/>
  <c r="F95" i="52"/>
  <c r="F98" i="66"/>
  <c r="U136" i="66" s="1"/>
  <c r="F96" i="55"/>
  <c r="J21" i="65"/>
  <c r="L21" i="65" s="1"/>
  <c r="P19" i="58"/>
  <c r="L19" i="67" s="1"/>
  <c r="L97" i="67" s="1"/>
  <c r="B95" i="58"/>
  <c r="Q133" i="58" s="1"/>
  <c r="O21" i="53"/>
  <c r="H21" i="67" s="1"/>
  <c r="H99" i="67" s="1"/>
  <c r="D99" i="66"/>
  <c r="S137" i="66" s="1"/>
  <c r="C99" i="66"/>
  <c r="R137" i="66" s="1"/>
  <c r="O22" i="57"/>
  <c r="E22" i="67" s="1"/>
  <c r="E100" i="67" s="1"/>
  <c r="BG23" i="140" s="1"/>
  <c r="AS24" i="140" s="1"/>
  <c r="B48" i="62"/>
  <c r="C48" i="62" s="1"/>
  <c r="F48" i="62" s="1"/>
  <c r="G48" i="62" s="1"/>
  <c r="J48" i="62" s="1"/>
  <c r="P23" i="62" s="1"/>
  <c r="K49" i="67" s="1"/>
  <c r="K127" i="67" s="1"/>
  <c r="C23" i="62"/>
  <c r="F23" i="62" s="1"/>
  <c r="G23" i="62" s="1"/>
  <c r="J23" i="62" s="1"/>
  <c r="C23" i="53"/>
  <c r="B48" i="53"/>
  <c r="C48" i="53" s="1"/>
  <c r="F48" i="53" s="1"/>
  <c r="G48" i="53" s="1"/>
  <c r="J48" i="53" s="1"/>
  <c r="P23" i="53" s="1"/>
  <c r="H49" i="67" s="1"/>
  <c r="H127" i="67" s="1"/>
  <c r="C23" i="98"/>
  <c r="B48" i="98"/>
  <c r="C48" i="98" s="1"/>
  <c r="C95" i="50"/>
  <c r="Q133" i="50" s="1"/>
  <c r="D95" i="50"/>
  <c r="R133" i="50" s="1"/>
  <c r="P21" i="50"/>
  <c r="V21" i="67" s="1"/>
  <c r="V99" i="67" s="1"/>
  <c r="B96" i="50"/>
  <c r="F101" i="64"/>
  <c r="B98" i="60"/>
  <c r="Q136" i="60" s="1"/>
  <c r="O20" i="60"/>
  <c r="S20" i="67" s="1"/>
  <c r="S98" i="67" s="1"/>
  <c r="X98" i="67" s="1"/>
  <c r="C23" i="48"/>
  <c r="F23" i="48" s="1"/>
  <c r="G23" i="48" s="1"/>
  <c r="J23" i="48" s="1"/>
  <c r="B48" i="48"/>
  <c r="C48" i="48" s="1"/>
  <c r="F48" i="48" s="1"/>
  <c r="G48" i="48" s="1"/>
  <c r="J48" i="48" s="1"/>
  <c r="P23" i="48" s="1"/>
  <c r="C49" i="67" s="1"/>
  <c r="C23" i="51"/>
  <c r="E23" i="51" s="1"/>
  <c r="H23" i="51" s="1"/>
  <c r="D99" i="61"/>
  <c r="S137" i="61" s="1"/>
  <c r="C99" i="61"/>
  <c r="R137" i="61" s="1"/>
  <c r="C98" i="51"/>
  <c r="R134" i="51" s="1"/>
  <c r="D98" i="51"/>
  <c r="S134" i="51" s="1"/>
  <c r="C93" i="58"/>
  <c r="R131" i="58" s="1"/>
  <c r="D93" i="58"/>
  <c r="S131" i="58" s="1"/>
  <c r="F92" i="58"/>
  <c r="F100" i="33"/>
  <c r="U135" i="33" s="1"/>
  <c r="F96" i="62"/>
  <c r="F92" i="54"/>
  <c r="U129" i="54" s="1"/>
  <c r="F93" i="48"/>
  <c r="V129" i="48" s="1"/>
  <c r="F95" i="60"/>
  <c r="U133" i="60" s="1"/>
  <c r="F95" i="59"/>
  <c r="B48" i="65"/>
  <c r="C48" i="65" s="1"/>
  <c r="C23" i="65"/>
  <c r="B48" i="64"/>
  <c r="C48" i="64" s="1"/>
  <c r="C23" i="64"/>
  <c r="D131" i="33"/>
  <c r="C131" i="33"/>
  <c r="D102" i="64"/>
  <c r="S140" i="64" s="1"/>
  <c r="C102" i="64"/>
  <c r="R140" i="64" s="1"/>
  <c r="C23" i="63"/>
  <c r="B48" i="63"/>
  <c r="C48" i="63" s="1"/>
  <c r="C23" i="54"/>
  <c r="B48" i="54"/>
  <c r="C48" i="54" s="1"/>
  <c r="B48" i="35"/>
  <c r="C48" i="35" s="1"/>
  <c r="F48" i="35" s="1"/>
  <c r="G48" i="35" s="1"/>
  <c r="I48" i="35" s="1"/>
  <c r="O23" i="35" s="1"/>
  <c r="T49" i="67" s="1"/>
  <c r="T127" i="67" s="1"/>
  <c r="C23" i="35"/>
  <c r="F23" i="35" s="1"/>
  <c r="G23" i="35" s="1"/>
  <c r="I23" i="35" s="1"/>
  <c r="C97" i="60"/>
  <c r="R135" i="60" s="1"/>
  <c r="D97" i="60"/>
  <c r="S135" i="60" s="1"/>
  <c r="C130" i="33"/>
  <c r="D130" i="33"/>
  <c r="F97" i="52"/>
  <c r="O21" i="62"/>
  <c r="K21" i="67" s="1"/>
  <c r="K99" i="67" s="1"/>
  <c r="B99" i="62"/>
  <c r="Q135" i="62" s="1"/>
  <c r="C23" i="52"/>
  <c r="B48" i="52"/>
  <c r="C48" i="52" s="1"/>
  <c r="C24" i="49"/>
  <c r="B49" i="49"/>
  <c r="F95" i="63"/>
  <c r="B95" i="54"/>
  <c r="Q132" i="54" s="1"/>
  <c r="P21" i="54"/>
  <c r="G47" i="67" s="1"/>
  <c r="G125" i="67" s="1"/>
  <c r="C97" i="59"/>
  <c r="R135" i="59" s="1"/>
  <c r="D97" i="59"/>
  <c r="S135" i="59" s="1"/>
  <c r="F98" i="33"/>
  <c r="U133" i="33" s="1"/>
  <c r="F96" i="59"/>
  <c r="F94" i="50"/>
  <c r="C100" i="35"/>
  <c r="R138" i="35" s="1"/>
  <c r="D100" i="35"/>
  <c r="S138" i="35" s="1"/>
  <c r="F97" i="61"/>
  <c r="U135" i="61" s="1"/>
  <c r="D94" i="53"/>
  <c r="S130" i="53" s="1"/>
  <c r="C94" i="53"/>
  <c r="R130" i="53" s="1"/>
  <c r="H20" i="58"/>
  <c r="K20" i="58" s="1"/>
  <c r="B48" i="59"/>
  <c r="C48" i="59" s="1"/>
  <c r="E48" i="59" s="1"/>
  <c r="F48" i="59" s="1"/>
  <c r="I48" i="59" s="1"/>
  <c r="O23" i="59" s="1"/>
  <c r="M49" i="67" s="1"/>
  <c r="M127" i="67" s="1"/>
  <c r="C23" i="59"/>
  <c r="B49" i="33"/>
  <c r="C49" i="33" s="1"/>
  <c r="C24" i="33"/>
  <c r="S95" i="57"/>
  <c r="D95" i="57"/>
  <c r="S133" i="57" s="1"/>
  <c r="C95" i="57"/>
  <c r="R133" i="57" s="1"/>
  <c r="C98" i="52"/>
  <c r="R134" i="52" s="1"/>
  <c r="D98" i="52"/>
  <c r="S134" i="52" s="1"/>
  <c r="D98" i="61"/>
  <c r="S136" i="61" s="1"/>
  <c r="C98" i="61"/>
  <c r="R136" i="61" s="1"/>
  <c r="D94" i="48"/>
  <c r="T130" i="48" s="1"/>
  <c r="C94" i="48"/>
  <c r="S130" i="48" s="1"/>
  <c r="B99" i="52"/>
  <c r="Q135" i="52" s="1"/>
  <c r="Q21" i="52"/>
  <c r="J21" i="67" s="1"/>
  <c r="J99" i="67" s="1"/>
  <c r="F93" i="53"/>
  <c r="B48" i="50"/>
  <c r="C48" i="50" s="1"/>
  <c r="C23" i="50"/>
  <c r="C23" i="60"/>
  <c r="B48" i="60"/>
  <c r="C48" i="60" s="1"/>
  <c r="F98" i="62"/>
  <c r="J21" i="60"/>
  <c r="F99" i="35"/>
  <c r="U137" i="35" s="1"/>
  <c r="C98" i="63"/>
  <c r="R136" i="63" s="1"/>
  <c r="C23" i="58"/>
  <c r="B48" i="58"/>
  <c r="C48" i="58" s="1"/>
  <c r="O23" i="57"/>
  <c r="E23" i="67" s="1"/>
  <c r="E101" i="67" s="1"/>
  <c r="BG24" i="140" s="1"/>
  <c r="AS25" i="140" s="1"/>
  <c r="D101" i="33"/>
  <c r="S136" i="33" s="1"/>
  <c r="C101" i="33"/>
  <c r="R136" i="33" s="1"/>
  <c r="D94" i="54"/>
  <c r="S131" i="54" s="1"/>
  <c r="C94" i="54"/>
  <c r="R131" i="54" s="1"/>
  <c r="G21" i="37"/>
  <c r="C154" i="37"/>
  <c r="C23" i="37"/>
  <c r="C207" i="37" s="1"/>
  <c r="B69" i="37"/>
  <c r="D16" i="19"/>
  <c r="D11" i="18"/>
  <c r="D16" i="18" s="1"/>
  <c r="D21" i="18" s="1"/>
  <c r="U26" i="19"/>
  <c r="T26" i="19"/>
  <c r="C152" i="37" l="1"/>
  <c r="F151" i="37"/>
  <c r="V199" i="37" s="1"/>
  <c r="R200" i="37"/>
  <c r="F97" i="63"/>
  <c r="O21" i="63"/>
  <c r="N21" i="67" s="1"/>
  <c r="N99" i="67" s="1"/>
  <c r="B99" i="63"/>
  <c r="B98" i="55"/>
  <c r="G64" i="37"/>
  <c r="B99" i="65"/>
  <c r="F98" i="65"/>
  <c r="U136" i="65" s="1"/>
  <c r="P20" i="65"/>
  <c r="O20" i="67" s="1"/>
  <c r="O98" i="67" s="1"/>
  <c r="B101" i="65"/>
  <c r="Q139" i="65" s="1"/>
  <c r="P21" i="65"/>
  <c r="O21" i="67" s="1"/>
  <c r="O99" i="67" s="1"/>
  <c r="B102" i="65"/>
  <c r="F100" i="65"/>
  <c r="F90" i="98"/>
  <c r="U126" i="98" s="1"/>
  <c r="H176" i="49"/>
  <c r="P21" i="67"/>
  <c r="P99" i="67" s="1"/>
  <c r="G67" i="37"/>
  <c r="J67" i="37" s="1"/>
  <c r="V132" i="55"/>
  <c r="F89" i="49"/>
  <c r="AB142" i="49" s="1"/>
  <c r="AJ142" i="49" s="1"/>
  <c r="B47" i="58"/>
  <c r="C47" i="58" s="1"/>
  <c r="F47" i="58" s="1"/>
  <c r="G47" i="58" s="1"/>
  <c r="C22" i="58"/>
  <c r="R130" i="57"/>
  <c r="F92" i="57"/>
  <c r="R134" i="61"/>
  <c r="F96" i="61"/>
  <c r="B47" i="66"/>
  <c r="C47" i="66" s="1"/>
  <c r="E47" i="66" s="1"/>
  <c r="F47" i="66" s="1"/>
  <c r="J47" i="66" s="1"/>
  <c r="P22" i="66" s="1"/>
  <c r="W48" i="67" s="1"/>
  <c r="W126" i="67" s="1"/>
  <c r="C22" i="66"/>
  <c r="E22" i="66" s="1"/>
  <c r="F22" i="66" s="1"/>
  <c r="J22" i="66" s="1"/>
  <c r="G202" i="37"/>
  <c r="E174" i="49"/>
  <c r="H44" i="49"/>
  <c r="O18" i="63"/>
  <c r="N18" i="67" s="1"/>
  <c r="N96" i="67" s="1"/>
  <c r="C22" i="64"/>
  <c r="E22" i="64" s="1"/>
  <c r="F22" i="64" s="1"/>
  <c r="H22" i="64" s="1"/>
  <c r="M22" i="64" s="1"/>
  <c r="B47" i="64"/>
  <c r="C47" i="64" s="1"/>
  <c r="E47" i="64" s="1"/>
  <c r="F47" i="64" s="1"/>
  <c r="H47" i="64" s="1"/>
  <c r="N22" i="64" s="1"/>
  <c r="Q48" i="67" s="1"/>
  <c r="Q126" i="67" s="1"/>
  <c r="B96" i="57"/>
  <c r="Q134" i="57" s="1"/>
  <c r="R134" i="66"/>
  <c r="F96" i="66"/>
  <c r="R135" i="35"/>
  <c r="F97" i="35"/>
  <c r="B47" i="60"/>
  <c r="C47" i="60" s="1"/>
  <c r="F47" i="60" s="1"/>
  <c r="G47" i="60" s="1"/>
  <c r="J47" i="60" s="1"/>
  <c r="P22" i="60" s="1"/>
  <c r="S48" i="67" s="1"/>
  <c r="S126" i="67" s="1"/>
  <c r="X126" i="67" s="1"/>
  <c r="C22" i="60"/>
  <c r="Q134" i="33"/>
  <c r="C99" i="33"/>
  <c r="D99" i="33"/>
  <c r="S134" i="33" s="1"/>
  <c r="C23" i="33"/>
  <c r="B48" i="33"/>
  <c r="C48" i="33" s="1"/>
  <c r="D97" i="55"/>
  <c r="T134" i="55" s="1"/>
  <c r="S97" i="55"/>
  <c r="R134" i="55"/>
  <c r="C97" i="55"/>
  <c r="AB24" i="37"/>
  <c r="X24" i="98"/>
  <c r="B24" i="98" s="1"/>
  <c r="X24" i="35"/>
  <c r="B24" i="35" s="1"/>
  <c r="X24" i="60"/>
  <c r="B24" i="60" s="1"/>
  <c r="X24" i="64"/>
  <c r="B24" i="64" s="1"/>
  <c r="X24" i="33"/>
  <c r="B25" i="33" s="1"/>
  <c r="X24" i="57"/>
  <c r="B24" i="57" s="1"/>
  <c r="X24" i="66"/>
  <c r="B24" i="66" s="1"/>
  <c r="X24" i="61"/>
  <c r="B24" i="61" s="1"/>
  <c r="X24" i="49"/>
  <c r="B25" i="49" s="1"/>
  <c r="X24" i="54"/>
  <c r="B24" i="54" s="1"/>
  <c r="X24" i="58"/>
  <c r="B24" i="58" s="1"/>
  <c r="X24" i="63"/>
  <c r="B24" i="63" s="1"/>
  <c r="X24" i="51"/>
  <c r="B24" i="51" s="1"/>
  <c r="X24" i="65"/>
  <c r="B24" i="65" s="1"/>
  <c r="X24" i="52"/>
  <c r="B24" i="52" s="1"/>
  <c r="X24" i="53"/>
  <c r="B24" i="53" s="1"/>
  <c r="X24" i="59"/>
  <c r="B24" i="59" s="1"/>
  <c r="X24" i="62"/>
  <c r="B24" i="62" s="1"/>
  <c r="X24" i="50"/>
  <c r="B24" i="50" s="1"/>
  <c r="Y24" i="48"/>
  <c r="B24" i="48" s="1"/>
  <c r="W24" i="55"/>
  <c r="B24" i="55" s="1"/>
  <c r="P18" i="58"/>
  <c r="L18" i="67" s="1"/>
  <c r="L96" i="67" s="1"/>
  <c r="B94" i="58"/>
  <c r="C22" i="62"/>
  <c r="F22" i="62" s="1"/>
  <c r="G22" i="62" s="1"/>
  <c r="J22" i="62" s="1"/>
  <c r="O22" i="62" s="1"/>
  <c r="K22" i="67" s="1"/>
  <c r="K100" i="67" s="1"/>
  <c r="B47" i="62"/>
  <c r="C47" i="62" s="1"/>
  <c r="F47" i="62" s="1"/>
  <c r="G47" i="62" s="1"/>
  <c r="J47" i="62" s="1"/>
  <c r="P22" i="62" s="1"/>
  <c r="K48" i="67" s="1"/>
  <c r="K126" i="67" s="1"/>
  <c r="J19" i="49"/>
  <c r="H148" i="49"/>
  <c r="C23" i="49"/>
  <c r="B48" i="49"/>
  <c r="B96" i="60"/>
  <c r="O18" i="60"/>
  <c r="S18" i="67" s="1"/>
  <c r="S96" i="67" s="1"/>
  <c r="X96" i="67" s="1"/>
  <c r="B48" i="66"/>
  <c r="C48" i="66" s="1"/>
  <c r="E48" i="66" s="1"/>
  <c r="F48" i="66" s="1"/>
  <c r="J48" i="66" s="1"/>
  <c r="P23" i="66" s="1"/>
  <c r="W49" i="67" s="1"/>
  <c r="W127" i="67" s="1"/>
  <c r="B47" i="54"/>
  <c r="C47" i="54" s="1"/>
  <c r="F47" i="54" s="1"/>
  <c r="G47" i="54" s="1"/>
  <c r="I47" i="54" s="1"/>
  <c r="P22" i="54" s="1"/>
  <c r="G48" i="67" s="1"/>
  <c r="G126" i="67" s="1"/>
  <c r="C22" i="54"/>
  <c r="F22" i="54" s="1"/>
  <c r="G22" i="54" s="1"/>
  <c r="I22" i="54" s="1"/>
  <c r="O22" i="54" s="1"/>
  <c r="G22" i="67" s="1"/>
  <c r="G100" i="67" s="1"/>
  <c r="B152" i="49"/>
  <c r="B48" i="57"/>
  <c r="C48" i="57" s="1"/>
  <c r="F48" i="57" s="1"/>
  <c r="G48" i="57" s="1"/>
  <c r="J48" i="57" s="1"/>
  <c r="J64" i="37"/>
  <c r="G227" i="37"/>
  <c r="B47" i="61"/>
  <c r="C47" i="61" s="1"/>
  <c r="F47" i="61" s="1"/>
  <c r="G47" i="61" s="1"/>
  <c r="I47" i="61" s="1"/>
  <c r="O22" i="61" s="1"/>
  <c r="U48" i="67" s="1"/>
  <c r="U126" i="67" s="1"/>
  <c r="C22" i="61"/>
  <c r="F22" i="61" s="1"/>
  <c r="G22" i="61" s="1"/>
  <c r="I22" i="61" s="1"/>
  <c r="N22" i="61" s="1"/>
  <c r="U22" i="67" s="1"/>
  <c r="U100" i="67" s="1"/>
  <c r="B91" i="98"/>
  <c r="R137" i="64"/>
  <c r="F99" i="64"/>
  <c r="B48" i="61"/>
  <c r="C48" i="61" s="1"/>
  <c r="F48" i="61" s="1"/>
  <c r="G48" i="61" s="1"/>
  <c r="I48" i="61" s="1"/>
  <c r="O23" i="61" s="1"/>
  <c r="U49" i="67" s="1"/>
  <c r="U127" i="67" s="1"/>
  <c r="R131" i="51"/>
  <c r="F95" i="51"/>
  <c r="S127" i="48"/>
  <c r="F91" i="48"/>
  <c r="C22" i="48"/>
  <c r="F22" i="48" s="1"/>
  <c r="G22" i="48" s="1"/>
  <c r="J22" i="48" s="1"/>
  <c r="B47" i="48"/>
  <c r="C47" i="48" s="1"/>
  <c r="F47" i="48" s="1"/>
  <c r="G47" i="48" s="1"/>
  <c r="J47" i="48" s="1"/>
  <c r="P22" i="48" s="1"/>
  <c r="C48" i="67" s="1"/>
  <c r="C22" i="52"/>
  <c r="G22" i="52" s="1"/>
  <c r="H22" i="52" s="1"/>
  <c r="J22" i="52" s="1"/>
  <c r="Q22" i="52" s="1"/>
  <c r="J22" i="67" s="1"/>
  <c r="J100" i="67" s="1"/>
  <c r="B47" i="52"/>
  <c r="C47" i="52" s="1"/>
  <c r="G47" i="52" s="1"/>
  <c r="H47" i="52" s="1"/>
  <c r="J47" i="52" s="1"/>
  <c r="R22" i="52" s="1"/>
  <c r="J48" i="67" s="1"/>
  <c r="J126" i="67" s="1"/>
  <c r="C22" i="63"/>
  <c r="B47" i="63"/>
  <c r="C47" i="63" s="1"/>
  <c r="B47" i="50"/>
  <c r="C47" i="50" s="1"/>
  <c r="C22" i="50"/>
  <c r="E22" i="50" s="1"/>
  <c r="G22" i="50" s="1"/>
  <c r="I22" i="50" s="1"/>
  <c r="B47" i="98"/>
  <c r="C47" i="98" s="1"/>
  <c r="C22" i="98"/>
  <c r="C93" i="50"/>
  <c r="S93" i="50"/>
  <c r="P131" i="50"/>
  <c r="D93" i="50"/>
  <c r="R131" i="50" s="1"/>
  <c r="C22" i="51"/>
  <c r="E22" i="51" s="1"/>
  <c r="H22" i="51" s="1"/>
  <c r="B47" i="51"/>
  <c r="C47" i="51" s="1"/>
  <c r="E47" i="51" s="1"/>
  <c r="H47" i="51" s="1"/>
  <c r="Q22" i="51" s="1"/>
  <c r="I48" i="67" s="1"/>
  <c r="I126" i="67" s="1"/>
  <c r="V131" i="55"/>
  <c r="R132" i="59"/>
  <c r="F94" i="59"/>
  <c r="C22" i="35"/>
  <c r="F22" i="35" s="1"/>
  <c r="G22" i="35" s="1"/>
  <c r="I22" i="35" s="1"/>
  <c r="B47" i="35"/>
  <c r="C47" i="35" s="1"/>
  <c r="F47" i="35" s="1"/>
  <c r="G47" i="35" s="1"/>
  <c r="I47" i="35" s="1"/>
  <c r="O22" i="35" s="1"/>
  <c r="T48" i="67" s="1"/>
  <c r="T126" i="67" s="1"/>
  <c r="C22" i="65"/>
  <c r="B47" i="65"/>
  <c r="C47" i="65" s="1"/>
  <c r="B206" i="37"/>
  <c r="C22" i="37"/>
  <c r="B68" i="37"/>
  <c r="B47" i="53"/>
  <c r="C47" i="53" s="1"/>
  <c r="F47" i="53" s="1"/>
  <c r="G47" i="53" s="1"/>
  <c r="J47" i="53" s="1"/>
  <c r="P22" i="53" s="1"/>
  <c r="H48" i="67" s="1"/>
  <c r="H126" i="67" s="1"/>
  <c r="C22" i="53"/>
  <c r="F22" i="53" s="1"/>
  <c r="G22" i="53" s="1"/>
  <c r="J22" i="53" s="1"/>
  <c r="B47" i="59"/>
  <c r="C47" i="59" s="1"/>
  <c r="E47" i="59" s="1"/>
  <c r="F47" i="59" s="1"/>
  <c r="I47" i="59" s="1"/>
  <c r="O22" i="59" s="1"/>
  <c r="M48" i="67" s="1"/>
  <c r="M126" i="67" s="1"/>
  <c r="C22" i="59"/>
  <c r="E22" i="59" s="1"/>
  <c r="F22" i="59" s="1"/>
  <c r="I22" i="59" s="1"/>
  <c r="C153" i="49"/>
  <c r="E24" i="49"/>
  <c r="AC21" i="49"/>
  <c r="R46" i="67" s="1"/>
  <c r="R124" i="67" s="1"/>
  <c r="B93" i="49"/>
  <c r="X146" i="49" s="1"/>
  <c r="H47" i="49"/>
  <c r="J47" i="49" s="1"/>
  <c r="U139" i="64"/>
  <c r="C133" i="33"/>
  <c r="F133" i="33" s="1"/>
  <c r="U135" i="65"/>
  <c r="D98" i="63"/>
  <c r="S136" i="63" s="1"/>
  <c r="Q136" i="63"/>
  <c r="U133" i="63"/>
  <c r="U135" i="63"/>
  <c r="U133" i="59"/>
  <c r="U134" i="59"/>
  <c r="U130" i="58"/>
  <c r="U132" i="62"/>
  <c r="U131" i="62"/>
  <c r="U134" i="62"/>
  <c r="U133" i="52"/>
  <c r="U132" i="52"/>
  <c r="U131" i="52"/>
  <c r="U133" i="51"/>
  <c r="F95" i="53"/>
  <c r="S131" i="53"/>
  <c r="U129" i="53"/>
  <c r="D93" i="98"/>
  <c r="S129" i="98" s="1"/>
  <c r="Q129" i="98"/>
  <c r="F92" i="98"/>
  <c r="U128" i="98" s="1"/>
  <c r="R128" i="98"/>
  <c r="C93" i="98"/>
  <c r="R129" i="98" s="1"/>
  <c r="T132" i="50"/>
  <c r="T130" i="50"/>
  <c r="S96" i="50"/>
  <c r="P134" i="50"/>
  <c r="S98" i="55"/>
  <c r="R135" i="55"/>
  <c r="V133" i="55"/>
  <c r="C90" i="49"/>
  <c r="Y143" i="49" s="1"/>
  <c r="D90" i="49"/>
  <c r="X143" i="49"/>
  <c r="X145" i="49"/>
  <c r="C92" i="49"/>
  <c r="Y145" i="49" s="1"/>
  <c r="C69" i="37"/>
  <c r="C232" i="37" s="1"/>
  <c r="B232" i="37"/>
  <c r="J66" i="37"/>
  <c r="G229" i="37"/>
  <c r="G205" i="37"/>
  <c r="F154" i="37"/>
  <c r="V202" i="37" s="1"/>
  <c r="S202" i="37"/>
  <c r="O20" i="37"/>
  <c r="B20" i="67" s="1"/>
  <c r="B98" i="67" s="1"/>
  <c r="BH21" i="413" s="1"/>
  <c r="J204" i="37"/>
  <c r="F152" i="37"/>
  <c r="V200" i="37" s="1"/>
  <c r="S200" i="37"/>
  <c r="C49" i="49"/>
  <c r="C179" i="49" s="1"/>
  <c r="B179" i="49"/>
  <c r="AB21" i="49"/>
  <c r="R20" i="67" s="1"/>
  <c r="R98" i="67" s="1"/>
  <c r="J150" i="49"/>
  <c r="AC18" i="49"/>
  <c r="R43" i="67" s="1"/>
  <c r="R121" i="67" s="1"/>
  <c r="J173" i="49"/>
  <c r="J22" i="49"/>
  <c r="H151" i="49"/>
  <c r="G24" i="49"/>
  <c r="G153" i="49" s="1"/>
  <c r="E153" i="49"/>
  <c r="Q140" i="65"/>
  <c r="P21" i="58"/>
  <c r="L21" i="67" s="1"/>
  <c r="L99" i="67" s="1"/>
  <c r="B94" i="98"/>
  <c r="D94" i="98" s="1"/>
  <c r="S130" i="98" s="1"/>
  <c r="AC24" i="37"/>
  <c r="P47" i="67"/>
  <c r="P125" i="67" s="1"/>
  <c r="F95" i="57"/>
  <c r="F95" i="50"/>
  <c r="F99" i="66"/>
  <c r="U137" i="66" s="1"/>
  <c r="F102" i="64"/>
  <c r="P23" i="57"/>
  <c r="E49" i="67" s="1"/>
  <c r="E127" i="67" s="1"/>
  <c r="B97" i="57"/>
  <c r="F98" i="52"/>
  <c r="F98" i="51"/>
  <c r="F131" i="33"/>
  <c r="F98" i="61"/>
  <c r="U136" i="61" s="1"/>
  <c r="H47" i="58"/>
  <c r="K47" i="58" s="1"/>
  <c r="Q22" i="58" s="1"/>
  <c r="L48" i="67" s="1"/>
  <c r="L126" i="67" s="1"/>
  <c r="B99" i="55"/>
  <c r="O23" i="55"/>
  <c r="D23" i="67" s="1"/>
  <c r="D101" i="67" s="1"/>
  <c r="BH24" i="130" s="1"/>
  <c r="AT25" i="130" s="1"/>
  <c r="AS25" i="130" s="1"/>
  <c r="O22" i="53"/>
  <c r="H22" i="67" s="1"/>
  <c r="H100" i="67" s="1"/>
  <c r="B96" i="58"/>
  <c r="Q134" i="58" s="1"/>
  <c r="P20" i="58"/>
  <c r="L20" i="67" s="1"/>
  <c r="L98" i="67" s="1"/>
  <c r="N22" i="59"/>
  <c r="M22" i="67" s="1"/>
  <c r="M100" i="67" s="1"/>
  <c r="C96" i="53"/>
  <c r="R132" i="53" s="1"/>
  <c r="D96" i="53"/>
  <c r="S132" i="53" s="1"/>
  <c r="E48" i="50"/>
  <c r="G48" i="50" s="1"/>
  <c r="I48" i="50" s="1"/>
  <c r="H23" i="63"/>
  <c r="E23" i="63"/>
  <c r="F23" i="63" s="1"/>
  <c r="H48" i="65"/>
  <c r="E48" i="65"/>
  <c r="G48" i="65"/>
  <c r="F99" i="61"/>
  <c r="U137" i="61" s="1"/>
  <c r="D99" i="62"/>
  <c r="S135" i="62" s="1"/>
  <c r="C99" i="62"/>
  <c r="R135" i="62" s="1"/>
  <c r="O22" i="48"/>
  <c r="C22" i="67" s="1"/>
  <c r="C97" i="58"/>
  <c r="R135" i="58" s="1"/>
  <c r="D97" i="58"/>
  <c r="S135" i="58" s="1"/>
  <c r="F23" i="53"/>
  <c r="G23" i="53" s="1"/>
  <c r="J23" i="53" s="1"/>
  <c r="B99" i="53" s="1"/>
  <c r="Q135" i="53" s="1"/>
  <c r="F94" i="54"/>
  <c r="U131" i="54" s="1"/>
  <c r="F48" i="58"/>
  <c r="G48" i="58" s="1"/>
  <c r="H48" i="58" s="1"/>
  <c r="K48" i="58" s="1"/>
  <c r="Q23" i="58" s="1"/>
  <c r="L49" i="67" s="1"/>
  <c r="L127" i="67" s="1"/>
  <c r="F94" i="48"/>
  <c r="V130" i="48" s="1"/>
  <c r="O23" i="66"/>
  <c r="W23" i="67" s="1"/>
  <c r="W101" i="67" s="1"/>
  <c r="B101" i="66"/>
  <c r="Q139" i="66" s="1"/>
  <c r="F97" i="60"/>
  <c r="U135" i="60" s="1"/>
  <c r="O23" i="62"/>
  <c r="K23" i="67" s="1"/>
  <c r="K101" i="67" s="1"/>
  <c r="B101" i="62"/>
  <c r="Q137" i="62" s="1"/>
  <c r="D134" i="33"/>
  <c r="C134" i="33"/>
  <c r="D98" i="55"/>
  <c r="T135" i="55" s="1"/>
  <c r="C98" i="55"/>
  <c r="S135" i="55" s="1"/>
  <c r="F23" i="58"/>
  <c r="D23" i="58"/>
  <c r="F24" i="33"/>
  <c r="D24" i="33"/>
  <c r="P22" i="50"/>
  <c r="V22" i="67" s="1"/>
  <c r="V100" i="67" s="1"/>
  <c r="N23" i="35"/>
  <c r="T23" i="67" s="1"/>
  <c r="T101" i="67" s="1"/>
  <c r="B102" i="35"/>
  <c r="Q140" i="35" s="1"/>
  <c r="E23" i="64"/>
  <c r="F23" i="64" s="1"/>
  <c r="H23" i="64" s="1"/>
  <c r="M23" i="64" s="1"/>
  <c r="B101" i="61"/>
  <c r="Q139" i="61" s="1"/>
  <c r="N23" i="61"/>
  <c r="U23" i="67" s="1"/>
  <c r="U101" i="67" s="1"/>
  <c r="C98" i="60"/>
  <c r="R136" i="60" s="1"/>
  <c r="D98" i="60"/>
  <c r="S136" i="60" s="1"/>
  <c r="F101" i="33"/>
  <c r="U136" i="33" s="1"/>
  <c r="O21" i="60"/>
  <c r="S21" i="67" s="1"/>
  <c r="S99" i="67" s="1"/>
  <c r="X99" i="67" s="1"/>
  <c r="B99" i="60"/>
  <c r="Q137" i="60" s="1"/>
  <c r="D49" i="33"/>
  <c r="F49" i="33"/>
  <c r="F97" i="59"/>
  <c r="E48" i="64"/>
  <c r="F48" i="64" s="1"/>
  <c r="H48" i="64" s="1"/>
  <c r="N23" i="64" s="1"/>
  <c r="Q49" i="67" s="1"/>
  <c r="Q127" i="67" s="1"/>
  <c r="D96" i="50"/>
  <c r="R134" i="50" s="1"/>
  <c r="C96" i="50"/>
  <c r="Q134" i="50" s="1"/>
  <c r="D102" i="33"/>
  <c r="S137" i="33" s="1"/>
  <c r="C102" i="33"/>
  <c r="R137" i="33" s="1"/>
  <c r="C95" i="58"/>
  <c r="R133" i="58" s="1"/>
  <c r="D95" i="58"/>
  <c r="S133" i="58" s="1"/>
  <c r="F48" i="60"/>
  <c r="G48" i="60" s="1"/>
  <c r="J48" i="60" s="1"/>
  <c r="P23" i="60" s="1"/>
  <c r="S49" i="67" s="1"/>
  <c r="S127" i="67" s="1"/>
  <c r="X127" i="67" s="1"/>
  <c r="C99" i="52"/>
  <c r="R135" i="52" s="1"/>
  <c r="D99" i="52"/>
  <c r="S135" i="52" s="1"/>
  <c r="E23" i="59"/>
  <c r="F23" i="59" s="1"/>
  <c r="I23" i="59" s="1"/>
  <c r="F94" i="53"/>
  <c r="F100" i="35"/>
  <c r="U138" i="35" s="1"/>
  <c r="G48" i="52"/>
  <c r="H48" i="52" s="1"/>
  <c r="J48" i="52" s="1"/>
  <c r="R23" i="52" s="1"/>
  <c r="J49" i="67" s="1"/>
  <c r="J127" i="67" s="1"/>
  <c r="F48" i="54"/>
  <c r="G48" i="54" s="1"/>
  <c r="I48" i="54" s="1"/>
  <c r="P23" i="54" s="1"/>
  <c r="G49" i="67" s="1"/>
  <c r="G127" i="67" s="1"/>
  <c r="P23" i="51"/>
  <c r="I23" i="67" s="1"/>
  <c r="I101" i="67" s="1"/>
  <c r="B100" i="51"/>
  <c r="Q136" i="51" s="1"/>
  <c r="D102" i="65"/>
  <c r="S140" i="65" s="1"/>
  <c r="C102" i="65"/>
  <c r="R140" i="65" s="1"/>
  <c r="D95" i="54"/>
  <c r="S132" i="54" s="1"/>
  <c r="C95" i="54"/>
  <c r="R132" i="54" s="1"/>
  <c r="G23" i="52"/>
  <c r="H23" i="52" s="1"/>
  <c r="J23" i="52" s="1"/>
  <c r="F23" i="54"/>
  <c r="G23" i="54" s="1"/>
  <c r="I23" i="54" s="1"/>
  <c r="F48" i="98"/>
  <c r="D48" i="98"/>
  <c r="AG23" i="60"/>
  <c r="AJ23" i="60" s="1"/>
  <c r="H23" i="60" s="1"/>
  <c r="F23" i="60"/>
  <c r="G23" i="60" s="1"/>
  <c r="E23" i="50"/>
  <c r="G23" i="50" s="1"/>
  <c r="I23" i="50" s="1"/>
  <c r="P23" i="50" s="1"/>
  <c r="V23" i="67" s="1"/>
  <c r="V101" i="67" s="1"/>
  <c r="F130" i="33"/>
  <c r="H48" i="63"/>
  <c r="E48" i="63"/>
  <c r="F48" i="63" s="1"/>
  <c r="H23" i="65"/>
  <c r="E23" i="65"/>
  <c r="G23" i="65"/>
  <c r="F93" i="58"/>
  <c r="O23" i="48"/>
  <c r="C23" i="67" s="1"/>
  <c r="B96" i="48"/>
  <c r="R132" i="48" s="1"/>
  <c r="D23" i="98"/>
  <c r="F23" i="98"/>
  <c r="BH35" i="20"/>
  <c r="BI35" i="20" s="1"/>
  <c r="D69" i="37"/>
  <c r="D232" i="37" s="1"/>
  <c r="F23" i="37"/>
  <c r="F207" i="37" s="1"/>
  <c r="D23" i="37"/>
  <c r="D207" i="37" s="1"/>
  <c r="BK27" i="20"/>
  <c r="BO27" i="20" s="1"/>
  <c r="BP28" i="20" s="1"/>
  <c r="BK15" i="20"/>
  <c r="BO15" i="20" s="1"/>
  <c r="BP16" i="20" s="1"/>
  <c r="BK14" i="20"/>
  <c r="BO14" i="20" s="1"/>
  <c r="BP15" i="20" s="1"/>
  <c r="BK19" i="20"/>
  <c r="BO19" i="20" s="1"/>
  <c r="BP20" i="20" s="1"/>
  <c r="BK16" i="20"/>
  <c r="BO16" i="20" s="1"/>
  <c r="BP17" i="20" s="1"/>
  <c r="BK26" i="20"/>
  <c r="BO26" i="20" s="1"/>
  <c r="BP27" i="20" s="1"/>
  <c r="BK24" i="20"/>
  <c r="BO24" i="20" s="1"/>
  <c r="BP25" i="20" s="1"/>
  <c r="BK23" i="20"/>
  <c r="BO23" i="20" s="1"/>
  <c r="BP24" i="20" s="1"/>
  <c r="BK13" i="20"/>
  <c r="BO13" i="20" s="1"/>
  <c r="BP14" i="20" s="1"/>
  <c r="BK12" i="20"/>
  <c r="BO12" i="20" s="1"/>
  <c r="BP13" i="20" s="1"/>
  <c r="BK10" i="20"/>
  <c r="BO10" i="20" s="1"/>
  <c r="BK20" i="20"/>
  <c r="BK25" i="20"/>
  <c r="BO25" i="20" s="1"/>
  <c r="BP26" i="20" s="1"/>
  <c r="BK17" i="20"/>
  <c r="BO17" i="20" s="1"/>
  <c r="BP18" i="20" s="1"/>
  <c r="BK21" i="20"/>
  <c r="BK28" i="20"/>
  <c r="BO28" i="20" s="1"/>
  <c r="BP29" i="20" s="1"/>
  <c r="BK22" i="20"/>
  <c r="BO22" i="20" s="1"/>
  <c r="BP23" i="20" s="1"/>
  <c r="BK18" i="20"/>
  <c r="BO18" i="20" s="1"/>
  <c r="BP19" i="20" s="1"/>
  <c r="AA24" i="37" l="1"/>
  <c r="B24" i="37"/>
  <c r="B208" i="37" s="1"/>
  <c r="C101" i="65"/>
  <c r="R139" i="65" s="1"/>
  <c r="D101" i="65"/>
  <c r="S139" i="65" s="1"/>
  <c r="F101" i="65"/>
  <c r="B98" i="59"/>
  <c r="Q136" i="59" s="1"/>
  <c r="B100" i="62"/>
  <c r="Q136" i="62" s="1"/>
  <c r="D96" i="57"/>
  <c r="S134" i="57" s="1"/>
  <c r="C96" i="57"/>
  <c r="R134" i="57" s="1"/>
  <c r="S96" i="57"/>
  <c r="G230" i="37"/>
  <c r="B100" i="61"/>
  <c r="Q138" i="61" s="1"/>
  <c r="D99" i="65"/>
  <c r="S137" i="65" s="1"/>
  <c r="Q137" i="65"/>
  <c r="C99" i="65"/>
  <c r="U138" i="65"/>
  <c r="B100" i="52"/>
  <c r="Q136" i="52" s="1"/>
  <c r="F93" i="98"/>
  <c r="U129" i="98" s="1"/>
  <c r="Y15" i="126"/>
  <c r="B156" i="37"/>
  <c r="D156" i="37" s="1"/>
  <c r="T204" i="37" s="1"/>
  <c r="AB19" i="49"/>
  <c r="R18" i="67" s="1"/>
  <c r="R96" i="67" s="1"/>
  <c r="J148" i="49"/>
  <c r="Y24" i="35"/>
  <c r="W24" i="35"/>
  <c r="U134" i="66"/>
  <c r="U130" i="57"/>
  <c r="D47" i="98"/>
  <c r="F47" i="98"/>
  <c r="C91" i="98"/>
  <c r="Q127" i="98"/>
  <c r="D91" i="98"/>
  <c r="S127" i="98" s="1"/>
  <c r="Y24" i="59"/>
  <c r="W24" i="59"/>
  <c r="Y24" i="49"/>
  <c r="B154" i="49" s="1"/>
  <c r="W24" i="49"/>
  <c r="Y24" i="98"/>
  <c r="W24" i="98"/>
  <c r="C206" i="37"/>
  <c r="F22" i="37"/>
  <c r="F206" i="37" s="1"/>
  <c r="D22" i="37"/>
  <c r="D206" i="37" s="1"/>
  <c r="D22" i="98"/>
  <c r="F22" i="98"/>
  <c r="Y24" i="62"/>
  <c r="W24" i="62"/>
  <c r="Y24" i="54"/>
  <c r="W24" i="54"/>
  <c r="F23" i="33"/>
  <c r="D23" i="33"/>
  <c r="J44" i="49"/>
  <c r="B91" i="49" s="1"/>
  <c r="H174" i="49"/>
  <c r="B95" i="48"/>
  <c r="R131" i="48" s="1"/>
  <c r="H47" i="65"/>
  <c r="E47" i="65"/>
  <c r="G47" i="65"/>
  <c r="V127" i="48"/>
  <c r="Y24" i="53"/>
  <c r="W24" i="53"/>
  <c r="Y24" i="61"/>
  <c r="W24" i="61"/>
  <c r="R134" i="33"/>
  <c r="F99" i="33"/>
  <c r="F22" i="58"/>
  <c r="D22" i="58"/>
  <c r="G22" i="65"/>
  <c r="E22" i="65"/>
  <c r="H22" i="65"/>
  <c r="B99" i="51"/>
  <c r="P22" i="51"/>
  <c r="I22" i="67" s="1"/>
  <c r="I100" i="67" s="1"/>
  <c r="AH49" i="50"/>
  <c r="AJ49" i="50" s="1"/>
  <c r="F49" i="50" s="1"/>
  <c r="E47" i="50"/>
  <c r="G47" i="50" s="1"/>
  <c r="I47" i="50" s="1"/>
  <c r="Q132" i="58"/>
  <c r="D94" i="58"/>
  <c r="S132" i="58" s="1"/>
  <c r="C94" i="58"/>
  <c r="Y24" i="52"/>
  <c r="W24" i="52"/>
  <c r="Y24" i="66"/>
  <c r="C24" i="66"/>
  <c r="E24" i="66" s="1"/>
  <c r="F24" i="66" s="1"/>
  <c r="J24" i="66" s="1"/>
  <c r="W24" i="66"/>
  <c r="S134" i="55"/>
  <c r="F97" i="55"/>
  <c r="J202" i="37"/>
  <c r="B153" i="37"/>
  <c r="O18" i="37"/>
  <c r="B18" i="67" s="1"/>
  <c r="B96" i="67" s="1"/>
  <c r="B96" i="54"/>
  <c r="Q133" i="54" s="1"/>
  <c r="H47" i="63"/>
  <c r="E47" i="63"/>
  <c r="F47" i="63" s="1"/>
  <c r="U131" i="51"/>
  <c r="Q134" i="60"/>
  <c r="C96" i="60"/>
  <c r="D96" i="60"/>
  <c r="S134" i="60" s="1"/>
  <c r="W24" i="65"/>
  <c r="Y24" i="65"/>
  <c r="Y24" i="57"/>
  <c r="W24" i="57"/>
  <c r="F22" i="60"/>
  <c r="G22" i="60" s="1"/>
  <c r="AG22" i="60"/>
  <c r="AJ22" i="60" s="1"/>
  <c r="H22" i="60" s="1"/>
  <c r="B100" i="66"/>
  <c r="O22" i="66"/>
  <c r="W22" i="67" s="1"/>
  <c r="W100" i="67" s="1"/>
  <c r="F98" i="63"/>
  <c r="B98" i="53"/>
  <c r="Q134" i="53" s="1"/>
  <c r="N22" i="35"/>
  <c r="T22" i="67" s="1"/>
  <c r="T100" i="67" s="1"/>
  <c r="B101" i="35"/>
  <c r="H22" i="63"/>
  <c r="E22" i="63"/>
  <c r="F22" i="63" s="1"/>
  <c r="P18" i="37"/>
  <c r="B44" i="67" s="1"/>
  <c r="B122" i="67" s="1"/>
  <c r="J227" i="37"/>
  <c r="C48" i="49"/>
  <c r="B178" i="49"/>
  <c r="C24" i="55"/>
  <c r="V24" i="55"/>
  <c r="X24" i="55"/>
  <c r="W24" i="51"/>
  <c r="Y24" i="51"/>
  <c r="Y24" i="33"/>
  <c r="W24" i="33"/>
  <c r="Q22" i="67"/>
  <c r="Q100" i="67" s="1"/>
  <c r="B103" i="64"/>
  <c r="U132" i="59"/>
  <c r="C152" i="49"/>
  <c r="E23" i="49"/>
  <c r="G23" i="49"/>
  <c r="G152" i="49" s="1"/>
  <c r="X24" i="48"/>
  <c r="Z24" i="48"/>
  <c r="Y24" i="63"/>
  <c r="W24" i="63"/>
  <c r="Y24" i="64"/>
  <c r="W24" i="64"/>
  <c r="U135" i="35"/>
  <c r="Q134" i="63"/>
  <c r="D96" i="63"/>
  <c r="S134" i="63" s="1"/>
  <c r="C96" i="63"/>
  <c r="U134" i="61"/>
  <c r="F69" i="37"/>
  <c r="F232" i="37" s="1"/>
  <c r="G23" i="33"/>
  <c r="P23" i="33" s="1"/>
  <c r="B135" i="33" s="1"/>
  <c r="C68" i="37"/>
  <c r="B231" i="37"/>
  <c r="Q131" i="50"/>
  <c r="F93" i="50"/>
  <c r="U137" i="64"/>
  <c r="Y24" i="50"/>
  <c r="W24" i="50"/>
  <c r="Y24" i="58"/>
  <c r="W24" i="58"/>
  <c r="Y24" i="60"/>
  <c r="W24" i="60"/>
  <c r="D48" i="33"/>
  <c r="F48" i="33"/>
  <c r="F90" i="49"/>
  <c r="AB143" i="49" s="1"/>
  <c r="AJ143" i="49" s="1"/>
  <c r="D93" i="49"/>
  <c r="Z146" i="49" s="1"/>
  <c r="H177" i="49"/>
  <c r="Z143" i="49"/>
  <c r="B94" i="49"/>
  <c r="D94" i="49" s="1"/>
  <c r="Z147" i="49" s="1"/>
  <c r="C93" i="49"/>
  <c r="Y146" i="49" s="1"/>
  <c r="G49" i="49"/>
  <c r="G179" i="49" s="1"/>
  <c r="E49" i="49"/>
  <c r="E179" i="49" s="1"/>
  <c r="F92" i="49"/>
  <c r="AB145" i="49" s="1"/>
  <c r="AJ145" i="49" s="1"/>
  <c r="U140" i="64"/>
  <c r="U139" i="65"/>
  <c r="C99" i="63"/>
  <c r="R137" i="63" s="1"/>
  <c r="Q137" i="63"/>
  <c r="D99" i="63"/>
  <c r="S137" i="63" s="1"/>
  <c r="U135" i="59"/>
  <c r="U131" i="58"/>
  <c r="U134" i="52"/>
  <c r="U134" i="51"/>
  <c r="U130" i="53"/>
  <c r="U131" i="53"/>
  <c r="C94" i="98"/>
  <c r="R130" i="98" s="1"/>
  <c r="Q130" i="98"/>
  <c r="D97" i="57"/>
  <c r="S135" i="57" s="1"/>
  <c r="Q135" i="57"/>
  <c r="U133" i="57"/>
  <c r="T133" i="50"/>
  <c r="S99" i="55"/>
  <c r="R136" i="55"/>
  <c r="O21" i="37"/>
  <c r="B21" i="67" s="1"/>
  <c r="B99" i="67" s="1"/>
  <c r="BH22" i="413" s="1"/>
  <c r="J205" i="37"/>
  <c r="P20" i="37"/>
  <c r="B46" i="67" s="1"/>
  <c r="B124" i="67" s="1"/>
  <c r="J229" i="37"/>
  <c r="B155" i="37"/>
  <c r="P21" i="37"/>
  <c r="B47" i="67" s="1"/>
  <c r="B125" i="67" s="1"/>
  <c r="J230" i="37"/>
  <c r="AB22" i="49"/>
  <c r="R21" i="67" s="1"/>
  <c r="R99" i="67" s="1"/>
  <c r="J151" i="49"/>
  <c r="AC22" i="49"/>
  <c r="R47" i="67" s="1"/>
  <c r="R125" i="67" s="1"/>
  <c r="J177" i="49"/>
  <c r="G24" i="33"/>
  <c r="P24" i="33" s="1"/>
  <c r="B136" i="33" s="1"/>
  <c r="F95" i="58"/>
  <c r="G23" i="98"/>
  <c r="K23" i="98" s="1"/>
  <c r="P23" i="98" s="1"/>
  <c r="F23" i="67" s="1"/>
  <c r="F101" i="67" s="1"/>
  <c r="G49" i="33"/>
  <c r="Q24" i="33" s="1"/>
  <c r="P49" i="67" s="1"/>
  <c r="P127" i="67" s="1"/>
  <c r="H24" i="49"/>
  <c r="G23" i="58"/>
  <c r="H23" i="58" s="1"/>
  <c r="K23" i="58" s="1"/>
  <c r="J23" i="63"/>
  <c r="J48" i="65"/>
  <c r="L48" i="65" s="1"/>
  <c r="Q23" i="65" s="1"/>
  <c r="O49" i="67" s="1"/>
  <c r="O127" i="67" s="1"/>
  <c r="C97" i="57"/>
  <c r="S97" i="57"/>
  <c r="F97" i="58"/>
  <c r="J23" i="65"/>
  <c r="L23" i="65" s="1"/>
  <c r="F102" i="33"/>
  <c r="U137" i="33" s="1"/>
  <c r="J48" i="63"/>
  <c r="P23" i="63" s="1"/>
  <c r="N49" i="67" s="1"/>
  <c r="N127" i="67" s="1"/>
  <c r="F134" i="33"/>
  <c r="F99" i="52"/>
  <c r="F96" i="50"/>
  <c r="G48" i="98"/>
  <c r="K48" i="98" s="1"/>
  <c r="Q23" i="98" s="1"/>
  <c r="F49" i="67" s="1"/>
  <c r="F127" i="67" s="1"/>
  <c r="F96" i="57"/>
  <c r="F95" i="54"/>
  <c r="U132" i="54" s="1"/>
  <c r="F99" i="62"/>
  <c r="Q23" i="52"/>
  <c r="J23" i="67" s="1"/>
  <c r="J101" i="67" s="1"/>
  <c r="B101" i="52"/>
  <c r="Q137" i="52" s="1"/>
  <c r="B104" i="64"/>
  <c r="Q142" i="64" s="1"/>
  <c r="Q23" i="67"/>
  <c r="Q101" i="67" s="1"/>
  <c r="B98" i="50"/>
  <c r="Q23" i="50"/>
  <c r="V49" i="67" s="1"/>
  <c r="V127" i="67" s="1"/>
  <c r="B97" i="54"/>
  <c r="Q134" i="54" s="1"/>
  <c r="O23" i="54"/>
  <c r="G23" i="67" s="1"/>
  <c r="G101" i="67" s="1"/>
  <c r="C100" i="61"/>
  <c r="R138" i="61" s="1"/>
  <c r="D100" i="61"/>
  <c r="S138" i="61" s="1"/>
  <c r="B49" i="62"/>
  <c r="C49" i="62" s="1"/>
  <c r="F49" i="62" s="1"/>
  <c r="G49" i="62" s="1"/>
  <c r="J49" i="62" s="1"/>
  <c r="P24" i="62" s="1"/>
  <c r="K50" i="67" s="1"/>
  <c r="K128" i="67" s="1"/>
  <c r="C24" i="62"/>
  <c r="F24" i="62" s="1"/>
  <c r="G24" i="62" s="1"/>
  <c r="J24" i="62" s="1"/>
  <c r="B49" i="50"/>
  <c r="C49" i="50" s="1"/>
  <c r="C24" i="50"/>
  <c r="C24" i="60"/>
  <c r="B49" i="60"/>
  <c r="C49" i="60" s="1"/>
  <c r="D101" i="61"/>
  <c r="S139" i="61" s="1"/>
  <c r="C101" i="61"/>
  <c r="R139" i="61" s="1"/>
  <c r="F98" i="55"/>
  <c r="B49" i="59"/>
  <c r="C49" i="59" s="1"/>
  <c r="E49" i="59" s="1"/>
  <c r="F49" i="59" s="1"/>
  <c r="I49" i="59" s="1"/>
  <c r="O24" i="59" s="1"/>
  <c r="M50" i="67" s="1"/>
  <c r="M128" i="67" s="1"/>
  <c r="C24" i="59"/>
  <c r="E24" i="59" s="1"/>
  <c r="F24" i="59" s="1"/>
  <c r="I24" i="59" s="1"/>
  <c r="C24" i="64"/>
  <c r="E24" i="64" s="1"/>
  <c r="F24" i="64" s="1"/>
  <c r="H24" i="64" s="1"/>
  <c r="M24" i="64" s="1"/>
  <c r="B49" i="64"/>
  <c r="C49" i="64" s="1"/>
  <c r="E49" i="64" s="1"/>
  <c r="F49" i="64" s="1"/>
  <c r="H49" i="64" s="1"/>
  <c r="N24" i="64" s="1"/>
  <c r="Q50" i="67" s="1"/>
  <c r="Q128" i="67" s="1"/>
  <c r="C96" i="48"/>
  <c r="S132" i="48" s="1"/>
  <c r="D96" i="48"/>
  <c r="T132" i="48" s="1"/>
  <c r="C24" i="63"/>
  <c r="B49" i="63"/>
  <c r="C49" i="63" s="1"/>
  <c r="B49" i="98"/>
  <c r="C49" i="98" s="1"/>
  <c r="C24" i="98"/>
  <c r="B49" i="61"/>
  <c r="C49" i="61" s="1"/>
  <c r="F49" i="61" s="1"/>
  <c r="G49" i="61" s="1"/>
  <c r="I49" i="61" s="1"/>
  <c r="O24" i="61" s="1"/>
  <c r="U50" i="67" s="1"/>
  <c r="U128" i="67" s="1"/>
  <c r="C24" i="61"/>
  <c r="F24" i="61" s="1"/>
  <c r="G24" i="61" s="1"/>
  <c r="I24" i="61" s="1"/>
  <c r="C102" i="35"/>
  <c r="R140" i="35" s="1"/>
  <c r="D102" i="35"/>
  <c r="S140" i="35" s="1"/>
  <c r="D96" i="58"/>
  <c r="S134" i="58" s="1"/>
  <c r="C96" i="58"/>
  <c r="R134" i="58" s="1"/>
  <c r="J23" i="60"/>
  <c r="B49" i="65"/>
  <c r="C49" i="65" s="1"/>
  <c r="C24" i="65"/>
  <c r="F94" i="98"/>
  <c r="U130" i="98" s="1"/>
  <c r="D100" i="51"/>
  <c r="S136" i="51" s="1"/>
  <c r="C100" i="51"/>
  <c r="R136" i="51" s="1"/>
  <c r="C24" i="53"/>
  <c r="B49" i="53"/>
  <c r="C49" i="53" s="1"/>
  <c r="C24" i="58"/>
  <c r="B49" i="58"/>
  <c r="C49" i="58" s="1"/>
  <c r="F98" i="60"/>
  <c r="U136" i="60" s="1"/>
  <c r="D95" i="48"/>
  <c r="T131" i="48" s="1"/>
  <c r="C95" i="48"/>
  <c r="S131" i="48" s="1"/>
  <c r="D97" i="53"/>
  <c r="S133" i="53" s="1"/>
  <c r="C97" i="53"/>
  <c r="R133" i="53" s="1"/>
  <c r="C100" i="52"/>
  <c r="R136" i="52" s="1"/>
  <c r="D100" i="52"/>
  <c r="S136" i="52" s="1"/>
  <c r="C96" i="54"/>
  <c r="R133" i="54" s="1"/>
  <c r="C100" i="62"/>
  <c r="R136" i="62" s="1"/>
  <c r="D100" i="62"/>
  <c r="S136" i="62" s="1"/>
  <c r="N23" i="59"/>
  <c r="M23" i="67" s="1"/>
  <c r="M101" i="67" s="1"/>
  <c r="B99" i="59"/>
  <c r="Q137" i="59" s="1"/>
  <c r="F24" i="55"/>
  <c r="G24" i="55" s="1"/>
  <c r="J24" i="55" s="1"/>
  <c r="B49" i="54"/>
  <c r="C49" i="54" s="1"/>
  <c r="C24" i="54"/>
  <c r="B49" i="35"/>
  <c r="C49" i="35" s="1"/>
  <c r="F49" i="35" s="1"/>
  <c r="G49" i="35" s="1"/>
  <c r="I49" i="35" s="1"/>
  <c r="O24" i="35" s="1"/>
  <c r="T50" i="67" s="1"/>
  <c r="T128" i="67" s="1"/>
  <c r="C24" i="35"/>
  <c r="F24" i="35" s="1"/>
  <c r="G24" i="35" s="1"/>
  <c r="I24" i="35" s="1"/>
  <c r="C99" i="60"/>
  <c r="R137" i="60" s="1"/>
  <c r="D99" i="60"/>
  <c r="S137" i="60" s="1"/>
  <c r="D135" i="33"/>
  <c r="C135" i="33"/>
  <c r="D101" i="62"/>
  <c r="S137" i="62" s="1"/>
  <c r="C101" i="62"/>
  <c r="R137" i="62" s="1"/>
  <c r="O23" i="53"/>
  <c r="H23" i="67" s="1"/>
  <c r="H101" i="67" s="1"/>
  <c r="C24" i="51"/>
  <c r="E24" i="51" s="1"/>
  <c r="H24" i="51" s="1"/>
  <c r="B49" i="51"/>
  <c r="C49" i="51" s="1"/>
  <c r="E49" i="51" s="1"/>
  <c r="H49" i="51" s="1"/>
  <c r="Q24" i="51" s="1"/>
  <c r="I50" i="67" s="1"/>
  <c r="I128" i="67" s="1"/>
  <c r="C24" i="52"/>
  <c r="B49" i="52"/>
  <c r="C49" i="52" s="1"/>
  <c r="D101" i="66"/>
  <c r="S139" i="66" s="1"/>
  <c r="C101" i="66"/>
  <c r="R139" i="66" s="1"/>
  <c r="C99" i="55"/>
  <c r="S136" i="55" s="1"/>
  <c r="D99" i="55"/>
  <c r="T136" i="55" s="1"/>
  <c r="F102" i="65"/>
  <c r="C24" i="48"/>
  <c r="F24" i="48" s="1"/>
  <c r="G24" i="48" s="1"/>
  <c r="J24" i="48" s="1"/>
  <c r="B49" i="48"/>
  <c r="C49" i="48" s="1"/>
  <c r="F49" i="48" s="1"/>
  <c r="G49" i="48" s="1"/>
  <c r="J49" i="48" s="1"/>
  <c r="P24" i="48" s="1"/>
  <c r="C50" i="67" s="1"/>
  <c r="B50" i="33"/>
  <c r="C50" i="33" s="1"/>
  <c r="C25" i="33"/>
  <c r="B50" i="49"/>
  <c r="C25" i="49"/>
  <c r="F96" i="53"/>
  <c r="D98" i="59"/>
  <c r="S136" i="59" s="1"/>
  <c r="C156" i="37"/>
  <c r="S204" i="37" s="1"/>
  <c r="BI34" i="20"/>
  <c r="G23" i="37"/>
  <c r="C24" i="37"/>
  <c r="C208" i="37" s="1"/>
  <c r="B70" i="37"/>
  <c r="AZ18" i="20"/>
  <c r="AZ6" i="20" s="1"/>
  <c r="AZ7" i="20" s="1"/>
  <c r="AZ8" i="20" s="1"/>
  <c r="AZ9" i="20" s="1"/>
  <c r="AZ10" i="20" s="1"/>
  <c r="AZ11" i="20" s="1"/>
  <c r="AZ12" i="20" s="1"/>
  <c r="AZ13" i="20" s="1"/>
  <c r="AZ14" i="20" s="1"/>
  <c r="AZ15" i="20" s="1"/>
  <c r="AZ16" i="20" s="1"/>
  <c r="AZ17" i="20" s="1"/>
  <c r="BO29" i="20"/>
  <c r="BP30" i="20" s="1"/>
  <c r="AZ22" i="20"/>
  <c r="AZ35" i="20" s="1"/>
  <c r="AZ23" i="20" s="1"/>
  <c r="AZ24" i="20" s="1"/>
  <c r="AZ25" i="20" s="1"/>
  <c r="AZ26" i="20" s="1"/>
  <c r="AZ27" i="20" s="1"/>
  <c r="AZ28" i="20" s="1"/>
  <c r="AZ29" i="20" s="1"/>
  <c r="AZ30" i="20" s="1"/>
  <c r="AZ31" i="20" s="1"/>
  <c r="AZ32" i="20" s="1"/>
  <c r="AZ33" i="20" s="1"/>
  <c r="AZ34" i="20" s="1"/>
  <c r="BO21" i="20"/>
  <c r="BP22" i="20" s="1"/>
  <c r="AZ21" i="20"/>
  <c r="BO20" i="20"/>
  <c r="BP21" i="20" s="1"/>
  <c r="AZ20" i="20"/>
  <c r="BK11" i="20"/>
  <c r="BO11" i="20" s="1"/>
  <c r="BP12" i="20" s="1"/>
  <c r="AZ19" i="20"/>
  <c r="R204" i="37" l="1"/>
  <c r="J22" i="63"/>
  <c r="O22" i="63" s="1"/>
  <c r="N22" i="67" s="1"/>
  <c r="N100" i="67" s="1"/>
  <c r="J47" i="63"/>
  <c r="P22" i="63" s="1"/>
  <c r="N48" i="67" s="1"/>
  <c r="N126" i="67" s="1"/>
  <c r="F99" i="63"/>
  <c r="B101" i="63"/>
  <c r="Q139" i="63" s="1"/>
  <c r="C98" i="59"/>
  <c r="R136" i="59" s="1"/>
  <c r="D96" i="54"/>
  <c r="S133" i="54" s="1"/>
  <c r="R137" i="65"/>
  <c r="F99" i="65"/>
  <c r="P23" i="65"/>
  <c r="O23" i="67" s="1"/>
  <c r="O101" i="67" s="1"/>
  <c r="B104" i="65"/>
  <c r="G22" i="58"/>
  <c r="H22" i="58" s="1"/>
  <c r="K22" i="58" s="1"/>
  <c r="B98" i="58" s="1"/>
  <c r="Q136" i="58" s="1"/>
  <c r="G22" i="98"/>
  <c r="K22" i="98" s="1"/>
  <c r="P22" i="98" s="1"/>
  <c r="F22" i="67" s="1"/>
  <c r="F100" i="67" s="1"/>
  <c r="G47" i="98"/>
  <c r="K47" i="98" s="1"/>
  <c r="Q22" i="98" s="1"/>
  <c r="F48" i="67" s="1"/>
  <c r="F126" i="67" s="1"/>
  <c r="G48" i="33"/>
  <c r="Q23" i="33" s="1"/>
  <c r="G22" i="37"/>
  <c r="O22" i="37" s="1"/>
  <c r="B22" i="67" s="1"/>
  <c r="B100" i="67" s="1"/>
  <c r="BH23" i="413" s="1"/>
  <c r="G69" i="37"/>
  <c r="C91" i="49"/>
  <c r="X144" i="49"/>
  <c r="D91" i="49"/>
  <c r="Z144" i="49" s="1"/>
  <c r="T131" i="50"/>
  <c r="Q141" i="64"/>
  <c r="D103" i="64"/>
  <c r="S141" i="64" s="1"/>
  <c r="C103" i="64"/>
  <c r="U134" i="33"/>
  <c r="Q138" i="66"/>
  <c r="D100" i="66"/>
  <c r="S138" i="66" s="1"/>
  <c r="C100" i="66"/>
  <c r="Q22" i="50"/>
  <c r="V48" i="67" s="1"/>
  <c r="V126" i="67" s="1"/>
  <c r="B97" i="50"/>
  <c r="R127" i="98"/>
  <c r="F91" i="98"/>
  <c r="P23" i="67"/>
  <c r="P101" i="67" s="1"/>
  <c r="P22" i="67"/>
  <c r="P100" i="67" s="1"/>
  <c r="J22" i="60"/>
  <c r="R134" i="60"/>
  <c r="F96" i="60"/>
  <c r="BH19" i="413"/>
  <c r="F96" i="63"/>
  <c r="R134" i="63"/>
  <c r="E152" i="49"/>
  <c r="H23" i="49"/>
  <c r="Q139" i="35"/>
  <c r="D101" i="35"/>
  <c r="S139" i="35" s="1"/>
  <c r="C101" i="35"/>
  <c r="C153" i="37"/>
  <c r="D153" i="37"/>
  <c r="T201" i="37" s="1"/>
  <c r="R201" i="37"/>
  <c r="Q135" i="51"/>
  <c r="C99" i="51"/>
  <c r="D99" i="51"/>
  <c r="S135" i="51" s="1"/>
  <c r="B49" i="66"/>
  <c r="C49" i="66" s="1"/>
  <c r="E49" i="66" s="1"/>
  <c r="F49" i="66" s="1"/>
  <c r="J49" i="66" s="1"/>
  <c r="P24" i="66" s="1"/>
  <c r="W50" i="67" s="1"/>
  <c r="W128" i="67" s="1"/>
  <c r="U136" i="63"/>
  <c r="C231" i="37"/>
  <c r="D68" i="37"/>
  <c r="D231" i="37" s="1"/>
  <c r="F68" i="37"/>
  <c r="F231" i="37" s="1"/>
  <c r="B50" i="55"/>
  <c r="C50" i="55" s="1"/>
  <c r="F50" i="55" s="1"/>
  <c r="G50" i="55" s="1"/>
  <c r="J50" i="55" s="1"/>
  <c r="P24" i="55" s="1"/>
  <c r="D50" i="67" s="1"/>
  <c r="D128" i="67" s="1"/>
  <c r="B49" i="57"/>
  <c r="C49" i="57" s="1"/>
  <c r="F49" i="57" s="1"/>
  <c r="G49" i="57" s="1"/>
  <c r="J49" i="57" s="1"/>
  <c r="P24" i="57" s="1"/>
  <c r="E50" i="67" s="1"/>
  <c r="E128" i="67" s="1"/>
  <c r="C24" i="57"/>
  <c r="F24" i="57" s="1"/>
  <c r="G24" i="57" s="1"/>
  <c r="J24" i="57" s="1"/>
  <c r="O24" i="57" s="1"/>
  <c r="E24" i="67" s="1"/>
  <c r="E102" i="67" s="1"/>
  <c r="BG25" i="140" s="1"/>
  <c r="J47" i="65"/>
  <c r="L47" i="65" s="1"/>
  <c r="Q22" i="65" s="1"/>
  <c r="O48" i="67" s="1"/>
  <c r="O126" i="67" s="1"/>
  <c r="V134" i="55"/>
  <c r="R132" i="58"/>
  <c r="F94" i="58"/>
  <c r="J22" i="65"/>
  <c r="AC19" i="49"/>
  <c r="R44" i="67" s="1"/>
  <c r="R122" i="67" s="1"/>
  <c r="J174" i="49"/>
  <c r="C178" i="49"/>
  <c r="E48" i="49"/>
  <c r="E178" i="49" s="1"/>
  <c r="G48" i="49"/>
  <c r="G178" i="49" s="1"/>
  <c r="C154" i="49"/>
  <c r="E25" i="49"/>
  <c r="E154" i="49" s="1"/>
  <c r="C94" i="49"/>
  <c r="Y147" i="49" s="1"/>
  <c r="X147" i="49"/>
  <c r="F93" i="49"/>
  <c r="H49" i="49"/>
  <c r="J49" i="49" s="1"/>
  <c r="J179" i="49" s="1"/>
  <c r="B104" i="33"/>
  <c r="Q139" i="33" s="1"/>
  <c r="U140" i="65"/>
  <c r="O23" i="63"/>
  <c r="N23" i="67" s="1"/>
  <c r="N101" i="67" s="1"/>
  <c r="U137" i="63"/>
  <c r="U133" i="58"/>
  <c r="U135" i="58"/>
  <c r="U135" i="62"/>
  <c r="U135" i="52"/>
  <c r="U132" i="53"/>
  <c r="F97" i="57"/>
  <c r="R135" i="57"/>
  <c r="U134" i="57"/>
  <c r="S98" i="50"/>
  <c r="P136" i="50"/>
  <c r="T134" i="50"/>
  <c r="V135" i="55"/>
  <c r="J207" i="37"/>
  <c r="G207" i="37"/>
  <c r="J69" i="37"/>
  <c r="G232" i="37"/>
  <c r="D155" i="37"/>
  <c r="T203" i="37" s="1"/>
  <c r="R203" i="37"/>
  <c r="C155" i="37"/>
  <c r="C70" i="37"/>
  <c r="C233" i="37" s="1"/>
  <c r="B233" i="37"/>
  <c r="J24" i="49"/>
  <c r="H153" i="49"/>
  <c r="C50" i="49"/>
  <c r="C180" i="49" s="1"/>
  <c r="B180" i="49"/>
  <c r="G25" i="49"/>
  <c r="G154" i="49" s="1"/>
  <c r="B96" i="98"/>
  <c r="F100" i="62"/>
  <c r="Q142" i="65"/>
  <c r="F102" i="35"/>
  <c r="U140" i="35" s="1"/>
  <c r="F99" i="55"/>
  <c r="F101" i="66"/>
  <c r="U139" i="66" s="1"/>
  <c r="F135" i="33"/>
  <c r="F95" i="48"/>
  <c r="V131" i="48" s="1"/>
  <c r="F96" i="54"/>
  <c r="U133" i="54" s="1"/>
  <c r="F97" i="53"/>
  <c r="F101" i="62"/>
  <c r="P23" i="58"/>
  <c r="L23" i="67" s="1"/>
  <c r="L101" i="67" s="1"/>
  <c r="B99" i="58"/>
  <c r="Q137" i="58" s="1"/>
  <c r="B98" i="57"/>
  <c r="Q136" i="57" s="1"/>
  <c r="F49" i="54"/>
  <c r="G49" i="54" s="1"/>
  <c r="I49" i="54" s="1"/>
  <c r="P24" i="54" s="1"/>
  <c r="G50" i="67" s="1"/>
  <c r="G128" i="67" s="1"/>
  <c r="F24" i="58"/>
  <c r="D24" i="58"/>
  <c r="H49" i="63"/>
  <c r="E49" i="63"/>
  <c r="F49" i="63" s="1"/>
  <c r="F101" i="61"/>
  <c r="U139" i="61" s="1"/>
  <c r="D98" i="50"/>
  <c r="R136" i="50" s="1"/>
  <c r="C98" i="50"/>
  <c r="Q136" i="50" s="1"/>
  <c r="O24" i="55"/>
  <c r="D24" i="67" s="1"/>
  <c r="D102" i="67" s="1"/>
  <c r="BH25" i="130" s="1"/>
  <c r="D25" i="33"/>
  <c r="F25" i="33"/>
  <c r="O24" i="66"/>
  <c r="W24" i="67" s="1"/>
  <c r="W102" i="67" s="1"/>
  <c r="B102" i="66"/>
  <c r="Q140" i="66" s="1"/>
  <c r="F100" i="52"/>
  <c r="G49" i="65"/>
  <c r="H49" i="65"/>
  <c r="E49" i="65"/>
  <c r="Q24" i="67"/>
  <c r="Q102" i="67" s="1"/>
  <c r="B105" i="64"/>
  <c r="Q143" i="64" s="1"/>
  <c r="AG24" i="60"/>
  <c r="AJ24" i="60" s="1"/>
  <c r="H24" i="60" s="1"/>
  <c r="F24" i="60"/>
  <c r="G24" i="60" s="1"/>
  <c r="C97" i="54"/>
  <c r="R134" i="54" s="1"/>
  <c r="D97" i="54"/>
  <c r="S134" i="54" s="1"/>
  <c r="F99" i="60"/>
  <c r="U137" i="60" s="1"/>
  <c r="F49" i="60"/>
  <c r="G49" i="60" s="1"/>
  <c r="J49" i="60" s="1"/>
  <c r="P24" i="60" s="1"/>
  <c r="S50" i="67" s="1"/>
  <c r="S128" i="67" s="1"/>
  <c r="X128" i="67" s="1"/>
  <c r="F50" i="33"/>
  <c r="D50" i="33"/>
  <c r="G49" i="52"/>
  <c r="H49" i="52" s="1"/>
  <c r="J49" i="52" s="1"/>
  <c r="R24" i="52" s="1"/>
  <c r="J50" i="67" s="1"/>
  <c r="J128" i="67" s="1"/>
  <c r="C104" i="33"/>
  <c r="R139" i="33" s="1"/>
  <c r="F49" i="53"/>
  <c r="G49" i="53" s="1"/>
  <c r="J49" i="53" s="1"/>
  <c r="E24" i="50"/>
  <c r="G24" i="50" s="1"/>
  <c r="I24" i="50" s="1"/>
  <c r="D104" i="64"/>
  <c r="S142" i="64" s="1"/>
  <c r="C104" i="64"/>
  <c r="R142" i="64" s="1"/>
  <c r="B102" i="61"/>
  <c r="Q140" i="61" s="1"/>
  <c r="N24" i="61"/>
  <c r="U24" i="67" s="1"/>
  <c r="U102" i="67" s="1"/>
  <c r="E49" i="50"/>
  <c r="G49" i="50" s="1"/>
  <c r="I49" i="50" s="1"/>
  <c r="Q24" i="50" s="1"/>
  <c r="V50" i="67" s="1"/>
  <c r="V128" i="67" s="1"/>
  <c r="D101" i="52"/>
  <c r="S137" i="52" s="1"/>
  <c r="C101" i="52"/>
  <c r="R137" i="52" s="1"/>
  <c r="E24" i="65"/>
  <c r="G24" i="65"/>
  <c r="H24" i="65"/>
  <c r="D104" i="65"/>
  <c r="S142" i="65" s="1"/>
  <c r="F24" i="53"/>
  <c r="G24" i="53" s="1"/>
  <c r="J24" i="53" s="1"/>
  <c r="F98" i="59"/>
  <c r="O24" i="48"/>
  <c r="C24" i="67" s="1"/>
  <c r="B97" i="48"/>
  <c r="R133" i="48" s="1"/>
  <c r="N24" i="35"/>
  <c r="T24" i="67" s="1"/>
  <c r="T102" i="67" s="1"/>
  <c r="B103" i="35"/>
  <c r="Q141" i="35" s="1"/>
  <c r="F100" i="51"/>
  <c r="O23" i="60"/>
  <c r="S23" i="67" s="1"/>
  <c r="S101" i="67" s="1"/>
  <c r="X101" i="67" s="1"/>
  <c r="B101" i="60"/>
  <c r="Q139" i="60" s="1"/>
  <c r="F96" i="48"/>
  <c r="V132" i="48" s="1"/>
  <c r="D101" i="63"/>
  <c r="S139" i="63" s="1"/>
  <c r="D136" i="33"/>
  <c r="C136" i="33"/>
  <c r="B100" i="59"/>
  <c r="Q138" i="59" s="1"/>
  <c r="N24" i="59"/>
  <c r="M24" i="67" s="1"/>
  <c r="M102" i="67" s="1"/>
  <c r="B102" i="62"/>
  <c r="Q138" i="62" s="1"/>
  <c r="O24" i="62"/>
  <c r="K24" i="67" s="1"/>
  <c r="K102" i="67" s="1"/>
  <c r="C99" i="59"/>
  <c r="R137" i="59" s="1"/>
  <c r="D99" i="59"/>
  <c r="S137" i="59" s="1"/>
  <c r="F24" i="98"/>
  <c r="D24" i="98"/>
  <c r="E24" i="63"/>
  <c r="F24" i="63" s="1"/>
  <c r="H24" i="63"/>
  <c r="G24" i="52"/>
  <c r="H24" i="52" s="1"/>
  <c r="J24" i="52" s="1"/>
  <c r="P24" i="51"/>
  <c r="I24" i="67" s="1"/>
  <c r="I102" i="67" s="1"/>
  <c r="B101" i="51"/>
  <c r="Q137" i="51" s="1"/>
  <c r="D99" i="53"/>
  <c r="S135" i="53" s="1"/>
  <c r="C99" i="53"/>
  <c r="R135" i="53" s="1"/>
  <c r="F24" i="54"/>
  <c r="G24" i="54" s="1"/>
  <c r="I24" i="54" s="1"/>
  <c r="F49" i="58"/>
  <c r="G49" i="58" s="1"/>
  <c r="H49" i="58" s="1"/>
  <c r="K49" i="58" s="1"/>
  <c r="Q24" i="58" s="1"/>
  <c r="L50" i="67" s="1"/>
  <c r="L128" i="67" s="1"/>
  <c r="F96" i="58"/>
  <c r="F49" i="98"/>
  <c r="D49" i="98"/>
  <c r="F100" i="61"/>
  <c r="U138" i="61" s="1"/>
  <c r="F156" i="37"/>
  <c r="V204" i="37" s="1"/>
  <c r="BK29" i="20"/>
  <c r="BJ29" i="20" s="1"/>
  <c r="BO30" i="20"/>
  <c r="BP31" i="20" s="1"/>
  <c r="F24" i="37"/>
  <c r="F208" i="37" s="1"/>
  <c r="D24" i="37"/>
  <c r="D208" i="37" s="1"/>
  <c r="J206" i="37" l="1"/>
  <c r="B100" i="55"/>
  <c r="C101" i="63"/>
  <c r="R139" i="63" s="1"/>
  <c r="B100" i="63"/>
  <c r="C98" i="58"/>
  <c r="R136" i="58" s="1"/>
  <c r="P22" i="58"/>
  <c r="L22" i="67" s="1"/>
  <c r="L100" i="67" s="1"/>
  <c r="D98" i="58"/>
  <c r="S136" i="58" s="1"/>
  <c r="G206" i="37"/>
  <c r="G68" i="37"/>
  <c r="U137" i="65"/>
  <c r="B95" i="98"/>
  <c r="B100" i="53"/>
  <c r="Q136" i="53" s="1"/>
  <c r="H179" i="49"/>
  <c r="F94" i="49"/>
  <c r="AB147" i="49" s="1"/>
  <c r="AJ147" i="49" s="1"/>
  <c r="B103" i="33"/>
  <c r="P48" i="67"/>
  <c r="P126" i="67" s="1"/>
  <c r="O23" i="37"/>
  <c r="B23" i="67" s="1"/>
  <c r="B101" i="67" s="1"/>
  <c r="BH24" i="413" s="1"/>
  <c r="U127" i="98"/>
  <c r="U132" i="58"/>
  <c r="R139" i="35"/>
  <c r="F101" i="35"/>
  <c r="L22" i="65"/>
  <c r="F153" i="37"/>
  <c r="V201" i="37" s="1"/>
  <c r="S201" i="37"/>
  <c r="C104" i="65"/>
  <c r="R142" i="65" s="1"/>
  <c r="D104" i="33"/>
  <c r="S139" i="33" s="1"/>
  <c r="B158" i="37"/>
  <c r="R206" i="37" s="1"/>
  <c r="U134" i="60"/>
  <c r="C97" i="50"/>
  <c r="S97" i="50"/>
  <c r="P135" i="50"/>
  <c r="D97" i="50"/>
  <c r="R135" i="50" s="1"/>
  <c r="J68" i="37"/>
  <c r="G231" i="37"/>
  <c r="Q138" i="63"/>
  <c r="C100" i="63"/>
  <c r="D100" i="63"/>
  <c r="S138" i="63" s="1"/>
  <c r="H48" i="49"/>
  <c r="R135" i="51"/>
  <c r="F99" i="51"/>
  <c r="J23" i="49"/>
  <c r="H152" i="49"/>
  <c r="B100" i="60"/>
  <c r="O22" i="60"/>
  <c r="S22" i="67" s="1"/>
  <c r="S100" i="67" s="1"/>
  <c r="X100" i="67" s="1"/>
  <c r="R138" i="66"/>
  <c r="F100" i="66"/>
  <c r="R141" i="64"/>
  <c r="F103" i="64"/>
  <c r="U134" i="63"/>
  <c r="Y144" i="49"/>
  <c r="F91" i="49"/>
  <c r="AB146" i="49"/>
  <c r="AJ146" i="49" s="1"/>
  <c r="E50" i="49"/>
  <c r="E180" i="49" s="1"/>
  <c r="G50" i="49"/>
  <c r="G180" i="49" s="1"/>
  <c r="U136" i="59"/>
  <c r="U134" i="58"/>
  <c r="U136" i="62"/>
  <c r="U137" i="62"/>
  <c r="U136" i="52"/>
  <c r="U136" i="51"/>
  <c r="U133" i="53"/>
  <c r="C96" i="98"/>
  <c r="R132" i="98" s="1"/>
  <c r="Q132" i="98"/>
  <c r="U135" i="57"/>
  <c r="S100" i="55"/>
  <c r="R137" i="55"/>
  <c r="V136" i="55"/>
  <c r="D70" i="37"/>
  <c r="D233" i="37" s="1"/>
  <c r="P23" i="37"/>
  <c r="B49" i="67" s="1"/>
  <c r="B127" i="67" s="1"/>
  <c r="J232" i="37"/>
  <c r="F70" i="37"/>
  <c r="F233" i="37" s="1"/>
  <c r="F155" i="37"/>
  <c r="V203" i="37" s="1"/>
  <c r="S203" i="37"/>
  <c r="AC24" i="49"/>
  <c r="R49" i="67" s="1"/>
  <c r="R127" i="67" s="1"/>
  <c r="B96" i="49"/>
  <c r="X149" i="49" s="1"/>
  <c r="AB24" i="49"/>
  <c r="R23" i="67" s="1"/>
  <c r="R101" i="67" s="1"/>
  <c r="J153" i="49"/>
  <c r="G25" i="33"/>
  <c r="P25" i="33" s="1"/>
  <c r="P24" i="67" s="1"/>
  <c r="P102" i="67" s="1"/>
  <c r="D96" i="98"/>
  <c r="J49" i="65"/>
  <c r="L49" i="65" s="1"/>
  <c r="Q24" i="65" s="1"/>
  <c r="O50" i="67" s="1"/>
  <c r="O128" i="67" s="1"/>
  <c r="H25" i="49"/>
  <c r="G24" i="98"/>
  <c r="K24" i="98" s="1"/>
  <c r="P24" i="98" s="1"/>
  <c r="F24" i="67" s="1"/>
  <c r="F102" i="67" s="1"/>
  <c r="F101" i="63"/>
  <c r="J24" i="65"/>
  <c r="L24" i="65" s="1"/>
  <c r="F136" i="33"/>
  <c r="F97" i="54"/>
  <c r="U134" i="54" s="1"/>
  <c r="G24" i="58"/>
  <c r="H24" i="58" s="1"/>
  <c r="K24" i="58" s="1"/>
  <c r="G50" i="33"/>
  <c r="Q25" i="33" s="1"/>
  <c r="B105" i="33" s="1"/>
  <c r="Q140" i="33" s="1"/>
  <c r="F104" i="64"/>
  <c r="J49" i="63"/>
  <c r="P24" i="63" s="1"/>
  <c r="N50" i="67" s="1"/>
  <c r="N128" i="67" s="1"/>
  <c r="P24" i="53"/>
  <c r="H50" i="67" s="1"/>
  <c r="H128" i="67" s="1"/>
  <c r="O24" i="53"/>
  <c r="H24" i="67" s="1"/>
  <c r="H102" i="67" s="1"/>
  <c r="P24" i="50"/>
  <c r="V24" i="67" s="1"/>
  <c r="V102" i="67" s="1"/>
  <c r="B99" i="50"/>
  <c r="F101" i="52"/>
  <c r="F98" i="50"/>
  <c r="Q24" i="52"/>
  <c r="J24" i="67" s="1"/>
  <c r="J102" i="67" s="1"/>
  <c r="B102" i="52"/>
  <c r="Q138" i="52" s="1"/>
  <c r="C102" i="61"/>
  <c r="R140" i="61" s="1"/>
  <c r="D102" i="61"/>
  <c r="S140" i="61" s="1"/>
  <c r="C105" i="64"/>
  <c r="R143" i="64" s="1"/>
  <c r="D105" i="64"/>
  <c r="S143" i="64" s="1"/>
  <c r="C102" i="66"/>
  <c r="R140" i="66" s="1"/>
  <c r="D102" i="66"/>
  <c r="S140" i="66" s="1"/>
  <c r="D101" i="51"/>
  <c r="S137" i="51" s="1"/>
  <c r="C101" i="51"/>
  <c r="R137" i="51" s="1"/>
  <c r="F98" i="58"/>
  <c r="D99" i="58"/>
  <c r="S137" i="58" s="1"/>
  <c r="C99" i="58"/>
  <c r="R137" i="58" s="1"/>
  <c r="J24" i="63"/>
  <c r="B102" i="63" s="1"/>
  <c r="D102" i="62"/>
  <c r="S138" i="62" s="1"/>
  <c r="C102" i="62"/>
  <c r="R138" i="62" s="1"/>
  <c r="D103" i="35"/>
  <c r="S141" i="35" s="1"/>
  <c r="C103" i="35"/>
  <c r="R141" i="35" s="1"/>
  <c r="C100" i="55"/>
  <c r="S137" i="55" s="1"/>
  <c r="D100" i="55"/>
  <c r="T137" i="55" s="1"/>
  <c r="B98" i="54"/>
  <c r="Q135" i="54" s="1"/>
  <c r="O24" i="54"/>
  <c r="G24" i="67" s="1"/>
  <c r="G102" i="67" s="1"/>
  <c r="G49" i="98"/>
  <c r="K49" i="98" s="1"/>
  <c r="Q24" i="98" s="1"/>
  <c r="F50" i="67" s="1"/>
  <c r="F128" i="67" s="1"/>
  <c r="F99" i="59"/>
  <c r="S98" i="57"/>
  <c r="D98" i="57"/>
  <c r="S136" i="57" s="1"/>
  <c r="C98" i="57"/>
  <c r="R136" i="57" s="1"/>
  <c r="G24" i="37"/>
  <c r="F99" i="53"/>
  <c r="D100" i="59"/>
  <c r="S138" i="59" s="1"/>
  <c r="C100" i="59"/>
  <c r="R138" i="59" s="1"/>
  <c r="D101" i="60"/>
  <c r="S139" i="60" s="1"/>
  <c r="C101" i="60"/>
  <c r="R139" i="60" s="1"/>
  <c r="C97" i="48"/>
  <c r="S133" i="48" s="1"/>
  <c r="D97" i="48"/>
  <c r="T133" i="48" s="1"/>
  <c r="J24" i="60"/>
  <c r="BK30" i="20"/>
  <c r="BJ30" i="20" s="1"/>
  <c r="BO31" i="20"/>
  <c r="BP32" i="20" s="1"/>
  <c r="C158" i="37"/>
  <c r="S206" i="37" s="1"/>
  <c r="D158" i="37" l="1"/>
  <c r="T206" i="37" s="1"/>
  <c r="F104" i="65"/>
  <c r="P22" i="65"/>
  <c r="O22" i="67" s="1"/>
  <c r="O100" i="67" s="1"/>
  <c r="B103" i="65"/>
  <c r="C103" i="65" s="1"/>
  <c r="P24" i="65"/>
  <c r="O24" i="67" s="1"/>
  <c r="O102" i="67" s="1"/>
  <c r="B105" i="65"/>
  <c r="D95" i="98"/>
  <c r="S131" i="98" s="1"/>
  <c r="Q131" i="98"/>
  <c r="C95" i="98"/>
  <c r="Y16" i="126"/>
  <c r="Y17" i="126"/>
  <c r="F104" i="33"/>
  <c r="U139" i="33" s="1"/>
  <c r="Q138" i="33"/>
  <c r="D103" i="33"/>
  <c r="S138" i="33" s="1"/>
  <c r="C103" i="33"/>
  <c r="R138" i="63"/>
  <c r="F100" i="63"/>
  <c r="Q135" i="50"/>
  <c r="F97" i="50"/>
  <c r="U139" i="35"/>
  <c r="AB144" i="49"/>
  <c r="AJ144" i="49" s="1"/>
  <c r="Q138" i="60"/>
  <c r="D100" i="60"/>
  <c r="S138" i="60" s="1"/>
  <c r="C100" i="60"/>
  <c r="AB23" i="49"/>
  <c r="R22" i="67" s="1"/>
  <c r="R100" i="67" s="1"/>
  <c r="J152" i="49"/>
  <c r="P22" i="37"/>
  <c r="B48" i="67" s="1"/>
  <c r="B126" i="67" s="1"/>
  <c r="B157" i="37"/>
  <c r="J231" i="37"/>
  <c r="Q141" i="65"/>
  <c r="D103" i="65"/>
  <c r="S141" i="65" s="1"/>
  <c r="U141" i="64"/>
  <c r="U135" i="51"/>
  <c r="B137" i="33"/>
  <c r="C137" i="33" s="1"/>
  <c r="U138" i="66"/>
  <c r="J48" i="49"/>
  <c r="B95" i="49" s="1"/>
  <c r="H178" i="49"/>
  <c r="D96" i="49"/>
  <c r="Z149" i="49" s="1"/>
  <c r="C96" i="49"/>
  <c r="Y149" i="49" s="1"/>
  <c r="H50" i="49"/>
  <c r="H180" i="49" s="1"/>
  <c r="U142" i="64"/>
  <c r="U142" i="65"/>
  <c r="U139" i="63"/>
  <c r="U137" i="59"/>
  <c r="U136" i="58"/>
  <c r="U137" i="52"/>
  <c r="U135" i="53"/>
  <c r="F96" i="98"/>
  <c r="U132" i="98" s="1"/>
  <c r="S132" i="98"/>
  <c r="S99" i="50"/>
  <c r="P137" i="50"/>
  <c r="T136" i="50"/>
  <c r="G70" i="37"/>
  <c r="G208" i="37"/>
  <c r="J25" i="49"/>
  <c r="H154" i="49"/>
  <c r="P50" i="67"/>
  <c r="P128" i="67" s="1"/>
  <c r="B97" i="98"/>
  <c r="Q143" i="65"/>
  <c r="F102" i="62"/>
  <c r="F97" i="48"/>
  <c r="V133" i="48" s="1"/>
  <c r="F101" i="51"/>
  <c r="F103" i="35"/>
  <c r="U141" i="35" s="1"/>
  <c r="F100" i="55"/>
  <c r="BO32" i="20"/>
  <c r="BP33" i="20" s="1"/>
  <c r="F102" i="66"/>
  <c r="U140" i="66" s="1"/>
  <c r="P24" i="58"/>
  <c r="L24" i="67" s="1"/>
  <c r="L102" i="67" s="1"/>
  <c r="B100" i="58"/>
  <c r="Q138" i="58" s="1"/>
  <c r="O24" i="60"/>
  <c r="S24" i="67" s="1"/>
  <c r="S102" i="67" s="1"/>
  <c r="X102" i="67" s="1"/>
  <c r="B102" i="60"/>
  <c r="Q140" i="60" s="1"/>
  <c r="F100" i="59"/>
  <c r="C99" i="50"/>
  <c r="Q137" i="50" s="1"/>
  <c r="D99" i="50"/>
  <c r="R137" i="50" s="1"/>
  <c r="D105" i="33"/>
  <c r="S140" i="33" s="1"/>
  <c r="C105" i="33"/>
  <c r="R140" i="33" s="1"/>
  <c r="F105" i="64"/>
  <c r="F102" i="61"/>
  <c r="U140" i="61" s="1"/>
  <c r="D100" i="53"/>
  <c r="S136" i="53" s="1"/>
  <c r="C100" i="53"/>
  <c r="R136" i="53" s="1"/>
  <c r="F98" i="57"/>
  <c r="D105" i="65"/>
  <c r="S143" i="65" s="1"/>
  <c r="C105" i="65"/>
  <c r="R143" i="65" s="1"/>
  <c r="D102" i="52"/>
  <c r="S138" i="52" s="1"/>
  <c r="C102" i="52"/>
  <c r="R138" i="52" s="1"/>
  <c r="BK31" i="20"/>
  <c r="BJ31" i="20" s="1"/>
  <c r="D98" i="54"/>
  <c r="S135" i="54" s="1"/>
  <c r="C98" i="54"/>
  <c r="R135" i="54" s="1"/>
  <c r="Q140" i="63"/>
  <c r="O24" i="63"/>
  <c r="N24" i="67" s="1"/>
  <c r="N102" i="67" s="1"/>
  <c r="C98" i="53"/>
  <c r="R134" i="53" s="1"/>
  <c r="D98" i="53"/>
  <c r="S134" i="53" s="1"/>
  <c r="F101" i="60"/>
  <c r="U139" i="60" s="1"/>
  <c r="F99" i="58"/>
  <c r="F158" i="37"/>
  <c r="V206" i="37" s="1"/>
  <c r="R131" i="98" l="1"/>
  <c r="F95" i="98"/>
  <c r="J50" i="49"/>
  <c r="B97" i="49" s="1"/>
  <c r="X150" i="49" s="1"/>
  <c r="D137" i="33"/>
  <c r="R138" i="33"/>
  <c r="F103" i="33"/>
  <c r="F96" i="49"/>
  <c r="AB149" i="49" s="1"/>
  <c r="AJ149" i="49" s="1"/>
  <c r="R141" i="65"/>
  <c r="F103" i="65"/>
  <c r="R138" i="60"/>
  <c r="F100" i="60"/>
  <c r="R205" i="37"/>
  <c r="C157" i="37"/>
  <c r="D157" i="37"/>
  <c r="T205" i="37" s="1"/>
  <c r="T135" i="50"/>
  <c r="C95" i="49"/>
  <c r="X148" i="49"/>
  <c r="D95" i="49"/>
  <c r="Z148" i="49" s="1"/>
  <c r="U138" i="63"/>
  <c r="AC23" i="49"/>
  <c r="R48" i="67" s="1"/>
  <c r="R126" i="67" s="1"/>
  <c r="J178" i="49"/>
  <c r="U143" i="64"/>
  <c r="U138" i="59"/>
  <c r="U137" i="58"/>
  <c r="U138" i="62"/>
  <c r="U137" i="51"/>
  <c r="C97" i="98"/>
  <c r="R133" i="98" s="1"/>
  <c r="Q133" i="98"/>
  <c r="U136" i="57"/>
  <c r="V137" i="55"/>
  <c r="O24" i="37"/>
  <c r="B24" i="67" s="1"/>
  <c r="B102" i="67" s="1"/>
  <c r="BH25" i="413" s="1"/>
  <c r="J208" i="37"/>
  <c r="J70" i="37"/>
  <c r="G233" i="37"/>
  <c r="J180" i="49"/>
  <c r="AB25" i="49"/>
  <c r="R24" i="67" s="1"/>
  <c r="R102" i="67" s="1"/>
  <c r="J154" i="49"/>
  <c r="D97" i="98"/>
  <c r="F100" i="53"/>
  <c r="F105" i="33"/>
  <c r="BO33" i="20"/>
  <c r="BP34" i="20" s="1"/>
  <c r="F98" i="54"/>
  <c r="U135" i="54" s="1"/>
  <c r="BK32" i="20"/>
  <c r="BJ32" i="20" s="1"/>
  <c r="F105" i="65"/>
  <c r="D102" i="60"/>
  <c r="S140" i="60" s="1"/>
  <c r="C102" i="60"/>
  <c r="R140" i="60" s="1"/>
  <c r="D102" i="63"/>
  <c r="S140" i="63" s="1"/>
  <c r="C102" i="63"/>
  <c r="R140" i="63" s="1"/>
  <c r="F99" i="50"/>
  <c r="F98" i="53"/>
  <c r="F137" i="33"/>
  <c r="F102" i="52"/>
  <c r="D100" i="58"/>
  <c r="S138" i="58" s="1"/>
  <c r="C100" i="58"/>
  <c r="R138" i="58" s="1"/>
  <c r="AC25" i="49" l="1"/>
  <c r="R50" i="67" s="1"/>
  <c r="R128" i="67" s="1"/>
  <c r="U131" i="98"/>
  <c r="U138" i="33"/>
  <c r="U138" i="60"/>
  <c r="D97" i="49"/>
  <c r="Z150" i="49" s="1"/>
  <c r="S205" i="37"/>
  <c r="F157" i="37"/>
  <c r="V205" i="37" s="1"/>
  <c r="U141" i="65"/>
  <c r="Y148" i="49"/>
  <c r="F95" i="49"/>
  <c r="C97" i="49"/>
  <c r="Y150" i="49" s="1"/>
  <c r="BK33" i="20"/>
  <c r="BJ33" i="20" s="1"/>
  <c r="BO34" i="20"/>
  <c r="BP35" i="20" s="1"/>
  <c r="U140" i="33"/>
  <c r="U143" i="65"/>
  <c r="U138" i="52"/>
  <c r="U136" i="53"/>
  <c r="U134" i="53"/>
  <c r="F97" i="98"/>
  <c r="U133" i="98" s="1"/>
  <c r="S133" i="98"/>
  <c r="T137" i="50"/>
  <c r="P24" i="37"/>
  <c r="B50" i="67" s="1"/>
  <c r="B128" i="67" s="1"/>
  <c r="J233" i="37"/>
  <c r="B159" i="37"/>
  <c r="F102" i="60"/>
  <c r="U140" i="60" s="1"/>
  <c r="F100" i="58"/>
  <c r="F102" i="63"/>
  <c r="BK34" i="20" l="1"/>
  <c r="BJ34" i="20" s="1"/>
  <c r="BO35" i="20"/>
  <c r="BK35" i="20" s="1"/>
  <c r="BJ35" i="20" s="1"/>
  <c r="Y18" i="126"/>
  <c r="Y19" i="126"/>
  <c r="AB148" i="49"/>
  <c r="AJ148" i="49" s="1"/>
  <c r="F97" i="49"/>
  <c r="AB150" i="49" s="1"/>
  <c r="AJ150" i="49" s="1"/>
  <c r="U140" i="63"/>
  <c r="U138" i="58"/>
  <c r="D159" i="37"/>
  <c r="T207" i="37" s="1"/>
  <c r="R207" i="37"/>
  <c r="C159" i="37"/>
  <c r="BB14" i="16"/>
  <c r="Y20" i="126" l="1"/>
  <c r="F159" i="37"/>
  <c r="V207" i="37" s="1"/>
  <c r="S207" i="37"/>
  <c r="AL22" i="20" l="1"/>
  <c r="AU15" i="16"/>
  <c r="R113" i="16" s="1"/>
  <c r="Y22" i="126" l="1"/>
  <c r="Y21" i="126"/>
  <c r="CH49" i="16"/>
  <c r="C20" i="20"/>
  <c r="D20" i="20" s="1"/>
  <c r="C21" i="20"/>
  <c r="C24" i="20"/>
  <c r="C22" i="20"/>
  <c r="C23" i="20"/>
  <c r="E22" i="20"/>
  <c r="Y25" i="126" l="1"/>
  <c r="Y23" i="126"/>
  <c r="Y24" i="126"/>
  <c r="CH65" i="16"/>
  <c r="D21" i="20"/>
  <c r="D23" i="20"/>
  <c r="D22" i="20"/>
  <c r="D24" i="20"/>
  <c r="BB57" i="16" l="1"/>
  <c r="BB56" i="16"/>
  <c r="Y27" i="126" l="1"/>
  <c r="AC83" i="117" s="1"/>
  <c r="Y26" i="126"/>
  <c r="F9" i="288"/>
  <c r="D9" i="288" s="1"/>
  <c r="O9" i="288" s="1"/>
  <c r="P9" i="288" s="1"/>
  <c r="F19" i="301"/>
  <c r="C19" i="301" s="1"/>
  <c r="H19" i="301" s="1"/>
  <c r="F20" i="301"/>
  <c r="C20" i="301" s="1"/>
  <c r="H20" i="301" s="1"/>
  <c r="F10" i="288"/>
  <c r="D10" i="288" s="1"/>
  <c r="O10" i="288" s="1"/>
  <c r="P10" i="288" s="1"/>
  <c r="Y73" i="16"/>
  <c r="B10" i="346" s="1"/>
  <c r="E10" i="346" s="1"/>
  <c r="Y98" i="16"/>
  <c r="Y111" i="16"/>
  <c r="C48" i="116" s="1"/>
  <c r="Y74" i="16"/>
  <c r="B11" i="346" s="1"/>
  <c r="E11" i="346" s="1"/>
  <c r="Y99" i="16"/>
  <c r="Y112" i="16"/>
  <c r="C49" i="116" s="1"/>
  <c r="B3" i="16"/>
  <c r="BF21" i="16"/>
  <c r="BF53" i="16" s="1"/>
  <c r="BB58" i="16"/>
  <c r="X101" i="117" l="1"/>
  <c r="X85" i="117"/>
  <c r="AB77" i="117"/>
  <c r="AD95" i="117"/>
  <c r="L64" i="117"/>
  <c r="AB64" i="117"/>
  <c r="AD70" i="117"/>
  <c r="L82" i="117"/>
  <c r="L98" i="117"/>
  <c r="Y66" i="117"/>
  <c r="Y84" i="117"/>
  <c r="Y71" i="117"/>
  <c r="W77" i="117"/>
  <c r="AB100" i="117"/>
  <c r="Y86" i="117"/>
  <c r="W81" i="117"/>
  <c r="Y96" i="117"/>
  <c r="Y90" i="117"/>
  <c r="AB83" i="117"/>
  <c r="AD82" i="117"/>
  <c r="W101" i="117"/>
  <c r="AD72" i="117"/>
  <c r="AB80" i="117"/>
  <c r="AB88" i="117"/>
  <c r="W68" i="117"/>
  <c r="L79" i="117"/>
  <c r="X77" i="117"/>
  <c r="Y82" i="117"/>
  <c r="X73" i="117"/>
  <c r="AB81" i="117"/>
  <c r="AD71" i="117"/>
  <c r="Y99" i="117"/>
  <c r="Y87" i="117"/>
  <c r="AD80" i="117"/>
  <c r="AD88" i="117"/>
  <c r="AB86" i="117"/>
  <c r="X89" i="117"/>
  <c r="AD63" i="117"/>
  <c r="L77" i="117"/>
  <c r="AB68" i="117"/>
  <c r="L73" i="117"/>
  <c r="W83" i="117"/>
  <c r="X88" i="117"/>
  <c r="AD93" i="117"/>
  <c r="X71" i="117"/>
  <c r="AB89" i="117"/>
  <c r="AB65" i="117"/>
  <c r="W63" i="117"/>
  <c r="AC66" i="117"/>
  <c r="Y89" i="117"/>
  <c r="W97" i="117"/>
  <c r="W90" i="117"/>
  <c r="AD73" i="117"/>
  <c r="AD81" i="117"/>
  <c r="L88" i="117"/>
  <c r="W86" i="117"/>
  <c r="AB71" i="117"/>
  <c r="X95" i="117"/>
  <c r="L101" i="117"/>
  <c r="X90" i="117"/>
  <c r="X97" i="117"/>
  <c r="X92" i="117"/>
  <c r="AD89" i="117"/>
  <c r="W99" i="117"/>
  <c r="AB70" i="117"/>
  <c r="AB78" i="117"/>
  <c r="Y70" i="117"/>
  <c r="AB76" i="117"/>
  <c r="L95" i="117"/>
  <c r="W67" i="117"/>
  <c r="Y97" i="117"/>
  <c r="AD101" i="117"/>
  <c r="X91" i="117"/>
  <c r="X75" i="117"/>
  <c r="X69" i="117"/>
  <c r="W96" i="117"/>
  <c r="Y95" i="117"/>
  <c r="Y79" i="117"/>
  <c r="Y78" i="117"/>
  <c r="L63" i="117"/>
  <c r="W95" i="117"/>
  <c r="AD96" i="117"/>
  <c r="AB79" i="117"/>
  <c r="L78" i="117"/>
  <c r="L94" i="117"/>
  <c r="AD100" i="117"/>
  <c r="Y94" i="117"/>
  <c r="L97" i="117"/>
  <c r="AB92" i="117"/>
  <c r="W75" i="117"/>
  <c r="Y101" i="117"/>
  <c r="W74" i="117"/>
  <c r="X79" i="117"/>
  <c r="Y63" i="117"/>
  <c r="W92" i="117"/>
  <c r="AB87" i="117"/>
  <c r="AB95" i="117"/>
  <c r="L67" i="117"/>
  <c r="AD69" i="117"/>
  <c r="W70" i="117"/>
  <c r="L72" i="117"/>
  <c r="AD98" i="117"/>
  <c r="Y74" i="117"/>
  <c r="W87" i="117"/>
  <c r="X65" i="117"/>
  <c r="AD94" i="117"/>
  <c r="AC63" i="117"/>
  <c r="X78" i="117"/>
  <c r="W91" i="117"/>
  <c r="Y68" i="117"/>
  <c r="L91" i="117"/>
  <c r="Y65" i="117"/>
  <c r="AD83" i="117"/>
  <c r="Y64" i="117"/>
  <c r="L100" i="117"/>
  <c r="AB101" i="117"/>
  <c r="AB90" i="117"/>
  <c r="W69" i="117"/>
  <c r="L76" i="117"/>
  <c r="AD85" i="117"/>
  <c r="X83" i="117"/>
  <c r="AC67" i="117"/>
  <c r="Y98" i="117"/>
  <c r="W71" i="117"/>
  <c r="AB73" i="117"/>
  <c r="L83" i="117"/>
  <c r="AD99" i="117"/>
  <c r="AD75" i="117"/>
  <c r="AD66" i="117"/>
  <c r="L70" i="117"/>
  <c r="L90" i="117"/>
  <c r="AD92" i="117"/>
  <c r="X84" i="117"/>
  <c r="Y93" i="117"/>
  <c r="X74" i="117"/>
  <c r="L85" i="117"/>
  <c r="L65" i="117"/>
  <c r="W73" i="117"/>
  <c r="X86" i="117"/>
  <c r="AD64" i="117"/>
  <c r="X93" i="117"/>
  <c r="AD78" i="117"/>
  <c r="AD86" i="117"/>
  <c r="AD68" i="117"/>
  <c r="L74" i="117"/>
  <c r="AB84" i="117"/>
  <c r="W98" i="117"/>
  <c r="L71" i="117"/>
  <c r="X80" i="117"/>
  <c r="W80" i="117"/>
  <c r="W64" i="117"/>
  <c r="W84" i="117"/>
  <c r="AD67" i="117"/>
  <c r="W88" i="117"/>
  <c r="W85" i="117"/>
  <c r="AD74" i="117"/>
  <c r="AD84" i="117"/>
  <c r="Y100" i="117"/>
  <c r="W76" i="117"/>
  <c r="X82" i="117"/>
  <c r="L69" i="117"/>
  <c r="AB82" i="117"/>
  <c r="AB72" i="117"/>
  <c r="N63" i="117"/>
  <c r="Y85" i="117"/>
  <c r="Y69" i="117"/>
  <c r="AD97" i="117"/>
  <c r="AB85" i="117"/>
  <c r="AB93" i="117"/>
  <c r="L80" i="117"/>
  <c r="AD91" i="117"/>
  <c r="X76" i="117"/>
  <c r="Y92" i="117"/>
  <c r="X87" i="117"/>
  <c r="AB98" i="117"/>
  <c r="AD77" i="117"/>
  <c r="X68" i="117"/>
  <c r="L96" i="117"/>
  <c r="AC64" i="117"/>
  <c r="X72" i="117"/>
  <c r="X99" i="117"/>
  <c r="X66" i="117"/>
  <c r="W79" i="117"/>
  <c r="Y75" i="117"/>
  <c r="X96" i="117"/>
  <c r="W100" i="117"/>
  <c r="AB74" i="117"/>
  <c r="W82" i="117"/>
  <c r="X81" i="117"/>
  <c r="AC65" i="117"/>
  <c r="X64" i="117"/>
  <c r="AB99" i="117"/>
  <c r="AD65" i="117"/>
  <c r="Y88" i="117"/>
  <c r="W94" i="117"/>
  <c r="Y83" i="117"/>
  <c r="W72" i="117"/>
  <c r="W93" i="117"/>
  <c r="X98" i="117"/>
  <c r="X94" i="117"/>
  <c r="AD76" i="117"/>
  <c r="Y81" i="117"/>
  <c r="Y91" i="117"/>
  <c r="AB75" i="117"/>
  <c r="L87" i="117"/>
  <c r="L86" i="117"/>
  <c r="AD90" i="117"/>
  <c r="L66" i="117"/>
  <c r="L89" i="117"/>
  <c r="X70" i="117"/>
  <c r="AB69" i="117"/>
  <c r="Y77" i="117"/>
  <c r="Y76" i="117"/>
  <c r="L92" i="117"/>
  <c r="L81" i="117"/>
  <c r="AC68" i="117"/>
  <c r="AB91" i="117"/>
  <c r="AB67" i="117"/>
  <c r="L75" i="117"/>
  <c r="X67" i="117"/>
  <c r="Y72" i="117"/>
  <c r="AB96" i="117"/>
  <c r="AB63" i="117"/>
  <c r="Y73" i="117"/>
  <c r="X100" i="117"/>
  <c r="AD79" i="117"/>
  <c r="X63" i="117"/>
  <c r="W65" i="117"/>
  <c r="W89" i="117"/>
  <c r="W66" i="117"/>
  <c r="AB66" i="117"/>
  <c r="L99" i="117"/>
  <c r="AB97" i="117"/>
  <c r="AD87" i="117"/>
  <c r="AC69" i="117"/>
  <c r="L93" i="117"/>
  <c r="W78" i="117"/>
  <c r="AB94" i="117"/>
  <c r="L68" i="117"/>
  <c r="L84" i="117"/>
  <c r="Y80" i="117"/>
  <c r="Y67" i="117"/>
  <c r="N64" i="117"/>
  <c r="AC70" i="117"/>
  <c r="AC71" i="117"/>
  <c r="AC72" i="117"/>
  <c r="AC73" i="117"/>
  <c r="AC74" i="117"/>
  <c r="AC75" i="117"/>
  <c r="AC76" i="117"/>
  <c r="AC77" i="117"/>
  <c r="AC78" i="117"/>
  <c r="AC80" i="117"/>
  <c r="AC79" i="117"/>
  <c r="AC81" i="117"/>
  <c r="AC82" i="117"/>
  <c r="B49" i="116"/>
  <c r="D49" i="116" s="1"/>
  <c r="AA99" i="16"/>
  <c r="AB99" i="16" s="1"/>
  <c r="H10" i="68"/>
  <c r="C10" i="68" s="1"/>
  <c r="Y100" i="16"/>
  <c r="F11" i="288"/>
  <c r="F21" i="301"/>
  <c r="F22" i="301" s="1"/>
  <c r="N101" i="117"/>
  <c r="N89" i="117"/>
  <c r="N85" i="117"/>
  <c r="N68" i="117"/>
  <c r="N97" i="117"/>
  <c r="N80" i="117"/>
  <c r="N72" i="117"/>
  <c r="N70" i="117"/>
  <c r="N94" i="117"/>
  <c r="N79" i="117"/>
  <c r="N87" i="117"/>
  <c r="N90" i="117"/>
  <c r="N86" i="117"/>
  <c r="N91" i="117"/>
  <c r="N96" i="117"/>
  <c r="N69" i="117"/>
  <c r="N73" i="117"/>
  <c r="N81" i="117"/>
  <c r="N76" i="117"/>
  <c r="N100" i="117"/>
  <c r="N74" i="117"/>
  <c r="N66" i="117"/>
  <c r="N71" i="117"/>
  <c r="N84" i="117"/>
  <c r="N99" i="117"/>
  <c r="N92" i="117"/>
  <c r="N65" i="117"/>
  <c r="N67" i="117"/>
  <c r="N98" i="117"/>
  <c r="N95" i="117"/>
  <c r="N78" i="117"/>
  <c r="N77" i="117"/>
  <c r="N93" i="117"/>
  <c r="N82" i="117"/>
  <c r="N75" i="117"/>
  <c r="N83" i="117"/>
  <c r="N88" i="117"/>
  <c r="AA98" i="16"/>
  <c r="AB98" i="16" s="1"/>
  <c r="B48" i="116"/>
  <c r="D48" i="116" s="1"/>
  <c r="E48" i="116" s="1"/>
  <c r="H9" i="68"/>
  <c r="C9" i="68" s="1"/>
  <c r="B41" i="117"/>
  <c r="H24" i="68"/>
  <c r="C24" i="68" s="1"/>
  <c r="B10" i="117"/>
  <c r="B11" i="117"/>
  <c r="B67" i="117"/>
  <c r="B11" i="116"/>
  <c r="E11" i="116" s="1"/>
  <c r="B40" i="117"/>
  <c r="H23" i="68"/>
  <c r="C23" i="68" s="1"/>
  <c r="B12" i="117"/>
  <c r="B66" i="117"/>
  <c r="B10" i="116"/>
  <c r="E10" i="116" s="1"/>
  <c r="B63" i="16"/>
  <c r="Y3" i="16"/>
  <c r="B9" i="301" s="1"/>
  <c r="C9" i="301" s="1"/>
  <c r="BB15" i="16"/>
  <c r="Y113" i="16" s="1"/>
  <c r="C50" i="116" s="1"/>
  <c r="CA49" i="16"/>
  <c r="CU49" i="16" s="1"/>
  <c r="O15" i="16"/>
  <c r="Y15" i="16" s="1"/>
  <c r="Y75" i="16" s="1"/>
  <c r="Y29" i="126" l="1"/>
  <c r="AC85" i="117" s="1"/>
  <c r="Y28" i="126"/>
  <c r="AC84" i="117" s="1"/>
  <c r="B21" i="301"/>
  <c r="C21" i="301" s="1"/>
  <c r="H21" i="301" s="1"/>
  <c r="B11" i="288"/>
  <c r="D11" i="288" s="1"/>
  <c r="O11" i="288" s="1"/>
  <c r="P11" i="288" s="1"/>
  <c r="F23" i="301"/>
  <c r="B22" i="301"/>
  <c r="CA65" i="16"/>
  <c r="CU65" i="16" s="1"/>
  <c r="AA100" i="16"/>
  <c r="AB100" i="16" s="1"/>
  <c r="B50" i="116"/>
  <c r="D50" i="116" s="1"/>
  <c r="E50" i="116" s="1"/>
  <c r="H11" i="68"/>
  <c r="C11" i="68" s="1"/>
  <c r="E49" i="116"/>
  <c r="I12" i="117"/>
  <c r="O143" i="16"/>
  <c r="Y143" i="16" s="1"/>
  <c r="F66" i="117"/>
  <c r="AQ10" i="126"/>
  <c r="AT10" i="140"/>
  <c r="AU10" i="130"/>
  <c r="AS10" i="130" s="1"/>
  <c r="F67" i="117"/>
  <c r="AT11" i="140"/>
  <c r="AQ11" i="126"/>
  <c r="AU11" i="130"/>
  <c r="AS11" i="130" s="1"/>
  <c r="B42" i="117"/>
  <c r="H25" i="68"/>
  <c r="C25" i="68" s="1"/>
  <c r="O75" i="16"/>
  <c r="B12" i="325" s="1"/>
  <c r="AD12" i="325" s="1"/>
  <c r="Y30" i="126" l="1"/>
  <c r="AC86" i="117" s="1"/>
  <c r="AA75" i="16"/>
  <c r="AA69" i="16"/>
  <c r="B12" i="346"/>
  <c r="E12" i="346" s="1"/>
  <c r="F24" i="301"/>
  <c r="B23" i="301"/>
  <c r="AA76" i="16"/>
  <c r="AA73" i="16"/>
  <c r="AA70" i="16"/>
  <c r="AA72" i="16"/>
  <c r="AA71" i="16"/>
  <c r="AA74" i="16"/>
  <c r="B68" i="117"/>
  <c r="B12" i="116"/>
  <c r="E12" i="116" s="1"/>
  <c r="F25" i="301" l="1"/>
  <c r="B24" i="301"/>
  <c r="F68" i="117"/>
  <c r="AT12" i="140"/>
  <c r="AQ12" i="126"/>
  <c r="AU12" i="130"/>
  <c r="AS12" i="130" s="1"/>
  <c r="Y31" i="126" l="1"/>
  <c r="AC87" i="117" s="1"/>
  <c r="Y32" i="126"/>
  <c r="AC88" i="117" s="1"/>
  <c r="F26" i="301"/>
  <c r="B25" i="301"/>
  <c r="X8" i="247"/>
  <c r="B11" i="247"/>
  <c r="W145" i="37" s="1"/>
  <c r="M145" i="37" s="1"/>
  <c r="B28" i="247" l="1"/>
  <c r="I10" i="247"/>
  <c r="V86" i="51" s="1"/>
  <c r="N86" i="51" s="1"/>
  <c r="K10" i="247"/>
  <c r="V87" i="62" s="1"/>
  <c r="N87" i="62" s="1"/>
  <c r="J10" i="247"/>
  <c r="U87" i="52" s="1"/>
  <c r="M87" i="52" s="1"/>
  <c r="V10" i="247"/>
  <c r="V84" i="50" s="1"/>
  <c r="M84" i="50" s="1"/>
  <c r="N10" i="247"/>
  <c r="U87" i="63" s="1"/>
  <c r="M87" i="63" s="1"/>
  <c r="O10" i="247"/>
  <c r="V90" i="65" s="1"/>
  <c r="M90" i="65" s="1"/>
  <c r="P10" i="247"/>
  <c r="X90" i="33" s="1"/>
  <c r="M90" i="33" s="1"/>
  <c r="E10" i="247"/>
  <c r="V83" i="57" s="1"/>
  <c r="M83" i="57" s="1"/>
  <c r="F10" i="247"/>
  <c r="W82" i="98" s="1"/>
  <c r="M82" i="98" s="1"/>
  <c r="W10" i="247"/>
  <c r="X87" i="66" s="1"/>
  <c r="M87" i="66" s="1"/>
  <c r="M10" i="247"/>
  <c r="V85" i="59" s="1"/>
  <c r="M85" i="59" s="1"/>
  <c r="N11" i="247"/>
  <c r="U88" i="63" s="1"/>
  <c r="M88" i="63" s="1"/>
  <c r="P9" i="247"/>
  <c r="X89" i="33" s="1"/>
  <c r="M89" i="33" s="1"/>
  <c r="W9" i="247"/>
  <c r="X86" i="66" s="1"/>
  <c r="M86" i="66" s="1"/>
  <c r="S10" i="247"/>
  <c r="V87" i="60" s="1"/>
  <c r="M87" i="60" s="1"/>
  <c r="Q11" i="247"/>
  <c r="V91" i="64" s="1"/>
  <c r="M91" i="64" s="1"/>
  <c r="U10" i="247"/>
  <c r="V87" i="61" s="1"/>
  <c r="M87" i="61" s="1"/>
  <c r="V9" i="247"/>
  <c r="V83" i="50" s="1"/>
  <c r="M83" i="50" s="1"/>
  <c r="F9" i="247"/>
  <c r="W81" i="98" s="1"/>
  <c r="M81" i="98" s="1"/>
  <c r="O11" i="247"/>
  <c r="V91" i="65" s="1"/>
  <c r="M91" i="65" s="1"/>
  <c r="Q10" i="247"/>
  <c r="V90" i="64" s="1"/>
  <c r="M90" i="64" s="1"/>
  <c r="Q12" i="247"/>
  <c r="V92" i="64" s="1"/>
  <c r="M92" i="64" s="1"/>
  <c r="I9" i="247"/>
  <c r="V85" i="51" s="1"/>
  <c r="N85" i="51" s="1"/>
  <c r="J9" i="247"/>
  <c r="U86" i="52" s="1"/>
  <c r="M86" i="52" s="1"/>
  <c r="M11" i="247"/>
  <c r="V86" i="59" s="1"/>
  <c r="M86" i="59" s="1"/>
  <c r="N9" i="247"/>
  <c r="U86" i="63" s="1"/>
  <c r="M86" i="63" s="1"/>
  <c r="W11" i="247"/>
  <c r="X88" i="66" s="1"/>
  <c r="M88" i="66" s="1"/>
  <c r="S9" i="247"/>
  <c r="V86" i="60" s="1"/>
  <c r="M86" i="60" s="1"/>
  <c r="P11" i="247"/>
  <c r="X91" i="33" s="1"/>
  <c r="M91" i="33" s="1"/>
  <c r="T10" i="247"/>
  <c r="W88" i="35" s="1"/>
  <c r="N88" i="35" s="1"/>
  <c r="I11" i="247"/>
  <c r="V87" i="51" s="1"/>
  <c r="N87" i="51" s="1"/>
  <c r="M9" i="247"/>
  <c r="V84" i="59" s="1"/>
  <c r="M84" i="59" s="1"/>
  <c r="V11" i="247"/>
  <c r="V85" i="50" s="1"/>
  <c r="M85" i="50" s="1"/>
  <c r="K11" i="247"/>
  <c r="V88" i="62" s="1"/>
  <c r="N88" i="62" s="1"/>
  <c r="F11" i="247"/>
  <c r="W83" i="98" s="1"/>
  <c r="M83" i="98" s="1"/>
  <c r="J11" i="247"/>
  <c r="U88" i="52" s="1"/>
  <c r="M88" i="52" s="1"/>
  <c r="L11" i="247"/>
  <c r="V86" i="58" s="1"/>
  <c r="M86" i="58" s="1"/>
  <c r="E11" i="247"/>
  <c r="V84" i="57" s="1"/>
  <c r="M84" i="57" s="1"/>
  <c r="K9" i="247"/>
  <c r="V86" i="62" s="1"/>
  <c r="N86" i="62" s="1"/>
  <c r="T9" i="247"/>
  <c r="W87" i="35" s="1"/>
  <c r="N87" i="35" s="1"/>
  <c r="S11" i="247"/>
  <c r="V88" i="60" s="1"/>
  <c r="M88" i="60" s="1"/>
  <c r="L9" i="247"/>
  <c r="V84" i="58" s="1"/>
  <c r="M84" i="58" s="1"/>
  <c r="S12" i="247"/>
  <c r="V89" i="60" s="1"/>
  <c r="M89" i="60" s="1"/>
  <c r="E9" i="247"/>
  <c r="V82" i="57" s="1"/>
  <c r="M82" i="57" s="1"/>
  <c r="L10" i="247"/>
  <c r="V85" i="58" s="1"/>
  <c r="M85" i="58" s="1"/>
  <c r="U9" i="247"/>
  <c r="V86" i="61" s="1"/>
  <c r="M86" i="61" s="1"/>
  <c r="Q9" i="247"/>
  <c r="V89" i="64" s="1"/>
  <c r="M89" i="64" s="1"/>
  <c r="T11" i="247"/>
  <c r="W89" i="35" s="1"/>
  <c r="N89" i="35" s="1"/>
  <c r="O9" i="247"/>
  <c r="V89" i="65" s="1"/>
  <c r="M89" i="65" s="1"/>
  <c r="U11" i="247"/>
  <c r="V88" i="61" s="1"/>
  <c r="M88" i="61" s="1"/>
  <c r="P12" i="247"/>
  <c r="X92" i="33" s="1"/>
  <c r="M92" i="33" s="1"/>
  <c r="V12" i="247"/>
  <c r="V86" i="50" s="1"/>
  <c r="M86" i="50" s="1"/>
  <c r="E12" i="247"/>
  <c r="V85" i="57" s="1"/>
  <c r="M85" i="57" s="1"/>
  <c r="M12" i="247"/>
  <c r="V87" i="59" s="1"/>
  <c r="M87" i="59" s="1"/>
  <c r="J12" i="247"/>
  <c r="U89" i="52" s="1"/>
  <c r="M89" i="52" s="1"/>
  <c r="W12" i="247"/>
  <c r="X89" i="66" s="1"/>
  <c r="M89" i="66" s="1"/>
  <c r="O12" i="247"/>
  <c r="V92" i="65" s="1"/>
  <c r="M92" i="65" s="1"/>
  <c r="U12" i="247"/>
  <c r="V89" i="61" s="1"/>
  <c r="M89" i="61" s="1"/>
  <c r="K12" i="247"/>
  <c r="V89" i="62" s="1"/>
  <c r="N89" i="62" s="1"/>
  <c r="L12" i="247"/>
  <c r="V87" i="58" s="1"/>
  <c r="M87" i="58" s="1"/>
  <c r="T12" i="247"/>
  <c r="W90" i="35" s="1"/>
  <c r="N90" i="35" s="1"/>
  <c r="F12" i="247"/>
  <c r="W84" i="98" s="1"/>
  <c r="M84" i="98" s="1"/>
  <c r="I12" i="247"/>
  <c r="V88" i="51" s="1"/>
  <c r="N88" i="51" s="1"/>
  <c r="N12" i="247"/>
  <c r="U89" i="63" s="1"/>
  <c r="M89" i="63" s="1"/>
  <c r="W13" i="247"/>
  <c r="X90" i="66" s="1"/>
  <c r="M90" i="66" s="1"/>
  <c r="J13" i="247"/>
  <c r="U90" i="52" s="1"/>
  <c r="M90" i="52" s="1"/>
  <c r="F13" i="247"/>
  <c r="W85" i="98" s="1"/>
  <c r="M85" i="98" s="1"/>
  <c r="N13" i="247"/>
  <c r="U90" i="63" s="1"/>
  <c r="M90" i="63" s="1"/>
  <c r="M13" i="247"/>
  <c r="V88" i="59" s="1"/>
  <c r="M88" i="59" s="1"/>
  <c r="T13" i="247"/>
  <c r="W91" i="35" s="1"/>
  <c r="N91" i="35" s="1"/>
  <c r="S13" i="247"/>
  <c r="V90" i="60" s="1"/>
  <c r="M90" i="60" s="1"/>
  <c r="O13" i="247"/>
  <c r="V93" i="65" s="1"/>
  <c r="M93" i="65" s="1"/>
  <c r="P13" i="247"/>
  <c r="X93" i="33" s="1"/>
  <c r="M93" i="33" s="1"/>
  <c r="E13" i="247"/>
  <c r="V86" i="57" s="1"/>
  <c r="M86" i="57" s="1"/>
  <c r="U13" i="247"/>
  <c r="V90" i="61" s="1"/>
  <c r="M90" i="61" s="1"/>
  <c r="L13" i="247"/>
  <c r="V88" i="58" s="1"/>
  <c r="M88" i="58" s="1"/>
  <c r="I13" i="247"/>
  <c r="V89" i="51" s="1"/>
  <c r="N89" i="51" s="1"/>
  <c r="K13" i="247"/>
  <c r="V90" i="62" s="1"/>
  <c r="N90" i="62" s="1"/>
  <c r="Q13" i="247"/>
  <c r="V93" i="64" s="1"/>
  <c r="M93" i="64" s="1"/>
  <c r="V13" i="247"/>
  <c r="V87" i="50" s="1"/>
  <c r="M87" i="50" s="1"/>
  <c r="P14" i="247"/>
  <c r="X94" i="33" s="1"/>
  <c r="M94" i="33" s="1"/>
  <c r="M14" i="247"/>
  <c r="V89" i="59" s="1"/>
  <c r="M89" i="59" s="1"/>
  <c r="E14" i="247"/>
  <c r="V87" i="57" s="1"/>
  <c r="M87" i="57" s="1"/>
  <c r="O14" i="247"/>
  <c r="V94" i="65" s="1"/>
  <c r="M94" i="65" s="1"/>
  <c r="U14" i="247"/>
  <c r="V91" i="61" s="1"/>
  <c r="M91" i="61" s="1"/>
  <c r="W14" i="247"/>
  <c r="X91" i="66" s="1"/>
  <c r="M91" i="66" s="1"/>
  <c r="S14" i="247"/>
  <c r="V91" i="60" s="1"/>
  <c r="M91" i="60" s="1"/>
  <c r="I14" i="247"/>
  <c r="V90" i="51" s="1"/>
  <c r="N90" i="51" s="1"/>
  <c r="F14" i="247"/>
  <c r="W86" i="98" s="1"/>
  <c r="M86" i="98" s="1"/>
  <c r="Q14" i="247"/>
  <c r="V94" i="64" s="1"/>
  <c r="M94" i="64" s="1"/>
  <c r="T14" i="247"/>
  <c r="W92" i="35" s="1"/>
  <c r="N92" i="35" s="1"/>
  <c r="K14" i="247"/>
  <c r="V91" i="62" s="1"/>
  <c r="N91" i="62" s="1"/>
  <c r="N14" i="247"/>
  <c r="U91" i="63" s="1"/>
  <c r="M91" i="63" s="1"/>
  <c r="V14" i="247"/>
  <c r="V88" i="50" s="1"/>
  <c r="M88" i="50" s="1"/>
  <c r="L14" i="247"/>
  <c r="V89" i="58" s="1"/>
  <c r="M89" i="58" s="1"/>
  <c r="J14" i="247"/>
  <c r="U91" i="52" s="1"/>
  <c r="M91" i="52" s="1"/>
  <c r="I15" i="247"/>
  <c r="V91" i="51" s="1"/>
  <c r="N91" i="51" s="1"/>
  <c r="V15" i="247"/>
  <c r="V89" i="50" s="1"/>
  <c r="M89" i="50" s="1"/>
  <c r="M15" i="247"/>
  <c r="V90" i="59" s="1"/>
  <c r="M90" i="59" s="1"/>
  <c r="O15" i="247"/>
  <c r="V95" i="65" s="1"/>
  <c r="M95" i="65" s="1"/>
  <c r="J15" i="247"/>
  <c r="U92" i="52" s="1"/>
  <c r="M92" i="52" s="1"/>
  <c r="L15" i="247"/>
  <c r="V90" i="58" s="1"/>
  <c r="M90" i="58" s="1"/>
  <c r="T15" i="247"/>
  <c r="W93" i="35" s="1"/>
  <c r="N93" i="35" s="1"/>
  <c r="F15" i="247"/>
  <c r="W87" i="98" s="1"/>
  <c r="M87" i="98" s="1"/>
  <c r="W15" i="247"/>
  <c r="X92" i="66" s="1"/>
  <c r="M92" i="66" s="1"/>
  <c r="N15" i="247"/>
  <c r="U92" i="63" s="1"/>
  <c r="M92" i="63" s="1"/>
  <c r="Q15" i="247"/>
  <c r="V95" i="64" s="1"/>
  <c r="M95" i="64" s="1"/>
  <c r="P15" i="247"/>
  <c r="X95" i="33" s="1"/>
  <c r="M95" i="33" s="1"/>
  <c r="S15" i="247"/>
  <c r="V92" i="60" s="1"/>
  <c r="M92" i="60" s="1"/>
  <c r="U15" i="247"/>
  <c r="V92" i="61" s="1"/>
  <c r="M92" i="61" s="1"/>
  <c r="E15" i="247"/>
  <c r="V88" i="57" s="1"/>
  <c r="M88" i="57" s="1"/>
  <c r="K15" i="247"/>
  <c r="V92" i="62" s="1"/>
  <c r="N92" i="62" s="1"/>
  <c r="E16" i="247"/>
  <c r="V89" i="57" s="1"/>
  <c r="M89" i="57" s="1"/>
  <c r="Q16" i="247"/>
  <c r="V96" i="64" s="1"/>
  <c r="M96" i="64" s="1"/>
  <c r="M16" i="247"/>
  <c r="V91" i="59" s="1"/>
  <c r="M91" i="59" s="1"/>
  <c r="U16" i="247"/>
  <c r="V93" i="61" s="1"/>
  <c r="M93" i="61" s="1"/>
  <c r="S16" i="247"/>
  <c r="V93" i="60" s="1"/>
  <c r="M93" i="60" s="1"/>
  <c r="W16" i="247"/>
  <c r="X93" i="66" s="1"/>
  <c r="M93" i="66" s="1"/>
  <c r="I16" i="247"/>
  <c r="V92" i="51" s="1"/>
  <c r="N92" i="51" s="1"/>
  <c r="F16" i="247"/>
  <c r="W88" i="98" s="1"/>
  <c r="M88" i="98" s="1"/>
  <c r="J16" i="247"/>
  <c r="U93" i="52" s="1"/>
  <c r="M93" i="52" s="1"/>
  <c r="N16" i="247"/>
  <c r="U93" i="63" s="1"/>
  <c r="M93" i="63" s="1"/>
  <c r="K16" i="247"/>
  <c r="V93" i="62" s="1"/>
  <c r="N93" i="62" s="1"/>
  <c r="G16" i="247"/>
  <c r="W89" i="54" s="1"/>
  <c r="M89" i="54" s="1"/>
  <c r="O16" i="247"/>
  <c r="V96" i="65" s="1"/>
  <c r="M96" i="65" s="1"/>
  <c r="L16" i="247"/>
  <c r="V91" i="58" s="1"/>
  <c r="M91" i="58" s="1"/>
  <c r="T16" i="247"/>
  <c r="W94" i="35" s="1"/>
  <c r="N94" i="35" s="1"/>
  <c r="C16" i="247"/>
  <c r="W88" i="48" s="1"/>
  <c r="V16" i="247"/>
  <c r="V90" i="50" s="1"/>
  <c r="M90" i="50" s="1"/>
  <c r="P16" i="247"/>
  <c r="X96" i="33" s="1"/>
  <c r="M96" i="33" s="1"/>
  <c r="R16" i="247"/>
  <c r="V88" i="49" s="1"/>
  <c r="M88" i="49" s="1"/>
  <c r="N88" i="49" s="1"/>
  <c r="D15" i="247"/>
  <c r="V90" i="55" s="1"/>
  <c r="M90" i="55" s="1"/>
  <c r="H15" i="247"/>
  <c r="V90" i="53" s="1"/>
  <c r="M90" i="53" s="1"/>
  <c r="R13" i="247"/>
  <c r="V85" i="49" s="1"/>
  <c r="M85" i="49" s="1"/>
  <c r="N85" i="49" s="1"/>
  <c r="C12" i="247"/>
  <c r="W84" i="48" s="1"/>
  <c r="V17" i="247"/>
  <c r="V91" i="50" s="1"/>
  <c r="M91" i="50" s="1"/>
  <c r="E17" i="247"/>
  <c r="V90" i="57" s="1"/>
  <c r="M90" i="57" s="1"/>
  <c r="S17" i="247"/>
  <c r="V94" i="60" s="1"/>
  <c r="M94" i="60" s="1"/>
  <c r="H16" i="247"/>
  <c r="V91" i="53" s="1"/>
  <c r="M91" i="53" s="1"/>
  <c r="G17" i="247"/>
  <c r="W90" i="54" s="1"/>
  <c r="M90" i="54" s="1"/>
  <c r="H14" i="247"/>
  <c r="V89" i="53" s="1"/>
  <c r="M89" i="53" s="1"/>
  <c r="D17" i="247"/>
  <c r="V92" i="55" s="1"/>
  <c r="M92" i="55" s="1"/>
  <c r="R14" i="247"/>
  <c r="V86" i="49" s="1"/>
  <c r="M86" i="49" s="1"/>
  <c r="N86" i="49" s="1"/>
  <c r="C13" i="247"/>
  <c r="W85" i="48" s="1"/>
  <c r="J17" i="247"/>
  <c r="U94" i="52" s="1"/>
  <c r="M94" i="52" s="1"/>
  <c r="R17" i="247"/>
  <c r="V89" i="49" s="1"/>
  <c r="M89" i="49" s="1"/>
  <c r="N89" i="49" s="1"/>
  <c r="L17" i="247"/>
  <c r="V92" i="58" s="1"/>
  <c r="M92" i="58" s="1"/>
  <c r="G10" i="247"/>
  <c r="W83" i="54" s="1"/>
  <c r="M83" i="54" s="1"/>
  <c r="N17" i="247"/>
  <c r="U94" i="63" s="1"/>
  <c r="M94" i="63" s="1"/>
  <c r="C11" i="247"/>
  <c r="W83" i="48" s="1"/>
  <c r="D10" i="247"/>
  <c r="V85" i="55" s="1"/>
  <c r="M85" i="55" s="1"/>
  <c r="H10" i="247"/>
  <c r="V85" i="53" s="1"/>
  <c r="M85" i="53" s="1"/>
  <c r="R15" i="247"/>
  <c r="V87" i="49" s="1"/>
  <c r="M87" i="49" s="1"/>
  <c r="N87" i="49" s="1"/>
  <c r="C14" i="247"/>
  <c r="W86" i="48" s="1"/>
  <c r="U17" i="247"/>
  <c r="V94" i="61" s="1"/>
  <c r="M94" i="61" s="1"/>
  <c r="F17" i="247"/>
  <c r="W89" i="98" s="1"/>
  <c r="M89" i="98" s="1"/>
  <c r="G9" i="247"/>
  <c r="W82" i="54" s="1"/>
  <c r="M82" i="54" s="1"/>
  <c r="G12" i="247"/>
  <c r="W85" i="54" s="1"/>
  <c r="M85" i="54" s="1"/>
  <c r="G13" i="247"/>
  <c r="W86" i="54" s="1"/>
  <c r="M86" i="54" s="1"/>
  <c r="M17" i="247"/>
  <c r="V92" i="59" s="1"/>
  <c r="M92" i="59" s="1"/>
  <c r="C17" i="247"/>
  <c r="W89" i="48" s="1"/>
  <c r="D11" i="247"/>
  <c r="V86" i="55" s="1"/>
  <c r="M86" i="55" s="1"/>
  <c r="H9" i="247"/>
  <c r="V84" i="53" s="1"/>
  <c r="M84" i="53" s="1"/>
  <c r="D16" i="247"/>
  <c r="V91" i="55" s="1"/>
  <c r="M91" i="55" s="1"/>
  <c r="C15" i="247"/>
  <c r="W87" i="48" s="1"/>
  <c r="K17" i="247"/>
  <c r="V94" i="62" s="1"/>
  <c r="N94" i="62" s="1"/>
  <c r="W17" i="247"/>
  <c r="X94" i="66" s="1"/>
  <c r="M94" i="66" s="1"/>
  <c r="G11" i="247"/>
  <c r="W84" i="54" s="1"/>
  <c r="M84" i="54" s="1"/>
  <c r="I17" i="247"/>
  <c r="V93" i="51" s="1"/>
  <c r="N93" i="51" s="1"/>
  <c r="R12" i="247"/>
  <c r="V84" i="49" s="1"/>
  <c r="M84" i="49" s="1"/>
  <c r="N84" i="49" s="1"/>
  <c r="G15" i="247"/>
  <c r="W88" i="54" s="1"/>
  <c r="M88" i="54" s="1"/>
  <c r="D9" i="247"/>
  <c r="V84" i="55" s="1"/>
  <c r="M84" i="55" s="1"/>
  <c r="H11" i="247"/>
  <c r="V86" i="53" s="1"/>
  <c r="M86" i="53" s="1"/>
  <c r="R10" i="247"/>
  <c r="V82" i="49" s="1"/>
  <c r="M82" i="49" s="1"/>
  <c r="N82" i="49" s="1"/>
  <c r="H17" i="247"/>
  <c r="V92" i="53" s="1"/>
  <c r="M92" i="53" s="1"/>
  <c r="G14" i="247"/>
  <c r="W87" i="54" s="1"/>
  <c r="M87" i="54" s="1"/>
  <c r="D14" i="247"/>
  <c r="V89" i="55" s="1"/>
  <c r="M89" i="55" s="1"/>
  <c r="Q17" i="247"/>
  <c r="V97" i="64" s="1"/>
  <c r="M97" i="64" s="1"/>
  <c r="D12" i="247"/>
  <c r="V87" i="55" s="1"/>
  <c r="M87" i="55" s="1"/>
  <c r="H12" i="247"/>
  <c r="V87" i="53" s="1"/>
  <c r="M87" i="53" s="1"/>
  <c r="R11" i="247"/>
  <c r="V83" i="49" s="1"/>
  <c r="M83" i="49" s="1"/>
  <c r="N83" i="49" s="1"/>
  <c r="C10" i="247"/>
  <c r="W82" i="48" s="1"/>
  <c r="P17" i="247"/>
  <c r="X97" i="33" s="1"/>
  <c r="M97" i="33" s="1"/>
  <c r="D13" i="247"/>
  <c r="V88" i="55" s="1"/>
  <c r="M88" i="55" s="1"/>
  <c r="H13" i="247"/>
  <c r="V88" i="53" s="1"/>
  <c r="M88" i="53" s="1"/>
  <c r="R9" i="247"/>
  <c r="V81" i="49" s="1"/>
  <c r="M81" i="49" s="1"/>
  <c r="N81" i="49" s="1"/>
  <c r="C9" i="247"/>
  <c r="W81" i="48" s="1"/>
  <c r="T17" i="247"/>
  <c r="W95" i="35" s="1"/>
  <c r="N95" i="35" s="1"/>
  <c r="O17" i="247"/>
  <c r="V97" i="65" s="1"/>
  <c r="M97" i="65" s="1"/>
  <c r="T18" i="247"/>
  <c r="W96" i="35" s="1"/>
  <c r="N96" i="35" s="1"/>
  <c r="C18" i="247"/>
  <c r="W90" i="48" s="1"/>
  <c r="F18" i="247"/>
  <c r="W90" i="98" s="1"/>
  <c r="M90" i="98" s="1"/>
  <c r="O18" i="247"/>
  <c r="V98" i="65" s="1"/>
  <c r="M98" i="65" s="1"/>
  <c r="W18" i="247"/>
  <c r="X95" i="66" s="1"/>
  <c r="M95" i="66" s="1"/>
  <c r="D18" i="247"/>
  <c r="V93" i="55" s="1"/>
  <c r="M93" i="55" s="1"/>
  <c r="G18" i="247"/>
  <c r="W91" i="54" s="1"/>
  <c r="M91" i="54" s="1"/>
  <c r="U18" i="247"/>
  <c r="V95" i="61" s="1"/>
  <c r="M95" i="61" s="1"/>
  <c r="E18" i="247"/>
  <c r="V91" i="57" s="1"/>
  <c r="M91" i="57" s="1"/>
  <c r="P18" i="247"/>
  <c r="X98" i="33" s="1"/>
  <c r="M98" i="33" s="1"/>
  <c r="J18" i="247"/>
  <c r="U95" i="52" s="1"/>
  <c r="M95" i="52" s="1"/>
  <c r="V18" i="247"/>
  <c r="V92" i="50" s="1"/>
  <c r="M92" i="50" s="1"/>
  <c r="H18" i="247"/>
  <c r="V93" i="53" s="1"/>
  <c r="M93" i="53" s="1"/>
  <c r="K18" i="247"/>
  <c r="V95" i="62" s="1"/>
  <c r="N95" i="62" s="1"/>
  <c r="Q18" i="247"/>
  <c r="V98" i="64" s="1"/>
  <c r="M98" i="64" s="1"/>
  <c r="R18" i="247"/>
  <c r="V90" i="49" s="1"/>
  <c r="M90" i="49" s="1"/>
  <c r="N90" i="49" s="1"/>
  <c r="M18" i="247"/>
  <c r="V93" i="59" s="1"/>
  <c r="M93" i="59" s="1"/>
  <c r="S18" i="247"/>
  <c r="V95" i="60" s="1"/>
  <c r="M95" i="60" s="1"/>
  <c r="I18" i="247"/>
  <c r="V94" i="51" s="1"/>
  <c r="N94" i="51" s="1"/>
  <c r="N18" i="247"/>
  <c r="U95" i="63" s="1"/>
  <c r="M95" i="63" s="1"/>
  <c r="L18" i="247"/>
  <c r="V93" i="58" s="1"/>
  <c r="M93" i="58" s="1"/>
  <c r="F19" i="247"/>
  <c r="W91" i="98" s="1"/>
  <c r="M91" i="98" s="1"/>
  <c r="H19" i="247"/>
  <c r="V94" i="53" s="1"/>
  <c r="M94" i="53" s="1"/>
  <c r="L19" i="247"/>
  <c r="V94" i="58" s="1"/>
  <c r="M94" i="58" s="1"/>
  <c r="O19" i="247"/>
  <c r="V99" i="65" s="1"/>
  <c r="M99" i="65" s="1"/>
  <c r="V19" i="247"/>
  <c r="V93" i="50" s="1"/>
  <c r="M93" i="50" s="1"/>
  <c r="Q19" i="247"/>
  <c r="V99" i="64" s="1"/>
  <c r="M99" i="64" s="1"/>
  <c r="U19" i="247"/>
  <c r="V96" i="61" s="1"/>
  <c r="M96" i="61" s="1"/>
  <c r="P19" i="247"/>
  <c r="X99" i="33" s="1"/>
  <c r="M99" i="33" s="1"/>
  <c r="I19" i="247"/>
  <c r="V95" i="51" s="1"/>
  <c r="N95" i="51" s="1"/>
  <c r="E19" i="247"/>
  <c r="V92" i="57" s="1"/>
  <c r="M92" i="57" s="1"/>
  <c r="D19" i="247"/>
  <c r="V94" i="55" s="1"/>
  <c r="M94" i="55" s="1"/>
  <c r="R19" i="247"/>
  <c r="V91" i="49" s="1"/>
  <c r="M91" i="49" s="1"/>
  <c r="N91" i="49" s="1"/>
  <c r="W19" i="247"/>
  <c r="X96" i="66" s="1"/>
  <c r="M96" i="66" s="1"/>
  <c r="K19" i="247"/>
  <c r="V96" i="62" s="1"/>
  <c r="N96" i="62" s="1"/>
  <c r="J19" i="247"/>
  <c r="U96" i="52" s="1"/>
  <c r="M96" i="52" s="1"/>
  <c r="C19" i="247"/>
  <c r="W91" i="48" s="1"/>
  <c r="N19" i="247"/>
  <c r="U96" i="63" s="1"/>
  <c r="M96" i="63" s="1"/>
  <c r="T19" i="247"/>
  <c r="W97" i="35" s="1"/>
  <c r="N97" i="35" s="1"/>
  <c r="M19" i="247"/>
  <c r="V94" i="59" s="1"/>
  <c r="M94" i="59" s="1"/>
  <c r="G19" i="247"/>
  <c r="W92" i="54" s="1"/>
  <c r="M92" i="54" s="1"/>
  <c r="S19" i="247"/>
  <c r="V96" i="60" s="1"/>
  <c r="M96" i="60" s="1"/>
  <c r="V20" i="247"/>
  <c r="V94" i="50" s="1"/>
  <c r="M94" i="50" s="1"/>
  <c r="P20" i="247"/>
  <c r="X100" i="33" s="1"/>
  <c r="M100" i="33" s="1"/>
  <c r="R20" i="247"/>
  <c r="V92" i="49" s="1"/>
  <c r="M92" i="49" s="1"/>
  <c r="N92" i="49" s="1"/>
  <c r="I20" i="247"/>
  <c r="V96" i="51" s="1"/>
  <c r="N96" i="51" s="1"/>
  <c r="G20" i="247"/>
  <c r="W93" i="54" s="1"/>
  <c r="M93" i="54" s="1"/>
  <c r="E20" i="247"/>
  <c r="V93" i="57" s="1"/>
  <c r="M93" i="57" s="1"/>
  <c r="N20" i="247"/>
  <c r="U97" i="63" s="1"/>
  <c r="M97" i="63" s="1"/>
  <c r="L20" i="247"/>
  <c r="V95" i="58" s="1"/>
  <c r="M95" i="58" s="1"/>
  <c r="M20" i="247"/>
  <c r="V95" i="59" s="1"/>
  <c r="M95" i="59" s="1"/>
  <c r="F20" i="247"/>
  <c r="W92" i="98" s="1"/>
  <c r="M92" i="98" s="1"/>
  <c r="T20" i="247"/>
  <c r="W98" i="35" s="1"/>
  <c r="N98" i="35" s="1"/>
  <c r="U20" i="247"/>
  <c r="V97" i="61" s="1"/>
  <c r="M97" i="61" s="1"/>
  <c r="Q20" i="247"/>
  <c r="V100" i="64" s="1"/>
  <c r="M100" i="64" s="1"/>
  <c r="S20" i="247"/>
  <c r="V97" i="60" s="1"/>
  <c r="M97" i="60" s="1"/>
  <c r="O20" i="247"/>
  <c r="V100" i="65" s="1"/>
  <c r="M100" i="65" s="1"/>
  <c r="C20" i="247"/>
  <c r="W92" i="48" s="1"/>
  <c r="W20" i="247"/>
  <c r="X97" i="66" s="1"/>
  <c r="M97" i="66" s="1"/>
  <c r="H20" i="247"/>
  <c r="V95" i="53" s="1"/>
  <c r="M95" i="53" s="1"/>
  <c r="K20" i="247"/>
  <c r="V97" i="62" s="1"/>
  <c r="N97" i="62" s="1"/>
  <c r="J20" i="247"/>
  <c r="U97" i="52" s="1"/>
  <c r="M97" i="52" s="1"/>
  <c r="D20" i="247"/>
  <c r="V95" i="55" s="1"/>
  <c r="M95" i="55" s="1"/>
  <c r="J21" i="247"/>
  <c r="U98" i="52" s="1"/>
  <c r="M98" i="52" s="1"/>
  <c r="E21" i="247"/>
  <c r="V94" i="57" s="1"/>
  <c r="M94" i="57" s="1"/>
  <c r="Q21" i="247"/>
  <c r="V101" i="64" s="1"/>
  <c r="M101" i="64" s="1"/>
  <c r="V21" i="247"/>
  <c r="V95" i="50" s="1"/>
  <c r="M95" i="50" s="1"/>
  <c r="F21" i="247"/>
  <c r="W93" i="98" s="1"/>
  <c r="M93" i="98" s="1"/>
  <c r="K21" i="247"/>
  <c r="V98" i="62" s="1"/>
  <c r="N98" i="62" s="1"/>
  <c r="M21" i="247"/>
  <c r="V96" i="59" s="1"/>
  <c r="M96" i="59" s="1"/>
  <c r="W21" i="247"/>
  <c r="X98" i="66" s="1"/>
  <c r="M98" i="66" s="1"/>
  <c r="I21" i="247"/>
  <c r="V97" i="51" s="1"/>
  <c r="N97" i="51" s="1"/>
  <c r="L21" i="247"/>
  <c r="V96" i="58" s="1"/>
  <c r="M96" i="58" s="1"/>
  <c r="T21" i="247"/>
  <c r="W99" i="35" s="1"/>
  <c r="N99" i="35" s="1"/>
  <c r="S21" i="247"/>
  <c r="V98" i="60" s="1"/>
  <c r="M98" i="60" s="1"/>
  <c r="U21" i="247"/>
  <c r="V98" i="61" s="1"/>
  <c r="M98" i="61" s="1"/>
  <c r="G21" i="247"/>
  <c r="W94" i="54" s="1"/>
  <c r="M94" i="54" s="1"/>
  <c r="D21" i="247"/>
  <c r="V96" i="55" s="1"/>
  <c r="M96" i="55" s="1"/>
  <c r="R21" i="247"/>
  <c r="V93" i="49" s="1"/>
  <c r="M93" i="49" s="1"/>
  <c r="N93" i="49" s="1"/>
  <c r="O21" i="247"/>
  <c r="V101" i="65" s="1"/>
  <c r="M101" i="65" s="1"/>
  <c r="P21" i="247"/>
  <c r="X101" i="33" s="1"/>
  <c r="M101" i="33" s="1"/>
  <c r="C21" i="247"/>
  <c r="W93" i="48" s="1"/>
  <c r="N21" i="247"/>
  <c r="U98" i="63" s="1"/>
  <c r="M98" i="63" s="1"/>
  <c r="H21" i="247"/>
  <c r="V96" i="53" s="1"/>
  <c r="M96" i="53" s="1"/>
  <c r="H22" i="247"/>
  <c r="V97" i="53" s="1"/>
  <c r="M97" i="53" s="1"/>
  <c r="C22" i="247"/>
  <c r="W94" i="48" s="1"/>
  <c r="Q22" i="247"/>
  <c r="V102" i="64" s="1"/>
  <c r="M102" i="64" s="1"/>
  <c r="N22" i="247"/>
  <c r="U99" i="63" s="1"/>
  <c r="M99" i="63" s="1"/>
  <c r="G22" i="247"/>
  <c r="W95" i="54" s="1"/>
  <c r="M95" i="54" s="1"/>
  <c r="D22" i="247"/>
  <c r="V97" i="55" s="1"/>
  <c r="M97" i="55" s="1"/>
  <c r="S22" i="247"/>
  <c r="V99" i="60" s="1"/>
  <c r="M99" i="60" s="1"/>
  <c r="J22" i="247"/>
  <c r="U99" i="52" s="1"/>
  <c r="M99" i="52" s="1"/>
  <c r="P22" i="247"/>
  <c r="X102" i="33" s="1"/>
  <c r="M102" i="33" s="1"/>
  <c r="U22" i="247"/>
  <c r="V99" i="61" s="1"/>
  <c r="M99" i="61" s="1"/>
  <c r="L22" i="247"/>
  <c r="V97" i="58" s="1"/>
  <c r="M97" i="58" s="1"/>
  <c r="R22" i="247"/>
  <c r="V94" i="49" s="1"/>
  <c r="M94" i="49" s="1"/>
  <c r="N94" i="49" s="1"/>
  <c r="W22" i="247"/>
  <c r="X99" i="66" s="1"/>
  <c r="M99" i="66" s="1"/>
  <c r="O22" i="247"/>
  <c r="V102" i="65" s="1"/>
  <c r="M102" i="65" s="1"/>
  <c r="K22" i="247"/>
  <c r="V99" i="62" s="1"/>
  <c r="N99" i="62" s="1"/>
  <c r="E22" i="247"/>
  <c r="V95" i="57" s="1"/>
  <c r="M95" i="57" s="1"/>
  <c r="T22" i="247"/>
  <c r="W100" i="35" s="1"/>
  <c r="N100" i="35" s="1"/>
  <c r="V22" i="247"/>
  <c r="V96" i="50" s="1"/>
  <c r="M96" i="50" s="1"/>
  <c r="F22" i="247"/>
  <c r="W94" i="98" s="1"/>
  <c r="M94" i="98" s="1"/>
  <c r="M22" i="247"/>
  <c r="V97" i="59" s="1"/>
  <c r="M97" i="59" s="1"/>
  <c r="I22" i="247"/>
  <c r="V98" i="51" s="1"/>
  <c r="N98" i="51" s="1"/>
  <c r="G23" i="247"/>
  <c r="W96" i="54" s="1"/>
  <c r="M96" i="54" s="1"/>
  <c r="P23" i="247"/>
  <c r="X103" i="33" s="1"/>
  <c r="M103" i="33" s="1"/>
  <c r="D23" i="247"/>
  <c r="V98" i="55" s="1"/>
  <c r="M98" i="55" s="1"/>
  <c r="U23" i="247"/>
  <c r="V100" i="61" s="1"/>
  <c r="M100" i="61" s="1"/>
  <c r="C23" i="247"/>
  <c r="W95" i="48" s="1"/>
  <c r="M23" i="247"/>
  <c r="V98" i="59" s="1"/>
  <c r="M98" i="59" s="1"/>
  <c r="R23" i="247"/>
  <c r="V95" i="49" s="1"/>
  <c r="M95" i="49" s="1"/>
  <c r="N95" i="49" s="1"/>
  <c r="T23" i="247"/>
  <c r="W101" i="35" s="1"/>
  <c r="N101" i="35" s="1"/>
  <c r="W23" i="247"/>
  <c r="X100" i="66" s="1"/>
  <c r="M100" i="66" s="1"/>
  <c r="H23" i="247"/>
  <c r="V98" i="53" s="1"/>
  <c r="M98" i="53" s="1"/>
  <c r="S23" i="247"/>
  <c r="V100" i="60" s="1"/>
  <c r="M100" i="60" s="1"/>
  <c r="O23" i="247"/>
  <c r="V103" i="65" s="1"/>
  <c r="M103" i="65" s="1"/>
  <c r="V23" i="247"/>
  <c r="V97" i="50" s="1"/>
  <c r="M97" i="50" s="1"/>
  <c r="Q23" i="247"/>
  <c r="V103" i="64" s="1"/>
  <c r="M103" i="64" s="1"/>
  <c r="E23" i="247"/>
  <c r="V96" i="57" s="1"/>
  <c r="M96" i="57" s="1"/>
  <c r="I23" i="247"/>
  <c r="V99" i="51" s="1"/>
  <c r="N99" i="51" s="1"/>
  <c r="L23" i="247"/>
  <c r="V98" i="58" s="1"/>
  <c r="M98" i="58" s="1"/>
  <c r="N23" i="247"/>
  <c r="U100" i="63" s="1"/>
  <c r="M100" i="63" s="1"/>
  <c r="J23" i="247"/>
  <c r="U100" i="52" s="1"/>
  <c r="M100" i="52" s="1"/>
  <c r="F23" i="247"/>
  <c r="W95" i="98" s="1"/>
  <c r="M95" i="98" s="1"/>
  <c r="K23" i="247"/>
  <c r="V100" i="62" s="1"/>
  <c r="N100" i="62" s="1"/>
  <c r="C24" i="247"/>
  <c r="W96" i="48" s="1"/>
  <c r="O24" i="247"/>
  <c r="V104" i="65" s="1"/>
  <c r="M104" i="65" s="1"/>
  <c r="Q24" i="247"/>
  <c r="V104" i="64" s="1"/>
  <c r="M104" i="64" s="1"/>
  <c r="K24" i="247"/>
  <c r="V101" i="62" s="1"/>
  <c r="N101" i="62" s="1"/>
  <c r="P24" i="247"/>
  <c r="X104" i="33" s="1"/>
  <c r="M104" i="33" s="1"/>
  <c r="S24" i="247"/>
  <c r="V101" i="60" s="1"/>
  <c r="M101" i="60" s="1"/>
  <c r="U24" i="247"/>
  <c r="V101" i="61" s="1"/>
  <c r="M101" i="61" s="1"/>
  <c r="F24" i="247"/>
  <c r="W96" i="98" s="1"/>
  <c r="M96" i="98" s="1"/>
  <c r="D24" i="247"/>
  <c r="V99" i="55" s="1"/>
  <c r="M99" i="55" s="1"/>
  <c r="G24" i="247"/>
  <c r="W97" i="54" s="1"/>
  <c r="M97" i="54" s="1"/>
  <c r="V24" i="247"/>
  <c r="V98" i="50" s="1"/>
  <c r="M98" i="50" s="1"/>
  <c r="W24" i="247"/>
  <c r="X101" i="66" s="1"/>
  <c r="M101" i="66" s="1"/>
  <c r="J24" i="247"/>
  <c r="U101" i="52" s="1"/>
  <c r="M101" i="52" s="1"/>
  <c r="N24" i="247"/>
  <c r="U101" i="63" s="1"/>
  <c r="M101" i="63" s="1"/>
  <c r="H24" i="247"/>
  <c r="V99" i="53" s="1"/>
  <c r="M99" i="53" s="1"/>
  <c r="T24" i="247"/>
  <c r="W102" i="35" s="1"/>
  <c r="N102" i="35" s="1"/>
  <c r="E24" i="247"/>
  <c r="V97" i="57" s="1"/>
  <c r="M97" i="57" s="1"/>
  <c r="I24" i="247"/>
  <c r="V100" i="51" s="1"/>
  <c r="N100" i="51" s="1"/>
  <c r="L24" i="247"/>
  <c r="V99" i="58" s="1"/>
  <c r="M99" i="58" s="1"/>
  <c r="R24" i="247"/>
  <c r="V96" i="49" s="1"/>
  <c r="M96" i="49" s="1"/>
  <c r="N96" i="49" s="1"/>
  <c r="M24" i="247"/>
  <c r="V99" i="59" s="1"/>
  <c r="M99" i="59" s="1"/>
  <c r="T25" i="247"/>
  <c r="W103" i="35" s="1"/>
  <c r="N103" i="35" s="1"/>
  <c r="M25" i="247"/>
  <c r="V100" i="59" s="1"/>
  <c r="M100" i="59" s="1"/>
  <c r="S25" i="247"/>
  <c r="V102" i="60" s="1"/>
  <c r="M102" i="60" s="1"/>
  <c r="H25" i="247"/>
  <c r="V100" i="53" s="1"/>
  <c r="M100" i="53" s="1"/>
  <c r="N25" i="247"/>
  <c r="U102" i="63" s="1"/>
  <c r="M102" i="63" s="1"/>
  <c r="Q25" i="247"/>
  <c r="V105" i="64" s="1"/>
  <c r="M105" i="64" s="1"/>
  <c r="R25" i="247"/>
  <c r="V97" i="49" s="1"/>
  <c r="M97" i="49" s="1"/>
  <c r="N97" i="49" s="1"/>
  <c r="D25" i="247"/>
  <c r="V100" i="55" s="1"/>
  <c r="M100" i="55" s="1"/>
  <c r="L25" i="247"/>
  <c r="V100" i="58" s="1"/>
  <c r="M100" i="58" s="1"/>
  <c r="I25" i="247"/>
  <c r="V101" i="51" s="1"/>
  <c r="N101" i="51" s="1"/>
  <c r="C25" i="247"/>
  <c r="W97" i="48" s="1"/>
  <c r="F25" i="247"/>
  <c r="W97" i="98" s="1"/>
  <c r="M97" i="98" s="1"/>
  <c r="O25" i="247"/>
  <c r="V105" i="65" s="1"/>
  <c r="M105" i="65" s="1"/>
  <c r="W25" i="247"/>
  <c r="X102" i="66" s="1"/>
  <c r="M102" i="66" s="1"/>
  <c r="U25" i="247"/>
  <c r="V102" i="61" s="1"/>
  <c r="M102" i="61" s="1"/>
  <c r="G25" i="247"/>
  <c r="W98" i="54" s="1"/>
  <c r="M98" i="54" s="1"/>
  <c r="K25" i="247"/>
  <c r="V102" i="62" s="1"/>
  <c r="N102" i="62" s="1"/>
  <c r="E25" i="247"/>
  <c r="V98" i="57" s="1"/>
  <c r="M98" i="57" s="1"/>
  <c r="P25" i="247"/>
  <c r="X105" i="33" s="1"/>
  <c r="M105" i="33" s="1"/>
  <c r="J25" i="247"/>
  <c r="U102" i="52" s="1"/>
  <c r="M102" i="52" s="1"/>
  <c r="V25" i="247"/>
  <c r="V99" i="50" s="1"/>
  <c r="M99" i="50" s="1"/>
  <c r="K26" i="247"/>
  <c r="V103" i="62" s="1"/>
  <c r="W26" i="247"/>
  <c r="X103" i="66" s="1"/>
  <c r="D26" i="247"/>
  <c r="V101" i="55" s="1"/>
  <c r="M101" i="55" s="1"/>
  <c r="L26" i="247"/>
  <c r="V101" i="58" s="1"/>
  <c r="O26" i="247"/>
  <c r="V106" i="65" s="1"/>
  <c r="H26" i="247"/>
  <c r="V101" i="53" s="1"/>
  <c r="R26" i="247"/>
  <c r="V98" i="49" s="1"/>
  <c r="M98" i="49" s="1"/>
  <c r="N98" i="49" s="1"/>
  <c r="E26" i="247"/>
  <c r="V99" i="57" s="1"/>
  <c r="C26" i="247"/>
  <c r="W98" i="48" s="1"/>
  <c r="J26" i="247"/>
  <c r="U103" i="52" s="1"/>
  <c r="T26" i="247"/>
  <c r="W104" i="35" s="1"/>
  <c r="N104" i="35" s="1"/>
  <c r="P26" i="247"/>
  <c r="X106" i="33" s="1"/>
  <c r="Q26" i="247"/>
  <c r="V106" i="64" s="1"/>
  <c r="F26" i="247"/>
  <c r="W98" i="98" s="1"/>
  <c r="U26" i="247"/>
  <c r="V103" i="61" s="1"/>
  <c r="M103" i="61" s="1"/>
  <c r="V26" i="247"/>
  <c r="V100" i="50" s="1"/>
  <c r="M100" i="50" s="1"/>
  <c r="N26" i="247"/>
  <c r="U103" i="63" s="1"/>
  <c r="M26" i="247"/>
  <c r="V101" i="59" s="1"/>
  <c r="S26" i="247"/>
  <c r="V103" i="60" s="1"/>
  <c r="M103" i="60" s="1"/>
  <c r="G26" i="247"/>
  <c r="W99" i="54" s="1"/>
  <c r="M99" i="54" s="1"/>
  <c r="I26" i="247"/>
  <c r="V102" i="51" s="1"/>
  <c r="C27" i="247"/>
  <c r="W99" i="48" s="1"/>
  <c r="I27" i="247"/>
  <c r="V103" i="51" s="1"/>
  <c r="U27" i="247"/>
  <c r="V104" i="61" s="1"/>
  <c r="K27" i="247"/>
  <c r="V104" i="62" s="1"/>
  <c r="O27" i="247"/>
  <c r="V107" i="65" s="1"/>
  <c r="H27" i="247"/>
  <c r="V102" i="53" s="1"/>
  <c r="V27" i="247"/>
  <c r="V101" i="50" s="1"/>
  <c r="L27" i="247"/>
  <c r="V102" i="58" s="1"/>
  <c r="D27" i="247"/>
  <c r="V102" i="55" s="1"/>
  <c r="S27" i="247"/>
  <c r="V104" i="60" s="1"/>
  <c r="R27" i="247"/>
  <c r="V99" i="49" s="1"/>
  <c r="M99" i="49" s="1"/>
  <c r="N99" i="49" s="1"/>
  <c r="G27" i="247"/>
  <c r="W100" i="54" s="1"/>
  <c r="M100" i="54" s="1"/>
  <c r="E27" i="247"/>
  <c r="V100" i="57" s="1"/>
  <c r="F27" i="247"/>
  <c r="W99" i="98" s="1"/>
  <c r="N27" i="247"/>
  <c r="U104" i="63" s="1"/>
  <c r="P27" i="247"/>
  <c r="X107" i="33" s="1"/>
  <c r="Q27" i="247"/>
  <c r="V107" i="64" s="1"/>
  <c r="W27" i="247"/>
  <c r="X104" i="66" s="1"/>
  <c r="T27" i="247"/>
  <c r="W105" i="35" s="1"/>
  <c r="J27" i="247"/>
  <c r="U104" i="52" s="1"/>
  <c r="M27" i="247"/>
  <c r="V102" i="59" s="1"/>
  <c r="E28" i="247"/>
  <c r="V101" i="57" s="1"/>
  <c r="H28" i="247"/>
  <c r="V103" i="53" s="1"/>
  <c r="I28" i="247"/>
  <c r="V104" i="51" s="1"/>
  <c r="P28" i="247"/>
  <c r="X108" i="33" s="1"/>
  <c r="M28" i="247"/>
  <c r="V103" i="59" s="1"/>
  <c r="T28" i="247"/>
  <c r="W106" i="35" s="1"/>
  <c r="V28" i="247"/>
  <c r="V102" i="50" s="1"/>
  <c r="R28" i="247"/>
  <c r="V100" i="49" s="1"/>
  <c r="M100" i="49" s="1"/>
  <c r="N100" i="49" s="1"/>
  <c r="W28" i="247"/>
  <c r="X105" i="66" s="1"/>
  <c r="D28" i="247"/>
  <c r="V103" i="55" s="1"/>
  <c r="C28" i="247"/>
  <c r="W100" i="48" s="1"/>
  <c r="L28" i="247"/>
  <c r="V103" i="58" s="1"/>
  <c r="O28" i="247"/>
  <c r="V108" i="65" s="1"/>
  <c r="U28" i="247"/>
  <c r="V105" i="61" s="1"/>
  <c r="N28" i="247"/>
  <c r="U105" i="63" s="1"/>
  <c r="Q28" i="247"/>
  <c r="V108" i="64" s="1"/>
  <c r="J28" i="247"/>
  <c r="U105" i="52" s="1"/>
  <c r="F28" i="247"/>
  <c r="W100" i="98" s="1"/>
  <c r="S28" i="247"/>
  <c r="V105" i="60" s="1"/>
  <c r="K28" i="247"/>
  <c r="V105" i="62" s="1"/>
  <c r="G28" i="247"/>
  <c r="W101" i="54" s="1"/>
  <c r="M101" i="54" s="1"/>
  <c r="F29" i="247"/>
  <c r="W101" i="98" s="1"/>
  <c r="E29" i="247"/>
  <c r="V102" i="57" s="1"/>
  <c r="W29" i="247"/>
  <c r="X106" i="66" s="1"/>
  <c r="O29" i="247"/>
  <c r="V109" i="65" s="1"/>
  <c r="M29" i="247"/>
  <c r="V104" i="59" s="1"/>
  <c r="J29" i="247"/>
  <c r="U106" i="52" s="1"/>
  <c r="G29" i="247"/>
  <c r="W102" i="54" s="1"/>
  <c r="M102" i="54" s="1"/>
  <c r="L29" i="247"/>
  <c r="V104" i="58" s="1"/>
  <c r="H29" i="247"/>
  <c r="V104" i="53" s="1"/>
  <c r="C29" i="247"/>
  <c r="W101" i="48" s="1"/>
  <c r="P29" i="247"/>
  <c r="X109" i="33" s="1"/>
  <c r="V29" i="247"/>
  <c r="V103" i="50" s="1"/>
  <c r="K29" i="247"/>
  <c r="V106" i="62" s="1"/>
  <c r="I29" i="247"/>
  <c r="V105" i="51" s="1"/>
  <c r="N29" i="247"/>
  <c r="U106" i="63" s="1"/>
  <c r="S29" i="247"/>
  <c r="V106" i="60" s="1"/>
  <c r="Q29" i="247"/>
  <c r="V109" i="64" s="1"/>
  <c r="R29" i="247"/>
  <c r="V101" i="49" s="1"/>
  <c r="M101" i="49" s="1"/>
  <c r="N101" i="49" s="1"/>
  <c r="U29" i="247"/>
  <c r="V106" i="61" s="1"/>
  <c r="D29" i="247"/>
  <c r="V104" i="55" s="1"/>
  <c r="T29" i="247"/>
  <c r="W107" i="35" s="1"/>
  <c r="N30" i="247"/>
  <c r="U107" i="63" s="1"/>
  <c r="K30" i="247"/>
  <c r="V107" i="62" s="1"/>
  <c r="G30" i="247"/>
  <c r="W103" i="54" s="1"/>
  <c r="M103" i="54" s="1"/>
  <c r="P30" i="247"/>
  <c r="X110" i="33" s="1"/>
  <c r="D30" i="247"/>
  <c r="V105" i="55" s="1"/>
  <c r="V30" i="247"/>
  <c r="V104" i="50" s="1"/>
  <c r="R30" i="247"/>
  <c r="V102" i="49" s="1"/>
  <c r="M102" i="49" s="1"/>
  <c r="N102" i="49" s="1"/>
  <c r="S30" i="247"/>
  <c r="V107" i="60" s="1"/>
  <c r="H30" i="247"/>
  <c r="V105" i="53" s="1"/>
  <c r="E30" i="247"/>
  <c r="V103" i="57" s="1"/>
  <c r="L30" i="247"/>
  <c r="V105" i="58" s="1"/>
  <c r="O30" i="247"/>
  <c r="V110" i="65" s="1"/>
  <c r="I30" i="247"/>
  <c r="V106" i="51" s="1"/>
  <c r="U30" i="247"/>
  <c r="V107" i="61" s="1"/>
  <c r="M30" i="247"/>
  <c r="V105" i="59" s="1"/>
  <c r="T30" i="247"/>
  <c r="W108" i="35" s="1"/>
  <c r="W30" i="247"/>
  <c r="X107" i="66" s="1"/>
  <c r="F30" i="247"/>
  <c r="W102" i="98" s="1"/>
  <c r="Q30" i="247"/>
  <c r="V110" i="64" s="1"/>
  <c r="J30" i="247"/>
  <c r="U107" i="52" s="1"/>
  <c r="C30" i="247"/>
  <c r="W102" i="48" s="1"/>
  <c r="W31" i="247"/>
  <c r="X108" i="66" s="1"/>
  <c r="H31" i="247"/>
  <c r="V106" i="53" s="1"/>
  <c r="N31" i="247"/>
  <c r="U108" i="63" s="1"/>
  <c r="T31" i="247"/>
  <c r="W109" i="35" s="1"/>
  <c r="G31" i="247"/>
  <c r="W104" i="54" s="1"/>
  <c r="M104" i="54" s="1"/>
  <c r="K31" i="247"/>
  <c r="V108" i="62" s="1"/>
  <c r="S31" i="247"/>
  <c r="V108" i="60" s="1"/>
  <c r="V31" i="247"/>
  <c r="V105" i="50" s="1"/>
  <c r="F31" i="247"/>
  <c r="W103" i="98" s="1"/>
  <c r="J31" i="247"/>
  <c r="U108" i="52" s="1"/>
  <c r="O31" i="247"/>
  <c r="V111" i="65" s="1"/>
  <c r="I31" i="247"/>
  <c r="V107" i="51" s="1"/>
  <c r="M31" i="247"/>
  <c r="V106" i="59" s="1"/>
  <c r="Q31" i="247"/>
  <c r="V111" i="64" s="1"/>
  <c r="C31" i="247"/>
  <c r="W103" i="48" s="1"/>
  <c r="L31" i="247"/>
  <c r="V106" i="58" s="1"/>
  <c r="U31" i="247"/>
  <c r="V108" i="61" s="1"/>
  <c r="E31" i="247"/>
  <c r="V104" i="57" s="1"/>
  <c r="R31" i="247"/>
  <c r="V103" i="49" s="1"/>
  <c r="M103" i="49" s="1"/>
  <c r="N103" i="49" s="1"/>
  <c r="D31" i="247"/>
  <c r="V106" i="55" s="1"/>
  <c r="P31" i="247"/>
  <c r="X111" i="33" s="1"/>
  <c r="H32" i="247"/>
  <c r="V107" i="53" s="1"/>
  <c r="K32" i="247"/>
  <c r="V109" i="62" s="1"/>
  <c r="E32" i="247"/>
  <c r="V105" i="57" s="1"/>
  <c r="P32" i="247"/>
  <c r="X112" i="33" s="1"/>
  <c r="F32" i="247"/>
  <c r="W104" i="98" s="1"/>
  <c r="O32" i="247"/>
  <c r="V112" i="65" s="1"/>
  <c r="M32" i="247"/>
  <c r="V107" i="59" s="1"/>
  <c r="V32" i="247"/>
  <c r="V106" i="50" s="1"/>
  <c r="J32" i="247"/>
  <c r="U109" i="52" s="1"/>
  <c r="D32" i="247"/>
  <c r="V107" i="55" s="1"/>
  <c r="I32" i="247"/>
  <c r="V108" i="51" s="1"/>
  <c r="U32" i="247"/>
  <c r="V109" i="61" s="1"/>
  <c r="R32" i="247"/>
  <c r="V104" i="49" s="1"/>
  <c r="M104" i="49" s="1"/>
  <c r="N104" i="49" s="1"/>
  <c r="W32" i="247"/>
  <c r="X109" i="66" s="1"/>
  <c r="Q32" i="247"/>
  <c r="V112" i="64" s="1"/>
  <c r="L32" i="247"/>
  <c r="V107" i="58" s="1"/>
  <c r="C32" i="247"/>
  <c r="W104" i="48" s="1"/>
  <c r="T32" i="247"/>
  <c r="W110" i="35" s="1"/>
  <c r="S32" i="247"/>
  <c r="V109" i="60" s="1"/>
  <c r="G32" i="247"/>
  <c r="W105" i="54" s="1"/>
  <c r="M105" i="54" s="1"/>
  <c r="N32" i="247"/>
  <c r="U109" i="63" s="1"/>
  <c r="S33" i="247"/>
  <c r="V110" i="60" s="1"/>
  <c r="T33" i="247"/>
  <c r="W111" i="35" s="1"/>
  <c r="D33" i="247"/>
  <c r="V108" i="55" s="1"/>
  <c r="J33" i="247"/>
  <c r="U110" i="52" s="1"/>
  <c r="P33" i="247"/>
  <c r="X113" i="33" s="1"/>
  <c r="R33" i="247"/>
  <c r="V105" i="49" s="1"/>
  <c r="M105" i="49" s="1"/>
  <c r="N105" i="49" s="1"/>
  <c r="Q33" i="247"/>
  <c r="V113" i="64" s="1"/>
  <c r="K33" i="247"/>
  <c r="V110" i="62" s="1"/>
  <c r="H33" i="247"/>
  <c r="V108" i="53" s="1"/>
  <c r="E33" i="247"/>
  <c r="V106" i="57" s="1"/>
  <c r="C33" i="247"/>
  <c r="W105" i="48" s="1"/>
  <c r="U33" i="247"/>
  <c r="V110" i="61" s="1"/>
  <c r="W33" i="247"/>
  <c r="X110" i="66" s="1"/>
  <c r="V33" i="247"/>
  <c r="V107" i="50" s="1"/>
  <c r="F33" i="247"/>
  <c r="W105" i="98" s="1"/>
  <c r="L33" i="247"/>
  <c r="V108" i="58" s="1"/>
  <c r="N33" i="247"/>
  <c r="U110" i="63" s="1"/>
  <c r="O33" i="247"/>
  <c r="V113" i="65" s="1"/>
  <c r="G33" i="247"/>
  <c r="W106" i="54" s="1"/>
  <c r="M106" i="54" s="1"/>
  <c r="M33" i="247"/>
  <c r="V108" i="59" s="1"/>
  <c r="I33" i="247"/>
  <c r="V109" i="51" s="1"/>
  <c r="J34" i="247"/>
  <c r="U111" i="52" s="1"/>
  <c r="F34" i="247"/>
  <c r="W106" i="98" s="1"/>
  <c r="I34" i="247"/>
  <c r="V110" i="51" s="1"/>
  <c r="G34" i="247"/>
  <c r="W107" i="54" s="1"/>
  <c r="M107" i="54" s="1"/>
  <c r="K34" i="247"/>
  <c r="V111" i="62" s="1"/>
  <c r="R34" i="247"/>
  <c r="V106" i="49" s="1"/>
  <c r="M106" i="49" s="1"/>
  <c r="N106" i="49" s="1"/>
  <c r="O34" i="247"/>
  <c r="V114" i="65" s="1"/>
  <c r="U34" i="247"/>
  <c r="V111" i="61" s="1"/>
  <c r="N34" i="247"/>
  <c r="U111" i="63" s="1"/>
  <c r="C34" i="247"/>
  <c r="W106" i="48" s="1"/>
  <c r="M34" i="247"/>
  <c r="V109" i="59" s="1"/>
  <c r="P34" i="247"/>
  <c r="X114" i="33" s="1"/>
  <c r="D34" i="247"/>
  <c r="V109" i="55" s="1"/>
  <c r="H34" i="247"/>
  <c r="V109" i="53" s="1"/>
  <c r="Q34" i="247"/>
  <c r="V114" i="64" s="1"/>
  <c r="S34" i="247"/>
  <c r="V111" i="60" s="1"/>
  <c r="V34" i="247"/>
  <c r="V108" i="50" s="1"/>
  <c r="L34" i="247"/>
  <c r="V109" i="58" s="1"/>
  <c r="W34" i="247"/>
  <c r="X111" i="66" s="1"/>
  <c r="T34" i="247"/>
  <c r="W112" i="35" s="1"/>
  <c r="E34" i="247"/>
  <c r="V107" i="57" s="1"/>
  <c r="R35" i="247"/>
  <c r="V107" i="49" s="1"/>
  <c r="V35" i="247"/>
  <c r="V109" i="50" s="1"/>
  <c r="S35" i="247"/>
  <c r="V112" i="60" s="1"/>
  <c r="O35" i="247"/>
  <c r="V115" i="65" s="1"/>
  <c r="E35" i="247"/>
  <c r="V108" i="57" s="1"/>
  <c r="F35" i="247"/>
  <c r="W107" i="98" s="1"/>
  <c r="M35" i="247"/>
  <c r="V110" i="59" s="1"/>
  <c r="Q35" i="247"/>
  <c r="V115" i="64" s="1"/>
  <c r="T35" i="247"/>
  <c r="W113" i="35" s="1"/>
  <c r="G35" i="247"/>
  <c r="W108" i="54" s="1"/>
  <c r="M108" i="54" s="1"/>
  <c r="U35" i="247"/>
  <c r="V112" i="61" s="1"/>
  <c r="W35" i="247"/>
  <c r="X112" i="66" s="1"/>
  <c r="C35" i="247"/>
  <c r="W107" i="48" s="1"/>
  <c r="N35" i="247"/>
  <c r="U112" i="63" s="1"/>
  <c r="L35" i="247"/>
  <c r="V110" i="58" s="1"/>
  <c r="H35" i="247"/>
  <c r="V110" i="53" s="1"/>
  <c r="J35" i="247"/>
  <c r="I35" i="247"/>
  <c r="V111" i="51" s="1"/>
  <c r="K35" i="247"/>
  <c r="V112" i="62" s="1"/>
  <c r="D35" i="247"/>
  <c r="V110" i="55" s="1"/>
  <c r="P35" i="247"/>
  <c r="N84" i="50"/>
  <c r="Y122" i="50"/>
  <c r="N83" i="50"/>
  <c r="Y121" i="50"/>
  <c r="N85" i="50"/>
  <c r="Y123" i="50"/>
  <c r="N86" i="50"/>
  <c r="Y124" i="50"/>
  <c r="N145" i="37"/>
  <c r="S145" i="37" s="1"/>
  <c r="AA193" i="37"/>
  <c r="F27" i="301"/>
  <c r="B26" i="301"/>
  <c r="B9" i="247"/>
  <c r="W143" i="37" s="1"/>
  <c r="M143" i="37" s="1"/>
  <c r="B16" i="247"/>
  <c r="W150" i="37" s="1"/>
  <c r="M150" i="37" s="1"/>
  <c r="B21" i="247"/>
  <c r="W155" i="37" s="1"/>
  <c r="M155" i="37" s="1"/>
  <c r="B18" i="247"/>
  <c r="W152" i="37" s="1"/>
  <c r="M152" i="37" s="1"/>
  <c r="B14" i="247"/>
  <c r="W148" i="37" s="1"/>
  <c r="M148" i="37" s="1"/>
  <c r="B3" i="247"/>
  <c r="F3" i="247"/>
  <c r="B35" i="247"/>
  <c r="B27" i="247"/>
  <c r="B19" i="247"/>
  <c r="W153" i="37" s="1"/>
  <c r="M153" i="37" s="1"/>
  <c r="B23" i="247"/>
  <c r="W157" i="37" s="1"/>
  <c r="M157" i="37" s="1"/>
  <c r="B17" i="247"/>
  <c r="W151" i="37" s="1"/>
  <c r="M151" i="37" s="1"/>
  <c r="H3" i="247"/>
  <c r="J3" i="247"/>
  <c r="B34" i="247"/>
  <c r="B26" i="247"/>
  <c r="W160" i="37" s="1"/>
  <c r="X4" i="247"/>
  <c r="B13" i="247"/>
  <c r="W147" i="37" s="1"/>
  <c r="M147" i="37" s="1"/>
  <c r="L3" i="247"/>
  <c r="V3" i="247"/>
  <c r="G3" i="247"/>
  <c r="B33" i="247"/>
  <c r="B15" i="247"/>
  <c r="W149" i="37" s="1"/>
  <c r="M149" i="37" s="1"/>
  <c r="W3" i="247"/>
  <c r="E3" i="247"/>
  <c r="U3" i="247"/>
  <c r="B32" i="247"/>
  <c r="P3" i="247"/>
  <c r="S3" i="247"/>
  <c r="Q3" i="247"/>
  <c r="B31" i="247"/>
  <c r="B10" i="247"/>
  <c r="W144" i="37" s="1"/>
  <c r="M144" i="37" s="1"/>
  <c r="T3" i="247"/>
  <c r="N3" i="247"/>
  <c r="C3" i="247"/>
  <c r="B30" i="247"/>
  <c r="B20" i="247"/>
  <c r="W154" i="37" s="1"/>
  <c r="M154" i="37" s="1"/>
  <c r="B24" i="247"/>
  <c r="W158" i="37" s="1"/>
  <c r="M158" i="37" s="1"/>
  <c r="B22" i="247"/>
  <c r="W156" i="37" s="1"/>
  <c r="M156" i="37" s="1"/>
  <c r="O3" i="247"/>
  <c r="R3" i="247"/>
  <c r="M3" i="247"/>
  <c r="B29" i="247"/>
  <c r="B12" i="247"/>
  <c r="W146" i="37" s="1"/>
  <c r="M146" i="37" s="1"/>
  <c r="B25" i="247"/>
  <c r="W159" i="37" s="1"/>
  <c r="M159" i="37" s="1"/>
  <c r="D3" i="247"/>
  <c r="K3" i="247"/>
  <c r="I3" i="247"/>
  <c r="AA139" i="35" l="1"/>
  <c r="O101" i="35"/>
  <c r="Z135" i="63"/>
  <c r="N97" i="63"/>
  <c r="S82" i="49"/>
  <c r="R82" i="49"/>
  <c r="Z130" i="61"/>
  <c r="N92" i="61"/>
  <c r="Z125" i="59"/>
  <c r="N87" i="59"/>
  <c r="Z140" i="61"/>
  <c r="N102" i="61"/>
  <c r="R97" i="49"/>
  <c r="V35" i="20" s="1"/>
  <c r="S97" i="49"/>
  <c r="R96" i="49"/>
  <c r="V34" i="20" s="1"/>
  <c r="S96" i="49"/>
  <c r="N101" i="66"/>
  <c r="Z139" i="66"/>
  <c r="Z137" i="62"/>
  <c r="O101" i="62"/>
  <c r="Z136" i="58"/>
  <c r="N98" i="58"/>
  <c r="N100" i="66"/>
  <c r="Z138" i="66"/>
  <c r="Z133" i="54"/>
  <c r="N96" i="54"/>
  <c r="Z140" i="65"/>
  <c r="N102" i="65"/>
  <c r="AA134" i="55"/>
  <c r="N97" i="55"/>
  <c r="M93" i="48"/>
  <c r="AA129" i="48" s="1"/>
  <c r="D70" i="48"/>
  <c r="G70" i="48" s="1"/>
  <c r="AA137" i="35"/>
  <c r="O99" i="35"/>
  <c r="Z139" i="64"/>
  <c r="N101" i="64"/>
  <c r="M92" i="48"/>
  <c r="AA128" i="48" s="1"/>
  <c r="D69" i="48"/>
  <c r="G69" i="48" s="1"/>
  <c r="Z133" i="58"/>
  <c r="N95" i="58"/>
  <c r="Z134" i="60"/>
  <c r="N96" i="60"/>
  <c r="N96" i="66"/>
  <c r="Z134" i="66"/>
  <c r="Y131" i="50"/>
  <c r="N93" i="50"/>
  <c r="Z133" i="60"/>
  <c r="N95" i="60"/>
  <c r="Z133" i="33"/>
  <c r="N98" i="33"/>
  <c r="M90" i="48"/>
  <c r="AA126" i="48" s="1"/>
  <c r="D67" i="48"/>
  <c r="G67" i="48" s="1"/>
  <c r="Z132" i="33"/>
  <c r="N97" i="33"/>
  <c r="Z128" i="53"/>
  <c r="N92" i="53"/>
  <c r="N94" i="66"/>
  <c r="Z132" i="66"/>
  <c r="Z123" i="54"/>
  <c r="N86" i="54"/>
  <c r="AA122" i="55"/>
  <c r="N85" i="55"/>
  <c r="R86" i="49"/>
  <c r="V24" i="20" s="1"/>
  <c r="S86" i="49"/>
  <c r="M84" i="48"/>
  <c r="AA120" i="48" s="1"/>
  <c r="D61" i="48"/>
  <c r="G61" i="48" s="1"/>
  <c r="AA132" i="35"/>
  <c r="O94" i="35"/>
  <c r="Z128" i="51"/>
  <c r="O92" i="51"/>
  <c r="Z126" i="57"/>
  <c r="N88" i="57"/>
  <c r="AA131" i="35"/>
  <c r="O93" i="35"/>
  <c r="Z127" i="58"/>
  <c r="N89" i="58"/>
  <c r="Z129" i="60"/>
  <c r="N91" i="60"/>
  <c r="Z131" i="64"/>
  <c r="N93" i="64"/>
  <c r="Z128" i="60"/>
  <c r="N90" i="60"/>
  <c r="Z124" i="51"/>
  <c r="O88" i="51"/>
  <c r="Z125" i="52"/>
  <c r="N89" i="52"/>
  <c r="Z127" i="64"/>
  <c r="N89" i="64"/>
  <c r="Z122" i="62"/>
  <c r="O86" i="62"/>
  <c r="Z123" i="51"/>
  <c r="O87" i="51"/>
  <c r="Z121" i="51"/>
  <c r="O85" i="51"/>
  <c r="Z125" i="60"/>
  <c r="N87" i="60"/>
  <c r="Z125" i="33"/>
  <c r="N90" i="33"/>
  <c r="Z135" i="51"/>
  <c r="O99" i="51"/>
  <c r="Z138" i="65"/>
  <c r="N100" i="65"/>
  <c r="AA134" i="35"/>
  <c r="O96" i="35"/>
  <c r="AA129" i="55"/>
  <c r="N92" i="55"/>
  <c r="Z120" i="98"/>
  <c r="N84" i="98"/>
  <c r="Z130" i="64"/>
  <c r="N92" i="64"/>
  <c r="Y137" i="50"/>
  <c r="N99" i="50"/>
  <c r="Z143" i="65"/>
  <c r="N105" i="65"/>
  <c r="Z140" i="63"/>
  <c r="N102" i="63"/>
  <c r="Z136" i="51"/>
  <c r="O100" i="51"/>
  <c r="Z134" i="54"/>
  <c r="N97" i="54"/>
  <c r="Z142" i="65"/>
  <c r="N104" i="65"/>
  <c r="Z134" i="57"/>
  <c r="N96" i="57"/>
  <c r="R95" i="49"/>
  <c r="V33" i="20" s="1"/>
  <c r="S95" i="49"/>
  <c r="Z135" i="59"/>
  <c r="N97" i="59"/>
  <c r="S94" i="49"/>
  <c r="R94" i="49"/>
  <c r="V32" i="20" s="1"/>
  <c r="Z137" i="63"/>
  <c r="N99" i="63"/>
  <c r="Z139" i="65"/>
  <c r="N101" i="65"/>
  <c r="Z133" i="51"/>
  <c r="O97" i="51"/>
  <c r="Z134" i="52"/>
  <c r="N98" i="52"/>
  <c r="Z135" i="60"/>
  <c r="N97" i="60"/>
  <c r="Z131" i="57"/>
  <c r="N93" i="57"/>
  <c r="Z132" i="59"/>
  <c r="N94" i="59"/>
  <c r="AA131" i="55"/>
  <c r="N94" i="55"/>
  <c r="Z132" i="58"/>
  <c r="N94" i="58"/>
  <c r="R90" i="49"/>
  <c r="V28" i="20" s="1"/>
  <c r="S90" i="49"/>
  <c r="Z133" i="61"/>
  <c r="N95" i="61"/>
  <c r="Z135" i="65"/>
  <c r="N97" i="65"/>
  <c r="R83" i="49"/>
  <c r="S83" i="49"/>
  <c r="Z122" i="53"/>
  <c r="N86" i="53"/>
  <c r="M87" i="48"/>
  <c r="AA123" i="48" s="1"/>
  <c r="D64" i="48"/>
  <c r="G64" i="48" s="1"/>
  <c r="Z119" i="54"/>
  <c r="N82" i="54"/>
  <c r="Z132" i="63"/>
  <c r="N94" i="63"/>
  <c r="Z125" i="53"/>
  <c r="N89" i="53"/>
  <c r="Z126" i="53"/>
  <c r="N90" i="53"/>
  <c r="Z134" i="65"/>
  <c r="N96" i="65"/>
  <c r="Z131" i="60"/>
  <c r="N93" i="60"/>
  <c r="Z130" i="60"/>
  <c r="N92" i="60"/>
  <c r="Z128" i="52"/>
  <c r="N92" i="52"/>
  <c r="Z129" i="63"/>
  <c r="N91" i="63"/>
  <c r="Z129" i="61"/>
  <c r="N91" i="61"/>
  <c r="Z125" i="51"/>
  <c r="O89" i="51"/>
  <c r="Z126" i="59"/>
  <c r="N88" i="59"/>
  <c r="AA128" i="35"/>
  <c r="O90" i="35"/>
  <c r="Z123" i="57"/>
  <c r="N85" i="57"/>
  <c r="Z123" i="58"/>
  <c r="N85" i="58"/>
  <c r="Z124" i="58"/>
  <c r="N86" i="58"/>
  <c r="Z126" i="33"/>
  <c r="N91" i="33"/>
  <c r="Z128" i="64"/>
  <c r="N90" i="64"/>
  <c r="Z124" i="33"/>
  <c r="N89" i="33"/>
  <c r="Z125" i="63"/>
  <c r="N87" i="63"/>
  <c r="Y136" i="50"/>
  <c r="N98" i="50"/>
  <c r="Z136" i="33"/>
  <c r="N101" i="33"/>
  <c r="Z137" i="65"/>
  <c r="N99" i="65"/>
  <c r="Z122" i="54"/>
  <c r="N85" i="54"/>
  <c r="Z128" i="58"/>
  <c r="N90" i="58"/>
  <c r="AA126" i="35"/>
  <c r="O88" i="35"/>
  <c r="Z138" i="52"/>
  <c r="N102" i="52"/>
  <c r="Z133" i="98"/>
  <c r="N97" i="98"/>
  <c r="Z136" i="53"/>
  <c r="N100" i="53"/>
  <c r="Z135" i="57"/>
  <c r="N97" i="57"/>
  <c r="AA136" i="55"/>
  <c r="N99" i="55"/>
  <c r="M96" i="48"/>
  <c r="AA132" i="48" s="1"/>
  <c r="D73" i="48"/>
  <c r="G73" i="48" s="1"/>
  <c r="Z141" i="64"/>
  <c r="N103" i="64"/>
  <c r="Z136" i="59"/>
  <c r="N98" i="59"/>
  <c r="Z130" i="98"/>
  <c r="N94" i="98"/>
  <c r="Z135" i="58"/>
  <c r="N97" i="58"/>
  <c r="Z140" i="64"/>
  <c r="N102" i="64"/>
  <c r="R93" i="49"/>
  <c r="V31" i="20" s="1"/>
  <c r="S93" i="49"/>
  <c r="N98" i="66"/>
  <c r="Z136" i="66"/>
  <c r="AA132" i="55"/>
  <c r="N95" i="55"/>
  <c r="Z138" i="64"/>
  <c r="N100" i="64"/>
  <c r="Z130" i="54"/>
  <c r="N93" i="54"/>
  <c r="AA135" i="35"/>
  <c r="O97" i="35"/>
  <c r="Z130" i="57"/>
  <c r="N92" i="57"/>
  <c r="Z130" i="53"/>
  <c r="N94" i="53"/>
  <c r="Z136" i="64"/>
  <c r="N98" i="64"/>
  <c r="Z128" i="54"/>
  <c r="N91" i="54"/>
  <c r="AA133" i="35"/>
  <c r="O95" i="35"/>
  <c r="Z123" i="53"/>
  <c r="N87" i="53"/>
  <c r="AA121" i="55"/>
  <c r="N84" i="55"/>
  <c r="AA128" i="55"/>
  <c r="N91" i="55"/>
  <c r="Z125" i="98"/>
  <c r="N89" i="98"/>
  <c r="Z120" i="54"/>
  <c r="N83" i="54"/>
  <c r="Z127" i="54"/>
  <c r="N90" i="54"/>
  <c r="AA127" i="55"/>
  <c r="N90" i="55"/>
  <c r="Z126" i="54"/>
  <c r="N89" i="54"/>
  <c r="Z131" i="61"/>
  <c r="N93" i="61"/>
  <c r="Z130" i="33"/>
  <c r="N95" i="33"/>
  <c r="Z133" i="65"/>
  <c r="N95" i="65"/>
  <c r="Z127" i="62"/>
  <c r="O91" i="62"/>
  <c r="Z132" i="65"/>
  <c r="N94" i="65"/>
  <c r="Z126" i="58"/>
  <c r="N88" i="58"/>
  <c r="Z128" i="63"/>
  <c r="N90" i="63"/>
  <c r="Z125" i="58"/>
  <c r="N87" i="58"/>
  <c r="Z120" i="57"/>
  <c r="N82" i="57"/>
  <c r="Z124" i="52"/>
  <c r="N88" i="52"/>
  <c r="Z124" i="60"/>
  <c r="N86" i="60"/>
  <c r="Z129" i="65"/>
  <c r="N91" i="65"/>
  <c r="Z126" i="63"/>
  <c r="N88" i="63"/>
  <c r="Z142" i="64"/>
  <c r="N104" i="64"/>
  <c r="Z134" i="58"/>
  <c r="N96" i="58"/>
  <c r="Z131" i="59"/>
  <c r="N93" i="59"/>
  <c r="M83" i="48"/>
  <c r="AA119" i="48" s="1"/>
  <c r="D60" i="48"/>
  <c r="G60" i="48" s="1"/>
  <c r="Y126" i="50"/>
  <c r="N88" i="50"/>
  <c r="Z122" i="57"/>
  <c r="N84" i="57"/>
  <c r="X115" i="33"/>
  <c r="U112" i="52"/>
  <c r="V108" i="49"/>
  <c r="M107" i="49"/>
  <c r="N107" i="49" s="1"/>
  <c r="Z140" i="33"/>
  <c r="N105" i="33"/>
  <c r="M97" i="48"/>
  <c r="AA133" i="48" s="1"/>
  <c r="D74" i="48"/>
  <c r="G74" i="48" s="1"/>
  <c r="Z140" i="60"/>
  <c r="N102" i="60"/>
  <c r="AA140" i="35"/>
  <c r="O102" i="35"/>
  <c r="Z132" i="98"/>
  <c r="N96" i="98"/>
  <c r="Z136" i="62"/>
  <c r="O100" i="62"/>
  <c r="Y135" i="50"/>
  <c r="N97" i="50"/>
  <c r="M95" i="48"/>
  <c r="AA131" i="48" s="1"/>
  <c r="D72" i="48"/>
  <c r="G72" i="48" s="1"/>
  <c r="Y134" i="50"/>
  <c r="N96" i="50"/>
  <c r="Z137" i="61"/>
  <c r="N99" i="61"/>
  <c r="M94" i="48"/>
  <c r="AA130" i="48" s="1"/>
  <c r="D71" i="48"/>
  <c r="G71" i="48" s="1"/>
  <c r="AA133" i="55"/>
  <c r="N96" i="55"/>
  <c r="Z134" i="59"/>
  <c r="N96" i="59"/>
  <c r="Z133" i="52"/>
  <c r="N97" i="52"/>
  <c r="Z135" i="61"/>
  <c r="N97" i="61"/>
  <c r="Z132" i="51"/>
  <c r="O96" i="51"/>
  <c r="Z134" i="63"/>
  <c r="N96" i="63"/>
  <c r="Z131" i="51"/>
  <c r="O95" i="51"/>
  <c r="Z127" i="98"/>
  <c r="N91" i="98"/>
  <c r="Z131" i="62"/>
  <c r="O95" i="62"/>
  <c r="AA130" i="55"/>
  <c r="N93" i="55"/>
  <c r="M81" i="48"/>
  <c r="AA117" i="48" s="1"/>
  <c r="D58" i="48"/>
  <c r="G58" i="48" s="1"/>
  <c r="AA124" i="55"/>
  <c r="N87" i="55"/>
  <c r="Z125" i="54"/>
  <c r="N88" i="54"/>
  <c r="Z120" i="53"/>
  <c r="N84" i="53"/>
  <c r="Z132" i="61"/>
  <c r="N94" i="61"/>
  <c r="Z130" i="58"/>
  <c r="N92" i="58"/>
  <c r="Z127" i="53"/>
  <c r="N91" i="53"/>
  <c r="R88" i="49"/>
  <c r="V26" i="20" s="1"/>
  <c r="S88" i="49"/>
  <c r="Z129" i="62"/>
  <c r="O93" i="62"/>
  <c r="Z129" i="59"/>
  <c r="N91" i="59"/>
  <c r="Z133" i="64"/>
  <c r="N95" i="64"/>
  <c r="Z128" i="59"/>
  <c r="N90" i="59"/>
  <c r="AA130" i="35"/>
  <c r="O92" i="35"/>
  <c r="Z125" i="57"/>
  <c r="N87" i="57"/>
  <c r="Z128" i="61"/>
  <c r="N90" i="61"/>
  <c r="Z121" i="98"/>
  <c r="N85" i="98"/>
  <c r="Z125" i="62"/>
  <c r="O89" i="62"/>
  <c r="Z127" i="33"/>
  <c r="N92" i="33"/>
  <c r="Z127" i="60"/>
  <c r="N89" i="60"/>
  <c r="Z119" i="98"/>
  <c r="N83" i="98"/>
  <c r="N88" i="66"/>
  <c r="Z126" i="66"/>
  <c r="Z117" i="98"/>
  <c r="N81" i="98"/>
  <c r="Z123" i="59"/>
  <c r="N85" i="59"/>
  <c r="Z123" i="52"/>
  <c r="N87" i="52"/>
  <c r="N102" i="66"/>
  <c r="Z140" i="66"/>
  <c r="Z134" i="51"/>
  <c r="O98" i="51"/>
  <c r="S91" i="49"/>
  <c r="R91" i="49"/>
  <c r="V29" i="20" s="1"/>
  <c r="Z130" i="62"/>
  <c r="O94" i="62"/>
  <c r="N93" i="66"/>
  <c r="Z131" i="66"/>
  <c r="Z126" i="62"/>
  <c r="O90" i="62"/>
  <c r="N86" i="66"/>
  <c r="Z124" i="66"/>
  <c r="Z136" i="57"/>
  <c r="N98" i="57"/>
  <c r="Z137" i="51"/>
  <c r="O101" i="51"/>
  <c r="Z138" i="59"/>
  <c r="N100" i="59"/>
  <c r="Z135" i="53"/>
  <c r="N99" i="53"/>
  <c r="Z139" i="61"/>
  <c r="N101" i="61"/>
  <c r="Z131" i="98"/>
  <c r="N95" i="98"/>
  <c r="Z141" i="65"/>
  <c r="N103" i="65"/>
  <c r="Z138" i="61"/>
  <c r="N100" i="61"/>
  <c r="AA138" i="35"/>
  <c r="O100" i="35"/>
  <c r="Z137" i="33"/>
  <c r="N102" i="33"/>
  <c r="Z133" i="53"/>
  <c r="N97" i="53"/>
  <c r="Z131" i="54"/>
  <c r="N94" i="54"/>
  <c r="Z134" i="62"/>
  <c r="O98" i="62"/>
  <c r="Z133" i="62"/>
  <c r="O97" i="62"/>
  <c r="AA136" i="35"/>
  <c r="O98" i="35"/>
  <c r="S92" i="49"/>
  <c r="R92" i="49"/>
  <c r="V30" i="20" s="1"/>
  <c r="M91" i="48"/>
  <c r="AA127" i="48" s="1"/>
  <c r="D68" i="48"/>
  <c r="G68" i="48" s="1"/>
  <c r="Z134" i="33"/>
  <c r="N99" i="33"/>
  <c r="Z131" i="58"/>
  <c r="N93" i="58"/>
  <c r="Z129" i="53"/>
  <c r="N93" i="53"/>
  <c r="N95" i="66"/>
  <c r="Z133" i="66"/>
  <c r="S81" i="49"/>
  <c r="R81" i="49"/>
  <c r="Z135" i="64"/>
  <c r="N97" i="64"/>
  <c r="R84" i="49"/>
  <c r="S84" i="49"/>
  <c r="AA123" i="55"/>
  <c r="N86" i="55"/>
  <c r="M86" i="48"/>
  <c r="AA122" i="48" s="1"/>
  <c r="D63" i="48"/>
  <c r="G63" i="48" s="1"/>
  <c r="S89" i="49"/>
  <c r="R89" i="49"/>
  <c r="V27" i="20" s="1"/>
  <c r="Z132" i="60"/>
  <c r="N94" i="60"/>
  <c r="Z131" i="33"/>
  <c r="N96" i="33"/>
  <c r="Z131" i="63"/>
  <c r="N93" i="63"/>
  <c r="Z134" i="64"/>
  <c r="N96" i="64"/>
  <c r="Z130" i="63"/>
  <c r="N92" i="63"/>
  <c r="Y127" i="50"/>
  <c r="N89" i="50"/>
  <c r="Z132" i="64"/>
  <c r="N94" i="64"/>
  <c r="Z127" i="59"/>
  <c r="N89" i="59"/>
  <c r="Z124" i="57"/>
  <c r="N86" i="57"/>
  <c r="Z126" i="52"/>
  <c r="N90" i="52"/>
  <c r="Z127" i="61"/>
  <c r="N89" i="61"/>
  <c r="Z126" i="61"/>
  <c r="N88" i="61"/>
  <c r="Z122" i="58"/>
  <c r="N84" i="58"/>
  <c r="Z124" i="62"/>
  <c r="O88" i="62"/>
  <c r="Z124" i="63"/>
  <c r="N86" i="63"/>
  <c r="N87" i="66"/>
  <c r="Z125" i="66"/>
  <c r="Z123" i="62"/>
  <c r="O87" i="62"/>
  <c r="Z143" i="64"/>
  <c r="N105" i="64"/>
  <c r="Z132" i="54"/>
  <c r="N95" i="54"/>
  <c r="Z129" i="54"/>
  <c r="N92" i="54"/>
  <c r="M82" i="48"/>
  <c r="AA118" i="48" s="1"/>
  <c r="D59" i="48"/>
  <c r="G59" i="48" s="1"/>
  <c r="Z129" i="58"/>
  <c r="N91" i="58"/>
  <c r="AA129" i="35"/>
  <c r="O91" i="35"/>
  <c r="Z124" i="61"/>
  <c r="N86" i="61"/>
  <c r="Z138" i="62"/>
  <c r="O102" i="62"/>
  <c r="Z138" i="58"/>
  <c r="N100" i="58"/>
  <c r="AA141" i="35"/>
  <c r="O103" i="35"/>
  <c r="Z139" i="63"/>
  <c r="N101" i="63"/>
  <c r="Z139" i="60"/>
  <c r="N101" i="60"/>
  <c r="Z136" i="52"/>
  <c r="N100" i="52"/>
  <c r="Z138" i="60"/>
  <c r="N100" i="60"/>
  <c r="AA135" i="55"/>
  <c r="N98" i="55"/>
  <c r="Z133" i="57"/>
  <c r="N95" i="57"/>
  <c r="Z135" i="52"/>
  <c r="N99" i="52"/>
  <c r="Z132" i="53"/>
  <c r="N96" i="53"/>
  <c r="Z136" i="61"/>
  <c r="N98" i="61"/>
  <c r="Z129" i="98"/>
  <c r="N93" i="98"/>
  <c r="Z131" i="53"/>
  <c r="N95" i="53"/>
  <c r="Z128" i="98"/>
  <c r="N92" i="98"/>
  <c r="Z135" i="33"/>
  <c r="N100" i="33"/>
  <c r="Z132" i="52"/>
  <c r="N96" i="52"/>
  <c r="Z134" i="61"/>
  <c r="N96" i="61"/>
  <c r="Z133" i="63"/>
  <c r="N95" i="63"/>
  <c r="Y130" i="50"/>
  <c r="N92" i="50"/>
  <c r="Z136" i="65"/>
  <c r="N98" i="65"/>
  <c r="Z124" i="53"/>
  <c r="N88" i="53"/>
  <c r="AA126" i="55"/>
  <c r="N89" i="55"/>
  <c r="Z129" i="51"/>
  <c r="O93" i="51"/>
  <c r="M89" i="48"/>
  <c r="AA125" i="48" s="1"/>
  <c r="D66" i="48"/>
  <c r="G66" i="48" s="1"/>
  <c r="R87" i="49"/>
  <c r="V25" i="20" s="1"/>
  <c r="S87" i="49"/>
  <c r="Z130" i="52"/>
  <c r="N94" i="52"/>
  <c r="Z128" i="57"/>
  <c r="N90" i="57"/>
  <c r="Y128" i="50"/>
  <c r="N90" i="50"/>
  <c r="Z129" i="52"/>
  <c r="N93" i="52"/>
  <c r="Z127" i="57"/>
  <c r="N89" i="57"/>
  <c r="N92" i="66"/>
  <c r="Z130" i="66"/>
  <c r="Z127" i="51"/>
  <c r="O91" i="51"/>
  <c r="Z122" i="98"/>
  <c r="N86" i="98"/>
  <c r="Z129" i="33"/>
  <c r="N94" i="33"/>
  <c r="Z128" i="33"/>
  <c r="N93" i="33"/>
  <c r="N90" i="66"/>
  <c r="Z128" i="66"/>
  <c r="Z130" i="65"/>
  <c r="N92" i="65"/>
  <c r="Z127" i="65"/>
  <c r="N89" i="65"/>
  <c r="Z126" i="60"/>
  <c r="N88" i="60"/>
  <c r="Z124" i="59"/>
  <c r="N86" i="59"/>
  <c r="Z125" i="61"/>
  <c r="N87" i="61"/>
  <c r="Z118" i="98"/>
  <c r="N82" i="98"/>
  <c r="Z122" i="51"/>
  <c r="O86" i="51"/>
  <c r="Z137" i="58"/>
  <c r="N99" i="58"/>
  <c r="N99" i="66"/>
  <c r="Z137" i="66"/>
  <c r="Z132" i="57"/>
  <c r="N94" i="57"/>
  <c r="Z129" i="57"/>
  <c r="N91" i="57"/>
  <c r="R85" i="49"/>
  <c r="V23" i="20" s="1"/>
  <c r="S85" i="49"/>
  <c r="Z129" i="66"/>
  <c r="N91" i="66"/>
  <c r="Z128" i="65"/>
  <c r="N90" i="65"/>
  <c r="Z135" i="54"/>
  <c r="N98" i="54"/>
  <c r="AA137" i="55"/>
  <c r="N100" i="55"/>
  <c r="Z137" i="59"/>
  <c r="N99" i="59"/>
  <c r="Z137" i="52"/>
  <c r="N101" i="52"/>
  <c r="Z139" i="33"/>
  <c r="N104" i="33"/>
  <c r="Z138" i="63"/>
  <c r="N100" i="63"/>
  <c r="Z134" i="53"/>
  <c r="N98" i="53"/>
  <c r="Z138" i="33"/>
  <c r="N103" i="33"/>
  <c r="Z135" i="62"/>
  <c r="O99" i="62"/>
  <c r="Z137" i="60"/>
  <c r="N99" i="60"/>
  <c r="Z136" i="63"/>
  <c r="N98" i="63"/>
  <c r="Z136" i="60"/>
  <c r="N98" i="60"/>
  <c r="Y133" i="50"/>
  <c r="N95" i="50"/>
  <c r="N97" i="66"/>
  <c r="Z135" i="66"/>
  <c r="Z133" i="59"/>
  <c r="N95" i="59"/>
  <c r="Y132" i="50"/>
  <c r="N94" i="50"/>
  <c r="Z132" i="62"/>
  <c r="O96" i="62"/>
  <c r="Z137" i="64"/>
  <c r="N99" i="64"/>
  <c r="Z130" i="51"/>
  <c r="O94" i="51"/>
  <c r="Z131" i="52"/>
  <c r="N95" i="52"/>
  <c r="Z126" i="98"/>
  <c r="N90" i="98"/>
  <c r="AA125" i="55"/>
  <c r="N88" i="55"/>
  <c r="Z124" i="54"/>
  <c r="N87" i="54"/>
  <c r="Z121" i="54"/>
  <c r="N84" i="54"/>
  <c r="Z130" i="59"/>
  <c r="N92" i="59"/>
  <c r="Z121" i="53"/>
  <c r="N85" i="53"/>
  <c r="M85" i="48"/>
  <c r="AA121" i="48" s="1"/>
  <c r="D62" i="48"/>
  <c r="G62" i="48" s="1"/>
  <c r="Y129" i="50"/>
  <c r="N91" i="50"/>
  <c r="M88" i="48"/>
  <c r="AA124" i="48" s="1"/>
  <c r="D65" i="48"/>
  <c r="G65" i="48" s="1"/>
  <c r="Z124" i="98"/>
  <c r="N88" i="98"/>
  <c r="Z128" i="62"/>
  <c r="O92" i="62"/>
  <c r="Z123" i="98"/>
  <c r="N87" i="98"/>
  <c r="Z127" i="52"/>
  <c r="N91" i="52"/>
  <c r="Z126" i="51"/>
  <c r="O90" i="51"/>
  <c r="Y125" i="50"/>
  <c r="N87" i="50"/>
  <c r="Z131" i="65"/>
  <c r="N93" i="65"/>
  <c r="Z127" i="63"/>
  <c r="N89" i="63"/>
  <c r="N89" i="66"/>
  <c r="Z127" i="66"/>
  <c r="AA127" i="35"/>
  <c r="O89" i="35"/>
  <c r="AA125" i="35"/>
  <c r="O87" i="35"/>
  <c r="Z122" i="59"/>
  <c r="N84" i="59"/>
  <c r="Z122" i="52"/>
  <c r="N86" i="52"/>
  <c r="Z129" i="64"/>
  <c r="N91" i="64"/>
  <c r="Z121" i="57"/>
  <c r="N83" i="57"/>
  <c r="Y33" i="126"/>
  <c r="AC89" i="117" s="1"/>
  <c r="R85" i="50"/>
  <c r="Z123" i="50"/>
  <c r="AB123" i="50" s="1"/>
  <c r="R86" i="50"/>
  <c r="Z124" i="50"/>
  <c r="AB124" i="50" s="1"/>
  <c r="R83" i="50"/>
  <c r="Z121" i="50"/>
  <c r="AB121" i="50" s="1"/>
  <c r="R84" i="50"/>
  <c r="Z122" i="50"/>
  <c r="AB122" i="50" s="1"/>
  <c r="R145" i="37"/>
  <c r="AB193" i="37"/>
  <c r="AD193" i="37" s="1"/>
  <c r="N158" i="37"/>
  <c r="S158" i="37" s="1"/>
  <c r="AA206" i="37"/>
  <c r="N149" i="37"/>
  <c r="S149" i="37" s="1"/>
  <c r="AA197" i="37"/>
  <c r="N146" i="37"/>
  <c r="S146" i="37" s="1"/>
  <c r="AA194" i="37"/>
  <c r="N151" i="37"/>
  <c r="S151" i="37" s="1"/>
  <c r="AA199" i="37"/>
  <c r="N152" i="37"/>
  <c r="S152" i="37" s="1"/>
  <c r="AA200" i="37"/>
  <c r="N156" i="37"/>
  <c r="S156" i="37" s="1"/>
  <c r="AA204" i="37"/>
  <c r="N159" i="37"/>
  <c r="S159" i="37" s="1"/>
  <c r="AA207" i="37"/>
  <c r="N157" i="37"/>
  <c r="S157" i="37" s="1"/>
  <c r="AA205" i="37"/>
  <c r="N155" i="37"/>
  <c r="S155" i="37" s="1"/>
  <c r="AA203" i="37"/>
  <c r="N154" i="37"/>
  <c r="S154" i="37" s="1"/>
  <c r="AA202" i="37"/>
  <c r="N153" i="37"/>
  <c r="S153" i="37" s="1"/>
  <c r="AA201" i="37"/>
  <c r="N143" i="37"/>
  <c r="S143" i="37" s="1"/>
  <c r="AA191" i="37"/>
  <c r="N148" i="37"/>
  <c r="S148" i="37" s="1"/>
  <c r="AA196" i="37"/>
  <c r="N147" i="37"/>
  <c r="S147" i="37" s="1"/>
  <c r="AA195" i="37"/>
  <c r="N150" i="37"/>
  <c r="S150" i="37" s="1"/>
  <c r="AA198" i="37"/>
  <c r="N144" i="37"/>
  <c r="S144" i="37" s="1"/>
  <c r="AA192" i="37"/>
  <c r="F28" i="301"/>
  <c r="B27" i="301"/>
  <c r="K4" i="247"/>
  <c r="W4" i="247"/>
  <c r="T4" i="247"/>
  <c r="F4" i="247"/>
  <c r="O4" i="247"/>
  <c r="D4" i="247"/>
  <c r="J4" i="247"/>
  <c r="M4" i="247"/>
  <c r="H4" i="247"/>
  <c r="L4" i="247"/>
  <c r="C4" i="247"/>
  <c r="G4" i="247"/>
  <c r="E4" i="247"/>
  <c r="V4" i="247"/>
  <c r="R4" i="247"/>
  <c r="P4" i="247"/>
  <c r="X5" i="247"/>
  <c r="U4" i="247"/>
  <c r="S4" i="247"/>
  <c r="I4" i="247"/>
  <c r="Q4" i="247"/>
  <c r="N4" i="247"/>
  <c r="B4" i="247"/>
  <c r="AA122" i="59" l="1"/>
  <c r="AC122" i="59" s="1"/>
  <c r="R84" i="59"/>
  <c r="P9" i="224" s="1"/>
  <c r="AA127" i="63"/>
  <c r="AC127" i="63" s="1"/>
  <c r="R89" i="63"/>
  <c r="P12" i="226" s="1"/>
  <c r="AA127" i="52"/>
  <c r="AC127" i="52" s="1"/>
  <c r="R91" i="52"/>
  <c r="P14" i="216" s="1"/>
  <c r="Q15" i="48"/>
  <c r="C67" i="67" s="1"/>
  <c r="J88" i="48"/>
  <c r="AA130" i="59"/>
  <c r="AC130" i="59" s="1"/>
  <c r="R92" i="59"/>
  <c r="P17" i="224" s="1"/>
  <c r="AA126" i="98"/>
  <c r="AC126" i="98" s="1"/>
  <c r="R90" i="98"/>
  <c r="P18" i="200" s="1"/>
  <c r="S90" i="98"/>
  <c r="AA132" i="62"/>
  <c r="AC132" i="62" s="1"/>
  <c r="S96" i="62"/>
  <c r="P19" i="218" s="1"/>
  <c r="Z133" i="50"/>
  <c r="AB133" i="50" s="1"/>
  <c r="R95" i="50"/>
  <c r="P21" i="134" s="1"/>
  <c r="AA135" i="62"/>
  <c r="AC135" i="62" s="1"/>
  <c r="S99" i="62"/>
  <c r="P22" i="218" s="1"/>
  <c r="AA139" i="33"/>
  <c r="AC139" i="33" s="1"/>
  <c r="S104" i="33"/>
  <c r="U104" i="33"/>
  <c r="R104" i="33"/>
  <c r="T104" i="33"/>
  <c r="AA135" i="54"/>
  <c r="AC135" i="54" s="1"/>
  <c r="R98" i="54"/>
  <c r="L34" i="205" s="1"/>
  <c r="S98" i="54"/>
  <c r="AB34" i="205" s="1"/>
  <c r="AA129" i="57"/>
  <c r="AC129" i="57" s="1"/>
  <c r="R91" i="57"/>
  <c r="P18" i="140" s="1"/>
  <c r="AA122" i="51"/>
  <c r="AC122" i="51" s="1"/>
  <c r="S86" i="51"/>
  <c r="AA126" i="60"/>
  <c r="AC126" i="60" s="1"/>
  <c r="S88" i="60"/>
  <c r="R88" i="60"/>
  <c r="P11" i="370" s="1"/>
  <c r="O11" i="370" s="1"/>
  <c r="AA128" i="33"/>
  <c r="AC128" i="33" s="1"/>
  <c r="R93" i="33"/>
  <c r="S93" i="33"/>
  <c r="U93" i="33"/>
  <c r="T93" i="33"/>
  <c r="S93" i="347" s="1"/>
  <c r="AA128" i="57"/>
  <c r="AC128" i="57" s="1"/>
  <c r="R90" i="57"/>
  <c r="P17" i="140" s="1"/>
  <c r="AA129" i="51"/>
  <c r="AC129" i="51" s="1"/>
  <c r="S93" i="51"/>
  <c r="P17" i="214" s="1"/>
  <c r="Z130" i="50"/>
  <c r="AB130" i="50" s="1"/>
  <c r="R92" i="50"/>
  <c r="P18" i="134" s="1"/>
  <c r="AA135" i="33"/>
  <c r="AC135" i="33" s="1"/>
  <c r="U100" i="33"/>
  <c r="R100" i="33"/>
  <c r="T100" i="33"/>
  <c r="S100" i="33"/>
  <c r="AA136" i="61"/>
  <c r="AC136" i="61" s="1"/>
  <c r="R98" i="61"/>
  <c r="P21" i="375" s="1"/>
  <c r="S98" i="61"/>
  <c r="AB135" i="55"/>
  <c r="AD135" i="55" s="1"/>
  <c r="R98" i="55"/>
  <c r="P23" i="130" s="1"/>
  <c r="AA139" i="63"/>
  <c r="AC139" i="63" s="1"/>
  <c r="R101" i="63"/>
  <c r="P24" i="226" s="1"/>
  <c r="AA124" i="61"/>
  <c r="AC124" i="61" s="1"/>
  <c r="R86" i="61"/>
  <c r="P9" i="375" s="1"/>
  <c r="O9" i="375" s="1"/>
  <c r="N9" i="375" s="1"/>
  <c r="M9" i="375" s="1"/>
  <c r="L9" i="375" s="1"/>
  <c r="J9" i="375" s="1"/>
  <c r="E9" i="375" s="1"/>
  <c r="D9" i="375" s="1"/>
  <c r="S86" i="61"/>
  <c r="AA129" i="54"/>
  <c r="AC129" i="54" s="1"/>
  <c r="R92" i="54"/>
  <c r="L28" i="205" s="1"/>
  <c r="S92" i="54"/>
  <c r="AB28" i="205" s="1"/>
  <c r="AA126" i="61"/>
  <c r="AC126" i="61" s="1"/>
  <c r="R88" i="61"/>
  <c r="P11" i="375" s="1"/>
  <c r="O11" i="375" s="1"/>
  <c r="S88" i="61"/>
  <c r="AA127" i="59"/>
  <c r="AC127" i="59" s="1"/>
  <c r="R89" i="59"/>
  <c r="P14" i="224" s="1"/>
  <c r="AA134" i="64"/>
  <c r="AC134" i="64" s="1"/>
  <c r="R96" i="64"/>
  <c r="P16" i="365" s="1"/>
  <c r="U27" i="20"/>
  <c r="N27" i="20"/>
  <c r="M27" i="20" s="1"/>
  <c r="L27" i="20" s="1"/>
  <c r="AA135" i="64"/>
  <c r="AC135" i="64" s="1"/>
  <c r="R97" i="64"/>
  <c r="P17" i="365" s="1"/>
  <c r="AA131" i="58"/>
  <c r="AC131" i="58" s="1"/>
  <c r="R93" i="58"/>
  <c r="P18" i="221" s="1"/>
  <c r="AB136" i="35"/>
  <c r="AD136" i="35" s="1"/>
  <c r="S98" i="35"/>
  <c r="P20" i="373" s="1"/>
  <c r="T98" i="35"/>
  <c r="AA133" i="53"/>
  <c r="AC133" i="53" s="1"/>
  <c r="S97" i="53"/>
  <c r="R97" i="53"/>
  <c r="P22" i="209" s="1"/>
  <c r="AA141" i="65"/>
  <c r="AC141" i="65" s="1"/>
  <c r="R103" i="65"/>
  <c r="P23" i="325" s="1"/>
  <c r="AA138" i="59"/>
  <c r="AC138" i="59" s="1"/>
  <c r="R100" i="59"/>
  <c r="P25" i="224" s="1"/>
  <c r="AA126" i="62"/>
  <c r="AC126" i="62" s="1"/>
  <c r="S90" i="62"/>
  <c r="P13" i="218" s="1"/>
  <c r="AA134" i="51"/>
  <c r="AC134" i="51" s="1"/>
  <c r="S98" i="51"/>
  <c r="P22" i="214" s="1"/>
  <c r="AA117" i="98"/>
  <c r="AC117" i="98" s="1"/>
  <c r="R81" i="98"/>
  <c r="S81" i="98"/>
  <c r="AA127" i="33"/>
  <c r="AC127" i="33" s="1"/>
  <c r="S92" i="33"/>
  <c r="U92" i="33"/>
  <c r="T92" i="33"/>
  <c r="R92" i="33"/>
  <c r="AA125" i="57"/>
  <c r="AC125" i="57" s="1"/>
  <c r="R87" i="57"/>
  <c r="P14" i="140" s="1"/>
  <c r="AA129" i="59"/>
  <c r="AC129" i="59" s="1"/>
  <c r="R91" i="59"/>
  <c r="P16" i="224" s="1"/>
  <c r="AA130" i="58"/>
  <c r="AC130" i="58" s="1"/>
  <c r="R92" i="58"/>
  <c r="P17" i="221" s="1"/>
  <c r="AB124" i="55"/>
  <c r="AD124" i="55" s="1"/>
  <c r="R87" i="55"/>
  <c r="AA127" i="98"/>
  <c r="AC127" i="98" s="1"/>
  <c r="S91" i="98"/>
  <c r="R91" i="98"/>
  <c r="P19" i="200" s="1"/>
  <c r="AA135" i="61"/>
  <c r="AC135" i="61" s="1"/>
  <c r="R97" i="61"/>
  <c r="P20" i="375" s="1"/>
  <c r="S97" i="61"/>
  <c r="Q21" i="48"/>
  <c r="C73" i="67" s="1"/>
  <c r="J94" i="48"/>
  <c r="Z135" i="50"/>
  <c r="AB135" i="50" s="1"/>
  <c r="R97" i="50"/>
  <c r="P23" i="134" s="1"/>
  <c r="AA140" i="60"/>
  <c r="AC140" i="60" s="1"/>
  <c r="R102" i="60"/>
  <c r="P25" i="370" s="1"/>
  <c r="S102" i="60"/>
  <c r="AA131" i="59"/>
  <c r="AC131" i="59" s="1"/>
  <c r="R93" i="59"/>
  <c r="P18" i="224" s="1"/>
  <c r="AA129" i="65"/>
  <c r="AC129" i="65" s="1"/>
  <c r="R91" i="65"/>
  <c r="P11" i="325" s="1"/>
  <c r="O11" i="325" s="1"/>
  <c r="AA125" i="58"/>
  <c r="AC125" i="58" s="1"/>
  <c r="R87" i="58"/>
  <c r="P12" i="221" s="1"/>
  <c r="AA127" i="62"/>
  <c r="AC127" i="62" s="1"/>
  <c r="S91" i="62"/>
  <c r="P14" i="218" s="1"/>
  <c r="AA126" i="54"/>
  <c r="AC126" i="54" s="1"/>
  <c r="R89" i="54"/>
  <c r="L25" i="205" s="1"/>
  <c r="S89" i="54"/>
  <c r="AB25" i="205" s="1"/>
  <c r="AA125" i="98"/>
  <c r="AC125" i="98" s="1"/>
  <c r="S89" i="98"/>
  <c r="R89" i="98"/>
  <c r="P17" i="200" s="1"/>
  <c r="AB133" i="35"/>
  <c r="AD133" i="35" s="1"/>
  <c r="S95" i="35"/>
  <c r="P17" i="373" s="1"/>
  <c r="T95" i="35"/>
  <c r="AA130" i="57"/>
  <c r="AC130" i="57" s="1"/>
  <c r="R92" i="57"/>
  <c r="P19" i="140" s="1"/>
  <c r="AB132" i="55"/>
  <c r="AD132" i="55" s="1"/>
  <c r="R95" i="55"/>
  <c r="P20" i="130" s="1"/>
  <c r="AA135" i="58"/>
  <c r="AC135" i="58" s="1"/>
  <c r="R97" i="58"/>
  <c r="P22" i="221" s="1"/>
  <c r="Q23" i="48"/>
  <c r="C75" i="67" s="1"/>
  <c r="J96" i="48"/>
  <c r="AA133" i="98"/>
  <c r="AC133" i="98" s="1"/>
  <c r="R97" i="98"/>
  <c r="P25" i="200" s="1"/>
  <c r="S97" i="98"/>
  <c r="AA122" i="54"/>
  <c r="AC122" i="54" s="1"/>
  <c r="S85" i="54"/>
  <c r="AB21" i="205" s="1"/>
  <c r="R85" i="54"/>
  <c r="AA125" i="63"/>
  <c r="AC125" i="63" s="1"/>
  <c r="R87" i="63"/>
  <c r="P10" i="226" s="1"/>
  <c r="AA124" i="58"/>
  <c r="AC124" i="58" s="1"/>
  <c r="R86" i="58"/>
  <c r="P11" i="221" s="1"/>
  <c r="AA126" i="59"/>
  <c r="AC126" i="59" s="1"/>
  <c r="R88" i="59"/>
  <c r="P13" i="224" s="1"/>
  <c r="AA128" i="52"/>
  <c r="AC128" i="52" s="1"/>
  <c r="R92" i="52"/>
  <c r="P15" i="216" s="1"/>
  <c r="AA126" i="53"/>
  <c r="AC126" i="53" s="1"/>
  <c r="S90" i="53"/>
  <c r="R90" i="53"/>
  <c r="P15" i="209" s="1"/>
  <c r="Q14" i="48"/>
  <c r="C66" i="67" s="1"/>
  <c r="J87" i="48"/>
  <c r="AA133" i="61"/>
  <c r="AC133" i="61" s="1"/>
  <c r="R95" i="61"/>
  <c r="P18" i="375" s="1"/>
  <c r="S95" i="61"/>
  <c r="AA132" i="59"/>
  <c r="AC132" i="59" s="1"/>
  <c r="R94" i="59"/>
  <c r="P19" i="224" s="1"/>
  <c r="AA133" i="51"/>
  <c r="AC133" i="51" s="1"/>
  <c r="S97" i="51"/>
  <c r="P21" i="214" s="1"/>
  <c r="AA135" i="59"/>
  <c r="AC135" i="59" s="1"/>
  <c r="R97" i="59"/>
  <c r="P22" i="224" s="1"/>
  <c r="AA134" i="54"/>
  <c r="AC134" i="54" s="1"/>
  <c r="R97" i="54"/>
  <c r="L33" i="205" s="1"/>
  <c r="S97" i="54"/>
  <c r="AB33" i="205" s="1"/>
  <c r="Z137" i="50"/>
  <c r="AB137" i="50" s="1"/>
  <c r="R99" i="50"/>
  <c r="P25" i="134" s="1"/>
  <c r="AB134" i="35"/>
  <c r="AD134" i="35" s="1"/>
  <c r="S96" i="35"/>
  <c r="P18" i="373" s="1"/>
  <c r="T96" i="35"/>
  <c r="AA125" i="60"/>
  <c r="AC125" i="60" s="1"/>
  <c r="R87" i="60"/>
  <c r="P10" i="370" s="1"/>
  <c r="O10" i="370" s="1"/>
  <c r="N10" i="370" s="1"/>
  <c r="M10" i="370" s="1"/>
  <c r="L10" i="370" s="1"/>
  <c r="J10" i="370" s="1"/>
  <c r="E10" i="370" s="1"/>
  <c r="D10" i="370" s="1"/>
  <c r="C10" i="370" s="1"/>
  <c r="AU10" i="96" s="1"/>
  <c r="S87" i="60"/>
  <c r="AA127" i="64"/>
  <c r="AC127" i="64" s="1"/>
  <c r="S89" i="64"/>
  <c r="R89" i="64"/>
  <c r="P9" i="365" s="1"/>
  <c r="O9" i="365" s="1"/>
  <c r="AA131" i="64"/>
  <c r="AC131" i="64" s="1"/>
  <c r="R93" i="64"/>
  <c r="P13" i="365" s="1"/>
  <c r="O13" i="365" s="1"/>
  <c r="AA126" i="57"/>
  <c r="AC126" i="57" s="1"/>
  <c r="R88" i="57"/>
  <c r="P15" i="140" s="1"/>
  <c r="AA128" i="53"/>
  <c r="AC128" i="53" s="1"/>
  <c r="R92" i="53"/>
  <c r="P17" i="209" s="1"/>
  <c r="S92" i="53"/>
  <c r="AA133" i="60"/>
  <c r="AC133" i="60" s="1"/>
  <c r="S95" i="60"/>
  <c r="R95" i="60"/>
  <c r="P18" i="370" s="1"/>
  <c r="AA133" i="58"/>
  <c r="AC133" i="58" s="1"/>
  <c r="R95" i="58"/>
  <c r="P20" i="221" s="1"/>
  <c r="Q20" i="48"/>
  <c r="C72" i="67" s="1"/>
  <c r="J93" i="48"/>
  <c r="AA130" i="61"/>
  <c r="AC130" i="61" s="1"/>
  <c r="R92" i="61"/>
  <c r="P15" i="375" s="1"/>
  <c r="S92" i="61"/>
  <c r="AA130" i="66"/>
  <c r="AC130" i="66" s="1"/>
  <c r="R92" i="66"/>
  <c r="P15" i="377" s="1"/>
  <c r="S92" i="66"/>
  <c r="AA125" i="66"/>
  <c r="AC125" i="66" s="1"/>
  <c r="R87" i="66"/>
  <c r="P10" i="377" s="1"/>
  <c r="O10" i="377" s="1"/>
  <c r="S87" i="66"/>
  <c r="U24" i="20"/>
  <c r="N24" i="20"/>
  <c r="M24" i="20" s="1"/>
  <c r="L24" i="20" s="1"/>
  <c r="AA138" i="66"/>
  <c r="AC138" i="66" s="1"/>
  <c r="R100" i="66"/>
  <c r="P23" i="377" s="1"/>
  <c r="S100" i="66"/>
  <c r="U34" i="20"/>
  <c r="N34" i="20"/>
  <c r="M34" i="20" s="1"/>
  <c r="L34" i="20" s="1"/>
  <c r="AA121" i="57"/>
  <c r="AC121" i="57" s="1"/>
  <c r="R83" i="57"/>
  <c r="AB125" i="35"/>
  <c r="AD125" i="35" s="1"/>
  <c r="T87" i="35"/>
  <c r="S87" i="35"/>
  <c r="P9" i="373" s="1"/>
  <c r="O9" i="373" s="1"/>
  <c r="AA131" i="65"/>
  <c r="AC131" i="65" s="1"/>
  <c r="R93" i="65"/>
  <c r="P13" i="325" s="1"/>
  <c r="O13" i="325" s="1"/>
  <c r="N13" i="325" s="1"/>
  <c r="M13" i="325" s="1"/>
  <c r="AA123" i="98"/>
  <c r="AC123" i="98" s="1"/>
  <c r="R87" i="98"/>
  <c r="P15" i="200" s="1"/>
  <c r="S87" i="98"/>
  <c r="Z129" i="50"/>
  <c r="AB129" i="50" s="1"/>
  <c r="R91" i="50"/>
  <c r="P17" i="134" s="1"/>
  <c r="AA121" i="54"/>
  <c r="AC121" i="54" s="1"/>
  <c r="S84" i="54"/>
  <c r="AB20" i="205" s="1"/>
  <c r="AA20" i="205" s="1"/>
  <c r="R84" i="54"/>
  <c r="AA131" i="52"/>
  <c r="AC131" i="52" s="1"/>
  <c r="R95" i="52"/>
  <c r="P18" i="216" s="1"/>
  <c r="Z132" i="50"/>
  <c r="AB132" i="50" s="1"/>
  <c r="R94" i="50"/>
  <c r="P20" i="134" s="1"/>
  <c r="AA136" i="60"/>
  <c r="AC136" i="60" s="1"/>
  <c r="R98" i="60"/>
  <c r="P21" i="370" s="1"/>
  <c r="S98" i="60"/>
  <c r="AA138" i="33"/>
  <c r="AC138" i="33" s="1"/>
  <c r="S103" i="33"/>
  <c r="U103" i="33"/>
  <c r="R103" i="33"/>
  <c r="T103" i="33"/>
  <c r="S103" i="347" s="1"/>
  <c r="AA137" i="52"/>
  <c r="AC137" i="52" s="1"/>
  <c r="R101" i="52"/>
  <c r="P24" i="216" s="1"/>
  <c r="AA128" i="65"/>
  <c r="AC128" i="65" s="1"/>
  <c r="R90" i="65"/>
  <c r="P10" i="325" s="1"/>
  <c r="O10" i="325" s="1"/>
  <c r="N10" i="325" s="1"/>
  <c r="M10" i="325" s="1"/>
  <c r="L10" i="325" s="1"/>
  <c r="J10" i="325" s="1"/>
  <c r="E10" i="325" s="1"/>
  <c r="D10" i="325" s="1"/>
  <c r="C10" i="325" s="1"/>
  <c r="AR10" i="96" s="1"/>
  <c r="AA132" i="57"/>
  <c r="AC132" i="57" s="1"/>
  <c r="R94" i="57"/>
  <c r="P21" i="140" s="1"/>
  <c r="AA118" i="98"/>
  <c r="AC118" i="98" s="1"/>
  <c r="R82" i="98"/>
  <c r="S82" i="98"/>
  <c r="AA127" i="65"/>
  <c r="AC127" i="65" s="1"/>
  <c r="R89" i="65"/>
  <c r="P9" i="325" s="1"/>
  <c r="O9" i="325" s="1"/>
  <c r="N9" i="325" s="1"/>
  <c r="M9" i="325" s="1"/>
  <c r="L9" i="325" s="1"/>
  <c r="J9" i="325" s="1"/>
  <c r="E9" i="325" s="1"/>
  <c r="D9" i="325" s="1"/>
  <c r="C9" i="325" s="1"/>
  <c r="AR9" i="96" s="1"/>
  <c r="AA129" i="33"/>
  <c r="AC129" i="33" s="1"/>
  <c r="R94" i="33"/>
  <c r="S94" i="33"/>
  <c r="T94" i="33"/>
  <c r="U94" i="33"/>
  <c r="AA127" i="57"/>
  <c r="AC127" i="57" s="1"/>
  <c r="R89" i="57"/>
  <c r="P16" i="140" s="1"/>
  <c r="AA130" i="52"/>
  <c r="AC130" i="52" s="1"/>
  <c r="R94" i="52"/>
  <c r="P17" i="216" s="1"/>
  <c r="AB126" i="55"/>
  <c r="AD126" i="55" s="1"/>
  <c r="R89" i="55"/>
  <c r="P14" i="130" s="1"/>
  <c r="AA133" i="63"/>
  <c r="AC133" i="63" s="1"/>
  <c r="R95" i="63"/>
  <c r="P18" i="226" s="1"/>
  <c r="AA128" i="98"/>
  <c r="AC128" i="98" s="1"/>
  <c r="R92" i="98"/>
  <c r="P20" i="200" s="1"/>
  <c r="S92" i="98"/>
  <c r="AA132" i="53"/>
  <c r="AC132" i="53" s="1"/>
  <c r="S96" i="53"/>
  <c r="R96" i="53"/>
  <c r="P21" i="209" s="1"/>
  <c r="AA138" i="60"/>
  <c r="AC138" i="60" s="1"/>
  <c r="R100" i="60"/>
  <c r="P23" i="370" s="1"/>
  <c r="S100" i="60"/>
  <c r="AB141" i="35"/>
  <c r="AD141" i="35" s="1"/>
  <c r="S103" i="35"/>
  <c r="P25" i="373" s="1"/>
  <c r="T103" i="35"/>
  <c r="AB129" i="35"/>
  <c r="AD129" i="35" s="1"/>
  <c r="S91" i="35"/>
  <c r="T91" i="35"/>
  <c r="AA132" i="54"/>
  <c r="AC132" i="54" s="1"/>
  <c r="R95" i="54"/>
  <c r="L31" i="205" s="1"/>
  <c r="S95" i="54"/>
  <c r="AB31" i="205" s="1"/>
  <c r="AA124" i="63"/>
  <c r="AC124" i="63" s="1"/>
  <c r="R86" i="63"/>
  <c r="P9" i="226" s="1"/>
  <c r="AA127" i="61"/>
  <c r="AC127" i="61" s="1"/>
  <c r="S89" i="61"/>
  <c r="R89" i="61"/>
  <c r="P12" i="375" s="1"/>
  <c r="O12" i="375" s="1"/>
  <c r="N12" i="375" s="1"/>
  <c r="M12" i="375" s="1"/>
  <c r="L12" i="375" s="1"/>
  <c r="J12" i="375" s="1"/>
  <c r="E12" i="375" s="1"/>
  <c r="D12" i="375" s="1"/>
  <c r="AA132" i="64"/>
  <c r="AC132" i="64" s="1"/>
  <c r="R94" i="64"/>
  <c r="P14" i="365" s="1"/>
  <c r="O14" i="365" s="1"/>
  <c r="AA131" i="63"/>
  <c r="AC131" i="63" s="1"/>
  <c r="R93" i="63"/>
  <c r="P16" i="226" s="1"/>
  <c r="Q13" i="48"/>
  <c r="C65" i="67" s="1"/>
  <c r="J86" i="48"/>
  <c r="W44" i="258"/>
  <c r="W41" i="201"/>
  <c r="AA134" i="33"/>
  <c r="AC134" i="33" s="1"/>
  <c r="S99" i="33"/>
  <c r="U99" i="33"/>
  <c r="R99" i="33"/>
  <c r="T99" i="33"/>
  <c r="S99" i="347" s="1"/>
  <c r="AA133" i="62"/>
  <c r="AC133" i="62" s="1"/>
  <c r="S97" i="62"/>
  <c r="P20" i="218" s="1"/>
  <c r="AA137" i="33"/>
  <c r="AC137" i="33" s="1"/>
  <c r="S102" i="33"/>
  <c r="U102" i="33"/>
  <c r="R102" i="33"/>
  <c r="T102" i="33"/>
  <c r="S102" i="347" s="1"/>
  <c r="AA131" i="98"/>
  <c r="AC131" i="98" s="1"/>
  <c r="R95" i="98"/>
  <c r="P23" i="200" s="1"/>
  <c r="S95" i="98"/>
  <c r="AA137" i="51"/>
  <c r="AC137" i="51" s="1"/>
  <c r="S101" i="51"/>
  <c r="P25" i="214" s="1"/>
  <c r="AA125" i="62"/>
  <c r="AC125" i="62" s="1"/>
  <c r="S89" i="62"/>
  <c r="P12" i="218" s="1"/>
  <c r="AB130" i="35"/>
  <c r="AD130" i="35" s="1"/>
  <c r="S92" i="35"/>
  <c r="P14" i="373" s="1"/>
  <c r="O14" i="373" s="1"/>
  <c r="N14" i="373" s="1"/>
  <c r="M14" i="373" s="1"/>
  <c r="T92" i="35"/>
  <c r="AA129" i="62"/>
  <c r="AC129" i="62" s="1"/>
  <c r="S93" i="62"/>
  <c r="P16" i="218" s="1"/>
  <c r="AA132" i="61"/>
  <c r="AC132" i="61" s="1"/>
  <c r="S94" i="61"/>
  <c r="R94" i="61"/>
  <c r="P17" i="375" s="1"/>
  <c r="Q8" i="48"/>
  <c r="C60" i="67" s="1"/>
  <c r="J81" i="48"/>
  <c r="V47" i="183"/>
  <c r="AA131" i="51"/>
  <c r="AC131" i="51" s="1"/>
  <c r="S95" i="51"/>
  <c r="P19" i="214" s="1"/>
  <c r="AA133" i="52"/>
  <c r="AC133" i="52" s="1"/>
  <c r="R97" i="52"/>
  <c r="P20" i="216" s="1"/>
  <c r="AA137" i="61"/>
  <c r="AC137" i="61" s="1"/>
  <c r="R99" i="61"/>
  <c r="P22" i="375" s="1"/>
  <c r="S99" i="61"/>
  <c r="AA136" i="62"/>
  <c r="AC136" i="62" s="1"/>
  <c r="S100" i="62"/>
  <c r="P23" i="218" s="1"/>
  <c r="Q24" i="48"/>
  <c r="C76" i="67" s="1"/>
  <c r="J97" i="48"/>
  <c r="AA122" i="57"/>
  <c r="AC122" i="57" s="1"/>
  <c r="R84" i="57"/>
  <c r="AA134" i="58"/>
  <c r="AC134" i="58" s="1"/>
  <c r="R96" i="58"/>
  <c r="P21" i="221" s="1"/>
  <c r="AA124" i="60"/>
  <c r="AC124" i="60" s="1"/>
  <c r="R86" i="60"/>
  <c r="P9" i="370" s="1"/>
  <c r="O9" i="370" s="1"/>
  <c r="N9" i="370" s="1"/>
  <c r="M9" i="370" s="1"/>
  <c r="L9" i="370" s="1"/>
  <c r="J9" i="370" s="1"/>
  <c r="E9" i="370" s="1"/>
  <c r="D9" i="370" s="1"/>
  <c r="C9" i="370" s="1"/>
  <c r="AU9" i="96" s="1"/>
  <c r="S86" i="60"/>
  <c r="AA128" i="63"/>
  <c r="AC128" i="63" s="1"/>
  <c r="R90" i="63"/>
  <c r="P13" i="226" s="1"/>
  <c r="AA133" i="65"/>
  <c r="AC133" i="65" s="1"/>
  <c r="R95" i="65"/>
  <c r="P15" i="325" s="1"/>
  <c r="AB127" i="55"/>
  <c r="AD127" i="55" s="1"/>
  <c r="R90" i="55"/>
  <c r="P15" i="130" s="1"/>
  <c r="AB128" i="55"/>
  <c r="AD128" i="55" s="1"/>
  <c r="R91" i="55"/>
  <c r="P16" i="130" s="1"/>
  <c r="AA128" i="54"/>
  <c r="AC128" i="54" s="1"/>
  <c r="S91" i="54"/>
  <c r="AB27" i="205" s="1"/>
  <c r="R91" i="54"/>
  <c r="L27" i="205" s="1"/>
  <c r="AB135" i="35"/>
  <c r="AD135" i="35" s="1"/>
  <c r="S97" i="35"/>
  <c r="P19" i="373" s="1"/>
  <c r="T97" i="35"/>
  <c r="AA130" i="98"/>
  <c r="AC130" i="98" s="1"/>
  <c r="R94" i="98"/>
  <c r="P22" i="200" s="1"/>
  <c r="S94" i="98"/>
  <c r="AB136" i="55"/>
  <c r="AD136" i="55" s="1"/>
  <c r="R99" i="55"/>
  <c r="P24" i="130" s="1"/>
  <c r="AA138" i="52"/>
  <c r="AC138" i="52" s="1"/>
  <c r="R102" i="52"/>
  <c r="P25" i="216" s="1"/>
  <c r="AA137" i="65"/>
  <c r="AC137" i="65" s="1"/>
  <c r="R99" i="65"/>
  <c r="P19" i="325" s="1"/>
  <c r="AA124" i="33"/>
  <c r="AC124" i="33" s="1"/>
  <c r="R89" i="33"/>
  <c r="S89" i="33"/>
  <c r="T89" i="33"/>
  <c r="U89" i="33"/>
  <c r="AA123" i="58"/>
  <c r="AC123" i="58" s="1"/>
  <c r="R85" i="58"/>
  <c r="P10" i="221" s="1"/>
  <c r="AA125" i="51"/>
  <c r="AC125" i="51" s="1"/>
  <c r="S89" i="51"/>
  <c r="P13" i="214" s="1"/>
  <c r="AA130" i="60"/>
  <c r="AC130" i="60" s="1"/>
  <c r="R92" i="60"/>
  <c r="P15" i="370" s="1"/>
  <c r="S92" i="60"/>
  <c r="AA125" i="53"/>
  <c r="AC125" i="53" s="1"/>
  <c r="R89" i="53"/>
  <c r="P14" i="209" s="1"/>
  <c r="S89" i="53"/>
  <c r="AA122" i="53"/>
  <c r="AC122" i="53" s="1"/>
  <c r="S86" i="53"/>
  <c r="R86" i="53"/>
  <c r="AA131" i="57"/>
  <c r="AC131" i="57" s="1"/>
  <c r="R93" i="57"/>
  <c r="P20" i="140" s="1"/>
  <c r="AA139" i="65"/>
  <c r="AC139" i="65" s="1"/>
  <c r="R101" i="65"/>
  <c r="P21" i="325" s="1"/>
  <c r="AA136" i="51"/>
  <c r="AC136" i="51" s="1"/>
  <c r="S100" i="51"/>
  <c r="P24" i="214" s="1"/>
  <c r="AA130" i="64"/>
  <c r="AC130" i="64" s="1"/>
  <c r="R92" i="64"/>
  <c r="P12" i="365" s="1"/>
  <c r="O12" i="365" s="1"/>
  <c r="S92" i="64"/>
  <c r="AA138" i="65"/>
  <c r="AC138" i="65" s="1"/>
  <c r="R100" i="65"/>
  <c r="P20" i="325" s="1"/>
  <c r="AA121" i="51"/>
  <c r="AC121" i="51" s="1"/>
  <c r="S85" i="51"/>
  <c r="AA125" i="52"/>
  <c r="AC125" i="52" s="1"/>
  <c r="R89" i="52"/>
  <c r="AA129" i="60"/>
  <c r="AC129" i="60" s="1"/>
  <c r="R91" i="60"/>
  <c r="P14" i="370" s="1"/>
  <c r="O14" i="370" s="1"/>
  <c r="N14" i="370" s="1"/>
  <c r="M14" i="370" s="1"/>
  <c r="S91" i="60"/>
  <c r="AA128" i="51"/>
  <c r="AC128" i="51" s="1"/>
  <c r="S92" i="51"/>
  <c r="P16" i="214" s="1"/>
  <c r="AB122" i="55"/>
  <c r="AD122" i="55" s="1"/>
  <c r="R85" i="55"/>
  <c r="AA132" i="33"/>
  <c r="AC132" i="33" s="1"/>
  <c r="S97" i="33"/>
  <c r="U97" i="33"/>
  <c r="R97" i="33"/>
  <c r="T97" i="33"/>
  <c r="S97" i="347" s="1"/>
  <c r="Z131" i="50"/>
  <c r="AB131" i="50" s="1"/>
  <c r="R93" i="50"/>
  <c r="P19" i="134" s="1"/>
  <c r="Q19" i="48"/>
  <c r="C71" i="67" s="1"/>
  <c r="J92" i="48"/>
  <c r="AB134" i="55"/>
  <c r="AD134" i="55" s="1"/>
  <c r="R97" i="55"/>
  <c r="P22" i="130" s="1"/>
  <c r="AA136" i="58"/>
  <c r="AC136" i="58" s="1"/>
  <c r="R98" i="58"/>
  <c r="P23" i="221" s="1"/>
  <c r="V20" i="20"/>
  <c r="W42" i="201"/>
  <c r="W45" i="258"/>
  <c r="AA131" i="66"/>
  <c r="AC131" i="66" s="1"/>
  <c r="R93" i="66"/>
  <c r="P16" i="377" s="1"/>
  <c r="S93" i="66"/>
  <c r="AA140" i="66"/>
  <c r="AC140" i="66" s="1"/>
  <c r="R102" i="66"/>
  <c r="P25" i="377" s="1"/>
  <c r="S102" i="66"/>
  <c r="AA126" i="66"/>
  <c r="AC126" i="66" s="1"/>
  <c r="S88" i="66"/>
  <c r="R88" i="66"/>
  <c r="P11" i="377" s="1"/>
  <c r="O11" i="377" s="1"/>
  <c r="AA136" i="66"/>
  <c r="AC136" i="66" s="1"/>
  <c r="R98" i="66"/>
  <c r="P21" i="377" s="1"/>
  <c r="S98" i="66"/>
  <c r="U28" i="20"/>
  <c r="N28" i="20"/>
  <c r="M28" i="20" s="1"/>
  <c r="L28" i="20" s="1"/>
  <c r="U33" i="20"/>
  <c r="N33" i="20"/>
  <c r="M33" i="20" s="1"/>
  <c r="L33" i="20" s="1"/>
  <c r="V36" i="20"/>
  <c r="N35" i="20"/>
  <c r="M35" i="20" s="1"/>
  <c r="L35" i="20" s="1"/>
  <c r="U35" i="20"/>
  <c r="AA129" i="64"/>
  <c r="AC129" i="64" s="1"/>
  <c r="S91" i="64"/>
  <c r="R91" i="64"/>
  <c r="P11" i="365" s="1"/>
  <c r="O11" i="365" s="1"/>
  <c r="AB127" i="35"/>
  <c r="AD127" i="35" s="1"/>
  <c r="S89" i="35"/>
  <c r="P11" i="373" s="1"/>
  <c r="O11" i="373" s="1"/>
  <c r="T89" i="35"/>
  <c r="Z125" i="50"/>
  <c r="AB125" i="50" s="1"/>
  <c r="R87" i="50"/>
  <c r="P13" i="134" s="1"/>
  <c r="AA128" i="62"/>
  <c r="AC128" i="62" s="1"/>
  <c r="S92" i="62"/>
  <c r="P15" i="218" s="1"/>
  <c r="J85" i="48"/>
  <c r="Q12" i="48"/>
  <c r="C64" i="67" s="1"/>
  <c r="AA124" i="54"/>
  <c r="AC124" i="54" s="1"/>
  <c r="R87" i="54"/>
  <c r="L23" i="205" s="1"/>
  <c r="S87" i="54"/>
  <c r="AB23" i="205" s="1"/>
  <c r="AA130" i="51"/>
  <c r="AC130" i="51" s="1"/>
  <c r="S94" i="51"/>
  <c r="P18" i="214" s="1"/>
  <c r="AA133" i="59"/>
  <c r="AC133" i="59" s="1"/>
  <c r="R95" i="59"/>
  <c r="P20" i="224" s="1"/>
  <c r="AA136" i="63"/>
  <c r="AC136" i="63" s="1"/>
  <c r="R98" i="63"/>
  <c r="P21" i="226" s="1"/>
  <c r="AA134" i="53"/>
  <c r="AC134" i="53" s="1"/>
  <c r="S98" i="53"/>
  <c r="R98" i="53"/>
  <c r="P23" i="209" s="1"/>
  <c r="AA137" i="59"/>
  <c r="AC137" i="59" s="1"/>
  <c r="R99" i="59"/>
  <c r="P24" i="224" s="1"/>
  <c r="AA129" i="66"/>
  <c r="AC129" i="66" s="1"/>
  <c r="R91" i="66"/>
  <c r="P14" i="377" s="1"/>
  <c r="O14" i="377" s="1"/>
  <c r="N14" i="377" s="1"/>
  <c r="M14" i="377" s="1"/>
  <c r="S91" i="66"/>
  <c r="AA125" i="61"/>
  <c r="AC125" i="61" s="1"/>
  <c r="S87" i="61"/>
  <c r="R87" i="61"/>
  <c r="P10" i="375" s="1"/>
  <c r="O10" i="375" s="1"/>
  <c r="N10" i="375" s="1"/>
  <c r="M10" i="375" s="1"/>
  <c r="L10" i="375" s="1"/>
  <c r="J10" i="375" s="1"/>
  <c r="E10" i="375" s="1"/>
  <c r="D10" i="375" s="1"/>
  <c r="AA130" i="65"/>
  <c r="AC130" i="65" s="1"/>
  <c r="R92" i="65"/>
  <c r="P12" i="325" s="1"/>
  <c r="O12" i="325" s="1"/>
  <c r="N12" i="325" s="1"/>
  <c r="M12" i="325" s="1"/>
  <c r="L12" i="325" s="1"/>
  <c r="J12" i="325" s="1"/>
  <c r="E12" i="325" s="1"/>
  <c r="D12" i="325" s="1"/>
  <c r="AA122" i="98"/>
  <c r="AC122" i="98" s="1"/>
  <c r="R86" i="98"/>
  <c r="P14" i="200" s="1"/>
  <c r="S86" i="98"/>
  <c r="AA129" i="52"/>
  <c r="AC129" i="52" s="1"/>
  <c r="R93" i="52"/>
  <c r="P16" i="216" s="1"/>
  <c r="AA124" i="53"/>
  <c r="AC124" i="53" s="1"/>
  <c r="R88" i="53"/>
  <c r="P13" i="209" s="1"/>
  <c r="S88" i="53"/>
  <c r="AA134" i="61"/>
  <c r="AC134" i="61" s="1"/>
  <c r="S96" i="61"/>
  <c r="R96" i="61"/>
  <c r="P19" i="375" s="1"/>
  <c r="AA131" i="53"/>
  <c r="AC131" i="53" s="1"/>
  <c r="S95" i="53"/>
  <c r="R95" i="53"/>
  <c r="P20" i="209" s="1"/>
  <c r="AA135" i="52"/>
  <c r="AC135" i="52" s="1"/>
  <c r="R99" i="52"/>
  <c r="P22" i="216" s="1"/>
  <c r="AA136" i="52"/>
  <c r="AC136" i="52" s="1"/>
  <c r="R100" i="52"/>
  <c r="P23" i="216" s="1"/>
  <c r="AA138" i="58"/>
  <c r="AC138" i="58" s="1"/>
  <c r="R100" i="58"/>
  <c r="P25" i="221" s="1"/>
  <c r="AA129" i="58"/>
  <c r="AC129" i="58" s="1"/>
  <c r="R91" i="58"/>
  <c r="P16" i="221" s="1"/>
  <c r="AA143" i="64"/>
  <c r="AC143" i="64" s="1"/>
  <c r="R105" i="64"/>
  <c r="P25" i="365" s="1"/>
  <c r="AA124" i="62"/>
  <c r="AC124" i="62" s="1"/>
  <c r="S88" i="62"/>
  <c r="P11" i="218" s="1"/>
  <c r="AA126" i="52"/>
  <c r="AC126" i="52" s="1"/>
  <c r="R90" i="52"/>
  <c r="P13" i="216" s="1"/>
  <c r="Z127" i="50"/>
  <c r="AB127" i="50" s="1"/>
  <c r="R89" i="50"/>
  <c r="P15" i="134" s="1"/>
  <c r="AA131" i="33"/>
  <c r="AC131" i="33" s="1"/>
  <c r="S96" i="33"/>
  <c r="R96" i="33"/>
  <c r="U96" i="33"/>
  <c r="T96" i="33"/>
  <c r="AB123" i="55"/>
  <c r="AD123" i="55" s="1"/>
  <c r="R86" i="55"/>
  <c r="Q18" i="48"/>
  <c r="C70" i="67" s="1"/>
  <c r="J91" i="48"/>
  <c r="AA134" i="62"/>
  <c r="AC134" i="62" s="1"/>
  <c r="S98" i="62"/>
  <c r="P21" i="218" s="1"/>
  <c r="AB138" i="35"/>
  <c r="AD138" i="35" s="1"/>
  <c r="T100" i="35"/>
  <c r="S100" i="35"/>
  <c r="P22" i="373" s="1"/>
  <c r="AA139" i="61"/>
  <c r="AC139" i="61" s="1"/>
  <c r="R101" i="61"/>
  <c r="P24" i="375" s="1"/>
  <c r="S101" i="61"/>
  <c r="AA136" i="57"/>
  <c r="AC136" i="57" s="1"/>
  <c r="R98" i="57"/>
  <c r="P25" i="140" s="1"/>
  <c r="AA130" i="62"/>
  <c r="AC130" i="62" s="1"/>
  <c r="S94" i="62"/>
  <c r="P17" i="218" s="1"/>
  <c r="AA123" i="52"/>
  <c r="AC123" i="52" s="1"/>
  <c r="R87" i="52"/>
  <c r="AA119" i="98"/>
  <c r="AC119" i="98" s="1"/>
  <c r="S83" i="98"/>
  <c r="R83" i="98"/>
  <c r="AA121" i="98"/>
  <c r="AC121" i="98" s="1"/>
  <c r="R85" i="98"/>
  <c r="P13" i="200" s="1"/>
  <c r="S85" i="98"/>
  <c r="AA128" i="59"/>
  <c r="AC128" i="59" s="1"/>
  <c r="R90" i="59"/>
  <c r="P15" i="224" s="1"/>
  <c r="AA120" i="53"/>
  <c r="AC120" i="53" s="1"/>
  <c r="S84" i="53"/>
  <c r="R84" i="53"/>
  <c r="AB130" i="55"/>
  <c r="AD130" i="55" s="1"/>
  <c r="R93" i="55"/>
  <c r="P18" i="130" s="1"/>
  <c r="AA134" i="63"/>
  <c r="AC134" i="63" s="1"/>
  <c r="R96" i="63"/>
  <c r="P19" i="226" s="1"/>
  <c r="AA134" i="59"/>
  <c r="AC134" i="59" s="1"/>
  <c r="R96" i="59"/>
  <c r="P21" i="224" s="1"/>
  <c r="Z134" i="50"/>
  <c r="AB134" i="50" s="1"/>
  <c r="R96" i="50"/>
  <c r="P22" i="134" s="1"/>
  <c r="AA132" i="98"/>
  <c r="AC132" i="98" s="1"/>
  <c r="S96" i="98"/>
  <c r="R96" i="98"/>
  <c r="P24" i="200" s="1"/>
  <c r="AA140" i="33"/>
  <c r="AC140" i="33" s="1"/>
  <c r="S105" i="33"/>
  <c r="T105" i="33"/>
  <c r="R105" i="33"/>
  <c r="U105" i="33"/>
  <c r="Z126" i="50"/>
  <c r="AB126" i="50" s="1"/>
  <c r="R88" i="50"/>
  <c r="P14" i="134" s="1"/>
  <c r="AA142" i="64"/>
  <c r="AC142" i="64" s="1"/>
  <c r="R104" i="64"/>
  <c r="P24" i="365" s="1"/>
  <c r="AA124" i="52"/>
  <c r="AC124" i="52" s="1"/>
  <c r="R88" i="52"/>
  <c r="AA126" i="58"/>
  <c r="AC126" i="58" s="1"/>
  <c r="R88" i="58"/>
  <c r="P13" i="221" s="1"/>
  <c r="AA130" i="33"/>
  <c r="AC130" i="33" s="1"/>
  <c r="S95" i="33"/>
  <c r="R95" i="33"/>
  <c r="U95" i="33"/>
  <c r="T95" i="33"/>
  <c r="S95" i="347" s="1"/>
  <c r="AA127" i="54"/>
  <c r="AC127" i="54" s="1"/>
  <c r="R90" i="54"/>
  <c r="L26" i="205" s="1"/>
  <c r="S90" i="54"/>
  <c r="AB26" i="205" s="1"/>
  <c r="AB121" i="55"/>
  <c r="AD121" i="55" s="1"/>
  <c r="R84" i="55"/>
  <c r="AA136" i="64"/>
  <c r="AC136" i="64" s="1"/>
  <c r="R98" i="64"/>
  <c r="P18" i="365" s="1"/>
  <c r="AA130" i="54"/>
  <c r="AC130" i="54" s="1"/>
  <c r="R93" i="54"/>
  <c r="L29" i="205" s="1"/>
  <c r="S93" i="54"/>
  <c r="AB29" i="205" s="1"/>
  <c r="AA136" i="59"/>
  <c r="AC136" i="59" s="1"/>
  <c r="R98" i="59"/>
  <c r="P23" i="224" s="1"/>
  <c r="AA135" i="57"/>
  <c r="AC135" i="57" s="1"/>
  <c r="R97" i="57"/>
  <c r="P24" i="140" s="1"/>
  <c r="AB126" i="35"/>
  <c r="AD126" i="35" s="1"/>
  <c r="S88" i="35"/>
  <c r="P10" i="373" s="1"/>
  <c r="O10" i="373" s="1"/>
  <c r="N10" i="373" s="1"/>
  <c r="M10" i="373" s="1"/>
  <c r="L10" i="373" s="1"/>
  <c r="J10" i="373" s="1"/>
  <c r="E10" i="373" s="1"/>
  <c r="D10" i="373" s="1"/>
  <c r="T88" i="35"/>
  <c r="AA136" i="33"/>
  <c r="AC136" i="33" s="1"/>
  <c r="U101" i="33"/>
  <c r="R101" i="33"/>
  <c r="T101" i="33"/>
  <c r="S101" i="33"/>
  <c r="AA128" i="64"/>
  <c r="AC128" i="64" s="1"/>
  <c r="S90" i="64"/>
  <c r="R90" i="64"/>
  <c r="P10" i="365" s="1"/>
  <c r="O10" i="365" s="1"/>
  <c r="N10" i="365" s="1"/>
  <c r="M10" i="365" s="1"/>
  <c r="L10" i="365" s="1"/>
  <c r="J10" i="365" s="1"/>
  <c r="E10" i="365" s="1"/>
  <c r="D10" i="365" s="1"/>
  <c r="C10" i="365" s="1"/>
  <c r="AA123" i="57"/>
  <c r="AC123" i="57" s="1"/>
  <c r="R85" i="57"/>
  <c r="AA129" i="61"/>
  <c r="AC129" i="61" s="1"/>
  <c r="R91" i="61"/>
  <c r="P14" i="375" s="1"/>
  <c r="O14" i="375" s="1"/>
  <c r="N14" i="375" s="1"/>
  <c r="M14" i="375" s="1"/>
  <c r="S91" i="61"/>
  <c r="AA131" i="60"/>
  <c r="AC131" i="60" s="1"/>
  <c r="R93" i="60"/>
  <c r="P16" i="370" s="1"/>
  <c r="S93" i="60"/>
  <c r="AA132" i="63"/>
  <c r="AC132" i="63" s="1"/>
  <c r="R94" i="63"/>
  <c r="P17" i="226" s="1"/>
  <c r="AA132" i="58"/>
  <c r="AC132" i="58" s="1"/>
  <c r="R94" i="58"/>
  <c r="P19" i="221" s="1"/>
  <c r="AA135" i="60"/>
  <c r="AC135" i="60" s="1"/>
  <c r="R97" i="60"/>
  <c r="P20" i="370" s="1"/>
  <c r="S97" i="60"/>
  <c r="AA137" i="63"/>
  <c r="AC137" i="63" s="1"/>
  <c r="R99" i="63"/>
  <c r="P22" i="226" s="1"/>
  <c r="AA134" i="57"/>
  <c r="AC134" i="57" s="1"/>
  <c r="R96" i="57"/>
  <c r="P23" i="140" s="1"/>
  <c r="AA140" i="63"/>
  <c r="AC140" i="63" s="1"/>
  <c r="R102" i="63"/>
  <c r="P25" i="226" s="1"/>
  <c r="AA120" i="98"/>
  <c r="AC120" i="98" s="1"/>
  <c r="R84" i="98"/>
  <c r="S84" i="98"/>
  <c r="AA135" i="51"/>
  <c r="AC135" i="51" s="1"/>
  <c r="S99" i="51"/>
  <c r="P23" i="214" s="1"/>
  <c r="AA123" i="51"/>
  <c r="AC123" i="51" s="1"/>
  <c r="S87" i="51"/>
  <c r="AA124" i="51"/>
  <c r="AC124" i="51" s="1"/>
  <c r="S88" i="51"/>
  <c r="AA127" i="58"/>
  <c r="AC127" i="58" s="1"/>
  <c r="R89" i="58"/>
  <c r="P14" i="221" s="1"/>
  <c r="AB132" i="35"/>
  <c r="AD132" i="35" s="1"/>
  <c r="S94" i="35"/>
  <c r="P16" i="373" s="1"/>
  <c r="T94" i="35"/>
  <c r="AA123" i="54"/>
  <c r="AC123" i="54" s="1"/>
  <c r="R86" i="54"/>
  <c r="L22" i="205" s="1"/>
  <c r="S86" i="54"/>
  <c r="AB22" i="205" s="1"/>
  <c r="Q17" i="48"/>
  <c r="C69" i="67" s="1"/>
  <c r="J90" i="48"/>
  <c r="AA139" i="64"/>
  <c r="AC139" i="64" s="1"/>
  <c r="R101" i="64"/>
  <c r="P21" i="365" s="1"/>
  <c r="AA140" i="65"/>
  <c r="AC140" i="65" s="1"/>
  <c r="R102" i="65"/>
  <c r="P22" i="325" s="1"/>
  <c r="AA137" i="62"/>
  <c r="AC137" i="62" s="1"/>
  <c r="S101" i="62"/>
  <c r="P24" i="218" s="1"/>
  <c r="AA140" i="61"/>
  <c r="AC140" i="61" s="1"/>
  <c r="R102" i="61"/>
  <c r="P25" i="375" s="1"/>
  <c r="S102" i="61"/>
  <c r="AA135" i="63"/>
  <c r="AC135" i="63" s="1"/>
  <c r="R97" i="63"/>
  <c r="P20" i="226" s="1"/>
  <c r="AA137" i="66"/>
  <c r="AC137" i="66" s="1"/>
  <c r="R99" i="66"/>
  <c r="P22" i="377" s="1"/>
  <c r="S99" i="66"/>
  <c r="U25" i="20"/>
  <c r="N25" i="20"/>
  <c r="M25" i="20" s="1"/>
  <c r="L25" i="20" s="1"/>
  <c r="AA133" i="66"/>
  <c r="AC133" i="66" s="1"/>
  <c r="R95" i="66"/>
  <c r="P18" i="377" s="1"/>
  <c r="S95" i="66"/>
  <c r="U26" i="20"/>
  <c r="N26" i="20"/>
  <c r="M26" i="20" s="1"/>
  <c r="L26" i="20" s="1"/>
  <c r="U31" i="20"/>
  <c r="N31" i="20"/>
  <c r="M31" i="20" s="1"/>
  <c r="L31" i="20" s="1"/>
  <c r="W46" i="258"/>
  <c r="V21" i="20"/>
  <c r="W43" i="201"/>
  <c r="AA134" i="66"/>
  <c r="AC134" i="66" s="1"/>
  <c r="R96" i="66"/>
  <c r="P19" i="377" s="1"/>
  <c r="S96" i="66"/>
  <c r="AA122" i="52"/>
  <c r="AC122" i="52" s="1"/>
  <c r="R86" i="52"/>
  <c r="AA126" i="51"/>
  <c r="AC126" i="51" s="1"/>
  <c r="S90" i="51"/>
  <c r="P14" i="214" s="1"/>
  <c r="AA124" i="98"/>
  <c r="AC124" i="98" s="1"/>
  <c r="R88" i="98"/>
  <c r="P16" i="200" s="1"/>
  <c r="S88" i="98"/>
  <c r="AA121" i="53"/>
  <c r="AC121" i="53" s="1"/>
  <c r="S85" i="53"/>
  <c r="R85" i="53"/>
  <c r="AB125" i="55"/>
  <c r="AD125" i="55" s="1"/>
  <c r="R88" i="55"/>
  <c r="P13" i="130" s="1"/>
  <c r="AA137" i="64"/>
  <c r="AC137" i="64" s="1"/>
  <c r="R99" i="64"/>
  <c r="P19" i="365" s="1"/>
  <c r="AA137" i="60"/>
  <c r="AC137" i="60" s="1"/>
  <c r="R99" i="60"/>
  <c r="P22" i="370" s="1"/>
  <c r="S99" i="60"/>
  <c r="AA138" i="63"/>
  <c r="AC138" i="63" s="1"/>
  <c r="R100" i="63"/>
  <c r="P23" i="226" s="1"/>
  <c r="AB137" i="55"/>
  <c r="AD137" i="55" s="1"/>
  <c r="R100" i="55"/>
  <c r="P25" i="130" s="1"/>
  <c r="AA137" i="58"/>
  <c r="AC137" i="58" s="1"/>
  <c r="R99" i="58"/>
  <c r="P24" i="221" s="1"/>
  <c r="AA124" i="59"/>
  <c r="AC124" i="59" s="1"/>
  <c r="R86" i="59"/>
  <c r="P11" i="224" s="1"/>
  <c r="AA127" i="51"/>
  <c r="AC127" i="51" s="1"/>
  <c r="S91" i="51"/>
  <c r="P15" i="214" s="1"/>
  <c r="Z128" i="50"/>
  <c r="AB128" i="50" s="1"/>
  <c r="R90" i="50"/>
  <c r="P16" i="134" s="1"/>
  <c r="Q16" i="48"/>
  <c r="C68" i="67" s="1"/>
  <c r="J89" i="48"/>
  <c r="AA136" i="65"/>
  <c r="AC136" i="65" s="1"/>
  <c r="R98" i="65"/>
  <c r="P18" i="325" s="1"/>
  <c r="AA132" i="52"/>
  <c r="AC132" i="52" s="1"/>
  <c r="R96" i="52"/>
  <c r="P19" i="216" s="1"/>
  <c r="AA129" i="98"/>
  <c r="AC129" i="98" s="1"/>
  <c r="R93" i="98"/>
  <c r="P21" i="200" s="1"/>
  <c r="S93" i="98"/>
  <c r="AA133" i="57"/>
  <c r="AC133" i="57" s="1"/>
  <c r="R95" i="57"/>
  <c r="P22" i="140" s="1"/>
  <c r="AA139" i="60"/>
  <c r="AC139" i="60" s="1"/>
  <c r="R101" i="60"/>
  <c r="P24" i="370" s="1"/>
  <c r="S101" i="60"/>
  <c r="AA138" i="62"/>
  <c r="AC138" i="62" s="1"/>
  <c r="S102" i="62"/>
  <c r="P25" i="218" s="1"/>
  <c r="Q9" i="48"/>
  <c r="C61" i="67" s="1"/>
  <c r="J82" i="48"/>
  <c r="V48" i="183"/>
  <c r="AA123" i="62"/>
  <c r="AC123" i="62" s="1"/>
  <c r="S87" i="62"/>
  <c r="P10" i="218" s="1"/>
  <c r="AA122" i="58"/>
  <c r="AC122" i="58" s="1"/>
  <c r="R84" i="58"/>
  <c r="P9" i="221" s="1"/>
  <c r="AA124" i="57"/>
  <c r="AC124" i="57" s="1"/>
  <c r="R86" i="57"/>
  <c r="P13" i="140" s="1"/>
  <c r="AA130" i="63"/>
  <c r="AC130" i="63" s="1"/>
  <c r="R92" i="63"/>
  <c r="P15" i="226" s="1"/>
  <c r="AA132" i="60"/>
  <c r="AC132" i="60" s="1"/>
  <c r="R94" i="60"/>
  <c r="P17" i="370" s="1"/>
  <c r="S94" i="60"/>
  <c r="AA129" i="53"/>
  <c r="AC129" i="53" s="1"/>
  <c r="R93" i="53"/>
  <c r="P18" i="209" s="1"/>
  <c r="S93" i="53"/>
  <c r="U30" i="20"/>
  <c r="N30" i="20"/>
  <c r="M30" i="20" s="1"/>
  <c r="L30" i="20" s="1"/>
  <c r="AA131" i="54"/>
  <c r="AC131" i="54" s="1"/>
  <c r="S94" i="54"/>
  <c r="AB30" i="205" s="1"/>
  <c r="R94" i="54"/>
  <c r="L30" i="205" s="1"/>
  <c r="AA138" i="61"/>
  <c r="AC138" i="61" s="1"/>
  <c r="S100" i="61"/>
  <c r="R100" i="61"/>
  <c r="P23" i="375" s="1"/>
  <c r="AA135" i="53"/>
  <c r="AC135" i="53" s="1"/>
  <c r="S99" i="53"/>
  <c r="R99" i="53"/>
  <c r="P24" i="209" s="1"/>
  <c r="U29" i="20"/>
  <c r="N29" i="20"/>
  <c r="M29" i="20" s="1"/>
  <c r="L29" i="20" s="1"/>
  <c r="AA123" i="59"/>
  <c r="AC123" i="59" s="1"/>
  <c r="R85" i="59"/>
  <c r="P10" i="224" s="1"/>
  <c r="AA127" i="60"/>
  <c r="AC127" i="60" s="1"/>
  <c r="S89" i="60"/>
  <c r="R89" i="60"/>
  <c r="P12" i="370" s="1"/>
  <c r="O12" i="370" s="1"/>
  <c r="N12" i="370" s="1"/>
  <c r="M12" i="370" s="1"/>
  <c r="L12" i="370" s="1"/>
  <c r="J12" i="370" s="1"/>
  <c r="E12" i="370" s="1"/>
  <c r="D12" i="370" s="1"/>
  <c r="C12" i="370" s="1"/>
  <c r="AU12" i="96" s="1"/>
  <c r="AA128" i="61"/>
  <c r="AC128" i="61" s="1"/>
  <c r="R90" i="61"/>
  <c r="P13" i="375" s="1"/>
  <c r="O13" i="375" s="1"/>
  <c r="N13" i="375" s="1"/>
  <c r="M13" i="375" s="1"/>
  <c r="S90" i="61"/>
  <c r="AA133" i="64"/>
  <c r="AC133" i="64" s="1"/>
  <c r="R95" i="64"/>
  <c r="P15" i="365" s="1"/>
  <c r="AA127" i="53"/>
  <c r="AC127" i="53" s="1"/>
  <c r="R91" i="53"/>
  <c r="P16" i="209" s="1"/>
  <c r="S91" i="53"/>
  <c r="AA125" i="54"/>
  <c r="AC125" i="54" s="1"/>
  <c r="R88" i="54"/>
  <c r="L24" i="205" s="1"/>
  <c r="S88" i="54"/>
  <c r="AB24" i="205" s="1"/>
  <c r="AA131" i="62"/>
  <c r="AC131" i="62" s="1"/>
  <c r="S95" i="62"/>
  <c r="P18" i="218" s="1"/>
  <c r="AA132" i="51"/>
  <c r="AC132" i="51" s="1"/>
  <c r="S96" i="51"/>
  <c r="P20" i="214" s="1"/>
  <c r="AB133" i="55"/>
  <c r="AD133" i="55" s="1"/>
  <c r="R96" i="55"/>
  <c r="P21" i="130" s="1"/>
  <c r="Q22" i="48"/>
  <c r="C74" i="67" s="1"/>
  <c r="J95" i="48"/>
  <c r="AB140" i="35"/>
  <c r="AD140" i="35" s="1"/>
  <c r="S102" i="35"/>
  <c r="P24" i="373" s="1"/>
  <c r="T102" i="35"/>
  <c r="J83" i="48"/>
  <c r="Q10" i="48"/>
  <c r="C62" i="67" s="1"/>
  <c r="V49" i="183"/>
  <c r="AA126" i="63"/>
  <c r="AC126" i="63" s="1"/>
  <c r="R88" i="63"/>
  <c r="P11" i="226" s="1"/>
  <c r="AA120" i="57"/>
  <c r="AC120" i="57" s="1"/>
  <c r="R82" i="57"/>
  <c r="AA132" i="65"/>
  <c r="AC132" i="65" s="1"/>
  <c r="R94" i="65"/>
  <c r="P14" i="325" s="1"/>
  <c r="O14" i="325" s="1"/>
  <c r="N14" i="325" s="1"/>
  <c r="M14" i="325" s="1"/>
  <c r="AA131" i="61"/>
  <c r="AC131" i="61" s="1"/>
  <c r="R93" i="61"/>
  <c r="P16" i="375" s="1"/>
  <c r="S93" i="61"/>
  <c r="AA120" i="54"/>
  <c r="AC120" i="54" s="1"/>
  <c r="R83" i="54"/>
  <c r="S83" i="54"/>
  <c r="AB19" i="205" s="1"/>
  <c r="AA19" i="205" s="1"/>
  <c r="AA123" i="53"/>
  <c r="AC123" i="53" s="1"/>
  <c r="S87" i="53"/>
  <c r="R87" i="53"/>
  <c r="AA130" i="53"/>
  <c r="AC130" i="53" s="1"/>
  <c r="S94" i="53"/>
  <c r="R94" i="53"/>
  <c r="P19" i="209" s="1"/>
  <c r="AA138" i="64"/>
  <c r="AC138" i="64" s="1"/>
  <c r="R100" i="64"/>
  <c r="P20" i="365" s="1"/>
  <c r="AA140" i="64"/>
  <c r="AC140" i="64" s="1"/>
  <c r="R102" i="64"/>
  <c r="P22" i="365" s="1"/>
  <c r="AA141" i="64"/>
  <c r="AC141" i="64" s="1"/>
  <c r="R103" i="64"/>
  <c r="P23" i="365" s="1"/>
  <c r="AA136" i="53"/>
  <c r="AC136" i="53" s="1"/>
  <c r="R100" i="53"/>
  <c r="P25" i="209" s="1"/>
  <c r="S100" i="53"/>
  <c r="AA128" i="58"/>
  <c r="AC128" i="58" s="1"/>
  <c r="R90" i="58"/>
  <c r="P15" i="221" s="1"/>
  <c r="Z136" i="50"/>
  <c r="AB136" i="50" s="1"/>
  <c r="R98" i="50"/>
  <c r="P24" i="134" s="1"/>
  <c r="AA126" i="33"/>
  <c r="AC126" i="33" s="1"/>
  <c r="T91" i="33"/>
  <c r="R91" i="33"/>
  <c r="S91" i="33"/>
  <c r="U91" i="33"/>
  <c r="S91" i="347" s="1"/>
  <c r="R91" i="347" s="1"/>
  <c r="AB128" i="35"/>
  <c r="AD128" i="35" s="1"/>
  <c r="S90" i="35"/>
  <c r="P12" i="373" s="1"/>
  <c r="O12" i="373" s="1"/>
  <c r="N12" i="373" s="1"/>
  <c r="M12" i="373" s="1"/>
  <c r="T90" i="35"/>
  <c r="AA129" i="63"/>
  <c r="AC129" i="63" s="1"/>
  <c r="R91" i="63"/>
  <c r="P14" i="226" s="1"/>
  <c r="AA134" i="65"/>
  <c r="AC134" i="65" s="1"/>
  <c r="R96" i="65"/>
  <c r="P16" i="325" s="1"/>
  <c r="AA119" i="54"/>
  <c r="AC119" i="54" s="1"/>
  <c r="S82" i="54"/>
  <c r="AB18" i="205" s="1"/>
  <c r="AA18" i="205" s="1"/>
  <c r="R82" i="54"/>
  <c r="AA135" i="65"/>
  <c r="AC135" i="65" s="1"/>
  <c r="R97" i="65"/>
  <c r="P17" i="325" s="1"/>
  <c r="AB131" i="55"/>
  <c r="AD131" i="55" s="1"/>
  <c r="R94" i="55"/>
  <c r="P19" i="130" s="1"/>
  <c r="AA134" i="52"/>
  <c r="AC134" i="52" s="1"/>
  <c r="R98" i="52"/>
  <c r="P21" i="216" s="1"/>
  <c r="N32" i="20"/>
  <c r="M32" i="20" s="1"/>
  <c r="L32" i="20" s="1"/>
  <c r="U32" i="20"/>
  <c r="AA142" i="65"/>
  <c r="AC142" i="65" s="1"/>
  <c r="R104" i="65"/>
  <c r="P24" i="325" s="1"/>
  <c r="AA143" i="65"/>
  <c r="AC143" i="65" s="1"/>
  <c r="R105" i="65"/>
  <c r="P25" i="325" s="1"/>
  <c r="AB129" i="55"/>
  <c r="AD129" i="55" s="1"/>
  <c r="R92" i="55"/>
  <c r="P17" i="130" s="1"/>
  <c r="AA125" i="33"/>
  <c r="AC125" i="33" s="1"/>
  <c r="S90" i="33"/>
  <c r="U90" i="33"/>
  <c r="R90" i="33"/>
  <c r="T90" i="33"/>
  <c r="S88" i="347" s="1"/>
  <c r="AA122" i="62"/>
  <c r="AC122" i="62" s="1"/>
  <c r="S86" i="62"/>
  <c r="P9" i="218" s="1"/>
  <c r="AA128" i="60"/>
  <c r="AC128" i="60" s="1"/>
  <c r="R90" i="60"/>
  <c r="P13" i="370" s="1"/>
  <c r="O13" i="370" s="1"/>
  <c r="N13" i="370" s="1"/>
  <c r="M13" i="370" s="1"/>
  <c r="S90" i="60"/>
  <c r="AB131" i="35"/>
  <c r="AD131" i="35" s="1"/>
  <c r="S93" i="35"/>
  <c r="P15" i="373" s="1"/>
  <c r="T93" i="35"/>
  <c r="J84" i="48"/>
  <c r="Q11" i="48"/>
  <c r="C63" i="67" s="1"/>
  <c r="V50" i="183"/>
  <c r="AA133" i="33"/>
  <c r="AC133" i="33" s="1"/>
  <c r="T98" i="33"/>
  <c r="R98" i="33"/>
  <c r="S98" i="33"/>
  <c r="U98" i="33"/>
  <c r="AA134" i="60"/>
  <c r="AC134" i="60" s="1"/>
  <c r="S96" i="60"/>
  <c r="R96" i="60"/>
  <c r="P19" i="370" s="1"/>
  <c r="AB137" i="35"/>
  <c r="AD137" i="35" s="1"/>
  <c r="T99" i="35"/>
  <c r="S99" i="35"/>
  <c r="P21" i="373" s="1"/>
  <c r="AA133" i="54"/>
  <c r="AC133" i="54" s="1"/>
  <c r="R96" i="54"/>
  <c r="L32" i="205" s="1"/>
  <c r="S96" i="54"/>
  <c r="AB32" i="205" s="1"/>
  <c r="AA125" i="59"/>
  <c r="AC125" i="59" s="1"/>
  <c r="R87" i="59"/>
  <c r="P12" i="224" s="1"/>
  <c r="AB139" i="35"/>
  <c r="AD139" i="35" s="1"/>
  <c r="S101" i="35"/>
  <c r="P23" i="373" s="1"/>
  <c r="T101" i="35"/>
  <c r="AA127" i="66"/>
  <c r="AC127" i="66" s="1"/>
  <c r="S89" i="66"/>
  <c r="R89" i="66"/>
  <c r="P12" i="377" s="1"/>
  <c r="O12" i="377" s="1"/>
  <c r="N12" i="377" s="1"/>
  <c r="M12" i="377" s="1"/>
  <c r="L12" i="377" s="1"/>
  <c r="J12" i="377" s="1"/>
  <c r="E12" i="377" s="1"/>
  <c r="D12" i="377" s="1"/>
  <c r="AA135" i="66"/>
  <c r="AC135" i="66" s="1"/>
  <c r="R97" i="66"/>
  <c r="P20" i="377" s="1"/>
  <c r="S97" i="66"/>
  <c r="N23" i="20"/>
  <c r="M23" i="20" s="1"/>
  <c r="L23" i="20" s="1"/>
  <c r="U23" i="20"/>
  <c r="AA128" i="66"/>
  <c r="AC128" i="66" s="1"/>
  <c r="R90" i="66"/>
  <c r="P13" i="377" s="1"/>
  <c r="O13" i="377" s="1"/>
  <c r="N13" i="377" s="1"/>
  <c r="M13" i="377" s="1"/>
  <c r="L13" i="377" s="1"/>
  <c r="J13" i="377" s="1"/>
  <c r="E13" i="377" s="1"/>
  <c r="D13" i="377" s="1"/>
  <c r="S90" i="66"/>
  <c r="V22" i="20"/>
  <c r="W47" i="258"/>
  <c r="W44" i="201"/>
  <c r="AA124" i="66"/>
  <c r="AC124" i="66" s="1"/>
  <c r="S86" i="66"/>
  <c r="R86" i="66"/>
  <c r="P9" i="377" s="1"/>
  <c r="O9" i="377" s="1"/>
  <c r="N9" i="377" s="1"/>
  <c r="M9" i="377" s="1"/>
  <c r="L9" i="377" s="1"/>
  <c r="J9" i="377" s="1"/>
  <c r="E9" i="377" s="1"/>
  <c r="D9" i="377" s="1"/>
  <c r="C9" i="377" s="1"/>
  <c r="AY9" i="96" s="1"/>
  <c r="V109" i="49"/>
  <c r="M108" i="49"/>
  <c r="N108" i="49" s="1"/>
  <c r="AA132" i="66"/>
  <c r="AC132" i="66" s="1"/>
  <c r="R94" i="66"/>
  <c r="P17" i="377" s="1"/>
  <c r="S94" i="66"/>
  <c r="AA139" i="66"/>
  <c r="AC139" i="66" s="1"/>
  <c r="R101" i="66"/>
  <c r="P24" i="377" s="1"/>
  <c r="S101" i="66"/>
  <c r="Y34" i="126"/>
  <c r="AC90" i="117" s="1"/>
  <c r="Y35" i="126"/>
  <c r="AC91" i="117" s="1"/>
  <c r="P10" i="134"/>
  <c r="W60" i="201"/>
  <c r="W63" i="258"/>
  <c r="P9" i="134"/>
  <c r="W59" i="201"/>
  <c r="W62" i="258"/>
  <c r="P12" i="134"/>
  <c r="W62" i="201"/>
  <c r="W65" i="258"/>
  <c r="P11" i="134"/>
  <c r="W61" i="201"/>
  <c r="W64" i="258"/>
  <c r="R150" i="37"/>
  <c r="R16" i="413" s="1"/>
  <c r="AB198" i="37"/>
  <c r="AD198" i="37" s="1"/>
  <c r="R159" i="37"/>
  <c r="R25" i="413" s="1"/>
  <c r="AB207" i="37"/>
  <c r="AD207" i="37" s="1"/>
  <c r="R147" i="37"/>
  <c r="R13" i="413" s="1"/>
  <c r="AB195" i="37"/>
  <c r="AD195" i="37" s="1"/>
  <c r="R154" i="37"/>
  <c r="R20" i="413" s="1"/>
  <c r="AB202" i="37"/>
  <c r="AD202" i="37" s="1"/>
  <c r="R156" i="37"/>
  <c r="R22" i="413" s="1"/>
  <c r="AB204" i="37"/>
  <c r="AD204" i="37" s="1"/>
  <c r="R149" i="37"/>
  <c r="R15" i="413" s="1"/>
  <c r="AB197" i="37"/>
  <c r="AD197" i="37" s="1"/>
  <c r="R148" i="37"/>
  <c r="R14" i="413" s="1"/>
  <c r="AB196" i="37"/>
  <c r="AD196" i="37" s="1"/>
  <c r="R155" i="37"/>
  <c r="R21" i="413" s="1"/>
  <c r="AB203" i="37"/>
  <c r="AD203" i="37" s="1"/>
  <c r="R152" i="37"/>
  <c r="R18" i="413" s="1"/>
  <c r="AB200" i="37"/>
  <c r="AD200" i="37" s="1"/>
  <c r="R158" i="37"/>
  <c r="R24" i="413" s="1"/>
  <c r="AB206" i="37"/>
  <c r="AD206" i="37" s="1"/>
  <c r="R146" i="37"/>
  <c r="AB194" i="37"/>
  <c r="AD194" i="37" s="1"/>
  <c r="R153" i="37"/>
  <c r="R19" i="413" s="1"/>
  <c r="AB201" i="37"/>
  <c r="AD201" i="37" s="1"/>
  <c r="R144" i="37"/>
  <c r="AB192" i="37"/>
  <c r="AD192" i="37" s="1"/>
  <c r="R143" i="37"/>
  <c r="AB191" i="37"/>
  <c r="AD191" i="37" s="1"/>
  <c r="R157" i="37"/>
  <c r="R23" i="413" s="1"/>
  <c r="AB205" i="37"/>
  <c r="AD205" i="37" s="1"/>
  <c r="R151" i="37"/>
  <c r="R17" i="413" s="1"/>
  <c r="AB199" i="37"/>
  <c r="AD199" i="37" s="1"/>
  <c r="R11" i="413"/>
  <c r="W40" i="258"/>
  <c r="W37" i="201"/>
  <c r="F29" i="301"/>
  <c r="B28" i="301"/>
  <c r="W5" i="247"/>
  <c r="G5" i="247"/>
  <c r="J5" i="247"/>
  <c r="O5" i="247"/>
  <c r="I5" i="247"/>
  <c r="P5" i="247"/>
  <c r="S5" i="247"/>
  <c r="V5" i="247"/>
  <c r="F5" i="247"/>
  <c r="Q5" i="247"/>
  <c r="C5" i="247"/>
  <c r="D5" i="247"/>
  <c r="N5" i="247"/>
  <c r="U5" i="247"/>
  <c r="B5" i="247"/>
  <c r="L5" i="247"/>
  <c r="R5" i="247"/>
  <c r="M5" i="247"/>
  <c r="T5" i="247"/>
  <c r="K5" i="247"/>
  <c r="H5" i="247"/>
  <c r="E5" i="247"/>
  <c r="X6" i="247"/>
  <c r="O23" i="373" l="1"/>
  <c r="N23" i="373" s="1"/>
  <c r="M23" i="373" s="1"/>
  <c r="H23" i="373"/>
  <c r="G23" i="373" s="1"/>
  <c r="F23" i="373" s="1"/>
  <c r="W80" i="258"/>
  <c r="W77" i="201"/>
  <c r="L18" i="205"/>
  <c r="L12" i="373"/>
  <c r="J12" i="373" s="1"/>
  <c r="E12" i="373" s="1"/>
  <c r="D12" i="373" s="1"/>
  <c r="H22" i="365"/>
  <c r="G22" i="365" s="1"/>
  <c r="F22" i="365" s="1"/>
  <c r="O22" i="365"/>
  <c r="N22" i="365" s="1"/>
  <c r="M22" i="365" s="1"/>
  <c r="X119" i="48"/>
  <c r="K83" i="48"/>
  <c r="L83" i="48"/>
  <c r="Z119" i="48" s="1"/>
  <c r="S83" i="48"/>
  <c r="O20" i="214"/>
  <c r="H20" i="214"/>
  <c r="G20" i="214" s="1"/>
  <c r="F20" i="214" s="1"/>
  <c r="O16" i="209"/>
  <c r="H16" i="209"/>
  <c r="G16" i="209" s="1"/>
  <c r="F16" i="209" s="1"/>
  <c r="X118" i="48"/>
  <c r="L82" i="48"/>
  <c r="Z118" i="48" s="1"/>
  <c r="K82" i="48"/>
  <c r="S82" i="48"/>
  <c r="L89" i="48"/>
  <c r="Z125" i="48" s="1"/>
  <c r="K89" i="48"/>
  <c r="X125" i="48"/>
  <c r="O24" i="221"/>
  <c r="H24" i="221"/>
  <c r="G24" i="221" s="1"/>
  <c r="F24" i="221" s="1"/>
  <c r="O19" i="377"/>
  <c r="N19" i="377" s="1"/>
  <c r="M19" i="377" s="1"/>
  <c r="H19" i="377"/>
  <c r="G19" i="377" s="1"/>
  <c r="F19" i="377" s="1"/>
  <c r="O22" i="325"/>
  <c r="N22" i="325" s="1"/>
  <c r="M22" i="325" s="1"/>
  <c r="H22" i="325"/>
  <c r="G22" i="325" s="1"/>
  <c r="F22" i="325" s="1"/>
  <c r="W94" i="258"/>
  <c r="P11" i="214"/>
  <c r="W91" i="201"/>
  <c r="O19" i="221"/>
  <c r="H19" i="221"/>
  <c r="G19" i="221" s="1"/>
  <c r="F19" i="221" s="1"/>
  <c r="S101" i="347"/>
  <c r="P9" i="130"/>
  <c r="W53" i="201"/>
  <c r="W56" i="258"/>
  <c r="O14" i="134"/>
  <c r="H14" i="134"/>
  <c r="G14" i="134" s="1"/>
  <c r="F14" i="134" s="1"/>
  <c r="H18" i="130"/>
  <c r="G18" i="130" s="1"/>
  <c r="F18" i="130" s="1"/>
  <c r="O18" i="130"/>
  <c r="N18" i="130" s="1"/>
  <c r="M18" i="130" s="1"/>
  <c r="O13" i="200"/>
  <c r="H13" i="200"/>
  <c r="G13" i="200" s="1"/>
  <c r="F13" i="200" s="1"/>
  <c r="H11" i="218"/>
  <c r="G11" i="218" s="1"/>
  <c r="F11" i="218" s="1"/>
  <c r="O11" i="218"/>
  <c r="O23" i="216"/>
  <c r="H23" i="216"/>
  <c r="G23" i="216" s="1"/>
  <c r="F23" i="216" s="1"/>
  <c r="O14" i="200"/>
  <c r="H14" i="200"/>
  <c r="G14" i="200" s="1"/>
  <c r="F14" i="200" s="1"/>
  <c r="L14" i="377"/>
  <c r="J14" i="377" s="1"/>
  <c r="E14" i="377" s="1"/>
  <c r="D14" i="377" s="1"/>
  <c r="C116" i="67"/>
  <c r="C90" i="67"/>
  <c r="J42" i="201"/>
  <c r="I42" i="201"/>
  <c r="L42" i="201"/>
  <c r="H42" i="201"/>
  <c r="E42" i="201"/>
  <c r="O42" i="201"/>
  <c r="N42" i="201"/>
  <c r="D42" i="201"/>
  <c r="M42" i="201"/>
  <c r="G42" i="201"/>
  <c r="K42" i="201"/>
  <c r="F42" i="201"/>
  <c r="O19" i="134"/>
  <c r="H19" i="134"/>
  <c r="G19" i="134" s="1"/>
  <c r="F19" i="134" s="1"/>
  <c r="W89" i="201"/>
  <c r="W92" i="258"/>
  <c r="P9" i="214"/>
  <c r="O10" i="221"/>
  <c r="H10" i="221"/>
  <c r="G10" i="221" s="1"/>
  <c r="F10" i="221" s="1"/>
  <c r="O15" i="130"/>
  <c r="N15" i="130" s="1"/>
  <c r="M15" i="130" s="1"/>
  <c r="H15" i="130"/>
  <c r="G15" i="130" s="1"/>
  <c r="F15" i="130" s="1"/>
  <c r="K47" i="183"/>
  <c r="M47" i="183"/>
  <c r="D47" i="183"/>
  <c r="F47" i="183"/>
  <c r="I47" i="183"/>
  <c r="J47" i="183"/>
  <c r="E47" i="183"/>
  <c r="O47" i="183"/>
  <c r="L47" i="183"/>
  <c r="N47" i="183"/>
  <c r="G47" i="183"/>
  <c r="H47" i="183"/>
  <c r="O23" i="200"/>
  <c r="H23" i="200"/>
  <c r="G23" i="200" s="1"/>
  <c r="F23" i="200" s="1"/>
  <c r="X122" i="48"/>
  <c r="K86" i="48"/>
  <c r="L86" i="48"/>
  <c r="Z122" i="48" s="1"/>
  <c r="N10" i="377"/>
  <c r="M10" i="377" s="1"/>
  <c r="L10" i="377" s="1"/>
  <c r="J10" i="377" s="1"/>
  <c r="E10" i="377" s="1"/>
  <c r="D10" i="377" s="1"/>
  <c r="C10" i="377" s="1"/>
  <c r="AY10" i="96" s="1"/>
  <c r="X129" i="48"/>
  <c r="L93" i="48"/>
  <c r="Z129" i="48" s="1"/>
  <c r="K93" i="48"/>
  <c r="O17" i="209"/>
  <c r="H17" i="209"/>
  <c r="G17" i="209" s="1"/>
  <c r="F17" i="209" s="1"/>
  <c r="O19" i="224"/>
  <c r="H19" i="224"/>
  <c r="G19" i="224" s="1"/>
  <c r="F19" i="224" s="1"/>
  <c r="O10" i="226"/>
  <c r="H10" i="226"/>
  <c r="G10" i="226" s="1"/>
  <c r="F10" i="226" s="1"/>
  <c r="X132" i="48"/>
  <c r="L96" i="48"/>
  <c r="Z132" i="48" s="1"/>
  <c r="K96" i="48"/>
  <c r="O17" i="221"/>
  <c r="H17" i="221"/>
  <c r="G17" i="221" s="1"/>
  <c r="F17" i="221" s="1"/>
  <c r="H13" i="218"/>
  <c r="G13" i="218" s="1"/>
  <c r="F13" i="218" s="1"/>
  <c r="O13" i="218"/>
  <c r="N13" i="218" s="1"/>
  <c r="M13" i="218" s="1"/>
  <c r="X124" i="48"/>
  <c r="L88" i="48"/>
  <c r="Z124" i="48" s="1"/>
  <c r="K88" i="48"/>
  <c r="M44" i="201"/>
  <c r="O44" i="201"/>
  <c r="N44" i="201"/>
  <c r="J44" i="201"/>
  <c r="G44" i="201"/>
  <c r="E44" i="201"/>
  <c r="F44" i="201"/>
  <c r="L44" i="201"/>
  <c r="K44" i="201"/>
  <c r="I44" i="201"/>
  <c r="H44" i="201"/>
  <c r="D44" i="201"/>
  <c r="L13" i="370"/>
  <c r="J13" i="370" s="1"/>
  <c r="E13" i="370" s="1"/>
  <c r="D13" i="370" s="1"/>
  <c r="C13" i="370" s="1"/>
  <c r="AU13" i="96" s="1"/>
  <c r="O15" i="221"/>
  <c r="H15" i="221"/>
  <c r="G15" i="221" s="1"/>
  <c r="F15" i="221" s="1"/>
  <c r="H23" i="375"/>
  <c r="G23" i="375" s="1"/>
  <c r="F23" i="375" s="1"/>
  <c r="O23" i="375"/>
  <c r="N23" i="375" s="1"/>
  <c r="M23" i="375" s="1"/>
  <c r="H13" i="140"/>
  <c r="G13" i="140" s="1"/>
  <c r="F13" i="140" s="1"/>
  <c r="O13" i="140"/>
  <c r="C87" i="67"/>
  <c r="C113" i="67"/>
  <c r="C94" i="67"/>
  <c r="C120" i="67"/>
  <c r="O19" i="365"/>
  <c r="N19" i="365" s="1"/>
  <c r="M19" i="365" s="1"/>
  <c r="H19" i="365"/>
  <c r="G19" i="365" s="1"/>
  <c r="F19" i="365" s="1"/>
  <c r="O16" i="200"/>
  <c r="H16" i="200"/>
  <c r="G16" i="200" s="1"/>
  <c r="F16" i="200" s="1"/>
  <c r="O20" i="226"/>
  <c r="H20" i="226"/>
  <c r="G20" i="226" s="1"/>
  <c r="F20" i="226" s="1"/>
  <c r="O23" i="140"/>
  <c r="H23" i="140"/>
  <c r="G23" i="140" s="1"/>
  <c r="F23" i="140" s="1"/>
  <c r="O23" i="224"/>
  <c r="H23" i="224"/>
  <c r="G23" i="224" s="1"/>
  <c r="F23" i="224" s="1"/>
  <c r="H25" i="140"/>
  <c r="G25" i="140" s="1"/>
  <c r="F25" i="140" s="1"/>
  <c r="O25" i="140"/>
  <c r="P26" i="140"/>
  <c r="O21" i="218"/>
  <c r="N21" i="218" s="1"/>
  <c r="M21" i="218" s="1"/>
  <c r="H21" i="218"/>
  <c r="G21" i="218" s="1"/>
  <c r="F21" i="218" s="1"/>
  <c r="O20" i="224"/>
  <c r="H20" i="224"/>
  <c r="G20" i="224" s="1"/>
  <c r="F20" i="224" s="1"/>
  <c r="X121" i="48"/>
  <c r="K85" i="48"/>
  <c r="L85" i="48"/>
  <c r="Z121" i="48" s="1"/>
  <c r="S85" i="48"/>
  <c r="N11" i="365"/>
  <c r="M11" i="365" s="1"/>
  <c r="L11" i="365" s="1"/>
  <c r="J11" i="365" s="1"/>
  <c r="E11" i="365" s="1"/>
  <c r="D11" i="365" s="1"/>
  <c r="C11" i="365" s="1"/>
  <c r="N8" i="365"/>
  <c r="M8" i="365" s="1"/>
  <c r="L8" i="365" s="1"/>
  <c r="J8" i="365" s="1"/>
  <c r="E8" i="365" s="1"/>
  <c r="D8" i="365" s="1"/>
  <c r="C8" i="365" s="1"/>
  <c r="N20" i="20"/>
  <c r="M20" i="20" s="1"/>
  <c r="L20" i="20" s="1"/>
  <c r="U20" i="20"/>
  <c r="V19" i="20"/>
  <c r="O16" i="214"/>
  <c r="H16" i="214"/>
  <c r="G16" i="214" s="1"/>
  <c r="F16" i="214" s="1"/>
  <c r="H21" i="325"/>
  <c r="G21" i="325" s="1"/>
  <c r="F21" i="325" s="1"/>
  <c r="O21" i="325"/>
  <c r="N21" i="325" s="1"/>
  <c r="M21" i="325" s="1"/>
  <c r="O14" i="209"/>
  <c r="H14" i="209"/>
  <c r="G14" i="209" s="1"/>
  <c r="F14" i="209" s="1"/>
  <c r="O25" i="216"/>
  <c r="H25" i="216"/>
  <c r="G25" i="216" s="1"/>
  <c r="F25" i="216" s="1"/>
  <c r="P26" i="216"/>
  <c r="H19" i="373"/>
  <c r="G19" i="373" s="1"/>
  <c r="F19" i="373" s="1"/>
  <c r="O19" i="373"/>
  <c r="N19" i="373" s="1"/>
  <c r="M19" i="373" s="1"/>
  <c r="O21" i="221"/>
  <c r="H21" i="221"/>
  <c r="G21" i="221" s="1"/>
  <c r="F21" i="221" s="1"/>
  <c r="X117" i="48"/>
  <c r="L81" i="48"/>
  <c r="Z117" i="48" s="1"/>
  <c r="K81" i="48"/>
  <c r="S81" i="48"/>
  <c r="K99" i="347"/>
  <c r="J99" i="347" s="1"/>
  <c r="I99" i="347" s="1"/>
  <c r="R99" i="347"/>
  <c r="C117" i="67"/>
  <c r="C91" i="67"/>
  <c r="O9" i="226"/>
  <c r="H9" i="226"/>
  <c r="G9" i="226" s="1"/>
  <c r="F9" i="226" s="1"/>
  <c r="O17" i="216"/>
  <c r="H17" i="216"/>
  <c r="G17" i="216" s="1"/>
  <c r="F17" i="216" s="1"/>
  <c r="W79" i="201"/>
  <c r="L20" i="205"/>
  <c r="W82" i="258"/>
  <c r="C124" i="67"/>
  <c r="C98" i="67"/>
  <c r="AA33" i="205"/>
  <c r="T33" i="205"/>
  <c r="S33" i="205" s="1"/>
  <c r="R33" i="205" s="1"/>
  <c r="C127" i="67"/>
  <c r="C101" i="67"/>
  <c r="H17" i="373"/>
  <c r="G17" i="373" s="1"/>
  <c r="F17" i="373" s="1"/>
  <c r="O17" i="373"/>
  <c r="N17" i="373" s="1"/>
  <c r="M17" i="373" s="1"/>
  <c r="O14" i="218"/>
  <c r="N14" i="218" s="1"/>
  <c r="M14" i="218" s="1"/>
  <c r="H14" i="218"/>
  <c r="G14" i="218" s="1"/>
  <c r="F14" i="218" s="1"/>
  <c r="H20" i="375"/>
  <c r="G20" i="375" s="1"/>
  <c r="F20" i="375" s="1"/>
  <c r="O20" i="375"/>
  <c r="N20" i="375" s="1"/>
  <c r="M20" i="375" s="1"/>
  <c r="AA28" i="205"/>
  <c r="T28" i="205"/>
  <c r="S28" i="205" s="1"/>
  <c r="R28" i="205" s="1"/>
  <c r="O23" i="130"/>
  <c r="N23" i="130" s="1"/>
  <c r="M23" i="130" s="1"/>
  <c r="H23" i="130"/>
  <c r="G23" i="130" s="1"/>
  <c r="F23" i="130" s="1"/>
  <c r="K93" i="347"/>
  <c r="J93" i="347" s="1"/>
  <c r="I93" i="347" s="1"/>
  <c r="R93" i="347"/>
  <c r="W90" i="201"/>
  <c r="W93" i="258"/>
  <c r="P10" i="214"/>
  <c r="O19" i="218"/>
  <c r="N19" i="218" s="1"/>
  <c r="M19" i="218" s="1"/>
  <c r="H19" i="218"/>
  <c r="G19" i="218" s="1"/>
  <c r="F19" i="218" s="1"/>
  <c r="C119" i="67"/>
  <c r="C93" i="67"/>
  <c r="H17" i="377"/>
  <c r="G17" i="377" s="1"/>
  <c r="F17" i="377" s="1"/>
  <c r="O17" i="377"/>
  <c r="N17" i="377" s="1"/>
  <c r="M17" i="377" s="1"/>
  <c r="D47" i="258"/>
  <c r="F47" i="258"/>
  <c r="M47" i="258"/>
  <c r="J47" i="258"/>
  <c r="I47" i="258"/>
  <c r="L47" i="258"/>
  <c r="N47" i="258"/>
  <c r="G47" i="258"/>
  <c r="E47" i="258"/>
  <c r="H47" i="258"/>
  <c r="O47" i="258"/>
  <c r="K47" i="258"/>
  <c r="O12" i="224"/>
  <c r="H12" i="224"/>
  <c r="G12" i="224" s="1"/>
  <c r="F12" i="224" s="1"/>
  <c r="O19" i="370"/>
  <c r="N19" i="370" s="1"/>
  <c r="M19" i="370" s="1"/>
  <c r="H19" i="370"/>
  <c r="G19" i="370" s="1"/>
  <c r="F19" i="370" s="1"/>
  <c r="F50" i="183"/>
  <c r="M50" i="183"/>
  <c r="J50" i="183"/>
  <c r="O50" i="183"/>
  <c r="G50" i="183"/>
  <c r="I50" i="183"/>
  <c r="K50" i="183"/>
  <c r="N50" i="183"/>
  <c r="D50" i="183"/>
  <c r="E50" i="183"/>
  <c r="H50" i="183"/>
  <c r="L50" i="183"/>
  <c r="O17" i="130"/>
  <c r="N17" i="130" s="1"/>
  <c r="M17" i="130" s="1"/>
  <c r="H17" i="130"/>
  <c r="G17" i="130" s="1"/>
  <c r="F17" i="130" s="1"/>
  <c r="O21" i="216"/>
  <c r="H21" i="216"/>
  <c r="G21" i="216" s="1"/>
  <c r="F21" i="216" s="1"/>
  <c r="H20" i="365"/>
  <c r="G20" i="365" s="1"/>
  <c r="F20" i="365" s="1"/>
  <c r="O20" i="365"/>
  <c r="N20" i="365" s="1"/>
  <c r="M20" i="365" s="1"/>
  <c r="W68" i="258"/>
  <c r="W65" i="201"/>
  <c r="P9" i="140"/>
  <c r="H24" i="373"/>
  <c r="G24" i="373" s="1"/>
  <c r="F24" i="373" s="1"/>
  <c r="O24" i="373"/>
  <c r="N24" i="373" s="1"/>
  <c r="M24" i="373" s="1"/>
  <c r="O18" i="218"/>
  <c r="N18" i="218" s="1"/>
  <c r="M18" i="218" s="1"/>
  <c r="H18" i="218"/>
  <c r="G18" i="218" s="1"/>
  <c r="F18" i="218" s="1"/>
  <c r="O15" i="365"/>
  <c r="N15" i="365" s="1"/>
  <c r="M15" i="365" s="1"/>
  <c r="H15" i="365"/>
  <c r="G15" i="365" s="1"/>
  <c r="F15" i="365" s="1"/>
  <c r="O10" i="224"/>
  <c r="H10" i="224"/>
  <c r="G10" i="224" s="1"/>
  <c r="F10" i="224" s="1"/>
  <c r="O18" i="209"/>
  <c r="H18" i="209"/>
  <c r="G18" i="209" s="1"/>
  <c r="F18" i="209" s="1"/>
  <c r="O25" i="218"/>
  <c r="N25" i="218" s="1"/>
  <c r="M25" i="218" s="1"/>
  <c r="H25" i="218"/>
  <c r="G25" i="218" s="1"/>
  <c r="F25" i="218" s="1"/>
  <c r="P26" i="218"/>
  <c r="O21" i="200"/>
  <c r="H21" i="200"/>
  <c r="G21" i="200" s="1"/>
  <c r="F21" i="200" s="1"/>
  <c r="O16" i="134"/>
  <c r="H16" i="134"/>
  <c r="G16" i="134" s="1"/>
  <c r="F16" i="134" s="1"/>
  <c r="O25" i="130"/>
  <c r="N25" i="130" s="1"/>
  <c r="M25" i="130" s="1"/>
  <c r="H25" i="130"/>
  <c r="G25" i="130" s="1"/>
  <c r="F25" i="130" s="1"/>
  <c r="P26" i="130"/>
  <c r="D43" i="201"/>
  <c r="J43" i="201"/>
  <c r="E43" i="201"/>
  <c r="H43" i="201"/>
  <c r="M43" i="201"/>
  <c r="K43" i="201"/>
  <c r="N43" i="201"/>
  <c r="G43" i="201"/>
  <c r="O43" i="201"/>
  <c r="I43" i="201"/>
  <c r="L43" i="201"/>
  <c r="F43" i="201"/>
  <c r="H18" i="377"/>
  <c r="G18" i="377" s="1"/>
  <c r="F18" i="377" s="1"/>
  <c r="O18" i="377"/>
  <c r="N18" i="377" s="1"/>
  <c r="M18" i="377" s="1"/>
  <c r="O21" i="365"/>
  <c r="N21" i="365" s="1"/>
  <c r="M21" i="365" s="1"/>
  <c r="H21" i="365"/>
  <c r="G21" i="365" s="1"/>
  <c r="F21" i="365" s="1"/>
  <c r="H16" i="373"/>
  <c r="G16" i="373" s="1"/>
  <c r="F16" i="373" s="1"/>
  <c r="O16" i="373"/>
  <c r="N16" i="373" s="1"/>
  <c r="M16" i="373" s="1"/>
  <c r="O23" i="214"/>
  <c r="H23" i="214"/>
  <c r="G23" i="214" s="1"/>
  <c r="F23" i="214" s="1"/>
  <c r="O17" i="226"/>
  <c r="H17" i="226"/>
  <c r="G17" i="226" s="1"/>
  <c r="F17" i="226" s="1"/>
  <c r="W71" i="258"/>
  <c r="P12" i="140"/>
  <c r="W68" i="201"/>
  <c r="AA26" i="205"/>
  <c r="T26" i="205"/>
  <c r="S26" i="205" s="1"/>
  <c r="R26" i="205" s="1"/>
  <c r="H13" i="221"/>
  <c r="G13" i="221" s="1"/>
  <c r="F13" i="221" s="1"/>
  <c r="O13" i="221"/>
  <c r="O22" i="134"/>
  <c r="H22" i="134"/>
  <c r="G22" i="134" s="1"/>
  <c r="F22" i="134" s="1"/>
  <c r="P9" i="209"/>
  <c r="W83" i="201"/>
  <c r="W86" i="258"/>
  <c r="W76" i="258"/>
  <c r="P11" i="200"/>
  <c r="W73" i="201"/>
  <c r="H25" i="365"/>
  <c r="G25" i="365" s="1"/>
  <c r="F25" i="365" s="1"/>
  <c r="P26" i="365"/>
  <c r="O25" i="365"/>
  <c r="N25" i="365" s="1"/>
  <c r="M25" i="365" s="1"/>
  <c r="O22" i="216"/>
  <c r="H22" i="216"/>
  <c r="G22" i="216" s="1"/>
  <c r="F22" i="216" s="1"/>
  <c r="C12" i="325"/>
  <c r="AR12" i="96" s="1"/>
  <c r="O24" i="224"/>
  <c r="H24" i="224"/>
  <c r="G24" i="224" s="1"/>
  <c r="F24" i="224" s="1"/>
  <c r="O15" i="218"/>
  <c r="N15" i="218" s="1"/>
  <c r="M15" i="218" s="1"/>
  <c r="H15" i="218"/>
  <c r="G15" i="218" s="1"/>
  <c r="F15" i="218" s="1"/>
  <c r="O25" i="377"/>
  <c r="N25" i="377" s="1"/>
  <c r="M25" i="377" s="1"/>
  <c r="P26" i="377"/>
  <c r="H25" i="377"/>
  <c r="G25" i="377" s="1"/>
  <c r="F25" i="377" s="1"/>
  <c r="O23" i="221"/>
  <c r="H23" i="221"/>
  <c r="G23" i="221" s="1"/>
  <c r="F23" i="221" s="1"/>
  <c r="K97" i="347"/>
  <c r="J97" i="347" s="1"/>
  <c r="I97" i="347" s="1"/>
  <c r="R97" i="347"/>
  <c r="O20" i="325"/>
  <c r="N20" i="325" s="1"/>
  <c r="M20" i="325" s="1"/>
  <c r="H20" i="325"/>
  <c r="G20" i="325" s="1"/>
  <c r="F20" i="325" s="1"/>
  <c r="O15" i="325"/>
  <c r="N15" i="325" s="1"/>
  <c r="M15" i="325" s="1"/>
  <c r="L16" i="325" s="1"/>
  <c r="J16" i="325" s="1"/>
  <c r="E16" i="325" s="1"/>
  <c r="D16" i="325" s="1"/>
  <c r="H15" i="325"/>
  <c r="G15" i="325" s="1"/>
  <c r="F15" i="325" s="1"/>
  <c r="H22" i="375"/>
  <c r="G22" i="375" s="1"/>
  <c r="F22" i="375" s="1"/>
  <c r="O22" i="375"/>
  <c r="N22" i="375" s="1"/>
  <c r="M22" i="375" s="1"/>
  <c r="C112" i="67"/>
  <c r="C86" i="67"/>
  <c r="K102" i="347"/>
  <c r="J102" i="347" s="1"/>
  <c r="I102" i="347" s="1"/>
  <c r="R102" i="347"/>
  <c r="O16" i="226"/>
  <c r="H16" i="226"/>
  <c r="G16" i="226" s="1"/>
  <c r="F16" i="226" s="1"/>
  <c r="H25" i="373"/>
  <c r="G25" i="373" s="1"/>
  <c r="F25" i="373" s="1"/>
  <c r="P26" i="373"/>
  <c r="O25" i="373"/>
  <c r="N25" i="373" s="1"/>
  <c r="M25" i="373" s="1"/>
  <c r="O20" i="221"/>
  <c r="H20" i="221"/>
  <c r="G20" i="221" s="1"/>
  <c r="F20" i="221" s="1"/>
  <c r="O15" i="140"/>
  <c r="H15" i="140"/>
  <c r="G15" i="140" s="1"/>
  <c r="F15" i="140" s="1"/>
  <c r="O15" i="216"/>
  <c r="H15" i="216"/>
  <c r="G15" i="216" s="1"/>
  <c r="F15" i="216" s="1"/>
  <c r="L21" i="205"/>
  <c r="W83" i="258"/>
  <c r="W80" i="201"/>
  <c r="G86" i="96"/>
  <c r="E86" i="96" s="1"/>
  <c r="O22" i="221"/>
  <c r="H22" i="221"/>
  <c r="G22" i="221" s="1"/>
  <c r="F22" i="221" s="1"/>
  <c r="H25" i="370"/>
  <c r="G25" i="370" s="1"/>
  <c r="F25" i="370" s="1"/>
  <c r="P26" i="370"/>
  <c r="O25" i="370"/>
  <c r="N25" i="370" s="1"/>
  <c r="M25" i="370" s="1"/>
  <c r="H16" i="224"/>
  <c r="G16" i="224" s="1"/>
  <c r="F16" i="224" s="1"/>
  <c r="O16" i="224"/>
  <c r="O25" i="224"/>
  <c r="H25" i="224"/>
  <c r="G25" i="224" s="1"/>
  <c r="F25" i="224" s="1"/>
  <c r="P26" i="224"/>
  <c r="H20" i="373"/>
  <c r="G20" i="373" s="1"/>
  <c r="F20" i="373" s="1"/>
  <c r="O20" i="373"/>
  <c r="N20" i="373" s="1"/>
  <c r="M20" i="373" s="1"/>
  <c r="O16" i="365"/>
  <c r="N16" i="365" s="1"/>
  <c r="M16" i="365" s="1"/>
  <c r="H16" i="365"/>
  <c r="G16" i="365" s="1"/>
  <c r="F16" i="365" s="1"/>
  <c r="H14" i="216"/>
  <c r="G14" i="216" s="1"/>
  <c r="F14" i="216" s="1"/>
  <c r="O14" i="216"/>
  <c r="H20" i="377"/>
  <c r="G20" i="377" s="1"/>
  <c r="F20" i="377" s="1"/>
  <c r="O20" i="377"/>
  <c r="N20" i="377" s="1"/>
  <c r="M20" i="377" s="1"/>
  <c r="N22" i="20"/>
  <c r="M22" i="20" s="1"/>
  <c r="L22" i="20" s="1"/>
  <c r="U22" i="20"/>
  <c r="C115" i="67"/>
  <c r="C89" i="67"/>
  <c r="O9" i="218"/>
  <c r="H9" i="218"/>
  <c r="G9" i="218" s="1"/>
  <c r="F9" i="218" s="1"/>
  <c r="O16" i="325"/>
  <c r="N16" i="325" s="1"/>
  <c r="M16" i="325" s="1"/>
  <c r="H16" i="325"/>
  <c r="G16" i="325" s="1"/>
  <c r="F16" i="325" s="1"/>
  <c r="W78" i="201"/>
  <c r="W81" i="258"/>
  <c r="L19" i="205"/>
  <c r="O9" i="221"/>
  <c r="H9" i="221"/>
  <c r="G9" i="221" s="1"/>
  <c r="F9" i="221" s="1"/>
  <c r="O13" i="130"/>
  <c r="N13" i="130" s="1"/>
  <c r="M13" i="130" s="1"/>
  <c r="H13" i="130"/>
  <c r="G13" i="130" s="1"/>
  <c r="F13" i="130" s="1"/>
  <c r="H14" i="214"/>
  <c r="G14" i="214" s="1"/>
  <c r="F14" i="214" s="1"/>
  <c r="O14" i="214"/>
  <c r="U21" i="20"/>
  <c r="N21" i="20"/>
  <c r="M21" i="20" s="1"/>
  <c r="L21" i="20" s="1"/>
  <c r="H22" i="226"/>
  <c r="G22" i="226" s="1"/>
  <c r="F22" i="226" s="1"/>
  <c r="O22" i="226"/>
  <c r="T29" i="205"/>
  <c r="S29" i="205" s="1"/>
  <c r="R29" i="205" s="1"/>
  <c r="AA29" i="205"/>
  <c r="X127" i="48"/>
  <c r="L91" i="48"/>
  <c r="Z127" i="48" s="1"/>
  <c r="K91" i="48"/>
  <c r="H13" i="209"/>
  <c r="G13" i="209" s="1"/>
  <c r="F13" i="209" s="1"/>
  <c r="O13" i="209"/>
  <c r="O18" i="214"/>
  <c r="H18" i="214"/>
  <c r="G18" i="214" s="1"/>
  <c r="F18" i="214" s="1"/>
  <c r="O20" i="140"/>
  <c r="H20" i="140"/>
  <c r="G20" i="140" s="1"/>
  <c r="F20" i="140" s="1"/>
  <c r="O24" i="130"/>
  <c r="N24" i="130" s="1"/>
  <c r="M24" i="130" s="1"/>
  <c r="H24" i="130"/>
  <c r="G24" i="130" s="1"/>
  <c r="F24" i="130" s="1"/>
  <c r="P11" i="140"/>
  <c r="W70" i="258"/>
  <c r="W67" i="201"/>
  <c r="H17" i="375"/>
  <c r="G17" i="375" s="1"/>
  <c r="F17" i="375" s="1"/>
  <c r="O17" i="375"/>
  <c r="N17" i="375" s="1"/>
  <c r="M17" i="375" s="1"/>
  <c r="O12" i="218"/>
  <c r="H12" i="218"/>
  <c r="G12" i="218" s="1"/>
  <c r="F12" i="218" s="1"/>
  <c r="AA31" i="205"/>
  <c r="T31" i="205"/>
  <c r="S31" i="205" s="1"/>
  <c r="R31" i="205" s="1"/>
  <c r="O20" i="200"/>
  <c r="H20" i="200"/>
  <c r="G20" i="200" s="1"/>
  <c r="F20" i="200" s="1"/>
  <c r="O16" i="140"/>
  <c r="H16" i="140"/>
  <c r="G16" i="140" s="1"/>
  <c r="F16" i="140" s="1"/>
  <c r="O24" i="216"/>
  <c r="H24" i="216"/>
  <c r="G24" i="216" s="1"/>
  <c r="F24" i="216" s="1"/>
  <c r="H21" i="370"/>
  <c r="G21" i="370" s="1"/>
  <c r="F21" i="370" s="1"/>
  <c r="O21" i="370"/>
  <c r="N21" i="370" s="1"/>
  <c r="M21" i="370" s="1"/>
  <c r="N9" i="373"/>
  <c r="M9" i="373" s="1"/>
  <c r="L9" i="373" s="1"/>
  <c r="J9" i="373" s="1"/>
  <c r="E9" i="373" s="1"/>
  <c r="D9" i="373" s="1"/>
  <c r="O23" i="377"/>
  <c r="N23" i="377" s="1"/>
  <c r="M23" i="377" s="1"/>
  <c r="H23" i="377"/>
  <c r="G23" i="377" s="1"/>
  <c r="F23" i="377" s="1"/>
  <c r="H15" i="377"/>
  <c r="G15" i="377" s="1"/>
  <c r="F15" i="377" s="1"/>
  <c r="O15" i="377"/>
  <c r="N15" i="377" s="1"/>
  <c r="M15" i="377" s="1"/>
  <c r="H18" i="375"/>
  <c r="G18" i="375" s="1"/>
  <c r="F18" i="375" s="1"/>
  <c r="O18" i="375"/>
  <c r="N18" i="375" s="1"/>
  <c r="M18" i="375" s="1"/>
  <c r="AA21" i="205"/>
  <c r="T21" i="205"/>
  <c r="S21" i="205" s="1"/>
  <c r="R21" i="205" s="1"/>
  <c r="O17" i="200"/>
  <c r="H17" i="200"/>
  <c r="G17" i="200" s="1"/>
  <c r="F17" i="200" s="1"/>
  <c r="O12" i="221"/>
  <c r="H12" i="221"/>
  <c r="G12" i="221" s="1"/>
  <c r="F12" i="221" s="1"/>
  <c r="O19" i="200"/>
  <c r="H19" i="200"/>
  <c r="G19" i="200" s="1"/>
  <c r="F19" i="200" s="1"/>
  <c r="O18" i="134"/>
  <c r="H18" i="134"/>
  <c r="G18" i="134" s="1"/>
  <c r="F18" i="134" s="1"/>
  <c r="O18" i="140"/>
  <c r="H18" i="140"/>
  <c r="G18" i="140" s="1"/>
  <c r="F18" i="140" s="1"/>
  <c r="C12" i="377"/>
  <c r="AY12" i="96" s="1"/>
  <c r="T32" i="205"/>
  <c r="S32" i="205" s="1"/>
  <c r="R32" i="205" s="1"/>
  <c r="AA32" i="205"/>
  <c r="X120" i="48"/>
  <c r="L84" i="48"/>
  <c r="Z120" i="48" s="1"/>
  <c r="K84" i="48"/>
  <c r="S84" i="48"/>
  <c r="O25" i="325"/>
  <c r="N25" i="325" s="1"/>
  <c r="M25" i="325" s="1"/>
  <c r="P26" i="325"/>
  <c r="H25" i="325"/>
  <c r="G25" i="325" s="1"/>
  <c r="F25" i="325" s="1"/>
  <c r="O19" i="130"/>
  <c r="N19" i="130" s="1"/>
  <c r="M19" i="130" s="1"/>
  <c r="H19" i="130"/>
  <c r="G19" i="130" s="1"/>
  <c r="F19" i="130" s="1"/>
  <c r="O25" i="209"/>
  <c r="P26" i="209"/>
  <c r="H25" i="209"/>
  <c r="G25" i="209" s="1"/>
  <c r="F25" i="209" s="1"/>
  <c r="O19" i="209"/>
  <c r="H19" i="209"/>
  <c r="G19" i="209" s="1"/>
  <c r="F19" i="209" s="1"/>
  <c r="O11" i="226"/>
  <c r="H11" i="226"/>
  <c r="G11" i="226" s="1"/>
  <c r="F11" i="226" s="1"/>
  <c r="X131" i="48"/>
  <c r="L95" i="48"/>
  <c r="Z131" i="48" s="1"/>
  <c r="K95" i="48"/>
  <c r="T24" i="205"/>
  <c r="S24" i="205" s="1"/>
  <c r="R24" i="205" s="1"/>
  <c r="AA24" i="205"/>
  <c r="O19" i="216"/>
  <c r="H19" i="216"/>
  <c r="G19" i="216" s="1"/>
  <c r="F19" i="216" s="1"/>
  <c r="O15" i="214"/>
  <c r="H15" i="214"/>
  <c r="G15" i="214" s="1"/>
  <c r="F15" i="214" s="1"/>
  <c r="O23" i="226"/>
  <c r="H23" i="226"/>
  <c r="G23" i="226" s="1"/>
  <c r="F23" i="226" s="1"/>
  <c r="O46" i="258"/>
  <c r="N46" i="258"/>
  <c r="D46" i="258"/>
  <c r="L46" i="258"/>
  <c r="E46" i="258"/>
  <c r="M46" i="258"/>
  <c r="K46" i="258"/>
  <c r="H46" i="258"/>
  <c r="J46" i="258"/>
  <c r="G46" i="258"/>
  <c r="I46" i="258"/>
  <c r="F46" i="258"/>
  <c r="P26" i="375"/>
  <c r="O25" i="375"/>
  <c r="N25" i="375" s="1"/>
  <c r="M25" i="375" s="1"/>
  <c r="H25" i="375"/>
  <c r="G25" i="375" s="1"/>
  <c r="F25" i="375" s="1"/>
  <c r="X126" i="48"/>
  <c r="L90" i="48"/>
  <c r="Z126" i="48" s="1"/>
  <c r="K90" i="48"/>
  <c r="O14" i="221"/>
  <c r="H14" i="221"/>
  <c r="G14" i="221" s="1"/>
  <c r="F14" i="221" s="1"/>
  <c r="W100" i="258"/>
  <c r="P11" i="216"/>
  <c r="W97" i="201"/>
  <c r="H21" i="224"/>
  <c r="G21" i="224" s="1"/>
  <c r="F21" i="224" s="1"/>
  <c r="O21" i="224"/>
  <c r="H24" i="375"/>
  <c r="G24" i="375" s="1"/>
  <c r="F24" i="375" s="1"/>
  <c r="O24" i="375"/>
  <c r="N24" i="375" s="1"/>
  <c r="M24" i="375" s="1"/>
  <c r="C122" i="67"/>
  <c r="C96" i="67"/>
  <c r="O15" i="134"/>
  <c r="H15" i="134"/>
  <c r="G15" i="134" s="1"/>
  <c r="F15" i="134" s="1"/>
  <c r="O16" i="221"/>
  <c r="H16" i="221"/>
  <c r="G16" i="221" s="1"/>
  <c r="F16" i="221" s="1"/>
  <c r="H20" i="209"/>
  <c r="G20" i="209" s="1"/>
  <c r="F20" i="209" s="1"/>
  <c r="O20" i="209"/>
  <c r="O23" i="209"/>
  <c r="H23" i="209"/>
  <c r="G23" i="209" s="1"/>
  <c r="F23" i="209" s="1"/>
  <c r="H13" i="134"/>
  <c r="G13" i="134" s="1"/>
  <c r="F13" i="134" s="1"/>
  <c r="O13" i="134"/>
  <c r="H21" i="377"/>
  <c r="G21" i="377" s="1"/>
  <c r="F21" i="377" s="1"/>
  <c r="O21" i="377"/>
  <c r="N21" i="377" s="1"/>
  <c r="M21" i="377" s="1"/>
  <c r="O22" i="130"/>
  <c r="N22" i="130" s="1"/>
  <c r="M22" i="130" s="1"/>
  <c r="H22" i="130"/>
  <c r="G22" i="130" s="1"/>
  <c r="F22" i="130" s="1"/>
  <c r="L14" i="370"/>
  <c r="J14" i="370" s="1"/>
  <c r="E14" i="370" s="1"/>
  <c r="D14" i="370" s="1"/>
  <c r="C14" i="370" s="1"/>
  <c r="AU14" i="96" s="1"/>
  <c r="H15" i="370"/>
  <c r="G15" i="370" s="1"/>
  <c r="F15" i="370" s="1"/>
  <c r="O15" i="370"/>
  <c r="N15" i="370" s="1"/>
  <c r="M15" i="370" s="1"/>
  <c r="L15" i="370" s="1"/>
  <c r="J15" i="370" s="1"/>
  <c r="E15" i="370" s="1"/>
  <c r="D15" i="370" s="1"/>
  <c r="AA27" i="205"/>
  <c r="T27" i="205"/>
  <c r="S27" i="205" s="1"/>
  <c r="R27" i="205" s="1"/>
  <c r="O13" i="226"/>
  <c r="N13" i="226" s="1"/>
  <c r="M13" i="226" s="1"/>
  <c r="L13" i="226" s="1"/>
  <c r="J13" i="226" s="1"/>
  <c r="H13" i="226"/>
  <c r="G13" i="226" s="1"/>
  <c r="F13" i="226" s="1"/>
  <c r="O20" i="216"/>
  <c r="H20" i="216"/>
  <c r="G20" i="216" s="1"/>
  <c r="F20" i="216" s="1"/>
  <c r="N14" i="365"/>
  <c r="M14" i="365" s="1"/>
  <c r="L14" i="365" s="1"/>
  <c r="J14" i="365" s="1"/>
  <c r="E14" i="365" s="1"/>
  <c r="D14" i="365" s="1"/>
  <c r="O17" i="134"/>
  <c r="H17" i="134"/>
  <c r="G17" i="134" s="1"/>
  <c r="F17" i="134" s="1"/>
  <c r="H18" i="370"/>
  <c r="G18" i="370" s="1"/>
  <c r="F18" i="370" s="1"/>
  <c r="O18" i="370"/>
  <c r="N18" i="370" s="1"/>
  <c r="M18" i="370" s="1"/>
  <c r="N13" i="365"/>
  <c r="M13" i="365" s="1"/>
  <c r="L13" i="365" s="1"/>
  <c r="J13" i="365" s="1"/>
  <c r="E13" i="365" s="1"/>
  <c r="D13" i="365" s="1"/>
  <c r="H22" i="224"/>
  <c r="G22" i="224" s="1"/>
  <c r="F22" i="224" s="1"/>
  <c r="O22" i="224"/>
  <c r="H13" i="224"/>
  <c r="G13" i="224" s="1"/>
  <c r="F13" i="224" s="1"/>
  <c r="O13" i="224"/>
  <c r="O20" i="130"/>
  <c r="N20" i="130" s="1"/>
  <c r="M20" i="130" s="1"/>
  <c r="H20" i="130"/>
  <c r="G20" i="130" s="1"/>
  <c r="F20" i="130" s="1"/>
  <c r="O23" i="134"/>
  <c r="H23" i="134"/>
  <c r="G23" i="134" s="1"/>
  <c r="F23" i="134" s="1"/>
  <c r="O14" i="140"/>
  <c r="H14" i="140"/>
  <c r="G14" i="140" s="1"/>
  <c r="F14" i="140" s="1"/>
  <c r="P9" i="200"/>
  <c r="W74" i="258"/>
  <c r="W71" i="201"/>
  <c r="O23" i="325"/>
  <c r="N23" i="325" s="1"/>
  <c r="M23" i="325" s="1"/>
  <c r="H23" i="325"/>
  <c r="G23" i="325" s="1"/>
  <c r="F23" i="325" s="1"/>
  <c r="O18" i="221"/>
  <c r="H18" i="221"/>
  <c r="G18" i="221" s="1"/>
  <c r="F18" i="221" s="1"/>
  <c r="O14" i="224"/>
  <c r="H14" i="224"/>
  <c r="G14" i="224" s="1"/>
  <c r="F14" i="224" s="1"/>
  <c r="H21" i="375"/>
  <c r="G21" i="375" s="1"/>
  <c r="F21" i="375" s="1"/>
  <c r="O21" i="375"/>
  <c r="N21" i="375" s="1"/>
  <c r="M21" i="375" s="1"/>
  <c r="O18" i="200"/>
  <c r="H18" i="200"/>
  <c r="G18" i="200" s="1"/>
  <c r="F18" i="200" s="1"/>
  <c r="H12" i="226"/>
  <c r="G12" i="226" s="1"/>
  <c r="F12" i="226" s="1"/>
  <c r="O12" i="226"/>
  <c r="V110" i="49"/>
  <c r="M109" i="49"/>
  <c r="N109" i="49" s="1"/>
  <c r="C13" i="377"/>
  <c r="AY13" i="96" s="1"/>
  <c r="S98" i="347"/>
  <c r="R88" i="347"/>
  <c r="Q91" i="347" s="1"/>
  <c r="P91" i="347" s="1"/>
  <c r="O91" i="347" s="1"/>
  <c r="S87" i="347"/>
  <c r="R87" i="347" s="1"/>
  <c r="Q87" i="347" s="1"/>
  <c r="P87" i="347" s="1"/>
  <c r="H14" i="226"/>
  <c r="G14" i="226" s="1"/>
  <c r="F14" i="226" s="1"/>
  <c r="O14" i="226"/>
  <c r="N14" i="226" s="1"/>
  <c r="M14" i="226" s="1"/>
  <c r="C126" i="67"/>
  <c r="C100" i="67"/>
  <c r="AA30" i="205"/>
  <c r="T30" i="205"/>
  <c r="S30" i="205" s="1"/>
  <c r="R30" i="205" s="1"/>
  <c r="H17" i="370"/>
  <c r="G17" i="370" s="1"/>
  <c r="F17" i="370" s="1"/>
  <c r="O17" i="370"/>
  <c r="N17" i="370" s="1"/>
  <c r="M17" i="370" s="1"/>
  <c r="O10" i="218"/>
  <c r="H10" i="218"/>
  <c r="G10" i="218" s="1"/>
  <c r="F10" i="218" s="1"/>
  <c r="H24" i="370"/>
  <c r="G24" i="370" s="1"/>
  <c r="F24" i="370" s="1"/>
  <c r="O24" i="370"/>
  <c r="N24" i="370" s="1"/>
  <c r="M24" i="370" s="1"/>
  <c r="P10" i="209"/>
  <c r="W84" i="201"/>
  <c r="W87" i="258"/>
  <c r="W95" i="201"/>
  <c r="W98" i="258"/>
  <c r="P9" i="216"/>
  <c r="C121" i="67"/>
  <c r="C95" i="67"/>
  <c r="P12" i="200"/>
  <c r="W74" i="201"/>
  <c r="W77" i="258"/>
  <c r="H16" i="370"/>
  <c r="G16" i="370" s="1"/>
  <c r="F16" i="370" s="1"/>
  <c r="O16" i="370"/>
  <c r="N16" i="370" s="1"/>
  <c r="M16" i="370" s="1"/>
  <c r="L16" i="370" s="1"/>
  <c r="J16" i="370" s="1"/>
  <c r="E16" i="370" s="1"/>
  <c r="D16" i="370" s="1"/>
  <c r="K95" i="347"/>
  <c r="J95" i="347" s="1"/>
  <c r="I95" i="347" s="1"/>
  <c r="R95" i="347"/>
  <c r="H15" i="224"/>
  <c r="G15" i="224" s="1"/>
  <c r="F15" i="224" s="1"/>
  <c r="O15" i="224"/>
  <c r="W99" i="258"/>
  <c r="W96" i="201"/>
  <c r="P10" i="216"/>
  <c r="W58" i="258"/>
  <c r="P11" i="130"/>
  <c r="W55" i="201"/>
  <c r="O16" i="216"/>
  <c r="H16" i="216"/>
  <c r="G16" i="216" s="1"/>
  <c r="F16" i="216" s="1"/>
  <c r="AA23" i="205"/>
  <c r="T23" i="205"/>
  <c r="S23" i="205" s="1"/>
  <c r="R23" i="205" s="1"/>
  <c r="H16" i="377"/>
  <c r="G16" i="377" s="1"/>
  <c r="F16" i="377" s="1"/>
  <c r="O16" i="377"/>
  <c r="N16" i="377" s="1"/>
  <c r="M16" i="377" s="1"/>
  <c r="N12" i="365"/>
  <c r="M12" i="365" s="1"/>
  <c r="L12" i="365" s="1"/>
  <c r="J12" i="365" s="1"/>
  <c r="E12" i="365" s="1"/>
  <c r="D12" i="365" s="1"/>
  <c r="C12" i="365" s="1"/>
  <c r="W88" i="258"/>
  <c r="P11" i="209"/>
  <c r="W85" i="201"/>
  <c r="X133" i="48"/>
  <c r="L97" i="48"/>
  <c r="Z133" i="48" s="1"/>
  <c r="K97" i="48"/>
  <c r="H25" i="214"/>
  <c r="G25" i="214" s="1"/>
  <c r="F25" i="214" s="1"/>
  <c r="O25" i="214"/>
  <c r="P26" i="214"/>
  <c r="O23" i="370"/>
  <c r="N23" i="370" s="1"/>
  <c r="M23" i="370" s="1"/>
  <c r="H23" i="370"/>
  <c r="G23" i="370" s="1"/>
  <c r="F23" i="370" s="1"/>
  <c r="H18" i="226"/>
  <c r="G18" i="226" s="1"/>
  <c r="F18" i="226" s="1"/>
  <c r="O18" i="226"/>
  <c r="N18" i="226" s="1"/>
  <c r="M18" i="226" s="1"/>
  <c r="P10" i="200"/>
  <c r="W72" i="201"/>
  <c r="W75" i="258"/>
  <c r="K103" i="347"/>
  <c r="J103" i="347" s="1"/>
  <c r="I103" i="347" s="1"/>
  <c r="S104" i="347"/>
  <c r="R103" i="347"/>
  <c r="Q103" i="347" s="1"/>
  <c r="P103" i="347" s="1"/>
  <c r="O20" i="134"/>
  <c r="H20" i="134"/>
  <c r="G20" i="134" s="1"/>
  <c r="F20" i="134" s="1"/>
  <c r="H18" i="373"/>
  <c r="G18" i="373" s="1"/>
  <c r="F18" i="373" s="1"/>
  <c r="O18" i="373"/>
  <c r="N18" i="373" s="1"/>
  <c r="M18" i="373" s="1"/>
  <c r="K87" i="48"/>
  <c r="X123" i="48"/>
  <c r="L87" i="48"/>
  <c r="Z123" i="48" s="1"/>
  <c r="N11" i="325"/>
  <c r="M11" i="325" s="1"/>
  <c r="L11" i="325" s="1"/>
  <c r="J11" i="325" s="1"/>
  <c r="E11" i="325" s="1"/>
  <c r="D11" i="325" s="1"/>
  <c r="C11" i="325" s="1"/>
  <c r="AR11" i="96" s="1"/>
  <c r="N8" i="325"/>
  <c r="M8" i="325" s="1"/>
  <c r="L8" i="325" s="1"/>
  <c r="J8" i="325" s="1"/>
  <c r="E8" i="325" s="1"/>
  <c r="D8" i="325" s="1"/>
  <c r="C8" i="325" s="1"/>
  <c r="AR8" i="96" s="1"/>
  <c r="H17" i="214"/>
  <c r="G17" i="214" s="1"/>
  <c r="F17" i="214" s="1"/>
  <c r="O17" i="214"/>
  <c r="AA34" i="205"/>
  <c r="T34" i="205"/>
  <c r="S34" i="205" s="1"/>
  <c r="R34" i="205" s="1"/>
  <c r="O22" i="218"/>
  <c r="N22" i="218" s="1"/>
  <c r="M22" i="218" s="1"/>
  <c r="H22" i="218"/>
  <c r="G22" i="218" s="1"/>
  <c r="F22" i="218" s="1"/>
  <c r="H15" i="373"/>
  <c r="G15" i="373" s="1"/>
  <c r="F15" i="373" s="1"/>
  <c r="O15" i="373"/>
  <c r="N15" i="373" s="1"/>
  <c r="M15" i="373" s="1"/>
  <c r="L16" i="373" s="1"/>
  <c r="J16" i="373" s="1"/>
  <c r="E16" i="373" s="1"/>
  <c r="D16" i="373" s="1"/>
  <c r="O24" i="325"/>
  <c r="N24" i="325" s="1"/>
  <c r="M24" i="325" s="1"/>
  <c r="H24" i="325"/>
  <c r="G24" i="325" s="1"/>
  <c r="F24" i="325" s="1"/>
  <c r="O17" i="325"/>
  <c r="N17" i="325" s="1"/>
  <c r="M17" i="325" s="1"/>
  <c r="H17" i="325"/>
  <c r="G17" i="325" s="1"/>
  <c r="F17" i="325" s="1"/>
  <c r="O23" i="365"/>
  <c r="N23" i="365" s="1"/>
  <c r="M23" i="365" s="1"/>
  <c r="H23" i="365"/>
  <c r="G23" i="365" s="1"/>
  <c r="F23" i="365" s="1"/>
  <c r="H16" i="375"/>
  <c r="G16" i="375" s="1"/>
  <c r="F16" i="375" s="1"/>
  <c r="O16" i="375"/>
  <c r="N16" i="375" s="1"/>
  <c r="M16" i="375" s="1"/>
  <c r="I49" i="183"/>
  <c r="K49" i="183"/>
  <c r="M49" i="183"/>
  <c r="G49" i="183"/>
  <c r="O49" i="183"/>
  <c r="N49" i="183"/>
  <c r="J49" i="183"/>
  <c r="H49" i="183"/>
  <c r="F49" i="183"/>
  <c r="D49" i="183"/>
  <c r="L49" i="183"/>
  <c r="E49" i="183"/>
  <c r="H21" i="130"/>
  <c r="G21" i="130" s="1"/>
  <c r="F21" i="130" s="1"/>
  <c r="O21" i="130"/>
  <c r="N21" i="130" s="1"/>
  <c r="M21" i="130" s="1"/>
  <c r="L23" i="130" s="1"/>
  <c r="J23" i="130" s="1"/>
  <c r="O24" i="209"/>
  <c r="H24" i="209"/>
  <c r="G24" i="209" s="1"/>
  <c r="F24" i="209" s="1"/>
  <c r="H18" i="325"/>
  <c r="G18" i="325" s="1"/>
  <c r="F18" i="325" s="1"/>
  <c r="O18" i="325"/>
  <c r="N18" i="325" s="1"/>
  <c r="M18" i="325" s="1"/>
  <c r="O11" i="224"/>
  <c r="H11" i="224"/>
  <c r="G11" i="224" s="1"/>
  <c r="F11" i="224" s="1"/>
  <c r="O24" i="218"/>
  <c r="N24" i="218" s="1"/>
  <c r="M24" i="218" s="1"/>
  <c r="H24" i="218"/>
  <c r="G24" i="218" s="1"/>
  <c r="F24" i="218" s="1"/>
  <c r="T22" i="205"/>
  <c r="S22" i="205" s="1"/>
  <c r="R22" i="205" s="1"/>
  <c r="AA22" i="205"/>
  <c r="P12" i="214"/>
  <c r="W92" i="201"/>
  <c r="W95" i="258"/>
  <c r="H20" i="370"/>
  <c r="G20" i="370" s="1"/>
  <c r="F20" i="370" s="1"/>
  <c r="O20" i="370"/>
  <c r="N20" i="370" s="1"/>
  <c r="M20" i="370" s="1"/>
  <c r="L22" i="370" s="1"/>
  <c r="J22" i="370" s="1"/>
  <c r="O18" i="365"/>
  <c r="N18" i="365" s="1"/>
  <c r="M18" i="365" s="1"/>
  <c r="H18" i="365"/>
  <c r="G18" i="365" s="1"/>
  <c r="F18" i="365" s="1"/>
  <c r="O24" i="365"/>
  <c r="N24" i="365" s="1"/>
  <c r="M24" i="365" s="1"/>
  <c r="H24" i="365"/>
  <c r="G24" i="365" s="1"/>
  <c r="F24" i="365" s="1"/>
  <c r="O19" i="226"/>
  <c r="N19" i="226" s="1"/>
  <c r="M19" i="226" s="1"/>
  <c r="H19" i="226"/>
  <c r="G19" i="226" s="1"/>
  <c r="F19" i="226" s="1"/>
  <c r="H22" i="373"/>
  <c r="G22" i="373" s="1"/>
  <c r="F22" i="373" s="1"/>
  <c r="O22" i="373"/>
  <c r="N22" i="373" s="1"/>
  <c r="M22" i="373" s="1"/>
  <c r="O13" i="216"/>
  <c r="H13" i="216"/>
  <c r="G13" i="216" s="1"/>
  <c r="F13" i="216" s="1"/>
  <c r="O25" i="221"/>
  <c r="P26" i="221"/>
  <c r="H25" i="221"/>
  <c r="G25" i="221" s="1"/>
  <c r="F25" i="221" s="1"/>
  <c r="N36" i="20"/>
  <c r="M36" i="20" s="1"/>
  <c r="L36" i="20" s="1"/>
  <c r="V37" i="20"/>
  <c r="U36" i="20"/>
  <c r="N11" i="377"/>
  <c r="M11" i="377" s="1"/>
  <c r="L11" i="377" s="1"/>
  <c r="J11" i="377" s="1"/>
  <c r="E11" i="377" s="1"/>
  <c r="D11" i="377" s="1"/>
  <c r="C11" i="377" s="1"/>
  <c r="AY11" i="96" s="1"/>
  <c r="N8" i="377"/>
  <c r="M8" i="377" s="1"/>
  <c r="L8" i="377" s="1"/>
  <c r="J8" i="377" s="1"/>
  <c r="E8" i="377" s="1"/>
  <c r="D8" i="377" s="1"/>
  <c r="C8" i="377" s="1"/>
  <c r="AY8" i="96" s="1"/>
  <c r="X128" i="48"/>
  <c r="L92" i="48"/>
  <c r="Z128" i="48" s="1"/>
  <c r="K92" i="48"/>
  <c r="W101" i="258"/>
  <c r="W98" i="201"/>
  <c r="P12" i="216"/>
  <c r="O13" i="214"/>
  <c r="H13" i="214"/>
  <c r="G13" i="214" s="1"/>
  <c r="F13" i="214" s="1"/>
  <c r="O22" i="200"/>
  <c r="H22" i="200"/>
  <c r="G22" i="200" s="1"/>
  <c r="F22" i="200" s="1"/>
  <c r="O16" i="130"/>
  <c r="N16" i="130" s="1"/>
  <c r="M16" i="130" s="1"/>
  <c r="L18" i="130" s="1"/>
  <c r="J18" i="130" s="1"/>
  <c r="H16" i="130"/>
  <c r="G16" i="130" s="1"/>
  <c r="F16" i="130" s="1"/>
  <c r="C128" i="67"/>
  <c r="C102" i="67"/>
  <c r="O19" i="214"/>
  <c r="H19" i="214"/>
  <c r="G19" i="214" s="1"/>
  <c r="F19" i="214" s="1"/>
  <c r="O16" i="218"/>
  <c r="N16" i="218" s="1"/>
  <c r="M16" i="218" s="1"/>
  <c r="H16" i="218"/>
  <c r="G16" i="218" s="1"/>
  <c r="F16" i="218" s="1"/>
  <c r="K41" i="201"/>
  <c r="O41" i="201"/>
  <c r="N41" i="201"/>
  <c r="L41" i="201"/>
  <c r="J41" i="201"/>
  <c r="F41" i="201"/>
  <c r="M41" i="201"/>
  <c r="E41" i="201"/>
  <c r="I41" i="201"/>
  <c r="G41" i="201"/>
  <c r="D41" i="201"/>
  <c r="H41" i="201"/>
  <c r="S94" i="347"/>
  <c r="P10" i="140"/>
  <c r="W66" i="201"/>
  <c r="W69" i="258"/>
  <c r="H15" i="375"/>
  <c r="G15" i="375" s="1"/>
  <c r="F15" i="375" s="1"/>
  <c r="O15" i="375"/>
  <c r="N15" i="375" s="1"/>
  <c r="M15" i="375" s="1"/>
  <c r="L16" i="375" s="1"/>
  <c r="J16" i="375" s="1"/>
  <c r="E16" i="375" s="1"/>
  <c r="D16" i="375" s="1"/>
  <c r="N9" i="365"/>
  <c r="M9" i="365" s="1"/>
  <c r="L9" i="365" s="1"/>
  <c r="J9" i="365" s="1"/>
  <c r="E9" i="365" s="1"/>
  <c r="D9" i="365" s="1"/>
  <c r="C9" i="365" s="1"/>
  <c r="H21" i="214"/>
  <c r="G21" i="214" s="1"/>
  <c r="F21" i="214" s="1"/>
  <c r="O21" i="214"/>
  <c r="C118" i="67"/>
  <c r="C92" i="67"/>
  <c r="O11" i="221"/>
  <c r="H11" i="221"/>
  <c r="G11" i="221" s="1"/>
  <c r="F11" i="221" s="1"/>
  <c r="P26" i="200"/>
  <c r="O25" i="200"/>
  <c r="H25" i="200"/>
  <c r="G25" i="200" s="1"/>
  <c r="F25" i="200" s="1"/>
  <c r="O19" i="140"/>
  <c r="H19" i="140"/>
  <c r="G19" i="140" s="1"/>
  <c r="F19" i="140" s="1"/>
  <c r="AA25" i="205"/>
  <c r="T25" i="205"/>
  <c r="S25" i="205" s="1"/>
  <c r="R25" i="205" s="1"/>
  <c r="X130" i="48"/>
  <c r="L94" i="48"/>
  <c r="Z130" i="48" s="1"/>
  <c r="K94" i="48"/>
  <c r="W59" i="258"/>
  <c r="P12" i="130"/>
  <c r="W56" i="201"/>
  <c r="G80" i="96"/>
  <c r="E80" i="96" s="1"/>
  <c r="O22" i="214"/>
  <c r="H22" i="214"/>
  <c r="G22" i="214" s="1"/>
  <c r="F22" i="214" s="1"/>
  <c r="O22" i="209"/>
  <c r="H22" i="209"/>
  <c r="G22" i="209" s="1"/>
  <c r="F22" i="209" s="1"/>
  <c r="O17" i="365"/>
  <c r="N17" i="365" s="1"/>
  <c r="M17" i="365" s="1"/>
  <c r="L15" i="365" s="1"/>
  <c r="J15" i="365" s="1"/>
  <c r="E15" i="365" s="1"/>
  <c r="D15" i="365" s="1"/>
  <c r="C15" i="365" s="1"/>
  <c r="H17" i="365"/>
  <c r="G17" i="365" s="1"/>
  <c r="F17" i="365" s="1"/>
  <c r="N11" i="370"/>
  <c r="M11" i="370" s="1"/>
  <c r="L11" i="370" s="1"/>
  <c r="J11" i="370" s="1"/>
  <c r="E11" i="370" s="1"/>
  <c r="D11" i="370" s="1"/>
  <c r="C11" i="370" s="1"/>
  <c r="AU11" i="96" s="1"/>
  <c r="N8" i="370"/>
  <c r="M8" i="370" s="1"/>
  <c r="L8" i="370" s="1"/>
  <c r="J8" i="370" s="1"/>
  <c r="E8" i="370" s="1"/>
  <c r="D8" i="370" s="1"/>
  <c r="C8" i="370" s="1"/>
  <c r="AU8" i="96" s="1"/>
  <c r="L35" i="205"/>
  <c r="O17" i="224"/>
  <c r="N17" i="224" s="1"/>
  <c r="M17" i="224" s="1"/>
  <c r="H17" i="224"/>
  <c r="G17" i="224" s="1"/>
  <c r="F17" i="224" s="1"/>
  <c r="O9" i="224"/>
  <c r="H9" i="224"/>
  <c r="G9" i="224" s="1"/>
  <c r="F9" i="224" s="1"/>
  <c r="H24" i="377"/>
  <c r="G24" i="377" s="1"/>
  <c r="F24" i="377" s="1"/>
  <c r="O24" i="377"/>
  <c r="N24" i="377" s="1"/>
  <c r="M24" i="377" s="1"/>
  <c r="H21" i="373"/>
  <c r="G21" i="373" s="1"/>
  <c r="F21" i="373" s="1"/>
  <c r="O21" i="373"/>
  <c r="N21" i="373" s="1"/>
  <c r="M21" i="373" s="1"/>
  <c r="O24" i="134"/>
  <c r="H24" i="134"/>
  <c r="G24" i="134" s="1"/>
  <c r="F24" i="134" s="1"/>
  <c r="W89" i="258"/>
  <c r="P12" i="209"/>
  <c r="W86" i="201"/>
  <c r="C114" i="67"/>
  <c r="C88" i="67"/>
  <c r="H15" i="226"/>
  <c r="G15" i="226" s="1"/>
  <c r="F15" i="226" s="1"/>
  <c r="O15" i="226"/>
  <c r="N15" i="226" s="1"/>
  <c r="M15" i="226" s="1"/>
  <c r="M48" i="183"/>
  <c r="N48" i="183"/>
  <c r="K48" i="183"/>
  <c r="I48" i="183"/>
  <c r="F48" i="183"/>
  <c r="L48" i="183"/>
  <c r="O48" i="183"/>
  <c r="J48" i="183"/>
  <c r="H48" i="183"/>
  <c r="D48" i="183"/>
  <c r="G48" i="183"/>
  <c r="E48" i="183"/>
  <c r="O22" i="140"/>
  <c r="H22" i="140"/>
  <c r="G22" i="140" s="1"/>
  <c r="F22" i="140" s="1"/>
  <c r="H22" i="370"/>
  <c r="G22" i="370" s="1"/>
  <c r="F22" i="370" s="1"/>
  <c r="O22" i="370"/>
  <c r="N22" i="370" s="1"/>
  <c r="M22" i="370" s="1"/>
  <c r="H22" i="377"/>
  <c r="G22" i="377" s="1"/>
  <c r="F22" i="377" s="1"/>
  <c r="O22" i="377"/>
  <c r="N22" i="377" s="1"/>
  <c r="M22" i="377" s="1"/>
  <c r="O25" i="226"/>
  <c r="N25" i="226" s="1"/>
  <c r="M25" i="226" s="1"/>
  <c r="H25" i="226"/>
  <c r="G25" i="226" s="1"/>
  <c r="F25" i="226" s="1"/>
  <c r="P26" i="226"/>
  <c r="O24" i="140"/>
  <c r="H24" i="140"/>
  <c r="G24" i="140" s="1"/>
  <c r="F24" i="140" s="1"/>
  <c r="O24" i="200"/>
  <c r="H24" i="200"/>
  <c r="G24" i="200" s="1"/>
  <c r="F24" i="200" s="1"/>
  <c r="H17" i="218"/>
  <c r="G17" i="218" s="1"/>
  <c r="F17" i="218" s="1"/>
  <c r="O17" i="218"/>
  <c r="N17" i="218" s="1"/>
  <c r="M17" i="218" s="1"/>
  <c r="S96" i="347"/>
  <c r="O19" i="375"/>
  <c r="N19" i="375" s="1"/>
  <c r="M19" i="375" s="1"/>
  <c r="H19" i="375"/>
  <c r="G19" i="375" s="1"/>
  <c r="F19" i="375" s="1"/>
  <c r="O21" i="226"/>
  <c r="N21" i="226" s="1"/>
  <c r="M21" i="226" s="1"/>
  <c r="H21" i="226"/>
  <c r="G21" i="226" s="1"/>
  <c r="F21" i="226" s="1"/>
  <c r="N11" i="373"/>
  <c r="M11" i="373" s="1"/>
  <c r="N8" i="373"/>
  <c r="M8" i="373" s="1"/>
  <c r="L8" i="373" s="1"/>
  <c r="J8" i="373" s="1"/>
  <c r="E8" i="373" s="1"/>
  <c r="D8" i="373" s="1"/>
  <c r="D45" i="258"/>
  <c r="H45" i="258"/>
  <c r="F45" i="258"/>
  <c r="K45" i="258"/>
  <c r="N45" i="258"/>
  <c r="O45" i="258"/>
  <c r="E45" i="258"/>
  <c r="G45" i="258"/>
  <c r="J45" i="258"/>
  <c r="M45" i="258"/>
  <c r="L45" i="258"/>
  <c r="I45" i="258"/>
  <c r="C97" i="67"/>
  <c r="C123" i="67"/>
  <c r="P10" i="130"/>
  <c r="W54" i="201"/>
  <c r="W57" i="258"/>
  <c r="H24" i="214"/>
  <c r="G24" i="214" s="1"/>
  <c r="F24" i="214" s="1"/>
  <c r="O24" i="214"/>
  <c r="O19" i="325"/>
  <c r="N19" i="325" s="1"/>
  <c r="M19" i="325" s="1"/>
  <c r="L21" i="325" s="1"/>
  <c r="J21" i="325" s="1"/>
  <c r="E21" i="325" s="1"/>
  <c r="D21" i="325" s="1"/>
  <c r="H19" i="325"/>
  <c r="G19" i="325" s="1"/>
  <c r="F19" i="325" s="1"/>
  <c r="O23" i="218"/>
  <c r="N23" i="218" s="1"/>
  <c r="M23" i="218" s="1"/>
  <c r="H23" i="218"/>
  <c r="G23" i="218" s="1"/>
  <c r="F23" i="218" s="1"/>
  <c r="H20" i="218"/>
  <c r="G20" i="218" s="1"/>
  <c r="F20" i="218" s="1"/>
  <c r="O20" i="218"/>
  <c r="N20" i="218" s="1"/>
  <c r="M20" i="218" s="1"/>
  <c r="L22" i="218" s="1"/>
  <c r="J22" i="218" s="1"/>
  <c r="I44" i="258"/>
  <c r="M44" i="258"/>
  <c r="N44" i="258"/>
  <c r="F44" i="258"/>
  <c r="H44" i="258"/>
  <c r="O44" i="258"/>
  <c r="J44" i="258"/>
  <c r="E44" i="258"/>
  <c r="L44" i="258"/>
  <c r="D44" i="258"/>
  <c r="K44" i="258"/>
  <c r="G44" i="258"/>
  <c r="P13" i="373"/>
  <c r="O13" i="373" s="1"/>
  <c r="N13" i="373" s="1"/>
  <c r="M13" i="373" s="1"/>
  <c r="L14" i="373" s="1"/>
  <c r="J14" i="373" s="1"/>
  <c r="E14" i="373" s="1"/>
  <c r="D14" i="373" s="1"/>
  <c r="O21" i="209"/>
  <c r="H21" i="209"/>
  <c r="G21" i="209" s="1"/>
  <c r="F21" i="209" s="1"/>
  <c r="O14" i="130"/>
  <c r="N14" i="130" s="1"/>
  <c r="M14" i="130" s="1"/>
  <c r="L16" i="130" s="1"/>
  <c r="J16" i="130" s="1"/>
  <c r="H14" i="130"/>
  <c r="G14" i="130" s="1"/>
  <c r="F14" i="130" s="1"/>
  <c r="O21" i="140"/>
  <c r="H21" i="140"/>
  <c r="G21" i="140" s="1"/>
  <c r="F21" i="140" s="1"/>
  <c r="O18" i="216"/>
  <c r="H18" i="216"/>
  <c r="G18" i="216" s="1"/>
  <c r="F18" i="216" s="1"/>
  <c r="O15" i="200"/>
  <c r="H15" i="200"/>
  <c r="G15" i="200" s="1"/>
  <c r="F15" i="200" s="1"/>
  <c r="O25" i="134"/>
  <c r="H25" i="134"/>
  <c r="G25" i="134" s="1"/>
  <c r="F25" i="134" s="1"/>
  <c r="P26" i="134"/>
  <c r="O15" i="209"/>
  <c r="H15" i="209"/>
  <c r="G15" i="209" s="1"/>
  <c r="F15" i="209" s="1"/>
  <c r="O18" i="224"/>
  <c r="N18" i="224" s="1"/>
  <c r="M18" i="224" s="1"/>
  <c r="H18" i="224"/>
  <c r="G18" i="224" s="1"/>
  <c r="F18" i="224" s="1"/>
  <c r="C99" i="67"/>
  <c r="C125" i="67"/>
  <c r="S90" i="347"/>
  <c r="R90" i="347" s="1"/>
  <c r="Q90" i="347" s="1"/>
  <c r="P90" i="347" s="1"/>
  <c r="O90" i="347" s="1"/>
  <c r="S92" i="347"/>
  <c r="R92" i="347" s="1"/>
  <c r="Q92" i="347" s="1"/>
  <c r="P92" i="347" s="1"/>
  <c r="N11" i="375"/>
  <c r="M11" i="375" s="1"/>
  <c r="L11" i="375" s="1"/>
  <c r="J11" i="375" s="1"/>
  <c r="E11" i="375" s="1"/>
  <c r="D11" i="375" s="1"/>
  <c r="N8" i="375"/>
  <c r="M8" i="375" s="1"/>
  <c r="L8" i="375" s="1"/>
  <c r="J8" i="375" s="1"/>
  <c r="E8" i="375" s="1"/>
  <c r="D8" i="375" s="1"/>
  <c r="O24" i="226"/>
  <c r="N24" i="226" s="1"/>
  <c r="M24" i="226" s="1"/>
  <c r="H24" i="226"/>
  <c r="G24" i="226" s="1"/>
  <c r="F24" i="226" s="1"/>
  <c r="S100" i="347"/>
  <c r="O17" i="140"/>
  <c r="H17" i="140"/>
  <c r="G17" i="140" s="1"/>
  <c r="F17" i="140" s="1"/>
  <c r="O21" i="134"/>
  <c r="H21" i="134"/>
  <c r="G21" i="134" s="1"/>
  <c r="F21" i="134" s="1"/>
  <c r="G81" i="96"/>
  <c r="E81" i="96" s="1"/>
  <c r="Q20" i="413"/>
  <c r="J20" i="413"/>
  <c r="I20" i="413" s="1"/>
  <c r="H20" i="413" s="1"/>
  <c r="Q17" i="413"/>
  <c r="J17" i="413"/>
  <c r="I17" i="413" s="1"/>
  <c r="H17" i="413" s="1"/>
  <c r="Q19" i="413"/>
  <c r="J19" i="413"/>
  <c r="I19" i="413" s="1"/>
  <c r="H19" i="413" s="1"/>
  <c r="Q21" i="413"/>
  <c r="J21" i="413"/>
  <c r="I21" i="413" s="1"/>
  <c r="H21" i="413" s="1"/>
  <c r="Q23" i="413"/>
  <c r="J23" i="413"/>
  <c r="I23" i="413" s="1"/>
  <c r="H23" i="413" s="1"/>
  <c r="Q14" i="413"/>
  <c r="J14" i="413"/>
  <c r="I14" i="413" s="1"/>
  <c r="H14" i="413" s="1"/>
  <c r="Q13" i="413"/>
  <c r="J13" i="413"/>
  <c r="I13" i="413" s="1"/>
  <c r="H13" i="413" s="1"/>
  <c r="Q24" i="413"/>
  <c r="J24" i="413"/>
  <c r="I24" i="413" s="1"/>
  <c r="H24" i="413" s="1"/>
  <c r="Q15" i="413"/>
  <c r="J15" i="413"/>
  <c r="I15" i="413" s="1"/>
  <c r="H15" i="413" s="1"/>
  <c r="Q25" i="413"/>
  <c r="J25" i="413"/>
  <c r="I25" i="413" s="1"/>
  <c r="H25" i="413" s="1"/>
  <c r="Q11" i="413"/>
  <c r="P19" i="413" s="1"/>
  <c r="O19" i="413" s="1"/>
  <c r="J11" i="413"/>
  <c r="I11" i="413" s="1"/>
  <c r="H11" i="413" s="1"/>
  <c r="Q18" i="413"/>
  <c r="J18" i="413"/>
  <c r="I18" i="413" s="1"/>
  <c r="H18" i="413" s="1"/>
  <c r="Q22" i="413"/>
  <c r="P22" i="413" s="1"/>
  <c r="O22" i="413" s="1"/>
  <c r="J22" i="413"/>
  <c r="I22" i="413" s="1"/>
  <c r="H22" i="413" s="1"/>
  <c r="Q16" i="413"/>
  <c r="P16" i="413" s="1"/>
  <c r="O16" i="413" s="1"/>
  <c r="J16" i="413"/>
  <c r="I16" i="413" s="1"/>
  <c r="H16" i="413" s="1"/>
  <c r="O9" i="134"/>
  <c r="C62" i="258" s="1"/>
  <c r="H9" i="134"/>
  <c r="G9" i="134" s="1"/>
  <c r="F9" i="134" s="1"/>
  <c r="O11" i="134"/>
  <c r="C61" i="201" s="1"/>
  <c r="H11" i="134"/>
  <c r="G11" i="134" s="1"/>
  <c r="F11" i="134" s="1"/>
  <c r="O10" i="134"/>
  <c r="C63" i="258" s="1"/>
  <c r="H10" i="134"/>
  <c r="G10" i="134" s="1"/>
  <c r="F10" i="134" s="1"/>
  <c r="O12" i="134"/>
  <c r="C65" i="258" s="1"/>
  <c r="H12" i="134"/>
  <c r="G12" i="134" s="1"/>
  <c r="F12" i="134" s="1"/>
  <c r="K62" i="258"/>
  <c r="M62" i="258"/>
  <c r="E62" i="258"/>
  <c r="J62" i="258"/>
  <c r="G62" i="258"/>
  <c r="F62" i="258"/>
  <c r="N62" i="258"/>
  <c r="O62" i="258"/>
  <c r="H62" i="258"/>
  <c r="L62" i="258"/>
  <c r="I62" i="258"/>
  <c r="I59" i="201"/>
  <c r="K59" i="201"/>
  <c r="E59" i="201"/>
  <c r="N59" i="201"/>
  <c r="M59" i="201"/>
  <c r="O59" i="201"/>
  <c r="G59" i="201"/>
  <c r="L59" i="201"/>
  <c r="J59" i="201"/>
  <c r="H59" i="201"/>
  <c r="F59" i="201"/>
  <c r="C59" i="201"/>
  <c r="C59" i="183"/>
  <c r="M62" i="201"/>
  <c r="L62" i="201"/>
  <c r="N62" i="201"/>
  <c r="I62" i="201"/>
  <c r="H62" i="201"/>
  <c r="K62" i="201"/>
  <c r="E62" i="201"/>
  <c r="F62" i="201"/>
  <c r="J62" i="201"/>
  <c r="G62" i="201"/>
  <c r="O62" i="201"/>
  <c r="K61" i="201"/>
  <c r="F61" i="201"/>
  <c r="I61" i="201"/>
  <c r="G61" i="201"/>
  <c r="L61" i="201"/>
  <c r="E61" i="201"/>
  <c r="J61" i="201"/>
  <c r="M61" i="201"/>
  <c r="O61" i="201"/>
  <c r="N61" i="201"/>
  <c r="H61" i="201"/>
  <c r="L63" i="258"/>
  <c r="M63" i="258"/>
  <c r="O63" i="258"/>
  <c r="I63" i="258"/>
  <c r="G63" i="258"/>
  <c r="H63" i="258"/>
  <c r="E63" i="258"/>
  <c r="J63" i="258"/>
  <c r="F63" i="258"/>
  <c r="K63" i="258"/>
  <c r="N63" i="258"/>
  <c r="L60" i="201"/>
  <c r="F60" i="201"/>
  <c r="G60" i="201"/>
  <c r="H60" i="201"/>
  <c r="I60" i="201"/>
  <c r="N60" i="201"/>
  <c r="J60" i="201"/>
  <c r="O60" i="201"/>
  <c r="K60" i="201"/>
  <c r="M60" i="201"/>
  <c r="E60" i="201"/>
  <c r="G64" i="258"/>
  <c r="N64" i="258"/>
  <c r="I64" i="258"/>
  <c r="H64" i="258"/>
  <c r="M64" i="258"/>
  <c r="J64" i="258"/>
  <c r="E64" i="258"/>
  <c r="L64" i="258"/>
  <c r="F64" i="258"/>
  <c r="K64" i="258"/>
  <c r="O64" i="258"/>
  <c r="E65" i="258"/>
  <c r="M65" i="258"/>
  <c r="I65" i="258"/>
  <c r="G65" i="258"/>
  <c r="J65" i="258"/>
  <c r="H65" i="258"/>
  <c r="O65" i="258"/>
  <c r="F65" i="258"/>
  <c r="K65" i="258"/>
  <c r="N65" i="258"/>
  <c r="L65" i="258"/>
  <c r="C60" i="183"/>
  <c r="R26" i="413"/>
  <c r="J26" i="413" s="1"/>
  <c r="I26" i="413" s="1"/>
  <c r="H26" i="413" s="1"/>
  <c r="R12" i="413"/>
  <c r="J12" i="413" s="1"/>
  <c r="I12" i="413" s="1"/>
  <c r="H12" i="413" s="1"/>
  <c r="W38" i="201"/>
  <c r="W41" i="258"/>
  <c r="I37" i="201"/>
  <c r="D37" i="201"/>
  <c r="N37" i="201"/>
  <c r="F37" i="201"/>
  <c r="G37" i="201"/>
  <c r="K37" i="201"/>
  <c r="M37" i="201"/>
  <c r="L37" i="201"/>
  <c r="O37" i="201"/>
  <c r="E37" i="201"/>
  <c r="H37" i="201"/>
  <c r="J37" i="201"/>
  <c r="R9" i="413"/>
  <c r="J9" i="413" s="1"/>
  <c r="I9" i="413" s="1"/>
  <c r="H9" i="413" s="1"/>
  <c r="W35" i="201"/>
  <c r="W38" i="258"/>
  <c r="M40" i="258"/>
  <c r="E40" i="258"/>
  <c r="F40" i="258"/>
  <c r="H40" i="258"/>
  <c r="N40" i="258"/>
  <c r="J40" i="258"/>
  <c r="I40" i="258"/>
  <c r="D40" i="258"/>
  <c r="G40" i="258"/>
  <c r="O40" i="258"/>
  <c r="L40" i="258"/>
  <c r="K40" i="258"/>
  <c r="R10" i="413"/>
  <c r="J10" i="413" s="1"/>
  <c r="I10" i="413" s="1"/>
  <c r="H10" i="413" s="1"/>
  <c r="W36" i="201"/>
  <c r="W39" i="258"/>
  <c r="F30" i="301"/>
  <c r="B29" i="301"/>
  <c r="E6" i="247"/>
  <c r="P6" i="247"/>
  <c r="X7" i="247"/>
  <c r="K6" i="247"/>
  <c r="S6" i="247"/>
  <c r="F6" i="247"/>
  <c r="G6" i="247"/>
  <c r="J6" i="247"/>
  <c r="I6" i="247"/>
  <c r="B6" i="247"/>
  <c r="Q6" i="247"/>
  <c r="N6" i="247"/>
  <c r="T6" i="247"/>
  <c r="D6" i="247"/>
  <c r="R6" i="247"/>
  <c r="U6" i="247"/>
  <c r="L6" i="247"/>
  <c r="C6" i="247"/>
  <c r="O6" i="247"/>
  <c r="W6" i="247"/>
  <c r="V6" i="247"/>
  <c r="H6" i="247"/>
  <c r="M6" i="247"/>
  <c r="C16" i="370" l="1"/>
  <c r="AU16" i="96" s="1"/>
  <c r="T13" i="96"/>
  <c r="M91" i="347"/>
  <c r="H91" i="347" s="1"/>
  <c r="G91" i="347" s="1"/>
  <c r="C15" i="370"/>
  <c r="AU15" i="96" s="1"/>
  <c r="K100" i="347"/>
  <c r="J100" i="347" s="1"/>
  <c r="I100" i="347" s="1"/>
  <c r="R100" i="347"/>
  <c r="Q100" i="347" s="1"/>
  <c r="P100" i="347" s="1"/>
  <c r="BD22" i="126"/>
  <c r="AP23" i="126" s="1"/>
  <c r="Z99" i="67"/>
  <c r="AA99" i="67"/>
  <c r="AB99" i="67" s="1"/>
  <c r="F54" i="201"/>
  <c r="I54" i="201"/>
  <c r="N54" i="201"/>
  <c r="O54" i="201"/>
  <c r="K54" i="201"/>
  <c r="J54" i="201"/>
  <c r="D54" i="201"/>
  <c r="G54" i="201"/>
  <c r="M54" i="201"/>
  <c r="L54" i="201"/>
  <c r="H54" i="201"/>
  <c r="E54" i="201"/>
  <c r="N89" i="258"/>
  <c r="M89" i="258"/>
  <c r="J89" i="258"/>
  <c r="I89" i="258"/>
  <c r="K89" i="258"/>
  <c r="L89" i="258"/>
  <c r="O89" i="258"/>
  <c r="O59" i="258"/>
  <c r="D59" i="258"/>
  <c r="L59" i="258"/>
  <c r="F59" i="258"/>
  <c r="I59" i="258"/>
  <c r="H59" i="258"/>
  <c r="M59" i="258"/>
  <c r="K59" i="258"/>
  <c r="J59" i="258"/>
  <c r="E59" i="258"/>
  <c r="G59" i="258"/>
  <c r="N59" i="258"/>
  <c r="K94" i="347"/>
  <c r="J94" i="347" s="1"/>
  <c r="I94" i="347" s="1"/>
  <c r="R94" i="347"/>
  <c r="Q94" i="347" s="1"/>
  <c r="P94" i="347" s="1"/>
  <c r="L16" i="365"/>
  <c r="J16" i="365" s="1"/>
  <c r="E16" i="365" s="1"/>
  <c r="D16" i="365" s="1"/>
  <c r="L85" i="201"/>
  <c r="I85" i="201"/>
  <c r="M85" i="201"/>
  <c r="J85" i="201"/>
  <c r="O85" i="201"/>
  <c r="K85" i="201"/>
  <c r="N85" i="201"/>
  <c r="N15" i="224"/>
  <c r="M15" i="224" s="1"/>
  <c r="O12" i="200"/>
  <c r="H12" i="200"/>
  <c r="G12" i="200" s="1"/>
  <c r="F12" i="200" s="1"/>
  <c r="O84" i="201"/>
  <c r="J84" i="201"/>
  <c r="N84" i="201"/>
  <c r="L84" i="201"/>
  <c r="K84" i="201"/>
  <c r="M84" i="201"/>
  <c r="I84" i="201"/>
  <c r="O9" i="200"/>
  <c r="H9" i="200"/>
  <c r="G9" i="200" s="1"/>
  <c r="F9" i="200" s="1"/>
  <c r="C14" i="365"/>
  <c r="L97" i="201"/>
  <c r="M97" i="201"/>
  <c r="O97" i="201"/>
  <c r="N97" i="201"/>
  <c r="K97" i="201"/>
  <c r="N23" i="226"/>
  <c r="M23" i="226" s="1"/>
  <c r="G70" i="258"/>
  <c r="M70" i="258"/>
  <c r="K70" i="258"/>
  <c r="F70" i="258"/>
  <c r="L70" i="258"/>
  <c r="I70" i="258"/>
  <c r="H70" i="258"/>
  <c r="O70" i="258"/>
  <c r="J70" i="258"/>
  <c r="N70" i="258"/>
  <c r="C107" i="201"/>
  <c r="C107" i="183"/>
  <c r="N9" i="221"/>
  <c r="M9" i="221" s="1"/>
  <c r="L9" i="221" s="1"/>
  <c r="J9" i="221" s="1"/>
  <c r="C110" i="258"/>
  <c r="BD12" i="126"/>
  <c r="AP13" i="126" s="1"/>
  <c r="Z89" i="67"/>
  <c r="AA89" i="67"/>
  <c r="AB89" i="67" s="1"/>
  <c r="J83" i="258"/>
  <c r="K83" i="258"/>
  <c r="H83" i="258"/>
  <c r="M83" i="258"/>
  <c r="O83" i="258"/>
  <c r="L83" i="258"/>
  <c r="I83" i="258"/>
  <c r="N83" i="258"/>
  <c r="BD9" i="126"/>
  <c r="AP10" i="126" s="1"/>
  <c r="Z86" i="67"/>
  <c r="AA86" i="67"/>
  <c r="Q97" i="347"/>
  <c r="P97" i="347" s="1"/>
  <c r="O9" i="209"/>
  <c r="H9" i="209"/>
  <c r="G9" i="209" s="1"/>
  <c r="F9" i="209" s="1"/>
  <c r="O12" i="140"/>
  <c r="H12" i="140"/>
  <c r="G12" i="140" s="1"/>
  <c r="F12" i="140" s="1"/>
  <c r="O26" i="130"/>
  <c r="N26" i="130" s="1"/>
  <c r="M26" i="130" s="1"/>
  <c r="H26" i="130"/>
  <c r="G26" i="130" s="1"/>
  <c r="F26" i="130" s="1"/>
  <c r="P27" i="130"/>
  <c r="L22" i="365"/>
  <c r="J22" i="365" s="1"/>
  <c r="E22" i="365" s="1"/>
  <c r="D22" i="365" s="1"/>
  <c r="O82" i="258"/>
  <c r="H82" i="258"/>
  <c r="J82" i="258"/>
  <c r="I82" i="258"/>
  <c r="L82" i="258"/>
  <c r="K82" i="258"/>
  <c r="M82" i="258"/>
  <c r="N82" i="258"/>
  <c r="Z117" i="67"/>
  <c r="AA117" i="67"/>
  <c r="AB117" i="67" s="1"/>
  <c r="AC91" i="67" s="1"/>
  <c r="BD17" i="126"/>
  <c r="AP18" i="126" s="1"/>
  <c r="AA94" i="67"/>
  <c r="AB94" i="67" s="1"/>
  <c r="Z94" i="67"/>
  <c r="N15" i="221"/>
  <c r="M15" i="221" s="1"/>
  <c r="Y124" i="48"/>
  <c r="N88" i="48"/>
  <c r="Y129" i="48"/>
  <c r="N93" i="48"/>
  <c r="C111" i="258"/>
  <c r="C108" i="201"/>
  <c r="C108" i="183"/>
  <c r="N10" i="221"/>
  <c r="M10" i="221" s="1"/>
  <c r="L10" i="221" s="1"/>
  <c r="J10" i="221" s="1"/>
  <c r="Y118" i="48"/>
  <c r="N82" i="48"/>
  <c r="O10" i="130"/>
  <c r="N10" i="130" s="1"/>
  <c r="M10" i="130" s="1"/>
  <c r="H10" i="130"/>
  <c r="G10" i="130" s="1"/>
  <c r="F10" i="130" s="1"/>
  <c r="L11" i="373"/>
  <c r="J11" i="373" s="1"/>
  <c r="E11" i="373" s="1"/>
  <c r="D11" i="373" s="1"/>
  <c r="L13" i="373"/>
  <c r="J13" i="373" s="1"/>
  <c r="E13" i="373" s="1"/>
  <c r="D13" i="373" s="1"/>
  <c r="N9" i="224"/>
  <c r="M9" i="224" s="1"/>
  <c r="L9" i="224" s="1"/>
  <c r="J9" i="224" s="1"/>
  <c r="C113" i="183"/>
  <c r="C113" i="201"/>
  <c r="C116" i="258"/>
  <c r="Y130" i="48"/>
  <c r="N94" i="48"/>
  <c r="BD25" i="126"/>
  <c r="Z102" i="67"/>
  <c r="AA102" i="67"/>
  <c r="AB102" i="67" s="1"/>
  <c r="O12" i="216"/>
  <c r="H12" i="216"/>
  <c r="G12" i="216" s="1"/>
  <c r="F12" i="216" s="1"/>
  <c r="L20" i="373"/>
  <c r="J20" i="373" s="1"/>
  <c r="E20" i="373" s="1"/>
  <c r="D20" i="373" s="1"/>
  <c r="E22" i="370"/>
  <c r="D22" i="370" s="1"/>
  <c r="K104" i="347"/>
  <c r="J104" i="347" s="1"/>
  <c r="I104" i="347" s="1"/>
  <c r="S105" i="347"/>
  <c r="R104" i="347"/>
  <c r="Q104" i="347" s="1"/>
  <c r="P104" i="347" s="1"/>
  <c r="L21" i="370"/>
  <c r="J21" i="370" s="1"/>
  <c r="E21" i="370" s="1"/>
  <c r="D21" i="370" s="1"/>
  <c r="O11" i="209"/>
  <c r="H11" i="209"/>
  <c r="G11" i="209" s="1"/>
  <c r="F11" i="209" s="1"/>
  <c r="N16" i="216"/>
  <c r="M16" i="216" s="1"/>
  <c r="BD18" i="126"/>
  <c r="AP19" i="126" s="1"/>
  <c r="AA95" i="67"/>
  <c r="AB95" i="67" s="1"/>
  <c r="Z95" i="67"/>
  <c r="O10" i="209"/>
  <c r="H10" i="209"/>
  <c r="G10" i="209" s="1"/>
  <c r="F10" i="209" s="1"/>
  <c r="M87" i="347"/>
  <c r="H87" i="347" s="1"/>
  <c r="G87" i="347" s="1"/>
  <c r="F87" i="347" s="1"/>
  <c r="AS9" i="96" s="1"/>
  <c r="O87" i="347"/>
  <c r="T9" i="96" s="1"/>
  <c r="V111" i="49"/>
  <c r="M110" i="49"/>
  <c r="N110" i="49" s="1"/>
  <c r="N14" i="224"/>
  <c r="M14" i="224" s="1"/>
  <c r="N22" i="224"/>
  <c r="M22" i="224" s="1"/>
  <c r="O11" i="216"/>
  <c r="N13" i="216" s="1"/>
  <c r="M13" i="216" s="1"/>
  <c r="H11" i="216"/>
  <c r="G11" i="216" s="1"/>
  <c r="F11" i="216" s="1"/>
  <c r="L23" i="375"/>
  <c r="J23" i="375" s="1"/>
  <c r="E23" i="375" s="1"/>
  <c r="D23" i="375" s="1"/>
  <c r="L23" i="370"/>
  <c r="J23" i="370" s="1"/>
  <c r="E23" i="370" s="1"/>
  <c r="D23" i="370" s="1"/>
  <c r="O11" i="140"/>
  <c r="H11" i="140"/>
  <c r="G11" i="140" s="1"/>
  <c r="F11" i="140" s="1"/>
  <c r="AA115" i="67"/>
  <c r="AB115" i="67" s="1"/>
  <c r="AC89" i="67" s="1"/>
  <c r="Z115" i="67"/>
  <c r="L18" i="365"/>
  <c r="J18" i="365" s="1"/>
  <c r="E18" i="365" s="1"/>
  <c r="D18" i="365" s="1"/>
  <c r="L23" i="373"/>
  <c r="J23" i="373" s="1"/>
  <c r="E23" i="373" s="1"/>
  <c r="D23" i="373" s="1"/>
  <c r="Z112" i="67"/>
  <c r="AA112" i="67"/>
  <c r="L17" i="218"/>
  <c r="J17" i="218" s="1"/>
  <c r="H26" i="365"/>
  <c r="G26" i="365" s="1"/>
  <c r="F26" i="365" s="1"/>
  <c r="P27" i="365"/>
  <c r="O26" i="365"/>
  <c r="N26" i="365" s="1"/>
  <c r="M26" i="365" s="1"/>
  <c r="L24" i="365" s="1"/>
  <c r="J24" i="365" s="1"/>
  <c r="E24" i="365" s="1"/>
  <c r="D24" i="365" s="1"/>
  <c r="M71" i="258"/>
  <c r="N71" i="258"/>
  <c r="I71" i="258"/>
  <c r="O71" i="258"/>
  <c r="K71" i="258"/>
  <c r="H71" i="258"/>
  <c r="L71" i="258"/>
  <c r="G71" i="258"/>
  <c r="F71" i="258"/>
  <c r="J71" i="258"/>
  <c r="L23" i="365"/>
  <c r="J23" i="365" s="1"/>
  <c r="E23" i="365" s="1"/>
  <c r="D23" i="365" s="1"/>
  <c r="L23" i="218"/>
  <c r="J23" i="218" s="1"/>
  <c r="L16" i="218"/>
  <c r="J16" i="218" s="1"/>
  <c r="H10" i="214"/>
  <c r="G10" i="214" s="1"/>
  <c r="F10" i="214" s="1"/>
  <c r="O10" i="214"/>
  <c r="BD24" i="126"/>
  <c r="AP25" i="126" s="1"/>
  <c r="Z101" i="67"/>
  <c r="AA101" i="67"/>
  <c r="AB101" i="67" s="1"/>
  <c r="Q99" i="347"/>
  <c r="P99" i="347" s="1"/>
  <c r="N21" i="221"/>
  <c r="M21" i="221" s="1"/>
  <c r="L23" i="325"/>
  <c r="J23" i="325" s="1"/>
  <c r="E23" i="325" s="1"/>
  <c r="D23" i="325" s="1"/>
  <c r="AA113" i="67"/>
  <c r="Z113" i="67"/>
  <c r="H9" i="214"/>
  <c r="G9" i="214" s="1"/>
  <c r="F9" i="214" s="1"/>
  <c r="O9" i="214"/>
  <c r="N19" i="221"/>
  <c r="M19" i="221" s="1"/>
  <c r="L18" i="377"/>
  <c r="J18" i="377" s="1"/>
  <c r="E18" i="377" s="1"/>
  <c r="D18" i="377" s="1"/>
  <c r="C13" i="373"/>
  <c r="AV13" i="96" s="1"/>
  <c r="L21" i="218"/>
  <c r="J21" i="218" s="1"/>
  <c r="AA123" i="67"/>
  <c r="AB123" i="67" s="1"/>
  <c r="AC97" i="67" s="1"/>
  <c r="Z123" i="67"/>
  <c r="L20" i="370"/>
  <c r="J20" i="370" s="1"/>
  <c r="E20" i="370" s="1"/>
  <c r="D20" i="370" s="1"/>
  <c r="O26" i="200"/>
  <c r="P27" i="200"/>
  <c r="H26" i="200"/>
  <c r="G26" i="200" s="1"/>
  <c r="F26" i="200" s="1"/>
  <c r="Z128" i="67"/>
  <c r="AA128" i="67"/>
  <c r="AB128" i="67" s="1"/>
  <c r="AC102" i="67" s="1"/>
  <c r="N98" i="201"/>
  <c r="O98" i="201"/>
  <c r="L98" i="201"/>
  <c r="M98" i="201"/>
  <c r="K98" i="201"/>
  <c r="N37" i="20"/>
  <c r="M37" i="20" s="1"/>
  <c r="L37" i="20" s="1"/>
  <c r="U37" i="20"/>
  <c r="V38" i="20"/>
  <c r="L21" i="365"/>
  <c r="J21" i="365" s="1"/>
  <c r="E21" i="365" s="1"/>
  <c r="D21" i="365" s="1"/>
  <c r="L20" i="218"/>
  <c r="J20" i="218" s="1"/>
  <c r="O26" i="214"/>
  <c r="H26" i="214"/>
  <c r="G26" i="214" s="1"/>
  <c r="F26" i="214" s="1"/>
  <c r="P27" i="214"/>
  <c r="L88" i="258"/>
  <c r="N88" i="258"/>
  <c r="M88" i="258"/>
  <c r="O88" i="258"/>
  <c r="I88" i="258"/>
  <c r="K88" i="258"/>
  <c r="J88" i="258"/>
  <c r="H55" i="201"/>
  <c r="N55" i="201"/>
  <c r="M55" i="201"/>
  <c r="O55" i="201"/>
  <c r="K55" i="201"/>
  <c r="F55" i="201"/>
  <c r="G55" i="201"/>
  <c r="J55" i="201"/>
  <c r="I55" i="201"/>
  <c r="E55" i="201"/>
  <c r="D55" i="201"/>
  <c r="L55" i="201"/>
  <c r="Q95" i="347"/>
  <c r="P95" i="347" s="1"/>
  <c r="AA121" i="67"/>
  <c r="AB121" i="67" s="1"/>
  <c r="AC95" i="67" s="1"/>
  <c r="Z121" i="67"/>
  <c r="S89" i="347"/>
  <c r="R89" i="347" s="1"/>
  <c r="Q89" i="347" s="1"/>
  <c r="P89" i="347" s="1"/>
  <c r="C122" i="183"/>
  <c r="C122" i="201"/>
  <c r="C125" i="258"/>
  <c r="N20" i="216"/>
  <c r="M20" i="216" s="1"/>
  <c r="BD19" i="126"/>
  <c r="AP20" i="126" s="1"/>
  <c r="Z96" i="67"/>
  <c r="AA96" i="67"/>
  <c r="AB96" i="67" s="1"/>
  <c r="L100" i="258"/>
  <c r="M100" i="258"/>
  <c r="N100" i="258"/>
  <c r="K100" i="258"/>
  <c r="O100" i="258"/>
  <c r="P27" i="375"/>
  <c r="O26" i="375"/>
  <c r="N26" i="375" s="1"/>
  <c r="M26" i="375" s="1"/>
  <c r="H26" i="375"/>
  <c r="G26" i="375" s="1"/>
  <c r="F26" i="375" s="1"/>
  <c r="L21" i="130"/>
  <c r="J21" i="130" s="1"/>
  <c r="L20" i="375"/>
  <c r="J20" i="375" s="1"/>
  <c r="E20" i="375" s="1"/>
  <c r="D20" i="375" s="1"/>
  <c r="Y127" i="48"/>
  <c r="N91" i="48"/>
  <c r="N81" i="258"/>
  <c r="O81" i="258"/>
  <c r="I81" i="258"/>
  <c r="H81" i="258"/>
  <c r="L81" i="258"/>
  <c r="K81" i="258"/>
  <c r="J81" i="258"/>
  <c r="M81" i="258"/>
  <c r="L22" i="373"/>
  <c r="J22" i="373" s="1"/>
  <c r="E22" i="373" s="1"/>
  <c r="D22" i="373" s="1"/>
  <c r="P27" i="370"/>
  <c r="H26" i="370"/>
  <c r="G26" i="370" s="1"/>
  <c r="F26" i="370" s="1"/>
  <c r="O26" i="370"/>
  <c r="N26" i="370" s="1"/>
  <c r="M26" i="370" s="1"/>
  <c r="L24" i="370" s="1"/>
  <c r="J24" i="370" s="1"/>
  <c r="E24" i="370" s="1"/>
  <c r="D24" i="370" s="1"/>
  <c r="H26" i="373"/>
  <c r="G26" i="373" s="1"/>
  <c r="F26" i="373" s="1"/>
  <c r="O26" i="373"/>
  <c r="N26" i="373" s="1"/>
  <c r="M26" i="373" s="1"/>
  <c r="L24" i="373" s="1"/>
  <c r="J24" i="373" s="1"/>
  <c r="E24" i="373" s="1"/>
  <c r="D24" i="373" s="1"/>
  <c r="P27" i="373"/>
  <c r="L20" i="377"/>
  <c r="J20" i="377" s="1"/>
  <c r="E20" i="377" s="1"/>
  <c r="D20" i="377" s="1"/>
  <c r="K93" i="258"/>
  <c r="N93" i="258"/>
  <c r="J93" i="258"/>
  <c r="M93" i="258"/>
  <c r="O93" i="258"/>
  <c r="L93" i="258"/>
  <c r="Z127" i="67"/>
  <c r="AA127" i="67"/>
  <c r="AB127" i="67" s="1"/>
  <c r="AC101" i="67" s="1"/>
  <c r="M79" i="201"/>
  <c r="N79" i="201"/>
  <c r="I79" i="201"/>
  <c r="K79" i="201"/>
  <c r="J79" i="201"/>
  <c r="H79" i="201"/>
  <c r="L79" i="201"/>
  <c r="O79" i="201"/>
  <c r="L18" i="373"/>
  <c r="J18" i="373" s="1"/>
  <c r="E18" i="373" s="1"/>
  <c r="D18" i="373" s="1"/>
  <c r="H26" i="140"/>
  <c r="G26" i="140" s="1"/>
  <c r="F26" i="140" s="1"/>
  <c r="P27" i="140"/>
  <c r="O26" i="140"/>
  <c r="N20" i="226"/>
  <c r="M20" i="226" s="1"/>
  <c r="BD10" i="126"/>
  <c r="AP11" i="126" s="1"/>
  <c r="Z87" i="67"/>
  <c r="AA87" i="67"/>
  <c r="L92" i="258"/>
  <c r="K92" i="258"/>
  <c r="J92" i="258"/>
  <c r="N92" i="258"/>
  <c r="O92" i="258"/>
  <c r="M92" i="258"/>
  <c r="N23" i="216"/>
  <c r="M23" i="216" s="1"/>
  <c r="N91" i="201"/>
  <c r="M91" i="201"/>
  <c r="L91" i="201"/>
  <c r="J91" i="201"/>
  <c r="K91" i="201"/>
  <c r="O91" i="201"/>
  <c r="Y119" i="48"/>
  <c r="N83" i="48"/>
  <c r="N18" i="216"/>
  <c r="M18" i="216" s="1"/>
  <c r="BD20" i="126"/>
  <c r="AP21" i="126" s="1"/>
  <c r="AA97" i="67"/>
  <c r="AB97" i="67" s="1"/>
  <c r="Z97" i="67"/>
  <c r="K101" i="258"/>
  <c r="L101" i="258"/>
  <c r="M101" i="258"/>
  <c r="O101" i="258"/>
  <c r="N101" i="258"/>
  <c r="J95" i="258"/>
  <c r="K95" i="258"/>
  <c r="L95" i="258"/>
  <c r="N95" i="258"/>
  <c r="M95" i="258"/>
  <c r="O95" i="258"/>
  <c r="Y123" i="48"/>
  <c r="N87" i="48"/>
  <c r="H75" i="258"/>
  <c r="I75" i="258"/>
  <c r="L75" i="258"/>
  <c r="O75" i="258"/>
  <c r="G75" i="258"/>
  <c r="N75" i="258"/>
  <c r="K75" i="258"/>
  <c r="M75" i="258"/>
  <c r="J75" i="258"/>
  <c r="O11" i="130"/>
  <c r="N11" i="130" s="1"/>
  <c r="M11" i="130" s="1"/>
  <c r="H11" i="130"/>
  <c r="G11" i="130" s="1"/>
  <c r="F11" i="130" s="1"/>
  <c r="L15" i="375"/>
  <c r="J15" i="375" s="1"/>
  <c r="E15" i="375" s="1"/>
  <c r="D15" i="375" s="1"/>
  <c r="Q88" i="347"/>
  <c r="P88" i="347" s="1"/>
  <c r="Q86" i="347"/>
  <c r="P86" i="347" s="1"/>
  <c r="N18" i="221"/>
  <c r="M18" i="221" s="1"/>
  <c r="C13" i="365"/>
  <c r="Z122" i="67"/>
  <c r="AA122" i="67"/>
  <c r="AB122" i="67" s="1"/>
  <c r="AC96" i="67" s="1"/>
  <c r="N12" i="226"/>
  <c r="M12" i="226" s="1"/>
  <c r="L12" i="226" s="1"/>
  <c r="J12" i="226" s="1"/>
  <c r="N11" i="226"/>
  <c r="M11" i="226" s="1"/>
  <c r="L11" i="226" s="1"/>
  <c r="J11" i="226" s="1"/>
  <c r="C124" i="258"/>
  <c r="C121" i="201"/>
  <c r="N8" i="226"/>
  <c r="M8" i="226" s="1"/>
  <c r="L8" i="226" s="1"/>
  <c r="J8" i="226" s="1"/>
  <c r="C121" i="183"/>
  <c r="L22" i="130"/>
  <c r="J22" i="130" s="1"/>
  <c r="O78" i="201"/>
  <c r="H78" i="201"/>
  <c r="J78" i="201"/>
  <c r="K78" i="201"/>
  <c r="I78" i="201"/>
  <c r="M78" i="201"/>
  <c r="L78" i="201"/>
  <c r="N78" i="201"/>
  <c r="N15" i="216"/>
  <c r="M15" i="216" s="1"/>
  <c r="N23" i="221"/>
  <c r="M23" i="221" s="1"/>
  <c r="N24" i="224"/>
  <c r="M24" i="224" s="1"/>
  <c r="J73" i="201"/>
  <c r="L73" i="201"/>
  <c r="K73" i="201"/>
  <c r="O73" i="201"/>
  <c r="G73" i="201"/>
  <c r="H73" i="201"/>
  <c r="I73" i="201"/>
  <c r="N73" i="201"/>
  <c r="M73" i="201"/>
  <c r="N13" i="221"/>
  <c r="M13" i="221" s="1"/>
  <c r="L13" i="221" s="1"/>
  <c r="J13" i="221" s="1"/>
  <c r="N17" i="226"/>
  <c r="M17" i="226" s="1"/>
  <c r="L15" i="377"/>
  <c r="J15" i="377" s="1"/>
  <c r="E15" i="377" s="1"/>
  <c r="D15" i="377" s="1"/>
  <c r="L19" i="377"/>
  <c r="J19" i="377" s="1"/>
  <c r="E19" i="377" s="1"/>
  <c r="D19" i="377" s="1"/>
  <c r="K90" i="201"/>
  <c r="J90" i="201"/>
  <c r="O90" i="201"/>
  <c r="M90" i="201"/>
  <c r="N90" i="201"/>
  <c r="L90" i="201"/>
  <c r="L22" i="375"/>
  <c r="J22" i="375" s="1"/>
  <c r="E22" i="375" s="1"/>
  <c r="D22" i="375" s="1"/>
  <c r="C120" i="201"/>
  <c r="C123" i="258"/>
  <c r="C120" i="183"/>
  <c r="N10" i="226"/>
  <c r="M10" i="226" s="1"/>
  <c r="L10" i="226" s="1"/>
  <c r="J10" i="226" s="1"/>
  <c r="K89" i="201"/>
  <c r="M89" i="201"/>
  <c r="O89" i="201"/>
  <c r="J89" i="201"/>
  <c r="N89" i="201"/>
  <c r="L89" i="201"/>
  <c r="BD13" i="126"/>
  <c r="AP14" i="126" s="1"/>
  <c r="Z90" i="67"/>
  <c r="AA90" i="67"/>
  <c r="AB90" i="67" s="1"/>
  <c r="N11" i="218"/>
  <c r="M11" i="218" s="1"/>
  <c r="C103" i="183"/>
  <c r="C103" i="201"/>
  <c r="C106" i="258"/>
  <c r="N8" i="218"/>
  <c r="M8" i="218" s="1"/>
  <c r="L8" i="218" s="1"/>
  <c r="J8" i="218" s="1"/>
  <c r="N56" i="258"/>
  <c r="H56" i="258"/>
  <c r="J56" i="258"/>
  <c r="L56" i="258"/>
  <c r="M56" i="258"/>
  <c r="D56" i="258"/>
  <c r="F56" i="258"/>
  <c r="E56" i="258"/>
  <c r="I56" i="258"/>
  <c r="K56" i="258"/>
  <c r="O56" i="258"/>
  <c r="G56" i="258"/>
  <c r="O11" i="214"/>
  <c r="H11" i="214"/>
  <c r="G11" i="214" s="1"/>
  <c r="F11" i="214" s="1"/>
  <c r="N24" i="221"/>
  <c r="M24" i="221" s="1"/>
  <c r="L77" i="201"/>
  <c r="O77" i="201"/>
  <c r="I77" i="201"/>
  <c r="H77" i="201"/>
  <c r="K77" i="201"/>
  <c r="N77" i="201"/>
  <c r="M77" i="201"/>
  <c r="J77" i="201"/>
  <c r="BD11" i="126"/>
  <c r="AP12" i="126" s="1"/>
  <c r="AA88" i="67"/>
  <c r="Z88" i="67"/>
  <c r="L36" i="205"/>
  <c r="AB35" i="205"/>
  <c r="N11" i="221"/>
  <c r="M11" i="221" s="1"/>
  <c r="L11" i="221" s="1"/>
  <c r="J11" i="221" s="1"/>
  <c r="C112" i="258"/>
  <c r="C109" i="183"/>
  <c r="C109" i="201"/>
  <c r="N8" i="221"/>
  <c r="M8" i="221" s="1"/>
  <c r="L8" i="221" s="1"/>
  <c r="J8" i="221" s="1"/>
  <c r="Y128" i="48"/>
  <c r="N92" i="48"/>
  <c r="N92" i="201"/>
  <c r="L92" i="201"/>
  <c r="K92" i="201"/>
  <c r="J92" i="201"/>
  <c r="M92" i="201"/>
  <c r="O92" i="201"/>
  <c r="N11" i="224"/>
  <c r="M11" i="224" s="1"/>
  <c r="C118" i="258"/>
  <c r="C115" i="201"/>
  <c r="C115" i="183"/>
  <c r="N8" i="224"/>
  <c r="M8" i="224" s="1"/>
  <c r="L8" i="224" s="1"/>
  <c r="J8" i="224" s="1"/>
  <c r="L15" i="325"/>
  <c r="J15" i="325" s="1"/>
  <c r="E15" i="325" s="1"/>
  <c r="D15" i="325" s="1"/>
  <c r="L19" i="325"/>
  <c r="J19" i="325" s="1"/>
  <c r="E19" i="325" s="1"/>
  <c r="D19" i="325" s="1"/>
  <c r="J72" i="201"/>
  <c r="H72" i="201"/>
  <c r="O72" i="201"/>
  <c r="I72" i="201"/>
  <c r="M72" i="201"/>
  <c r="N72" i="201"/>
  <c r="G72" i="201"/>
  <c r="L72" i="201"/>
  <c r="K72" i="201"/>
  <c r="G58" i="258"/>
  <c r="J58" i="258"/>
  <c r="D58" i="258"/>
  <c r="H58" i="258"/>
  <c r="O58" i="258"/>
  <c r="E58" i="258"/>
  <c r="F58" i="258"/>
  <c r="I58" i="258"/>
  <c r="M58" i="258"/>
  <c r="L58" i="258"/>
  <c r="N58" i="258"/>
  <c r="K58" i="258"/>
  <c r="L18" i="370"/>
  <c r="J18" i="370" s="1"/>
  <c r="E18" i="370" s="1"/>
  <c r="D18" i="370" s="1"/>
  <c r="H9" i="216"/>
  <c r="G9" i="216" s="1"/>
  <c r="F9" i="216" s="1"/>
  <c r="O9" i="216"/>
  <c r="L13" i="375"/>
  <c r="J13" i="375" s="1"/>
  <c r="E13" i="375" s="1"/>
  <c r="D13" i="375" s="1"/>
  <c r="R98" i="347"/>
  <c r="Q98" i="347" s="1"/>
  <c r="P98" i="347" s="1"/>
  <c r="K98" i="347"/>
  <c r="J98" i="347" s="1"/>
  <c r="I98" i="347" s="1"/>
  <c r="N14" i="221"/>
  <c r="M14" i="221" s="1"/>
  <c r="N19" i="216"/>
  <c r="M19" i="216" s="1"/>
  <c r="P27" i="325"/>
  <c r="O26" i="325"/>
  <c r="N26" i="325" s="1"/>
  <c r="M26" i="325" s="1"/>
  <c r="L24" i="325" s="1"/>
  <c r="J24" i="325" s="1"/>
  <c r="E24" i="325" s="1"/>
  <c r="D24" i="325" s="1"/>
  <c r="H26" i="325"/>
  <c r="G26" i="325" s="1"/>
  <c r="F26" i="325" s="1"/>
  <c r="L17" i="377"/>
  <c r="J17" i="377" s="1"/>
  <c r="E17" i="377" s="1"/>
  <c r="D17" i="377" s="1"/>
  <c r="N24" i="216"/>
  <c r="M24" i="216" s="1"/>
  <c r="C107" i="258"/>
  <c r="C104" i="201"/>
  <c r="N12" i="218"/>
  <c r="M12" i="218" s="1"/>
  <c r="L12" i="218" s="1"/>
  <c r="J12" i="218" s="1"/>
  <c r="C104" i="183"/>
  <c r="L22" i="377"/>
  <c r="J22" i="377" s="1"/>
  <c r="E22" i="377" s="1"/>
  <c r="D22" i="377" s="1"/>
  <c r="O26" i="224"/>
  <c r="N26" i="224" s="1"/>
  <c r="M26" i="224" s="1"/>
  <c r="H26" i="224"/>
  <c r="G26" i="224" s="1"/>
  <c r="F26" i="224" s="1"/>
  <c r="P27" i="224"/>
  <c r="O11" i="200"/>
  <c r="H11" i="200"/>
  <c r="G11" i="200" s="1"/>
  <c r="F11" i="200" s="1"/>
  <c r="O9" i="140"/>
  <c r="H9" i="140"/>
  <c r="G9" i="140" s="1"/>
  <c r="F9" i="140" s="1"/>
  <c r="N21" i="216"/>
  <c r="M21" i="216" s="1"/>
  <c r="L19" i="216" s="1"/>
  <c r="J19" i="216" s="1"/>
  <c r="L17" i="370"/>
  <c r="J17" i="370" s="1"/>
  <c r="E17" i="370" s="1"/>
  <c r="D17" i="370" s="1"/>
  <c r="C17" i="370" s="1"/>
  <c r="AU17" i="96" s="1"/>
  <c r="Q93" i="347"/>
  <c r="P93" i="347" s="1"/>
  <c r="O94" i="347" s="1"/>
  <c r="N17" i="216"/>
  <c r="M17" i="216" s="1"/>
  <c r="O26" i="216"/>
  <c r="N26" i="216" s="1"/>
  <c r="M26" i="216" s="1"/>
  <c r="H26" i="216"/>
  <c r="G26" i="216" s="1"/>
  <c r="F26" i="216" s="1"/>
  <c r="P27" i="216"/>
  <c r="Y121" i="48"/>
  <c r="N85" i="48"/>
  <c r="AA116" i="67"/>
  <c r="AB116" i="67" s="1"/>
  <c r="AC90" i="67" s="1"/>
  <c r="Z116" i="67"/>
  <c r="E53" i="201"/>
  <c r="G53" i="201"/>
  <c r="K53" i="201"/>
  <c r="O53" i="201"/>
  <c r="M53" i="201"/>
  <c r="N53" i="201"/>
  <c r="D53" i="201"/>
  <c r="L53" i="201"/>
  <c r="I53" i="201"/>
  <c r="J53" i="201"/>
  <c r="H53" i="201"/>
  <c r="F53" i="201"/>
  <c r="J94" i="258"/>
  <c r="N94" i="258"/>
  <c r="M94" i="258"/>
  <c r="K94" i="258"/>
  <c r="O94" i="258"/>
  <c r="L94" i="258"/>
  <c r="N80" i="258"/>
  <c r="H80" i="258"/>
  <c r="M80" i="258"/>
  <c r="O80" i="258"/>
  <c r="K80" i="258"/>
  <c r="I80" i="258"/>
  <c r="J80" i="258"/>
  <c r="L80" i="258"/>
  <c r="P13" i="413"/>
  <c r="O13" i="413" s="1"/>
  <c r="O92" i="347"/>
  <c r="O93" i="347"/>
  <c r="H26" i="134"/>
  <c r="G26" i="134" s="1"/>
  <c r="F26" i="134" s="1"/>
  <c r="P27" i="134"/>
  <c r="O26" i="134"/>
  <c r="L17" i="375"/>
  <c r="J17" i="375" s="1"/>
  <c r="E17" i="375" s="1"/>
  <c r="D17" i="375" s="1"/>
  <c r="L21" i="375"/>
  <c r="J21" i="375" s="1"/>
  <c r="E21" i="375" s="1"/>
  <c r="D21" i="375" s="1"/>
  <c r="P27" i="226"/>
  <c r="O26" i="226"/>
  <c r="N26" i="226" s="1"/>
  <c r="M26" i="226" s="1"/>
  <c r="H26" i="226"/>
  <c r="G26" i="226" s="1"/>
  <c r="F26" i="226" s="1"/>
  <c r="Z114" i="67"/>
  <c r="AA114" i="67"/>
  <c r="BD15" i="126"/>
  <c r="AP16" i="126" s="1"/>
  <c r="AA92" i="67"/>
  <c r="AB92" i="67" s="1"/>
  <c r="Z92" i="67"/>
  <c r="I69" i="258"/>
  <c r="G69" i="258"/>
  <c r="H69" i="258"/>
  <c r="M69" i="258"/>
  <c r="J69" i="258"/>
  <c r="K69" i="258"/>
  <c r="F69" i="258"/>
  <c r="L69" i="258"/>
  <c r="O69" i="258"/>
  <c r="N69" i="258"/>
  <c r="H26" i="221"/>
  <c r="G26" i="221" s="1"/>
  <c r="F26" i="221" s="1"/>
  <c r="O26" i="221"/>
  <c r="N26" i="221" s="1"/>
  <c r="M26" i="221" s="1"/>
  <c r="P27" i="221"/>
  <c r="O12" i="214"/>
  <c r="H12" i="214"/>
  <c r="G12" i="214" s="1"/>
  <c r="F12" i="214" s="1"/>
  <c r="L20" i="325"/>
  <c r="J20" i="325" s="1"/>
  <c r="E20" i="325" s="1"/>
  <c r="D20" i="325" s="1"/>
  <c r="O10" i="200"/>
  <c r="N19" i="200" s="1"/>
  <c r="M19" i="200" s="1"/>
  <c r="H10" i="200"/>
  <c r="G10" i="200" s="1"/>
  <c r="F10" i="200" s="1"/>
  <c r="Y133" i="48"/>
  <c r="N97" i="48"/>
  <c r="H10" i="216"/>
  <c r="G10" i="216" s="1"/>
  <c r="F10" i="216" s="1"/>
  <c r="O10" i="216"/>
  <c r="N98" i="258"/>
  <c r="L98" i="258"/>
  <c r="O98" i="258"/>
  <c r="K98" i="258"/>
  <c r="M98" i="258"/>
  <c r="C105" i="258"/>
  <c r="N10" i="218"/>
  <c r="M10" i="218" s="1"/>
  <c r="L10" i="218" s="1"/>
  <c r="J10" i="218" s="1"/>
  <c r="C102" i="201"/>
  <c r="C102" i="183"/>
  <c r="BD23" i="126"/>
  <c r="AP24" i="126" s="1"/>
  <c r="Z100" i="67"/>
  <c r="AA100" i="67"/>
  <c r="AB100" i="67" s="1"/>
  <c r="N18" i="200"/>
  <c r="M18" i="200" s="1"/>
  <c r="L22" i="325"/>
  <c r="J22" i="325" s="1"/>
  <c r="E22" i="325" s="1"/>
  <c r="D22" i="325" s="1"/>
  <c r="L23" i="377"/>
  <c r="J23" i="377" s="1"/>
  <c r="E23" i="377" s="1"/>
  <c r="D23" i="377" s="1"/>
  <c r="Y126" i="48"/>
  <c r="N90" i="48"/>
  <c r="C113" i="258"/>
  <c r="C110" i="183"/>
  <c r="C110" i="201"/>
  <c r="N12" i="221"/>
  <c r="M12" i="221" s="1"/>
  <c r="L12" i="221" s="1"/>
  <c r="J12" i="221" s="1"/>
  <c r="L19" i="375"/>
  <c r="J19" i="375" s="1"/>
  <c r="E19" i="375" s="1"/>
  <c r="D19" i="375" s="1"/>
  <c r="L14" i="325"/>
  <c r="J14" i="325" s="1"/>
  <c r="E14" i="325" s="1"/>
  <c r="D14" i="325" s="1"/>
  <c r="L18" i="325"/>
  <c r="J18" i="325" s="1"/>
  <c r="E18" i="325" s="1"/>
  <c r="D18" i="325" s="1"/>
  <c r="N22" i="221"/>
  <c r="M22" i="221" s="1"/>
  <c r="N16" i="226"/>
  <c r="M16" i="226" s="1"/>
  <c r="L17" i="325"/>
  <c r="J17" i="325" s="1"/>
  <c r="E17" i="325" s="1"/>
  <c r="D17" i="325" s="1"/>
  <c r="H26" i="377"/>
  <c r="G26" i="377" s="1"/>
  <c r="F26" i="377" s="1"/>
  <c r="O26" i="377"/>
  <c r="N26" i="377" s="1"/>
  <c r="M26" i="377" s="1"/>
  <c r="L24" i="377" s="1"/>
  <c r="J24" i="377" s="1"/>
  <c r="E24" i="377" s="1"/>
  <c r="D24" i="377" s="1"/>
  <c r="P27" i="377"/>
  <c r="N76" i="258"/>
  <c r="K76" i="258"/>
  <c r="I76" i="258"/>
  <c r="H76" i="258"/>
  <c r="O76" i="258"/>
  <c r="M76" i="258"/>
  <c r="L76" i="258"/>
  <c r="J76" i="258"/>
  <c r="G76" i="258"/>
  <c r="C114" i="183"/>
  <c r="C117" i="258"/>
  <c r="N10" i="224"/>
  <c r="M10" i="224" s="1"/>
  <c r="L10" i="224" s="1"/>
  <c r="J10" i="224" s="1"/>
  <c r="C114" i="201"/>
  <c r="G65" i="201"/>
  <c r="O65" i="201"/>
  <c r="I65" i="201"/>
  <c r="N65" i="201"/>
  <c r="F65" i="201"/>
  <c r="H65" i="201"/>
  <c r="M65" i="201"/>
  <c r="J65" i="201"/>
  <c r="K65" i="201"/>
  <c r="L65" i="201"/>
  <c r="BD16" i="126"/>
  <c r="AP17" i="126" s="1"/>
  <c r="Z93" i="67"/>
  <c r="AA93" i="67"/>
  <c r="AB93" i="67" s="1"/>
  <c r="BD21" i="126"/>
  <c r="AP22" i="126" s="1"/>
  <c r="AA98" i="67"/>
  <c r="AB98" i="67" s="1"/>
  <c r="Z98" i="67"/>
  <c r="Y117" i="48"/>
  <c r="N81" i="48"/>
  <c r="N19" i="20"/>
  <c r="M19" i="20" s="1"/>
  <c r="L19" i="20" s="1"/>
  <c r="U19" i="20"/>
  <c r="N19" i="224"/>
  <c r="M19" i="224" s="1"/>
  <c r="L20" i="224" s="1"/>
  <c r="J20" i="224" s="1"/>
  <c r="Y122" i="48"/>
  <c r="N86" i="48"/>
  <c r="L16" i="377"/>
  <c r="J16" i="377" s="1"/>
  <c r="E16" i="377" s="1"/>
  <c r="D16" i="377" s="1"/>
  <c r="O9" i="130"/>
  <c r="N9" i="130" s="1"/>
  <c r="M9" i="130" s="1"/>
  <c r="H9" i="130"/>
  <c r="G9" i="130" s="1"/>
  <c r="F9" i="130" s="1"/>
  <c r="Y125" i="48"/>
  <c r="N89" i="48"/>
  <c r="L13" i="325"/>
  <c r="J13" i="325" s="1"/>
  <c r="E13" i="325" s="1"/>
  <c r="D13" i="325" s="1"/>
  <c r="M90" i="347"/>
  <c r="H90" i="347" s="1"/>
  <c r="G90" i="347" s="1"/>
  <c r="T12" i="96"/>
  <c r="K96" i="347"/>
  <c r="J96" i="347" s="1"/>
  <c r="I96" i="347" s="1"/>
  <c r="R96" i="347"/>
  <c r="Q96" i="347" s="1"/>
  <c r="P96" i="347" s="1"/>
  <c r="M86" i="201"/>
  <c r="L86" i="201"/>
  <c r="J86" i="201"/>
  <c r="K86" i="201"/>
  <c r="I86" i="201"/>
  <c r="N86" i="201"/>
  <c r="O86" i="201"/>
  <c r="N56" i="201"/>
  <c r="H56" i="201"/>
  <c r="O56" i="201"/>
  <c r="E56" i="201"/>
  <c r="G56" i="201"/>
  <c r="L56" i="201"/>
  <c r="M56" i="201"/>
  <c r="D56" i="201"/>
  <c r="F56" i="201"/>
  <c r="J56" i="201"/>
  <c r="K56" i="201"/>
  <c r="I56" i="201"/>
  <c r="Z118" i="67"/>
  <c r="AA118" i="67"/>
  <c r="AB118" i="67" s="1"/>
  <c r="AC92" i="67" s="1"/>
  <c r="I66" i="201"/>
  <c r="M66" i="201"/>
  <c r="G66" i="201"/>
  <c r="J66" i="201"/>
  <c r="L66" i="201"/>
  <c r="N66" i="201"/>
  <c r="H66" i="201"/>
  <c r="F66" i="201"/>
  <c r="O66" i="201"/>
  <c r="K66" i="201"/>
  <c r="L14" i="218"/>
  <c r="J14" i="218" s="1"/>
  <c r="L18" i="218"/>
  <c r="J18" i="218" s="1"/>
  <c r="N22" i="200"/>
  <c r="M22" i="200" s="1"/>
  <c r="N25" i="221"/>
  <c r="M25" i="221" s="1"/>
  <c r="L16" i="226"/>
  <c r="J16" i="226" s="1"/>
  <c r="O96" i="201"/>
  <c r="K96" i="201"/>
  <c r="L96" i="201"/>
  <c r="N96" i="201"/>
  <c r="M96" i="201"/>
  <c r="O77" i="258"/>
  <c r="G77" i="258"/>
  <c r="K77" i="258"/>
  <c r="J77" i="258"/>
  <c r="L77" i="258"/>
  <c r="H77" i="258"/>
  <c r="I77" i="258"/>
  <c r="M77" i="258"/>
  <c r="N77" i="258"/>
  <c r="N95" i="201"/>
  <c r="M95" i="201"/>
  <c r="L95" i="201"/>
  <c r="O95" i="201"/>
  <c r="K95" i="201"/>
  <c r="L19" i="370"/>
  <c r="J19" i="370" s="1"/>
  <c r="E19" i="370" s="1"/>
  <c r="D19" i="370" s="1"/>
  <c r="Z126" i="67"/>
  <c r="AA126" i="67"/>
  <c r="AB126" i="67" s="1"/>
  <c r="AC100" i="67" s="1"/>
  <c r="G71" i="201"/>
  <c r="L71" i="201"/>
  <c r="N71" i="201"/>
  <c r="K71" i="201"/>
  <c r="I71" i="201"/>
  <c r="M71" i="201"/>
  <c r="O71" i="201"/>
  <c r="J71" i="201"/>
  <c r="H71" i="201"/>
  <c r="N21" i="224"/>
  <c r="M21" i="224" s="1"/>
  <c r="L15" i="130"/>
  <c r="J15" i="130" s="1"/>
  <c r="N14" i="216"/>
  <c r="M14" i="216" s="1"/>
  <c r="L14" i="216" s="1"/>
  <c r="J14" i="216" s="1"/>
  <c r="N25" i="224"/>
  <c r="M25" i="224" s="1"/>
  <c r="Q102" i="347"/>
  <c r="P102" i="347" s="1"/>
  <c r="M86" i="258"/>
  <c r="N86" i="258"/>
  <c r="L86" i="258"/>
  <c r="J86" i="258"/>
  <c r="K86" i="258"/>
  <c r="I86" i="258"/>
  <c r="O86" i="258"/>
  <c r="N21" i="200"/>
  <c r="M21" i="200" s="1"/>
  <c r="N68" i="258"/>
  <c r="O68" i="258"/>
  <c r="G68" i="258"/>
  <c r="I68" i="258"/>
  <c r="K68" i="258"/>
  <c r="H68" i="258"/>
  <c r="L68" i="258"/>
  <c r="M68" i="258"/>
  <c r="F68" i="258"/>
  <c r="J68" i="258"/>
  <c r="L19" i="130"/>
  <c r="J19" i="130" s="1"/>
  <c r="C119" i="258"/>
  <c r="C116" i="183"/>
  <c r="N12" i="224"/>
  <c r="M12" i="224" s="1"/>
  <c r="L12" i="224" s="1"/>
  <c r="J12" i="224" s="1"/>
  <c r="C116" i="201"/>
  <c r="AA119" i="67"/>
  <c r="Z119" i="67"/>
  <c r="AA124" i="67"/>
  <c r="AB124" i="67" s="1"/>
  <c r="AC98" i="67" s="1"/>
  <c r="Z124" i="67"/>
  <c r="C122" i="258"/>
  <c r="C119" i="201"/>
  <c r="N9" i="226"/>
  <c r="M9" i="226" s="1"/>
  <c r="L9" i="226" s="1"/>
  <c r="J9" i="226" s="1"/>
  <c r="C119" i="183"/>
  <c r="N25" i="216"/>
  <c r="M25" i="216" s="1"/>
  <c r="N23" i="224"/>
  <c r="M23" i="224" s="1"/>
  <c r="L19" i="365"/>
  <c r="J19" i="365" s="1"/>
  <c r="E19" i="365" s="1"/>
  <c r="D19" i="365" s="1"/>
  <c r="N17" i="221"/>
  <c r="M17" i="221" s="1"/>
  <c r="L17" i="130"/>
  <c r="J17" i="130" s="1"/>
  <c r="C17" i="377"/>
  <c r="AY17" i="96" s="1"/>
  <c r="N13" i="200"/>
  <c r="M13" i="200" s="1"/>
  <c r="K101" i="347"/>
  <c r="J101" i="347" s="1"/>
  <c r="I101" i="347" s="1"/>
  <c r="R101" i="347"/>
  <c r="Q101" i="347" s="1"/>
  <c r="P101" i="347" s="1"/>
  <c r="L20" i="365"/>
  <c r="J20" i="365" s="1"/>
  <c r="E20" i="365" s="1"/>
  <c r="D20" i="365" s="1"/>
  <c r="AA125" i="67"/>
  <c r="AB125" i="67" s="1"/>
  <c r="AC99" i="67" s="1"/>
  <c r="Z125" i="67"/>
  <c r="O57" i="258"/>
  <c r="K57" i="258"/>
  <c r="H57" i="258"/>
  <c r="I57" i="258"/>
  <c r="D57" i="258"/>
  <c r="F57" i="258"/>
  <c r="J57" i="258"/>
  <c r="E57" i="258"/>
  <c r="L57" i="258"/>
  <c r="M57" i="258"/>
  <c r="G57" i="258"/>
  <c r="N57" i="258"/>
  <c r="L15" i="218"/>
  <c r="J15" i="218" s="1"/>
  <c r="L19" i="218"/>
  <c r="J19" i="218" s="1"/>
  <c r="H12" i="209"/>
  <c r="G12" i="209" s="1"/>
  <c r="F12" i="209" s="1"/>
  <c r="O12" i="209"/>
  <c r="O12" i="130"/>
  <c r="N12" i="130" s="1"/>
  <c r="M12" i="130" s="1"/>
  <c r="L14" i="130" s="1"/>
  <c r="J14" i="130" s="1"/>
  <c r="E14" i="130" s="1"/>
  <c r="D14" i="130" s="1"/>
  <c r="H12" i="130"/>
  <c r="G12" i="130" s="1"/>
  <c r="F12" i="130" s="1"/>
  <c r="H10" i="140"/>
  <c r="G10" i="140" s="1"/>
  <c r="F10" i="140" s="1"/>
  <c r="O10" i="140"/>
  <c r="L14" i="375"/>
  <c r="J14" i="375" s="1"/>
  <c r="E14" i="375" s="1"/>
  <c r="D14" i="375" s="1"/>
  <c r="L18" i="375"/>
  <c r="J18" i="375" s="1"/>
  <c r="E18" i="375" s="1"/>
  <c r="D18" i="375" s="1"/>
  <c r="L17" i="373"/>
  <c r="J17" i="373" s="1"/>
  <c r="E17" i="373" s="1"/>
  <c r="D17" i="373" s="1"/>
  <c r="M99" i="258"/>
  <c r="O99" i="258"/>
  <c r="L99" i="258"/>
  <c r="K99" i="258"/>
  <c r="N99" i="258"/>
  <c r="K74" i="201"/>
  <c r="J74" i="201"/>
  <c r="M74" i="201"/>
  <c r="H74" i="201"/>
  <c r="L74" i="201"/>
  <c r="G74" i="201"/>
  <c r="N74" i="201"/>
  <c r="I74" i="201"/>
  <c r="O74" i="201"/>
  <c r="I87" i="258"/>
  <c r="J87" i="258"/>
  <c r="N87" i="258"/>
  <c r="L87" i="258"/>
  <c r="K87" i="258"/>
  <c r="M87" i="258"/>
  <c r="O87" i="258"/>
  <c r="I74" i="258"/>
  <c r="L74" i="258"/>
  <c r="N74" i="258"/>
  <c r="K74" i="258"/>
  <c r="O74" i="258"/>
  <c r="M74" i="258"/>
  <c r="J74" i="258"/>
  <c r="H74" i="258"/>
  <c r="G74" i="258"/>
  <c r="N13" i="224"/>
  <c r="M13" i="224" s="1"/>
  <c r="L15" i="224" s="1"/>
  <c r="J15" i="224" s="1"/>
  <c r="N16" i="221"/>
  <c r="M16" i="221" s="1"/>
  <c r="Y131" i="48"/>
  <c r="N95" i="48"/>
  <c r="P27" i="209"/>
  <c r="H26" i="209"/>
  <c r="G26" i="209" s="1"/>
  <c r="F26" i="209" s="1"/>
  <c r="O26" i="209"/>
  <c r="Y120" i="48"/>
  <c r="N84" i="48"/>
  <c r="N17" i="200"/>
  <c r="M17" i="200" s="1"/>
  <c r="L21" i="377"/>
  <c r="J21" i="377" s="1"/>
  <c r="E21" i="377" s="1"/>
  <c r="D21" i="377" s="1"/>
  <c r="C18" i="377" s="1"/>
  <c r="AY18" i="96" s="1"/>
  <c r="G67" i="201"/>
  <c r="O67" i="201"/>
  <c r="K67" i="201"/>
  <c r="L67" i="201"/>
  <c r="M67" i="201"/>
  <c r="F67" i="201"/>
  <c r="J67" i="201"/>
  <c r="I67" i="201"/>
  <c r="H67" i="201"/>
  <c r="N67" i="201"/>
  <c r="N22" i="226"/>
  <c r="M22" i="226" s="1"/>
  <c r="L23" i="226" s="1"/>
  <c r="J23" i="226" s="1"/>
  <c r="C101" i="201"/>
  <c r="C104" i="258"/>
  <c r="N9" i="218"/>
  <c r="M9" i="218" s="1"/>
  <c r="L9" i="218" s="1"/>
  <c r="J9" i="218" s="1"/>
  <c r="C101" i="183"/>
  <c r="N16" i="224"/>
  <c r="M16" i="224" s="1"/>
  <c r="H80" i="201"/>
  <c r="O80" i="201"/>
  <c r="J80" i="201"/>
  <c r="K80" i="201"/>
  <c r="N80" i="201"/>
  <c r="M80" i="201"/>
  <c r="L80" i="201"/>
  <c r="I80" i="201"/>
  <c r="N20" i="221"/>
  <c r="M20" i="221" s="1"/>
  <c r="N22" i="216"/>
  <c r="M22" i="216" s="1"/>
  <c r="L20" i="216" s="1"/>
  <c r="J20" i="216" s="1"/>
  <c r="K83" i="201"/>
  <c r="O83" i="201"/>
  <c r="L83" i="201"/>
  <c r="M83" i="201"/>
  <c r="N83" i="201"/>
  <c r="J83" i="201"/>
  <c r="I83" i="201"/>
  <c r="K68" i="201"/>
  <c r="F68" i="201"/>
  <c r="N68" i="201"/>
  <c r="L68" i="201"/>
  <c r="I68" i="201"/>
  <c r="M68" i="201"/>
  <c r="O68" i="201"/>
  <c r="J68" i="201"/>
  <c r="G68" i="201"/>
  <c r="H68" i="201"/>
  <c r="H26" i="218"/>
  <c r="G26" i="218" s="1"/>
  <c r="F26" i="218" s="1"/>
  <c r="O26" i="218"/>
  <c r="N26" i="218" s="1"/>
  <c r="M26" i="218" s="1"/>
  <c r="P27" i="218"/>
  <c r="L17" i="365"/>
  <c r="J17" i="365" s="1"/>
  <c r="E17" i="365" s="1"/>
  <c r="D17" i="365" s="1"/>
  <c r="C20" i="365" s="1"/>
  <c r="L15" i="373"/>
  <c r="J15" i="373" s="1"/>
  <c r="E15" i="373" s="1"/>
  <c r="D15" i="373" s="1"/>
  <c r="C17" i="373" s="1"/>
  <c r="AV17" i="96" s="1"/>
  <c r="L19" i="373"/>
  <c r="J19" i="373" s="1"/>
  <c r="E19" i="373" s="1"/>
  <c r="D19" i="373" s="1"/>
  <c r="BD14" i="126"/>
  <c r="AP15" i="126" s="1"/>
  <c r="AA91" i="67"/>
  <c r="AB91" i="67" s="1"/>
  <c r="Z91" i="67"/>
  <c r="N20" i="224"/>
  <c r="M20" i="224" s="1"/>
  <c r="AA120" i="67"/>
  <c r="AB120" i="67" s="1"/>
  <c r="Z120" i="67"/>
  <c r="Y132" i="48"/>
  <c r="N96" i="48"/>
  <c r="L20" i="130"/>
  <c r="J20" i="130" s="1"/>
  <c r="L21" i="373"/>
  <c r="J21" i="373" s="1"/>
  <c r="E21" i="373" s="1"/>
  <c r="D21" i="373" s="1"/>
  <c r="P15" i="413"/>
  <c r="O15" i="413" s="1"/>
  <c r="P8" i="413"/>
  <c r="O8" i="413" s="1"/>
  <c r="L8" i="413" s="1"/>
  <c r="G8" i="413" s="1"/>
  <c r="P17" i="413"/>
  <c r="O17" i="413" s="1"/>
  <c r="C60" i="201"/>
  <c r="P25" i="413"/>
  <c r="O25" i="413" s="1"/>
  <c r="C61" i="183"/>
  <c r="P11" i="413"/>
  <c r="O11" i="413" s="1"/>
  <c r="L11" i="413" s="1"/>
  <c r="G11" i="413" s="1"/>
  <c r="P14" i="413"/>
  <c r="O14" i="413" s="1"/>
  <c r="P18" i="413"/>
  <c r="O18" i="413" s="1"/>
  <c r="P24" i="413"/>
  <c r="O24" i="413" s="1"/>
  <c r="P21" i="413"/>
  <c r="O21" i="413" s="1"/>
  <c r="P20" i="413"/>
  <c r="O20" i="413" s="1"/>
  <c r="C64" i="258"/>
  <c r="P23" i="413"/>
  <c r="O23" i="413" s="1"/>
  <c r="C62" i="201"/>
  <c r="C62" i="183"/>
  <c r="Q9" i="413"/>
  <c r="P9" i="413" s="1"/>
  <c r="O9" i="413" s="1"/>
  <c r="L9" i="413" s="1"/>
  <c r="G9" i="413" s="1"/>
  <c r="Q12" i="413"/>
  <c r="P12" i="413" s="1"/>
  <c r="O12" i="413" s="1"/>
  <c r="L12" i="413" s="1"/>
  <c r="G12" i="413" s="1"/>
  <c r="R27" i="413"/>
  <c r="J27" i="413" s="1"/>
  <c r="I27" i="413" s="1"/>
  <c r="H27" i="413" s="1"/>
  <c r="Q26" i="413"/>
  <c r="P26" i="413" s="1"/>
  <c r="O26" i="413" s="1"/>
  <c r="Q10" i="413"/>
  <c r="P10" i="413" s="1"/>
  <c r="O10" i="413" s="1"/>
  <c r="L10" i="413" s="1"/>
  <c r="G10" i="413" s="1"/>
  <c r="H38" i="258"/>
  <c r="I38" i="258"/>
  <c r="K38" i="258"/>
  <c r="M38" i="258"/>
  <c r="G38" i="258"/>
  <c r="F38" i="258"/>
  <c r="D38" i="258"/>
  <c r="E38" i="258"/>
  <c r="O38" i="258"/>
  <c r="J38" i="258"/>
  <c r="L38" i="258"/>
  <c r="N38" i="258"/>
  <c r="J35" i="201"/>
  <c r="G35" i="201"/>
  <c r="H35" i="201"/>
  <c r="I35" i="201"/>
  <c r="F35" i="201"/>
  <c r="E35" i="201"/>
  <c r="D35" i="201"/>
  <c r="M35" i="201"/>
  <c r="K35" i="201"/>
  <c r="N35" i="201"/>
  <c r="O35" i="201"/>
  <c r="L35" i="201"/>
  <c r="N41" i="258"/>
  <c r="H41" i="258"/>
  <c r="O41" i="258"/>
  <c r="K41" i="258"/>
  <c r="M41" i="258"/>
  <c r="E41" i="258"/>
  <c r="I41" i="258"/>
  <c r="L41" i="258"/>
  <c r="J41" i="258"/>
  <c r="F41" i="258"/>
  <c r="D41" i="258"/>
  <c r="G41" i="258"/>
  <c r="N38" i="201"/>
  <c r="I38" i="201"/>
  <c r="K38" i="201"/>
  <c r="D38" i="201"/>
  <c r="G38" i="201"/>
  <c r="M38" i="201"/>
  <c r="F38" i="201"/>
  <c r="J38" i="201"/>
  <c r="O38" i="201"/>
  <c r="H38" i="201"/>
  <c r="L38" i="201"/>
  <c r="E38" i="201"/>
  <c r="K39" i="258"/>
  <c r="F39" i="258"/>
  <c r="I39" i="258"/>
  <c r="J39" i="258"/>
  <c r="N39" i="258"/>
  <c r="O39" i="258"/>
  <c r="H39" i="258"/>
  <c r="G39" i="258"/>
  <c r="M39" i="258"/>
  <c r="L39" i="258"/>
  <c r="E39" i="258"/>
  <c r="D39" i="258"/>
  <c r="E36" i="201"/>
  <c r="F36" i="201"/>
  <c r="M36" i="201"/>
  <c r="G36" i="201"/>
  <c r="H36" i="201"/>
  <c r="D36" i="201"/>
  <c r="L36" i="201"/>
  <c r="O36" i="201"/>
  <c r="K36" i="201"/>
  <c r="I36" i="201"/>
  <c r="N36" i="201"/>
  <c r="J36" i="201"/>
  <c r="F31" i="301"/>
  <c r="B30" i="301"/>
  <c r="C7" i="247"/>
  <c r="W79" i="48" s="1"/>
  <c r="I7" i="247"/>
  <c r="V83" i="51" s="1"/>
  <c r="N83" i="51" s="1"/>
  <c r="F7" i="247"/>
  <c r="W79" i="98" s="1"/>
  <c r="M79" i="98" s="1"/>
  <c r="S7" i="247"/>
  <c r="V84" i="60" s="1"/>
  <c r="M84" i="60" s="1"/>
  <c r="T7" i="247"/>
  <c r="W85" i="35" s="1"/>
  <c r="N85" i="35" s="1"/>
  <c r="M7" i="247"/>
  <c r="V82" i="59" s="1"/>
  <c r="M82" i="59" s="1"/>
  <c r="P7" i="247"/>
  <c r="X87" i="33" s="1"/>
  <c r="M87" i="33" s="1"/>
  <c r="K7" i="247"/>
  <c r="V84" i="62" s="1"/>
  <c r="N84" i="62" s="1"/>
  <c r="J7" i="247"/>
  <c r="U84" i="52" s="1"/>
  <c r="M84" i="52" s="1"/>
  <c r="D7" i="247"/>
  <c r="V82" i="55" s="1"/>
  <c r="M82" i="55" s="1"/>
  <c r="Q7" i="247"/>
  <c r="V87" i="64" s="1"/>
  <c r="M87" i="64" s="1"/>
  <c r="W7" i="247"/>
  <c r="X84" i="66" s="1"/>
  <c r="M84" i="66" s="1"/>
  <c r="U7" i="247"/>
  <c r="V84" i="61" s="1"/>
  <c r="M84" i="61" s="1"/>
  <c r="H7" i="247"/>
  <c r="V82" i="53" s="1"/>
  <c r="M82" i="53" s="1"/>
  <c r="R7" i="247"/>
  <c r="V79" i="49" s="1"/>
  <c r="M79" i="49" s="1"/>
  <c r="N79" i="49" s="1"/>
  <c r="E7" i="247"/>
  <c r="V80" i="57" s="1"/>
  <c r="M80" i="57" s="1"/>
  <c r="B7" i="247"/>
  <c r="W141" i="37" s="1"/>
  <c r="M141" i="37" s="1"/>
  <c r="L7" i="247"/>
  <c r="V82" i="58" s="1"/>
  <c r="M82" i="58" s="1"/>
  <c r="N7" i="247"/>
  <c r="U84" i="63" s="1"/>
  <c r="M84" i="63" s="1"/>
  <c r="G7" i="247"/>
  <c r="W80" i="54" s="1"/>
  <c r="M80" i="54" s="1"/>
  <c r="O7" i="247"/>
  <c r="V87" i="65" s="1"/>
  <c r="M87" i="65" s="1"/>
  <c r="V7" i="247"/>
  <c r="V81" i="50" s="1"/>
  <c r="M81" i="50" s="1"/>
  <c r="L13" i="216" l="1"/>
  <c r="J13" i="216"/>
  <c r="T16" i="96"/>
  <c r="M94" i="347"/>
  <c r="H94" i="347" s="1"/>
  <c r="G94" i="347" s="1"/>
  <c r="Z125" i="64"/>
  <c r="N87" i="64"/>
  <c r="AA119" i="55"/>
  <c r="N82" i="55"/>
  <c r="R79" i="49"/>
  <c r="S79" i="49"/>
  <c r="Z118" i="53"/>
  <c r="N82" i="53"/>
  <c r="Z125" i="65"/>
  <c r="N87" i="65"/>
  <c r="Z122" i="61"/>
  <c r="N84" i="61"/>
  <c r="AA123" i="35"/>
  <c r="O85" i="35"/>
  <c r="AB132" i="48"/>
  <c r="AD132" i="48" s="1"/>
  <c r="R96" i="48"/>
  <c r="P24" i="126" s="1"/>
  <c r="T96" i="48"/>
  <c r="C17" i="375"/>
  <c r="AW17" i="96" s="1"/>
  <c r="AB125" i="48"/>
  <c r="AD125" i="48" s="1"/>
  <c r="R89" i="48"/>
  <c r="P17" i="126" s="1"/>
  <c r="T89" i="48"/>
  <c r="Q16" i="346"/>
  <c r="Q16" i="116"/>
  <c r="C95" i="258"/>
  <c r="C92" i="201"/>
  <c r="C92" i="183"/>
  <c r="N16" i="200"/>
  <c r="M16" i="200" s="1"/>
  <c r="P28" i="224"/>
  <c r="O27" i="224"/>
  <c r="N27" i="224" s="1"/>
  <c r="M27" i="224" s="1"/>
  <c r="H27" i="224"/>
  <c r="G27" i="224" s="1"/>
  <c r="F27" i="224" s="1"/>
  <c r="L22" i="216"/>
  <c r="J22" i="216" s="1"/>
  <c r="AB87" i="67"/>
  <c r="AB88" i="67"/>
  <c r="L11" i="218"/>
  <c r="J11" i="218" s="1"/>
  <c r="L13" i="218"/>
  <c r="J13" i="218" s="1"/>
  <c r="C16" i="377"/>
  <c r="AY16" i="96" s="1"/>
  <c r="C15" i="377"/>
  <c r="AY15" i="96" s="1"/>
  <c r="C14" i="377"/>
  <c r="AY14" i="96" s="1"/>
  <c r="M86" i="347"/>
  <c r="H86" i="347" s="1"/>
  <c r="G86" i="347" s="1"/>
  <c r="F86" i="347" s="1"/>
  <c r="AS8" i="96" s="1"/>
  <c r="O86" i="347"/>
  <c r="T8" i="96" s="1"/>
  <c r="Q20" i="346"/>
  <c r="Q20" i="116"/>
  <c r="O20" i="117"/>
  <c r="H27" i="370"/>
  <c r="G27" i="370" s="1"/>
  <c r="F27" i="370" s="1"/>
  <c r="O27" i="370"/>
  <c r="N27" i="370" s="1"/>
  <c r="M27" i="370" s="1"/>
  <c r="P28" i="370"/>
  <c r="C18" i="365"/>
  <c r="C15" i="373"/>
  <c r="AV15" i="96" s="1"/>
  <c r="L24" i="224"/>
  <c r="J24" i="224" s="1"/>
  <c r="C84" i="183"/>
  <c r="C84" i="201"/>
  <c r="C87" i="258"/>
  <c r="O27" i="130"/>
  <c r="N27" i="130" s="1"/>
  <c r="M27" i="130" s="1"/>
  <c r="P28" i="130"/>
  <c r="H27" i="130"/>
  <c r="G27" i="130" s="1"/>
  <c r="F27" i="130" s="1"/>
  <c r="AB86" i="67"/>
  <c r="N9" i="200"/>
  <c r="M9" i="200" s="1"/>
  <c r="L9" i="200" s="1"/>
  <c r="J9" i="200" s="1"/>
  <c r="C71" i="183"/>
  <c r="C71" i="201"/>
  <c r="C74" i="258"/>
  <c r="N84" i="66"/>
  <c r="Z122" i="66"/>
  <c r="Z122" i="60"/>
  <c r="N84" i="60"/>
  <c r="C66" i="201"/>
  <c r="C66" i="183"/>
  <c r="C69" i="258"/>
  <c r="AB133" i="48"/>
  <c r="AD133" i="48" s="1"/>
  <c r="R97" i="48"/>
  <c r="P25" i="126" s="1"/>
  <c r="T97" i="48"/>
  <c r="H27" i="221"/>
  <c r="G27" i="221" s="1"/>
  <c r="F27" i="221" s="1"/>
  <c r="O27" i="221"/>
  <c r="N27" i="221" s="1"/>
  <c r="M27" i="221" s="1"/>
  <c r="P28" i="221"/>
  <c r="C15" i="375"/>
  <c r="AW15" i="96" s="1"/>
  <c r="T15" i="96"/>
  <c r="M93" i="347"/>
  <c r="H93" i="347" s="1"/>
  <c r="G93" i="347" s="1"/>
  <c r="AB121" i="48"/>
  <c r="AD121" i="48" s="1"/>
  <c r="R85" i="48"/>
  <c r="P13" i="126" s="1"/>
  <c r="T85" i="48"/>
  <c r="O96" i="347"/>
  <c r="C20" i="377"/>
  <c r="AY20" i="96" s="1"/>
  <c r="Q13" i="346"/>
  <c r="Q13" i="116"/>
  <c r="O13" i="117"/>
  <c r="M88" i="347"/>
  <c r="H88" i="347" s="1"/>
  <c r="G88" i="347" s="1"/>
  <c r="F88" i="347" s="1"/>
  <c r="AS10" i="96" s="1"/>
  <c r="O88" i="347"/>
  <c r="T10" i="96" s="1"/>
  <c r="C19" i="373"/>
  <c r="AV19" i="96" s="1"/>
  <c r="N38" i="20"/>
  <c r="M38" i="20" s="1"/>
  <c r="L38" i="20" s="1"/>
  <c r="U38" i="20"/>
  <c r="V39" i="20"/>
  <c r="C70" i="258"/>
  <c r="C67" i="183"/>
  <c r="C67" i="201"/>
  <c r="L16" i="224"/>
  <c r="J16" i="224" s="1"/>
  <c r="Q17" i="116"/>
  <c r="Q17" i="346"/>
  <c r="O17" i="117"/>
  <c r="C74" i="201"/>
  <c r="C77" i="258"/>
  <c r="N12" i="200"/>
  <c r="M12" i="200" s="1"/>
  <c r="L12" i="200" s="1"/>
  <c r="J12" i="200" s="1"/>
  <c r="C74" i="183"/>
  <c r="Q22" i="346"/>
  <c r="O22" i="117"/>
  <c r="Q22" i="116"/>
  <c r="F91" i="347"/>
  <c r="AS13" i="96" s="1"/>
  <c r="L14" i="224"/>
  <c r="J14" i="224" s="1"/>
  <c r="L18" i="224"/>
  <c r="J18" i="224" s="1"/>
  <c r="H27" i="209"/>
  <c r="G27" i="209" s="1"/>
  <c r="F27" i="209" s="1"/>
  <c r="P28" i="209"/>
  <c r="O27" i="209"/>
  <c r="L15" i="221"/>
  <c r="J15" i="221" s="1"/>
  <c r="L19" i="221"/>
  <c r="J19" i="221" s="1"/>
  <c r="O99" i="347"/>
  <c r="C21" i="325"/>
  <c r="AR21" i="96" s="1"/>
  <c r="L24" i="221"/>
  <c r="J24" i="221" s="1"/>
  <c r="T14" i="96"/>
  <c r="M92" i="347"/>
  <c r="H92" i="347" s="1"/>
  <c r="G92" i="347" s="1"/>
  <c r="L15" i="226"/>
  <c r="J15" i="226" s="1"/>
  <c r="L19" i="226"/>
  <c r="J19" i="226" s="1"/>
  <c r="C13" i="375"/>
  <c r="AW13" i="96" s="1"/>
  <c r="C18" i="375"/>
  <c r="AW18" i="96" s="1"/>
  <c r="O27" i="214"/>
  <c r="H27" i="214"/>
  <c r="G27" i="214" s="1"/>
  <c r="F27" i="214" s="1"/>
  <c r="P28" i="214"/>
  <c r="N24" i="200"/>
  <c r="M24" i="200" s="1"/>
  <c r="C21" i="377"/>
  <c r="AY21" i="96" s="1"/>
  <c r="O102" i="347"/>
  <c r="AB113" i="67"/>
  <c r="AC87" i="67" s="1"/>
  <c r="AB112" i="67"/>
  <c r="AC86" i="67" s="1"/>
  <c r="C20" i="370"/>
  <c r="AU20" i="96" s="1"/>
  <c r="Q18" i="346"/>
  <c r="Q18" i="116"/>
  <c r="O18" i="117"/>
  <c r="K105" i="347"/>
  <c r="J105" i="347" s="1"/>
  <c r="I105" i="347" s="1"/>
  <c r="S106" i="347"/>
  <c r="R105" i="347"/>
  <c r="Q105" i="347" s="1"/>
  <c r="P105" i="347" s="1"/>
  <c r="C101" i="258"/>
  <c r="C98" i="201"/>
  <c r="C98" i="183"/>
  <c r="N12" i="216"/>
  <c r="M12" i="216" s="1"/>
  <c r="N15" i="200"/>
  <c r="M15" i="200" s="1"/>
  <c r="L17" i="200" s="1"/>
  <c r="J17" i="200" s="1"/>
  <c r="N23" i="200"/>
  <c r="M23" i="200" s="1"/>
  <c r="L24" i="130"/>
  <c r="J24" i="130" s="1"/>
  <c r="Z120" i="58"/>
  <c r="N82" i="58"/>
  <c r="AB119" i="67"/>
  <c r="AC93" i="67" s="1"/>
  <c r="AC94" i="67"/>
  <c r="AB131" i="48"/>
  <c r="AD131" i="48" s="1"/>
  <c r="R95" i="48"/>
  <c r="P23" i="126" s="1"/>
  <c r="T95" i="48"/>
  <c r="L10" i="130"/>
  <c r="J10" i="130" s="1"/>
  <c r="E10" i="130" s="1"/>
  <c r="D10" i="130" s="1"/>
  <c r="C10" i="130" s="1"/>
  <c r="AH10" i="96" s="1"/>
  <c r="L11" i="130"/>
  <c r="J11" i="130" s="1"/>
  <c r="E11" i="130" s="1"/>
  <c r="D11" i="130" s="1"/>
  <c r="L12" i="130"/>
  <c r="J12" i="130" s="1"/>
  <c r="E12" i="130" s="1"/>
  <c r="D12" i="130" s="1"/>
  <c r="AB117" i="48"/>
  <c r="AD117" i="48" s="1"/>
  <c r="R81" i="48"/>
  <c r="T81" i="48"/>
  <c r="H27" i="377"/>
  <c r="G27" i="377" s="1"/>
  <c r="F27" i="377" s="1"/>
  <c r="P28" i="377"/>
  <c r="O27" i="377"/>
  <c r="N27" i="377" s="1"/>
  <c r="M27" i="377" s="1"/>
  <c r="L25" i="377" s="1"/>
  <c r="J25" i="377" s="1"/>
  <c r="E25" i="377" s="1"/>
  <c r="D25" i="377" s="1"/>
  <c r="C13" i="325"/>
  <c r="AR13" i="96" s="1"/>
  <c r="C17" i="325"/>
  <c r="AR17" i="96" s="1"/>
  <c r="Q23" i="346"/>
  <c r="Q23" i="116"/>
  <c r="O23" i="117"/>
  <c r="C19" i="377"/>
  <c r="AY19" i="96" s="1"/>
  <c r="O101" i="347"/>
  <c r="L20" i="226"/>
  <c r="J20" i="226" s="1"/>
  <c r="AB119" i="48"/>
  <c r="AD119" i="48" s="1"/>
  <c r="R83" i="48"/>
  <c r="T83" i="48"/>
  <c r="L21" i="216"/>
  <c r="J21" i="216" s="1"/>
  <c r="H27" i="373"/>
  <c r="G27" i="373" s="1"/>
  <c r="F27" i="373" s="1"/>
  <c r="O27" i="373"/>
  <c r="N27" i="373" s="1"/>
  <c r="M27" i="373" s="1"/>
  <c r="L25" i="373" s="1"/>
  <c r="J25" i="373" s="1"/>
  <c r="E25" i="373" s="1"/>
  <c r="D25" i="373" s="1"/>
  <c r="C22" i="373" s="1"/>
  <c r="AV22" i="96" s="1"/>
  <c r="P28" i="373"/>
  <c r="Q19" i="346"/>
  <c r="Q19" i="116"/>
  <c r="O19" i="117"/>
  <c r="M89" i="347"/>
  <c r="H89" i="347" s="1"/>
  <c r="G89" i="347" s="1"/>
  <c r="F89" i="347" s="1"/>
  <c r="AS11" i="96" s="1"/>
  <c r="O89" i="347"/>
  <c r="T11" i="96" s="1"/>
  <c r="D80" i="96" s="1"/>
  <c r="L17" i="221"/>
  <c r="J17" i="221" s="1"/>
  <c r="Q24" i="346"/>
  <c r="Q24" i="116"/>
  <c r="O24" i="117"/>
  <c r="V112" i="49"/>
  <c r="M111" i="49"/>
  <c r="N111" i="49" s="1"/>
  <c r="Q25" i="346"/>
  <c r="O25" i="117"/>
  <c r="Q25" i="116"/>
  <c r="AB118" i="48"/>
  <c r="AD118" i="48" s="1"/>
  <c r="T82" i="48"/>
  <c r="R82" i="48"/>
  <c r="AB129" i="48"/>
  <c r="AD129" i="48" s="1"/>
  <c r="R93" i="48"/>
  <c r="P21" i="126" s="1"/>
  <c r="T93" i="48"/>
  <c r="Q12" i="116"/>
  <c r="Q12" i="346"/>
  <c r="O12" i="117"/>
  <c r="C19" i="365"/>
  <c r="Z122" i="63"/>
  <c r="N84" i="63"/>
  <c r="M79" i="48"/>
  <c r="AA115" i="48" s="1"/>
  <c r="D55" i="48"/>
  <c r="G55" i="48" s="1"/>
  <c r="Q5" i="48" s="1"/>
  <c r="C57" i="67" s="1"/>
  <c r="D54" i="48"/>
  <c r="G54" i="48" s="1"/>
  <c r="Q4" i="48" s="1"/>
  <c r="C56" i="67" s="1"/>
  <c r="D56" i="48"/>
  <c r="G56" i="48" s="1"/>
  <c r="D53" i="48"/>
  <c r="G53" i="48" s="1"/>
  <c r="Q3" i="48" s="1"/>
  <c r="C55" i="67" s="1"/>
  <c r="C18" i="373"/>
  <c r="AV18" i="96" s="1"/>
  <c r="P28" i="218"/>
  <c r="H27" i="218"/>
  <c r="G27" i="218" s="1"/>
  <c r="F27" i="218" s="1"/>
  <c r="O27" i="218"/>
  <c r="N27" i="218" s="1"/>
  <c r="M27" i="218" s="1"/>
  <c r="L25" i="218" s="1"/>
  <c r="J25" i="218" s="1"/>
  <c r="L21" i="224"/>
  <c r="J21" i="224" s="1"/>
  <c r="N10" i="200"/>
  <c r="M10" i="200" s="1"/>
  <c r="L10" i="200" s="1"/>
  <c r="J10" i="200" s="1"/>
  <c r="C75" i="258"/>
  <c r="C72" i="201"/>
  <c r="C72" i="183"/>
  <c r="N8" i="200"/>
  <c r="M8" i="200" s="1"/>
  <c r="L8" i="200" s="1"/>
  <c r="J8" i="200" s="1"/>
  <c r="H27" i="216"/>
  <c r="G27" i="216" s="1"/>
  <c r="F27" i="216" s="1"/>
  <c r="P28" i="216"/>
  <c r="O27" i="216"/>
  <c r="N27" i="216" s="1"/>
  <c r="M27" i="216" s="1"/>
  <c r="L25" i="216" s="1"/>
  <c r="J25" i="216" s="1"/>
  <c r="H27" i="325"/>
  <c r="G27" i="325" s="1"/>
  <c r="F27" i="325" s="1"/>
  <c r="O27" i="325"/>
  <c r="N27" i="325" s="1"/>
  <c r="M27" i="325" s="1"/>
  <c r="P28" i="325"/>
  <c r="C16" i="375"/>
  <c r="AW16" i="96" s="1"/>
  <c r="L11" i="224"/>
  <c r="J11" i="224" s="1"/>
  <c r="L13" i="224"/>
  <c r="J13" i="224" s="1"/>
  <c r="AB128" i="48"/>
  <c r="AD128" i="48" s="1"/>
  <c r="R92" i="48"/>
  <c r="P20" i="126" s="1"/>
  <c r="T92" i="48"/>
  <c r="L13" i="130"/>
  <c r="J13" i="130" s="1"/>
  <c r="E13" i="130" s="1"/>
  <c r="D13" i="130" s="1"/>
  <c r="L19" i="224"/>
  <c r="J19" i="224" s="1"/>
  <c r="C21" i="373"/>
  <c r="AV21" i="96" s="1"/>
  <c r="AB127" i="48"/>
  <c r="AD127" i="48" s="1"/>
  <c r="R91" i="48"/>
  <c r="P19" i="126" s="1"/>
  <c r="T91" i="48"/>
  <c r="L24" i="375"/>
  <c r="J24" i="375" s="1"/>
  <c r="E24" i="375" s="1"/>
  <c r="D24" i="375" s="1"/>
  <c r="O27" i="200"/>
  <c r="N27" i="200" s="1"/>
  <c r="M27" i="200" s="1"/>
  <c r="H27" i="200"/>
  <c r="G27" i="200" s="1"/>
  <c r="F27" i="200" s="1"/>
  <c r="P28" i="200"/>
  <c r="C89" i="183"/>
  <c r="N9" i="214"/>
  <c r="M9" i="214" s="1"/>
  <c r="L9" i="214" s="1"/>
  <c r="J9" i="214" s="1"/>
  <c r="C92" i="258"/>
  <c r="C89" i="201"/>
  <c r="C20" i="373"/>
  <c r="AV20" i="96" s="1"/>
  <c r="L16" i="216"/>
  <c r="J16" i="216" s="1"/>
  <c r="L18" i="216"/>
  <c r="J18" i="216" s="1"/>
  <c r="C68" i="183"/>
  <c r="C68" i="201"/>
  <c r="C71" i="258"/>
  <c r="O97" i="347"/>
  <c r="C19" i="370"/>
  <c r="AU19" i="96" s="1"/>
  <c r="Z115" i="98"/>
  <c r="N79" i="98"/>
  <c r="Z120" i="52"/>
  <c r="N84" i="52"/>
  <c r="Z118" i="57"/>
  <c r="N80" i="57"/>
  <c r="Z120" i="62"/>
  <c r="O84" i="62"/>
  <c r="L14" i="221"/>
  <c r="J14" i="221" s="1"/>
  <c r="L18" i="221"/>
  <c r="J18" i="221" s="1"/>
  <c r="L23" i="216"/>
  <c r="J23" i="216" s="1"/>
  <c r="F90" i="347"/>
  <c r="AS12" i="96" s="1"/>
  <c r="D91" i="347"/>
  <c r="D92" i="347"/>
  <c r="AB122" i="48"/>
  <c r="AD122" i="48" s="1"/>
  <c r="R86" i="48"/>
  <c r="P14" i="126" s="1"/>
  <c r="T86" i="48"/>
  <c r="AB126" i="48"/>
  <c r="AD126" i="48" s="1"/>
  <c r="R90" i="48"/>
  <c r="P18" i="126" s="1"/>
  <c r="T90" i="48"/>
  <c r="H27" i="134"/>
  <c r="G27" i="134" s="1"/>
  <c r="F27" i="134" s="1"/>
  <c r="O27" i="134"/>
  <c r="P28" i="134"/>
  <c r="C68" i="258"/>
  <c r="C65" i="183"/>
  <c r="C65" i="201"/>
  <c r="C95" i="201"/>
  <c r="C98" i="258"/>
  <c r="N9" i="216"/>
  <c r="M9" i="216" s="1"/>
  <c r="C95" i="183"/>
  <c r="AA35" i="205"/>
  <c r="T35" i="205"/>
  <c r="S35" i="205" s="1"/>
  <c r="R35" i="205" s="1"/>
  <c r="L22" i="221"/>
  <c r="J22" i="221" s="1"/>
  <c r="L22" i="224"/>
  <c r="J22" i="224" s="1"/>
  <c r="C16" i="365"/>
  <c r="L22" i="226"/>
  <c r="J22" i="226" s="1"/>
  <c r="O27" i="375"/>
  <c r="N27" i="375" s="1"/>
  <c r="M27" i="375" s="1"/>
  <c r="H27" i="375"/>
  <c r="G27" i="375" s="1"/>
  <c r="F27" i="375" s="1"/>
  <c r="P28" i="375"/>
  <c r="L24" i="218"/>
  <c r="J24" i="218" s="1"/>
  <c r="N26" i="200"/>
  <c r="M26" i="200" s="1"/>
  <c r="C21" i="365"/>
  <c r="C20" i="375"/>
  <c r="AW20" i="96" s="1"/>
  <c r="C16" i="373"/>
  <c r="AV16" i="96" s="1"/>
  <c r="N14" i="200"/>
  <c r="M14" i="200" s="1"/>
  <c r="L16" i="200" s="1"/>
  <c r="J16" i="200" s="1"/>
  <c r="AB124" i="48"/>
  <c r="AD124" i="48" s="1"/>
  <c r="R88" i="48"/>
  <c r="P16" i="126" s="1"/>
  <c r="T88" i="48"/>
  <c r="N20" i="200"/>
  <c r="M20" i="200" s="1"/>
  <c r="L22" i="200" s="1"/>
  <c r="J22" i="200" s="1"/>
  <c r="C17" i="365"/>
  <c r="Z117" i="54"/>
  <c r="N80" i="54"/>
  <c r="Z119" i="51"/>
  <c r="O83" i="51"/>
  <c r="Q14" i="346"/>
  <c r="Q14" i="116"/>
  <c r="O14" i="117"/>
  <c r="AB120" i="48"/>
  <c r="AD120" i="48" s="1"/>
  <c r="R84" i="48"/>
  <c r="T84" i="48"/>
  <c r="C12" i="130"/>
  <c r="AH12" i="96" s="1"/>
  <c r="C14" i="325"/>
  <c r="AR14" i="96" s="1"/>
  <c r="C16" i="325"/>
  <c r="AR16" i="96" s="1"/>
  <c r="C15" i="325"/>
  <c r="AR15" i="96" s="1"/>
  <c r="Q21" i="346"/>
  <c r="Q21" i="116"/>
  <c r="O21" i="117"/>
  <c r="C20" i="325"/>
  <c r="AR20" i="96" s="1"/>
  <c r="L24" i="226"/>
  <c r="J24" i="226" s="1"/>
  <c r="L24" i="216"/>
  <c r="J24" i="216" s="1"/>
  <c r="L37" i="205"/>
  <c r="L38" i="205" s="1"/>
  <c r="L39" i="205" s="1"/>
  <c r="L40" i="205" s="1"/>
  <c r="L41" i="205" s="1"/>
  <c r="L42" i="205" s="1"/>
  <c r="L43" i="205" s="1"/>
  <c r="L44" i="205" s="1"/>
  <c r="L45" i="205" s="1"/>
  <c r="L46" i="205" s="1"/>
  <c r="L47" i="205" s="1"/>
  <c r="L48" i="205" s="1"/>
  <c r="L49" i="205" s="1"/>
  <c r="L50" i="205" s="1"/>
  <c r="L51" i="205" s="1"/>
  <c r="L52" i="205" s="1"/>
  <c r="L53" i="205" s="1"/>
  <c r="AB36" i="205"/>
  <c r="L21" i="221"/>
  <c r="J21" i="221" s="1"/>
  <c r="L25" i="221"/>
  <c r="J25" i="221" s="1"/>
  <c r="O98" i="347"/>
  <c r="C88" i="258"/>
  <c r="C85" i="201"/>
  <c r="C85" i="183"/>
  <c r="N25" i="200"/>
  <c r="M25" i="200" s="1"/>
  <c r="L23" i="200" s="1"/>
  <c r="J23" i="200" s="1"/>
  <c r="C14" i="373"/>
  <c r="AV14" i="96" s="1"/>
  <c r="C86" i="258"/>
  <c r="C83" i="183"/>
  <c r="N9" i="209"/>
  <c r="M9" i="209" s="1"/>
  <c r="L9" i="209" s="1"/>
  <c r="J9" i="209" s="1"/>
  <c r="C83" i="201"/>
  <c r="C19" i="325"/>
  <c r="AR19" i="96" s="1"/>
  <c r="C19" i="375"/>
  <c r="AW19" i="96" s="1"/>
  <c r="Z122" i="33"/>
  <c r="N87" i="33"/>
  <c r="Z120" i="59"/>
  <c r="N82" i="59"/>
  <c r="C21" i="375"/>
  <c r="AW21" i="96" s="1"/>
  <c r="C86" i="183"/>
  <c r="C89" i="258"/>
  <c r="C86" i="201"/>
  <c r="L13" i="200"/>
  <c r="J13" i="200" s="1"/>
  <c r="L15" i="200"/>
  <c r="J15" i="200" s="1"/>
  <c r="L23" i="224"/>
  <c r="J23" i="224" s="1"/>
  <c r="L23" i="221"/>
  <c r="J23" i="221" s="1"/>
  <c r="L17" i="224"/>
  <c r="J17" i="224" s="1"/>
  <c r="L14" i="226"/>
  <c r="J14" i="226" s="1"/>
  <c r="L18" i="226"/>
  <c r="J18" i="226" s="1"/>
  <c r="N10" i="216"/>
  <c r="M10" i="216" s="1"/>
  <c r="C96" i="183"/>
  <c r="C96" i="201"/>
  <c r="C99" i="258"/>
  <c r="Q15" i="346"/>
  <c r="Q15" i="116"/>
  <c r="O15" i="117"/>
  <c r="H27" i="226"/>
  <c r="G27" i="226" s="1"/>
  <c r="F27" i="226" s="1"/>
  <c r="P28" i="226"/>
  <c r="O27" i="226"/>
  <c r="N27" i="226" s="1"/>
  <c r="M27" i="226" s="1"/>
  <c r="L25" i="226" s="1"/>
  <c r="J25" i="226" s="1"/>
  <c r="O95" i="347"/>
  <c r="N11" i="200"/>
  <c r="M11" i="200" s="1"/>
  <c r="L11" i="200" s="1"/>
  <c r="J11" i="200" s="1"/>
  <c r="C73" i="183"/>
  <c r="C73" i="201"/>
  <c r="C76" i="258"/>
  <c r="C21" i="370"/>
  <c r="AU21" i="96" s="1"/>
  <c r="C18" i="325"/>
  <c r="AR18" i="96" s="1"/>
  <c r="C94" i="258"/>
  <c r="C91" i="183"/>
  <c r="C91" i="201"/>
  <c r="C22" i="377"/>
  <c r="AY22" i="96" s="1"/>
  <c r="L15" i="216"/>
  <c r="J15" i="216" s="1"/>
  <c r="L17" i="216"/>
  <c r="J17" i="216" s="1"/>
  <c r="L16" i="221"/>
  <c r="J16" i="221" s="1"/>
  <c r="L20" i="221"/>
  <c r="J20" i="221" s="1"/>
  <c r="AB123" i="48"/>
  <c r="AD123" i="48" s="1"/>
  <c r="R87" i="48"/>
  <c r="P15" i="126" s="1"/>
  <c r="T87" i="48"/>
  <c r="H27" i="140"/>
  <c r="G27" i="140" s="1"/>
  <c r="F27" i="140" s="1"/>
  <c r="P28" i="140"/>
  <c r="O27" i="140"/>
  <c r="L17" i="226"/>
  <c r="J17" i="226" s="1"/>
  <c r="AB114" i="67"/>
  <c r="AC88" i="67" s="1"/>
  <c r="C93" i="258"/>
  <c r="C90" i="183"/>
  <c r="C90" i="201"/>
  <c r="H27" i="365"/>
  <c r="G27" i="365" s="1"/>
  <c r="F27" i="365" s="1"/>
  <c r="P28" i="365"/>
  <c r="O27" i="365"/>
  <c r="N27" i="365" s="1"/>
  <c r="M27" i="365" s="1"/>
  <c r="C97" i="201"/>
  <c r="C100" i="258"/>
  <c r="C97" i="183"/>
  <c r="N11" i="216"/>
  <c r="M11" i="216" s="1"/>
  <c r="N8" i="216"/>
  <c r="M8" i="216" s="1"/>
  <c r="L25" i="370"/>
  <c r="J25" i="370" s="1"/>
  <c r="E25" i="370" s="1"/>
  <c r="D25" i="370" s="1"/>
  <c r="AB130" i="48"/>
  <c r="AD130" i="48" s="1"/>
  <c r="R94" i="48"/>
  <c r="P22" i="126" s="1"/>
  <c r="T94" i="48"/>
  <c r="O100" i="347"/>
  <c r="L21" i="226"/>
  <c r="J21" i="226" s="1"/>
  <c r="C18" i="370"/>
  <c r="AU18" i="96" s="1"/>
  <c r="C14" i="375"/>
  <c r="AW14" i="96" s="1"/>
  <c r="R28" i="413"/>
  <c r="Q27" i="413"/>
  <c r="P27" i="413" s="1"/>
  <c r="O27" i="413" s="1"/>
  <c r="N141" i="37"/>
  <c r="S141" i="37" s="1"/>
  <c r="AA189" i="37"/>
  <c r="F32" i="301"/>
  <c r="B31" i="301"/>
  <c r="L25" i="117" l="1"/>
  <c r="J25" i="117" s="1"/>
  <c r="C25" i="117" s="1"/>
  <c r="C55" i="117" s="1"/>
  <c r="O22" i="126"/>
  <c r="H22" i="126"/>
  <c r="G22" i="126" s="1"/>
  <c r="F22" i="126" s="1"/>
  <c r="L25" i="365"/>
  <c r="J25" i="365" s="1"/>
  <c r="E25" i="365" s="1"/>
  <c r="D25" i="365" s="1"/>
  <c r="AF21" i="116"/>
  <c r="R21" i="116"/>
  <c r="P12" i="126"/>
  <c r="W53" i="258"/>
  <c r="W50" i="201"/>
  <c r="AA117" i="54"/>
  <c r="AC117" i="54" s="1"/>
  <c r="R80" i="54"/>
  <c r="S80" i="54"/>
  <c r="AB16" i="205" s="1"/>
  <c r="AA16" i="205" s="1"/>
  <c r="O28" i="375"/>
  <c r="N28" i="375" s="1"/>
  <c r="M28" i="375" s="1"/>
  <c r="P29" i="375"/>
  <c r="H28" i="375"/>
  <c r="G28" i="375" s="1"/>
  <c r="F28" i="375" s="1"/>
  <c r="O18" i="126"/>
  <c r="H18" i="126"/>
  <c r="G18" i="126" s="1"/>
  <c r="F18" i="126" s="1"/>
  <c r="AA118" i="57"/>
  <c r="AC118" i="57" s="1"/>
  <c r="R80" i="57"/>
  <c r="T19" i="96"/>
  <c r="M97" i="347"/>
  <c r="H97" i="347" s="1"/>
  <c r="G97" i="347" s="1"/>
  <c r="H28" i="325"/>
  <c r="G28" i="325" s="1"/>
  <c r="F28" i="325" s="1"/>
  <c r="P29" i="325"/>
  <c r="O28" i="325"/>
  <c r="N28" i="325" s="1"/>
  <c r="M28" i="325" s="1"/>
  <c r="O21" i="126"/>
  <c r="H21" i="126"/>
  <c r="G21" i="126" s="1"/>
  <c r="F21" i="126" s="1"/>
  <c r="L20" i="117"/>
  <c r="J20" i="117" s="1"/>
  <c r="C20" i="117" s="1"/>
  <c r="C50" i="117" s="1"/>
  <c r="W49" i="201"/>
  <c r="P11" i="126"/>
  <c r="W52" i="258"/>
  <c r="H28" i="377"/>
  <c r="G28" i="377" s="1"/>
  <c r="F28" i="377" s="1"/>
  <c r="P29" i="377"/>
  <c r="O28" i="377"/>
  <c r="N28" i="377" s="1"/>
  <c r="M28" i="377" s="1"/>
  <c r="L26" i="377" s="1"/>
  <c r="J26" i="377" s="1"/>
  <c r="E26" i="377" s="1"/>
  <c r="D26" i="377" s="1"/>
  <c r="K106" i="347"/>
  <c r="J106" i="347" s="1"/>
  <c r="I106" i="347" s="1"/>
  <c r="S107" i="347"/>
  <c r="R106" i="347"/>
  <c r="Q106" i="347" s="1"/>
  <c r="P106" i="347" s="1"/>
  <c r="R13" i="116"/>
  <c r="AF13" i="116"/>
  <c r="O17" i="126"/>
  <c r="H17" i="126"/>
  <c r="G17" i="126" s="1"/>
  <c r="F17" i="126" s="1"/>
  <c r="H28" i="365"/>
  <c r="G28" i="365" s="1"/>
  <c r="F28" i="365" s="1"/>
  <c r="O28" i="365"/>
  <c r="N28" i="365" s="1"/>
  <c r="M28" i="365" s="1"/>
  <c r="L26" i="365" s="1"/>
  <c r="J26" i="365" s="1"/>
  <c r="E26" i="365" s="1"/>
  <c r="D26" i="365" s="1"/>
  <c r="P29" i="365"/>
  <c r="T17" i="96"/>
  <c r="M95" i="347"/>
  <c r="H95" i="347" s="1"/>
  <c r="G95" i="347" s="1"/>
  <c r="AF21" i="346"/>
  <c r="R21" i="346"/>
  <c r="L25" i="325"/>
  <c r="J25" i="325" s="1"/>
  <c r="E25" i="325" s="1"/>
  <c r="D25" i="325" s="1"/>
  <c r="AA122" i="63"/>
  <c r="AC122" i="63" s="1"/>
  <c r="R84" i="63"/>
  <c r="V113" i="49"/>
  <c r="M112" i="49"/>
  <c r="N112" i="49" s="1"/>
  <c r="AF19" i="116"/>
  <c r="R19" i="116"/>
  <c r="O23" i="126"/>
  <c r="H23" i="126"/>
  <c r="G23" i="126" s="1"/>
  <c r="F23" i="126" s="1"/>
  <c r="L21" i="200"/>
  <c r="J21" i="200" s="1"/>
  <c r="T24" i="96"/>
  <c r="M102" i="347"/>
  <c r="H102" i="347" s="1"/>
  <c r="G102" i="347" s="1"/>
  <c r="R18" i="258"/>
  <c r="V18" i="258" s="1"/>
  <c r="AF13" i="346"/>
  <c r="R13" i="346"/>
  <c r="O24" i="126"/>
  <c r="H24" i="126"/>
  <c r="G24" i="126" s="1"/>
  <c r="F24" i="126" s="1"/>
  <c r="AA118" i="53"/>
  <c r="AC118" i="53" s="1"/>
  <c r="S82" i="53"/>
  <c r="R82" i="53"/>
  <c r="L26" i="375"/>
  <c r="J26" i="375" s="1"/>
  <c r="E26" i="375" s="1"/>
  <c r="D26" i="375" s="1"/>
  <c r="C23" i="375" s="1"/>
  <c r="AW23" i="96" s="1"/>
  <c r="L25" i="375"/>
  <c r="J25" i="375" s="1"/>
  <c r="E25" i="375" s="1"/>
  <c r="D25" i="375" s="1"/>
  <c r="Z35" i="205"/>
  <c r="Y35" i="205" s="1"/>
  <c r="AA120" i="52"/>
  <c r="AC120" i="52" s="1"/>
  <c r="R84" i="52"/>
  <c r="H28" i="218"/>
  <c r="G28" i="218" s="1"/>
  <c r="F28" i="218" s="1"/>
  <c r="O28" i="218"/>
  <c r="N28" i="218" s="1"/>
  <c r="M28" i="218" s="1"/>
  <c r="P29" i="218"/>
  <c r="P10" i="126"/>
  <c r="W48" i="201"/>
  <c r="W51" i="258"/>
  <c r="AF19" i="346"/>
  <c r="R19" i="346"/>
  <c r="L22" i="117"/>
  <c r="J22" i="117" s="1"/>
  <c r="C22" i="117" s="1"/>
  <c r="C52" i="117" s="1"/>
  <c r="L24" i="117"/>
  <c r="J24" i="117" s="1"/>
  <c r="C24" i="117" s="1"/>
  <c r="C54" i="117" s="1"/>
  <c r="L19" i="117"/>
  <c r="J19" i="117" s="1"/>
  <c r="C19" i="117" s="1"/>
  <c r="C49" i="117" s="1"/>
  <c r="X14" i="201"/>
  <c r="H28" i="221"/>
  <c r="G28" i="221" s="1"/>
  <c r="F28" i="221" s="1"/>
  <c r="O28" i="221"/>
  <c r="N28" i="221" s="1"/>
  <c r="M28" i="221" s="1"/>
  <c r="P29" i="221"/>
  <c r="AA122" i="60"/>
  <c r="AC122" i="60" s="1"/>
  <c r="R84" i="60"/>
  <c r="S84" i="60"/>
  <c r="Q9" i="346"/>
  <c r="Q9" i="116"/>
  <c r="O9" i="117"/>
  <c r="L21" i="117"/>
  <c r="J21" i="117" s="1"/>
  <c r="C21" i="117" s="1"/>
  <c r="C51" i="117" s="1"/>
  <c r="L24" i="200"/>
  <c r="J24" i="200" s="1"/>
  <c r="F92" i="347"/>
  <c r="AS14" i="96" s="1"/>
  <c r="L8" i="216"/>
  <c r="J8" i="216"/>
  <c r="H28" i="140"/>
  <c r="G28" i="140" s="1"/>
  <c r="F28" i="140" s="1"/>
  <c r="P29" i="140"/>
  <c r="O28" i="140"/>
  <c r="P29" i="226"/>
  <c r="O28" i="226"/>
  <c r="N28" i="226" s="1"/>
  <c r="M28" i="226" s="1"/>
  <c r="L26" i="226" s="1"/>
  <c r="J26" i="226" s="1"/>
  <c r="H28" i="226"/>
  <c r="G28" i="226" s="1"/>
  <c r="F28" i="226" s="1"/>
  <c r="J10" i="216"/>
  <c r="L10" i="216"/>
  <c r="R14" i="116"/>
  <c r="AF14" i="116"/>
  <c r="H14" i="126"/>
  <c r="G14" i="126" s="1"/>
  <c r="F14" i="126" s="1"/>
  <c r="O14" i="126"/>
  <c r="O20" i="126"/>
  <c r="H20" i="126"/>
  <c r="G20" i="126" s="1"/>
  <c r="F20" i="126" s="1"/>
  <c r="AF24" i="116"/>
  <c r="R24" i="116"/>
  <c r="H28" i="373"/>
  <c r="G28" i="373" s="1"/>
  <c r="F28" i="373" s="1"/>
  <c r="O28" i="373"/>
  <c r="N28" i="373" s="1"/>
  <c r="M28" i="373" s="1"/>
  <c r="L26" i="373" s="1"/>
  <c r="J26" i="373" s="1"/>
  <c r="E26" i="373" s="1"/>
  <c r="D26" i="373" s="1"/>
  <c r="C23" i="373" s="1"/>
  <c r="AV23" i="96" s="1"/>
  <c r="P29" i="373"/>
  <c r="AF23" i="116"/>
  <c r="R23" i="116"/>
  <c r="W50" i="258"/>
  <c r="W47" i="201"/>
  <c r="P9" i="126"/>
  <c r="L12" i="216"/>
  <c r="J12" i="216"/>
  <c r="R18" i="116"/>
  <c r="AF18" i="116"/>
  <c r="L20" i="200"/>
  <c r="J20" i="200" s="1"/>
  <c r="L18" i="117"/>
  <c r="J18" i="117" s="1"/>
  <c r="C18" i="117" s="1"/>
  <c r="C48" i="117" s="1"/>
  <c r="T18" i="96"/>
  <c r="M96" i="347"/>
  <c r="H96" i="347" s="1"/>
  <c r="G96" i="347" s="1"/>
  <c r="R20" i="116"/>
  <c r="AF20" i="116"/>
  <c r="C22" i="370"/>
  <c r="AU22" i="96" s="1"/>
  <c r="AB123" i="35"/>
  <c r="AD123" i="35" s="1"/>
  <c r="S85" i="35"/>
  <c r="T85" i="35"/>
  <c r="L11" i="216"/>
  <c r="J11" i="216"/>
  <c r="X16" i="201"/>
  <c r="T36" i="205"/>
  <c r="S36" i="205" s="1"/>
  <c r="R36" i="205" s="1"/>
  <c r="AA36" i="205"/>
  <c r="Z36" i="205" s="1"/>
  <c r="Y36" i="205" s="1"/>
  <c r="AB37" i="205"/>
  <c r="AF14" i="346"/>
  <c r="R14" i="346"/>
  <c r="L9" i="216"/>
  <c r="J9" i="216"/>
  <c r="H28" i="134"/>
  <c r="G28" i="134" s="1"/>
  <c r="F28" i="134" s="1"/>
  <c r="O28" i="134"/>
  <c r="P29" i="134"/>
  <c r="AA115" i="98"/>
  <c r="AC115" i="98" s="1"/>
  <c r="S79" i="98"/>
  <c r="R79" i="98"/>
  <c r="O19" i="126"/>
  <c r="H19" i="126"/>
  <c r="G19" i="126" s="1"/>
  <c r="F19" i="126" s="1"/>
  <c r="H28" i="216"/>
  <c r="G28" i="216" s="1"/>
  <c r="F28" i="216" s="1"/>
  <c r="P29" i="216"/>
  <c r="O28" i="216"/>
  <c r="N28" i="216" s="1"/>
  <c r="M28" i="216" s="1"/>
  <c r="L26" i="216" s="1"/>
  <c r="J26" i="216" s="1"/>
  <c r="C107" i="67"/>
  <c r="C81" i="67"/>
  <c r="L13" i="117"/>
  <c r="J13" i="117" s="1"/>
  <c r="C13" i="117" s="1"/>
  <c r="C43" i="117" s="1"/>
  <c r="AF24" i="346"/>
  <c r="R24" i="346"/>
  <c r="AF23" i="346"/>
  <c r="R23" i="346"/>
  <c r="R18" i="346"/>
  <c r="AF18" i="346"/>
  <c r="AF22" i="116"/>
  <c r="R22" i="116"/>
  <c r="AF17" i="346"/>
  <c r="R17" i="346"/>
  <c r="H28" i="130"/>
  <c r="G28" i="130" s="1"/>
  <c r="F28" i="130" s="1"/>
  <c r="P29" i="130"/>
  <c r="O28" i="130"/>
  <c r="N28" i="130" s="1"/>
  <c r="M28" i="130" s="1"/>
  <c r="R20" i="346"/>
  <c r="AF20" i="346"/>
  <c r="L25" i="224"/>
  <c r="J25" i="224" s="1"/>
  <c r="O16" i="117"/>
  <c r="L16" i="117" s="1"/>
  <c r="J16" i="117" s="1"/>
  <c r="C16" i="117" s="1"/>
  <c r="C46" i="117" s="1"/>
  <c r="W39" i="201"/>
  <c r="W42" i="258"/>
  <c r="G74" i="96"/>
  <c r="E74" i="96" s="1"/>
  <c r="V17" i="20"/>
  <c r="L14" i="117"/>
  <c r="J14" i="117" s="1"/>
  <c r="C14" i="117" s="1"/>
  <c r="C44" i="117" s="1"/>
  <c r="AA120" i="59"/>
  <c r="AC120" i="59" s="1"/>
  <c r="R82" i="59"/>
  <c r="R20" i="258"/>
  <c r="V20" i="258" s="1"/>
  <c r="O16" i="126"/>
  <c r="H16" i="126"/>
  <c r="G16" i="126" s="1"/>
  <c r="F16" i="126" s="1"/>
  <c r="H28" i="200"/>
  <c r="G28" i="200" s="1"/>
  <c r="F28" i="200" s="1"/>
  <c r="P29" i="200"/>
  <c r="O28" i="200"/>
  <c r="N28" i="200" s="1"/>
  <c r="M28" i="200" s="1"/>
  <c r="L26" i="200" s="1"/>
  <c r="J26" i="200" s="1"/>
  <c r="Q6" i="48"/>
  <c r="C58" i="67" s="1"/>
  <c r="J79" i="48"/>
  <c r="V45" i="183"/>
  <c r="R12" i="346"/>
  <c r="AF12" i="346"/>
  <c r="R25" i="116"/>
  <c r="AF25" i="116"/>
  <c r="AA120" i="58"/>
  <c r="AC120" i="58" s="1"/>
  <c r="R82" i="58"/>
  <c r="H28" i="214"/>
  <c r="G28" i="214" s="1"/>
  <c r="F28" i="214" s="1"/>
  <c r="P29" i="214"/>
  <c r="O28" i="214"/>
  <c r="H28" i="209"/>
  <c r="G28" i="209" s="1"/>
  <c r="F28" i="209" s="1"/>
  <c r="P29" i="209"/>
  <c r="O28" i="209"/>
  <c r="L23" i="117"/>
  <c r="J23" i="117" s="1"/>
  <c r="C23" i="117" s="1"/>
  <c r="C53" i="117" s="1"/>
  <c r="R17" i="116"/>
  <c r="AF17" i="116"/>
  <c r="O13" i="126"/>
  <c r="H13" i="126"/>
  <c r="G13" i="126" s="1"/>
  <c r="F13" i="126" s="1"/>
  <c r="AA122" i="66"/>
  <c r="AC122" i="66" s="1"/>
  <c r="R84" i="66"/>
  <c r="S84" i="66"/>
  <c r="L25" i="130"/>
  <c r="J25" i="130" s="1"/>
  <c r="L26" i="130"/>
  <c r="J26" i="130" s="1"/>
  <c r="O28" i="224"/>
  <c r="N28" i="224" s="1"/>
  <c r="M28" i="224" s="1"/>
  <c r="P29" i="224"/>
  <c r="H28" i="224"/>
  <c r="G28" i="224" s="1"/>
  <c r="F28" i="224" s="1"/>
  <c r="R16" i="116"/>
  <c r="AF16" i="116"/>
  <c r="AA122" i="61"/>
  <c r="AC122" i="61" s="1"/>
  <c r="S84" i="61"/>
  <c r="R84" i="61"/>
  <c r="AB119" i="55"/>
  <c r="AD119" i="55" s="1"/>
  <c r="R82" i="55"/>
  <c r="T22" i="96"/>
  <c r="M100" i="347"/>
  <c r="H100" i="347" s="1"/>
  <c r="G100" i="347" s="1"/>
  <c r="O15" i="126"/>
  <c r="H15" i="126"/>
  <c r="G15" i="126" s="1"/>
  <c r="F15" i="126" s="1"/>
  <c r="R15" i="116"/>
  <c r="AF15" i="116"/>
  <c r="AA119" i="51"/>
  <c r="AC119" i="51" s="1"/>
  <c r="S83" i="51"/>
  <c r="AA120" i="62"/>
  <c r="AC120" i="62" s="1"/>
  <c r="S84" i="62"/>
  <c r="L19" i="200"/>
  <c r="J19" i="200" s="1"/>
  <c r="C82" i="67"/>
  <c r="C108" i="67"/>
  <c r="AF12" i="116"/>
  <c r="R12" i="116"/>
  <c r="T23" i="96"/>
  <c r="M101" i="347"/>
  <c r="H101" i="347" s="1"/>
  <c r="G101" i="347" s="1"/>
  <c r="T21" i="96"/>
  <c r="M99" i="347"/>
  <c r="H99" i="347" s="1"/>
  <c r="G99" i="347" s="1"/>
  <c r="R22" i="346"/>
  <c r="AF22" i="346"/>
  <c r="O25" i="126"/>
  <c r="P26" i="126"/>
  <c r="H25" i="126"/>
  <c r="G25" i="126" s="1"/>
  <c r="F25" i="126" s="1"/>
  <c r="Q11" i="346"/>
  <c r="Q11" i="116"/>
  <c r="O11" i="117"/>
  <c r="L14" i="200"/>
  <c r="J14" i="200" s="1"/>
  <c r="L18" i="200"/>
  <c r="J18" i="200" s="1"/>
  <c r="R16" i="346"/>
  <c r="AF16" i="346"/>
  <c r="R15" i="346"/>
  <c r="AF15" i="346"/>
  <c r="AA122" i="33"/>
  <c r="AC122" i="33" s="1"/>
  <c r="S87" i="33"/>
  <c r="U87" i="33"/>
  <c r="R87" i="33"/>
  <c r="G79" i="96" s="1"/>
  <c r="E79" i="96" s="1"/>
  <c r="T87" i="33"/>
  <c r="S85" i="347" s="1"/>
  <c r="R85" i="347" s="1"/>
  <c r="Q85" i="347" s="1"/>
  <c r="P85" i="347" s="1"/>
  <c r="T20" i="96"/>
  <c r="M98" i="347"/>
  <c r="H98" i="347" s="1"/>
  <c r="G98" i="347" s="1"/>
  <c r="L25" i="200"/>
  <c r="J25" i="200" s="1"/>
  <c r="C109" i="67"/>
  <c r="C83" i="67"/>
  <c r="R25" i="346"/>
  <c r="AF25" i="346"/>
  <c r="D94" i="347"/>
  <c r="N39" i="20"/>
  <c r="M39" i="20" s="1"/>
  <c r="L39" i="20" s="1"/>
  <c r="V40" i="20"/>
  <c r="U39" i="20"/>
  <c r="L12" i="117"/>
  <c r="J12" i="117" s="1"/>
  <c r="C12" i="117" s="1"/>
  <c r="C42" i="117" s="1"/>
  <c r="D95" i="347"/>
  <c r="O28" i="370"/>
  <c r="N28" i="370" s="1"/>
  <c r="M28" i="370" s="1"/>
  <c r="H28" i="370"/>
  <c r="G28" i="370" s="1"/>
  <c r="F28" i="370" s="1"/>
  <c r="P29" i="370"/>
  <c r="Q10" i="346"/>
  <c r="Q10" i="116"/>
  <c r="O10" i="117"/>
  <c r="AA125" i="65"/>
  <c r="AC125" i="65" s="1"/>
  <c r="R87" i="65"/>
  <c r="AA125" i="64"/>
  <c r="AC125" i="64" s="1"/>
  <c r="R87" i="64"/>
  <c r="S87" i="64"/>
  <c r="Q28" i="413"/>
  <c r="P28" i="413" s="1"/>
  <c r="O28" i="413" s="1"/>
  <c r="J28" i="413"/>
  <c r="I28" i="413" s="1"/>
  <c r="H28" i="413" s="1"/>
  <c r="N81" i="50"/>
  <c r="Y119" i="50"/>
  <c r="N25" i="413"/>
  <c r="R29" i="413"/>
  <c r="R141" i="37"/>
  <c r="AB189" i="37"/>
  <c r="AD189" i="37" s="1"/>
  <c r="F33" i="301"/>
  <c r="B32" i="301"/>
  <c r="P7" i="325" l="1"/>
  <c r="O7" i="325" s="1"/>
  <c r="N7" i="325" s="1"/>
  <c r="M7" i="325" s="1"/>
  <c r="L7" i="325" s="1"/>
  <c r="J7" i="325" s="1"/>
  <c r="E7" i="325" s="1"/>
  <c r="D7" i="325" s="1"/>
  <c r="C7" i="325" s="1"/>
  <c r="AR7" i="96" s="1"/>
  <c r="G78" i="96"/>
  <c r="E78" i="96" s="1"/>
  <c r="T16" i="346"/>
  <c r="S16" i="346"/>
  <c r="S12" i="116"/>
  <c r="T12" i="116"/>
  <c r="T17" i="116"/>
  <c r="S17" i="116"/>
  <c r="H29" i="216"/>
  <c r="G29" i="216" s="1"/>
  <c r="F29" i="216" s="1"/>
  <c r="P30" i="216"/>
  <c r="O29" i="216"/>
  <c r="N29" i="216" s="1"/>
  <c r="M29" i="216" s="1"/>
  <c r="H29" i="134"/>
  <c r="G29" i="134" s="1"/>
  <c r="F29" i="134" s="1"/>
  <c r="O29" i="134"/>
  <c r="P30" i="134"/>
  <c r="P7" i="373"/>
  <c r="O7" i="373" s="1"/>
  <c r="N7" i="373" s="1"/>
  <c r="M7" i="373" s="1"/>
  <c r="L7" i="373" s="1"/>
  <c r="J7" i="373" s="1"/>
  <c r="E7" i="373" s="1"/>
  <c r="D7" i="373" s="1"/>
  <c r="G89" i="96"/>
  <c r="E89" i="96" s="1"/>
  <c r="T23" i="116"/>
  <c r="S23" i="116"/>
  <c r="U23" i="116" s="1"/>
  <c r="AH23" i="116" s="1"/>
  <c r="M24" i="116" s="1"/>
  <c r="J24" i="116" s="1"/>
  <c r="F24" i="116" s="1"/>
  <c r="C24" i="116" s="1"/>
  <c r="O29" i="226"/>
  <c r="N29" i="226" s="1"/>
  <c r="M29" i="226" s="1"/>
  <c r="H29" i="226"/>
  <c r="G29" i="226" s="1"/>
  <c r="F29" i="226" s="1"/>
  <c r="P30" i="226"/>
  <c r="P7" i="370"/>
  <c r="O7" i="370" s="1"/>
  <c r="N7" i="370" s="1"/>
  <c r="M7" i="370" s="1"/>
  <c r="L7" i="370" s="1"/>
  <c r="J7" i="370" s="1"/>
  <c r="E7" i="370" s="1"/>
  <c r="D7" i="370" s="1"/>
  <c r="C7" i="370" s="1"/>
  <c r="AU7" i="96" s="1"/>
  <c r="G96" i="96"/>
  <c r="E96" i="96" s="1"/>
  <c r="O10" i="126"/>
  <c r="H10" i="126"/>
  <c r="G10" i="126" s="1"/>
  <c r="F10" i="126" s="1"/>
  <c r="C22" i="375"/>
  <c r="AW22" i="96" s="1"/>
  <c r="H29" i="365"/>
  <c r="G29" i="365" s="1"/>
  <c r="F29" i="365" s="1"/>
  <c r="O29" i="365"/>
  <c r="N29" i="365" s="1"/>
  <c r="M29" i="365" s="1"/>
  <c r="P30" i="365"/>
  <c r="H29" i="377"/>
  <c r="G29" i="377" s="1"/>
  <c r="F29" i="377" s="1"/>
  <c r="P30" i="377"/>
  <c r="O29" i="377"/>
  <c r="N29" i="377" s="1"/>
  <c r="M29" i="377" s="1"/>
  <c r="L27" i="377" s="1"/>
  <c r="J27" i="377" s="1"/>
  <c r="E27" i="377" s="1"/>
  <c r="D27" i="377" s="1"/>
  <c r="C24" i="377" s="1"/>
  <c r="AY24" i="96" s="1"/>
  <c r="W66" i="258"/>
  <c r="W63" i="201"/>
  <c r="P7" i="140"/>
  <c r="G83" i="96"/>
  <c r="E83" i="96" s="1"/>
  <c r="Z16" i="205"/>
  <c r="Y16" i="205" s="1"/>
  <c r="X16" i="205" s="1"/>
  <c r="Z17" i="205"/>
  <c r="Y17" i="205" s="1"/>
  <c r="X17" i="205" s="1"/>
  <c r="Z19" i="205"/>
  <c r="Y19" i="205" s="1"/>
  <c r="X19" i="205" s="1"/>
  <c r="Z18" i="205"/>
  <c r="Y18" i="205" s="1"/>
  <c r="X18" i="205" s="1"/>
  <c r="V18" i="205" s="1"/>
  <c r="P18" i="205" s="1"/>
  <c r="Q18" i="205" s="1"/>
  <c r="AJ9" i="96" s="1"/>
  <c r="Z20" i="205"/>
  <c r="Y20" i="205" s="1"/>
  <c r="X20" i="205" s="1"/>
  <c r="Z30" i="205"/>
  <c r="Y30" i="205" s="1"/>
  <c r="Z28" i="205"/>
  <c r="Y28" i="205" s="1"/>
  <c r="Z31" i="205"/>
  <c r="Y31" i="205" s="1"/>
  <c r="X29" i="205" s="1"/>
  <c r="Z26" i="205"/>
  <c r="Y26" i="205" s="1"/>
  <c r="Z34" i="205"/>
  <c r="Y34" i="205" s="1"/>
  <c r="Z22" i="205"/>
  <c r="Y22" i="205" s="1"/>
  <c r="Z23" i="205"/>
  <c r="Y23" i="205" s="1"/>
  <c r="Z24" i="205"/>
  <c r="Y24" i="205" s="1"/>
  <c r="Z29" i="205"/>
  <c r="Y29" i="205" s="1"/>
  <c r="Z27" i="205"/>
  <c r="Y27" i="205" s="1"/>
  <c r="Z21" i="205"/>
  <c r="Y21" i="205" s="1"/>
  <c r="X21" i="205" s="1"/>
  <c r="Z25" i="205"/>
  <c r="Y25" i="205" s="1"/>
  <c r="Z32" i="205"/>
  <c r="Y32" i="205" s="1"/>
  <c r="Z33" i="205"/>
  <c r="Y33" i="205" s="1"/>
  <c r="P7" i="221"/>
  <c r="G87" i="96"/>
  <c r="E87" i="96" s="1"/>
  <c r="T12" i="346"/>
  <c r="S12" i="346"/>
  <c r="T22" i="116"/>
  <c r="S22" i="116"/>
  <c r="T24" i="346"/>
  <c r="S24" i="346"/>
  <c r="S14" i="116"/>
  <c r="U14" i="116" s="1"/>
  <c r="AH14" i="116" s="1"/>
  <c r="M15" i="116" s="1"/>
  <c r="J15" i="116" s="1"/>
  <c r="F15" i="116" s="1"/>
  <c r="C15" i="116" s="1"/>
  <c r="T14" i="116"/>
  <c r="O29" i="218"/>
  <c r="N29" i="218" s="1"/>
  <c r="M29" i="218" s="1"/>
  <c r="L27" i="218" s="1"/>
  <c r="J27" i="218" s="1"/>
  <c r="H29" i="218"/>
  <c r="G29" i="218" s="1"/>
  <c r="F29" i="218" s="1"/>
  <c r="P30" i="218"/>
  <c r="V114" i="49"/>
  <c r="M113" i="49"/>
  <c r="N113" i="49" s="1"/>
  <c r="L26" i="325"/>
  <c r="J26" i="325" s="1"/>
  <c r="E26" i="325" s="1"/>
  <c r="D26" i="325" s="1"/>
  <c r="L16" i="205"/>
  <c r="W75" i="201"/>
  <c r="W78" i="258"/>
  <c r="G85" i="96"/>
  <c r="E85" i="96" s="1"/>
  <c r="L11" i="117"/>
  <c r="J11" i="117" s="1"/>
  <c r="C11" i="117" s="1"/>
  <c r="C41" i="117" s="1"/>
  <c r="T22" i="346"/>
  <c r="S22" i="346"/>
  <c r="Z108" i="67"/>
  <c r="AA108" i="67"/>
  <c r="W87" i="201"/>
  <c r="W90" i="258"/>
  <c r="P7" i="214"/>
  <c r="G92" i="96"/>
  <c r="E92" i="96" s="1"/>
  <c r="J45" i="183"/>
  <c r="H45" i="183"/>
  <c r="D45" i="183"/>
  <c r="E45" i="183"/>
  <c r="N45" i="183"/>
  <c r="G45" i="183"/>
  <c r="L45" i="183"/>
  <c r="I45" i="183"/>
  <c r="O45" i="183"/>
  <c r="K45" i="183"/>
  <c r="F45" i="183"/>
  <c r="M45" i="183"/>
  <c r="N17" i="20"/>
  <c r="M17" i="20" s="1"/>
  <c r="L17" i="20" s="1"/>
  <c r="U17" i="20"/>
  <c r="S18" i="116"/>
  <c r="T18" i="116"/>
  <c r="H29" i="373"/>
  <c r="G29" i="373" s="1"/>
  <c r="F29" i="373" s="1"/>
  <c r="O29" i="373"/>
  <c r="N29" i="373" s="1"/>
  <c r="M29" i="373" s="1"/>
  <c r="L27" i="373" s="1"/>
  <c r="J27" i="373" s="1"/>
  <c r="E27" i="373" s="1"/>
  <c r="D27" i="373" s="1"/>
  <c r="C24" i="373" s="1"/>
  <c r="AV24" i="96" s="1"/>
  <c r="P30" i="373"/>
  <c r="H29" i="140"/>
  <c r="G29" i="140" s="1"/>
  <c r="F29" i="140" s="1"/>
  <c r="P30" i="140"/>
  <c r="O29" i="140"/>
  <c r="H29" i="221"/>
  <c r="G29" i="221" s="1"/>
  <c r="F29" i="221" s="1"/>
  <c r="P30" i="221"/>
  <c r="O29" i="221"/>
  <c r="N29" i="221" s="1"/>
  <c r="M29" i="221" s="1"/>
  <c r="L27" i="221" s="1"/>
  <c r="J27" i="221" s="1"/>
  <c r="L26" i="218"/>
  <c r="J26" i="218" s="1"/>
  <c r="P7" i="226"/>
  <c r="G95" i="96"/>
  <c r="E95" i="96" s="1"/>
  <c r="D52" i="258"/>
  <c r="H52" i="258"/>
  <c r="F52" i="258"/>
  <c r="M52" i="258"/>
  <c r="E52" i="258"/>
  <c r="J52" i="258"/>
  <c r="G52" i="258"/>
  <c r="K52" i="258"/>
  <c r="N52" i="258"/>
  <c r="L52" i="258"/>
  <c r="I52" i="258"/>
  <c r="O52" i="258"/>
  <c r="H29" i="325"/>
  <c r="G29" i="325" s="1"/>
  <c r="F29" i="325" s="1"/>
  <c r="O29" i="325"/>
  <c r="N29" i="325" s="1"/>
  <c r="M29" i="325" s="1"/>
  <c r="L27" i="325" s="1"/>
  <c r="J27" i="325" s="1"/>
  <c r="E27" i="325" s="1"/>
  <c r="D27" i="325" s="1"/>
  <c r="P30" i="325"/>
  <c r="R10" i="116"/>
  <c r="AF10" i="116"/>
  <c r="F96" i="347"/>
  <c r="AS18" i="96" s="1"/>
  <c r="D100" i="347"/>
  <c r="F100" i="347"/>
  <c r="AS22" i="96" s="1"/>
  <c r="D97" i="347"/>
  <c r="BD5" i="126"/>
  <c r="AP6" i="126" s="1"/>
  <c r="Z82" i="67"/>
  <c r="AA82" i="67"/>
  <c r="T16" i="116"/>
  <c r="S16" i="116"/>
  <c r="P7" i="377"/>
  <c r="O7" i="377" s="1"/>
  <c r="N7" i="377" s="1"/>
  <c r="G97" i="96"/>
  <c r="E97" i="96" s="1"/>
  <c r="H29" i="209"/>
  <c r="G29" i="209" s="1"/>
  <c r="F29" i="209" s="1"/>
  <c r="O29" i="209"/>
  <c r="P30" i="209"/>
  <c r="X115" i="48"/>
  <c r="L79" i="48"/>
  <c r="Z115" i="48" s="1"/>
  <c r="K79" i="48"/>
  <c r="S79" i="48"/>
  <c r="T20" i="346"/>
  <c r="S20" i="346"/>
  <c r="L26" i="221"/>
  <c r="J26" i="221" s="1"/>
  <c r="O103" i="347"/>
  <c r="O11" i="126"/>
  <c r="H11" i="126"/>
  <c r="G11" i="126" s="1"/>
  <c r="F11" i="126" s="1"/>
  <c r="K50" i="201"/>
  <c r="D50" i="201"/>
  <c r="O50" i="201"/>
  <c r="I50" i="201"/>
  <c r="N50" i="201"/>
  <c r="M50" i="201"/>
  <c r="G50" i="201"/>
  <c r="E50" i="201"/>
  <c r="H50" i="201"/>
  <c r="F50" i="201"/>
  <c r="L50" i="201"/>
  <c r="J50" i="201"/>
  <c r="R10" i="346"/>
  <c r="AF10" i="346"/>
  <c r="BD6" i="126"/>
  <c r="AP7" i="126" s="1"/>
  <c r="Z83" i="67"/>
  <c r="AA83" i="67"/>
  <c r="R11" i="116"/>
  <c r="AF11" i="116"/>
  <c r="C84" i="67"/>
  <c r="C110" i="67"/>
  <c r="G42" i="258"/>
  <c r="T13" i="258"/>
  <c r="U13" i="258" s="1"/>
  <c r="E42" i="258"/>
  <c r="J42" i="258"/>
  <c r="N42" i="258"/>
  <c r="L42" i="258"/>
  <c r="F42" i="258"/>
  <c r="S13" i="258" s="1"/>
  <c r="M42" i="258"/>
  <c r="O42" i="258"/>
  <c r="I42" i="258"/>
  <c r="D42" i="258"/>
  <c r="K42" i="258"/>
  <c r="H42" i="258"/>
  <c r="BD4" i="126"/>
  <c r="AA81" i="67"/>
  <c r="Z81" i="67"/>
  <c r="W72" i="258"/>
  <c r="W69" i="201"/>
  <c r="P7" i="200"/>
  <c r="G84" i="96"/>
  <c r="E84" i="96" s="1"/>
  <c r="S20" i="116"/>
  <c r="T20" i="116"/>
  <c r="L10" i="117"/>
  <c r="J10" i="117" s="1"/>
  <c r="C10" i="117" s="1"/>
  <c r="C40" i="117" s="1"/>
  <c r="S19" i="346"/>
  <c r="T19" i="346"/>
  <c r="C22" i="325"/>
  <c r="AR22" i="96" s="1"/>
  <c r="C24" i="325"/>
  <c r="AR24" i="96" s="1"/>
  <c r="C23" i="325"/>
  <c r="AR23" i="96" s="1"/>
  <c r="F97" i="347"/>
  <c r="AS19" i="96" s="1"/>
  <c r="F93" i="347"/>
  <c r="AS15" i="96" s="1"/>
  <c r="D93" i="347"/>
  <c r="K107" i="347"/>
  <c r="J107" i="347" s="1"/>
  <c r="I107" i="347" s="1"/>
  <c r="R107" i="347"/>
  <c r="Q107" i="347" s="1"/>
  <c r="P107" i="347" s="1"/>
  <c r="S108" i="347"/>
  <c r="L49" i="201"/>
  <c r="G49" i="201"/>
  <c r="D49" i="201"/>
  <c r="F49" i="201"/>
  <c r="K49" i="201"/>
  <c r="M49" i="201"/>
  <c r="N49" i="201"/>
  <c r="H49" i="201"/>
  <c r="O49" i="201"/>
  <c r="E49" i="201"/>
  <c r="J49" i="201"/>
  <c r="I49" i="201"/>
  <c r="M53" i="258"/>
  <c r="F53" i="258"/>
  <c r="J53" i="258"/>
  <c r="K53" i="258"/>
  <c r="I53" i="258"/>
  <c r="N53" i="258"/>
  <c r="O53" i="258"/>
  <c r="E53" i="258"/>
  <c r="H53" i="258"/>
  <c r="L53" i="258"/>
  <c r="D53" i="258"/>
  <c r="G53" i="258"/>
  <c r="C22" i="365"/>
  <c r="C23" i="365"/>
  <c r="P30" i="370"/>
  <c r="O29" i="370"/>
  <c r="N29" i="370" s="1"/>
  <c r="M29" i="370" s="1"/>
  <c r="H29" i="370"/>
  <c r="G29" i="370" s="1"/>
  <c r="F29" i="370" s="1"/>
  <c r="AA109" i="67"/>
  <c r="Z109" i="67"/>
  <c r="M85" i="347"/>
  <c r="H85" i="347" s="1"/>
  <c r="O85" i="347"/>
  <c r="T7" i="96" s="1"/>
  <c r="S15" i="346"/>
  <c r="U15" i="346" s="1"/>
  <c r="AH15" i="346" s="1"/>
  <c r="M16" i="346" s="1"/>
  <c r="J16" i="346" s="1"/>
  <c r="F16" i="346" s="1"/>
  <c r="C16" i="346" s="1"/>
  <c r="T15" i="346"/>
  <c r="R11" i="346"/>
  <c r="AF11" i="346"/>
  <c r="F99" i="347"/>
  <c r="AS21" i="96" s="1"/>
  <c r="W54" i="258"/>
  <c r="W51" i="201"/>
  <c r="P7" i="130"/>
  <c r="G75" i="96"/>
  <c r="E75" i="96" s="1"/>
  <c r="P30" i="224"/>
  <c r="O29" i="224"/>
  <c r="N29" i="224" s="1"/>
  <c r="M29" i="224" s="1"/>
  <c r="L27" i="224" s="1"/>
  <c r="J27" i="224" s="1"/>
  <c r="H29" i="224"/>
  <c r="G29" i="224" s="1"/>
  <c r="F29" i="224" s="1"/>
  <c r="P7" i="224"/>
  <c r="G94" i="96"/>
  <c r="E94" i="96" s="1"/>
  <c r="G39" i="201"/>
  <c r="F39" i="201"/>
  <c r="L39" i="201"/>
  <c r="E39" i="201"/>
  <c r="H39" i="201"/>
  <c r="D39" i="201"/>
  <c r="Y9" i="201"/>
  <c r="Z9" i="201" s="1"/>
  <c r="I39" i="201"/>
  <c r="N39" i="201"/>
  <c r="J39" i="201"/>
  <c r="M39" i="201"/>
  <c r="K39" i="201"/>
  <c r="O39" i="201"/>
  <c r="H29" i="130"/>
  <c r="G29" i="130" s="1"/>
  <c r="F29" i="130" s="1"/>
  <c r="O29" i="130"/>
  <c r="N29" i="130" s="1"/>
  <c r="M29" i="130" s="1"/>
  <c r="P30" i="130"/>
  <c r="AA107" i="67"/>
  <c r="AB107" i="67" s="1"/>
  <c r="AC81" i="67" s="1"/>
  <c r="Z107" i="67"/>
  <c r="T14" i="346"/>
  <c r="S14" i="346"/>
  <c r="F94" i="347"/>
  <c r="AS16" i="96" s="1"/>
  <c r="D98" i="347"/>
  <c r="F98" i="347"/>
  <c r="AS20" i="96" s="1"/>
  <c r="H9" i="126"/>
  <c r="G9" i="126" s="1"/>
  <c r="F9" i="126" s="1"/>
  <c r="O9" i="126"/>
  <c r="T24" i="116"/>
  <c r="S24" i="116"/>
  <c r="AF9" i="116"/>
  <c r="R9" i="116"/>
  <c r="P7" i="216"/>
  <c r="W93" i="201"/>
  <c r="W96" i="258"/>
  <c r="G77" i="96"/>
  <c r="E77" i="96" s="1"/>
  <c r="S13" i="346"/>
  <c r="T13" i="346"/>
  <c r="U13" i="346" s="1"/>
  <c r="AH13" i="346" s="1"/>
  <c r="M14" i="346" s="1"/>
  <c r="J14" i="346" s="1"/>
  <c r="F14" i="346" s="1"/>
  <c r="C14" i="346" s="1"/>
  <c r="H12" i="126"/>
  <c r="G12" i="126" s="1"/>
  <c r="F12" i="126" s="1"/>
  <c r="O12" i="126"/>
  <c r="N40" i="20"/>
  <c r="M40" i="20" s="1"/>
  <c r="L40" i="20" s="1"/>
  <c r="U40" i="20"/>
  <c r="T40" i="20" s="1"/>
  <c r="S40" i="20" s="1"/>
  <c r="V41" i="20"/>
  <c r="P7" i="365"/>
  <c r="O7" i="365" s="1"/>
  <c r="N7" i="365" s="1"/>
  <c r="M7" i="365" s="1"/>
  <c r="L7" i="365" s="1"/>
  <c r="J7" i="365" s="1"/>
  <c r="E7" i="365" s="1"/>
  <c r="D7" i="365" s="1"/>
  <c r="C7" i="365" s="1"/>
  <c r="G88" i="96"/>
  <c r="E88" i="96" s="1"/>
  <c r="L26" i="224"/>
  <c r="J26" i="224" s="1"/>
  <c r="L15" i="117"/>
  <c r="J15" i="117" s="1"/>
  <c r="C15" i="117" s="1"/>
  <c r="C45" i="117" s="1"/>
  <c r="L17" i="117"/>
  <c r="J17" i="117" s="1"/>
  <c r="C17" i="117" s="1"/>
  <c r="C47" i="117" s="1"/>
  <c r="S18" i="346"/>
  <c r="T18" i="346"/>
  <c r="E47" i="201"/>
  <c r="K47" i="201"/>
  <c r="I47" i="201"/>
  <c r="J47" i="201"/>
  <c r="O47" i="201"/>
  <c r="H47" i="201"/>
  <c r="G47" i="201"/>
  <c r="L47" i="201"/>
  <c r="D47" i="201"/>
  <c r="M47" i="201"/>
  <c r="N47" i="201"/>
  <c r="F47" i="201"/>
  <c r="D96" i="347"/>
  <c r="R9" i="346"/>
  <c r="AF9" i="346"/>
  <c r="J51" i="258"/>
  <c r="K51" i="258"/>
  <c r="G51" i="258"/>
  <c r="H51" i="258"/>
  <c r="N51" i="258"/>
  <c r="I51" i="258"/>
  <c r="L51" i="258"/>
  <c r="M51" i="258"/>
  <c r="O51" i="258"/>
  <c r="E51" i="258"/>
  <c r="D51" i="258"/>
  <c r="F51" i="258"/>
  <c r="P7" i="209"/>
  <c r="W84" i="258"/>
  <c r="W81" i="201"/>
  <c r="G76" i="96"/>
  <c r="E76" i="96" s="1"/>
  <c r="T19" i="116"/>
  <c r="S19" i="116"/>
  <c r="F95" i="347"/>
  <c r="AS17" i="96" s="1"/>
  <c r="D99" i="347"/>
  <c r="O29" i="375"/>
  <c r="N29" i="375" s="1"/>
  <c r="M29" i="375" s="1"/>
  <c r="H29" i="375"/>
  <c r="G29" i="375" s="1"/>
  <c r="F29" i="375" s="1"/>
  <c r="P30" i="375"/>
  <c r="S21" i="116"/>
  <c r="T21" i="116"/>
  <c r="T25" i="346"/>
  <c r="S25" i="346"/>
  <c r="L26" i="370"/>
  <c r="J26" i="370" s="1"/>
  <c r="E26" i="370" s="1"/>
  <c r="D26" i="370" s="1"/>
  <c r="C23" i="370" s="1"/>
  <c r="AU23" i="96" s="1"/>
  <c r="P27" i="126"/>
  <c r="O26" i="126"/>
  <c r="H26" i="126"/>
  <c r="G26" i="126" s="1"/>
  <c r="F26" i="126" s="1"/>
  <c r="P7" i="218"/>
  <c r="G93" i="96"/>
  <c r="E93" i="96" s="1"/>
  <c r="S15" i="116"/>
  <c r="T15" i="116"/>
  <c r="P7" i="375"/>
  <c r="O7" i="375" s="1"/>
  <c r="N7" i="375" s="1"/>
  <c r="M7" i="375" s="1"/>
  <c r="L7" i="375" s="1"/>
  <c r="J7" i="375" s="1"/>
  <c r="E7" i="375" s="1"/>
  <c r="D7" i="375" s="1"/>
  <c r="G90" i="96"/>
  <c r="E90" i="96" s="1"/>
  <c r="H29" i="214"/>
  <c r="G29" i="214" s="1"/>
  <c r="F29" i="214" s="1"/>
  <c r="O29" i="214"/>
  <c r="P30" i="214"/>
  <c r="S25" i="116"/>
  <c r="T25" i="116"/>
  <c r="H29" i="200"/>
  <c r="G29" i="200" s="1"/>
  <c r="F29" i="200" s="1"/>
  <c r="P30" i="200"/>
  <c r="O29" i="200"/>
  <c r="N29" i="200" s="1"/>
  <c r="M29" i="200" s="1"/>
  <c r="L27" i="200" s="1"/>
  <c r="J27" i="200" s="1"/>
  <c r="T17" i="346"/>
  <c r="S17" i="346"/>
  <c r="S23" i="346"/>
  <c r="T23" i="346"/>
  <c r="T37" i="205"/>
  <c r="S37" i="205" s="1"/>
  <c r="R37" i="205" s="1"/>
  <c r="AB38" i="205"/>
  <c r="AA37" i="205"/>
  <c r="Z37" i="205" s="1"/>
  <c r="Y37" i="205" s="1"/>
  <c r="D50" i="258"/>
  <c r="N50" i="258"/>
  <c r="K50" i="258"/>
  <c r="F50" i="258"/>
  <c r="L50" i="258"/>
  <c r="J50" i="258"/>
  <c r="E50" i="258"/>
  <c r="G50" i="258"/>
  <c r="I50" i="258"/>
  <c r="H50" i="258"/>
  <c r="M50" i="258"/>
  <c r="O50" i="258"/>
  <c r="I48" i="201"/>
  <c r="K48" i="201"/>
  <c r="D48" i="201"/>
  <c r="E48" i="201"/>
  <c r="J48" i="201"/>
  <c r="M48" i="201"/>
  <c r="F48" i="201"/>
  <c r="L48" i="201"/>
  <c r="G48" i="201"/>
  <c r="O48" i="201"/>
  <c r="N48" i="201"/>
  <c r="H48" i="201"/>
  <c r="S21" i="346"/>
  <c r="T21" i="346"/>
  <c r="T13" i="116"/>
  <c r="S13" i="116"/>
  <c r="C23" i="377"/>
  <c r="AY23" i="96" s="1"/>
  <c r="Q29" i="413"/>
  <c r="P29" i="413" s="1"/>
  <c r="O29" i="413" s="1"/>
  <c r="J29" i="413"/>
  <c r="I29" i="413" s="1"/>
  <c r="H29" i="413" s="1"/>
  <c r="L25" i="413"/>
  <c r="R81" i="50"/>
  <c r="Z119" i="50"/>
  <c r="AB119" i="50" s="1"/>
  <c r="N26" i="413"/>
  <c r="W36" i="258"/>
  <c r="W33" i="201"/>
  <c r="R7" i="413"/>
  <c r="J7" i="413" s="1"/>
  <c r="I7" i="413" s="1"/>
  <c r="H7" i="413" s="1"/>
  <c r="R30" i="413"/>
  <c r="F34" i="301"/>
  <c r="B33" i="301"/>
  <c r="N10" i="413"/>
  <c r="N23" i="413"/>
  <c r="N24" i="413"/>
  <c r="N19" i="413"/>
  <c r="N18" i="413"/>
  <c r="N11" i="413"/>
  <c r="N21" i="413"/>
  <c r="N8" i="413"/>
  <c r="N20" i="413"/>
  <c r="N22" i="413"/>
  <c r="N12" i="413"/>
  <c r="F51" i="288"/>
  <c r="F35" i="288" s="1"/>
  <c r="F36" i="288" s="1"/>
  <c r="F37" i="288" s="1"/>
  <c r="F38" i="288" s="1"/>
  <c r="F39" i="288" s="1"/>
  <c r="F40" i="288" s="1"/>
  <c r="F41" i="288" s="1"/>
  <c r="F42" i="288" s="1"/>
  <c r="F43" i="288" s="1"/>
  <c r="F44" i="288" s="1"/>
  <c r="C44" i="288" s="1"/>
  <c r="U17" i="346" l="1"/>
  <c r="AH17" i="346" s="1"/>
  <c r="M18" i="346" s="1"/>
  <c r="J18" i="346" s="1"/>
  <c r="F18" i="346" s="1"/>
  <c r="C18" i="346" s="1"/>
  <c r="U21" i="346"/>
  <c r="AH21" i="346" s="1"/>
  <c r="M22" i="346" s="1"/>
  <c r="J22" i="346" s="1"/>
  <c r="F22" i="346" s="1"/>
  <c r="C22" i="346" s="1"/>
  <c r="U24" i="346"/>
  <c r="AH24" i="346" s="1"/>
  <c r="M25" i="346" s="1"/>
  <c r="J25" i="346" s="1"/>
  <c r="F25" i="346" s="1"/>
  <c r="C25" i="346" s="1"/>
  <c r="U25" i="346"/>
  <c r="AH25" i="346" s="1"/>
  <c r="U17" i="116"/>
  <c r="AH17" i="116" s="1"/>
  <c r="M18" i="116" s="1"/>
  <c r="J18" i="116" s="1"/>
  <c r="F18" i="116" s="1"/>
  <c r="C18" i="116" s="1"/>
  <c r="U14" i="346"/>
  <c r="AH14" i="346" s="1"/>
  <c r="M15" i="346" s="1"/>
  <c r="J15" i="346" s="1"/>
  <c r="F15" i="346" s="1"/>
  <c r="C15" i="346" s="1"/>
  <c r="U20" i="346"/>
  <c r="AH20" i="346" s="1"/>
  <c r="M21" i="346" s="1"/>
  <c r="J21" i="346" s="1"/>
  <c r="F21" i="346" s="1"/>
  <c r="C21" i="346" s="1"/>
  <c r="U18" i="116"/>
  <c r="AH18" i="116" s="1"/>
  <c r="M19" i="116" s="1"/>
  <c r="J19" i="116" s="1"/>
  <c r="F19" i="116" s="1"/>
  <c r="C19" i="116" s="1"/>
  <c r="U19" i="346"/>
  <c r="AH19" i="346" s="1"/>
  <c r="M20" i="346" s="1"/>
  <c r="J20" i="346" s="1"/>
  <c r="F20" i="346" s="1"/>
  <c r="C20" i="346" s="1"/>
  <c r="U22" i="116"/>
  <c r="AH22" i="116" s="1"/>
  <c r="M23" i="116" s="1"/>
  <c r="J23" i="116" s="1"/>
  <c r="F23" i="116" s="1"/>
  <c r="C23" i="116" s="1"/>
  <c r="U23" i="346"/>
  <c r="AH23" i="346" s="1"/>
  <c r="M24" i="346" s="1"/>
  <c r="J24" i="346" s="1"/>
  <c r="F24" i="346" s="1"/>
  <c r="C24" i="346" s="1"/>
  <c r="U20" i="116"/>
  <c r="AH20" i="116" s="1"/>
  <c r="M21" i="116" s="1"/>
  <c r="J21" i="116" s="1"/>
  <c r="F21" i="116" s="1"/>
  <c r="C21" i="116" s="1"/>
  <c r="U21" i="116"/>
  <c r="AH21" i="116" s="1"/>
  <c r="M22" i="116" s="1"/>
  <c r="J22" i="116" s="1"/>
  <c r="F22" i="116" s="1"/>
  <c r="C22" i="116" s="1"/>
  <c r="K69" i="201"/>
  <c r="M69" i="201"/>
  <c r="N69" i="201"/>
  <c r="G69" i="201"/>
  <c r="L69" i="201"/>
  <c r="I69" i="201"/>
  <c r="H69" i="201"/>
  <c r="J69" i="201"/>
  <c r="O69" i="201"/>
  <c r="Y14" i="201"/>
  <c r="Z14" i="201" s="1"/>
  <c r="T11" i="116"/>
  <c r="S11" i="116"/>
  <c r="V115" i="49"/>
  <c r="M114" i="49"/>
  <c r="N114" i="49" s="1"/>
  <c r="E29" i="205"/>
  <c r="J20" i="96" s="1"/>
  <c r="N20" i="489" s="1"/>
  <c r="V29" i="205"/>
  <c r="P29" i="205" s="1"/>
  <c r="Q29" i="205" s="1"/>
  <c r="O29" i="205" s="1"/>
  <c r="AJ20" i="96" s="1"/>
  <c r="U13" i="116"/>
  <c r="AH13" i="116" s="1"/>
  <c r="M14" i="116" s="1"/>
  <c r="J14" i="116" s="1"/>
  <c r="F14" i="116" s="1"/>
  <c r="C14" i="116" s="1"/>
  <c r="T38" i="205"/>
  <c r="S38" i="205" s="1"/>
  <c r="R38" i="205" s="1"/>
  <c r="AB39" i="205"/>
  <c r="AA38" i="205"/>
  <c r="Z38" i="205" s="1"/>
  <c r="Y38" i="205" s="1"/>
  <c r="U18" i="346"/>
  <c r="AH18" i="346" s="1"/>
  <c r="M19" i="346" s="1"/>
  <c r="J19" i="346" s="1"/>
  <c r="F19" i="346" s="1"/>
  <c r="C19" i="346" s="1"/>
  <c r="E26" i="224"/>
  <c r="D26" i="224" s="1"/>
  <c r="O7" i="216"/>
  <c r="H7" i="216"/>
  <c r="G7" i="216" s="1"/>
  <c r="F7" i="216" s="1"/>
  <c r="L27" i="130"/>
  <c r="J27" i="130" s="1"/>
  <c r="O7" i="224"/>
  <c r="H7" i="224"/>
  <c r="G7" i="224" s="1"/>
  <c r="F7" i="224" s="1"/>
  <c r="E27" i="224" s="1"/>
  <c r="D27" i="224" s="1"/>
  <c r="O7" i="200"/>
  <c r="H7" i="200"/>
  <c r="G7" i="200" s="1"/>
  <c r="F7" i="200" s="1"/>
  <c r="P53" i="200"/>
  <c r="H30" i="373"/>
  <c r="G30" i="373" s="1"/>
  <c r="F30" i="373" s="1"/>
  <c r="O30" i="373"/>
  <c r="N30" i="373" s="1"/>
  <c r="M30" i="373" s="1"/>
  <c r="L28" i="373" s="1"/>
  <c r="J28" i="373" s="1"/>
  <c r="E28" i="373" s="1"/>
  <c r="D28" i="373" s="1"/>
  <c r="C25" i="373" s="1"/>
  <c r="AV25" i="96" s="1"/>
  <c r="P31" i="373"/>
  <c r="L90" i="258"/>
  <c r="M90" i="258"/>
  <c r="O90" i="258"/>
  <c r="K90" i="258"/>
  <c r="N90" i="258"/>
  <c r="J90" i="258"/>
  <c r="T21" i="258"/>
  <c r="U21" i="258" s="1"/>
  <c r="X23" i="205"/>
  <c r="X27" i="205"/>
  <c r="V16" i="205"/>
  <c r="P16" i="205" s="1"/>
  <c r="Q16" i="205" s="1"/>
  <c r="O16" i="205" s="1"/>
  <c r="AJ7" i="96" s="1"/>
  <c r="E16" i="205"/>
  <c r="H30" i="365"/>
  <c r="G30" i="365" s="1"/>
  <c r="F30" i="365" s="1"/>
  <c r="O30" i="365"/>
  <c r="N30" i="365" s="1"/>
  <c r="M30" i="365" s="1"/>
  <c r="L28" i="365" s="1"/>
  <c r="J28" i="365" s="1"/>
  <c r="E28" i="365" s="1"/>
  <c r="D28" i="365" s="1"/>
  <c r="C25" i="365" s="1"/>
  <c r="P31" i="365"/>
  <c r="U16" i="346"/>
  <c r="AH16" i="346" s="1"/>
  <c r="M17" i="346" s="1"/>
  <c r="J17" i="346" s="1"/>
  <c r="F17" i="346" s="1"/>
  <c r="C17" i="346" s="1"/>
  <c r="K108" i="347"/>
  <c r="J108" i="347" s="1"/>
  <c r="I108" i="347" s="1"/>
  <c r="S109" i="347"/>
  <c r="R108" i="347"/>
  <c r="Q108" i="347" s="1"/>
  <c r="P108" i="347" s="1"/>
  <c r="L27" i="365"/>
  <c r="J27" i="365" s="1"/>
  <c r="E27" i="365" s="1"/>
  <c r="D27" i="365" s="1"/>
  <c r="H30" i="200"/>
  <c r="G30" i="200" s="1"/>
  <c r="F30" i="200" s="1"/>
  <c r="O30" i="200"/>
  <c r="N30" i="200" s="1"/>
  <c r="M30" i="200" s="1"/>
  <c r="P31" i="200"/>
  <c r="H30" i="375"/>
  <c r="G30" i="375" s="1"/>
  <c r="F30" i="375" s="1"/>
  <c r="P31" i="375"/>
  <c r="O30" i="375"/>
  <c r="N30" i="375" s="1"/>
  <c r="M30" i="375" s="1"/>
  <c r="L81" i="201"/>
  <c r="K81" i="201"/>
  <c r="J81" i="201"/>
  <c r="I81" i="201"/>
  <c r="M81" i="201"/>
  <c r="O81" i="201"/>
  <c r="N81" i="201"/>
  <c r="Y16" i="201"/>
  <c r="Z16" i="201" s="1"/>
  <c r="S9" i="346"/>
  <c r="U9" i="346" s="1"/>
  <c r="AH9" i="346" s="1"/>
  <c r="M10" i="346" s="1"/>
  <c r="J10" i="346" s="1"/>
  <c r="F10" i="346" s="1"/>
  <c r="C10" i="346" s="1"/>
  <c r="T9" i="346"/>
  <c r="J72" i="258"/>
  <c r="G72" i="258"/>
  <c r="S18" i="258" s="1"/>
  <c r="H72" i="258"/>
  <c r="N72" i="258"/>
  <c r="O72" i="258"/>
  <c r="I72" i="258"/>
  <c r="K72" i="258"/>
  <c r="L72" i="258"/>
  <c r="M72" i="258"/>
  <c r="T18" i="258"/>
  <c r="U18" i="258" s="1"/>
  <c r="H30" i="209"/>
  <c r="G30" i="209" s="1"/>
  <c r="F30" i="209" s="1"/>
  <c r="P31" i="209"/>
  <c r="O30" i="209"/>
  <c r="T10" i="116"/>
  <c r="S10" i="116"/>
  <c r="U10" i="116" s="1"/>
  <c r="AH10" i="116" s="1"/>
  <c r="M11" i="116" s="1"/>
  <c r="J11" i="116" s="1"/>
  <c r="F11" i="116" s="1"/>
  <c r="C11" i="116" s="1"/>
  <c r="AB108" i="67"/>
  <c r="AC82" i="67" s="1"/>
  <c r="I78" i="258"/>
  <c r="H78" i="258"/>
  <c r="K78" i="258"/>
  <c r="N78" i="258"/>
  <c r="L78" i="258"/>
  <c r="M78" i="258"/>
  <c r="J78" i="258"/>
  <c r="O78" i="258"/>
  <c r="T19" i="258"/>
  <c r="U19" i="258" s="1"/>
  <c r="H7" i="221"/>
  <c r="G7" i="221" s="1"/>
  <c r="F7" i="221" s="1"/>
  <c r="E26" i="221" s="1"/>
  <c r="D26" i="221" s="1"/>
  <c r="O7" i="221"/>
  <c r="X25" i="205"/>
  <c r="H7" i="140"/>
  <c r="G7" i="140" s="1"/>
  <c r="F7" i="140" s="1"/>
  <c r="O7" i="140"/>
  <c r="O30" i="226"/>
  <c r="N30" i="226" s="1"/>
  <c r="M30" i="226" s="1"/>
  <c r="H30" i="226"/>
  <c r="G30" i="226" s="1"/>
  <c r="F30" i="226" s="1"/>
  <c r="P31" i="226"/>
  <c r="K84" i="258"/>
  <c r="I84" i="258"/>
  <c r="J84" i="258"/>
  <c r="N84" i="258"/>
  <c r="O84" i="258"/>
  <c r="M84" i="258"/>
  <c r="L84" i="258"/>
  <c r="T20" i="258"/>
  <c r="U20" i="258" s="1"/>
  <c r="P31" i="224"/>
  <c r="O30" i="224"/>
  <c r="N30" i="224" s="1"/>
  <c r="M30" i="224" s="1"/>
  <c r="H30" i="224"/>
  <c r="G30" i="224" s="1"/>
  <c r="F30" i="224" s="1"/>
  <c r="S11" i="346"/>
  <c r="U11" i="346" s="1"/>
  <c r="AH11" i="346" s="1"/>
  <c r="M12" i="346" s="1"/>
  <c r="J12" i="346" s="1"/>
  <c r="F12" i="346" s="1"/>
  <c r="C12" i="346" s="1"/>
  <c r="T11" i="346"/>
  <c r="L27" i="370"/>
  <c r="J27" i="370" s="1"/>
  <c r="E27" i="370" s="1"/>
  <c r="D27" i="370" s="1"/>
  <c r="C24" i="370" s="1"/>
  <c r="AU24" i="96" s="1"/>
  <c r="N29" i="209"/>
  <c r="M29" i="209" s="1"/>
  <c r="H30" i="221"/>
  <c r="G30" i="221" s="1"/>
  <c r="F30" i="221" s="1"/>
  <c r="P31" i="221"/>
  <c r="O30" i="221"/>
  <c r="N30" i="221" s="1"/>
  <c r="M30" i="221" s="1"/>
  <c r="H75" i="201"/>
  <c r="I75" i="201"/>
  <c r="O75" i="201"/>
  <c r="M75" i="201"/>
  <c r="K75" i="201"/>
  <c r="N75" i="201"/>
  <c r="J75" i="201"/>
  <c r="L75" i="201"/>
  <c r="Y15" i="201"/>
  <c r="Z15" i="201" s="1"/>
  <c r="X28" i="205"/>
  <c r="N63" i="201"/>
  <c r="M63" i="201"/>
  <c r="K63" i="201"/>
  <c r="L63" i="201"/>
  <c r="J63" i="201"/>
  <c r="H63" i="201"/>
  <c r="O63" i="201"/>
  <c r="I63" i="201"/>
  <c r="F63" i="201"/>
  <c r="G63" i="201"/>
  <c r="Y13" i="201"/>
  <c r="Z13" i="201" s="1"/>
  <c r="H30" i="134"/>
  <c r="G30" i="134" s="1"/>
  <c r="F30" i="134" s="1"/>
  <c r="P31" i="134"/>
  <c r="O30" i="134"/>
  <c r="U25" i="116"/>
  <c r="AH25" i="116" s="1"/>
  <c r="U15" i="116"/>
  <c r="AH15" i="116" s="1"/>
  <c r="M16" i="116" s="1"/>
  <c r="J16" i="116" s="1"/>
  <c r="F16" i="116" s="1"/>
  <c r="C16" i="116" s="1"/>
  <c r="L28" i="375"/>
  <c r="J28" i="375" s="1"/>
  <c r="E28" i="375" s="1"/>
  <c r="D28" i="375" s="1"/>
  <c r="C25" i="375" s="1"/>
  <c r="AW25" i="96" s="1"/>
  <c r="L27" i="375"/>
  <c r="J27" i="375" s="1"/>
  <c r="E27" i="375" s="1"/>
  <c r="D27" i="375" s="1"/>
  <c r="H7" i="209"/>
  <c r="G7" i="209" s="1"/>
  <c r="F7" i="209" s="1"/>
  <c r="E9" i="209" s="1"/>
  <c r="D9" i="209" s="1"/>
  <c r="O7" i="209"/>
  <c r="N41" i="20"/>
  <c r="M41" i="20" s="1"/>
  <c r="L41" i="20" s="1"/>
  <c r="U41" i="20"/>
  <c r="T41" i="20" s="1"/>
  <c r="S41" i="20" s="1"/>
  <c r="V42" i="20"/>
  <c r="U24" i="116"/>
  <c r="AH24" i="116" s="1"/>
  <c r="M25" i="116" s="1"/>
  <c r="J25" i="116" s="1"/>
  <c r="F25" i="116" s="1"/>
  <c r="C25" i="116" s="1"/>
  <c r="P31" i="370"/>
  <c r="O30" i="370"/>
  <c r="N30" i="370" s="1"/>
  <c r="M30" i="370" s="1"/>
  <c r="L28" i="370" s="1"/>
  <c r="J28" i="370" s="1"/>
  <c r="E28" i="370" s="1"/>
  <c r="D28" i="370" s="1"/>
  <c r="C25" i="370" s="1"/>
  <c r="AU25" i="96" s="1"/>
  <c r="H30" i="370"/>
  <c r="G30" i="370" s="1"/>
  <c r="F30" i="370" s="1"/>
  <c r="AB81" i="67"/>
  <c r="AB82" i="67"/>
  <c r="H30" i="325"/>
  <c r="G30" i="325" s="1"/>
  <c r="F30" i="325" s="1"/>
  <c r="O30" i="325"/>
  <c r="N30" i="325" s="1"/>
  <c r="M30" i="325" s="1"/>
  <c r="P31" i="325"/>
  <c r="U22" i="346"/>
  <c r="AH22" i="346" s="1"/>
  <c r="M23" i="346" s="1"/>
  <c r="J23" i="346" s="1"/>
  <c r="F23" i="346" s="1"/>
  <c r="C23" i="346" s="1"/>
  <c r="O30" i="218"/>
  <c r="N30" i="218" s="1"/>
  <c r="M30" i="218" s="1"/>
  <c r="H30" i="218"/>
  <c r="G30" i="218" s="1"/>
  <c r="F30" i="218" s="1"/>
  <c r="P31" i="218"/>
  <c r="X26" i="205"/>
  <c r="E20" i="205"/>
  <c r="J11" i="96" s="1"/>
  <c r="N11" i="489" s="1"/>
  <c r="V20" i="205"/>
  <c r="P20" i="205" s="1"/>
  <c r="Q20" i="205" s="1"/>
  <c r="O20" i="205" s="1"/>
  <c r="AJ11" i="96" s="1"/>
  <c r="J66" i="258"/>
  <c r="F66" i="258"/>
  <c r="S17" i="258" s="1"/>
  <c r="I66" i="258"/>
  <c r="K66" i="258"/>
  <c r="G66" i="258"/>
  <c r="M66" i="258"/>
  <c r="O66" i="258"/>
  <c r="L66" i="258"/>
  <c r="H66" i="258"/>
  <c r="N66" i="258"/>
  <c r="T17" i="258"/>
  <c r="U17" i="258" s="1"/>
  <c r="L27" i="226"/>
  <c r="J27" i="226" s="1"/>
  <c r="E27" i="226" s="1"/>
  <c r="D27" i="226" s="1"/>
  <c r="J87" i="201"/>
  <c r="N87" i="201"/>
  <c r="L87" i="201"/>
  <c r="Y17" i="201"/>
  <c r="Z17" i="201" s="1"/>
  <c r="M87" i="201"/>
  <c r="O87" i="201"/>
  <c r="K87" i="201"/>
  <c r="X33" i="205"/>
  <c r="H7" i="130"/>
  <c r="G7" i="130" s="1"/>
  <c r="F7" i="130" s="1"/>
  <c r="O7" i="130"/>
  <c r="N7" i="130" s="1"/>
  <c r="M7" i="130" s="1"/>
  <c r="AP5" i="126"/>
  <c r="BD3" i="126"/>
  <c r="AP4" i="126" s="1"/>
  <c r="Z110" i="67"/>
  <c r="AA110" i="67"/>
  <c r="AB109" i="67" s="1"/>
  <c r="AC83" i="67" s="1"/>
  <c r="O7" i="226"/>
  <c r="H7" i="226"/>
  <c r="G7" i="226" s="1"/>
  <c r="F7" i="226" s="1"/>
  <c r="N29" i="140"/>
  <c r="M29" i="140" s="1"/>
  <c r="T20" i="20"/>
  <c r="S20" i="20" s="1"/>
  <c r="R20" i="20" s="1"/>
  <c r="P20" i="20" s="1"/>
  <c r="K20" i="20" s="1"/>
  <c r="J20" i="20" s="1"/>
  <c r="T17" i="20"/>
  <c r="S17" i="20" s="1"/>
  <c r="R17" i="20" s="1"/>
  <c r="P17" i="20" s="1"/>
  <c r="K17" i="20" s="1"/>
  <c r="T18" i="20"/>
  <c r="S18" i="20" s="1"/>
  <c r="R18" i="20" s="1"/>
  <c r="P18" i="20" s="1"/>
  <c r="K18" i="20" s="1"/>
  <c r="T26" i="20"/>
  <c r="S26" i="20" s="1"/>
  <c r="R26" i="20" s="1"/>
  <c r="P26" i="20" s="1"/>
  <c r="K26" i="20" s="1"/>
  <c r="J26" i="20" s="1"/>
  <c r="T34" i="20"/>
  <c r="S34" i="20" s="1"/>
  <c r="T28" i="20"/>
  <c r="S28" i="20" s="1"/>
  <c r="T35" i="20"/>
  <c r="S35" i="20" s="1"/>
  <c r="T32" i="20"/>
  <c r="S32" i="20" s="1"/>
  <c r="T23" i="20"/>
  <c r="S23" i="20" s="1"/>
  <c r="R23" i="20" s="1"/>
  <c r="P23" i="20" s="1"/>
  <c r="K23" i="20" s="1"/>
  <c r="J23" i="20" s="1"/>
  <c r="T24" i="20"/>
  <c r="S24" i="20" s="1"/>
  <c r="R24" i="20" s="1"/>
  <c r="P24" i="20" s="1"/>
  <c r="K24" i="20" s="1"/>
  <c r="J24" i="20" s="1"/>
  <c r="T30" i="20"/>
  <c r="S30" i="20" s="1"/>
  <c r="T25" i="20"/>
  <c r="S25" i="20" s="1"/>
  <c r="T33" i="20"/>
  <c r="S33" i="20" s="1"/>
  <c r="T27" i="20"/>
  <c r="S27" i="20" s="1"/>
  <c r="T29" i="20"/>
  <c r="S29" i="20" s="1"/>
  <c r="T31" i="20"/>
  <c r="S31" i="20" s="1"/>
  <c r="T21" i="20"/>
  <c r="S21" i="20" s="1"/>
  <c r="R21" i="20" s="1"/>
  <c r="P21" i="20" s="1"/>
  <c r="K21" i="20" s="1"/>
  <c r="J21" i="20" s="1"/>
  <c r="T22" i="20"/>
  <c r="S22" i="20" s="1"/>
  <c r="R22" i="20" s="1"/>
  <c r="P22" i="20" s="1"/>
  <c r="K22" i="20" s="1"/>
  <c r="J22" i="20" s="1"/>
  <c r="T36" i="20"/>
  <c r="S36" i="20" s="1"/>
  <c r="T37" i="20"/>
  <c r="S37" i="20" s="1"/>
  <c r="T19" i="20"/>
  <c r="S19" i="20" s="1"/>
  <c r="R19" i="20" s="1"/>
  <c r="P19" i="20" s="1"/>
  <c r="K19" i="20" s="1"/>
  <c r="T38" i="20"/>
  <c r="S38" i="20" s="1"/>
  <c r="L28" i="200"/>
  <c r="J28" i="200" s="1"/>
  <c r="E28" i="200" s="1"/>
  <c r="D28" i="200" s="1"/>
  <c r="O27" i="126"/>
  <c r="P28" i="126"/>
  <c r="H27" i="126"/>
  <c r="G27" i="126" s="1"/>
  <c r="F27" i="126" s="1"/>
  <c r="E21" i="205"/>
  <c r="J12" i="96" s="1"/>
  <c r="N12" i="489" s="1"/>
  <c r="V21" i="205"/>
  <c r="P21" i="205" s="1"/>
  <c r="Q21" i="205" s="1"/>
  <c r="O21" i="205" s="1"/>
  <c r="AJ12" i="96" s="1"/>
  <c r="H30" i="214"/>
  <c r="G30" i="214" s="1"/>
  <c r="F30" i="214" s="1"/>
  <c r="P31" i="214"/>
  <c r="O30" i="214"/>
  <c r="O7" i="218"/>
  <c r="H7" i="218"/>
  <c r="G7" i="218" s="1"/>
  <c r="F7" i="218" s="1"/>
  <c r="K96" i="258"/>
  <c r="O96" i="258"/>
  <c r="N96" i="258"/>
  <c r="L96" i="258"/>
  <c r="M96" i="258"/>
  <c r="T22" i="258"/>
  <c r="U22" i="258" s="1"/>
  <c r="D51" i="201"/>
  <c r="H51" i="201"/>
  <c r="G51" i="201"/>
  <c r="F51" i="201"/>
  <c r="M51" i="201"/>
  <c r="I51" i="201"/>
  <c r="K51" i="201"/>
  <c r="E51" i="201"/>
  <c r="N51" i="201"/>
  <c r="O51" i="201"/>
  <c r="L51" i="201"/>
  <c r="J51" i="201"/>
  <c r="Y11" i="201"/>
  <c r="Z11" i="201" s="1"/>
  <c r="BD7" i="126"/>
  <c r="AP8" i="126" s="1"/>
  <c r="AA84" i="67"/>
  <c r="Z84" i="67"/>
  <c r="S10" i="346"/>
  <c r="U10" i="346" s="1"/>
  <c r="AH10" i="346" s="1"/>
  <c r="M11" i="346" s="1"/>
  <c r="J11" i="346" s="1"/>
  <c r="F11" i="346" s="1"/>
  <c r="C11" i="346" s="1"/>
  <c r="T10" i="346"/>
  <c r="H30" i="140"/>
  <c r="G30" i="140" s="1"/>
  <c r="F30" i="140" s="1"/>
  <c r="P31" i="140"/>
  <c r="O30" i="140"/>
  <c r="N30" i="140" s="1"/>
  <c r="M30" i="140" s="1"/>
  <c r="E27" i="218"/>
  <c r="D27" i="218" s="1"/>
  <c r="X31" i="205"/>
  <c r="X35" i="205"/>
  <c r="X22" i="205"/>
  <c r="X24" i="205"/>
  <c r="V19" i="205"/>
  <c r="P19" i="205" s="1"/>
  <c r="Q19" i="205" s="1"/>
  <c r="O19" i="205" s="1"/>
  <c r="AJ10" i="96" s="1"/>
  <c r="E19" i="205"/>
  <c r="H30" i="377"/>
  <c r="G30" i="377" s="1"/>
  <c r="F30" i="377" s="1"/>
  <c r="P31" i="377"/>
  <c r="O30" i="377"/>
  <c r="N30" i="377" s="1"/>
  <c r="M30" i="377" s="1"/>
  <c r="L28" i="377" s="1"/>
  <c r="J28" i="377" s="1"/>
  <c r="E28" i="377" s="1"/>
  <c r="D28" i="377" s="1"/>
  <c r="L27" i="216"/>
  <c r="J27" i="216" s="1"/>
  <c r="E27" i="216" s="1"/>
  <c r="D27" i="216" s="1"/>
  <c r="U12" i="116"/>
  <c r="AH12" i="116" s="1"/>
  <c r="M13" i="116" s="1"/>
  <c r="J13" i="116" s="1"/>
  <c r="F13" i="116" s="1"/>
  <c r="C13" i="116" s="1"/>
  <c r="S9" i="116"/>
  <c r="T9" i="116"/>
  <c r="T25" i="96"/>
  <c r="M103" i="347"/>
  <c r="H103" i="347" s="1"/>
  <c r="G103" i="347" s="1"/>
  <c r="U19" i="116"/>
  <c r="AH19" i="116" s="1"/>
  <c r="M20" i="116" s="1"/>
  <c r="J20" i="116" s="1"/>
  <c r="F20" i="116" s="1"/>
  <c r="C20" i="116" s="1"/>
  <c r="M93" i="201"/>
  <c r="K93" i="201"/>
  <c r="O93" i="201"/>
  <c r="L93" i="201"/>
  <c r="N93" i="201"/>
  <c r="Y18" i="201"/>
  <c r="Z18" i="201" s="1"/>
  <c r="H30" i="130"/>
  <c r="G30" i="130" s="1"/>
  <c r="F30" i="130" s="1"/>
  <c r="O30" i="130"/>
  <c r="N30" i="130" s="1"/>
  <c r="M30" i="130" s="1"/>
  <c r="L28" i="130" s="1"/>
  <c r="J28" i="130" s="1"/>
  <c r="E28" i="130" s="1"/>
  <c r="D28" i="130" s="1"/>
  <c r="P31" i="130"/>
  <c r="F54" i="258"/>
  <c r="S15" i="258" s="1"/>
  <c r="I54" i="258"/>
  <c r="M54" i="258"/>
  <c r="K54" i="258"/>
  <c r="N54" i="258"/>
  <c r="D54" i="258"/>
  <c r="L54" i="258"/>
  <c r="H54" i="258"/>
  <c r="O54" i="258"/>
  <c r="G54" i="258"/>
  <c r="E54" i="258"/>
  <c r="J54" i="258"/>
  <c r="T15" i="258"/>
  <c r="U15" i="258" s="1"/>
  <c r="O104" i="347"/>
  <c r="Y115" i="48"/>
  <c r="N79" i="48"/>
  <c r="U16" i="116"/>
  <c r="AH16" i="116" s="1"/>
  <c r="M17" i="116" s="1"/>
  <c r="J17" i="116" s="1"/>
  <c r="F17" i="116" s="1"/>
  <c r="C17" i="116" s="1"/>
  <c r="E26" i="218"/>
  <c r="D26" i="218" s="1"/>
  <c r="O7" i="214"/>
  <c r="H7" i="214"/>
  <c r="G7" i="214" s="1"/>
  <c r="F7" i="214" s="1"/>
  <c r="E9" i="214" s="1"/>
  <c r="D9" i="214" s="1"/>
  <c r="C9" i="214" s="1"/>
  <c r="AL9" i="96" s="1"/>
  <c r="T39" i="20"/>
  <c r="S39" i="20" s="1"/>
  <c r="U12" i="346"/>
  <c r="AH12" i="346" s="1"/>
  <c r="M13" i="346" s="1"/>
  <c r="J13" i="346" s="1"/>
  <c r="F13" i="346" s="1"/>
  <c r="C13" i="346" s="1"/>
  <c r="X30" i="205"/>
  <c r="X34" i="205"/>
  <c r="X32" i="205"/>
  <c r="E17" i="205"/>
  <c r="V17" i="205"/>
  <c r="P17" i="205" s="1"/>
  <c r="Q17" i="205" s="1"/>
  <c r="O17" i="205" s="1"/>
  <c r="AJ8" i="96" s="1"/>
  <c r="H30" i="216"/>
  <c r="G30" i="216" s="1"/>
  <c r="F30" i="216" s="1"/>
  <c r="P31" i="216"/>
  <c r="O30" i="216"/>
  <c r="N30" i="216" s="1"/>
  <c r="M30" i="216" s="1"/>
  <c r="G25" i="413"/>
  <c r="F25" i="413" s="1"/>
  <c r="Q30" i="413"/>
  <c r="P30" i="413" s="1"/>
  <c r="O30" i="413" s="1"/>
  <c r="J30" i="413"/>
  <c r="I30" i="413" s="1"/>
  <c r="H30" i="413" s="1"/>
  <c r="Q7" i="413"/>
  <c r="P7" i="413" s="1"/>
  <c r="O7" i="413" s="1"/>
  <c r="F11" i="413"/>
  <c r="E11" i="413" s="1"/>
  <c r="L26" i="413"/>
  <c r="F8" i="413"/>
  <c r="E8" i="413" s="1"/>
  <c r="F10" i="413"/>
  <c r="E10" i="413" s="1"/>
  <c r="F12" i="413"/>
  <c r="E12" i="413" s="1"/>
  <c r="L23" i="413"/>
  <c r="L18" i="413"/>
  <c r="L21" i="413"/>
  <c r="L19" i="413"/>
  <c r="L20" i="413"/>
  <c r="L22" i="413"/>
  <c r="L24" i="413"/>
  <c r="W57" i="201"/>
  <c r="G91" i="96"/>
  <c r="E91" i="96" s="1"/>
  <c r="W60" i="258"/>
  <c r="P7" i="134"/>
  <c r="N27" i="413"/>
  <c r="R31" i="413"/>
  <c r="G33" i="201"/>
  <c r="L33" i="201"/>
  <c r="J33" i="201"/>
  <c r="M33" i="201"/>
  <c r="D33" i="201"/>
  <c r="I33" i="201"/>
  <c r="O33" i="201"/>
  <c r="E33" i="201"/>
  <c r="Y8" i="201"/>
  <c r="Z8" i="201" s="1"/>
  <c r="H33" i="201"/>
  <c r="N33" i="201"/>
  <c r="K33" i="201"/>
  <c r="F33" i="201"/>
  <c r="O36" i="258"/>
  <c r="G36" i="258"/>
  <c r="N36" i="258"/>
  <c r="M36" i="258"/>
  <c r="E36" i="258"/>
  <c r="L36" i="258"/>
  <c r="I36" i="258"/>
  <c r="K36" i="258"/>
  <c r="J36" i="258"/>
  <c r="T12" i="258"/>
  <c r="U12" i="258" s="1"/>
  <c r="F36" i="258"/>
  <c r="S12" i="258" s="1"/>
  <c r="H36" i="258"/>
  <c r="D36" i="258"/>
  <c r="F35" i="301"/>
  <c r="B34" i="301"/>
  <c r="F12" i="288"/>
  <c r="F13" i="288" s="1"/>
  <c r="F14" i="288" s="1"/>
  <c r="F15" i="288" s="1"/>
  <c r="F16" i="288" s="1"/>
  <c r="F17" i="288" s="1"/>
  <c r="F18" i="288" s="1"/>
  <c r="F19" i="288" s="1"/>
  <c r="R38" i="20" l="1"/>
  <c r="P38" i="20" s="1"/>
  <c r="K38" i="20" s="1"/>
  <c r="J38" i="20" s="1"/>
  <c r="AE28" i="96" s="1"/>
  <c r="AD10" i="96"/>
  <c r="BP10" i="413"/>
  <c r="F101" i="347"/>
  <c r="AS23" i="96" s="1"/>
  <c r="F102" i="347"/>
  <c r="AS24" i="96" s="1"/>
  <c r="D101" i="347"/>
  <c r="E35" i="205"/>
  <c r="J26" i="96" s="1"/>
  <c r="N26" i="489" s="1"/>
  <c r="V35" i="205"/>
  <c r="P35" i="205" s="1"/>
  <c r="Q35" i="205" s="1"/>
  <c r="O35" i="205" s="1"/>
  <c r="AJ26" i="96" s="1"/>
  <c r="E22" i="218"/>
  <c r="D22" i="218" s="1"/>
  <c r="E14" i="218"/>
  <c r="D14" i="218" s="1"/>
  <c r="E9" i="218"/>
  <c r="D9" i="218" s="1"/>
  <c r="C9" i="218" s="1"/>
  <c r="AN9" i="96" s="1"/>
  <c r="E12" i="218"/>
  <c r="D12" i="218" s="1"/>
  <c r="E20" i="218"/>
  <c r="D20" i="218" s="1"/>
  <c r="E19" i="218"/>
  <c r="D19" i="218" s="1"/>
  <c r="E16" i="218"/>
  <c r="D16" i="218" s="1"/>
  <c r="E21" i="218"/>
  <c r="D21" i="218" s="1"/>
  <c r="E17" i="218"/>
  <c r="D17" i="218" s="1"/>
  <c r="E10" i="218"/>
  <c r="D10" i="218" s="1"/>
  <c r="C10" i="218" s="1"/>
  <c r="AN10" i="96" s="1"/>
  <c r="E15" i="218"/>
  <c r="D15" i="218" s="1"/>
  <c r="E18" i="218"/>
  <c r="D18" i="218" s="1"/>
  <c r="E8" i="218"/>
  <c r="D8" i="218" s="1"/>
  <c r="C8" i="218" s="1"/>
  <c r="AN8" i="96" s="1"/>
  <c r="E23" i="218"/>
  <c r="D23" i="218" s="1"/>
  <c r="E11" i="218"/>
  <c r="D11" i="218" s="1"/>
  <c r="C11" i="218" s="1"/>
  <c r="AN11" i="96" s="1"/>
  <c r="E24" i="218"/>
  <c r="D24" i="218" s="1"/>
  <c r="E13" i="218"/>
  <c r="D13" i="218" s="1"/>
  <c r="E25" i="218"/>
  <c r="D25" i="218" s="1"/>
  <c r="H28" i="126"/>
  <c r="G28" i="126" s="1"/>
  <c r="F28" i="126" s="1"/>
  <c r="O28" i="126"/>
  <c r="P29" i="126"/>
  <c r="I22" i="20"/>
  <c r="AE12" i="96"/>
  <c r="AE14" i="96"/>
  <c r="H31" i="325"/>
  <c r="G31" i="325" s="1"/>
  <c r="F31" i="325" s="1"/>
  <c r="O31" i="325"/>
  <c r="N31" i="325" s="1"/>
  <c r="M31" i="325" s="1"/>
  <c r="P32" i="325"/>
  <c r="V28" i="205"/>
  <c r="P28" i="205" s="1"/>
  <c r="Q28" i="205" s="1"/>
  <c r="O28" i="205" s="1"/>
  <c r="AJ19" i="96" s="1"/>
  <c r="E28" i="205"/>
  <c r="J19" i="96" s="1"/>
  <c r="N19" i="489" s="1"/>
  <c r="L28" i="226"/>
  <c r="J28" i="226" s="1"/>
  <c r="E28" i="226" s="1"/>
  <c r="D28" i="226" s="1"/>
  <c r="V23" i="205"/>
  <c r="P23" i="205" s="1"/>
  <c r="Q23" i="205" s="1"/>
  <c r="O23" i="205" s="1"/>
  <c r="AJ14" i="96" s="1"/>
  <c r="E23" i="205"/>
  <c r="J14" i="96" s="1"/>
  <c r="N14" i="489" s="1"/>
  <c r="H31" i="373"/>
  <c r="G31" i="373" s="1"/>
  <c r="F31" i="373" s="1"/>
  <c r="P32" i="373"/>
  <c r="O31" i="373"/>
  <c r="N31" i="373" s="1"/>
  <c r="M31" i="373" s="1"/>
  <c r="L29" i="373" s="1"/>
  <c r="J29" i="373" s="1"/>
  <c r="E29" i="373" s="1"/>
  <c r="D29" i="373" s="1"/>
  <c r="C26" i="373" s="1"/>
  <c r="AV26" i="96" s="1"/>
  <c r="T39" i="205"/>
  <c r="S39" i="205" s="1"/>
  <c r="R39" i="205" s="1"/>
  <c r="AA39" i="205"/>
  <c r="Z39" i="205" s="1"/>
  <c r="Y39" i="205" s="1"/>
  <c r="AB40" i="205"/>
  <c r="H31" i="216"/>
  <c r="G31" i="216" s="1"/>
  <c r="F31" i="216" s="1"/>
  <c r="P32" i="216"/>
  <c r="O31" i="216"/>
  <c r="N31" i="216" s="1"/>
  <c r="M31" i="216" s="1"/>
  <c r="C25" i="377"/>
  <c r="AY25" i="96" s="1"/>
  <c r="V31" i="205"/>
  <c r="P31" i="205" s="1"/>
  <c r="Q31" i="205" s="1"/>
  <c r="O31" i="205" s="1"/>
  <c r="AJ22" i="96" s="1"/>
  <c r="E31" i="205"/>
  <c r="J22" i="96" s="1"/>
  <c r="N22" i="489" s="1"/>
  <c r="C102" i="258"/>
  <c r="C99" i="201"/>
  <c r="N7" i="218"/>
  <c r="M7" i="218" s="1"/>
  <c r="L7" i="218" s="1"/>
  <c r="J7" i="218" s="1"/>
  <c r="E7" i="218" s="1"/>
  <c r="D7" i="218" s="1"/>
  <c r="C7" i="218" s="1"/>
  <c r="AN7" i="96" s="1"/>
  <c r="C99" i="183"/>
  <c r="I21" i="20"/>
  <c r="AE11" i="96"/>
  <c r="I23" i="20"/>
  <c r="AE13" i="96"/>
  <c r="AE10" i="96"/>
  <c r="I20" i="20"/>
  <c r="L7" i="130"/>
  <c r="J7" i="130" s="1"/>
  <c r="E7" i="130" s="1"/>
  <c r="D7" i="130" s="1"/>
  <c r="C7" i="130" s="1"/>
  <c r="AH7" i="96" s="1"/>
  <c r="L9" i="130"/>
  <c r="J9" i="130" s="1"/>
  <c r="E9" i="130" s="1"/>
  <c r="D9" i="130" s="1"/>
  <c r="L28" i="325"/>
  <c r="J28" i="325" s="1"/>
  <c r="E28" i="325" s="1"/>
  <c r="D28" i="325" s="1"/>
  <c r="L29" i="325"/>
  <c r="J29" i="325" s="1"/>
  <c r="E29" i="325" s="1"/>
  <c r="D29" i="325" s="1"/>
  <c r="N42" i="20"/>
  <c r="M42" i="20" s="1"/>
  <c r="L42" i="20" s="1"/>
  <c r="V43" i="20"/>
  <c r="U42" i="20"/>
  <c r="T42" i="20" s="1"/>
  <c r="S42" i="20" s="1"/>
  <c r="N12" i="140"/>
  <c r="M12" i="140" s="1"/>
  <c r="L12" i="140" s="1"/>
  <c r="J12" i="140" s="1"/>
  <c r="E12" i="140" s="1"/>
  <c r="D12" i="140" s="1"/>
  <c r="C63" i="201"/>
  <c r="C66" i="258"/>
  <c r="R17" i="258" s="1"/>
  <c r="V17" i="258" s="1"/>
  <c r="N7" i="140"/>
  <c r="M7" i="140" s="1"/>
  <c r="L7" i="140" s="1"/>
  <c r="J7" i="140" s="1"/>
  <c r="E7" i="140" s="1"/>
  <c r="D7" i="140" s="1"/>
  <c r="C63" i="183"/>
  <c r="N8" i="140"/>
  <c r="M8" i="140" s="1"/>
  <c r="L8" i="140" s="1"/>
  <c r="J8" i="140" s="1"/>
  <c r="E8" i="140" s="1"/>
  <c r="D8" i="140" s="1"/>
  <c r="N14" i="140"/>
  <c r="M14" i="140" s="1"/>
  <c r="N25" i="140"/>
  <c r="M25" i="140" s="1"/>
  <c r="N13" i="140"/>
  <c r="M13" i="140" s="1"/>
  <c r="N20" i="140"/>
  <c r="M20" i="140" s="1"/>
  <c r="N18" i="140"/>
  <c r="M18" i="140" s="1"/>
  <c r="N22" i="140"/>
  <c r="M22" i="140" s="1"/>
  <c r="N19" i="140"/>
  <c r="M19" i="140" s="1"/>
  <c r="N23" i="140"/>
  <c r="M23" i="140" s="1"/>
  <c r="N21" i="140"/>
  <c r="M21" i="140" s="1"/>
  <c r="N17" i="140"/>
  <c r="M17" i="140" s="1"/>
  <c r="N24" i="140"/>
  <c r="M24" i="140" s="1"/>
  <c r="N16" i="140"/>
  <c r="M16" i="140" s="1"/>
  <c r="N15" i="140"/>
  <c r="M15" i="140" s="1"/>
  <c r="N10" i="140"/>
  <c r="M10" i="140" s="1"/>
  <c r="L10" i="140" s="1"/>
  <c r="J10" i="140" s="1"/>
  <c r="E10" i="140" s="1"/>
  <c r="D10" i="140" s="1"/>
  <c r="N26" i="140"/>
  <c r="M26" i="140" s="1"/>
  <c r="N11" i="140"/>
  <c r="M11" i="140" s="1"/>
  <c r="L11" i="140" s="1"/>
  <c r="J11" i="140" s="1"/>
  <c r="E11" i="140" s="1"/>
  <c r="D11" i="140" s="1"/>
  <c r="N9" i="140"/>
  <c r="M9" i="140" s="1"/>
  <c r="L9" i="140" s="1"/>
  <c r="J9" i="140" s="1"/>
  <c r="E9" i="140" s="1"/>
  <c r="D9" i="140" s="1"/>
  <c r="N27" i="140"/>
  <c r="M27" i="140" s="1"/>
  <c r="N28" i="140"/>
  <c r="M28" i="140" s="1"/>
  <c r="H31" i="200"/>
  <c r="G31" i="200" s="1"/>
  <c r="F31" i="200" s="1"/>
  <c r="O31" i="200"/>
  <c r="N31" i="200" s="1"/>
  <c r="M31" i="200" s="1"/>
  <c r="L29" i="200" s="1"/>
  <c r="J29" i="200" s="1"/>
  <c r="E29" i="200" s="1"/>
  <c r="D29" i="200" s="1"/>
  <c r="P32" i="200"/>
  <c r="E27" i="130"/>
  <c r="D27" i="130" s="1"/>
  <c r="T26" i="96"/>
  <c r="M104" i="347"/>
  <c r="H104" i="347" s="1"/>
  <c r="G104" i="347" s="1"/>
  <c r="V32" i="205"/>
  <c r="P32" i="205" s="1"/>
  <c r="Q32" i="205" s="1"/>
  <c r="O32" i="205" s="1"/>
  <c r="AJ23" i="96" s="1"/>
  <c r="E32" i="205"/>
  <c r="J23" i="96" s="1"/>
  <c r="N23" i="489" s="1"/>
  <c r="V34" i="205"/>
  <c r="P34" i="205" s="1"/>
  <c r="Q34" i="205" s="1"/>
  <c r="O34" i="205" s="1"/>
  <c r="AJ25" i="96" s="1"/>
  <c r="E34" i="205"/>
  <c r="J25" i="96" s="1"/>
  <c r="N25" i="489" s="1"/>
  <c r="AB115" i="48"/>
  <c r="AD115" i="48" s="1"/>
  <c r="R79" i="48"/>
  <c r="T79" i="48"/>
  <c r="O31" i="377"/>
  <c r="N31" i="377" s="1"/>
  <c r="M31" i="377" s="1"/>
  <c r="L29" i="377" s="1"/>
  <c r="J29" i="377" s="1"/>
  <c r="E29" i="377" s="1"/>
  <c r="D29" i="377" s="1"/>
  <c r="C26" i="377" s="1"/>
  <c r="AY26" i="96" s="1"/>
  <c r="H31" i="377"/>
  <c r="G31" i="377" s="1"/>
  <c r="F31" i="377" s="1"/>
  <c r="P32" i="377"/>
  <c r="AB83" i="67"/>
  <c r="AB85" i="67"/>
  <c r="N30" i="214"/>
  <c r="M30" i="214" s="1"/>
  <c r="L28" i="214" s="1"/>
  <c r="J28" i="214" s="1"/>
  <c r="E28" i="214" s="1"/>
  <c r="D28" i="214" s="1"/>
  <c r="L27" i="140"/>
  <c r="J27" i="140" s="1"/>
  <c r="E27" i="140" s="1"/>
  <c r="D27" i="140" s="1"/>
  <c r="E18" i="130"/>
  <c r="D18" i="130" s="1"/>
  <c r="E23" i="130"/>
  <c r="D23" i="130" s="1"/>
  <c r="E16" i="130"/>
  <c r="D16" i="130" s="1"/>
  <c r="E20" i="130"/>
  <c r="D20" i="130" s="1"/>
  <c r="C17" i="130" s="1"/>
  <c r="AH17" i="96" s="1"/>
  <c r="E17" i="130"/>
  <c r="D17" i="130" s="1"/>
  <c r="E15" i="130"/>
  <c r="D15" i="130" s="1"/>
  <c r="E22" i="130"/>
  <c r="D22" i="130" s="1"/>
  <c r="C19" i="130" s="1"/>
  <c r="AH19" i="96" s="1"/>
  <c r="E21" i="130"/>
  <c r="D21" i="130" s="1"/>
  <c r="E19" i="130"/>
  <c r="D19" i="130" s="1"/>
  <c r="E24" i="130"/>
  <c r="D24" i="130" s="1"/>
  <c r="E26" i="130"/>
  <c r="D26" i="130" s="1"/>
  <c r="E25" i="130"/>
  <c r="D25" i="130" s="1"/>
  <c r="R39" i="20"/>
  <c r="P39" i="20" s="1"/>
  <c r="K39" i="20" s="1"/>
  <c r="J39" i="20" s="1"/>
  <c r="L28" i="221"/>
  <c r="J28" i="221" s="1"/>
  <c r="E28" i="221" s="1"/>
  <c r="D28" i="221" s="1"/>
  <c r="H31" i="365"/>
  <c r="G31" i="365" s="1"/>
  <c r="F31" i="365" s="1"/>
  <c r="O31" i="365"/>
  <c r="N31" i="365" s="1"/>
  <c r="M31" i="365" s="1"/>
  <c r="P32" i="365"/>
  <c r="E20" i="216"/>
  <c r="D20" i="216" s="1"/>
  <c r="E14" i="216"/>
  <c r="D14" i="216" s="1"/>
  <c r="E19" i="216"/>
  <c r="D19" i="216" s="1"/>
  <c r="E25" i="216"/>
  <c r="D25" i="216" s="1"/>
  <c r="C22" i="216" s="1"/>
  <c r="AM22" i="96" s="1"/>
  <c r="E21" i="216"/>
  <c r="D21" i="216" s="1"/>
  <c r="E15" i="216"/>
  <c r="D15" i="216" s="1"/>
  <c r="E23" i="216"/>
  <c r="D23" i="216" s="1"/>
  <c r="E16" i="216"/>
  <c r="D16" i="216" s="1"/>
  <c r="E17" i="216"/>
  <c r="D17" i="216" s="1"/>
  <c r="E13" i="216"/>
  <c r="D13" i="216" s="1"/>
  <c r="E22" i="216"/>
  <c r="D22" i="216" s="1"/>
  <c r="E18" i="216"/>
  <c r="D18" i="216" s="1"/>
  <c r="E24" i="216"/>
  <c r="D24" i="216" s="1"/>
  <c r="E11" i="216"/>
  <c r="D11" i="216" s="1"/>
  <c r="C11" i="216" s="1"/>
  <c r="AM11" i="96" s="1"/>
  <c r="E26" i="216"/>
  <c r="D26" i="216" s="1"/>
  <c r="E10" i="216"/>
  <c r="D10" i="216" s="1"/>
  <c r="C10" i="216" s="1"/>
  <c r="AM10" i="96" s="1"/>
  <c r="E9" i="216"/>
  <c r="D9" i="216" s="1"/>
  <c r="C9" i="216" s="1"/>
  <c r="AM9" i="96" s="1"/>
  <c r="E8" i="216"/>
  <c r="D8" i="216" s="1"/>
  <c r="C8" i="216" s="1"/>
  <c r="AM8" i="96" s="1"/>
  <c r="E12" i="216"/>
  <c r="D12" i="216" s="1"/>
  <c r="C12" i="216" s="1"/>
  <c r="AM12" i="96" s="1"/>
  <c r="AD11" i="96"/>
  <c r="BP11" i="413"/>
  <c r="E30" i="205"/>
  <c r="J21" i="96" s="1"/>
  <c r="N21" i="489" s="1"/>
  <c r="V30" i="205"/>
  <c r="P30" i="205" s="1"/>
  <c r="Q30" i="205" s="1"/>
  <c r="O30" i="205" s="1"/>
  <c r="AJ21" i="96" s="1"/>
  <c r="U9" i="116"/>
  <c r="AH9" i="116" s="1"/>
  <c r="M10" i="116" s="1"/>
  <c r="J10" i="116" s="1"/>
  <c r="F10" i="116" s="1"/>
  <c r="C10" i="116" s="1"/>
  <c r="L28" i="140"/>
  <c r="J28" i="140" s="1"/>
  <c r="E28" i="140" s="1"/>
  <c r="D28" i="140" s="1"/>
  <c r="H31" i="214"/>
  <c r="G31" i="214" s="1"/>
  <c r="F31" i="214" s="1"/>
  <c r="O31" i="214"/>
  <c r="N31" i="214" s="1"/>
  <c r="M31" i="214" s="1"/>
  <c r="L29" i="214" s="1"/>
  <c r="J29" i="214" s="1"/>
  <c r="E29" i="214" s="1"/>
  <c r="D29" i="214" s="1"/>
  <c r="P32" i="214"/>
  <c r="R28" i="20"/>
  <c r="P28" i="20" s="1"/>
  <c r="K28" i="20" s="1"/>
  <c r="J28" i="20" s="1"/>
  <c r="R33" i="20"/>
  <c r="P33" i="20" s="1"/>
  <c r="K33" i="20" s="1"/>
  <c r="J33" i="20" s="1"/>
  <c r="R37" i="20"/>
  <c r="P37" i="20" s="1"/>
  <c r="K37" i="20" s="1"/>
  <c r="J37" i="20" s="1"/>
  <c r="E13" i="226"/>
  <c r="D13" i="226" s="1"/>
  <c r="E23" i="226"/>
  <c r="D23" i="226" s="1"/>
  <c r="E11" i="226"/>
  <c r="D11" i="226" s="1"/>
  <c r="C11" i="226" s="1"/>
  <c r="AQ11" i="96" s="1"/>
  <c r="E12" i="226"/>
  <c r="D12" i="226" s="1"/>
  <c r="C12" i="226" s="1"/>
  <c r="AQ12" i="96" s="1"/>
  <c r="E10" i="226"/>
  <c r="D10" i="226" s="1"/>
  <c r="C10" i="226" s="1"/>
  <c r="AQ10" i="96" s="1"/>
  <c r="E8" i="226"/>
  <c r="D8" i="226" s="1"/>
  <c r="C8" i="226" s="1"/>
  <c r="AQ8" i="96" s="1"/>
  <c r="E9" i="226"/>
  <c r="D9" i="226" s="1"/>
  <c r="C9" i="226" s="1"/>
  <c r="AQ9" i="96" s="1"/>
  <c r="E16" i="226"/>
  <c r="D16" i="226" s="1"/>
  <c r="E25" i="226"/>
  <c r="D25" i="226" s="1"/>
  <c r="E17" i="226"/>
  <c r="D17" i="226" s="1"/>
  <c r="E18" i="226"/>
  <c r="D18" i="226" s="1"/>
  <c r="E22" i="226"/>
  <c r="D22" i="226" s="1"/>
  <c r="E21" i="226"/>
  <c r="D21" i="226" s="1"/>
  <c r="E15" i="226"/>
  <c r="D15" i="226" s="1"/>
  <c r="E14" i="226"/>
  <c r="D14" i="226" s="1"/>
  <c r="E19" i="226"/>
  <c r="D19" i="226" s="1"/>
  <c r="E20" i="226"/>
  <c r="D20" i="226" s="1"/>
  <c r="E24" i="226"/>
  <c r="D24" i="226" s="1"/>
  <c r="E26" i="226"/>
  <c r="D26" i="226" s="1"/>
  <c r="V26" i="205"/>
  <c r="P26" i="205" s="1"/>
  <c r="Q26" i="205" s="1"/>
  <c r="O26" i="205" s="1"/>
  <c r="AJ17" i="96" s="1"/>
  <c r="E26" i="205"/>
  <c r="J17" i="96" s="1"/>
  <c r="N17" i="489" s="1"/>
  <c r="Q5" i="346"/>
  <c r="O5" i="117"/>
  <c r="Q5" i="116"/>
  <c r="H31" i="134"/>
  <c r="G31" i="134" s="1"/>
  <c r="F31" i="134" s="1"/>
  <c r="P32" i="134"/>
  <c r="O31" i="134"/>
  <c r="H31" i="221"/>
  <c r="G31" i="221" s="1"/>
  <c r="F31" i="221" s="1"/>
  <c r="O31" i="221"/>
  <c r="N31" i="221" s="1"/>
  <c r="M31" i="221" s="1"/>
  <c r="L29" i="221" s="1"/>
  <c r="J29" i="221" s="1"/>
  <c r="E29" i="221" s="1"/>
  <c r="D29" i="221" s="1"/>
  <c r="P32" i="221"/>
  <c r="L28" i="224"/>
  <c r="J28" i="224" s="1"/>
  <c r="E28" i="224" s="1"/>
  <c r="D28" i="224" s="1"/>
  <c r="E25" i="205"/>
  <c r="J16" i="96" s="1"/>
  <c r="N16" i="489" s="1"/>
  <c r="V25" i="205"/>
  <c r="P25" i="205" s="1"/>
  <c r="Q25" i="205" s="1"/>
  <c r="O25" i="205" s="1"/>
  <c r="AJ16" i="96" s="1"/>
  <c r="N30" i="209"/>
  <c r="M30" i="209" s="1"/>
  <c r="C93" i="201"/>
  <c r="X18" i="201" s="1"/>
  <c r="N7" i="216"/>
  <c r="M7" i="216" s="1"/>
  <c r="C93" i="183"/>
  <c r="C96" i="258"/>
  <c r="R22" i="258" s="1"/>
  <c r="V22" i="258" s="1"/>
  <c r="R31" i="20"/>
  <c r="P31" i="20" s="1"/>
  <c r="K31" i="20" s="1"/>
  <c r="J31" i="20" s="1"/>
  <c r="R35" i="20"/>
  <c r="P35" i="20" s="1"/>
  <c r="K35" i="20" s="1"/>
  <c r="J35" i="20" s="1"/>
  <c r="AD8" i="96"/>
  <c r="BP8" i="413"/>
  <c r="L28" i="216"/>
  <c r="J28" i="216" s="1"/>
  <c r="E28" i="216" s="1"/>
  <c r="D28" i="216" s="1"/>
  <c r="O31" i="130"/>
  <c r="N31" i="130" s="1"/>
  <c r="M31" i="130" s="1"/>
  <c r="L29" i="130" s="1"/>
  <c r="J29" i="130" s="1"/>
  <c r="E29" i="130" s="1"/>
  <c r="D29" i="130" s="1"/>
  <c r="P32" i="130"/>
  <c r="H31" i="130"/>
  <c r="G31" i="130" s="1"/>
  <c r="F31" i="130" s="1"/>
  <c r="H31" i="140"/>
  <c r="G31" i="140" s="1"/>
  <c r="F31" i="140" s="1"/>
  <c r="O31" i="140"/>
  <c r="N31" i="140" s="1"/>
  <c r="M31" i="140" s="1"/>
  <c r="P32" i="140"/>
  <c r="R36" i="20"/>
  <c r="P36" i="20" s="1"/>
  <c r="K36" i="20" s="1"/>
  <c r="J36" i="20" s="1"/>
  <c r="R40" i="20"/>
  <c r="P40" i="20" s="1"/>
  <c r="K40" i="20" s="1"/>
  <c r="J40" i="20" s="1"/>
  <c r="R29" i="20"/>
  <c r="P29" i="20" s="1"/>
  <c r="K29" i="20" s="1"/>
  <c r="J29" i="20" s="1"/>
  <c r="R30" i="20"/>
  <c r="P30" i="20" s="1"/>
  <c r="K30" i="20" s="1"/>
  <c r="J30" i="20" s="1"/>
  <c r="C117" i="183"/>
  <c r="C117" i="201"/>
  <c r="C120" i="258"/>
  <c r="N7" i="226"/>
  <c r="M7" i="226" s="1"/>
  <c r="L7" i="226" s="1"/>
  <c r="J7" i="226" s="1"/>
  <c r="E7" i="226" s="1"/>
  <c r="D7" i="226" s="1"/>
  <c r="C7" i="226" s="1"/>
  <c r="AQ7" i="96" s="1"/>
  <c r="E33" i="205"/>
  <c r="J24" i="96" s="1"/>
  <c r="N24" i="489" s="1"/>
  <c r="V33" i="205"/>
  <c r="P33" i="205" s="1"/>
  <c r="Q33" i="205" s="1"/>
  <c r="O33" i="205" s="1"/>
  <c r="AJ24" i="96" s="1"/>
  <c r="O31" i="218"/>
  <c r="N31" i="218" s="1"/>
  <c r="M31" i="218" s="1"/>
  <c r="H31" i="218"/>
  <c r="G31" i="218" s="1"/>
  <c r="F31" i="218" s="1"/>
  <c r="P32" i="218"/>
  <c r="Q4" i="346"/>
  <c r="Q4" i="116"/>
  <c r="O4" i="117"/>
  <c r="L4" i="117" s="1"/>
  <c r="N7" i="209"/>
  <c r="M7" i="209" s="1"/>
  <c r="L7" i="209" s="1"/>
  <c r="J7" i="209" s="1"/>
  <c r="E7" i="209" s="1"/>
  <c r="D7" i="209" s="1"/>
  <c r="C81" i="183"/>
  <c r="C84" i="258"/>
  <c r="C81" i="201"/>
  <c r="N8" i="209"/>
  <c r="M8" i="209" s="1"/>
  <c r="L8" i="209" s="1"/>
  <c r="J8" i="209" s="1"/>
  <c r="E8" i="209" s="1"/>
  <c r="D8" i="209" s="1"/>
  <c r="N16" i="209"/>
  <c r="M16" i="209" s="1"/>
  <c r="N17" i="209"/>
  <c r="M17" i="209" s="1"/>
  <c r="N25" i="209"/>
  <c r="M25" i="209" s="1"/>
  <c r="L27" i="209" s="1"/>
  <c r="J27" i="209" s="1"/>
  <c r="E27" i="209" s="1"/>
  <c r="D27" i="209" s="1"/>
  <c r="N22" i="209"/>
  <c r="M22" i="209" s="1"/>
  <c r="N14" i="209"/>
  <c r="M14" i="209" s="1"/>
  <c r="N23" i="209"/>
  <c r="M23" i="209" s="1"/>
  <c r="N15" i="209"/>
  <c r="M15" i="209" s="1"/>
  <c r="N19" i="209"/>
  <c r="M19" i="209" s="1"/>
  <c r="L17" i="209" s="1"/>
  <c r="J17" i="209" s="1"/>
  <c r="E17" i="209" s="1"/>
  <c r="D17" i="209" s="1"/>
  <c r="N24" i="209"/>
  <c r="M24" i="209" s="1"/>
  <c r="N13" i="209"/>
  <c r="M13" i="209" s="1"/>
  <c r="L13" i="209" s="1"/>
  <c r="J13" i="209" s="1"/>
  <c r="E13" i="209" s="1"/>
  <c r="D13" i="209" s="1"/>
  <c r="N21" i="209"/>
  <c r="M21" i="209" s="1"/>
  <c r="N18" i="209"/>
  <c r="M18" i="209" s="1"/>
  <c r="N20" i="209"/>
  <c r="M20" i="209" s="1"/>
  <c r="L22" i="209" s="1"/>
  <c r="J22" i="209" s="1"/>
  <c r="E22" i="209" s="1"/>
  <c r="D22" i="209" s="1"/>
  <c r="N26" i="209"/>
  <c r="M26" i="209" s="1"/>
  <c r="N10" i="209"/>
  <c r="M10" i="209" s="1"/>
  <c r="L10" i="209" s="1"/>
  <c r="J10" i="209" s="1"/>
  <c r="E10" i="209" s="1"/>
  <c r="D10" i="209" s="1"/>
  <c r="N11" i="209"/>
  <c r="M11" i="209" s="1"/>
  <c r="L11" i="209" s="1"/>
  <c r="J11" i="209" s="1"/>
  <c r="E11" i="209" s="1"/>
  <c r="D11" i="209" s="1"/>
  <c r="N12" i="209"/>
  <c r="M12" i="209" s="1"/>
  <c r="N27" i="209"/>
  <c r="M27" i="209" s="1"/>
  <c r="N28" i="209"/>
  <c r="M28" i="209" s="1"/>
  <c r="P32" i="224"/>
  <c r="O31" i="224"/>
  <c r="N31" i="224" s="1"/>
  <c r="M31" i="224" s="1"/>
  <c r="H31" i="224"/>
  <c r="G31" i="224" s="1"/>
  <c r="F31" i="224" s="1"/>
  <c r="C105" i="183"/>
  <c r="C105" i="201"/>
  <c r="C108" i="258"/>
  <c r="N7" i="221"/>
  <c r="M7" i="221" s="1"/>
  <c r="L7" i="221" s="1"/>
  <c r="J7" i="221" s="1"/>
  <c r="E7" i="221" s="1"/>
  <c r="D7" i="221" s="1"/>
  <c r="H31" i="209"/>
  <c r="G31" i="209" s="1"/>
  <c r="F31" i="209" s="1"/>
  <c r="P32" i="209"/>
  <c r="O31" i="209"/>
  <c r="N31" i="209" s="1"/>
  <c r="M31" i="209" s="1"/>
  <c r="L29" i="209" s="1"/>
  <c r="J29" i="209" s="1"/>
  <c r="E29" i="209" s="1"/>
  <c r="D29" i="209" s="1"/>
  <c r="E22" i="200"/>
  <c r="D22" i="200" s="1"/>
  <c r="E11" i="200"/>
  <c r="D11" i="200" s="1"/>
  <c r="C11" i="200" s="1"/>
  <c r="AI11" i="96" s="1"/>
  <c r="E8" i="200"/>
  <c r="D8" i="200" s="1"/>
  <c r="C8" i="200" s="1"/>
  <c r="AI8" i="96" s="1"/>
  <c r="E23" i="200"/>
  <c r="D23" i="200" s="1"/>
  <c r="E9" i="200"/>
  <c r="D9" i="200" s="1"/>
  <c r="C9" i="200" s="1"/>
  <c r="AI9" i="96" s="1"/>
  <c r="E10" i="200"/>
  <c r="D10" i="200" s="1"/>
  <c r="C10" i="200" s="1"/>
  <c r="AI10" i="96" s="1"/>
  <c r="E15" i="200"/>
  <c r="D15" i="200" s="1"/>
  <c r="E13" i="200"/>
  <c r="D13" i="200" s="1"/>
  <c r="C13" i="200" s="1"/>
  <c r="AI13" i="96" s="1"/>
  <c r="E16" i="200"/>
  <c r="D16" i="200" s="1"/>
  <c r="E12" i="200"/>
  <c r="D12" i="200" s="1"/>
  <c r="C12" i="200" s="1"/>
  <c r="AI12" i="96" s="1"/>
  <c r="E17" i="200"/>
  <c r="D17" i="200" s="1"/>
  <c r="E20" i="200"/>
  <c r="D20" i="200" s="1"/>
  <c r="C22" i="200" s="1"/>
  <c r="AI22" i="96" s="1"/>
  <c r="E19" i="200"/>
  <c r="D19" i="200" s="1"/>
  <c r="E14" i="200"/>
  <c r="D14" i="200" s="1"/>
  <c r="E18" i="200"/>
  <c r="D18" i="200" s="1"/>
  <c r="E26" i="200"/>
  <c r="D26" i="200" s="1"/>
  <c r="E21" i="200"/>
  <c r="D21" i="200" s="1"/>
  <c r="E25" i="200"/>
  <c r="D25" i="200" s="1"/>
  <c r="E24" i="200"/>
  <c r="D24" i="200" s="1"/>
  <c r="E27" i="200"/>
  <c r="D27" i="200" s="1"/>
  <c r="E10" i="221"/>
  <c r="D10" i="221" s="1"/>
  <c r="E9" i="221"/>
  <c r="D9" i="221" s="1"/>
  <c r="E11" i="221"/>
  <c r="D11" i="221" s="1"/>
  <c r="E12" i="221"/>
  <c r="D12" i="221" s="1"/>
  <c r="E13" i="221"/>
  <c r="D13" i="221" s="1"/>
  <c r="E8" i="221"/>
  <c r="D8" i="221" s="1"/>
  <c r="E24" i="221"/>
  <c r="D24" i="221" s="1"/>
  <c r="E14" i="221"/>
  <c r="D14" i="221" s="1"/>
  <c r="E16" i="221"/>
  <c r="D16" i="221" s="1"/>
  <c r="E15" i="221"/>
  <c r="D15" i="221" s="1"/>
  <c r="E17" i="221"/>
  <c r="D17" i="221" s="1"/>
  <c r="E22" i="221"/>
  <c r="D22" i="221" s="1"/>
  <c r="E23" i="221"/>
  <c r="D23" i="221" s="1"/>
  <c r="E25" i="221"/>
  <c r="D25" i="221" s="1"/>
  <c r="E18" i="221"/>
  <c r="D18" i="221" s="1"/>
  <c r="E21" i="221"/>
  <c r="D21" i="221" s="1"/>
  <c r="E20" i="221"/>
  <c r="D20" i="221" s="1"/>
  <c r="E19" i="221"/>
  <c r="D19" i="221" s="1"/>
  <c r="C24" i="365"/>
  <c r="C69" i="183"/>
  <c r="C72" i="258"/>
  <c r="C69" i="201"/>
  <c r="N7" i="200"/>
  <c r="M7" i="200" s="1"/>
  <c r="L7" i="200" s="1"/>
  <c r="J7" i="200" s="1"/>
  <c r="E7" i="200" s="1"/>
  <c r="D7" i="200" s="1"/>
  <c r="C7" i="200" s="1"/>
  <c r="AI7" i="96" s="1"/>
  <c r="V24" i="205"/>
  <c r="P24" i="205" s="1"/>
  <c r="Q24" i="205" s="1"/>
  <c r="O24" i="205" s="1"/>
  <c r="AJ15" i="96" s="1"/>
  <c r="E24" i="205"/>
  <c r="J15" i="96" s="1"/>
  <c r="R25" i="20"/>
  <c r="P25" i="20" s="1"/>
  <c r="K25" i="20" s="1"/>
  <c r="J25" i="20" s="1"/>
  <c r="R27" i="20"/>
  <c r="P27" i="20" s="1"/>
  <c r="K27" i="20" s="1"/>
  <c r="J27" i="20" s="1"/>
  <c r="AE16" i="96"/>
  <c r="L28" i="218"/>
  <c r="J28" i="218" s="1"/>
  <c r="E28" i="218" s="1"/>
  <c r="D28" i="218" s="1"/>
  <c r="C24" i="375"/>
  <c r="AW24" i="96" s="1"/>
  <c r="P32" i="226"/>
  <c r="O31" i="226"/>
  <c r="N31" i="226" s="1"/>
  <c r="M31" i="226" s="1"/>
  <c r="H31" i="226"/>
  <c r="G31" i="226" s="1"/>
  <c r="F31" i="226" s="1"/>
  <c r="E10" i="224"/>
  <c r="D10" i="224" s="1"/>
  <c r="E20" i="224"/>
  <c r="D20" i="224" s="1"/>
  <c r="C17" i="224" s="1"/>
  <c r="AP17" i="96" s="1"/>
  <c r="E9" i="224"/>
  <c r="D9" i="224" s="1"/>
  <c r="E12" i="224"/>
  <c r="D12" i="224" s="1"/>
  <c r="E15" i="224"/>
  <c r="D15" i="224" s="1"/>
  <c r="E8" i="224"/>
  <c r="D8" i="224" s="1"/>
  <c r="E21" i="224"/>
  <c r="D21" i="224" s="1"/>
  <c r="E11" i="224"/>
  <c r="D11" i="224" s="1"/>
  <c r="E19" i="224"/>
  <c r="D19" i="224" s="1"/>
  <c r="E18" i="224"/>
  <c r="D18" i="224" s="1"/>
  <c r="C21" i="224" s="1"/>
  <c r="AP21" i="96" s="1"/>
  <c r="E13" i="224"/>
  <c r="D13" i="224" s="1"/>
  <c r="E16" i="224"/>
  <c r="D16" i="224" s="1"/>
  <c r="E24" i="224"/>
  <c r="D24" i="224" s="1"/>
  <c r="E23" i="224"/>
  <c r="D23" i="224" s="1"/>
  <c r="E17" i="224"/>
  <c r="D17" i="224" s="1"/>
  <c r="E14" i="224"/>
  <c r="D14" i="224" s="1"/>
  <c r="E22" i="224"/>
  <c r="D22" i="224" s="1"/>
  <c r="E25" i="224"/>
  <c r="D25" i="224" s="1"/>
  <c r="V116" i="49"/>
  <c r="M115" i="49"/>
  <c r="N115" i="49" s="1"/>
  <c r="E27" i="221"/>
  <c r="D27" i="221" s="1"/>
  <c r="AB110" i="67"/>
  <c r="AD12" i="96"/>
  <c r="BP12" i="413"/>
  <c r="C90" i="258"/>
  <c r="R21" i="258" s="1"/>
  <c r="V21" i="258" s="1"/>
  <c r="N8" i="214"/>
  <c r="M8" i="214" s="1"/>
  <c r="L8" i="214" s="1"/>
  <c r="J8" i="214" s="1"/>
  <c r="E8" i="214" s="1"/>
  <c r="D8" i="214" s="1"/>
  <c r="C8" i="214" s="1"/>
  <c r="AL8" i="96" s="1"/>
  <c r="C87" i="201"/>
  <c r="X17" i="201" s="1"/>
  <c r="C87" i="183"/>
  <c r="N7" i="214"/>
  <c r="M7" i="214" s="1"/>
  <c r="L7" i="214" s="1"/>
  <c r="J7" i="214" s="1"/>
  <c r="E7" i="214" s="1"/>
  <c r="D7" i="214" s="1"/>
  <c r="C7" i="214" s="1"/>
  <c r="AL7" i="96" s="1"/>
  <c r="N19" i="214"/>
  <c r="M19" i="214" s="1"/>
  <c r="N13" i="214"/>
  <c r="M13" i="214" s="1"/>
  <c r="L13" i="214" s="1"/>
  <c r="J13" i="214" s="1"/>
  <c r="E13" i="214" s="1"/>
  <c r="D13" i="214" s="1"/>
  <c r="N25" i="214"/>
  <c r="M25" i="214" s="1"/>
  <c r="N17" i="214"/>
  <c r="M17" i="214" s="1"/>
  <c r="N20" i="214"/>
  <c r="M20" i="214" s="1"/>
  <c r="L22" i="214" s="1"/>
  <c r="J22" i="214" s="1"/>
  <c r="E22" i="214" s="1"/>
  <c r="D22" i="214" s="1"/>
  <c r="N22" i="214"/>
  <c r="M22" i="214" s="1"/>
  <c r="N16" i="214"/>
  <c r="M16" i="214" s="1"/>
  <c r="N21" i="214"/>
  <c r="M21" i="214" s="1"/>
  <c r="N15" i="214"/>
  <c r="M15" i="214" s="1"/>
  <c r="N24" i="214"/>
  <c r="M24" i="214" s="1"/>
  <c r="N23" i="214"/>
  <c r="M23" i="214" s="1"/>
  <c r="N14" i="214"/>
  <c r="M14" i="214" s="1"/>
  <c r="N18" i="214"/>
  <c r="M18" i="214" s="1"/>
  <c r="N12" i="214"/>
  <c r="M12" i="214" s="1"/>
  <c r="L12" i="214" s="1"/>
  <c r="J12" i="214" s="1"/>
  <c r="E12" i="214" s="1"/>
  <c r="D12" i="214" s="1"/>
  <c r="C12" i="214" s="1"/>
  <c r="AL12" i="96" s="1"/>
  <c r="N11" i="214"/>
  <c r="M11" i="214" s="1"/>
  <c r="L11" i="214" s="1"/>
  <c r="J11" i="214" s="1"/>
  <c r="E11" i="214" s="1"/>
  <c r="D11" i="214" s="1"/>
  <c r="C11" i="214" s="1"/>
  <c r="AL11" i="96" s="1"/>
  <c r="N10" i="214"/>
  <c r="M10" i="214" s="1"/>
  <c r="L10" i="214" s="1"/>
  <c r="J10" i="214" s="1"/>
  <c r="E10" i="214" s="1"/>
  <c r="D10" i="214" s="1"/>
  <c r="C10" i="214" s="1"/>
  <c r="AL10" i="96" s="1"/>
  <c r="N26" i="214"/>
  <c r="M26" i="214" s="1"/>
  <c r="N27" i="214"/>
  <c r="M27" i="214" s="1"/>
  <c r="L25" i="214" s="1"/>
  <c r="J25" i="214" s="1"/>
  <c r="E25" i="214" s="1"/>
  <c r="D25" i="214" s="1"/>
  <c r="N28" i="214"/>
  <c r="M28" i="214" s="1"/>
  <c r="N29" i="214"/>
  <c r="M29" i="214" s="1"/>
  <c r="E22" i="205"/>
  <c r="J13" i="96" s="1"/>
  <c r="N13" i="489" s="1"/>
  <c r="V22" i="205"/>
  <c r="P22" i="205" s="1"/>
  <c r="Q22" i="205" s="1"/>
  <c r="O22" i="205" s="1"/>
  <c r="AJ13" i="96" s="1"/>
  <c r="R34" i="20"/>
  <c r="P34" i="20" s="1"/>
  <c r="K34" i="20" s="1"/>
  <c r="J34" i="20" s="1"/>
  <c r="R32" i="20"/>
  <c r="P32" i="20" s="1"/>
  <c r="K32" i="20" s="1"/>
  <c r="J32" i="20" s="1"/>
  <c r="P32" i="370"/>
  <c r="O31" i="370"/>
  <c r="N31" i="370" s="1"/>
  <c r="M31" i="370" s="1"/>
  <c r="H31" i="370"/>
  <c r="G31" i="370" s="1"/>
  <c r="F31" i="370" s="1"/>
  <c r="AB84" i="67"/>
  <c r="H31" i="375"/>
  <c r="G31" i="375" s="1"/>
  <c r="F31" i="375" s="1"/>
  <c r="P32" i="375"/>
  <c r="O31" i="375"/>
  <c r="N31" i="375" s="1"/>
  <c r="M31" i="375" s="1"/>
  <c r="L29" i="375" s="1"/>
  <c r="J29" i="375" s="1"/>
  <c r="E29" i="375" s="1"/>
  <c r="D29" i="375" s="1"/>
  <c r="C26" i="375" s="1"/>
  <c r="AW26" i="96" s="1"/>
  <c r="K109" i="347"/>
  <c r="J109" i="347" s="1"/>
  <c r="I109" i="347" s="1"/>
  <c r="S110" i="347"/>
  <c r="R109" i="347"/>
  <c r="Q109" i="347" s="1"/>
  <c r="P109" i="347" s="1"/>
  <c r="E27" i="205"/>
  <c r="J18" i="96" s="1"/>
  <c r="N18" i="489" s="1"/>
  <c r="V27" i="205"/>
  <c r="P27" i="205" s="1"/>
  <c r="Q27" i="205" s="1"/>
  <c r="O27" i="205" s="1"/>
  <c r="AJ18" i="96" s="1"/>
  <c r="N7" i="224"/>
  <c r="M7" i="224" s="1"/>
  <c r="L7" i="224" s="1"/>
  <c r="J7" i="224" s="1"/>
  <c r="E7" i="224" s="1"/>
  <c r="D7" i="224" s="1"/>
  <c r="C111" i="201"/>
  <c r="C111" i="183"/>
  <c r="C114" i="258"/>
  <c r="X36" i="205"/>
  <c r="X37" i="205"/>
  <c r="U11" i="116"/>
  <c r="AH11" i="116" s="1"/>
  <c r="M12" i="116" s="1"/>
  <c r="J12" i="116" s="1"/>
  <c r="F12" i="116" s="1"/>
  <c r="C12" i="116" s="1"/>
  <c r="O105" i="347"/>
  <c r="Q31" i="413"/>
  <c r="P31" i="413" s="1"/>
  <c r="O31" i="413" s="1"/>
  <c r="J31" i="413"/>
  <c r="I31" i="413" s="1"/>
  <c r="H31" i="413" s="1"/>
  <c r="G19" i="413"/>
  <c r="F19" i="413" s="1"/>
  <c r="G18" i="413"/>
  <c r="F18" i="413" s="1"/>
  <c r="G24" i="413"/>
  <c r="F24" i="413" s="1"/>
  <c r="G26" i="413"/>
  <c r="F26" i="413" s="1"/>
  <c r="G22" i="413"/>
  <c r="F22" i="413" s="1"/>
  <c r="G20" i="413"/>
  <c r="F20" i="413" s="1"/>
  <c r="G21" i="413"/>
  <c r="F21" i="413" s="1"/>
  <c r="G23" i="413"/>
  <c r="F23" i="413" s="1"/>
  <c r="O7" i="134"/>
  <c r="H7" i="134"/>
  <c r="G7" i="134" s="1"/>
  <c r="F7" i="134" s="1"/>
  <c r="L7" i="413"/>
  <c r="G7" i="413" s="1"/>
  <c r="F7" i="413" s="1"/>
  <c r="E7" i="413" s="1"/>
  <c r="N9" i="413"/>
  <c r="N7" i="413"/>
  <c r="F9" i="413"/>
  <c r="E9" i="413" s="1"/>
  <c r="L27" i="413"/>
  <c r="M60" i="258"/>
  <c r="I60" i="258"/>
  <c r="L60" i="258"/>
  <c r="J60" i="258"/>
  <c r="E60" i="258"/>
  <c r="G60" i="258"/>
  <c r="F60" i="258"/>
  <c r="S16" i="258" s="1"/>
  <c r="T16" i="258"/>
  <c r="U16" i="258" s="1"/>
  <c r="O60" i="258"/>
  <c r="K60" i="258"/>
  <c r="N60" i="258"/>
  <c r="H60" i="258"/>
  <c r="G57" i="201"/>
  <c r="H57" i="201"/>
  <c r="I57" i="201"/>
  <c r="Y12" i="201"/>
  <c r="Z12" i="201" s="1"/>
  <c r="K57" i="201"/>
  <c r="L57" i="201"/>
  <c r="M57" i="201"/>
  <c r="J57" i="201"/>
  <c r="N57" i="201"/>
  <c r="O57" i="201"/>
  <c r="F57" i="201"/>
  <c r="E57" i="201"/>
  <c r="R32" i="413"/>
  <c r="B35" i="301"/>
  <c r="F36" i="301"/>
  <c r="N28" i="413"/>
  <c r="F20" i="288"/>
  <c r="F21" i="288" s="1"/>
  <c r="F22" i="288" s="1"/>
  <c r="F23" i="288" s="1"/>
  <c r="F24" i="288" s="1"/>
  <c r="D24" i="288" s="1"/>
  <c r="O12" i="288" s="1"/>
  <c r="P12" i="288" s="1"/>
  <c r="I28" i="20" l="1"/>
  <c r="L16" i="214"/>
  <c r="J16" i="214" s="1"/>
  <c r="E16" i="214" s="1"/>
  <c r="D16" i="214" s="1"/>
  <c r="L20" i="214"/>
  <c r="J20" i="214" s="1"/>
  <c r="E20" i="214" s="1"/>
  <c r="D20" i="214" s="1"/>
  <c r="V117" i="49"/>
  <c r="M116" i="49"/>
  <c r="N116" i="49" s="1"/>
  <c r="C15" i="224"/>
  <c r="AP15" i="96" s="1"/>
  <c r="C16" i="224"/>
  <c r="AP16" i="96" s="1"/>
  <c r="AE15" i="96"/>
  <c r="I27" i="20"/>
  <c r="C20" i="221"/>
  <c r="AO20" i="96" s="1"/>
  <c r="C26" i="221"/>
  <c r="AO26" i="96" s="1"/>
  <c r="C13" i="221"/>
  <c r="AO13" i="96" s="1"/>
  <c r="C16" i="221"/>
  <c r="AO16" i="96" s="1"/>
  <c r="C15" i="221"/>
  <c r="AO15" i="96" s="1"/>
  <c r="C26" i="200"/>
  <c r="AI26" i="96" s="1"/>
  <c r="C15" i="200"/>
  <c r="AI15" i="96" s="1"/>
  <c r="L12" i="209"/>
  <c r="J12" i="209" s="1"/>
  <c r="E12" i="209" s="1"/>
  <c r="D12" i="209" s="1"/>
  <c r="L14" i="209"/>
  <c r="J14" i="209" s="1"/>
  <c r="E14" i="209" s="1"/>
  <c r="D14" i="209" s="1"/>
  <c r="L26" i="209"/>
  <c r="J26" i="209" s="1"/>
  <c r="E26" i="209" s="1"/>
  <c r="D26" i="209" s="1"/>
  <c r="L18" i="209"/>
  <c r="J18" i="209" s="1"/>
  <c r="E18" i="209" s="1"/>
  <c r="D18" i="209" s="1"/>
  <c r="AF4" i="346"/>
  <c r="R4" i="346"/>
  <c r="H32" i="214"/>
  <c r="G32" i="214" s="1"/>
  <c r="F32" i="214" s="1"/>
  <c r="O32" i="214"/>
  <c r="N32" i="214" s="1"/>
  <c r="M32" i="214" s="1"/>
  <c r="L30" i="214" s="1"/>
  <c r="J30" i="214" s="1"/>
  <c r="E30" i="214" s="1"/>
  <c r="D30" i="214" s="1"/>
  <c r="P33" i="214"/>
  <c r="C21" i="216"/>
  <c r="AM21" i="96" s="1"/>
  <c r="C18" i="216"/>
  <c r="AM18" i="96" s="1"/>
  <c r="C24" i="216"/>
  <c r="AM24" i="96" s="1"/>
  <c r="C24" i="130"/>
  <c r="AH24" i="96" s="1"/>
  <c r="W48" i="258"/>
  <c r="P7" i="126"/>
  <c r="W45" i="201"/>
  <c r="G82" i="96"/>
  <c r="E82" i="96" s="1"/>
  <c r="L24" i="140"/>
  <c r="J24" i="140" s="1"/>
  <c r="E24" i="140" s="1"/>
  <c r="D24" i="140" s="1"/>
  <c r="L17" i="140"/>
  <c r="J17" i="140" s="1"/>
  <c r="E17" i="140" s="1"/>
  <c r="D17" i="140" s="1"/>
  <c r="I24" i="20"/>
  <c r="H32" i="216"/>
  <c r="G32" i="216" s="1"/>
  <c r="F32" i="216" s="1"/>
  <c r="O32" i="216"/>
  <c r="N32" i="216" s="1"/>
  <c r="M32" i="216" s="1"/>
  <c r="P33" i="216"/>
  <c r="C13" i="218"/>
  <c r="AN13" i="96" s="1"/>
  <c r="C18" i="218"/>
  <c r="AN18" i="96" s="1"/>
  <c r="Q7" i="116"/>
  <c r="Q7" i="346"/>
  <c r="O7" i="117"/>
  <c r="C22" i="224"/>
  <c r="AP22" i="96" s="1"/>
  <c r="L27" i="214"/>
  <c r="J27" i="214" s="1"/>
  <c r="E27" i="214" s="1"/>
  <c r="D27" i="214" s="1"/>
  <c r="L15" i="214"/>
  <c r="J15" i="214" s="1"/>
  <c r="E15" i="214" s="1"/>
  <c r="D15" i="214" s="1"/>
  <c r="C19" i="224"/>
  <c r="AP19" i="96" s="1"/>
  <c r="C25" i="224"/>
  <c r="AP25" i="96" s="1"/>
  <c r="C19" i="200"/>
  <c r="AI19" i="96" s="1"/>
  <c r="C23" i="200"/>
  <c r="AI23" i="96" s="1"/>
  <c r="C18" i="200"/>
  <c r="AI18" i="96" s="1"/>
  <c r="C20" i="200"/>
  <c r="AI20" i="96" s="1"/>
  <c r="L15" i="209"/>
  <c r="J15" i="209" s="1"/>
  <c r="E15" i="209" s="1"/>
  <c r="D15" i="209" s="1"/>
  <c r="AE20" i="96"/>
  <c r="I32" i="20"/>
  <c r="P33" i="130"/>
  <c r="H32" i="130"/>
  <c r="G32" i="130" s="1"/>
  <c r="F32" i="130" s="1"/>
  <c r="O32" i="130"/>
  <c r="N32" i="130" s="1"/>
  <c r="M32" i="130" s="1"/>
  <c r="AE21" i="96"/>
  <c r="I33" i="20"/>
  <c r="L29" i="224"/>
  <c r="J29" i="224" s="1"/>
  <c r="E29" i="224" s="1"/>
  <c r="D29" i="224" s="1"/>
  <c r="C26" i="224" s="1"/>
  <c r="AP26" i="96" s="1"/>
  <c r="H32" i="134"/>
  <c r="G32" i="134" s="1"/>
  <c r="F32" i="134" s="1"/>
  <c r="O32" i="134"/>
  <c r="P33" i="134"/>
  <c r="C21" i="226"/>
  <c r="AQ21" i="96" s="1"/>
  <c r="C20" i="226"/>
  <c r="AQ20" i="96" s="1"/>
  <c r="C19" i="216"/>
  <c r="AM19" i="96" s="1"/>
  <c r="C25" i="216"/>
  <c r="AM25" i="96" s="1"/>
  <c r="C16" i="216"/>
  <c r="AM16" i="96" s="1"/>
  <c r="C13" i="130"/>
  <c r="AH13" i="96" s="1"/>
  <c r="C18" i="130"/>
  <c r="AH18" i="96" s="1"/>
  <c r="C15" i="130"/>
  <c r="AH15" i="96" s="1"/>
  <c r="C16" i="130"/>
  <c r="AH16" i="96" s="1"/>
  <c r="C14" i="130"/>
  <c r="AH14" i="96" s="1"/>
  <c r="Q8" i="346"/>
  <c r="Q8" i="116"/>
  <c r="C27" i="200"/>
  <c r="AI27" i="96" s="1"/>
  <c r="L13" i="140"/>
  <c r="J13" i="140" s="1"/>
  <c r="E13" i="140" s="1"/>
  <c r="D13" i="140" s="1"/>
  <c r="L16" i="140"/>
  <c r="J16" i="140" s="1"/>
  <c r="E16" i="140" s="1"/>
  <c r="D16" i="140" s="1"/>
  <c r="L20" i="140"/>
  <c r="J20" i="140" s="1"/>
  <c r="E20" i="140" s="1"/>
  <c r="D20" i="140" s="1"/>
  <c r="C26" i="325"/>
  <c r="AR26" i="96" s="1"/>
  <c r="C25" i="325"/>
  <c r="AR25" i="96" s="1"/>
  <c r="T40" i="205"/>
  <c r="S40" i="205" s="1"/>
  <c r="R40" i="205" s="1"/>
  <c r="AB41" i="205"/>
  <c r="AA40" i="205"/>
  <c r="Z40" i="205" s="1"/>
  <c r="Y40" i="205" s="1"/>
  <c r="I26" i="20"/>
  <c r="C15" i="218"/>
  <c r="AN15" i="96" s="1"/>
  <c r="C16" i="218"/>
  <c r="AN16" i="96" s="1"/>
  <c r="C20" i="218"/>
  <c r="AN20" i="96" s="1"/>
  <c r="C25" i="218"/>
  <c r="AN25" i="96" s="1"/>
  <c r="D102" i="347"/>
  <c r="AD7" i="96"/>
  <c r="BP7" i="413"/>
  <c r="C19" i="221"/>
  <c r="AO19" i="96" s="1"/>
  <c r="C25" i="221"/>
  <c r="AO25" i="96" s="1"/>
  <c r="E37" i="205"/>
  <c r="J28" i="96" s="1"/>
  <c r="N28" i="489" s="1"/>
  <c r="V37" i="205"/>
  <c r="P37" i="205" s="1"/>
  <c r="Q37" i="205" s="1"/>
  <c r="O37" i="205" s="1"/>
  <c r="AJ28" i="96" s="1"/>
  <c r="O106" i="347"/>
  <c r="L29" i="370"/>
  <c r="J29" i="370" s="1"/>
  <c r="E29" i="370" s="1"/>
  <c r="D29" i="370" s="1"/>
  <c r="C26" i="370" s="1"/>
  <c r="AU26" i="96" s="1"/>
  <c r="L26" i="214"/>
  <c r="J26" i="214" s="1"/>
  <c r="E26" i="214" s="1"/>
  <c r="D26" i="214" s="1"/>
  <c r="L21" i="214"/>
  <c r="J21" i="214" s="1"/>
  <c r="E21" i="214" s="1"/>
  <c r="D21" i="214" s="1"/>
  <c r="L23" i="214"/>
  <c r="J23" i="214" s="1"/>
  <c r="E23" i="214" s="1"/>
  <c r="D23" i="214" s="1"/>
  <c r="C26" i="214" s="1"/>
  <c r="AL26" i="96" s="1"/>
  <c r="C22" i="221"/>
  <c r="AO22" i="96" s="1"/>
  <c r="C18" i="221"/>
  <c r="AO18" i="96" s="1"/>
  <c r="C24" i="200"/>
  <c r="AI24" i="96" s="1"/>
  <c r="L24" i="209"/>
  <c r="J24" i="209" s="1"/>
  <c r="E24" i="209" s="1"/>
  <c r="D24" i="209" s="1"/>
  <c r="L28" i="209"/>
  <c r="J28" i="209" s="1"/>
  <c r="E28" i="209" s="1"/>
  <c r="D28" i="209" s="1"/>
  <c r="L21" i="209"/>
  <c r="J21" i="209" s="1"/>
  <c r="E21" i="209" s="1"/>
  <c r="D21" i="209" s="1"/>
  <c r="L29" i="218"/>
  <c r="J29" i="218" s="1"/>
  <c r="E29" i="218" s="1"/>
  <c r="D29" i="218" s="1"/>
  <c r="AE19" i="96"/>
  <c r="I31" i="20"/>
  <c r="C23" i="226"/>
  <c r="AQ23" i="96" s="1"/>
  <c r="C22" i="226"/>
  <c r="AQ22" i="96" s="1"/>
  <c r="C13" i="226"/>
  <c r="AQ13" i="96" s="1"/>
  <c r="C16" i="226"/>
  <c r="AQ16" i="96" s="1"/>
  <c r="C15" i="226"/>
  <c r="AQ15" i="96" s="1"/>
  <c r="C13" i="216"/>
  <c r="AM13" i="96" s="1"/>
  <c r="C15" i="216"/>
  <c r="AM15" i="96" s="1"/>
  <c r="C17" i="216"/>
  <c r="AM17" i="96" s="1"/>
  <c r="AE29" i="96"/>
  <c r="Q6" i="346"/>
  <c r="Q6" i="116"/>
  <c r="O6" i="117"/>
  <c r="L14" i="140"/>
  <c r="J14" i="140" s="1"/>
  <c r="E14" i="140" s="1"/>
  <c r="D14" i="140" s="1"/>
  <c r="L18" i="140"/>
  <c r="J18" i="140" s="1"/>
  <c r="E18" i="140" s="1"/>
  <c r="D18" i="140" s="1"/>
  <c r="X13" i="201"/>
  <c r="C9" i="130"/>
  <c r="AH9" i="96" s="1"/>
  <c r="C11" i="130"/>
  <c r="AH11" i="96" s="1"/>
  <c r="X38" i="205"/>
  <c r="C24" i="218"/>
  <c r="AN24" i="96" s="1"/>
  <c r="C25" i="130"/>
  <c r="AH25" i="96" s="1"/>
  <c r="H32" i="200"/>
  <c r="G32" i="200" s="1"/>
  <c r="F32" i="200" s="1"/>
  <c r="O32" i="200"/>
  <c r="N32" i="200" s="1"/>
  <c r="M32" i="200" s="1"/>
  <c r="L30" i="200" s="1"/>
  <c r="J30" i="200" s="1"/>
  <c r="E30" i="200" s="1"/>
  <c r="D30" i="200" s="1"/>
  <c r="C28" i="200" s="1"/>
  <c r="AI28" i="96" s="1"/>
  <c r="P33" i="200"/>
  <c r="V36" i="205"/>
  <c r="P36" i="205" s="1"/>
  <c r="Q36" i="205" s="1"/>
  <c r="O36" i="205" s="1"/>
  <c r="AJ27" i="96" s="1"/>
  <c r="E36" i="205"/>
  <c r="J27" i="96" s="1"/>
  <c r="N27" i="489" s="1"/>
  <c r="K110" i="347"/>
  <c r="J110" i="347" s="1"/>
  <c r="I110" i="347" s="1"/>
  <c r="S111" i="347"/>
  <c r="R110" i="347"/>
  <c r="Q110" i="347" s="1"/>
  <c r="P110" i="347" s="1"/>
  <c r="P33" i="370"/>
  <c r="O32" i="370"/>
  <c r="N32" i="370" s="1"/>
  <c r="M32" i="370" s="1"/>
  <c r="L30" i="370" s="1"/>
  <c r="J30" i="370" s="1"/>
  <c r="E30" i="370" s="1"/>
  <c r="D30" i="370" s="1"/>
  <c r="C27" i="370" s="1"/>
  <c r="AU27" i="96" s="1"/>
  <c r="H32" i="370"/>
  <c r="G32" i="370" s="1"/>
  <c r="F32" i="370" s="1"/>
  <c r="C13" i="214"/>
  <c r="AL13" i="96" s="1"/>
  <c r="C24" i="224"/>
  <c r="AP24" i="96" s="1"/>
  <c r="C23" i="221"/>
  <c r="AO23" i="96" s="1"/>
  <c r="C14" i="221"/>
  <c r="AO14" i="96" s="1"/>
  <c r="C14" i="200"/>
  <c r="AI14" i="96" s="1"/>
  <c r="C17" i="200"/>
  <c r="AI17" i="96" s="1"/>
  <c r="AE30" i="96"/>
  <c r="R5" i="116"/>
  <c r="AF5" i="116"/>
  <c r="C14" i="226"/>
  <c r="AQ14" i="96" s="1"/>
  <c r="C19" i="226"/>
  <c r="AQ19" i="96" s="1"/>
  <c r="AE27" i="96"/>
  <c r="C20" i="216"/>
  <c r="AM20" i="96" s="1"/>
  <c r="C23" i="216"/>
  <c r="AM23" i="96" s="1"/>
  <c r="C22" i="130"/>
  <c r="AH22" i="96" s="1"/>
  <c r="H32" i="377"/>
  <c r="G32" i="377" s="1"/>
  <c r="F32" i="377" s="1"/>
  <c r="P33" i="377"/>
  <c r="O32" i="377"/>
  <c r="N32" i="377" s="1"/>
  <c r="M32" i="377" s="1"/>
  <c r="L22" i="140"/>
  <c r="J22" i="140" s="1"/>
  <c r="E22" i="140" s="1"/>
  <c r="D22" i="140" s="1"/>
  <c r="L26" i="140"/>
  <c r="J26" i="140" s="1"/>
  <c r="E26" i="140" s="1"/>
  <c r="D26" i="140" s="1"/>
  <c r="C25" i="226"/>
  <c r="AQ25" i="96" s="1"/>
  <c r="C19" i="218"/>
  <c r="AN19" i="96" s="1"/>
  <c r="T27" i="96"/>
  <c r="M105" i="347"/>
  <c r="H105" i="347" s="1"/>
  <c r="G105" i="347" s="1"/>
  <c r="AE25" i="96"/>
  <c r="I37" i="20"/>
  <c r="AE22" i="96"/>
  <c r="I34" i="20"/>
  <c r="L24" i="214"/>
  <c r="J24" i="214" s="1"/>
  <c r="E24" i="214" s="1"/>
  <c r="D24" i="214" s="1"/>
  <c r="L17" i="214"/>
  <c r="J17" i="214" s="1"/>
  <c r="E17" i="214" s="1"/>
  <c r="D17" i="214" s="1"/>
  <c r="L19" i="214"/>
  <c r="J19" i="214" s="1"/>
  <c r="E19" i="214" s="1"/>
  <c r="D19" i="214" s="1"/>
  <c r="C22" i="214" s="1"/>
  <c r="AL22" i="96" s="1"/>
  <c r="AB111" i="67"/>
  <c r="AC85" i="67" s="1"/>
  <c r="AC84" i="67"/>
  <c r="C20" i="224"/>
  <c r="AP20" i="96" s="1"/>
  <c r="L29" i="226"/>
  <c r="J29" i="226" s="1"/>
  <c r="E29" i="226" s="1"/>
  <c r="D29" i="226" s="1"/>
  <c r="C26" i="226" s="1"/>
  <c r="AQ26" i="96" s="1"/>
  <c r="C17" i="221"/>
  <c r="AO17" i="96" s="1"/>
  <c r="C16" i="200"/>
  <c r="AI16" i="96" s="1"/>
  <c r="H32" i="209"/>
  <c r="G32" i="209" s="1"/>
  <c r="F32" i="209" s="1"/>
  <c r="P33" i="209"/>
  <c r="O32" i="209"/>
  <c r="N32" i="209" s="1"/>
  <c r="M32" i="209" s="1"/>
  <c r="L30" i="209" s="1"/>
  <c r="J30" i="209" s="1"/>
  <c r="E30" i="209" s="1"/>
  <c r="D30" i="209" s="1"/>
  <c r="H32" i="224"/>
  <c r="G32" i="224" s="1"/>
  <c r="F32" i="224" s="1"/>
  <c r="P33" i="224"/>
  <c r="O32" i="224"/>
  <c r="N32" i="224" s="1"/>
  <c r="M32" i="224" s="1"/>
  <c r="L30" i="224" s="1"/>
  <c r="J30" i="224" s="1"/>
  <c r="E30" i="224" s="1"/>
  <c r="D30" i="224" s="1"/>
  <c r="L16" i="209"/>
  <c r="J16" i="209" s="1"/>
  <c r="E16" i="209" s="1"/>
  <c r="D16" i="209" s="1"/>
  <c r="L20" i="209"/>
  <c r="J20" i="209" s="1"/>
  <c r="E20" i="209" s="1"/>
  <c r="D20" i="209" s="1"/>
  <c r="AE26" i="96"/>
  <c r="I38" i="20"/>
  <c r="J7" i="216"/>
  <c r="E7" i="216" s="1"/>
  <c r="D7" i="216" s="1"/>
  <c r="C7" i="216" s="1"/>
  <c r="AM7" i="96" s="1"/>
  <c r="L7" i="216"/>
  <c r="C17" i="226"/>
  <c r="AQ17" i="96" s="1"/>
  <c r="AE23" i="96"/>
  <c r="I35" i="20"/>
  <c r="H32" i="365"/>
  <c r="G32" i="365" s="1"/>
  <c r="F32" i="365" s="1"/>
  <c r="P33" i="365"/>
  <c r="O32" i="365"/>
  <c r="N32" i="365" s="1"/>
  <c r="M32" i="365" s="1"/>
  <c r="C23" i="130"/>
  <c r="AH23" i="96" s="1"/>
  <c r="L25" i="140"/>
  <c r="J25" i="140" s="1"/>
  <c r="E25" i="140" s="1"/>
  <c r="D25" i="140" s="1"/>
  <c r="L29" i="140"/>
  <c r="J29" i="140" s="1"/>
  <c r="E29" i="140" s="1"/>
  <c r="D29" i="140" s="1"/>
  <c r="L15" i="140"/>
  <c r="J15" i="140" s="1"/>
  <c r="E15" i="140" s="1"/>
  <c r="D15" i="140" s="1"/>
  <c r="C18" i="140" s="1"/>
  <c r="AG18" i="96" s="1"/>
  <c r="L19" i="140"/>
  <c r="J19" i="140" s="1"/>
  <c r="E19" i="140" s="1"/>
  <c r="D19" i="140" s="1"/>
  <c r="C26" i="218"/>
  <c r="AN26" i="96" s="1"/>
  <c r="O32" i="218"/>
  <c r="N32" i="218" s="1"/>
  <c r="M32" i="218" s="1"/>
  <c r="P33" i="218"/>
  <c r="H32" i="218"/>
  <c r="G32" i="218" s="1"/>
  <c r="F32" i="218" s="1"/>
  <c r="AD9" i="96"/>
  <c r="BP9" i="413"/>
  <c r="AE24" i="96"/>
  <c r="I36" i="20"/>
  <c r="C24" i="221"/>
  <c r="AO24" i="96" s="1"/>
  <c r="C18" i="224"/>
  <c r="AP18" i="96" s="1"/>
  <c r="O32" i="226"/>
  <c r="N32" i="226" s="1"/>
  <c r="M32" i="226" s="1"/>
  <c r="H32" i="226"/>
  <c r="G32" i="226" s="1"/>
  <c r="F32" i="226" s="1"/>
  <c r="P33" i="226"/>
  <c r="C21" i="221"/>
  <c r="AO21" i="96" s="1"/>
  <c r="C25" i="200"/>
  <c r="AI25" i="96" s="1"/>
  <c r="L19" i="209"/>
  <c r="J19" i="209" s="1"/>
  <c r="E19" i="209" s="1"/>
  <c r="D19" i="209" s="1"/>
  <c r="C20" i="209" s="1"/>
  <c r="AK20" i="96" s="1"/>
  <c r="L23" i="209"/>
  <c r="J23" i="209" s="1"/>
  <c r="E23" i="209" s="1"/>
  <c r="D23" i="209" s="1"/>
  <c r="C25" i="209" s="1"/>
  <c r="AK25" i="96" s="1"/>
  <c r="H32" i="140"/>
  <c r="G32" i="140" s="1"/>
  <c r="F32" i="140" s="1"/>
  <c r="P33" i="140"/>
  <c r="O32" i="140"/>
  <c r="N32" i="140" s="1"/>
  <c r="M32" i="140" s="1"/>
  <c r="H32" i="221"/>
  <c r="G32" i="221" s="1"/>
  <c r="F32" i="221" s="1"/>
  <c r="P33" i="221"/>
  <c r="O32" i="221"/>
  <c r="N32" i="221" s="1"/>
  <c r="M32" i="221" s="1"/>
  <c r="AF5" i="346"/>
  <c r="R5" i="346"/>
  <c r="AE18" i="96"/>
  <c r="I30" i="20"/>
  <c r="C26" i="216"/>
  <c r="AM26" i="96" s="1"/>
  <c r="L29" i="365"/>
  <c r="J29" i="365" s="1"/>
  <c r="E29" i="365" s="1"/>
  <c r="D29" i="365" s="1"/>
  <c r="C20" i="130"/>
  <c r="AH20" i="96" s="1"/>
  <c r="C26" i="130"/>
  <c r="AH26" i="96" s="1"/>
  <c r="L23" i="140"/>
  <c r="J23" i="140" s="1"/>
  <c r="E23" i="140" s="1"/>
  <c r="D23" i="140" s="1"/>
  <c r="C26" i="140" s="1"/>
  <c r="AG26" i="96" s="1"/>
  <c r="N43" i="20"/>
  <c r="M43" i="20" s="1"/>
  <c r="L43" i="20" s="1"/>
  <c r="V44" i="20"/>
  <c r="U43" i="20"/>
  <c r="T43" i="20" s="1"/>
  <c r="S43" i="20" s="1"/>
  <c r="R41" i="20" s="1"/>
  <c r="P41" i="20" s="1"/>
  <c r="K41" i="20" s="1"/>
  <c r="J41" i="20" s="1"/>
  <c r="H29" i="126"/>
  <c r="G29" i="126" s="1"/>
  <c r="F29" i="126" s="1"/>
  <c r="P30" i="126"/>
  <c r="O29" i="126"/>
  <c r="C17" i="218"/>
  <c r="AN17" i="96" s="1"/>
  <c r="C23" i="218"/>
  <c r="AN23" i="96" s="1"/>
  <c r="N15" i="489"/>
  <c r="D86" i="96"/>
  <c r="C22" i="218"/>
  <c r="AN22" i="96" s="1"/>
  <c r="O32" i="375"/>
  <c r="N32" i="375" s="1"/>
  <c r="M32" i="375" s="1"/>
  <c r="H32" i="375"/>
  <c r="G32" i="375" s="1"/>
  <c r="F32" i="375" s="1"/>
  <c r="P33" i="375"/>
  <c r="L14" i="214"/>
  <c r="J14" i="214" s="1"/>
  <c r="E14" i="214" s="1"/>
  <c r="D14" i="214" s="1"/>
  <c r="L18" i="214"/>
  <c r="J18" i="214" s="1"/>
  <c r="E18" i="214" s="1"/>
  <c r="D18" i="214" s="1"/>
  <c r="C14" i="224"/>
  <c r="AP14" i="96" s="1"/>
  <c r="AE17" i="96"/>
  <c r="I29" i="20"/>
  <c r="C23" i="224"/>
  <c r="AP23" i="96" s="1"/>
  <c r="C21" i="200"/>
  <c r="AI21" i="96" s="1"/>
  <c r="L25" i="209"/>
  <c r="J25" i="209" s="1"/>
  <c r="E25" i="209" s="1"/>
  <c r="D25" i="209" s="1"/>
  <c r="C22" i="209" s="1"/>
  <c r="AK22" i="96" s="1"/>
  <c r="C16" i="209"/>
  <c r="AK16" i="96" s="1"/>
  <c r="R4" i="116"/>
  <c r="AF4" i="116"/>
  <c r="C18" i="226"/>
  <c r="AQ18" i="96" s="1"/>
  <c r="C24" i="226"/>
  <c r="AQ24" i="96" s="1"/>
  <c r="C14" i="216"/>
  <c r="AM14" i="96" s="1"/>
  <c r="C21" i="130"/>
  <c r="AH21" i="96" s="1"/>
  <c r="L21" i="140"/>
  <c r="J21" i="140" s="1"/>
  <c r="E21" i="140" s="1"/>
  <c r="D21" i="140" s="1"/>
  <c r="I25" i="20"/>
  <c r="L29" i="216"/>
  <c r="J29" i="216" s="1"/>
  <c r="E29" i="216" s="1"/>
  <c r="D29" i="216" s="1"/>
  <c r="H32" i="373"/>
  <c r="G32" i="373" s="1"/>
  <c r="F32" i="373" s="1"/>
  <c r="O32" i="373"/>
  <c r="N32" i="373" s="1"/>
  <c r="M32" i="373" s="1"/>
  <c r="L30" i="373" s="1"/>
  <c r="J30" i="373" s="1"/>
  <c r="E30" i="373" s="1"/>
  <c r="D30" i="373" s="1"/>
  <c r="C27" i="373" s="1"/>
  <c r="AV27" i="96" s="1"/>
  <c r="P33" i="373"/>
  <c r="H32" i="325"/>
  <c r="G32" i="325" s="1"/>
  <c r="F32" i="325" s="1"/>
  <c r="P33" i="325"/>
  <c r="O32" i="325"/>
  <c r="N32" i="325" s="1"/>
  <c r="M32" i="325" s="1"/>
  <c r="C21" i="218"/>
  <c r="AN21" i="96" s="1"/>
  <c r="C12" i="218"/>
  <c r="AN12" i="96" s="1"/>
  <c r="C14" i="218"/>
  <c r="AN14" i="96" s="1"/>
  <c r="N23" i="134"/>
  <c r="M23" i="134" s="1"/>
  <c r="N25" i="134"/>
  <c r="M25" i="134" s="1"/>
  <c r="N17" i="134"/>
  <c r="M17" i="134" s="1"/>
  <c r="N31" i="134"/>
  <c r="M31" i="134" s="1"/>
  <c r="N28" i="134"/>
  <c r="M28" i="134" s="1"/>
  <c r="C57" i="201"/>
  <c r="X12" i="201" s="1"/>
  <c r="N22" i="134"/>
  <c r="M22" i="134" s="1"/>
  <c r="N32" i="134"/>
  <c r="M32" i="134" s="1"/>
  <c r="N9" i="134"/>
  <c r="M9" i="134" s="1"/>
  <c r="L9" i="134" s="1"/>
  <c r="J9" i="134" s="1"/>
  <c r="E9" i="134" s="1"/>
  <c r="D9" i="134" s="1"/>
  <c r="N15" i="134"/>
  <c r="M15" i="134" s="1"/>
  <c r="N27" i="134"/>
  <c r="M27" i="134" s="1"/>
  <c r="N16" i="134"/>
  <c r="M16" i="134" s="1"/>
  <c r="N12" i="134"/>
  <c r="M12" i="134" s="1"/>
  <c r="L12" i="134" s="1"/>
  <c r="N26" i="134"/>
  <c r="M26" i="134" s="1"/>
  <c r="N21" i="134"/>
  <c r="M21" i="134" s="1"/>
  <c r="N7" i="134"/>
  <c r="M7" i="134" s="1"/>
  <c r="L7" i="134" s="1"/>
  <c r="J7" i="134" s="1"/>
  <c r="E7" i="134" s="1"/>
  <c r="D7" i="134" s="1"/>
  <c r="N24" i="134"/>
  <c r="M24" i="134" s="1"/>
  <c r="C57" i="183"/>
  <c r="N20" i="134"/>
  <c r="M20" i="134" s="1"/>
  <c r="N18" i="134"/>
  <c r="M18" i="134" s="1"/>
  <c r="N19" i="134"/>
  <c r="M19" i="134" s="1"/>
  <c r="L21" i="134" s="1"/>
  <c r="N10" i="134"/>
  <c r="M10" i="134" s="1"/>
  <c r="L10" i="134" s="1"/>
  <c r="J10" i="134" s="1"/>
  <c r="N14" i="134"/>
  <c r="M14" i="134" s="1"/>
  <c r="C60" i="258"/>
  <c r="R16" i="258" s="1"/>
  <c r="V16" i="258" s="1"/>
  <c r="N8" i="134"/>
  <c r="M8" i="134" s="1"/>
  <c r="L8" i="134" s="1"/>
  <c r="J8" i="134" s="1"/>
  <c r="N11" i="134"/>
  <c r="M11" i="134" s="1"/>
  <c r="L11" i="134" s="1"/>
  <c r="N29" i="134"/>
  <c r="M29" i="134" s="1"/>
  <c r="N13" i="134"/>
  <c r="M13" i="134" s="1"/>
  <c r="N30" i="134"/>
  <c r="M30" i="134" s="1"/>
  <c r="E22" i="413"/>
  <c r="E21" i="413"/>
  <c r="E23" i="413"/>
  <c r="G27" i="413"/>
  <c r="F27" i="413" s="1"/>
  <c r="E24" i="413" s="1"/>
  <c r="Q32" i="413"/>
  <c r="P32" i="413" s="1"/>
  <c r="O32" i="413" s="1"/>
  <c r="J32" i="413"/>
  <c r="I32" i="413" s="1"/>
  <c r="H32" i="413" s="1"/>
  <c r="L28" i="413"/>
  <c r="N29" i="413"/>
  <c r="R33" i="413"/>
  <c r="F25" i="288"/>
  <c r="F26" i="288" s="1"/>
  <c r="F27" i="288" s="1"/>
  <c r="F28" i="288" s="1"/>
  <c r="F29" i="288" s="1"/>
  <c r="F30" i="288" s="1"/>
  <c r="F31" i="288" s="1"/>
  <c r="F32" i="288" s="1"/>
  <c r="F33" i="288" s="1"/>
  <c r="F37" i="301"/>
  <c r="B36" i="301"/>
  <c r="C27" i="224" l="1"/>
  <c r="AP27" i="96" s="1"/>
  <c r="AD21" i="96"/>
  <c r="BP21" i="413"/>
  <c r="L16" i="134"/>
  <c r="J16" i="134" s="1"/>
  <c r="H33" i="373"/>
  <c r="G33" i="373" s="1"/>
  <c r="F33" i="373" s="1"/>
  <c r="P34" i="373"/>
  <c r="O33" i="373"/>
  <c r="N33" i="373" s="1"/>
  <c r="M33" i="373" s="1"/>
  <c r="L31" i="373" s="1"/>
  <c r="J31" i="373" s="1"/>
  <c r="E31" i="373" s="1"/>
  <c r="D31" i="373" s="1"/>
  <c r="C28" i="373" s="1"/>
  <c r="AV28" i="96" s="1"/>
  <c r="S4" i="116"/>
  <c r="T4" i="116"/>
  <c r="O33" i="218"/>
  <c r="N33" i="218" s="1"/>
  <c r="M33" i="218" s="1"/>
  <c r="L31" i="218" s="1"/>
  <c r="J31" i="218" s="1"/>
  <c r="E31" i="218" s="1"/>
  <c r="D31" i="218" s="1"/>
  <c r="H33" i="218"/>
  <c r="G33" i="218" s="1"/>
  <c r="F33" i="218" s="1"/>
  <c r="P34" i="218"/>
  <c r="C22" i="140"/>
  <c r="AG22" i="96" s="1"/>
  <c r="P34" i="224"/>
  <c r="O33" i="224"/>
  <c r="N33" i="224" s="1"/>
  <c r="M33" i="224" s="1"/>
  <c r="H33" i="224"/>
  <c r="G33" i="224" s="1"/>
  <c r="F33" i="224" s="1"/>
  <c r="T5" i="116"/>
  <c r="S5" i="116"/>
  <c r="U5" i="116" s="1"/>
  <c r="AH5" i="116" s="1"/>
  <c r="M6" i="116" s="1"/>
  <c r="L5" i="117"/>
  <c r="L30" i="130"/>
  <c r="J30" i="130" s="1"/>
  <c r="E30" i="130" s="1"/>
  <c r="D30" i="130" s="1"/>
  <c r="L30" i="216"/>
  <c r="J30" i="216" s="1"/>
  <c r="E30" i="216" s="1"/>
  <c r="D30" i="216" s="1"/>
  <c r="H7" i="126"/>
  <c r="G7" i="126" s="1"/>
  <c r="F7" i="126" s="1"/>
  <c r="O7" i="126"/>
  <c r="AD22" i="96"/>
  <c r="BP22" i="413"/>
  <c r="H30" i="126"/>
  <c r="G30" i="126" s="1"/>
  <c r="F30" i="126" s="1"/>
  <c r="P31" i="126"/>
  <c r="O30" i="126"/>
  <c r="L30" i="221"/>
  <c r="J30" i="221" s="1"/>
  <c r="E30" i="221" s="1"/>
  <c r="D30" i="221" s="1"/>
  <c r="L30" i="218"/>
  <c r="J30" i="218" s="1"/>
  <c r="E30" i="218" s="1"/>
  <c r="D30" i="218" s="1"/>
  <c r="C14" i="140"/>
  <c r="AG14" i="96" s="1"/>
  <c r="H33" i="200"/>
  <c r="G33" i="200" s="1"/>
  <c r="F33" i="200" s="1"/>
  <c r="O33" i="200"/>
  <c r="N33" i="200" s="1"/>
  <c r="M33" i="200" s="1"/>
  <c r="L31" i="200" s="1"/>
  <c r="J31" i="200" s="1"/>
  <c r="E31" i="200" s="1"/>
  <c r="D31" i="200" s="1"/>
  <c r="C29" i="200" s="1"/>
  <c r="AI29" i="96" s="1"/>
  <c r="P34" i="200"/>
  <c r="E38" i="205"/>
  <c r="J29" i="96" s="1"/>
  <c r="N29" i="489" s="1"/>
  <c r="V38" i="205"/>
  <c r="P38" i="205" s="1"/>
  <c r="Q38" i="205" s="1"/>
  <c r="O38" i="205" s="1"/>
  <c r="AJ29" i="96" s="1"/>
  <c r="AF6" i="116"/>
  <c r="R6" i="116"/>
  <c r="T41" i="205"/>
  <c r="S41" i="205" s="1"/>
  <c r="R41" i="205" s="1"/>
  <c r="AB42" i="205"/>
  <c r="AA41" i="205"/>
  <c r="Z41" i="205" s="1"/>
  <c r="Y41" i="205" s="1"/>
  <c r="X39" i="205" s="1"/>
  <c r="C15" i="140"/>
  <c r="AG15" i="96" s="1"/>
  <c r="C16" i="140"/>
  <c r="AG16" i="96" s="1"/>
  <c r="L6" i="117"/>
  <c r="O48" i="258"/>
  <c r="I48" i="258"/>
  <c r="E48" i="258"/>
  <c r="G48" i="258"/>
  <c r="F48" i="258"/>
  <c r="S14" i="258" s="1"/>
  <c r="D48" i="258"/>
  <c r="M48" i="258"/>
  <c r="H48" i="258"/>
  <c r="K48" i="258"/>
  <c r="J48" i="258"/>
  <c r="L48" i="258"/>
  <c r="N48" i="258"/>
  <c r="T14" i="258"/>
  <c r="U14" i="258" s="1"/>
  <c r="L30" i="226"/>
  <c r="J30" i="226" s="1"/>
  <c r="E30" i="226" s="1"/>
  <c r="D30" i="226" s="1"/>
  <c r="H33" i="221"/>
  <c r="G33" i="221" s="1"/>
  <c r="F33" i="221" s="1"/>
  <c r="O33" i="221"/>
  <c r="N33" i="221" s="1"/>
  <c r="M33" i="221" s="1"/>
  <c r="L31" i="221" s="1"/>
  <c r="J31" i="221" s="1"/>
  <c r="E31" i="221" s="1"/>
  <c r="D31" i="221" s="1"/>
  <c r="P34" i="221"/>
  <c r="L30" i="365"/>
  <c r="J30" i="365" s="1"/>
  <c r="E30" i="365" s="1"/>
  <c r="D30" i="365" s="1"/>
  <c r="C27" i="365" s="1"/>
  <c r="C27" i="209"/>
  <c r="AK27" i="96" s="1"/>
  <c r="C25" i="140"/>
  <c r="AG25" i="96" s="1"/>
  <c r="R6" i="346"/>
  <c r="AF6" i="346"/>
  <c r="C18" i="209"/>
  <c r="AK18" i="96" s="1"/>
  <c r="C24" i="209"/>
  <c r="AK24" i="96" s="1"/>
  <c r="T28" i="96"/>
  <c r="M106" i="347"/>
  <c r="H106" i="347" s="1"/>
  <c r="G106" i="347" s="1"/>
  <c r="H33" i="134"/>
  <c r="G33" i="134" s="1"/>
  <c r="F33" i="134" s="1"/>
  <c r="P34" i="134"/>
  <c r="O33" i="134"/>
  <c r="N33" i="134" s="1"/>
  <c r="M33" i="134" s="1"/>
  <c r="O33" i="130"/>
  <c r="N33" i="130" s="1"/>
  <c r="M33" i="130" s="1"/>
  <c r="L31" i="130" s="1"/>
  <c r="J31" i="130" s="1"/>
  <c r="E31" i="130" s="1"/>
  <c r="D31" i="130" s="1"/>
  <c r="C28" i="130" s="1"/>
  <c r="AH28" i="96" s="1"/>
  <c r="P34" i="130"/>
  <c r="H33" i="130"/>
  <c r="G33" i="130" s="1"/>
  <c r="F33" i="130" s="1"/>
  <c r="R7" i="346"/>
  <c r="AF7" i="346"/>
  <c r="T4" i="346"/>
  <c r="S4" i="346"/>
  <c r="U4" i="346" s="1"/>
  <c r="AH4" i="346" s="1"/>
  <c r="C17" i="214"/>
  <c r="AL17" i="96" s="1"/>
  <c r="AE31" i="96"/>
  <c r="C26" i="365"/>
  <c r="H33" i="365"/>
  <c r="G33" i="365" s="1"/>
  <c r="F33" i="365" s="1"/>
  <c r="O33" i="365"/>
  <c r="N33" i="365" s="1"/>
  <c r="M33" i="365" s="1"/>
  <c r="P34" i="365"/>
  <c r="H33" i="209"/>
  <c r="G33" i="209" s="1"/>
  <c r="F33" i="209" s="1"/>
  <c r="P34" i="209"/>
  <c r="O33" i="209"/>
  <c r="N33" i="209" s="1"/>
  <c r="M33" i="209" s="1"/>
  <c r="F103" i="347"/>
  <c r="AS25" i="96" s="1"/>
  <c r="C19" i="140"/>
  <c r="AG19" i="96" s="1"/>
  <c r="I39" i="20"/>
  <c r="P34" i="370"/>
  <c r="O33" i="370"/>
  <c r="N33" i="370" s="1"/>
  <c r="M33" i="370" s="1"/>
  <c r="H33" i="370"/>
  <c r="G33" i="370" s="1"/>
  <c r="F33" i="370" s="1"/>
  <c r="C23" i="214"/>
  <c r="AL23" i="96" s="1"/>
  <c r="O8" i="117"/>
  <c r="L9" i="117" s="1"/>
  <c r="J9" i="117" s="1"/>
  <c r="C9" i="117" s="1"/>
  <c r="C39" i="117" s="1"/>
  <c r="R7" i="116"/>
  <c r="AF7" i="116"/>
  <c r="C20" i="140"/>
  <c r="AG20" i="96" s="1"/>
  <c r="P34" i="375"/>
  <c r="O33" i="375"/>
  <c r="N33" i="375" s="1"/>
  <c r="M33" i="375" s="1"/>
  <c r="H33" i="375"/>
  <c r="G33" i="375" s="1"/>
  <c r="F33" i="375" s="1"/>
  <c r="N44" i="20"/>
  <c r="M44" i="20" s="1"/>
  <c r="L44" i="20" s="1"/>
  <c r="V45" i="20"/>
  <c r="U44" i="20"/>
  <c r="T44" i="20" s="1"/>
  <c r="S44" i="20" s="1"/>
  <c r="L30" i="140"/>
  <c r="J30" i="140" s="1"/>
  <c r="E30" i="140" s="1"/>
  <c r="D30" i="140" s="1"/>
  <c r="O33" i="226"/>
  <c r="N33" i="226" s="1"/>
  <c r="M33" i="226" s="1"/>
  <c r="L31" i="226" s="1"/>
  <c r="J31" i="226" s="1"/>
  <c r="E31" i="226" s="1"/>
  <c r="D31" i="226" s="1"/>
  <c r="C28" i="226" s="1"/>
  <c r="AQ28" i="96" s="1"/>
  <c r="H33" i="226"/>
  <c r="G33" i="226" s="1"/>
  <c r="F33" i="226" s="1"/>
  <c r="P34" i="226"/>
  <c r="L30" i="377"/>
  <c r="J30" i="377" s="1"/>
  <c r="E30" i="377" s="1"/>
  <c r="D30" i="377" s="1"/>
  <c r="C16" i="214"/>
  <c r="AL16" i="96" s="1"/>
  <c r="O107" i="347"/>
  <c r="C21" i="209"/>
  <c r="AK21" i="96" s="1"/>
  <c r="AF8" i="116"/>
  <c r="R8" i="116"/>
  <c r="V118" i="49"/>
  <c r="M117" i="49"/>
  <c r="N117" i="49" s="1"/>
  <c r="D103" i="347"/>
  <c r="L30" i="325"/>
  <c r="J30" i="325" s="1"/>
  <c r="E30" i="325" s="1"/>
  <c r="D30" i="325" s="1"/>
  <c r="H33" i="140"/>
  <c r="G33" i="140" s="1"/>
  <c r="F33" i="140" s="1"/>
  <c r="O33" i="140"/>
  <c r="N33" i="140" s="1"/>
  <c r="M33" i="140" s="1"/>
  <c r="P34" i="140"/>
  <c r="C17" i="209"/>
  <c r="AK17" i="96" s="1"/>
  <c r="C23" i="209"/>
  <c r="AK23" i="96" s="1"/>
  <c r="C20" i="214"/>
  <c r="AL20" i="96" s="1"/>
  <c r="O33" i="377"/>
  <c r="N33" i="377" s="1"/>
  <c r="M33" i="377" s="1"/>
  <c r="L31" i="377" s="1"/>
  <c r="J31" i="377" s="1"/>
  <c r="E31" i="377" s="1"/>
  <c r="D31" i="377" s="1"/>
  <c r="P34" i="377"/>
  <c r="H33" i="377"/>
  <c r="G33" i="377" s="1"/>
  <c r="F33" i="377" s="1"/>
  <c r="C15" i="214"/>
  <c r="AL15" i="96" s="1"/>
  <c r="K111" i="347"/>
  <c r="J111" i="347" s="1"/>
  <c r="I111" i="347" s="1"/>
  <c r="S112" i="347"/>
  <c r="R111" i="347"/>
  <c r="Q111" i="347" s="1"/>
  <c r="P111" i="347" s="1"/>
  <c r="C25" i="214"/>
  <c r="AL25" i="96" s="1"/>
  <c r="AF8" i="346"/>
  <c r="R8" i="346"/>
  <c r="C18" i="214"/>
  <c r="AL18" i="96" s="1"/>
  <c r="H33" i="325"/>
  <c r="G33" i="325" s="1"/>
  <c r="F33" i="325" s="1"/>
  <c r="P34" i="325"/>
  <c r="O33" i="325"/>
  <c r="N33" i="325" s="1"/>
  <c r="M33" i="325" s="1"/>
  <c r="L30" i="375"/>
  <c r="J30" i="375" s="1"/>
  <c r="E30" i="375" s="1"/>
  <c r="D30" i="375" s="1"/>
  <c r="C19" i="209"/>
  <c r="AK19" i="96" s="1"/>
  <c r="C21" i="214"/>
  <c r="AL21" i="96" s="1"/>
  <c r="C27" i="214"/>
  <c r="AL27" i="96" s="1"/>
  <c r="C21" i="140"/>
  <c r="AG21" i="96" s="1"/>
  <c r="O108" i="347"/>
  <c r="C24" i="214"/>
  <c r="AL24" i="96" s="1"/>
  <c r="C14" i="209"/>
  <c r="AK14" i="96" s="1"/>
  <c r="C15" i="209"/>
  <c r="AK15" i="96" s="1"/>
  <c r="AD24" i="96"/>
  <c r="BP24" i="413"/>
  <c r="AD23" i="96"/>
  <c r="BP23" i="413"/>
  <c r="L31" i="209"/>
  <c r="J31" i="209" s="1"/>
  <c r="E31" i="209" s="1"/>
  <c r="D31" i="209" s="1"/>
  <c r="C24" i="140"/>
  <c r="AG24" i="96" s="1"/>
  <c r="T5" i="346"/>
  <c r="S5" i="346"/>
  <c r="U5" i="346" s="1"/>
  <c r="AH5" i="346" s="1"/>
  <c r="M6" i="346" s="1"/>
  <c r="C26" i="209"/>
  <c r="AK26" i="96" s="1"/>
  <c r="C17" i="140"/>
  <c r="AG17" i="96" s="1"/>
  <c r="C23" i="140"/>
  <c r="AG23" i="96" s="1"/>
  <c r="H33" i="216"/>
  <c r="G33" i="216" s="1"/>
  <c r="F33" i="216" s="1"/>
  <c r="O33" i="216"/>
  <c r="N33" i="216" s="1"/>
  <c r="M33" i="216" s="1"/>
  <c r="P34" i="216"/>
  <c r="M45" i="201"/>
  <c r="N45" i="201"/>
  <c r="H45" i="201"/>
  <c r="D45" i="201"/>
  <c r="E45" i="201"/>
  <c r="J45" i="201"/>
  <c r="F45" i="201"/>
  <c r="K45" i="201"/>
  <c r="G45" i="201"/>
  <c r="I45" i="201"/>
  <c r="L45" i="201"/>
  <c r="O45" i="201"/>
  <c r="Y10" i="201"/>
  <c r="Z10" i="201" s="1"/>
  <c r="H33" i="214"/>
  <c r="G33" i="214" s="1"/>
  <c r="F33" i="214" s="1"/>
  <c r="P34" i="214"/>
  <c r="O33" i="214"/>
  <c r="N33" i="214" s="1"/>
  <c r="M33" i="214" s="1"/>
  <c r="L31" i="214" s="1"/>
  <c r="J31" i="214" s="1"/>
  <c r="E31" i="214" s="1"/>
  <c r="D31" i="214" s="1"/>
  <c r="C14" i="214"/>
  <c r="AL14" i="96" s="1"/>
  <c r="C19" i="214"/>
  <c r="AL19" i="96" s="1"/>
  <c r="L24" i="134"/>
  <c r="L17" i="134"/>
  <c r="J17" i="134" s="1"/>
  <c r="L26" i="134"/>
  <c r="J26" i="134" s="1"/>
  <c r="L18" i="134"/>
  <c r="J18" i="134" s="1"/>
  <c r="L23" i="134"/>
  <c r="J23" i="134" s="1"/>
  <c r="L15" i="134"/>
  <c r="J15" i="134" s="1"/>
  <c r="L20" i="134"/>
  <c r="L19" i="134"/>
  <c r="J19" i="134" s="1"/>
  <c r="L27" i="134"/>
  <c r="L31" i="134"/>
  <c r="J31" i="134" s="1"/>
  <c r="E31" i="134" s="1"/>
  <c r="D31" i="134" s="1"/>
  <c r="L22" i="134"/>
  <c r="L14" i="134"/>
  <c r="J14" i="134" s="1"/>
  <c r="E14" i="134" s="1"/>
  <c r="D14" i="134" s="1"/>
  <c r="L13" i="134"/>
  <c r="J13" i="134" s="1"/>
  <c r="L28" i="134"/>
  <c r="J28" i="134" s="1"/>
  <c r="E28" i="134" s="1"/>
  <c r="D28" i="134" s="1"/>
  <c r="L30" i="134"/>
  <c r="J30" i="134" s="1"/>
  <c r="E30" i="134" s="1"/>
  <c r="D30" i="134" s="1"/>
  <c r="L29" i="134"/>
  <c r="J29" i="134" s="1"/>
  <c r="E29" i="134" s="1"/>
  <c r="D29" i="134" s="1"/>
  <c r="L25" i="134"/>
  <c r="G28" i="413"/>
  <c r="F28" i="413" s="1"/>
  <c r="E25" i="413" s="1"/>
  <c r="Q33" i="413"/>
  <c r="P33" i="413" s="1"/>
  <c r="O33" i="413" s="1"/>
  <c r="J33" i="413"/>
  <c r="I33" i="413" s="1"/>
  <c r="H33" i="413" s="1"/>
  <c r="E13" i="134"/>
  <c r="D13" i="134" s="1"/>
  <c r="E15" i="134"/>
  <c r="D15" i="134" s="1"/>
  <c r="C15" i="134" s="1"/>
  <c r="E8" i="134"/>
  <c r="D8" i="134" s="1"/>
  <c r="E16" i="134"/>
  <c r="D16" i="134" s="1"/>
  <c r="E17" i="134"/>
  <c r="D17" i="134" s="1"/>
  <c r="E10" i="134"/>
  <c r="D10" i="134" s="1"/>
  <c r="J20" i="134"/>
  <c r="J25" i="134"/>
  <c r="J27" i="134"/>
  <c r="J24" i="134"/>
  <c r="J12" i="134"/>
  <c r="J11" i="134"/>
  <c r="J21" i="134"/>
  <c r="L29" i="413"/>
  <c r="R34" i="413"/>
  <c r="F38" i="301"/>
  <c r="B37" i="301"/>
  <c r="N30" i="413"/>
  <c r="T30" i="96" l="1"/>
  <c r="M108" i="347"/>
  <c r="H108" i="347" s="1"/>
  <c r="G108" i="347" s="1"/>
  <c r="L31" i="325"/>
  <c r="J31" i="325" s="1"/>
  <c r="E31" i="325" s="1"/>
  <c r="D31" i="325" s="1"/>
  <c r="C28" i="325"/>
  <c r="AR28" i="96" s="1"/>
  <c r="C27" i="325"/>
  <c r="AR27" i="96" s="1"/>
  <c r="P35" i="375"/>
  <c r="O34" i="375"/>
  <c r="N34" i="375" s="1"/>
  <c r="M34" i="375" s="1"/>
  <c r="H34" i="375"/>
  <c r="G34" i="375" s="1"/>
  <c r="F34" i="375" s="1"/>
  <c r="C27" i="226"/>
  <c r="AQ27" i="96" s="1"/>
  <c r="U4" i="116"/>
  <c r="AH4" i="116" s="1"/>
  <c r="C28" i="214"/>
  <c r="AL28" i="96" s="1"/>
  <c r="H34" i="325"/>
  <c r="G34" i="325" s="1"/>
  <c r="F34" i="325" s="1"/>
  <c r="O34" i="325"/>
  <c r="N34" i="325" s="1"/>
  <c r="M34" i="325" s="1"/>
  <c r="P35" i="325"/>
  <c r="T29" i="96"/>
  <c r="M107" i="347"/>
  <c r="H107" i="347" s="1"/>
  <c r="G107" i="347" s="1"/>
  <c r="L31" i="370"/>
  <c r="J31" i="370" s="1"/>
  <c r="E31" i="370" s="1"/>
  <c r="D31" i="370" s="1"/>
  <c r="C28" i="370" s="1"/>
  <c r="AU28" i="96" s="1"/>
  <c r="H34" i="209"/>
  <c r="G34" i="209" s="1"/>
  <c r="F34" i="209" s="1"/>
  <c r="O34" i="209"/>
  <c r="N34" i="209" s="1"/>
  <c r="M34" i="209" s="1"/>
  <c r="P35" i="209"/>
  <c r="C28" i="221"/>
  <c r="AO28" i="96" s="1"/>
  <c r="C27" i="221"/>
  <c r="AO27" i="96" s="1"/>
  <c r="L31" i="224"/>
  <c r="J31" i="224" s="1"/>
  <c r="E31" i="224" s="1"/>
  <c r="D31" i="224" s="1"/>
  <c r="H34" i="216"/>
  <c r="G34" i="216" s="1"/>
  <c r="F34" i="216" s="1"/>
  <c r="P35" i="216"/>
  <c r="O34" i="216"/>
  <c r="N34" i="216" s="1"/>
  <c r="M34" i="216" s="1"/>
  <c r="K112" i="347"/>
  <c r="J112" i="347" s="1"/>
  <c r="I112" i="347" s="1"/>
  <c r="R112" i="347"/>
  <c r="Q112" i="347" s="1"/>
  <c r="P112" i="347" s="1"/>
  <c r="S113" i="347"/>
  <c r="H34" i="370"/>
  <c r="G34" i="370" s="1"/>
  <c r="F34" i="370" s="1"/>
  <c r="P35" i="370"/>
  <c r="O34" i="370"/>
  <c r="N34" i="370" s="1"/>
  <c r="M34" i="370" s="1"/>
  <c r="H34" i="130"/>
  <c r="G34" i="130" s="1"/>
  <c r="F34" i="130" s="1"/>
  <c r="P35" i="130"/>
  <c r="O34" i="130"/>
  <c r="N34" i="130" s="1"/>
  <c r="M34" i="130" s="1"/>
  <c r="L31" i="365"/>
  <c r="J31" i="365" s="1"/>
  <c r="E31" i="365" s="1"/>
  <c r="D31" i="365" s="1"/>
  <c r="E39" i="205"/>
  <c r="J30" i="96" s="1"/>
  <c r="N30" i="489" s="1"/>
  <c r="V39" i="205"/>
  <c r="P39" i="205" s="1"/>
  <c r="Q39" i="205" s="1"/>
  <c r="O39" i="205" s="1"/>
  <c r="AJ30" i="96" s="1"/>
  <c r="H34" i="200"/>
  <c r="G34" i="200" s="1"/>
  <c r="F34" i="200" s="1"/>
  <c r="O34" i="200"/>
  <c r="N34" i="200" s="1"/>
  <c r="M34" i="200" s="1"/>
  <c r="L32" i="200" s="1"/>
  <c r="J32" i="200" s="1"/>
  <c r="E32" i="200" s="1"/>
  <c r="D32" i="200" s="1"/>
  <c r="C30" i="200" s="1"/>
  <c r="AI30" i="96" s="1"/>
  <c r="P35" i="200"/>
  <c r="N9" i="126"/>
  <c r="M9" i="126" s="1"/>
  <c r="L9" i="126" s="1"/>
  <c r="N7" i="126"/>
  <c r="M7" i="126" s="1"/>
  <c r="L7" i="126" s="1"/>
  <c r="N8" i="126"/>
  <c r="M8" i="126" s="1"/>
  <c r="L8" i="126" s="1"/>
  <c r="N25" i="126"/>
  <c r="M25" i="126" s="1"/>
  <c r="L23" i="126" s="1"/>
  <c r="J23" i="126" s="1"/>
  <c r="E23" i="126" s="1"/>
  <c r="D23" i="126" s="1"/>
  <c r="N22" i="126"/>
  <c r="M22" i="126" s="1"/>
  <c r="N24" i="126"/>
  <c r="M24" i="126" s="1"/>
  <c r="N13" i="126"/>
  <c r="M13" i="126" s="1"/>
  <c r="N16" i="126"/>
  <c r="M16" i="126" s="1"/>
  <c r="N21" i="126"/>
  <c r="M21" i="126" s="1"/>
  <c r="N15" i="126"/>
  <c r="M15" i="126" s="1"/>
  <c r="N18" i="126"/>
  <c r="M18" i="126" s="1"/>
  <c r="L20" i="126" s="1"/>
  <c r="N17" i="126"/>
  <c r="M17" i="126" s="1"/>
  <c r="L19" i="126" s="1"/>
  <c r="J19" i="126" s="1"/>
  <c r="E19" i="126" s="1"/>
  <c r="D19" i="126" s="1"/>
  <c r="N14" i="126"/>
  <c r="M14" i="126" s="1"/>
  <c r="N20" i="126"/>
  <c r="M20" i="126" s="1"/>
  <c r="L22" i="126" s="1"/>
  <c r="J22" i="126" s="1"/>
  <c r="E22" i="126" s="1"/>
  <c r="D22" i="126" s="1"/>
  <c r="N19" i="126"/>
  <c r="M19" i="126" s="1"/>
  <c r="N23" i="126"/>
  <c r="M23" i="126" s="1"/>
  <c r="N26" i="126"/>
  <c r="M26" i="126" s="1"/>
  <c r="N11" i="126"/>
  <c r="M11" i="126" s="1"/>
  <c r="N10" i="126"/>
  <c r="M10" i="126" s="1"/>
  <c r="L10" i="126" s="1"/>
  <c r="N12" i="126"/>
  <c r="M12" i="126" s="1"/>
  <c r="N27" i="126"/>
  <c r="M27" i="126" s="1"/>
  <c r="N28" i="126"/>
  <c r="M28" i="126" s="1"/>
  <c r="O109" i="347"/>
  <c r="H34" i="224"/>
  <c r="G34" i="224" s="1"/>
  <c r="F34" i="224" s="1"/>
  <c r="P35" i="224"/>
  <c r="O34" i="224"/>
  <c r="N34" i="224" s="1"/>
  <c r="M34" i="224" s="1"/>
  <c r="L32" i="224" s="1"/>
  <c r="J32" i="224" s="1"/>
  <c r="E32" i="224" s="1"/>
  <c r="D32" i="224" s="1"/>
  <c r="C29" i="224" s="1"/>
  <c r="AP29" i="96" s="1"/>
  <c r="H34" i="214"/>
  <c r="G34" i="214" s="1"/>
  <c r="F34" i="214" s="1"/>
  <c r="P35" i="214"/>
  <c r="O34" i="214"/>
  <c r="N34" i="214" s="1"/>
  <c r="M34" i="214" s="1"/>
  <c r="L32" i="214" s="1"/>
  <c r="J32" i="214" s="1"/>
  <c r="E32" i="214" s="1"/>
  <c r="D32" i="214" s="1"/>
  <c r="L31" i="216"/>
  <c r="J31" i="216" s="1"/>
  <c r="E31" i="216" s="1"/>
  <c r="D31" i="216" s="1"/>
  <c r="H34" i="140"/>
  <c r="G34" i="140" s="1"/>
  <c r="F34" i="140" s="1"/>
  <c r="P35" i="140"/>
  <c r="O34" i="140"/>
  <c r="N34" i="140" s="1"/>
  <c r="M34" i="140" s="1"/>
  <c r="L32" i="140" s="1"/>
  <c r="J32" i="140" s="1"/>
  <c r="E32" i="140" s="1"/>
  <c r="D32" i="140" s="1"/>
  <c r="R42" i="20"/>
  <c r="P42" i="20" s="1"/>
  <c r="K42" i="20" s="1"/>
  <c r="J42" i="20" s="1"/>
  <c r="S7" i="116"/>
  <c r="U7" i="116" s="1"/>
  <c r="AH7" i="116" s="1"/>
  <c r="M8" i="116" s="1"/>
  <c r="J8" i="116" s="1"/>
  <c r="F8" i="116" s="1"/>
  <c r="C8" i="116" s="1"/>
  <c r="T7" i="116"/>
  <c r="H34" i="365"/>
  <c r="G34" i="365" s="1"/>
  <c r="F34" i="365" s="1"/>
  <c r="P35" i="365"/>
  <c r="O34" i="365"/>
  <c r="N34" i="365" s="1"/>
  <c r="M34" i="365" s="1"/>
  <c r="T42" i="205"/>
  <c r="S42" i="205" s="1"/>
  <c r="R42" i="205" s="1"/>
  <c r="AA42" i="205"/>
  <c r="Z42" i="205" s="1"/>
  <c r="Y42" i="205" s="1"/>
  <c r="AB43" i="205"/>
  <c r="N30" i="126"/>
  <c r="M30" i="126" s="1"/>
  <c r="H34" i="373"/>
  <c r="G34" i="373" s="1"/>
  <c r="F34" i="373" s="1"/>
  <c r="O34" i="373"/>
  <c r="N34" i="373" s="1"/>
  <c r="M34" i="373" s="1"/>
  <c r="L32" i="373" s="1"/>
  <c r="J32" i="373" s="1"/>
  <c r="E32" i="373" s="1"/>
  <c r="D32" i="373" s="1"/>
  <c r="C29" i="373" s="1"/>
  <c r="AV29" i="96" s="1"/>
  <c r="P35" i="373"/>
  <c r="L31" i="140"/>
  <c r="J31" i="140" s="1"/>
  <c r="E31" i="140" s="1"/>
  <c r="D31" i="140" s="1"/>
  <c r="V119" i="49"/>
  <c r="M118" i="49"/>
  <c r="N118" i="49" s="1"/>
  <c r="N45" i="20"/>
  <c r="M45" i="20" s="1"/>
  <c r="L45" i="20" s="1"/>
  <c r="U45" i="20"/>
  <c r="T45" i="20" s="1"/>
  <c r="S45" i="20" s="1"/>
  <c r="R43" i="20" s="1"/>
  <c r="P43" i="20" s="1"/>
  <c r="K43" i="20" s="1"/>
  <c r="J43" i="20" s="1"/>
  <c r="V46" i="20"/>
  <c r="M4" i="346"/>
  <c r="M5" i="346"/>
  <c r="T6" i="346"/>
  <c r="S6" i="346"/>
  <c r="U6" i="346" s="1"/>
  <c r="AH6" i="346" s="1"/>
  <c r="M7" i="346" s="1"/>
  <c r="J7" i="346" s="1"/>
  <c r="F7" i="346" s="1"/>
  <c r="C7" i="346" s="1"/>
  <c r="H31" i="126"/>
  <c r="G31" i="126" s="1"/>
  <c r="F31" i="126" s="1"/>
  <c r="O31" i="126"/>
  <c r="N31" i="126" s="1"/>
  <c r="M31" i="126" s="1"/>
  <c r="P32" i="126"/>
  <c r="C27" i="216"/>
  <c r="AM27" i="96" s="1"/>
  <c r="L7" i="117"/>
  <c r="J7" i="117" s="1"/>
  <c r="C7" i="117" s="1"/>
  <c r="C37" i="117" s="1"/>
  <c r="O34" i="218"/>
  <c r="N34" i="218" s="1"/>
  <c r="M34" i="218" s="1"/>
  <c r="H34" i="218"/>
  <c r="G34" i="218" s="1"/>
  <c r="F34" i="218" s="1"/>
  <c r="P35" i="218"/>
  <c r="S8" i="346"/>
  <c r="T8" i="346"/>
  <c r="C27" i="140"/>
  <c r="AG27" i="96" s="1"/>
  <c r="C27" i="377"/>
  <c r="AY27" i="96" s="1"/>
  <c r="H34" i="134"/>
  <c r="G34" i="134" s="1"/>
  <c r="F34" i="134" s="1"/>
  <c r="O34" i="134"/>
  <c r="N34" i="134" s="1"/>
  <c r="M34" i="134" s="1"/>
  <c r="P35" i="134"/>
  <c r="H34" i="221"/>
  <c r="G34" i="221" s="1"/>
  <c r="F34" i="221" s="1"/>
  <c r="P35" i="221"/>
  <c r="O34" i="221"/>
  <c r="N34" i="221" s="1"/>
  <c r="M34" i="221" s="1"/>
  <c r="L32" i="221" s="1"/>
  <c r="J32" i="221" s="1"/>
  <c r="E32" i="221" s="1"/>
  <c r="D32" i="221" s="1"/>
  <c r="L32" i="216"/>
  <c r="J32" i="216" s="1"/>
  <c r="E32" i="216" s="1"/>
  <c r="D32" i="216" s="1"/>
  <c r="C29" i="216" s="1"/>
  <c r="AM29" i="96" s="1"/>
  <c r="P35" i="377"/>
  <c r="O34" i="377"/>
  <c r="N34" i="377" s="1"/>
  <c r="M34" i="377" s="1"/>
  <c r="H34" i="377"/>
  <c r="G34" i="377" s="1"/>
  <c r="F34" i="377" s="1"/>
  <c r="S8" i="116"/>
  <c r="U8" i="116" s="1"/>
  <c r="AH8" i="116" s="1"/>
  <c r="M9" i="116" s="1"/>
  <c r="J9" i="116" s="1"/>
  <c r="F9" i="116" s="1"/>
  <c r="C9" i="116" s="1"/>
  <c r="T8" i="116"/>
  <c r="P35" i="226"/>
  <c r="O34" i="226"/>
  <c r="N34" i="226" s="1"/>
  <c r="M34" i="226" s="1"/>
  <c r="H34" i="226"/>
  <c r="G34" i="226" s="1"/>
  <c r="F34" i="226" s="1"/>
  <c r="L8" i="117"/>
  <c r="J8" i="117" s="1"/>
  <c r="C8" i="117" s="1"/>
  <c r="C38" i="117" s="1"/>
  <c r="T6" i="116"/>
  <c r="S6" i="116"/>
  <c r="C28" i="218"/>
  <c r="AN28" i="96" s="1"/>
  <c r="C27" i="218"/>
  <c r="AN27" i="96" s="1"/>
  <c r="C27" i="130"/>
  <c r="AH27" i="96" s="1"/>
  <c r="AD25" i="96"/>
  <c r="BP25" i="413"/>
  <c r="M78" i="117"/>
  <c r="C28" i="209"/>
  <c r="AK28" i="96" s="1"/>
  <c r="C27" i="375"/>
  <c r="AW27" i="96" s="1"/>
  <c r="C28" i="377"/>
  <c r="AY28" i="96" s="1"/>
  <c r="L32" i="325"/>
  <c r="J32" i="325" s="1"/>
  <c r="E32" i="325" s="1"/>
  <c r="D32" i="325" s="1"/>
  <c r="C29" i="325" s="1"/>
  <c r="AR29" i="96" s="1"/>
  <c r="L31" i="375"/>
  <c r="J31" i="375" s="1"/>
  <c r="E31" i="375" s="1"/>
  <c r="D31" i="375" s="1"/>
  <c r="C28" i="365"/>
  <c r="T7" i="346"/>
  <c r="S7" i="346"/>
  <c r="U7" i="346" s="1"/>
  <c r="AH7" i="346" s="1"/>
  <c r="M8" i="346" s="1"/>
  <c r="J8" i="346" s="1"/>
  <c r="F8" i="346" s="1"/>
  <c r="C8" i="346" s="1"/>
  <c r="D106" i="347"/>
  <c r="D104" i="347"/>
  <c r="F104" i="347"/>
  <c r="AS26" i="96" s="1"/>
  <c r="C29" i="140"/>
  <c r="AG29" i="96" s="1"/>
  <c r="L32" i="130"/>
  <c r="J32" i="130" s="1"/>
  <c r="E32" i="130" s="1"/>
  <c r="D32" i="130" s="1"/>
  <c r="C29" i="130" s="1"/>
  <c r="AH29" i="96" s="1"/>
  <c r="N29" i="126"/>
  <c r="M29" i="126" s="1"/>
  <c r="L27" i="126" s="1"/>
  <c r="M75" i="117"/>
  <c r="J22" i="134"/>
  <c r="M79" i="117"/>
  <c r="G29" i="413"/>
  <c r="F29" i="413" s="1"/>
  <c r="E26" i="413" s="1"/>
  <c r="Q34" i="413"/>
  <c r="P34" i="413" s="1"/>
  <c r="O34" i="413" s="1"/>
  <c r="J34" i="413"/>
  <c r="I34" i="413" s="1"/>
  <c r="H34" i="413" s="1"/>
  <c r="AV15" i="134"/>
  <c r="AX15" i="96"/>
  <c r="E27" i="134"/>
  <c r="D27" i="134" s="1"/>
  <c r="E18" i="134"/>
  <c r="D18" i="134" s="1"/>
  <c r="E23" i="134"/>
  <c r="D23" i="134" s="1"/>
  <c r="E26" i="134"/>
  <c r="D26" i="134" s="1"/>
  <c r="E25" i="134"/>
  <c r="D25" i="134" s="1"/>
  <c r="E12" i="134"/>
  <c r="D12" i="134" s="1"/>
  <c r="E21" i="134"/>
  <c r="D21" i="134" s="1"/>
  <c r="E19" i="134"/>
  <c r="D19" i="134" s="1"/>
  <c r="E20" i="134"/>
  <c r="D20" i="134" s="1"/>
  <c r="E24" i="134"/>
  <c r="D24" i="134" s="1"/>
  <c r="E11" i="134"/>
  <c r="D11" i="134" s="1"/>
  <c r="E22" i="134"/>
  <c r="D22" i="134" s="1"/>
  <c r="L30" i="413"/>
  <c r="R35" i="413"/>
  <c r="F39" i="301"/>
  <c r="B38" i="301"/>
  <c r="N31" i="413"/>
  <c r="L32" i="377" l="1"/>
  <c r="J32" i="377" s="1"/>
  <c r="E32" i="377" s="1"/>
  <c r="D32" i="377" s="1"/>
  <c r="X40" i="205"/>
  <c r="AE32" i="96"/>
  <c r="I40" i="20"/>
  <c r="I41" i="20"/>
  <c r="H35" i="214"/>
  <c r="G35" i="214" s="1"/>
  <c r="F35" i="214" s="1"/>
  <c r="P36" i="214"/>
  <c r="O35" i="214"/>
  <c r="N35" i="214" s="1"/>
  <c r="M35" i="214" s="1"/>
  <c r="L33" i="214" s="1"/>
  <c r="J33" i="214" s="1"/>
  <c r="E33" i="214" s="1"/>
  <c r="D33" i="214" s="1"/>
  <c r="C30" i="214" s="1"/>
  <c r="AL30" i="96" s="1"/>
  <c r="L12" i="126"/>
  <c r="L14" i="126"/>
  <c r="J14" i="126" s="1"/>
  <c r="E14" i="126" s="1"/>
  <c r="D14" i="126" s="1"/>
  <c r="F106" i="347"/>
  <c r="AS28" i="96" s="1"/>
  <c r="J27" i="126"/>
  <c r="E27" i="126" s="1"/>
  <c r="D27" i="126" s="1"/>
  <c r="M83" i="117"/>
  <c r="P36" i="377"/>
  <c r="O35" i="377"/>
  <c r="N35" i="377" s="1"/>
  <c r="M35" i="377" s="1"/>
  <c r="H35" i="377"/>
  <c r="G35" i="377" s="1"/>
  <c r="F35" i="377" s="1"/>
  <c r="H35" i="134"/>
  <c r="G35" i="134" s="1"/>
  <c r="F35" i="134" s="1"/>
  <c r="P36" i="134"/>
  <c r="O35" i="134"/>
  <c r="N35" i="134" s="1"/>
  <c r="M35" i="134" s="1"/>
  <c r="U8" i="346"/>
  <c r="AH8" i="346" s="1"/>
  <c r="M9" i="346" s="1"/>
  <c r="J9" i="346" s="1"/>
  <c r="F9" i="346" s="1"/>
  <c r="C9" i="346" s="1"/>
  <c r="H32" i="126"/>
  <c r="G32" i="126" s="1"/>
  <c r="F32" i="126" s="1"/>
  <c r="O32" i="126"/>
  <c r="N32" i="126" s="1"/>
  <c r="M32" i="126" s="1"/>
  <c r="L30" i="126" s="1"/>
  <c r="P33" i="126"/>
  <c r="C28" i="140"/>
  <c r="AG28" i="96" s="1"/>
  <c r="J10" i="126"/>
  <c r="E10" i="126" s="1"/>
  <c r="D10" i="126" s="1"/>
  <c r="M66" i="117"/>
  <c r="J20" i="126"/>
  <c r="E20" i="126" s="1"/>
  <c r="D20" i="126" s="1"/>
  <c r="M76" i="117"/>
  <c r="J8" i="126"/>
  <c r="E8" i="126" s="1"/>
  <c r="D8" i="126" s="1"/>
  <c r="M64" i="117"/>
  <c r="D105" i="347"/>
  <c r="F107" i="347"/>
  <c r="AS29" i="96" s="1"/>
  <c r="F105" i="347"/>
  <c r="AS27" i="96" s="1"/>
  <c r="M4" i="116"/>
  <c r="M5" i="116"/>
  <c r="L32" i="375"/>
  <c r="J32" i="375" s="1"/>
  <c r="E32" i="375" s="1"/>
  <c r="D32" i="375" s="1"/>
  <c r="L32" i="134"/>
  <c r="J32" i="134" s="1"/>
  <c r="E32" i="134" s="1"/>
  <c r="D32" i="134" s="1"/>
  <c r="L33" i="134"/>
  <c r="J33" i="134" s="1"/>
  <c r="E33" i="134" s="1"/>
  <c r="D33" i="134" s="1"/>
  <c r="L29" i="126"/>
  <c r="N46" i="20"/>
  <c r="M46" i="20" s="1"/>
  <c r="L46" i="20" s="1"/>
  <c r="V47" i="20"/>
  <c r="U46" i="20"/>
  <c r="T46" i="20" s="1"/>
  <c r="S46" i="20" s="1"/>
  <c r="R44" i="20" s="1"/>
  <c r="P44" i="20" s="1"/>
  <c r="K44" i="20" s="1"/>
  <c r="J44" i="20" s="1"/>
  <c r="AE34" i="96" s="1"/>
  <c r="H35" i="373"/>
  <c r="G35" i="373" s="1"/>
  <c r="F35" i="373" s="1"/>
  <c r="P36" i="373"/>
  <c r="O35" i="373"/>
  <c r="N35" i="373" s="1"/>
  <c r="M35" i="373" s="1"/>
  <c r="L33" i="373" s="1"/>
  <c r="J33" i="373" s="1"/>
  <c r="E33" i="373" s="1"/>
  <c r="D33" i="373" s="1"/>
  <c r="C30" i="373" s="1"/>
  <c r="AV30" i="96" s="1"/>
  <c r="L32" i="365"/>
  <c r="J32" i="365" s="1"/>
  <c r="E32" i="365" s="1"/>
  <c r="D32" i="365" s="1"/>
  <c r="H35" i="140"/>
  <c r="G35" i="140" s="1"/>
  <c r="F35" i="140" s="1"/>
  <c r="O35" i="140"/>
  <c r="N35" i="140" s="1"/>
  <c r="M35" i="140" s="1"/>
  <c r="P36" i="140"/>
  <c r="L11" i="126"/>
  <c r="L13" i="126"/>
  <c r="J13" i="126" s="1"/>
  <c r="E13" i="126" s="1"/>
  <c r="D13" i="126" s="1"/>
  <c r="J7" i="126"/>
  <c r="E7" i="126" s="1"/>
  <c r="D7" i="126" s="1"/>
  <c r="M63" i="117"/>
  <c r="C29" i="365"/>
  <c r="O35" i="375"/>
  <c r="N35" i="375" s="1"/>
  <c r="M35" i="375" s="1"/>
  <c r="H35" i="375"/>
  <c r="G35" i="375" s="1"/>
  <c r="F35" i="375" s="1"/>
  <c r="P36" i="375"/>
  <c r="AD26" i="96"/>
  <c r="BP26" i="413"/>
  <c r="L32" i="226"/>
  <c r="J32" i="226" s="1"/>
  <c r="E32" i="226" s="1"/>
  <c r="D32" i="226" s="1"/>
  <c r="O35" i="218"/>
  <c r="N35" i="218" s="1"/>
  <c r="M35" i="218" s="1"/>
  <c r="L33" i="218" s="1"/>
  <c r="J33" i="218" s="1"/>
  <c r="E33" i="218" s="1"/>
  <c r="D33" i="218" s="1"/>
  <c r="C30" i="218" s="1"/>
  <c r="AN30" i="96" s="1"/>
  <c r="H35" i="218"/>
  <c r="G35" i="218" s="1"/>
  <c r="F35" i="218" s="1"/>
  <c r="P36" i="218"/>
  <c r="AE33" i="96"/>
  <c r="H35" i="365"/>
  <c r="G35" i="365" s="1"/>
  <c r="F35" i="365" s="1"/>
  <c r="O35" i="365"/>
  <c r="N35" i="365" s="1"/>
  <c r="M35" i="365" s="1"/>
  <c r="P36" i="365"/>
  <c r="P36" i="224"/>
  <c r="O35" i="224"/>
  <c r="N35" i="224" s="1"/>
  <c r="M35" i="224" s="1"/>
  <c r="L33" i="224" s="1"/>
  <c r="J33" i="224" s="1"/>
  <c r="E33" i="224" s="1"/>
  <c r="D33" i="224" s="1"/>
  <c r="H35" i="224"/>
  <c r="G35" i="224" s="1"/>
  <c r="F35" i="224" s="1"/>
  <c r="J9" i="126"/>
  <c r="E9" i="126" s="1"/>
  <c r="D9" i="126" s="1"/>
  <c r="M65" i="117"/>
  <c r="K113" i="347"/>
  <c r="J113" i="347" s="1"/>
  <c r="I113" i="347" s="1"/>
  <c r="S114" i="347"/>
  <c r="R113" i="347"/>
  <c r="Q113" i="347" s="1"/>
  <c r="P113" i="347" s="1"/>
  <c r="C29" i="221"/>
  <c r="AO29" i="96" s="1"/>
  <c r="C28" i="375"/>
  <c r="AW28" i="96" s="1"/>
  <c r="P36" i="226"/>
  <c r="O35" i="226"/>
  <c r="N35" i="226" s="1"/>
  <c r="M35" i="226" s="1"/>
  <c r="H35" i="226"/>
  <c r="G35" i="226" s="1"/>
  <c r="F35" i="226" s="1"/>
  <c r="C28" i="216"/>
  <c r="AM28" i="96" s="1"/>
  <c r="L25" i="126"/>
  <c r="L18" i="126"/>
  <c r="H35" i="130"/>
  <c r="G35" i="130" s="1"/>
  <c r="F35" i="130" s="1"/>
  <c r="P36" i="130"/>
  <c r="O35" i="130"/>
  <c r="N35" i="130" s="1"/>
  <c r="M35" i="130" s="1"/>
  <c r="C28" i="224"/>
  <c r="AP28" i="96" s="1"/>
  <c r="H35" i="209"/>
  <c r="G35" i="209" s="1"/>
  <c r="F35" i="209" s="1"/>
  <c r="P36" i="209"/>
  <c r="O35" i="209"/>
  <c r="N35" i="209" s="1"/>
  <c r="M35" i="209" s="1"/>
  <c r="L33" i="209" s="1"/>
  <c r="J33" i="209" s="1"/>
  <c r="E33" i="209" s="1"/>
  <c r="D33" i="209" s="1"/>
  <c r="L32" i="218"/>
  <c r="J32" i="218" s="1"/>
  <c r="E32" i="218" s="1"/>
  <c r="D32" i="218" s="1"/>
  <c r="T31" i="96"/>
  <c r="M109" i="347"/>
  <c r="H109" i="347" s="1"/>
  <c r="G109" i="347" s="1"/>
  <c r="L17" i="126"/>
  <c r="J17" i="126" s="1"/>
  <c r="E17" i="126" s="1"/>
  <c r="D17" i="126" s="1"/>
  <c r="L21" i="126"/>
  <c r="L15" i="126"/>
  <c r="J15" i="126" s="1"/>
  <c r="E15" i="126" s="1"/>
  <c r="D15" i="126" s="1"/>
  <c r="H35" i="200"/>
  <c r="G35" i="200" s="1"/>
  <c r="F35" i="200" s="1"/>
  <c r="P36" i="200"/>
  <c r="O35" i="200"/>
  <c r="N35" i="200" s="1"/>
  <c r="M35" i="200" s="1"/>
  <c r="L33" i="200" s="1"/>
  <c r="J33" i="200" s="1"/>
  <c r="E33" i="200" s="1"/>
  <c r="D33" i="200" s="1"/>
  <c r="C31" i="200" s="1"/>
  <c r="AI31" i="96" s="1"/>
  <c r="H35" i="325"/>
  <c r="G35" i="325" s="1"/>
  <c r="F35" i="325" s="1"/>
  <c r="O35" i="325"/>
  <c r="N35" i="325" s="1"/>
  <c r="M35" i="325" s="1"/>
  <c r="P36" i="325"/>
  <c r="H35" i="221"/>
  <c r="G35" i="221" s="1"/>
  <c r="F35" i="221" s="1"/>
  <c r="P36" i="221"/>
  <c r="O35" i="221"/>
  <c r="N35" i="221" s="1"/>
  <c r="M35" i="221" s="1"/>
  <c r="L33" i="221" s="1"/>
  <c r="J33" i="221" s="1"/>
  <c r="E33" i="221" s="1"/>
  <c r="D33" i="221" s="1"/>
  <c r="V120" i="49"/>
  <c r="M119" i="49"/>
  <c r="N119" i="49" s="1"/>
  <c r="L28" i="126"/>
  <c r="L26" i="126"/>
  <c r="L32" i="370"/>
  <c r="J32" i="370" s="1"/>
  <c r="E32" i="370" s="1"/>
  <c r="D32" i="370" s="1"/>
  <c r="C29" i="370" s="1"/>
  <c r="AU29" i="96" s="1"/>
  <c r="L32" i="209"/>
  <c r="J32" i="209" s="1"/>
  <c r="E32" i="209" s="1"/>
  <c r="D32" i="209" s="1"/>
  <c r="C30" i="134"/>
  <c r="AX30" i="96" s="1"/>
  <c r="U6" i="116"/>
  <c r="AH6" i="116" s="1"/>
  <c r="M7" i="116" s="1"/>
  <c r="J7" i="116" s="1"/>
  <c r="F7" i="116" s="1"/>
  <c r="C7" i="116" s="1"/>
  <c r="L33" i="140"/>
  <c r="J33" i="140" s="1"/>
  <c r="E33" i="140" s="1"/>
  <c r="D33" i="140" s="1"/>
  <c r="T43" i="205"/>
  <c r="S43" i="205" s="1"/>
  <c r="R43" i="205" s="1"/>
  <c r="AA43" i="205"/>
  <c r="Z43" i="205" s="1"/>
  <c r="Y43" i="205" s="1"/>
  <c r="AB44" i="205"/>
  <c r="C29" i="214"/>
  <c r="AL29" i="96" s="1"/>
  <c r="L16" i="126"/>
  <c r="J16" i="126" s="1"/>
  <c r="E16" i="126" s="1"/>
  <c r="D16" i="126" s="1"/>
  <c r="L24" i="126"/>
  <c r="H35" i="370"/>
  <c r="G35" i="370" s="1"/>
  <c r="F35" i="370" s="1"/>
  <c r="P36" i="370"/>
  <c r="O35" i="370"/>
  <c r="N35" i="370" s="1"/>
  <c r="M35" i="370" s="1"/>
  <c r="H35" i="216"/>
  <c r="G35" i="216" s="1"/>
  <c r="F35" i="216" s="1"/>
  <c r="O35" i="216"/>
  <c r="N35" i="216" s="1"/>
  <c r="M35" i="216" s="1"/>
  <c r="P36" i="216"/>
  <c r="Q35" i="413"/>
  <c r="P35" i="413" s="1"/>
  <c r="O35" i="413" s="1"/>
  <c r="J35" i="413"/>
  <c r="I35" i="413" s="1"/>
  <c r="H35" i="413" s="1"/>
  <c r="G30" i="413"/>
  <c r="F30" i="413" s="1"/>
  <c r="E27" i="413" s="1"/>
  <c r="C25" i="134"/>
  <c r="AV25" i="134" s="1"/>
  <c r="C22" i="134"/>
  <c r="AX22" i="96" s="1"/>
  <c r="C20" i="134"/>
  <c r="AV20" i="134" s="1"/>
  <c r="C18" i="134"/>
  <c r="AV18" i="134" s="1"/>
  <c r="C19" i="134"/>
  <c r="AV19" i="134" s="1"/>
  <c r="C21" i="134"/>
  <c r="AV21" i="134" s="1"/>
  <c r="C23" i="134"/>
  <c r="AV23" i="134" s="1"/>
  <c r="C24" i="134"/>
  <c r="AV24" i="134" s="1"/>
  <c r="C28" i="134"/>
  <c r="AV28" i="134" s="1"/>
  <c r="C27" i="134"/>
  <c r="AV27" i="134" s="1"/>
  <c r="C26" i="134"/>
  <c r="AV26" i="134" s="1"/>
  <c r="C29" i="134"/>
  <c r="AV29" i="134" s="1"/>
  <c r="C16" i="134"/>
  <c r="C17" i="134"/>
  <c r="AV17" i="134" s="1"/>
  <c r="L31" i="413"/>
  <c r="R36" i="413"/>
  <c r="F40" i="301"/>
  <c r="B39" i="301"/>
  <c r="N32" i="413"/>
  <c r="C30" i="224" l="1"/>
  <c r="AP30" i="96" s="1"/>
  <c r="C15" i="126"/>
  <c r="AF15" i="96" s="1"/>
  <c r="H36" i="140"/>
  <c r="G36" i="140" s="1"/>
  <c r="F36" i="140" s="1"/>
  <c r="O36" i="140"/>
  <c r="N36" i="140" s="1"/>
  <c r="M36" i="140" s="1"/>
  <c r="P37" i="140"/>
  <c r="L33" i="216"/>
  <c r="J33" i="216" s="1"/>
  <c r="E33" i="216" s="1"/>
  <c r="D33" i="216" s="1"/>
  <c r="O36" i="218"/>
  <c r="N36" i="218" s="1"/>
  <c r="M36" i="218" s="1"/>
  <c r="H36" i="218"/>
  <c r="G36" i="218" s="1"/>
  <c r="F36" i="218" s="1"/>
  <c r="P37" i="218"/>
  <c r="E40" i="205"/>
  <c r="J31" i="96" s="1"/>
  <c r="N31" i="489" s="1"/>
  <c r="V40" i="205"/>
  <c r="P40" i="205" s="1"/>
  <c r="Q40" i="205" s="1"/>
  <c r="O40" i="205" s="1"/>
  <c r="AJ31" i="96" s="1"/>
  <c r="T44" i="205"/>
  <c r="S44" i="205" s="1"/>
  <c r="R44" i="205" s="1"/>
  <c r="AB45" i="205"/>
  <c r="AA44" i="205"/>
  <c r="Z44" i="205" s="1"/>
  <c r="Y44" i="205" s="1"/>
  <c r="J28" i="126"/>
  <c r="E28" i="126" s="1"/>
  <c r="D28" i="126" s="1"/>
  <c r="M84" i="117"/>
  <c r="L33" i="325"/>
  <c r="J33" i="325" s="1"/>
  <c r="E33" i="325" s="1"/>
  <c r="D33" i="325" s="1"/>
  <c r="J21" i="126"/>
  <c r="E21" i="126" s="1"/>
  <c r="D21" i="126" s="1"/>
  <c r="M77" i="117"/>
  <c r="H36" i="130"/>
  <c r="G36" i="130" s="1"/>
  <c r="F36" i="130" s="1"/>
  <c r="O36" i="130"/>
  <c r="N36" i="130" s="1"/>
  <c r="M36" i="130" s="1"/>
  <c r="P37" i="130"/>
  <c r="O110" i="347"/>
  <c r="H36" i="224"/>
  <c r="G36" i="224" s="1"/>
  <c r="F36" i="224" s="1"/>
  <c r="P37" i="224"/>
  <c r="O36" i="224"/>
  <c r="N36" i="224" s="1"/>
  <c r="M36" i="224" s="1"/>
  <c r="N47" i="20"/>
  <c r="M47" i="20" s="1"/>
  <c r="L47" i="20" s="1"/>
  <c r="V48" i="20"/>
  <c r="U47" i="20"/>
  <c r="T47" i="20" s="1"/>
  <c r="S47" i="20" s="1"/>
  <c r="J30" i="126"/>
  <c r="E30" i="126" s="1"/>
  <c r="D30" i="126" s="1"/>
  <c r="M86" i="117"/>
  <c r="P37" i="377"/>
  <c r="O36" i="377"/>
  <c r="N36" i="377" s="1"/>
  <c r="M36" i="377" s="1"/>
  <c r="H36" i="377"/>
  <c r="G36" i="377" s="1"/>
  <c r="F36" i="377" s="1"/>
  <c r="I42" i="20"/>
  <c r="J26" i="126"/>
  <c r="E26" i="126" s="1"/>
  <c r="D26" i="126" s="1"/>
  <c r="M82" i="117"/>
  <c r="L33" i="377"/>
  <c r="J33" i="377" s="1"/>
  <c r="E33" i="377" s="1"/>
  <c r="D33" i="377" s="1"/>
  <c r="H36" i="370"/>
  <c r="G36" i="370" s="1"/>
  <c r="F36" i="370" s="1"/>
  <c r="P37" i="370"/>
  <c r="O36" i="370"/>
  <c r="N36" i="370" s="1"/>
  <c r="M36" i="370" s="1"/>
  <c r="X41" i="205"/>
  <c r="C30" i="209"/>
  <c r="AK30" i="96" s="1"/>
  <c r="L33" i="226"/>
  <c r="J33" i="226" s="1"/>
  <c r="E33" i="226" s="1"/>
  <c r="D33" i="226" s="1"/>
  <c r="K114" i="347"/>
  <c r="J114" i="347" s="1"/>
  <c r="I114" i="347" s="1"/>
  <c r="S115" i="347"/>
  <c r="R114" i="347"/>
  <c r="Q114" i="347" s="1"/>
  <c r="P114" i="347" s="1"/>
  <c r="H36" i="365"/>
  <c r="G36" i="365" s="1"/>
  <c r="F36" i="365" s="1"/>
  <c r="O36" i="365"/>
  <c r="N36" i="365" s="1"/>
  <c r="M36" i="365" s="1"/>
  <c r="P37" i="365"/>
  <c r="C29" i="377"/>
  <c r="AY29" i="96" s="1"/>
  <c r="L33" i="130"/>
  <c r="J33" i="130" s="1"/>
  <c r="E33" i="130" s="1"/>
  <c r="D33" i="130" s="1"/>
  <c r="H33" i="126"/>
  <c r="G33" i="126" s="1"/>
  <c r="F33" i="126" s="1"/>
  <c r="P34" i="126"/>
  <c r="O33" i="126"/>
  <c r="N33" i="126" s="1"/>
  <c r="M33" i="126" s="1"/>
  <c r="L31" i="126" s="1"/>
  <c r="C29" i="209"/>
  <c r="AK29" i="96" s="1"/>
  <c r="V121" i="49"/>
  <c r="M120" i="49"/>
  <c r="N120" i="49" s="1"/>
  <c r="D107" i="347"/>
  <c r="H36" i="209"/>
  <c r="G36" i="209" s="1"/>
  <c r="F36" i="209" s="1"/>
  <c r="O36" i="209"/>
  <c r="N36" i="209" s="1"/>
  <c r="M36" i="209" s="1"/>
  <c r="P37" i="209"/>
  <c r="O36" i="226"/>
  <c r="N36" i="226" s="1"/>
  <c r="M36" i="226" s="1"/>
  <c r="H36" i="226"/>
  <c r="G36" i="226" s="1"/>
  <c r="F36" i="226" s="1"/>
  <c r="P37" i="226"/>
  <c r="L33" i="365"/>
  <c r="J33" i="365" s="1"/>
  <c r="E33" i="365" s="1"/>
  <c r="D33" i="365" s="1"/>
  <c r="C29" i="226"/>
  <c r="AQ29" i="96" s="1"/>
  <c r="J29" i="126"/>
  <c r="E29" i="126" s="1"/>
  <c r="D29" i="126" s="1"/>
  <c r="M85" i="117"/>
  <c r="C14" i="126"/>
  <c r="AF14" i="96" s="1"/>
  <c r="C17" i="126"/>
  <c r="AF17" i="96" s="1"/>
  <c r="C30" i="221"/>
  <c r="AO30" i="96" s="1"/>
  <c r="AD27" i="96"/>
  <c r="BP27" i="413"/>
  <c r="J24" i="126"/>
  <c r="E24" i="126" s="1"/>
  <c r="D24" i="126" s="1"/>
  <c r="C21" i="126" s="1"/>
  <c r="AF21" i="96" s="1"/>
  <c r="M80" i="117"/>
  <c r="C30" i="140"/>
  <c r="AG30" i="96" s="1"/>
  <c r="X42" i="205"/>
  <c r="J18" i="126"/>
  <c r="E18" i="126" s="1"/>
  <c r="D18" i="126" s="1"/>
  <c r="C18" i="126" s="1"/>
  <c r="AF18" i="96" s="1"/>
  <c r="M74" i="117"/>
  <c r="C29" i="375"/>
  <c r="AW29" i="96" s="1"/>
  <c r="J12" i="126"/>
  <c r="E12" i="126" s="1"/>
  <c r="D12" i="126" s="1"/>
  <c r="M68" i="117"/>
  <c r="AV30" i="134"/>
  <c r="C19" i="126"/>
  <c r="AF19" i="96" s="1"/>
  <c r="H36" i="221"/>
  <c r="G36" i="221" s="1"/>
  <c r="F36" i="221" s="1"/>
  <c r="P37" i="221"/>
  <c r="O36" i="221"/>
  <c r="N36" i="221" s="1"/>
  <c r="M36" i="221" s="1"/>
  <c r="J25" i="126"/>
  <c r="E25" i="126" s="1"/>
  <c r="D25" i="126" s="1"/>
  <c r="M81" i="117"/>
  <c r="C13" i="126"/>
  <c r="AF13" i="96" s="1"/>
  <c r="C16" i="126"/>
  <c r="AF16" i="96" s="1"/>
  <c r="H36" i="134"/>
  <c r="G36" i="134" s="1"/>
  <c r="F36" i="134" s="1"/>
  <c r="O36" i="134"/>
  <c r="N36" i="134" s="1"/>
  <c r="M36" i="134" s="1"/>
  <c r="P37" i="134"/>
  <c r="L34" i="130"/>
  <c r="J34" i="130" s="1"/>
  <c r="E34" i="130" s="1"/>
  <c r="D34" i="130" s="1"/>
  <c r="C31" i="130" s="1"/>
  <c r="AH31" i="96" s="1"/>
  <c r="H36" i="325"/>
  <c r="G36" i="325" s="1"/>
  <c r="F36" i="325" s="1"/>
  <c r="O36" i="325"/>
  <c r="N36" i="325" s="1"/>
  <c r="M36" i="325" s="1"/>
  <c r="P37" i="325"/>
  <c r="L33" i="375"/>
  <c r="J33" i="375" s="1"/>
  <c r="E33" i="375" s="1"/>
  <c r="D33" i="375" s="1"/>
  <c r="H36" i="216"/>
  <c r="G36" i="216" s="1"/>
  <c r="F36" i="216" s="1"/>
  <c r="P37" i="216"/>
  <c r="O36" i="216"/>
  <c r="N36" i="216" s="1"/>
  <c r="M36" i="216" s="1"/>
  <c r="L33" i="370"/>
  <c r="J33" i="370" s="1"/>
  <c r="E33" i="370" s="1"/>
  <c r="D33" i="370" s="1"/>
  <c r="C30" i="370" s="1"/>
  <c r="AU30" i="96" s="1"/>
  <c r="H36" i="200"/>
  <c r="G36" i="200" s="1"/>
  <c r="F36" i="200" s="1"/>
  <c r="O36" i="200"/>
  <c r="N36" i="200" s="1"/>
  <c r="M36" i="200" s="1"/>
  <c r="L34" i="200" s="1"/>
  <c r="J34" i="200" s="1"/>
  <c r="E34" i="200" s="1"/>
  <c r="D34" i="200" s="1"/>
  <c r="C32" i="200" s="1"/>
  <c r="AI32" i="96" s="1"/>
  <c r="P37" i="200"/>
  <c r="C29" i="218"/>
  <c r="AN29" i="96" s="1"/>
  <c r="L34" i="140"/>
  <c r="J34" i="140" s="1"/>
  <c r="E34" i="140" s="1"/>
  <c r="D34" i="140" s="1"/>
  <c r="C31" i="140" s="1"/>
  <c r="AG31" i="96" s="1"/>
  <c r="P37" i="375"/>
  <c r="O36" i="375"/>
  <c r="N36" i="375" s="1"/>
  <c r="M36" i="375" s="1"/>
  <c r="H36" i="375"/>
  <c r="G36" i="375" s="1"/>
  <c r="F36" i="375" s="1"/>
  <c r="J11" i="126"/>
  <c r="E11" i="126" s="1"/>
  <c r="D11" i="126" s="1"/>
  <c r="M67" i="117"/>
  <c r="H36" i="373"/>
  <c r="G36" i="373" s="1"/>
  <c r="F36" i="373" s="1"/>
  <c r="O36" i="373"/>
  <c r="N36" i="373" s="1"/>
  <c r="M36" i="373" s="1"/>
  <c r="L34" i="373" s="1"/>
  <c r="J34" i="373" s="1"/>
  <c r="E34" i="373" s="1"/>
  <c r="D34" i="373" s="1"/>
  <c r="C31" i="373" s="1"/>
  <c r="AV31" i="96" s="1"/>
  <c r="P37" i="373"/>
  <c r="H36" i="214"/>
  <c r="G36" i="214" s="1"/>
  <c r="F36" i="214" s="1"/>
  <c r="P37" i="214"/>
  <c r="O36" i="214"/>
  <c r="N36" i="214" s="1"/>
  <c r="M36" i="214" s="1"/>
  <c r="L34" i="214" s="1"/>
  <c r="J34" i="214" s="1"/>
  <c r="E34" i="214" s="1"/>
  <c r="D34" i="214" s="1"/>
  <c r="AX25" i="96"/>
  <c r="AX27" i="96"/>
  <c r="G31" i="413"/>
  <c r="F31" i="413" s="1"/>
  <c r="E28" i="413" s="1"/>
  <c r="Q36" i="413"/>
  <c r="J36" i="413"/>
  <c r="I36" i="413" s="1"/>
  <c r="H36" i="413" s="1"/>
  <c r="AX24" i="96"/>
  <c r="AX20" i="96"/>
  <c r="AX26" i="96"/>
  <c r="AX18" i="96"/>
  <c r="AV22" i="134"/>
  <c r="AX19" i="96"/>
  <c r="AX21" i="96"/>
  <c r="AX29" i="96"/>
  <c r="AX23" i="96"/>
  <c r="AX16" i="96"/>
  <c r="AV16" i="134"/>
  <c r="AX17" i="96"/>
  <c r="AX28" i="96"/>
  <c r="L32" i="413"/>
  <c r="R37" i="413"/>
  <c r="P36" i="413"/>
  <c r="O36" i="413" s="1"/>
  <c r="F41" i="301"/>
  <c r="B40" i="301"/>
  <c r="N33" i="413"/>
  <c r="L34" i="216" l="1"/>
  <c r="J34" i="216" s="1"/>
  <c r="E34" i="216" s="1"/>
  <c r="D34" i="216" s="1"/>
  <c r="C30" i="365"/>
  <c r="O111" i="347"/>
  <c r="L34" i="370"/>
  <c r="J34" i="370" s="1"/>
  <c r="E34" i="370" s="1"/>
  <c r="D34" i="370" s="1"/>
  <c r="C31" i="370" s="1"/>
  <c r="AU31" i="96" s="1"/>
  <c r="N48" i="20"/>
  <c r="M48" i="20" s="1"/>
  <c r="L48" i="20" s="1"/>
  <c r="V49" i="20"/>
  <c r="U48" i="20"/>
  <c r="T48" i="20" s="1"/>
  <c r="S48" i="20" s="1"/>
  <c r="R46" i="20" s="1"/>
  <c r="P46" i="20" s="1"/>
  <c r="K46" i="20" s="1"/>
  <c r="J46" i="20" s="1"/>
  <c r="H37" i="140"/>
  <c r="G37" i="140" s="1"/>
  <c r="F37" i="140" s="1"/>
  <c r="O37" i="140"/>
  <c r="N37" i="140" s="1"/>
  <c r="M37" i="140" s="1"/>
  <c r="L35" i="140" s="1"/>
  <c r="J35" i="140" s="1"/>
  <c r="E35" i="140" s="1"/>
  <c r="D35" i="140" s="1"/>
  <c r="P38" i="140"/>
  <c r="C20" i="126"/>
  <c r="AF20" i="96" s="1"/>
  <c r="H37" i="216"/>
  <c r="G37" i="216" s="1"/>
  <c r="F37" i="216" s="1"/>
  <c r="O37" i="216"/>
  <c r="N37" i="216" s="1"/>
  <c r="M37" i="216" s="1"/>
  <c r="P38" i="216"/>
  <c r="K115" i="347"/>
  <c r="J115" i="347" s="1"/>
  <c r="I115" i="347" s="1"/>
  <c r="S116" i="347"/>
  <c r="R115" i="347"/>
  <c r="Q115" i="347" s="1"/>
  <c r="P115" i="347" s="1"/>
  <c r="O112" i="347" s="1"/>
  <c r="O37" i="370"/>
  <c r="N37" i="370" s="1"/>
  <c r="M37" i="370" s="1"/>
  <c r="H37" i="370"/>
  <c r="G37" i="370" s="1"/>
  <c r="F37" i="370" s="1"/>
  <c r="P38" i="370"/>
  <c r="H37" i="130"/>
  <c r="G37" i="130" s="1"/>
  <c r="F37" i="130" s="1"/>
  <c r="O37" i="130"/>
  <c r="N37" i="130" s="1"/>
  <c r="M37" i="130" s="1"/>
  <c r="P38" i="130"/>
  <c r="C25" i="126"/>
  <c r="AF25" i="96" s="1"/>
  <c r="AD28" i="96"/>
  <c r="BP28" i="413"/>
  <c r="C22" i="126"/>
  <c r="AF22" i="96" s="1"/>
  <c r="P38" i="377"/>
  <c r="O37" i="377"/>
  <c r="N37" i="377" s="1"/>
  <c r="M37" i="377" s="1"/>
  <c r="H37" i="377"/>
  <c r="G37" i="377" s="1"/>
  <c r="F37" i="377" s="1"/>
  <c r="H37" i="134"/>
  <c r="G37" i="134" s="1"/>
  <c r="F37" i="134" s="1"/>
  <c r="P38" i="134"/>
  <c r="O37" i="134"/>
  <c r="N37" i="134" s="1"/>
  <c r="M37" i="134" s="1"/>
  <c r="O37" i="226"/>
  <c r="N37" i="226" s="1"/>
  <c r="M37" i="226" s="1"/>
  <c r="L35" i="226" s="1"/>
  <c r="J35" i="226" s="1"/>
  <c r="E35" i="226" s="1"/>
  <c r="D35" i="226" s="1"/>
  <c r="P38" i="226"/>
  <c r="H37" i="226"/>
  <c r="G37" i="226" s="1"/>
  <c r="F37" i="226" s="1"/>
  <c r="J31" i="126"/>
  <c r="E31" i="126" s="1"/>
  <c r="D31" i="126" s="1"/>
  <c r="M87" i="117"/>
  <c r="L34" i="375"/>
  <c r="J34" i="375" s="1"/>
  <c r="E34" i="375" s="1"/>
  <c r="D34" i="375" s="1"/>
  <c r="C31" i="375" s="1"/>
  <c r="AW31" i="96" s="1"/>
  <c r="L34" i="224"/>
  <c r="J34" i="224" s="1"/>
  <c r="E34" i="224" s="1"/>
  <c r="D34" i="224" s="1"/>
  <c r="T45" i="205"/>
  <c r="S45" i="205" s="1"/>
  <c r="R45" i="205" s="1"/>
  <c r="AA45" i="205"/>
  <c r="Z45" i="205" s="1"/>
  <c r="Y45" i="205" s="1"/>
  <c r="AB46" i="205"/>
  <c r="O37" i="218"/>
  <c r="N37" i="218" s="1"/>
  <c r="M37" i="218" s="1"/>
  <c r="P38" i="218"/>
  <c r="H37" i="218"/>
  <c r="G37" i="218" s="1"/>
  <c r="F37" i="218" s="1"/>
  <c r="H37" i="200"/>
  <c r="G37" i="200" s="1"/>
  <c r="F37" i="200" s="1"/>
  <c r="O37" i="200"/>
  <c r="N37" i="200" s="1"/>
  <c r="M37" i="200" s="1"/>
  <c r="L35" i="200" s="1"/>
  <c r="J35" i="200" s="1"/>
  <c r="E35" i="200" s="1"/>
  <c r="D35" i="200" s="1"/>
  <c r="C33" i="200" s="1"/>
  <c r="AI33" i="96" s="1"/>
  <c r="P38" i="200"/>
  <c r="L35" i="134"/>
  <c r="J35" i="134" s="1"/>
  <c r="E35" i="134" s="1"/>
  <c r="D35" i="134" s="1"/>
  <c r="L34" i="134"/>
  <c r="J34" i="134" s="1"/>
  <c r="E34" i="134" s="1"/>
  <c r="D34" i="134" s="1"/>
  <c r="C26" i="126"/>
  <c r="AF26" i="96" s="1"/>
  <c r="P35" i="126"/>
  <c r="O34" i="126"/>
  <c r="N34" i="126" s="1"/>
  <c r="M34" i="126" s="1"/>
  <c r="L32" i="126" s="1"/>
  <c r="H34" i="126"/>
  <c r="G34" i="126" s="1"/>
  <c r="F34" i="126" s="1"/>
  <c r="C30" i="226"/>
  <c r="AQ30" i="96" s="1"/>
  <c r="C30" i="377"/>
  <c r="AY30" i="96" s="1"/>
  <c r="C27" i="126"/>
  <c r="AF27" i="96" s="1"/>
  <c r="H37" i="224"/>
  <c r="G37" i="224" s="1"/>
  <c r="F37" i="224" s="1"/>
  <c r="P38" i="224"/>
  <c r="O37" i="224"/>
  <c r="N37" i="224" s="1"/>
  <c r="M37" i="224" s="1"/>
  <c r="L35" i="224" s="1"/>
  <c r="J35" i="224" s="1"/>
  <c r="E35" i="224" s="1"/>
  <c r="D35" i="224" s="1"/>
  <c r="L34" i="221"/>
  <c r="J34" i="221" s="1"/>
  <c r="E34" i="221" s="1"/>
  <c r="D34" i="221" s="1"/>
  <c r="C31" i="221" s="1"/>
  <c r="AO31" i="96" s="1"/>
  <c r="L34" i="226"/>
  <c r="J34" i="226" s="1"/>
  <c r="E34" i="226" s="1"/>
  <c r="D34" i="226" s="1"/>
  <c r="C31" i="226" s="1"/>
  <c r="AQ31" i="96" s="1"/>
  <c r="H37" i="365"/>
  <c r="G37" i="365" s="1"/>
  <c r="F37" i="365" s="1"/>
  <c r="P38" i="365"/>
  <c r="O37" i="365"/>
  <c r="N37" i="365" s="1"/>
  <c r="M37" i="365" s="1"/>
  <c r="C23" i="126"/>
  <c r="AF23" i="96" s="1"/>
  <c r="C24" i="126"/>
  <c r="AF24" i="96" s="1"/>
  <c r="L35" i="370"/>
  <c r="J35" i="370" s="1"/>
  <c r="E35" i="370" s="1"/>
  <c r="D35" i="370" s="1"/>
  <c r="C32" i="370" s="1"/>
  <c r="AU32" i="96" s="1"/>
  <c r="L34" i="218"/>
  <c r="J34" i="218" s="1"/>
  <c r="E34" i="218" s="1"/>
  <c r="D34" i="218" s="1"/>
  <c r="C31" i="214"/>
  <c r="AL31" i="96" s="1"/>
  <c r="C30" i="375"/>
  <c r="AW30" i="96" s="1"/>
  <c r="H37" i="214"/>
  <c r="G37" i="214" s="1"/>
  <c r="F37" i="214" s="1"/>
  <c r="P38" i="214"/>
  <c r="O37" i="214"/>
  <c r="N37" i="214" s="1"/>
  <c r="M37" i="214" s="1"/>
  <c r="L35" i="214" s="1"/>
  <c r="J35" i="214" s="1"/>
  <c r="E35" i="214" s="1"/>
  <c r="D35" i="214" s="1"/>
  <c r="C32" i="214" s="1"/>
  <c r="AL32" i="96" s="1"/>
  <c r="H37" i="373"/>
  <c r="G37" i="373" s="1"/>
  <c r="F37" i="373" s="1"/>
  <c r="P38" i="373"/>
  <c r="O37" i="373"/>
  <c r="N37" i="373" s="1"/>
  <c r="M37" i="373" s="1"/>
  <c r="L35" i="373" s="1"/>
  <c r="J35" i="373" s="1"/>
  <c r="E35" i="373" s="1"/>
  <c r="D35" i="373" s="1"/>
  <c r="C32" i="373" s="1"/>
  <c r="AV32" i="96" s="1"/>
  <c r="H37" i="325"/>
  <c r="G37" i="325" s="1"/>
  <c r="F37" i="325" s="1"/>
  <c r="O37" i="325"/>
  <c r="N37" i="325" s="1"/>
  <c r="M37" i="325" s="1"/>
  <c r="P38" i="325"/>
  <c r="C32" i="140"/>
  <c r="AG32" i="96" s="1"/>
  <c r="H37" i="221"/>
  <c r="G37" i="221" s="1"/>
  <c r="F37" i="221" s="1"/>
  <c r="O37" i="221"/>
  <c r="N37" i="221" s="1"/>
  <c r="M37" i="221" s="1"/>
  <c r="P38" i="221"/>
  <c r="H37" i="209"/>
  <c r="G37" i="209" s="1"/>
  <c r="F37" i="209" s="1"/>
  <c r="P38" i="209"/>
  <c r="O37" i="209"/>
  <c r="N37" i="209" s="1"/>
  <c r="M37" i="209" s="1"/>
  <c r="L35" i="209" s="1"/>
  <c r="J35" i="209" s="1"/>
  <c r="E35" i="209" s="1"/>
  <c r="D35" i="209" s="1"/>
  <c r="V122" i="49"/>
  <c r="M122" i="49" s="1"/>
  <c r="N122" i="49" s="1"/>
  <c r="M121" i="49"/>
  <c r="N121" i="49" s="1"/>
  <c r="L34" i="365"/>
  <c r="J34" i="365" s="1"/>
  <c r="E34" i="365" s="1"/>
  <c r="D34" i="365" s="1"/>
  <c r="C31" i="365" s="1"/>
  <c r="E41" i="205"/>
  <c r="J32" i="96" s="1"/>
  <c r="N32" i="489" s="1"/>
  <c r="V41" i="205"/>
  <c r="P41" i="205" s="1"/>
  <c r="Q41" i="205" s="1"/>
  <c r="O41" i="205" s="1"/>
  <c r="AJ32" i="96" s="1"/>
  <c r="C30" i="325"/>
  <c r="AR30" i="96" s="1"/>
  <c r="C30" i="216"/>
  <c r="AM30" i="96" s="1"/>
  <c r="P38" i="375"/>
  <c r="O37" i="375"/>
  <c r="N37" i="375" s="1"/>
  <c r="M37" i="375" s="1"/>
  <c r="L35" i="375" s="1"/>
  <c r="J35" i="375" s="1"/>
  <c r="E35" i="375" s="1"/>
  <c r="D35" i="375" s="1"/>
  <c r="H37" i="375"/>
  <c r="G37" i="375" s="1"/>
  <c r="F37" i="375" s="1"/>
  <c r="V42" i="205"/>
  <c r="P42" i="205" s="1"/>
  <c r="Q42" i="205" s="1"/>
  <c r="O42" i="205" s="1"/>
  <c r="AJ33" i="96" s="1"/>
  <c r="E42" i="205"/>
  <c r="J33" i="96" s="1"/>
  <c r="N33" i="489" s="1"/>
  <c r="L34" i="209"/>
  <c r="J34" i="209" s="1"/>
  <c r="E34" i="209" s="1"/>
  <c r="D34" i="209" s="1"/>
  <c r="C30" i="130"/>
  <c r="AH30" i="96" s="1"/>
  <c r="R45" i="20"/>
  <c r="P45" i="20" s="1"/>
  <c r="K45" i="20" s="1"/>
  <c r="J45" i="20" s="1"/>
  <c r="T32" i="96"/>
  <c r="M110" i="347"/>
  <c r="H110" i="347" s="1"/>
  <c r="G110" i="347" s="1"/>
  <c r="L34" i="325"/>
  <c r="J34" i="325" s="1"/>
  <c r="E34" i="325" s="1"/>
  <c r="D34" i="325" s="1"/>
  <c r="C31" i="325" s="1"/>
  <c r="AR31" i="96" s="1"/>
  <c r="L34" i="377"/>
  <c r="J34" i="377" s="1"/>
  <c r="E34" i="377" s="1"/>
  <c r="D34" i="377" s="1"/>
  <c r="C31" i="377" s="1"/>
  <c r="AY31" i="96" s="1"/>
  <c r="L35" i="216"/>
  <c r="J35" i="216" s="1"/>
  <c r="E35" i="216" s="1"/>
  <c r="D35" i="216" s="1"/>
  <c r="Q37" i="413"/>
  <c r="P37" i="413" s="1"/>
  <c r="O37" i="413" s="1"/>
  <c r="J37" i="413"/>
  <c r="I37" i="413" s="1"/>
  <c r="H37" i="413" s="1"/>
  <c r="G32" i="413"/>
  <c r="F32" i="413" s="1"/>
  <c r="E29" i="413" s="1"/>
  <c r="L33" i="413"/>
  <c r="R38" i="413"/>
  <c r="F42" i="301"/>
  <c r="B41" i="301"/>
  <c r="N34" i="413"/>
  <c r="C32" i="209" l="1"/>
  <c r="AK32" i="96" s="1"/>
  <c r="C32" i="224"/>
  <c r="AP32" i="96" s="1"/>
  <c r="C32" i="375"/>
  <c r="AW32" i="96" s="1"/>
  <c r="H38" i="214"/>
  <c r="G38" i="214" s="1"/>
  <c r="F38" i="214" s="1"/>
  <c r="P39" i="214"/>
  <c r="O38" i="214"/>
  <c r="N38" i="214" s="1"/>
  <c r="M38" i="214" s="1"/>
  <c r="L36" i="214" s="1"/>
  <c r="J36" i="214" s="1"/>
  <c r="E36" i="214" s="1"/>
  <c r="D36" i="214" s="1"/>
  <c r="AE35" i="96"/>
  <c r="I43" i="20"/>
  <c r="I44" i="20"/>
  <c r="H38" i="325"/>
  <c r="G38" i="325" s="1"/>
  <c r="F38" i="325" s="1"/>
  <c r="P39" i="325"/>
  <c r="O38" i="325"/>
  <c r="N38" i="325" s="1"/>
  <c r="M38" i="325" s="1"/>
  <c r="C31" i="218"/>
  <c r="AN31" i="96" s="1"/>
  <c r="X43" i="205"/>
  <c r="C28" i="126"/>
  <c r="AF28" i="96" s="1"/>
  <c r="C31" i="216"/>
  <c r="AM31" i="96" s="1"/>
  <c r="C32" i="216"/>
  <c r="AM32" i="96" s="1"/>
  <c r="H38" i="209"/>
  <c r="G38" i="209" s="1"/>
  <c r="F38" i="209" s="1"/>
  <c r="O38" i="209"/>
  <c r="N38" i="209" s="1"/>
  <c r="M38" i="209" s="1"/>
  <c r="P39" i="209"/>
  <c r="H38" i="140"/>
  <c r="G38" i="140" s="1"/>
  <c r="F38" i="140" s="1"/>
  <c r="O38" i="140"/>
  <c r="N38" i="140" s="1"/>
  <c r="M38" i="140" s="1"/>
  <c r="P39" i="140"/>
  <c r="AD29" i="96"/>
  <c r="BP29" i="413"/>
  <c r="C32" i="134"/>
  <c r="C31" i="134"/>
  <c r="O38" i="226"/>
  <c r="N38" i="226" s="1"/>
  <c r="M38" i="226" s="1"/>
  <c r="H38" i="226"/>
  <c r="G38" i="226" s="1"/>
  <c r="F38" i="226" s="1"/>
  <c r="P39" i="226"/>
  <c r="L35" i="377"/>
  <c r="J35" i="377" s="1"/>
  <c r="E35" i="377" s="1"/>
  <c r="D35" i="377" s="1"/>
  <c r="C32" i="377" s="1"/>
  <c r="AY32" i="96" s="1"/>
  <c r="T34" i="96"/>
  <c r="M112" i="347"/>
  <c r="H112" i="347" s="1"/>
  <c r="G112" i="347" s="1"/>
  <c r="H38" i="200"/>
  <c r="G38" i="200" s="1"/>
  <c r="F38" i="200" s="1"/>
  <c r="O38" i="200"/>
  <c r="N38" i="200" s="1"/>
  <c r="M38" i="200" s="1"/>
  <c r="L36" i="200" s="1"/>
  <c r="J36" i="200" s="1"/>
  <c r="E36" i="200" s="1"/>
  <c r="D36" i="200" s="1"/>
  <c r="C34" i="200" s="1"/>
  <c r="AI34" i="96" s="1"/>
  <c r="P39" i="200"/>
  <c r="C31" i="224"/>
  <c r="AP31" i="96" s="1"/>
  <c r="C32" i="226"/>
  <c r="AQ32" i="96" s="1"/>
  <c r="P39" i="377"/>
  <c r="O38" i="377"/>
  <c r="N38" i="377" s="1"/>
  <c r="M38" i="377" s="1"/>
  <c r="L36" i="377" s="1"/>
  <c r="J36" i="377" s="1"/>
  <c r="E36" i="377" s="1"/>
  <c r="D36" i="377" s="1"/>
  <c r="H38" i="377"/>
  <c r="G38" i="377" s="1"/>
  <c r="F38" i="377" s="1"/>
  <c r="P39" i="130"/>
  <c r="H38" i="130"/>
  <c r="G38" i="130" s="1"/>
  <c r="F38" i="130" s="1"/>
  <c r="O38" i="130"/>
  <c r="N38" i="130" s="1"/>
  <c r="M38" i="130" s="1"/>
  <c r="K116" i="347"/>
  <c r="J116" i="347" s="1"/>
  <c r="I116" i="347" s="1"/>
  <c r="S117" i="347"/>
  <c r="R116" i="347"/>
  <c r="Q116" i="347" s="1"/>
  <c r="P116" i="347" s="1"/>
  <c r="O113" i="347" s="1"/>
  <c r="T33" i="96"/>
  <c r="M111" i="347"/>
  <c r="H111" i="347" s="1"/>
  <c r="G111" i="347" s="1"/>
  <c r="D108" i="347"/>
  <c r="D109" i="347"/>
  <c r="F109" i="347"/>
  <c r="AS31" i="96" s="1"/>
  <c r="F110" i="347"/>
  <c r="AS32" i="96" s="1"/>
  <c r="F108" i="347"/>
  <c r="AS30" i="96" s="1"/>
  <c r="L36" i="209"/>
  <c r="J36" i="209" s="1"/>
  <c r="E36" i="209" s="1"/>
  <c r="D36" i="209" s="1"/>
  <c r="L35" i="325"/>
  <c r="J35" i="325" s="1"/>
  <c r="E35" i="325" s="1"/>
  <c r="D35" i="325" s="1"/>
  <c r="H38" i="221"/>
  <c r="G38" i="221" s="1"/>
  <c r="F38" i="221" s="1"/>
  <c r="O38" i="221"/>
  <c r="N38" i="221" s="1"/>
  <c r="M38" i="221" s="1"/>
  <c r="P39" i="221"/>
  <c r="H38" i="373"/>
  <c r="G38" i="373" s="1"/>
  <c r="F38" i="373" s="1"/>
  <c r="O38" i="373"/>
  <c r="N38" i="373" s="1"/>
  <c r="M38" i="373" s="1"/>
  <c r="L36" i="373" s="1"/>
  <c r="J36" i="373" s="1"/>
  <c r="E36" i="373" s="1"/>
  <c r="D36" i="373" s="1"/>
  <c r="C33" i="373" s="1"/>
  <c r="AV33" i="96" s="1"/>
  <c r="P39" i="373"/>
  <c r="L35" i="130"/>
  <c r="J35" i="130" s="1"/>
  <c r="E35" i="130" s="1"/>
  <c r="D35" i="130" s="1"/>
  <c r="L36" i="130"/>
  <c r="J36" i="130" s="1"/>
  <c r="E36" i="130" s="1"/>
  <c r="D36" i="130" s="1"/>
  <c r="C33" i="130" s="1"/>
  <c r="AH33" i="96" s="1"/>
  <c r="L36" i="226"/>
  <c r="J36" i="226" s="1"/>
  <c r="E36" i="226" s="1"/>
  <c r="D36" i="226" s="1"/>
  <c r="O38" i="375"/>
  <c r="N38" i="375" s="1"/>
  <c r="M38" i="375" s="1"/>
  <c r="H38" i="375"/>
  <c r="G38" i="375" s="1"/>
  <c r="F38" i="375" s="1"/>
  <c r="P39" i="375"/>
  <c r="L36" i="325"/>
  <c r="J36" i="325" s="1"/>
  <c r="E36" i="325" s="1"/>
  <c r="D36" i="325" s="1"/>
  <c r="L35" i="221"/>
  <c r="J35" i="221" s="1"/>
  <c r="E35" i="221" s="1"/>
  <c r="D35" i="221" s="1"/>
  <c r="L35" i="365"/>
  <c r="J35" i="365" s="1"/>
  <c r="E35" i="365" s="1"/>
  <c r="D35" i="365" s="1"/>
  <c r="C32" i="365" s="1"/>
  <c r="P39" i="224"/>
  <c r="O38" i="224"/>
  <c r="N38" i="224" s="1"/>
  <c r="M38" i="224" s="1"/>
  <c r="H38" i="224"/>
  <c r="G38" i="224" s="1"/>
  <c r="F38" i="224" s="1"/>
  <c r="J32" i="126"/>
  <c r="E32" i="126" s="1"/>
  <c r="D32" i="126" s="1"/>
  <c r="M88" i="117"/>
  <c r="O38" i="218"/>
  <c r="N38" i="218" s="1"/>
  <c r="M38" i="218" s="1"/>
  <c r="P39" i="218"/>
  <c r="H38" i="218"/>
  <c r="G38" i="218" s="1"/>
  <c r="F38" i="218" s="1"/>
  <c r="H38" i="216"/>
  <c r="G38" i="216" s="1"/>
  <c r="F38" i="216" s="1"/>
  <c r="P39" i="216"/>
  <c r="O38" i="216"/>
  <c r="N38" i="216" s="1"/>
  <c r="M38" i="216" s="1"/>
  <c r="T46" i="205"/>
  <c r="S46" i="205" s="1"/>
  <c r="R46" i="205" s="1"/>
  <c r="AB47" i="205"/>
  <c r="AA46" i="205"/>
  <c r="Z46" i="205" s="1"/>
  <c r="Y46" i="205" s="1"/>
  <c r="P39" i="370"/>
  <c r="O38" i="370"/>
  <c r="N38" i="370" s="1"/>
  <c r="M38" i="370" s="1"/>
  <c r="H38" i="370"/>
  <c r="G38" i="370" s="1"/>
  <c r="F38" i="370" s="1"/>
  <c r="C31" i="209"/>
  <c r="AK31" i="96" s="1"/>
  <c r="C33" i="209"/>
  <c r="AK33" i="96" s="1"/>
  <c r="H38" i="365"/>
  <c r="G38" i="365" s="1"/>
  <c r="F38" i="365" s="1"/>
  <c r="P39" i="365"/>
  <c r="O38" i="365"/>
  <c r="N38" i="365" s="1"/>
  <c r="M38" i="365" s="1"/>
  <c r="H35" i="126"/>
  <c r="G35" i="126" s="1"/>
  <c r="F35" i="126" s="1"/>
  <c r="O35" i="126"/>
  <c r="N35" i="126" s="1"/>
  <c r="M35" i="126" s="1"/>
  <c r="L33" i="126" s="1"/>
  <c r="P36" i="126"/>
  <c r="L35" i="218"/>
  <c r="J35" i="218" s="1"/>
  <c r="E35" i="218" s="1"/>
  <c r="D35" i="218" s="1"/>
  <c r="H38" i="134"/>
  <c r="G38" i="134" s="1"/>
  <c r="F38" i="134" s="1"/>
  <c r="O38" i="134"/>
  <c r="N38" i="134" s="1"/>
  <c r="M38" i="134" s="1"/>
  <c r="P39" i="134"/>
  <c r="N49" i="20"/>
  <c r="M49" i="20" s="1"/>
  <c r="L49" i="20" s="1"/>
  <c r="U49" i="20"/>
  <c r="T49" i="20" s="1"/>
  <c r="S49" i="20" s="1"/>
  <c r="V50" i="20"/>
  <c r="L36" i="216"/>
  <c r="J36" i="216" s="1"/>
  <c r="E36" i="216" s="1"/>
  <c r="D36" i="216" s="1"/>
  <c r="G33" i="413"/>
  <c r="F33" i="413" s="1"/>
  <c r="E30" i="413" s="1"/>
  <c r="Q38" i="413"/>
  <c r="P38" i="413" s="1"/>
  <c r="O38" i="413" s="1"/>
  <c r="J38" i="413"/>
  <c r="I38" i="413" s="1"/>
  <c r="H38" i="413" s="1"/>
  <c r="L34" i="413"/>
  <c r="R39" i="413"/>
  <c r="F43" i="301"/>
  <c r="B43" i="301" s="1"/>
  <c r="B42" i="301"/>
  <c r="N35" i="413"/>
  <c r="C33" i="226" l="1"/>
  <c r="AQ33" i="96" s="1"/>
  <c r="L36" i="221"/>
  <c r="J36" i="221" s="1"/>
  <c r="E36" i="221" s="1"/>
  <c r="D36" i="221" s="1"/>
  <c r="T35" i="96"/>
  <c r="M113" i="347"/>
  <c r="H113" i="347" s="1"/>
  <c r="G113" i="347" s="1"/>
  <c r="O39" i="377"/>
  <c r="N39" i="377" s="1"/>
  <c r="M39" i="377" s="1"/>
  <c r="H39" i="377"/>
  <c r="G39" i="377" s="1"/>
  <c r="F39" i="377" s="1"/>
  <c r="P40" i="377"/>
  <c r="H39" i="134"/>
  <c r="G39" i="134" s="1"/>
  <c r="F39" i="134" s="1"/>
  <c r="O39" i="134"/>
  <c r="N39" i="134" s="1"/>
  <c r="M39" i="134" s="1"/>
  <c r="P40" i="134"/>
  <c r="C29" i="126"/>
  <c r="AF29" i="96" s="1"/>
  <c r="L36" i="224"/>
  <c r="J36" i="224" s="1"/>
  <c r="E36" i="224" s="1"/>
  <c r="D36" i="224" s="1"/>
  <c r="K117" i="347"/>
  <c r="J117" i="347" s="1"/>
  <c r="I117" i="347" s="1"/>
  <c r="S118" i="347"/>
  <c r="R117" i="347"/>
  <c r="Q117" i="347" s="1"/>
  <c r="P117" i="347" s="1"/>
  <c r="H39" i="140"/>
  <c r="G39" i="140" s="1"/>
  <c r="F39" i="140" s="1"/>
  <c r="P40" i="140"/>
  <c r="O39" i="140"/>
  <c r="N39" i="140" s="1"/>
  <c r="M39" i="140" s="1"/>
  <c r="L37" i="140" s="1"/>
  <c r="J37" i="140" s="1"/>
  <c r="E37" i="140" s="1"/>
  <c r="D37" i="140" s="1"/>
  <c r="H39" i="216"/>
  <c r="G39" i="216" s="1"/>
  <c r="F39" i="216" s="1"/>
  <c r="P40" i="216"/>
  <c r="O39" i="216"/>
  <c r="N39" i="216" s="1"/>
  <c r="M39" i="216" s="1"/>
  <c r="L37" i="216" s="1"/>
  <c r="J37" i="216" s="1"/>
  <c r="E37" i="216" s="1"/>
  <c r="D37" i="216" s="1"/>
  <c r="C32" i="221"/>
  <c r="AO32" i="96" s="1"/>
  <c r="C33" i="216"/>
  <c r="AM33" i="96" s="1"/>
  <c r="O39" i="226"/>
  <c r="N39" i="226" s="1"/>
  <c r="M39" i="226" s="1"/>
  <c r="H39" i="226"/>
  <c r="G39" i="226" s="1"/>
  <c r="F39" i="226" s="1"/>
  <c r="P40" i="226"/>
  <c r="L36" i="140"/>
  <c r="J36" i="140" s="1"/>
  <c r="E36" i="140" s="1"/>
  <c r="D36" i="140" s="1"/>
  <c r="X44" i="205"/>
  <c r="C33" i="214"/>
  <c r="AL33" i="96" s="1"/>
  <c r="C32" i="325"/>
  <c r="AR32" i="96" s="1"/>
  <c r="C33" i="325"/>
  <c r="AR33" i="96" s="1"/>
  <c r="AV32" i="134"/>
  <c r="AX32" i="96"/>
  <c r="H39" i="325"/>
  <c r="G39" i="325" s="1"/>
  <c r="F39" i="325" s="1"/>
  <c r="O39" i="325"/>
  <c r="N39" i="325" s="1"/>
  <c r="M39" i="325" s="1"/>
  <c r="P40" i="325"/>
  <c r="H39" i="214"/>
  <c r="G39" i="214" s="1"/>
  <c r="F39" i="214" s="1"/>
  <c r="O39" i="214"/>
  <c r="N39" i="214" s="1"/>
  <c r="M39" i="214" s="1"/>
  <c r="L37" i="214" s="1"/>
  <c r="J37" i="214" s="1"/>
  <c r="E37" i="214" s="1"/>
  <c r="D37" i="214" s="1"/>
  <c r="P40" i="214"/>
  <c r="H39" i="365"/>
  <c r="G39" i="365" s="1"/>
  <c r="F39" i="365" s="1"/>
  <c r="O39" i="365"/>
  <c r="N39" i="365" s="1"/>
  <c r="M39" i="365" s="1"/>
  <c r="P40" i="365"/>
  <c r="AD30" i="96"/>
  <c r="BP30" i="413"/>
  <c r="N50" i="20"/>
  <c r="M50" i="20" s="1"/>
  <c r="L50" i="20" s="1"/>
  <c r="V51" i="20"/>
  <c r="U50" i="20"/>
  <c r="T50" i="20" s="1"/>
  <c r="S50" i="20" s="1"/>
  <c r="R48" i="20" s="1"/>
  <c r="P48" i="20" s="1"/>
  <c r="K48" i="20" s="1"/>
  <c r="J48" i="20" s="1"/>
  <c r="L36" i="370"/>
  <c r="J36" i="370" s="1"/>
  <c r="E36" i="370" s="1"/>
  <c r="D36" i="370" s="1"/>
  <c r="C33" i="370" s="1"/>
  <c r="AU33" i="96" s="1"/>
  <c r="L37" i="370"/>
  <c r="J37" i="370" s="1"/>
  <c r="E37" i="370" s="1"/>
  <c r="D37" i="370" s="1"/>
  <c r="C34" i="370" s="1"/>
  <c r="AU34" i="96" s="1"/>
  <c r="H39" i="224"/>
  <c r="G39" i="224" s="1"/>
  <c r="F39" i="224" s="1"/>
  <c r="P40" i="224"/>
  <c r="O39" i="224"/>
  <c r="N39" i="224" s="1"/>
  <c r="M39" i="224" s="1"/>
  <c r="L37" i="224" s="1"/>
  <c r="J37" i="224" s="1"/>
  <c r="E37" i="224" s="1"/>
  <c r="D37" i="224" s="1"/>
  <c r="C34" i="224" s="1"/>
  <c r="AP34" i="96" s="1"/>
  <c r="P40" i="375"/>
  <c r="O39" i="375"/>
  <c r="N39" i="375" s="1"/>
  <c r="M39" i="375" s="1"/>
  <c r="H39" i="375"/>
  <c r="G39" i="375" s="1"/>
  <c r="F39" i="375" s="1"/>
  <c r="H39" i="373"/>
  <c r="G39" i="373" s="1"/>
  <c r="F39" i="373" s="1"/>
  <c r="O39" i="373"/>
  <c r="N39" i="373" s="1"/>
  <c r="M39" i="373" s="1"/>
  <c r="L37" i="373" s="1"/>
  <c r="J37" i="373" s="1"/>
  <c r="E37" i="373" s="1"/>
  <c r="D37" i="373" s="1"/>
  <c r="C34" i="373" s="1"/>
  <c r="AV34" i="96" s="1"/>
  <c r="P40" i="373"/>
  <c r="L37" i="226"/>
  <c r="J37" i="226" s="1"/>
  <c r="E37" i="226" s="1"/>
  <c r="D37" i="226" s="1"/>
  <c r="E43" i="205"/>
  <c r="J34" i="96" s="1"/>
  <c r="N34" i="489" s="1"/>
  <c r="V43" i="205"/>
  <c r="P43" i="205" s="1"/>
  <c r="Q43" i="205" s="1"/>
  <c r="O43" i="205" s="1"/>
  <c r="AJ34" i="96" s="1"/>
  <c r="L36" i="134"/>
  <c r="J36" i="134" s="1"/>
  <c r="E36" i="134" s="1"/>
  <c r="D36" i="134" s="1"/>
  <c r="L37" i="134"/>
  <c r="J37" i="134" s="1"/>
  <c r="E37" i="134" s="1"/>
  <c r="D37" i="134" s="1"/>
  <c r="C32" i="130"/>
  <c r="AH32" i="96" s="1"/>
  <c r="H39" i="130"/>
  <c r="G39" i="130" s="1"/>
  <c r="F39" i="130" s="1"/>
  <c r="O39" i="130"/>
  <c r="N39" i="130" s="1"/>
  <c r="M39" i="130" s="1"/>
  <c r="P40" i="130"/>
  <c r="C32" i="218"/>
  <c r="AN32" i="96" s="1"/>
  <c r="O36" i="126"/>
  <c r="N36" i="126" s="1"/>
  <c r="M36" i="126" s="1"/>
  <c r="L34" i="126" s="1"/>
  <c r="H36" i="126"/>
  <c r="G36" i="126" s="1"/>
  <c r="F36" i="126" s="1"/>
  <c r="P37" i="126"/>
  <c r="O39" i="218"/>
  <c r="N39" i="218" s="1"/>
  <c r="M39" i="218" s="1"/>
  <c r="H39" i="218"/>
  <c r="G39" i="218" s="1"/>
  <c r="F39" i="218" s="1"/>
  <c r="P40" i="218"/>
  <c r="L37" i="365"/>
  <c r="J37" i="365" s="1"/>
  <c r="E37" i="365" s="1"/>
  <c r="D37" i="365" s="1"/>
  <c r="L36" i="375"/>
  <c r="J36" i="375" s="1"/>
  <c r="E36" i="375" s="1"/>
  <c r="D36" i="375" s="1"/>
  <c r="D110" i="347"/>
  <c r="R47" i="20"/>
  <c r="P47" i="20" s="1"/>
  <c r="K47" i="20" s="1"/>
  <c r="J47" i="20" s="1"/>
  <c r="O39" i="370"/>
  <c r="N39" i="370" s="1"/>
  <c r="M39" i="370" s="1"/>
  <c r="H39" i="370"/>
  <c r="G39" i="370" s="1"/>
  <c r="F39" i="370" s="1"/>
  <c r="P40" i="370"/>
  <c r="J33" i="126"/>
  <c r="E33" i="126" s="1"/>
  <c r="D33" i="126" s="1"/>
  <c r="C30" i="126" s="1"/>
  <c r="AF30" i="96" s="1"/>
  <c r="M89" i="117"/>
  <c r="T47" i="205"/>
  <c r="S47" i="205" s="1"/>
  <c r="R47" i="205" s="1"/>
  <c r="AB48" i="205"/>
  <c r="AA47" i="205"/>
  <c r="Z47" i="205" s="1"/>
  <c r="Y47" i="205" s="1"/>
  <c r="L36" i="218"/>
  <c r="J36" i="218" s="1"/>
  <c r="E36" i="218" s="1"/>
  <c r="D36" i="218" s="1"/>
  <c r="L36" i="365"/>
  <c r="J36" i="365" s="1"/>
  <c r="E36" i="365" s="1"/>
  <c r="D36" i="365" s="1"/>
  <c r="C33" i="365" s="1"/>
  <c r="H39" i="221"/>
  <c r="G39" i="221" s="1"/>
  <c r="F39" i="221" s="1"/>
  <c r="O39" i="221"/>
  <c r="N39" i="221" s="1"/>
  <c r="M39" i="221" s="1"/>
  <c r="P40" i="221"/>
  <c r="F111" i="347"/>
  <c r="AS33" i="96" s="1"/>
  <c r="C33" i="377"/>
  <c r="AY33" i="96" s="1"/>
  <c r="H39" i="200"/>
  <c r="G39" i="200" s="1"/>
  <c r="F39" i="200" s="1"/>
  <c r="O39" i="200"/>
  <c r="N39" i="200" s="1"/>
  <c r="M39" i="200" s="1"/>
  <c r="L37" i="200" s="1"/>
  <c r="J37" i="200" s="1"/>
  <c r="E37" i="200" s="1"/>
  <c r="D37" i="200" s="1"/>
  <c r="C35" i="200" s="1"/>
  <c r="AI35" i="96" s="1"/>
  <c r="P40" i="200"/>
  <c r="AV31" i="134"/>
  <c r="AX31" i="96"/>
  <c r="H39" i="209"/>
  <c r="G39" i="209" s="1"/>
  <c r="F39" i="209" s="1"/>
  <c r="P40" i="209"/>
  <c r="O39" i="209"/>
  <c r="N39" i="209" s="1"/>
  <c r="M39" i="209" s="1"/>
  <c r="L37" i="209" s="1"/>
  <c r="J37" i="209" s="1"/>
  <c r="E37" i="209" s="1"/>
  <c r="D37" i="209" s="1"/>
  <c r="C34" i="209" s="1"/>
  <c r="AK34" i="96" s="1"/>
  <c r="Q39" i="413"/>
  <c r="P39" i="413" s="1"/>
  <c r="O39" i="413" s="1"/>
  <c r="J39" i="413"/>
  <c r="I39" i="413" s="1"/>
  <c r="H39" i="413" s="1"/>
  <c r="G34" i="413"/>
  <c r="F34" i="413" s="1"/>
  <c r="E31" i="413" s="1"/>
  <c r="L35" i="413"/>
  <c r="R40" i="413"/>
  <c r="N36" i="413"/>
  <c r="H40" i="209" l="1"/>
  <c r="G40" i="209" s="1"/>
  <c r="F40" i="209" s="1"/>
  <c r="O40" i="209"/>
  <c r="N40" i="209" s="1"/>
  <c r="M40" i="209" s="1"/>
  <c r="P41" i="209"/>
  <c r="J34" i="126"/>
  <c r="E34" i="126" s="1"/>
  <c r="D34" i="126" s="1"/>
  <c r="M90" i="117"/>
  <c r="H40" i="365"/>
  <c r="G40" i="365" s="1"/>
  <c r="F40" i="365" s="1"/>
  <c r="O40" i="365"/>
  <c r="N40" i="365" s="1"/>
  <c r="M40" i="365" s="1"/>
  <c r="P41" i="365"/>
  <c r="P41" i="370"/>
  <c r="O40" i="370"/>
  <c r="N40" i="370" s="1"/>
  <c r="M40" i="370" s="1"/>
  <c r="H40" i="370"/>
  <c r="G40" i="370" s="1"/>
  <c r="F40" i="370" s="1"/>
  <c r="H40" i="130"/>
  <c r="G40" i="130" s="1"/>
  <c r="F40" i="130" s="1"/>
  <c r="P41" i="130"/>
  <c r="O40" i="130"/>
  <c r="N40" i="130" s="1"/>
  <c r="M40" i="130" s="1"/>
  <c r="H40" i="373"/>
  <c r="G40" i="373" s="1"/>
  <c r="F40" i="373" s="1"/>
  <c r="O40" i="373"/>
  <c r="N40" i="373" s="1"/>
  <c r="M40" i="373" s="1"/>
  <c r="L38" i="373" s="1"/>
  <c r="J38" i="373" s="1"/>
  <c r="E38" i="373" s="1"/>
  <c r="D38" i="373" s="1"/>
  <c r="C35" i="373" s="1"/>
  <c r="AV35" i="96" s="1"/>
  <c r="P41" i="373"/>
  <c r="H40" i="325"/>
  <c r="G40" i="325" s="1"/>
  <c r="F40" i="325" s="1"/>
  <c r="O40" i="325"/>
  <c r="N40" i="325" s="1"/>
  <c r="M40" i="325" s="1"/>
  <c r="P41" i="325"/>
  <c r="H40" i="221"/>
  <c r="G40" i="221" s="1"/>
  <c r="F40" i="221" s="1"/>
  <c r="O40" i="221"/>
  <c r="N40" i="221" s="1"/>
  <c r="M40" i="221" s="1"/>
  <c r="P41" i="221"/>
  <c r="O40" i="218"/>
  <c r="N40" i="218" s="1"/>
  <c r="M40" i="218" s="1"/>
  <c r="P41" i="218"/>
  <c r="H40" i="218"/>
  <c r="G40" i="218" s="1"/>
  <c r="F40" i="218" s="1"/>
  <c r="O114" i="347"/>
  <c r="M114" i="347" s="1"/>
  <c r="H114" i="347" s="1"/>
  <c r="G114" i="347" s="1"/>
  <c r="C33" i="218"/>
  <c r="AN33" i="96" s="1"/>
  <c r="C33" i="221"/>
  <c r="AO33" i="96" s="1"/>
  <c r="L37" i="221"/>
  <c r="J37" i="221" s="1"/>
  <c r="E37" i="221" s="1"/>
  <c r="D37" i="221" s="1"/>
  <c r="T48" i="205"/>
  <c r="S48" i="205" s="1"/>
  <c r="R48" i="205" s="1"/>
  <c r="AB49" i="205"/>
  <c r="AA48" i="205"/>
  <c r="Z48" i="205" s="1"/>
  <c r="Y48" i="205" s="1"/>
  <c r="K118" i="347"/>
  <c r="J118" i="347" s="1"/>
  <c r="I118" i="347" s="1"/>
  <c r="R118" i="347"/>
  <c r="Q118" i="347" s="1"/>
  <c r="P118" i="347" s="1"/>
  <c r="S119" i="347"/>
  <c r="L38" i="216"/>
  <c r="J38" i="216" s="1"/>
  <c r="E38" i="216" s="1"/>
  <c r="D38" i="216" s="1"/>
  <c r="L37" i="130"/>
  <c r="J37" i="130" s="1"/>
  <c r="E37" i="130" s="1"/>
  <c r="D37" i="130" s="1"/>
  <c r="AD31" i="96"/>
  <c r="BP31" i="413"/>
  <c r="L37" i="218"/>
  <c r="J37" i="218" s="1"/>
  <c r="E37" i="218" s="1"/>
  <c r="D37" i="218" s="1"/>
  <c r="L37" i="375"/>
  <c r="J37" i="375" s="1"/>
  <c r="E37" i="375" s="1"/>
  <c r="D37" i="375" s="1"/>
  <c r="I46" i="20"/>
  <c r="C33" i="140"/>
  <c r="AG33" i="96" s="1"/>
  <c r="C34" i="140"/>
  <c r="AG34" i="96" s="1"/>
  <c r="H40" i="216"/>
  <c r="G40" i="216" s="1"/>
  <c r="F40" i="216" s="1"/>
  <c r="O40" i="216"/>
  <c r="N40" i="216" s="1"/>
  <c r="M40" i="216" s="1"/>
  <c r="P41" i="216"/>
  <c r="O40" i="377"/>
  <c r="N40" i="377" s="1"/>
  <c r="M40" i="377" s="1"/>
  <c r="H40" i="377"/>
  <c r="G40" i="377" s="1"/>
  <c r="F40" i="377" s="1"/>
  <c r="P41" i="377"/>
  <c r="C34" i="365"/>
  <c r="I45" i="20"/>
  <c r="X45" i="205"/>
  <c r="O40" i="375"/>
  <c r="N40" i="375" s="1"/>
  <c r="M40" i="375" s="1"/>
  <c r="H40" i="375"/>
  <c r="G40" i="375" s="1"/>
  <c r="F40" i="375" s="1"/>
  <c r="P41" i="375"/>
  <c r="N51" i="20"/>
  <c r="M51" i="20" s="1"/>
  <c r="L51" i="20" s="1"/>
  <c r="V52" i="20"/>
  <c r="U51" i="20"/>
  <c r="T51" i="20" s="1"/>
  <c r="S51" i="20" s="1"/>
  <c r="H40" i="214"/>
  <c r="G40" i="214" s="1"/>
  <c r="F40" i="214" s="1"/>
  <c r="O40" i="214"/>
  <c r="N40" i="214" s="1"/>
  <c r="M40" i="214" s="1"/>
  <c r="L38" i="214" s="1"/>
  <c r="J38" i="214" s="1"/>
  <c r="E38" i="214" s="1"/>
  <c r="D38" i="214" s="1"/>
  <c r="P41" i="214"/>
  <c r="O40" i="226"/>
  <c r="N40" i="226" s="1"/>
  <c r="M40" i="226" s="1"/>
  <c r="H40" i="226"/>
  <c r="G40" i="226" s="1"/>
  <c r="F40" i="226" s="1"/>
  <c r="P41" i="226"/>
  <c r="C33" i="224"/>
  <c r="AP33" i="96" s="1"/>
  <c r="L38" i="365"/>
  <c r="J38" i="365" s="1"/>
  <c r="E38" i="365" s="1"/>
  <c r="D38" i="365" s="1"/>
  <c r="V44" i="205"/>
  <c r="P44" i="205" s="1"/>
  <c r="Q44" i="205" s="1"/>
  <c r="O44" i="205" s="1"/>
  <c r="AJ35" i="96" s="1"/>
  <c r="E44" i="205"/>
  <c r="J35" i="96" s="1"/>
  <c r="N35" i="489" s="1"/>
  <c r="C31" i="126"/>
  <c r="AF31" i="96" s="1"/>
  <c r="C34" i="226"/>
  <c r="AQ34" i="96" s="1"/>
  <c r="C34" i="214"/>
  <c r="AL34" i="96" s="1"/>
  <c r="C35" i="214"/>
  <c r="AL35" i="96" s="1"/>
  <c r="L37" i="377"/>
  <c r="J37" i="377" s="1"/>
  <c r="E37" i="377" s="1"/>
  <c r="D37" i="377" s="1"/>
  <c r="L38" i="377"/>
  <c r="J38" i="377" s="1"/>
  <c r="E38" i="377" s="1"/>
  <c r="D38" i="377" s="1"/>
  <c r="L37" i="325"/>
  <c r="J37" i="325" s="1"/>
  <c r="E37" i="325" s="1"/>
  <c r="D37" i="325" s="1"/>
  <c r="L38" i="325"/>
  <c r="J38" i="325" s="1"/>
  <c r="E38" i="325" s="1"/>
  <c r="D38" i="325" s="1"/>
  <c r="H40" i="200"/>
  <c r="G40" i="200" s="1"/>
  <c r="F40" i="200" s="1"/>
  <c r="O40" i="200"/>
  <c r="N40" i="200" s="1"/>
  <c r="M40" i="200" s="1"/>
  <c r="L38" i="200" s="1"/>
  <c r="J38" i="200" s="1"/>
  <c r="E38" i="200" s="1"/>
  <c r="D38" i="200" s="1"/>
  <c r="C36" i="200" s="1"/>
  <c r="P41" i="200"/>
  <c r="C33" i="134"/>
  <c r="C34" i="134"/>
  <c r="L38" i="218"/>
  <c r="J38" i="218" s="1"/>
  <c r="E38" i="218" s="1"/>
  <c r="D38" i="218" s="1"/>
  <c r="C34" i="375"/>
  <c r="AW34" i="96" s="1"/>
  <c r="C33" i="375"/>
  <c r="AW33" i="96" s="1"/>
  <c r="P38" i="126"/>
  <c r="O37" i="126"/>
  <c r="N37" i="126" s="1"/>
  <c r="M37" i="126" s="1"/>
  <c r="H37" i="126"/>
  <c r="G37" i="126" s="1"/>
  <c r="F37" i="126" s="1"/>
  <c r="L38" i="134"/>
  <c r="J38" i="134" s="1"/>
  <c r="E38" i="134" s="1"/>
  <c r="D38" i="134" s="1"/>
  <c r="O40" i="224"/>
  <c r="N40" i="224" s="1"/>
  <c r="M40" i="224" s="1"/>
  <c r="H40" i="224"/>
  <c r="G40" i="224" s="1"/>
  <c r="F40" i="224" s="1"/>
  <c r="P41" i="224"/>
  <c r="H40" i="140"/>
  <c r="G40" i="140" s="1"/>
  <c r="F40" i="140" s="1"/>
  <c r="O40" i="140"/>
  <c r="N40" i="140" s="1"/>
  <c r="M40" i="140" s="1"/>
  <c r="L38" i="140" s="1"/>
  <c r="J38" i="140" s="1"/>
  <c r="E38" i="140" s="1"/>
  <c r="D38" i="140" s="1"/>
  <c r="P41" i="140"/>
  <c r="H40" i="134"/>
  <c r="G40" i="134" s="1"/>
  <c r="F40" i="134" s="1"/>
  <c r="O40" i="134"/>
  <c r="N40" i="134" s="1"/>
  <c r="M40" i="134" s="1"/>
  <c r="P41" i="134"/>
  <c r="F112" i="347"/>
  <c r="AS34" i="96" s="1"/>
  <c r="D112" i="347"/>
  <c r="D111" i="347"/>
  <c r="C34" i="216"/>
  <c r="AM34" i="96" s="1"/>
  <c r="G35" i="413"/>
  <c r="F35" i="413" s="1"/>
  <c r="E32" i="413" s="1"/>
  <c r="Q40" i="413"/>
  <c r="J40" i="413"/>
  <c r="I40" i="413" s="1"/>
  <c r="H40" i="413" s="1"/>
  <c r="L36" i="413"/>
  <c r="R41" i="413"/>
  <c r="P40" i="413"/>
  <c r="O40" i="413" s="1"/>
  <c r="N37" i="413"/>
  <c r="C34" i="325" l="1"/>
  <c r="AR34" i="96" s="1"/>
  <c r="O41" i="226"/>
  <c r="N41" i="226" s="1"/>
  <c r="M41" i="226" s="1"/>
  <c r="P42" i="226"/>
  <c r="H41" i="226"/>
  <c r="G41" i="226" s="1"/>
  <c r="F41" i="226" s="1"/>
  <c r="N52" i="20"/>
  <c r="M52" i="20" s="1"/>
  <c r="L52" i="20" s="1"/>
  <c r="U52" i="20"/>
  <c r="T52" i="20" s="1"/>
  <c r="S52" i="20" s="1"/>
  <c r="R50" i="20" s="1"/>
  <c r="P50" i="20" s="1"/>
  <c r="K50" i="20" s="1"/>
  <c r="J50" i="20" s="1"/>
  <c r="V53" i="20"/>
  <c r="C35" i="140"/>
  <c r="AG35" i="96" s="1"/>
  <c r="C35" i="216"/>
  <c r="AM35" i="96" s="1"/>
  <c r="T49" i="205"/>
  <c r="S49" i="205" s="1"/>
  <c r="R49" i="205" s="1"/>
  <c r="AA49" i="205"/>
  <c r="Z49" i="205" s="1"/>
  <c r="Y49" i="205" s="1"/>
  <c r="AB50" i="205"/>
  <c r="L38" i="221"/>
  <c r="J38" i="221" s="1"/>
  <c r="E38" i="221" s="1"/>
  <c r="D38" i="221" s="1"/>
  <c r="C35" i="221" s="1"/>
  <c r="AO35" i="96" s="1"/>
  <c r="H41" i="373"/>
  <c r="G41" i="373" s="1"/>
  <c r="F41" i="373" s="1"/>
  <c r="O41" i="373"/>
  <c r="N41" i="373" s="1"/>
  <c r="M41" i="373" s="1"/>
  <c r="L39" i="373" s="1"/>
  <c r="J39" i="373" s="1"/>
  <c r="E39" i="373" s="1"/>
  <c r="D39" i="373" s="1"/>
  <c r="C36" i="373" s="1"/>
  <c r="P42" i="373"/>
  <c r="O41" i="370"/>
  <c r="N41" i="370" s="1"/>
  <c r="M41" i="370" s="1"/>
  <c r="H41" i="370"/>
  <c r="G41" i="370" s="1"/>
  <c r="F41" i="370" s="1"/>
  <c r="P42" i="370"/>
  <c r="L38" i="209"/>
  <c r="J38" i="209" s="1"/>
  <c r="E38" i="209" s="1"/>
  <c r="D38" i="209" s="1"/>
  <c r="AV33" i="134"/>
  <c r="AX33" i="96"/>
  <c r="H41" i="216"/>
  <c r="G41" i="216" s="1"/>
  <c r="F41" i="216" s="1"/>
  <c r="P42" i="216"/>
  <c r="O41" i="216"/>
  <c r="N41" i="216" s="1"/>
  <c r="M41" i="216" s="1"/>
  <c r="K119" i="347"/>
  <c r="J119" i="347" s="1"/>
  <c r="I119" i="347" s="1"/>
  <c r="S120" i="347"/>
  <c r="R119" i="347"/>
  <c r="Q119" i="347" s="1"/>
  <c r="P119" i="347" s="1"/>
  <c r="D113" i="347"/>
  <c r="C35" i="218"/>
  <c r="AN35" i="96" s="1"/>
  <c r="C35" i="377"/>
  <c r="AY35" i="96" s="1"/>
  <c r="C35" i="365"/>
  <c r="L38" i="226"/>
  <c r="J38" i="226" s="1"/>
  <c r="E38" i="226" s="1"/>
  <c r="D38" i="226" s="1"/>
  <c r="P42" i="375"/>
  <c r="O41" i="375"/>
  <c r="N41" i="375" s="1"/>
  <c r="M41" i="375" s="1"/>
  <c r="H41" i="375"/>
  <c r="G41" i="375" s="1"/>
  <c r="F41" i="375" s="1"/>
  <c r="L39" i="216"/>
  <c r="J39" i="216" s="1"/>
  <c r="E39" i="216" s="1"/>
  <c r="D39" i="216" s="1"/>
  <c r="C36" i="216" s="1"/>
  <c r="O115" i="347"/>
  <c r="M115" i="347" s="1"/>
  <c r="H115" i="347" s="1"/>
  <c r="G115" i="347" s="1"/>
  <c r="H41" i="365"/>
  <c r="G41" i="365" s="1"/>
  <c r="F41" i="365" s="1"/>
  <c r="O41" i="365"/>
  <c r="N41" i="365" s="1"/>
  <c r="M41" i="365" s="1"/>
  <c r="P42" i="365"/>
  <c r="L35" i="126"/>
  <c r="H41" i="200"/>
  <c r="G41" i="200" s="1"/>
  <c r="F41" i="200" s="1"/>
  <c r="O41" i="200"/>
  <c r="N41" i="200" s="1"/>
  <c r="M41" i="200" s="1"/>
  <c r="L39" i="200" s="1"/>
  <c r="J39" i="200" s="1"/>
  <c r="E39" i="200" s="1"/>
  <c r="D39" i="200" s="1"/>
  <c r="C37" i="200" s="1"/>
  <c r="P42" i="200"/>
  <c r="C34" i="377"/>
  <c r="AY34" i="96" s="1"/>
  <c r="L38" i="224"/>
  <c r="J38" i="224" s="1"/>
  <c r="E38" i="224" s="1"/>
  <c r="D38" i="224" s="1"/>
  <c r="C34" i="130"/>
  <c r="AH34" i="96" s="1"/>
  <c r="C34" i="221"/>
  <c r="AO34" i="96" s="1"/>
  <c r="L38" i="130"/>
  <c r="J38" i="130" s="1"/>
  <c r="E38" i="130" s="1"/>
  <c r="D38" i="130" s="1"/>
  <c r="C35" i="130" s="1"/>
  <c r="AH35" i="96" s="1"/>
  <c r="H41" i="140"/>
  <c r="G41" i="140" s="1"/>
  <c r="F41" i="140" s="1"/>
  <c r="P42" i="140"/>
  <c r="O41" i="140"/>
  <c r="N41" i="140" s="1"/>
  <c r="M41" i="140" s="1"/>
  <c r="H41" i="134"/>
  <c r="G41" i="134" s="1"/>
  <c r="F41" i="134" s="1"/>
  <c r="O41" i="134"/>
  <c r="N41" i="134" s="1"/>
  <c r="M41" i="134" s="1"/>
  <c r="P42" i="134"/>
  <c r="O38" i="126"/>
  <c r="N38" i="126" s="1"/>
  <c r="M38" i="126" s="1"/>
  <c r="H38" i="126"/>
  <c r="G38" i="126" s="1"/>
  <c r="F38" i="126" s="1"/>
  <c r="P39" i="126"/>
  <c r="H41" i="214"/>
  <c r="G41" i="214" s="1"/>
  <c r="F41" i="214" s="1"/>
  <c r="O41" i="214"/>
  <c r="N41" i="214" s="1"/>
  <c r="M41" i="214" s="1"/>
  <c r="L39" i="214" s="1"/>
  <c r="J39" i="214" s="1"/>
  <c r="E39" i="214" s="1"/>
  <c r="D39" i="214" s="1"/>
  <c r="P42" i="214"/>
  <c r="L38" i="375"/>
  <c r="J38" i="375" s="1"/>
  <c r="E38" i="375" s="1"/>
  <c r="D38" i="375" s="1"/>
  <c r="H41" i="130"/>
  <c r="G41" i="130" s="1"/>
  <c r="F41" i="130" s="1"/>
  <c r="O41" i="130"/>
  <c r="N41" i="130" s="1"/>
  <c r="M41" i="130" s="1"/>
  <c r="P42" i="130"/>
  <c r="AD32" i="96"/>
  <c r="BP32" i="413"/>
  <c r="O41" i="377"/>
  <c r="N41" i="377" s="1"/>
  <c r="M41" i="377" s="1"/>
  <c r="H41" i="377"/>
  <c r="G41" i="377" s="1"/>
  <c r="F41" i="377" s="1"/>
  <c r="P42" i="377"/>
  <c r="O41" i="218"/>
  <c r="N41" i="218" s="1"/>
  <c r="M41" i="218" s="1"/>
  <c r="P42" i="218"/>
  <c r="H41" i="218"/>
  <c r="G41" i="218" s="1"/>
  <c r="F41" i="218" s="1"/>
  <c r="H41" i="325"/>
  <c r="G41" i="325" s="1"/>
  <c r="F41" i="325" s="1"/>
  <c r="O41" i="325"/>
  <c r="N41" i="325" s="1"/>
  <c r="M41" i="325" s="1"/>
  <c r="P42" i="325"/>
  <c r="P42" i="224"/>
  <c r="O41" i="224"/>
  <c r="N41" i="224" s="1"/>
  <c r="M41" i="224" s="1"/>
  <c r="H41" i="224"/>
  <c r="G41" i="224" s="1"/>
  <c r="F41" i="224" s="1"/>
  <c r="C35" i="134"/>
  <c r="C35" i="325"/>
  <c r="AR35" i="96" s="1"/>
  <c r="V45" i="205"/>
  <c r="P45" i="205" s="1"/>
  <c r="Q45" i="205" s="1"/>
  <c r="O45" i="205" s="1"/>
  <c r="E45" i="205"/>
  <c r="AV34" i="134"/>
  <c r="AX34" i="96"/>
  <c r="R49" i="20"/>
  <c r="P49" i="20" s="1"/>
  <c r="K49" i="20" s="1"/>
  <c r="J49" i="20" s="1"/>
  <c r="C34" i="218"/>
  <c r="AN34" i="96" s="1"/>
  <c r="H41" i="221"/>
  <c r="G41" i="221" s="1"/>
  <c r="F41" i="221" s="1"/>
  <c r="O41" i="221"/>
  <c r="N41" i="221" s="1"/>
  <c r="M41" i="221" s="1"/>
  <c r="P42" i="221"/>
  <c r="L38" i="370"/>
  <c r="J38" i="370" s="1"/>
  <c r="E38" i="370" s="1"/>
  <c r="D38" i="370" s="1"/>
  <c r="C35" i="370" s="1"/>
  <c r="AU35" i="96" s="1"/>
  <c r="H41" i="209"/>
  <c r="G41" i="209" s="1"/>
  <c r="F41" i="209" s="1"/>
  <c r="O41" i="209"/>
  <c r="N41" i="209" s="1"/>
  <c r="M41" i="209" s="1"/>
  <c r="P42" i="209"/>
  <c r="X46" i="205"/>
  <c r="Q41" i="413"/>
  <c r="P41" i="413" s="1"/>
  <c r="O41" i="413" s="1"/>
  <c r="J41" i="413"/>
  <c r="I41" i="413" s="1"/>
  <c r="H41" i="413" s="1"/>
  <c r="G36" i="413"/>
  <c r="F36" i="413" s="1"/>
  <c r="E33" i="413" s="1"/>
  <c r="L37" i="413"/>
  <c r="N38" i="413"/>
  <c r="R42" i="413"/>
  <c r="AD33" i="96" l="1"/>
  <c r="BP33" i="413"/>
  <c r="H42" i="325"/>
  <c r="G42" i="325" s="1"/>
  <c r="F42" i="325" s="1"/>
  <c r="O42" i="325"/>
  <c r="N42" i="325" s="1"/>
  <c r="M42" i="325" s="1"/>
  <c r="P43" i="325"/>
  <c r="P43" i="377"/>
  <c r="O42" i="377"/>
  <c r="N42" i="377" s="1"/>
  <c r="M42" i="377" s="1"/>
  <c r="H42" i="377"/>
  <c r="G42" i="377" s="1"/>
  <c r="F42" i="377" s="1"/>
  <c r="L39" i="130"/>
  <c r="J39" i="130" s="1"/>
  <c r="E39" i="130" s="1"/>
  <c r="D39" i="130" s="1"/>
  <c r="L39" i="140"/>
  <c r="J39" i="140" s="1"/>
  <c r="E39" i="140" s="1"/>
  <c r="D39" i="140" s="1"/>
  <c r="P43" i="370"/>
  <c r="O42" i="370"/>
  <c r="N42" i="370" s="1"/>
  <c r="M42" i="370" s="1"/>
  <c r="H42" i="370"/>
  <c r="G42" i="370" s="1"/>
  <c r="F42" i="370" s="1"/>
  <c r="T50" i="205"/>
  <c r="S50" i="205" s="1"/>
  <c r="R50" i="205" s="1"/>
  <c r="AB51" i="205"/>
  <c r="AA50" i="205"/>
  <c r="Z50" i="205" s="1"/>
  <c r="Y50" i="205" s="1"/>
  <c r="N53" i="20"/>
  <c r="M53" i="20" s="1"/>
  <c r="L53" i="20" s="1"/>
  <c r="V54" i="20"/>
  <c r="U53" i="20"/>
  <c r="T53" i="20" s="1"/>
  <c r="S53" i="20" s="1"/>
  <c r="R51" i="20" s="1"/>
  <c r="P51" i="20" s="1"/>
  <c r="K51" i="20" s="1"/>
  <c r="J51" i="20" s="1"/>
  <c r="I47" i="20"/>
  <c r="I48" i="20"/>
  <c r="AV35" i="134"/>
  <c r="AX35" i="96"/>
  <c r="L39" i="377"/>
  <c r="J39" i="377" s="1"/>
  <c r="E39" i="377" s="1"/>
  <c r="D39" i="377" s="1"/>
  <c r="P40" i="126"/>
  <c r="O39" i="126"/>
  <c r="N39" i="126" s="1"/>
  <c r="M39" i="126" s="1"/>
  <c r="L37" i="126" s="1"/>
  <c r="H39" i="126"/>
  <c r="G39" i="126" s="1"/>
  <c r="F39" i="126" s="1"/>
  <c r="F113" i="347"/>
  <c r="AS35" i="96" s="1"/>
  <c r="L39" i="370"/>
  <c r="J39" i="370" s="1"/>
  <c r="E39" i="370" s="1"/>
  <c r="D39" i="370" s="1"/>
  <c r="L40" i="370"/>
  <c r="J40" i="370" s="1"/>
  <c r="E40" i="370" s="1"/>
  <c r="D40" i="370" s="1"/>
  <c r="E46" i="205"/>
  <c r="V46" i="205"/>
  <c r="P46" i="205" s="1"/>
  <c r="Q46" i="205" s="1"/>
  <c r="O46" i="205" s="1"/>
  <c r="C35" i="224"/>
  <c r="AP35" i="96" s="1"/>
  <c r="J35" i="126"/>
  <c r="E35" i="126" s="1"/>
  <c r="D35" i="126" s="1"/>
  <c r="M91" i="117"/>
  <c r="H42" i="373"/>
  <c r="G42" i="373" s="1"/>
  <c r="F42" i="373" s="1"/>
  <c r="O42" i="373"/>
  <c r="N42" i="373" s="1"/>
  <c r="M42" i="373" s="1"/>
  <c r="L40" i="373" s="1"/>
  <c r="J40" i="373" s="1"/>
  <c r="E40" i="373" s="1"/>
  <c r="D40" i="373" s="1"/>
  <c r="C37" i="373" s="1"/>
  <c r="P43" i="373"/>
  <c r="X48" i="205"/>
  <c r="X47" i="205"/>
  <c r="O42" i="218"/>
  <c r="N42" i="218" s="1"/>
  <c r="M42" i="218" s="1"/>
  <c r="L40" i="218" s="1"/>
  <c r="J40" i="218" s="1"/>
  <c r="E40" i="218" s="1"/>
  <c r="D40" i="218" s="1"/>
  <c r="H42" i="218"/>
  <c r="G42" i="218" s="1"/>
  <c r="F42" i="218" s="1"/>
  <c r="P43" i="218"/>
  <c r="C35" i="375"/>
  <c r="AW35" i="96" s="1"/>
  <c r="L36" i="126"/>
  <c r="H42" i="365"/>
  <c r="G42" i="365" s="1"/>
  <c r="F42" i="365" s="1"/>
  <c r="O42" i="365"/>
  <c r="N42" i="365" s="1"/>
  <c r="M42" i="365" s="1"/>
  <c r="P43" i="365"/>
  <c r="O116" i="347"/>
  <c r="M116" i="347" s="1"/>
  <c r="H116" i="347" s="1"/>
  <c r="G116" i="347" s="1"/>
  <c r="F114" i="347" s="1"/>
  <c r="O42" i="226"/>
  <c r="N42" i="226" s="1"/>
  <c r="M42" i="226" s="1"/>
  <c r="L40" i="226" s="1"/>
  <c r="J40" i="226" s="1"/>
  <c r="E40" i="226" s="1"/>
  <c r="D40" i="226" s="1"/>
  <c r="H42" i="226"/>
  <c r="G42" i="226" s="1"/>
  <c r="F42" i="226" s="1"/>
  <c r="P43" i="226"/>
  <c r="L40" i="325"/>
  <c r="J40" i="325" s="1"/>
  <c r="E40" i="325" s="1"/>
  <c r="D40" i="325" s="1"/>
  <c r="O42" i="224"/>
  <c r="N42" i="224" s="1"/>
  <c r="M42" i="224" s="1"/>
  <c r="H42" i="224"/>
  <c r="G42" i="224" s="1"/>
  <c r="F42" i="224" s="1"/>
  <c r="P43" i="224"/>
  <c r="L40" i="209"/>
  <c r="J40" i="209" s="1"/>
  <c r="E40" i="209" s="1"/>
  <c r="D40" i="209" s="1"/>
  <c r="L39" i="218"/>
  <c r="J39" i="218" s="1"/>
  <c r="E39" i="218" s="1"/>
  <c r="D39" i="218" s="1"/>
  <c r="H42" i="134"/>
  <c r="G42" i="134" s="1"/>
  <c r="F42" i="134" s="1"/>
  <c r="O42" i="134"/>
  <c r="N42" i="134" s="1"/>
  <c r="M42" i="134" s="1"/>
  <c r="P43" i="134"/>
  <c r="L39" i="365"/>
  <c r="J39" i="365" s="1"/>
  <c r="E39" i="365" s="1"/>
  <c r="D39" i="365" s="1"/>
  <c r="L40" i="365"/>
  <c r="J40" i="365" s="1"/>
  <c r="E40" i="365" s="1"/>
  <c r="D40" i="365" s="1"/>
  <c r="C37" i="365" s="1"/>
  <c r="L39" i="375"/>
  <c r="J39" i="375" s="1"/>
  <c r="E39" i="375" s="1"/>
  <c r="D39" i="375" s="1"/>
  <c r="C36" i="375" s="1"/>
  <c r="K120" i="347"/>
  <c r="J120" i="347" s="1"/>
  <c r="I120" i="347" s="1"/>
  <c r="S121" i="347"/>
  <c r="R120" i="347"/>
  <c r="Q120" i="347" s="1"/>
  <c r="P120" i="347" s="1"/>
  <c r="L39" i="226"/>
  <c r="J39" i="226" s="1"/>
  <c r="E39" i="226" s="1"/>
  <c r="D39" i="226" s="1"/>
  <c r="L39" i="224"/>
  <c r="J39" i="224" s="1"/>
  <c r="E39" i="224" s="1"/>
  <c r="D39" i="224" s="1"/>
  <c r="C36" i="224" s="1"/>
  <c r="H42" i="221"/>
  <c r="G42" i="221" s="1"/>
  <c r="F42" i="221" s="1"/>
  <c r="P43" i="221"/>
  <c r="O42" i="221"/>
  <c r="N42" i="221" s="1"/>
  <c r="M42" i="221" s="1"/>
  <c r="L39" i="325"/>
  <c r="J39" i="325" s="1"/>
  <c r="E39" i="325" s="1"/>
  <c r="D39" i="325" s="1"/>
  <c r="H42" i="216"/>
  <c r="G42" i="216" s="1"/>
  <c r="F42" i="216" s="1"/>
  <c r="P43" i="216"/>
  <c r="O42" i="216"/>
  <c r="N42" i="216" s="1"/>
  <c r="M42" i="216" s="1"/>
  <c r="L40" i="216" s="1"/>
  <c r="J40" i="216" s="1"/>
  <c r="E40" i="216" s="1"/>
  <c r="D40" i="216" s="1"/>
  <c r="H42" i="214"/>
  <c r="G42" i="214" s="1"/>
  <c r="F42" i="214" s="1"/>
  <c r="O42" i="214"/>
  <c r="N42" i="214" s="1"/>
  <c r="M42" i="214" s="1"/>
  <c r="L40" i="214" s="1"/>
  <c r="J40" i="214" s="1"/>
  <c r="E40" i="214" s="1"/>
  <c r="D40" i="214" s="1"/>
  <c r="C37" i="214" s="1"/>
  <c r="P43" i="214"/>
  <c r="L39" i="134"/>
  <c r="J39" i="134" s="1"/>
  <c r="E39" i="134" s="1"/>
  <c r="D39" i="134" s="1"/>
  <c r="O42" i="375"/>
  <c r="N42" i="375" s="1"/>
  <c r="M42" i="375" s="1"/>
  <c r="H42" i="375"/>
  <c r="G42" i="375" s="1"/>
  <c r="F42" i="375" s="1"/>
  <c r="P43" i="375"/>
  <c r="H42" i="140"/>
  <c r="G42" i="140" s="1"/>
  <c r="F42" i="140" s="1"/>
  <c r="P43" i="140"/>
  <c r="O42" i="140"/>
  <c r="N42" i="140" s="1"/>
  <c r="M42" i="140" s="1"/>
  <c r="L39" i="221"/>
  <c r="J39" i="221" s="1"/>
  <c r="E39" i="221" s="1"/>
  <c r="D39" i="221" s="1"/>
  <c r="H42" i="209"/>
  <c r="G42" i="209" s="1"/>
  <c r="F42" i="209" s="1"/>
  <c r="P43" i="209"/>
  <c r="O42" i="209"/>
  <c r="N42" i="209" s="1"/>
  <c r="M42" i="209" s="1"/>
  <c r="L39" i="209"/>
  <c r="J39" i="209" s="1"/>
  <c r="E39" i="209" s="1"/>
  <c r="D39" i="209" s="1"/>
  <c r="C36" i="209" s="1"/>
  <c r="O42" i="130"/>
  <c r="N42" i="130" s="1"/>
  <c r="M42" i="130" s="1"/>
  <c r="P43" i="130"/>
  <c r="H42" i="130"/>
  <c r="G42" i="130" s="1"/>
  <c r="F42" i="130" s="1"/>
  <c r="C36" i="214"/>
  <c r="H42" i="200"/>
  <c r="G42" i="200" s="1"/>
  <c r="F42" i="200" s="1"/>
  <c r="P43" i="200"/>
  <c r="O42" i="200"/>
  <c r="N42" i="200" s="1"/>
  <c r="M42" i="200" s="1"/>
  <c r="L40" i="200" s="1"/>
  <c r="J40" i="200" s="1"/>
  <c r="E40" i="200" s="1"/>
  <c r="D40" i="200" s="1"/>
  <c r="C38" i="200" s="1"/>
  <c r="C35" i="226"/>
  <c r="AQ35" i="96" s="1"/>
  <c r="C35" i="209"/>
  <c r="AK35" i="96" s="1"/>
  <c r="C37" i="209"/>
  <c r="Q42" i="413"/>
  <c r="P42" i="413" s="1"/>
  <c r="O42" i="413" s="1"/>
  <c r="J42" i="413"/>
  <c r="I42" i="413" s="1"/>
  <c r="H42" i="413" s="1"/>
  <c r="G37" i="413"/>
  <c r="F37" i="413" s="1"/>
  <c r="E34" i="413" s="1"/>
  <c r="L38" i="413"/>
  <c r="R43" i="413"/>
  <c r="N39" i="413"/>
  <c r="I49" i="20" l="1"/>
  <c r="C37" i="216"/>
  <c r="C36" i="221"/>
  <c r="L40" i="375"/>
  <c r="J40" i="375" s="1"/>
  <c r="E40" i="375" s="1"/>
  <c r="D40" i="375" s="1"/>
  <c r="C37" i="375" s="1"/>
  <c r="C36" i="218"/>
  <c r="C36" i="377"/>
  <c r="P44" i="377"/>
  <c r="O43" i="377"/>
  <c r="N43" i="377" s="1"/>
  <c r="M43" i="377" s="1"/>
  <c r="H43" i="377"/>
  <c r="G43" i="377" s="1"/>
  <c r="F43" i="377" s="1"/>
  <c r="H43" i="130"/>
  <c r="G43" i="130" s="1"/>
  <c r="F43" i="130" s="1"/>
  <c r="P44" i="130"/>
  <c r="O43" i="130"/>
  <c r="N43" i="130" s="1"/>
  <c r="M43" i="130" s="1"/>
  <c r="C36" i="134"/>
  <c r="AV36" i="134" s="1"/>
  <c r="H43" i="216"/>
  <c r="G43" i="216" s="1"/>
  <c r="F43" i="216" s="1"/>
  <c r="P44" i="216"/>
  <c r="O43" i="216"/>
  <c r="N43" i="216" s="1"/>
  <c r="M43" i="216" s="1"/>
  <c r="P44" i="226"/>
  <c r="O43" i="226"/>
  <c r="N43" i="226" s="1"/>
  <c r="M43" i="226" s="1"/>
  <c r="H43" i="226"/>
  <c r="G43" i="226" s="1"/>
  <c r="F43" i="226" s="1"/>
  <c r="C37" i="218"/>
  <c r="H43" i="325"/>
  <c r="G43" i="325" s="1"/>
  <c r="F43" i="325" s="1"/>
  <c r="O43" i="325"/>
  <c r="N43" i="325" s="1"/>
  <c r="M43" i="325" s="1"/>
  <c r="P44" i="325"/>
  <c r="E47" i="205"/>
  <c r="V47" i="205"/>
  <c r="P47" i="205" s="1"/>
  <c r="Q47" i="205" s="1"/>
  <c r="O47" i="205" s="1"/>
  <c r="C37" i="370"/>
  <c r="P44" i="370"/>
  <c r="O43" i="370"/>
  <c r="N43" i="370" s="1"/>
  <c r="M43" i="370" s="1"/>
  <c r="L41" i="370" s="1"/>
  <c r="J41" i="370" s="1"/>
  <c r="E41" i="370" s="1"/>
  <c r="D41" i="370" s="1"/>
  <c r="C38" i="370" s="1"/>
  <c r="H43" i="370"/>
  <c r="G43" i="370" s="1"/>
  <c r="F43" i="370" s="1"/>
  <c r="C36" i="140"/>
  <c r="C36" i="325"/>
  <c r="O43" i="224"/>
  <c r="N43" i="224" s="1"/>
  <c r="M43" i="224" s="1"/>
  <c r="H43" i="224"/>
  <c r="G43" i="224" s="1"/>
  <c r="F43" i="224" s="1"/>
  <c r="P44" i="224"/>
  <c r="C37" i="226"/>
  <c r="E48" i="205"/>
  <c r="V48" i="205"/>
  <c r="P48" i="205" s="1"/>
  <c r="Q48" i="205" s="1"/>
  <c r="O48" i="205" s="1"/>
  <c r="L41" i="224"/>
  <c r="J41" i="224" s="1"/>
  <c r="E41" i="224" s="1"/>
  <c r="D41" i="224" s="1"/>
  <c r="C36" i="370"/>
  <c r="N54" i="20"/>
  <c r="M54" i="20" s="1"/>
  <c r="L54" i="20" s="1"/>
  <c r="U54" i="20"/>
  <c r="T54" i="20" s="1"/>
  <c r="S54" i="20" s="1"/>
  <c r="V55" i="20"/>
  <c r="L40" i="130"/>
  <c r="J40" i="130" s="1"/>
  <c r="E40" i="130" s="1"/>
  <c r="D40" i="130" s="1"/>
  <c r="C37" i="130" s="1"/>
  <c r="O117" i="347"/>
  <c r="M117" i="347" s="1"/>
  <c r="H117" i="347" s="1"/>
  <c r="G117" i="347" s="1"/>
  <c r="C36" i="365"/>
  <c r="J36" i="126"/>
  <c r="E36" i="126" s="1"/>
  <c r="D36" i="126" s="1"/>
  <c r="M92" i="117"/>
  <c r="C32" i="126"/>
  <c r="AF32" i="96" s="1"/>
  <c r="C36" i="130"/>
  <c r="AD34" i="96"/>
  <c r="BP34" i="413"/>
  <c r="H43" i="221"/>
  <c r="G43" i="221" s="1"/>
  <c r="F43" i="221" s="1"/>
  <c r="P44" i="221"/>
  <c r="O43" i="221"/>
  <c r="N43" i="221" s="1"/>
  <c r="M43" i="221" s="1"/>
  <c r="K121" i="347"/>
  <c r="J121" i="347" s="1"/>
  <c r="I121" i="347" s="1"/>
  <c r="S122" i="347"/>
  <c r="R121" i="347"/>
  <c r="Q121" i="347" s="1"/>
  <c r="P121" i="347" s="1"/>
  <c r="H43" i="134"/>
  <c r="G43" i="134" s="1"/>
  <c r="F43" i="134" s="1"/>
  <c r="P44" i="134"/>
  <c r="O43" i="134"/>
  <c r="N43" i="134" s="1"/>
  <c r="M43" i="134" s="1"/>
  <c r="L40" i="224"/>
  <c r="J40" i="224" s="1"/>
  <c r="E40" i="224" s="1"/>
  <c r="D40" i="224" s="1"/>
  <c r="D114" i="347"/>
  <c r="C38" i="224"/>
  <c r="F115" i="347"/>
  <c r="H43" i="200"/>
  <c r="G43" i="200" s="1"/>
  <c r="F43" i="200" s="1"/>
  <c r="O43" i="200"/>
  <c r="N43" i="200" s="1"/>
  <c r="M43" i="200" s="1"/>
  <c r="L41" i="200" s="1"/>
  <c r="J41" i="200" s="1"/>
  <c r="E41" i="200" s="1"/>
  <c r="D41" i="200" s="1"/>
  <c r="C39" i="200" s="1"/>
  <c r="P44" i="200"/>
  <c r="H43" i="214"/>
  <c r="G43" i="214" s="1"/>
  <c r="F43" i="214" s="1"/>
  <c r="P44" i="214"/>
  <c r="O43" i="214"/>
  <c r="N43" i="214" s="1"/>
  <c r="M43" i="214" s="1"/>
  <c r="L41" i="214" s="1"/>
  <c r="J41" i="214" s="1"/>
  <c r="E41" i="214" s="1"/>
  <c r="D41" i="214" s="1"/>
  <c r="C38" i="214" s="1"/>
  <c r="H43" i="209"/>
  <c r="G43" i="209" s="1"/>
  <c r="F43" i="209" s="1"/>
  <c r="P44" i="209"/>
  <c r="O43" i="209"/>
  <c r="N43" i="209" s="1"/>
  <c r="M43" i="209" s="1"/>
  <c r="P44" i="375"/>
  <c r="O43" i="375"/>
  <c r="N43" i="375" s="1"/>
  <c r="M43" i="375" s="1"/>
  <c r="H43" i="375"/>
  <c r="G43" i="375" s="1"/>
  <c r="F43" i="375" s="1"/>
  <c r="L40" i="134"/>
  <c r="J40" i="134" s="1"/>
  <c r="E40" i="134" s="1"/>
  <c r="D40" i="134" s="1"/>
  <c r="C37" i="325"/>
  <c r="H43" i="373"/>
  <c r="G43" i="373" s="1"/>
  <c r="F43" i="373" s="1"/>
  <c r="P44" i="373"/>
  <c r="O43" i="373"/>
  <c r="N43" i="373" s="1"/>
  <c r="M43" i="373" s="1"/>
  <c r="L41" i="373" s="1"/>
  <c r="J41" i="373" s="1"/>
  <c r="E41" i="373" s="1"/>
  <c r="D41" i="373" s="1"/>
  <c r="C38" i="373" s="1"/>
  <c r="J37" i="126"/>
  <c r="E37" i="126" s="1"/>
  <c r="D37" i="126" s="1"/>
  <c r="M93" i="117"/>
  <c r="T51" i="205"/>
  <c r="S51" i="205" s="1"/>
  <c r="R51" i="205" s="1"/>
  <c r="AB52" i="205"/>
  <c r="AA51" i="205"/>
  <c r="Z51" i="205" s="1"/>
  <c r="Y51" i="205" s="1"/>
  <c r="D115" i="347"/>
  <c r="L40" i="140"/>
  <c r="J40" i="140" s="1"/>
  <c r="E40" i="140" s="1"/>
  <c r="D40" i="140" s="1"/>
  <c r="C36" i="226"/>
  <c r="H43" i="140"/>
  <c r="G43" i="140" s="1"/>
  <c r="F43" i="140" s="1"/>
  <c r="P44" i="140"/>
  <c r="O43" i="140"/>
  <c r="N43" i="140" s="1"/>
  <c r="M43" i="140" s="1"/>
  <c r="L40" i="221"/>
  <c r="J40" i="221" s="1"/>
  <c r="E40" i="221" s="1"/>
  <c r="D40" i="221" s="1"/>
  <c r="C37" i="221" s="1"/>
  <c r="H43" i="365"/>
  <c r="G43" i="365" s="1"/>
  <c r="F43" i="365" s="1"/>
  <c r="O43" i="365"/>
  <c r="N43" i="365" s="1"/>
  <c r="M43" i="365" s="1"/>
  <c r="P44" i="365"/>
  <c r="P44" i="218"/>
  <c r="O43" i="218"/>
  <c r="N43" i="218" s="1"/>
  <c r="M43" i="218" s="1"/>
  <c r="H43" i="218"/>
  <c r="G43" i="218" s="1"/>
  <c r="F43" i="218" s="1"/>
  <c r="C37" i="224"/>
  <c r="P41" i="126"/>
  <c r="O40" i="126"/>
  <c r="N40" i="126" s="1"/>
  <c r="M40" i="126" s="1"/>
  <c r="H40" i="126"/>
  <c r="G40" i="126" s="1"/>
  <c r="F40" i="126" s="1"/>
  <c r="L40" i="377"/>
  <c r="J40" i="377" s="1"/>
  <c r="E40" i="377" s="1"/>
  <c r="D40" i="377" s="1"/>
  <c r="G38" i="413"/>
  <c r="F38" i="413" s="1"/>
  <c r="E35" i="413" s="1"/>
  <c r="Q43" i="413"/>
  <c r="P43" i="413" s="1"/>
  <c r="O43" i="413" s="1"/>
  <c r="J43" i="413"/>
  <c r="I43" i="413" s="1"/>
  <c r="H43" i="413" s="1"/>
  <c r="N40" i="413"/>
  <c r="L39" i="413"/>
  <c r="R44" i="413"/>
  <c r="H44" i="365" l="1"/>
  <c r="G44" i="365" s="1"/>
  <c r="F44" i="365" s="1"/>
  <c r="O44" i="365"/>
  <c r="N44" i="365" s="1"/>
  <c r="M44" i="365" s="1"/>
  <c r="P45" i="365"/>
  <c r="H44" i="214"/>
  <c r="G44" i="214" s="1"/>
  <c r="F44" i="214" s="1"/>
  <c r="O44" i="214"/>
  <c r="N44" i="214" s="1"/>
  <c r="M44" i="214" s="1"/>
  <c r="L42" i="214" s="1"/>
  <c r="J42" i="214" s="1"/>
  <c r="E42" i="214" s="1"/>
  <c r="D42" i="214" s="1"/>
  <c r="C39" i="214" s="1"/>
  <c r="P45" i="214"/>
  <c r="L41" i="377"/>
  <c r="J41" i="377" s="1"/>
  <c r="E41" i="377" s="1"/>
  <c r="D41" i="377" s="1"/>
  <c r="C38" i="377" s="1"/>
  <c r="L41" i="365"/>
  <c r="J41" i="365" s="1"/>
  <c r="E41" i="365" s="1"/>
  <c r="D41" i="365" s="1"/>
  <c r="O44" i="375"/>
  <c r="N44" i="375" s="1"/>
  <c r="M44" i="375" s="1"/>
  <c r="P45" i="375"/>
  <c r="H44" i="375"/>
  <c r="G44" i="375" s="1"/>
  <c r="F44" i="375" s="1"/>
  <c r="O118" i="347"/>
  <c r="M118" i="347" s="1"/>
  <c r="H118" i="347" s="1"/>
  <c r="G118" i="347" s="1"/>
  <c r="L41" i="216"/>
  <c r="J41" i="216" s="1"/>
  <c r="E41" i="216" s="1"/>
  <c r="D41" i="216" s="1"/>
  <c r="O44" i="377"/>
  <c r="N44" i="377" s="1"/>
  <c r="M44" i="377" s="1"/>
  <c r="H44" i="377"/>
  <c r="G44" i="377" s="1"/>
  <c r="F44" i="377" s="1"/>
  <c r="P45" i="377"/>
  <c r="L41" i="140"/>
  <c r="J41" i="140" s="1"/>
  <c r="E41" i="140" s="1"/>
  <c r="D41" i="140" s="1"/>
  <c r="L38" i="126"/>
  <c r="H44" i="140"/>
  <c r="G44" i="140" s="1"/>
  <c r="F44" i="140" s="1"/>
  <c r="P45" i="140"/>
  <c r="O44" i="140"/>
  <c r="N44" i="140" s="1"/>
  <c r="M44" i="140" s="1"/>
  <c r="L42" i="140" s="1"/>
  <c r="J42" i="140" s="1"/>
  <c r="E42" i="140" s="1"/>
  <c r="D42" i="140" s="1"/>
  <c r="T52" i="205"/>
  <c r="S52" i="205" s="1"/>
  <c r="R52" i="205" s="1"/>
  <c r="AB53" i="205"/>
  <c r="AA52" i="205"/>
  <c r="Z52" i="205" s="1"/>
  <c r="Y52" i="205" s="1"/>
  <c r="L41" i="209"/>
  <c r="J41" i="209" s="1"/>
  <c r="E41" i="209" s="1"/>
  <c r="D41" i="209" s="1"/>
  <c r="C38" i="209" s="1"/>
  <c r="H44" i="200"/>
  <c r="G44" i="200" s="1"/>
  <c r="F44" i="200" s="1"/>
  <c r="O44" i="200"/>
  <c r="N44" i="200" s="1"/>
  <c r="M44" i="200" s="1"/>
  <c r="L42" i="200" s="1"/>
  <c r="J42" i="200" s="1"/>
  <c r="E42" i="200" s="1"/>
  <c r="D42" i="200" s="1"/>
  <c r="C40" i="200" s="1"/>
  <c r="P45" i="200"/>
  <c r="K122" i="347"/>
  <c r="J122" i="347" s="1"/>
  <c r="I122" i="347" s="1"/>
  <c r="S123" i="347"/>
  <c r="R122" i="347"/>
  <c r="Q122" i="347" s="1"/>
  <c r="P122" i="347" s="1"/>
  <c r="C33" i="126"/>
  <c r="AF33" i="96" s="1"/>
  <c r="H44" i="216"/>
  <c r="G44" i="216" s="1"/>
  <c r="F44" i="216" s="1"/>
  <c r="P45" i="216"/>
  <c r="O44" i="216"/>
  <c r="N44" i="216" s="1"/>
  <c r="M44" i="216" s="1"/>
  <c r="X49" i="205"/>
  <c r="P42" i="126"/>
  <c r="O41" i="126"/>
  <c r="N41" i="126" s="1"/>
  <c r="M41" i="126" s="1"/>
  <c r="H41" i="126"/>
  <c r="G41" i="126" s="1"/>
  <c r="F41" i="126" s="1"/>
  <c r="H44" i="209"/>
  <c r="G44" i="209" s="1"/>
  <c r="F44" i="209" s="1"/>
  <c r="P45" i="209"/>
  <c r="O44" i="209"/>
  <c r="N44" i="209" s="1"/>
  <c r="M44" i="209" s="1"/>
  <c r="N55" i="20"/>
  <c r="M55" i="20" s="1"/>
  <c r="L55" i="20" s="1"/>
  <c r="U55" i="20"/>
  <c r="T55" i="20" s="1"/>
  <c r="S55" i="20" s="1"/>
  <c r="V56" i="20"/>
  <c r="AD35" i="96"/>
  <c r="BP35" i="413"/>
  <c r="L41" i="221"/>
  <c r="J41" i="221" s="1"/>
  <c r="E41" i="221" s="1"/>
  <c r="D41" i="221" s="1"/>
  <c r="R52" i="20"/>
  <c r="P52" i="20" s="1"/>
  <c r="K52" i="20" s="1"/>
  <c r="J52" i="20" s="1"/>
  <c r="L42" i="130"/>
  <c r="J42" i="130" s="1"/>
  <c r="E42" i="130" s="1"/>
  <c r="D42" i="130" s="1"/>
  <c r="C37" i="134"/>
  <c r="AV37" i="134" s="1"/>
  <c r="H44" i="130"/>
  <c r="G44" i="130" s="1"/>
  <c r="F44" i="130" s="1"/>
  <c r="O44" i="130"/>
  <c r="N44" i="130" s="1"/>
  <c r="M44" i="130" s="1"/>
  <c r="P45" i="130"/>
  <c r="H44" i="221"/>
  <c r="G44" i="221" s="1"/>
  <c r="F44" i="221" s="1"/>
  <c r="O44" i="221"/>
  <c r="N44" i="221" s="1"/>
  <c r="M44" i="221" s="1"/>
  <c r="P45" i="221"/>
  <c r="P45" i="224"/>
  <c r="H44" i="224"/>
  <c r="G44" i="224" s="1"/>
  <c r="F44" i="224" s="1"/>
  <c r="O44" i="224"/>
  <c r="N44" i="224" s="1"/>
  <c r="M44" i="224" s="1"/>
  <c r="P45" i="370"/>
  <c r="O44" i="370"/>
  <c r="N44" i="370" s="1"/>
  <c r="M44" i="370" s="1"/>
  <c r="H44" i="370"/>
  <c r="G44" i="370" s="1"/>
  <c r="F44" i="370" s="1"/>
  <c r="H44" i="325"/>
  <c r="G44" i="325" s="1"/>
  <c r="F44" i="325" s="1"/>
  <c r="O44" i="325"/>
  <c r="N44" i="325" s="1"/>
  <c r="M44" i="325" s="1"/>
  <c r="L42" i="325" s="1"/>
  <c r="J42" i="325" s="1"/>
  <c r="E42" i="325" s="1"/>
  <c r="D42" i="325" s="1"/>
  <c r="P45" i="325"/>
  <c r="C37" i="377"/>
  <c r="L41" i="375"/>
  <c r="J41" i="375" s="1"/>
  <c r="E41" i="375" s="1"/>
  <c r="D41" i="375" s="1"/>
  <c r="C38" i="375" s="1"/>
  <c r="L41" i="218"/>
  <c r="J41" i="218" s="1"/>
  <c r="E41" i="218" s="1"/>
  <c r="D41" i="218" s="1"/>
  <c r="C37" i="140"/>
  <c r="L41" i="134"/>
  <c r="J41" i="134" s="1"/>
  <c r="E41" i="134" s="1"/>
  <c r="D41" i="134" s="1"/>
  <c r="C34" i="126"/>
  <c r="AF34" i="96" s="1"/>
  <c r="C38" i="140"/>
  <c r="L41" i="325"/>
  <c r="J41" i="325" s="1"/>
  <c r="E41" i="325" s="1"/>
  <c r="D41" i="325" s="1"/>
  <c r="L41" i="226"/>
  <c r="J41" i="226" s="1"/>
  <c r="E41" i="226" s="1"/>
  <c r="D41" i="226" s="1"/>
  <c r="L42" i="375"/>
  <c r="J42" i="375" s="1"/>
  <c r="E42" i="375" s="1"/>
  <c r="D42" i="375" s="1"/>
  <c r="L41" i="130"/>
  <c r="J41" i="130" s="1"/>
  <c r="E41" i="130" s="1"/>
  <c r="D41" i="130" s="1"/>
  <c r="C38" i="130" s="1"/>
  <c r="P45" i="218"/>
  <c r="O44" i="218"/>
  <c r="N44" i="218" s="1"/>
  <c r="M44" i="218" s="1"/>
  <c r="H44" i="218"/>
  <c r="G44" i="218" s="1"/>
  <c r="F44" i="218" s="1"/>
  <c r="L39" i="126"/>
  <c r="H44" i="373"/>
  <c r="G44" i="373" s="1"/>
  <c r="F44" i="373" s="1"/>
  <c r="O44" i="373"/>
  <c r="N44" i="373" s="1"/>
  <c r="M44" i="373" s="1"/>
  <c r="L42" i="373" s="1"/>
  <c r="J42" i="373" s="1"/>
  <c r="E42" i="373" s="1"/>
  <c r="D42" i="373" s="1"/>
  <c r="P45" i="373"/>
  <c r="H44" i="134"/>
  <c r="G44" i="134" s="1"/>
  <c r="F44" i="134" s="1"/>
  <c r="P45" i="134"/>
  <c r="O44" i="134"/>
  <c r="N44" i="134" s="1"/>
  <c r="M44" i="134" s="1"/>
  <c r="D116" i="347"/>
  <c r="H44" i="226"/>
  <c r="G44" i="226" s="1"/>
  <c r="F44" i="226" s="1"/>
  <c r="P45" i="226"/>
  <c r="O44" i="226"/>
  <c r="N44" i="226" s="1"/>
  <c r="M44" i="226" s="1"/>
  <c r="Q44" i="413"/>
  <c r="P44" i="413" s="1"/>
  <c r="O44" i="413" s="1"/>
  <c r="J44" i="413"/>
  <c r="I44" i="413" s="1"/>
  <c r="H44" i="413" s="1"/>
  <c r="G39" i="413"/>
  <c r="F39" i="413" s="1"/>
  <c r="E36" i="413" s="1"/>
  <c r="BP36" i="413" s="1"/>
  <c r="L40" i="413"/>
  <c r="N41" i="413"/>
  <c r="R45" i="413"/>
  <c r="J39" i="126" l="1"/>
  <c r="E39" i="126" s="1"/>
  <c r="D39" i="126" s="1"/>
  <c r="M95" i="117"/>
  <c r="H45" i="370"/>
  <c r="G45" i="370" s="1"/>
  <c r="F45" i="370" s="1"/>
  <c r="P46" i="370"/>
  <c r="O45" i="370"/>
  <c r="N45" i="370" s="1"/>
  <c r="M45" i="370" s="1"/>
  <c r="C39" i="130"/>
  <c r="H45" i="209"/>
  <c r="G45" i="209" s="1"/>
  <c r="F45" i="209" s="1"/>
  <c r="O45" i="209"/>
  <c r="N45" i="209" s="1"/>
  <c r="M45" i="209" s="1"/>
  <c r="P46" i="209"/>
  <c r="E49" i="205"/>
  <c r="V49" i="205"/>
  <c r="P49" i="205" s="1"/>
  <c r="Q49" i="205" s="1"/>
  <c r="O49" i="205" s="1"/>
  <c r="K123" i="347"/>
  <c r="J123" i="347" s="1"/>
  <c r="I123" i="347" s="1"/>
  <c r="S124" i="347"/>
  <c r="R123" i="347"/>
  <c r="Q123" i="347" s="1"/>
  <c r="P123" i="347" s="1"/>
  <c r="J38" i="126"/>
  <c r="E38" i="126" s="1"/>
  <c r="D38" i="126" s="1"/>
  <c r="M94" i="117"/>
  <c r="L42" i="134"/>
  <c r="J42" i="134" s="1"/>
  <c r="E42" i="134" s="1"/>
  <c r="D42" i="134" s="1"/>
  <c r="C38" i="134"/>
  <c r="AV38" i="134" s="1"/>
  <c r="L42" i="224"/>
  <c r="J42" i="224" s="1"/>
  <c r="E42" i="224" s="1"/>
  <c r="D42" i="224" s="1"/>
  <c r="C38" i="221"/>
  <c r="T53" i="205"/>
  <c r="S53" i="205" s="1"/>
  <c r="R53" i="205" s="1"/>
  <c r="AA53" i="205"/>
  <c r="Z53" i="205" s="1"/>
  <c r="Y53" i="205" s="1"/>
  <c r="AB54" i="205"/>
  <c r="C38" i="216"/>
  <c r="L42" i="218"/>
  <c r="J42" i="218" s="1"/>
  <c r="E42" i="218" s="1"/>
  <c r="D42" i="218" s="1"/>
  <c r="C39" i="325"/>
  <c r="C38" i="325"/>
  <c r="I50" i="20"/>
  <c r="L42" i="216"/>
  <c r="J42" i="216" s="1"/>
  <c r="E42" i="216" s="1"/>
  <c r="D42" i="216" s="1"/>
  <c r="H45" i="200"/>
  <c r="G45" i="200" s="1"/>
  <c r="F45" i="200" s="1"/>
  <c r="O45" i="200"/>
  <c r="N45" i="200" s="1"/>
  <c r="M45" i="200" s="1"/>
  <c r="P46" i="200"/>
  <c r="P46" i="226"/>
  <c r="H45" i="226"/>
  <c r="G45" i="226" s="1"/>
  <c r="F45" i="226" s="1"/>
  <c r="O45" i="226"/>
  <c r="N45" i="226" s="1"/>
  <c r="M45" i="226" s="1"/>
  <c r="O45" i="218"/>
  <c r="N45" i="218" s="1"/>
  <c r="M45" i="218" s="1"/>
  <c r="L43" i="218" s="1"/>
  <c r="J43" i="218" s="1"/>
  <c r="E43" i="218" s="1"/>
  <c r="D43" i="218" s="1"/>
  <c r="P46" i="218"/>
  <c r="H45" i="218"/>
  <c r="G45" i="218" s="1"/>
  <c r="F45" i="218" s="1"/>
  <c r="O45" i="224"/>
  <c r="N45" i="224" s="1"/>
  <c r="M45" i="224" s="1"/>
  <c r="H45" i="224"/>
  <c r="G45" i="224" s="1"/>
  <c r="F45" i="224" s="1"/>
  <c r="P46" i="224"/>
  <c r="H45" i="216"/>
  <c r="G45" i="216" s="1"/>
  <c r="F45" i="216" s="1"/>
  <c r="O45" i="216"/>
  <c r="N45" i="216" s="1"/>
  <c r="M45" i="216" s="1"/>
  <c r="P46" i="216"/>
  <c r="F116" i="347"/>
  <c r="H45" i="365"/>
  <c r="G45" i="365" s="1"/>
  <c r="F45" i="365" s="1"/>
  <c r="O45" i="365"/>
  <c r="N45" i="365" s="1"/>
  <c r="M45" i="365" s="1"/>
  <c r="P46" i="365"/>
  <c r="P46" i="130"/>
  <c r="O45" i="130"/>
  <c r="N45" i="130" s="1"/>
  <c r="M45" i="130" s="1"/>
  <c r="H45" i="130"/>
  <c r="G45" i="130" s="1"/>
  <c r="F45" i="130" s="1"/>
  <c r="N56" i="20"/>
  <c r="M56" i="20" s="1"/>
  <c r="L56" i="20" s="1"/>
  <c r="V57" i="20"/>
  <c r="U56" i="20"/>
  <c r="T56" i="20" s="1"/>
  <c r="S56" i="20" s="1"/>
  <c r="O42" i="126"/>
  <c r="N42" i="126" s="1"/>
  <c r="M42" i="126" s="1"/>
  <c r="H42" i="126"/>
  <c r="G42" i="126" s="1"/>
  <c r="F42" i="126" s="1"/>
  <c r="P43" i="126"/>
  <c r="H45" i="140"/>
  <c r="G45" i="140" s="1"/>
  <c r="F45" i="140" s="1"/>
  <c r="O45" i="140"/>
  <c r="N45" i="140" s="1"/>
  <c r="M45" i="140" s="1"/>
  <c r="P46" i="140"/>
  <c r="H45" i="377"/>
  <c r="G45" i="377" s="1"/>
  <c r="F45" i="377" s="1"/>
  <c r="P46" i="377"/>
  <c r="O45" i="377"/>
  <c r="N45" i="377" s="1"/>
  <c r="M45" i="377" s="1"/>
  <c r="H45" i="325"/>
  <c r="G45" i="325" s="1"/>
  <c r="F45" i="325" s="1"/>
  <c r="O45" i="325"/>
  <c r="N45" i="325" s="1"/>
  <c r="M45" i="325" s="1"/>
  <c r="P46" i="325"/>
  <c r="H45" i="373"/>
  <c r="G45" i="373" s="1"/>
  <c r="F45" i="373" s="1"/>
  <c r="O45" i="373"/>
  <c r="N45" i="373" s="1"/>
  <c r="M45" i="373" s="1"/>
  <c r="P46" i="373"/>
  <c r="C39" i="375"/>
  <c r="H45" i="221"/>
  <c r="G45" i="221" s="1"/>
  <c r="F45" i="221" s="1"/>
  <c r="P46" i="221"/>
  <c r="O45" i="221"/>
  <c r="N45" i="221" s="1"/>
  <c r="M45" i="221" s="1"/>
  <c r="R53" i="20"/>
  <c r="P53" i="20" s="1"/>
  <c r="K53" i="20" s="1"/>
  <c r="J53" i="20" s="1"/>
  <c r="X51" i="205"/>
  <c r="P46" i="375"/>
  <c r="O45" i="375"/>
  <c r="N45" i="375" s="1"/>
  <c r="M45" i="375" s="1"/>
  <c r="H45" i="375"/>
  <c r="G45" i="375" s="1"/>
  <c r="F45" i="375" s="1"/>
  <c r="C39" i="140"/>
  <c r="L42" i="365"/>
  <c r="J42" i="365" s="1"/>
  <c r="E42" i="365" s="1"/>
  <c r="D42" i="365" s="1"/>
  <c r="L42" i="226"/>
  <c r="J42" i="226" s="1"/>
  <c r="E42" i="226" s="1"/>
  <c r="D42" i="226" s="1"/>
  <c r="L43" i="226"/>
  <c r="J43" i="226" s="1"/>
  <c r="E43" i="226" s="1"/>
  <c r="D43" i="226" s="1"/>
  <c r="H45" i="134"/>
  <c r="G45" i="134" s="1"/>
  <c r="F45" i="134" s="1"/>
  <c r="P46" i="134"/>
  <c r="O45" i="134"/>
  <c r="N45" i="134" s="1"/>
  <c r="M45" i="134" s="1"/>
  <c r="C39" i="373"/>
  <c r="L42" i="221"/>
  <c r="J42" i="221" s="1"/>
  <c r="E42" i="221" s="1"/>
  <c r="D42" i="221" s="1"/>
  <c r="X50" i="205"/>
  <c r="L40" i="126"/>
  <c r="L42" i="377"/>
  <c r="J42" i="377" s="1"/>
  <c r="E42" i="377" s="1"/>
  <c r="D42" i="377" s="1"/>
  <c r="C38" i="226"/>
  <c r="C38" i="218"/>
  <c r="L42" i="370"/>
  <c r="J42" i="370" s="1"/>
  <c r="E42" i="370" s="1"/>
  <c r="D42" i="370" s="1"/>
  <c r="L42" i="209"/>
  <c r="J42" i="209" s="1"/>
  <c r="E42" i="209" s="1"/>
  <c r="D42" i="209" s="1"/>
  <c r="O119" i="347"/>
  <c r="M119" i="347" s="1"/>
  <c r="H119" i="347" s="1"/>
  <c r="G119" i="347" s="1"/>
  <c r="C39" i="134"/>
  <c r="AV39" i="134" s="1"/>
  <c r="C38" i="365"/>
  <c r="H45" i="214"/>
  <c r="G45" i="214" s="1"/>
  <c r="F45" i="214" s="1"/>
  <c r="O45" i="214"/>
  <c r="N45" i="214" s="1"/>
  <c r="M45" i="214" s="1"/>
  <c r="P46" i="214"/>
  <c r="D117" i="347"/>
  <c r="Q45" i="413"/>
  <c r="P45" i="413" s="1"/>
  <c r="O45" i="413" s="1"/>
  <c r="J45" i="413"/>
  <c r="I45" i="413" s="1"/>
  <c r="H45" i="413" s="1"/>
  <c r="G40" i="413"/>
  <c r="F40" i="413" s="1"/>
  <c r="E37" i="413" s="1"/>
  <c r="BP37" i="413" s="1"/>
  <c r="L41" i="413"/>
  <c r="N44" i="413"/>
  <c r="N42" i="413"/>
  <c r="R46" i="413"/>
  <c r="N14" i="413"/>
  <c r="M70" i="117" s="1"/>
  <c r="C40" i="218" l="1"/>
  <c r="C39" i="370"/>
  <c r="C39" i="226"/>
  <c r="H46" i="373"/>
  <c r="G46" i="373" s="1"/>
  <c r="F46" i="373" s="1"/>
  <c r="O46" i="373"/>
  <c r="N46" i="373" s="1"/>
  <c r="M46" i="373" s="1"/>
  <c r="P47" i="373"/>
  <c r="O46" i="377"/>
  <c r="N46" i="377" s="1"/>
  <c r="M46" i="377" s="1"/>
  <c r="H46" i="377"/>
  <c r="G46" i="377" s="1"/>
  <c r="F46" i="377" s="1"/>
  <c r="P47" i="377"/>
  <c r="R54" i="20"/>
  <c r="P54" i="20" s="1"/>
  <c r="K54" i="20" s="1"/>
  <c r="J54" i="20" s="1"/>
  <c r="I52" i="20" s="1"/>
  <c r="H46" i="365"/>
  <c r="G46" i="365" s="1"/>
  <c r="F46" i="365" s="1"/>
  <c r="O46" i="365"/>
  <c r="N46" i="365" s="1"/>
  <c r="M46" i="365" s="1"/>
  <c r="P47" i="365"/>
  <c r="P47" i="218"/>
  <c r="O46" i="218"/>
  <c r="N46" i="218" s="1"/>
  <c r="M46" i="218" s="1"/>
  <c r="H46" i="218"/>
  <c r="G46" i="218" s="1"/>
  <c r="F46" i="218" s="1"/>
  <c r="C35" i="126"/>
  <c r="AF35" i="96" s="1"/>
  <c r="C36" i="126"/>
  <c r="Y36" i="126" s="1"/>
  <c r="AC92" i="117" s="1"/>
  <c r="C39" i="216"/>
  <c r="H46" i="214"/>
  <c r="G46" i="214" s="1"/>
  <c r="F46" i="214" s="1"/>
  <c r="P47" i="214"/>
  <c r="O46" i="214"/>
  <c r="N46" i="214" s="1"/>
  <c r="M46" i="214" s="1"/>
  <c r="C40" i="226"/>
  <c r="H46" i="140"/>
  <c r="G46" i="140" s="1"/>
  <c r="F46" i="140" s="1"/>
  <c r="O46" i="140"/>
  <c r="N46" i="140" s="1"/>
  <c r="M46" i="140" s="1"/>
  <c r="P47" i="140"/>
  <c r="L43" i="216"/>
  <c r="J43" i="216" s="1"/>
  <c r="E43" i="216" s="1"/>
  <c r="D43" i="216" s="1"/>
  <c r="O120" i="347"/>
  <c r="M120" i="347" s="1"/>
  <c r="H120" i="347" s="1"/>
  <c r="G120" i="347" s="1"/>
  <c r="L43" i="365"/>
  <c r="J43" i="365" s="1"/>
  <c r="E43" i="365" s="1"/>
  <c r="D43" i="365" s="1"/>
  <c r="L43" i="214"/>
  <c r="J43" i="214" s="1"/>
  <c r="E43" i="214" s="1"/>
  <c r="D43" i="214" s="1"/>
  <c r="J40" i="126"/>
  <c r="E40" i="126" s="1"/>
  <c r="D40" i="126" s="1"/>
  <c r="C37" i="126" s="1"/>
  <c r="Y37" i="126" s="1"/>
  <c r="AC93" i="117" s="1"/>
  <c r="M96" i="117"/>
  <c r="H46" i="325"/>
  <c r="G46" i="325" s="1"/>
  <c r="F46" i="325" s="1"/>
  <c r="P47" i="325"/>
  <c r="O46" i="325"/>
  <c r="N46" i="325" s="1"/>
  <c r="M46" i="325" s="1"/>
  <c r="L43" i="140"/>
  <c r="J43" i="140" s="1"/>
  <c r="E43" i="140" s="1"/>
  <c r="D43" i="140" s="1"/>
  <c r="L44" i="140"/>
  <c r="J44" i="140" s="1"/>
  <c r="E44" i="140" s="1"/>
  <c r="D44" i="140" s="1"/>
  <c r="F117" i="347"/>
  <c r="T54" i="205"/>
  <c r="S54" i="205" s="1"/>
  <c r="R54" i="205" s="1"/>
  <c r="AA54" i="205"/>
  <c r="Z54" i="205" s="1"/>
  <c r="Y54" i="205" s="1"/>
  <c r="AB55" i="205"/>
  <c r="K124" i="347"/>
  <c r="J124" i="347" s="1"/>
  <c r="I124" i="347" s="1"/>
  <c r="S125" i="347"/>
  <c r="R124" i="347"/>
  <c r="Q124" i="347" s="1"/>
  <c r="P124" i="347" s="1"/>
  <c r="C39" i="365"/>
  <c r="H46" i="221"/>
  <c r="G46" i="221" s="1"/>
  <c r="F46" i="221" s="1"/>
  <c r="O46" i="221"/>
  <c r="N46" i="221" s="1"/>
  <c r="M46" i="221" s="1"/>
  <c r="P47" i="221"/>
  <c r="L43" i="325"/>
  <c r="J43" i="325" s="1"/>
  <c r="E43" i="325" s="1"/>
  <c r="D43" i="325" s="1"/>
  <c r="L43" i="130"/>
  <c r="J43" i="130" s="1"/>
  <c r="E43" i="130" s="1"/>
  <c r="D43" i="130" s="1"/>
  <c r="F118" i="347"/>
  <c r="O46" i="224"/>
  <c r="N46" i="224" s="1"/>
  <c r="M46" i="224" s="1"/>
  <c r="P47" i="224"/>
  <c r="H46" i="224"/>
  <c r="G46" i="224" s="1"/>
  <c r="F46" i="224" s="1"/>
  <c r="O46" i="226"/>
  <c r="N46" i="226" s="1"/>
  <c r="M46" i="226" s="1"/>
  <c r="H46" i="226"/>
  <c r="G46" i="226" s="1"/>
  <c r="F46" i="226" s="1"/>
  <c r="P47" i="226"/>
  <c r="I51" i="20"/>
  <c r="L43" i="370"/>
  <c r="J43" i="370" s="1"/>
  <c r="E43" i="370" s="1"/>
  <c r="D43" i="370" s="1"/>
  <c r="L43" i="221"/>
  <c r="J43" i="221" s="1"/>
  <c r="E43" i="221" s="1"/>
  <c r="D43" i="221" s="1"/>
  <c r="L43" i="373"/>
  <c r="J43" i="373" s="1"/>
  <c r="E43" i="373" s="1"/>
  <c r="D43" i="373" s="1"/>
  <c r="C39" i="224"/>
  <c r="E50" i="205"/>
  <c r="V50" i="205"/>
  <c r="P50" i="205" s="1"/>
  <c r="Q50" i="205" s="1"/>
  <c r="O50" i="205" s="1"/>
  <c r="C40" i="365"/>
  <c r="C39" i="209"/>
  <c r="H46" i="134"/>
  <c r="G46" i="134" s="1"/>
  <c r="F46" i="134" s="1"/>
  <c r="P47" i="134"/>
  <c r="O46" i="134"/>
  <c r="N46" i="134" s="1"/>
  <c r="M46" i="134" s="1"/>
  <c r="P47" i="375"/>
  <c r="O46" i="375"/>
  <c r="N46" i="375" s="1"/>
  <c r="M46" i="375" s="1"/>
  <c r="H46" i="375"/>
  <c r="G46" i="375" s="1"/>
  <c r="F46" i="375" s="1"/>
  <c r="P44" i="126"/>
  <c r="O43" i="126"/>
  <c r="N43" i="126" s="1"/>
  <c r="M43" i="126" s="1"/>
  <c r="L41" i="126" s="1"/>
  <c r="H43" i="126"/>
  <c r="G43" i="126" s="1"/>
  <c r="F43" i="126" s="1"/>
  <c r="P47" i="130"/>
  <c r="H46" i="130"/>
  <c r="G46" i="130" s="1"/>
  <c r="F46" i="130" s="1"/>
  <c r="O46" i="130"/>
  <c r="N46" i="130" s="1"/>
  <c r="M46" i="130" s="1"/>
  <c r="L44" i="130" s="1"/>
  <c r="J44" i="130" s="1"/>
  <c r="E44" i="130" s="1"/>
  <c r="D44" i="130" s="1"/>
  <c r="L44" i="134"/>
  <c r="J44" i="134" s="1"/>
  <c r="E44" i="134" s="1"/>
  <c r="D44" i="134" s="1"/>
  <c r="O46" i="370"/>
  <c r="N46" i="370" s="1"/>
  <c r="M46" i="370" s="1"/>
  <c r="P47" i="370"/>
  <c r="H46" i="370"/>
  <c r="G46" i="370" s="1"/>
  <c r="F46" i="370" s="1"/>
  <c r="C39" i="377"/>
  <c r="N57" i="20"/>
  <c r="M57" i="20" s="1"/>
  <c r="L57" i="20" s="1"/>
  <c r="U57" i="20"/>
  <c r="T57" i="20" s="1"/>
  <c r="S57" i="20" s="1"/>
  <c r="R55" i="20" s="1"/>
  <c r="P55" i="20" s="1"/>
  <c r="K55" i="20" s="1"/>
  <c r="J55" i="20" s="1"/>
  <c r="V58" i="20"/>
  <c r="H46" i="216"/>
  <c r="G46" i="216" s="1"/>
  <c r="F46" i="216" s="1"/>
  <c r="P47" i="216"/>
  <c r="O46" i="216"/>
  <c r="N46" i="216" s="1"/>
  <c r="M46" i="216" s="1"/>
  <c r="L43" i="375"/>
  <c r="J43" i="375" s="1"/>
  <c r="E43" i="375" s="1"/>
  <c r="D43" i="375" s="1"/>
  <c r="L43" i="209"/>
  <c r="J43" i="209" s="1"/>
  <c r="E43" i="209" s="1"/>
  <c r="D43" i="209" s="1"/>
  <c r="L43" i="224"/>
  <c r="J43" i="224" s="1"/>
  <c r="E43" i="224" s="1"/>
  <c r="D43" i="224" s="1"/>
  <c r="H46" i="200"/>
  <c r="G46" i="200" s="1"/>
  <c r="F46" i="200" s="1"/>
  <c r="O46" i="200"/>
  <c r="N46" i="200" s="1"/>
  <c r="M46" i="200" s="1"/>
  <c r="P47" i="200"/>
  <c r="E51" i="205"/>
  <c r="V51" i="205"/>
  <c r="P51" i="205" s="1"/>
  <c r="Q51" i="205" s="1"/>
  <c r="O51" i="205" s="1"/>
  <c r="L43" i="377"/>
  <c r="J43" i="377" s="1"/>
  <c r="E43" i="377" s="1"/>
  <c r="D43" i="377" s="1"/>
  <c r="L43" i="200"/>
  <c r="J43" i="200" s="1"/>
  <c r="E43" i="200" s="1"/>
  <c r="D43" i="200" s="1"/>
  <c r="C41" i="200" s="1"/>
  <c r="L43" i="134"/>
  <c r="J43" i="134" s="1"/>
  <c r="E43" i="134" s="1"/>
  <c r="D43" i="134" s="1"/>
  <c r="C39" i="218"/>
  <c r="H46" i="209"/>
  <c r="G46" i="209" s="1"/>
  <c r="F46" i="209" s="1"/>
  <c r="O46" i="209"/>
  <c r="N46" i="209" s="1"/>
  <c r="M46" i="209" s="1"/>
  <c r="P47" i="209"/>
  <c r="C39" i="221"/>
  <c r="G41" i="413"/>
  <c r="F41" i="413" s="1"/>
  <c r="E38" i="413" s="1"/>
  <c r="BP38" i="413" s="1"/>
  <c r="Q46" i="413"/>
  <c r="P46" i="413" s="1"/>
  <c r="O46" i="413" s="1"/>
  <c r="J46" i="413"/>
  <c r="I46" i="413" s="1"/>
  <c r="H46" i="413" s="1"/>
  <c r="L44" i="413"/>
  <c r="L14" i="413"/>
  <c r="G14" i="413" s="1"/>
  <c r="F14" i="413" s="1"/>
  <c r="L42" i="413"/>
  <c r="N45" i="413"/>
  <c r="N43" i="413"/>
  <c r="R47" i="413"/>
  <c r="N15" i="413"/>
  <c r="N13" i="413"/>
  <c r="N17" i="413"/>
  <c r="M73" i="117" s="1"/>
  <c r="N16" i="413"/>
  <c r="C40" i="134" l="1"/>
  <c r="AV40" i="134" s="1"/>
  <c r="H47" i="200"/>
  <c r="G47" i="200" s="1"/>
  <c r="F47" i="200" s="1"/>
  <c r="O47" i="200"/>
  <c r="N47" i="200" s="1"/>
  <c r="M47" i="200" s="1"/>
  <c r="P48" i="200"/>
  <c r="C40" i="209"/>
  <c r="N58" i="20"/>
  <c r="M58" i="20" s="1"/>
  <c r="L58" i="20" s="1"/>
  <c r="U58" i="20"/>
  <c r="T58" i="20" s="1"/>
  <c r="S58" i="20" s="1"/>
  <c r="R56" i="20" s="1"/>
  <c r="P56" i="20" s="1"/>
  <c r="K56" i="20" s="1"/>
  <c r="J56" i="20" s="1"/>
  <c r="I54" i="20" s="1"/>
  <c r="V59" i="20"/>
  <c r="O47" i="370"/>
  <c r="N47" i="370" s="1"/>
  <c r="M47" i="370" s="1"/>
  <c r="P48" i="370"/>
  <c r="H47" i="370"/>
  <c r="G47" i="370" s="1"/>
  <c r="F47" i="370" s="1"/>
  <c r="J41" i="126"/>
  <c r="E41" i="126" s="1"/>
  <c r="D41" i="126" s="1"/>
  <c r="C38" i="126" s="1"/>
  <c r="Y38" i="126" s="1"/>
  <c r="AC94" i="117" s="1"/>
  <c r="M97" i="117"/>
  <c r="C40" i="221"/>
  <c r="C41" i="140"/>
  <c r="L44" i="214"/>
  <c r="J44" i="214" s="1"/>
  <c r="E44" i="214" s="1"/>
  <c r="D44" i="214" s="1"/>
  <c r="L44" i="209"/>
  <c r="J44" i="209" s="1"/>
  <c r="E44" i="209" s="1"/>
  <c r="D44" i="209" s="1"/>
  <c r="L44" i="200"/>
  <c r="J44" i="200" s="1"/>
  <c r="E44" i="200" s="1"/>
  <c r="D44" i="200" s="1"/>
  <c r="L44" i="370"/>
  <c r="J44" i="370" s="1"/>
  <c r="E44" i="370" s="1"/>
  <c r="D44" i="370" s="1"/>
  <c r="O44" i="126"/>
  <c r="N44" i="126" s="1"/>
  <c r="M44" i="126" s="1"/>
  <c r="H44" i="126"/>
  <c r="G44" i="126" s="1"/>
  <c r="F44" i="126" s="1"/>
  <c r="P45" i="126"/>
  <c r="P48" i="226"/>
  <c r="O47" i="226"/>
  <c r="N47" i="226" s="1"/>
  <c r="M47" i="226" s="1"/>
  <c r="H47" i="226"/>
  <c r="G47" i="226" s="1"/>
  <c r="F47" i="226" s="1"/>
  <c r="H47" i="221"/>
  <c r="G47" i="221" s="1"/>
  <c r="F47" i="221" s="1"/>
  <c r="O47" i="221"/>
  <c r="N47" i="221" s="1"/>
  <c r="M47" i="221" s="1"/>
  <c r="L45" i="221" s="1"/>
  <c r="J45" i="221" s="1"/>
  <c r="E45" i="221" s="1"/>
  <c r="D45" i="221" s="1"/>
  <c r="P48" i="221"/>
  <c r="K125" i="347"/>
  <c r="J125" i="347" s="1"/>
  <c r="I125" i="347" s="1"/>
  <c r="S126" i="347"/>
  <c r="R125" i="347"/>
  <c r="Q125" i="347" s="1"/>
  <c r="P125" i="347" s="1"/>
  <c r="O122" i="347" s="1"/>
  <c r="M122" i="347" s="1"/>
  <c r="H122" i="347" s="1"/>
  <c r="G122" i="347" s="1"/>
  <c r="C40" i="140"/>
  <c r="H47" i="214"/>
  <c r="G47" i="214" s="1"/>
  <c r="F47" i="214" s="1"/>
  <c r="O47" i="214"/>
  <c r="N47" i="214" s="1"/>
  <c r="M47" i="214" s="1"/>
  <c r="P48" i="214"/>
  <c r="I53" i="20"/>
  <c r="L44" i="221"/>
  <c r="J44" i="221" s="1"/>
  <c r="E44" i="221" s="1"/>
  <c r="D44" i="221" s="1"/>
  <c r="O121" i="347"/>
  <c r="M121" i="347" s="1"/>
  <c r="H121" i="347" s="1"/>
  <c r="G121" i="347" s="1"/>
  <c r="L44" i="218"/>
  <c r="J44" i="218" s="1"/>
  <c r="E44" i="218" s="1"/>
  <c r="D44" i="218" s="1"/>
  <c r="C40" i="224"/>
  <c r="L44" i="226"/>
  <c r="J44" i="226" s="1"/>
  <c r="E44" i="226" s="1"/>
  <c r="D44" i="226" s="1"/>
  <c r="L45" i="226"/>
  <c r="J45" i="226" s="1"/>
  <c r="E45" i="226" s="1"/>
  <c r="D45" i="226" s="1"/>
  <c r="T55" i="205"/>
  <c r="S55" i="205" s="1"/>
  <c r="R55" i="205" s="1"/>
  <c r="AB56" i="205"/>
  <c r="AA55" i="205"/>
  <c r="Z55" i="205" s="1"/>
  <c r="Y55" i="205" s="1"/>
  <c r="C40" i="214"/>
  <c r="C40" i="216"/>
  <c r="O47" i="218"/>
  <c r="N47" i="218" s="1"/>
  <c r="M47" i="218" s="1"/>
  <c r="H47" i="218"/>
  <c r="G47" i="218" s="1"/>
  <c r="F47" i="218" s="1"/>
  <c r="P48" i="218"/>
  <c r="P48" i="377"/>
  <c r="O47" i="377"/>
  <c r="N47" i="377" s="1"/>
  <c r="M47" i="377" s="1"/>
  <c r="H47" i="377"/>
  <c r="G47" i="377" s="1"/>
  <c r="F47" i="377" s="1"/>
  <c r="C40" i="370"/>
  <c r="C40" i="130"/>
  <c r="L44" i="375"/>
  <c r="J44" i="375" s="1"/>
  <c r="E44" i="375" s="1"/>
  <c r="D44" i="375" s="1"/>
  <c r="L44" i="325"/>
  <c r="J44" i="325" s="1"/>
  <c r="E44" i="325" s="1"/>
  <c r="D44" i="325" s="1"/>
  <c r="D118" i="347"/>
  <c r="H47" i="140"/>
  <c r="G47" i="140" s="1"/>
  <c r="F47" i="140" s="1"/>
  <c r="O47" i="140"/>
  <c r="N47" i="140" s="1"/>
  <c r="M47" i="140" s="1"/>
  <c r="P48" i="140"/>
  <c r="H47" i="365"/>
  <c r="G47" i="365" s="1"/>
  <c r="F47" i="365" s="1"/>
  <c r="O47" i="365"/>
  <c r="N47" i="365" s="1"/>
  <c r="M47" i="365" s="1"/>
  <c r="P48" i="365"/>
  <c r="H47" i="224"/>
  <c r="G47" i="224" s="1"/>
  <c r="F47" i="224" s="1"/>
  <c r="O47" i="224"/>
  <c r="N47" i="224" s="1"/>
  <c r="M47" i="224" s="1"/>
  <c r="P48" i="224"/>
  <c r="C41" i="325"/>
  <c r="C40" i="325"/>
  <c r="H47" i="325"/>
  <c r="G47" i="325" s="1"/>
  <c r="F47" i="325" s="1"/>
  <c r="O47" i="325"/>
  <c r="N47" i="325" s="1"/>
  <c r="M47" i="325" s="1"/>
  <c r="P48" i="325"/>
  <c r="L44" i="365"/>
  <c r="J44" i="365" s="1"/>
  <c r="E44" i="365" s="1"/>
  <c r="D44" i="365" s="1"/>
  <c r="L44" i="377"/>
  <c r="J44" i="377" s="1"/>
  <c r="E44" i="377" s="1"/>
  <c r="D44" i="377" s="1"/>
  <c r="C40" i="375"/>
  <c r="C41" i="130"/>
  <c r="P48" i="375"/>
  <c r="O47" i="375"/>
  <c r="N47" i="375" s="1"/>
  <c r="M47" i="375" s="1"/>
  <c r="H47" i="375"/>
  <c r="G47" i="375" s="1"/>
  <c r="F47" i="375" s="1"/>
  <c r="L44" i="216"/>
  <c r="J44" i="216" s="1"/>
  <c r="E44" i="216" s="1"/>
  <c r="D44" i="216" s="1"/>
  <c r="C40" i="377"/>
  <c r="H47" i="216"/>
  <c r="G47" i="216" s="1"/>
  <c r="F47" i="216" s="1"/>
  <c r="P48" i="216"/>
  <c r="O47" i="216"/>
  <c r="N47" i="216" s="1"/>
  <c r="M47" i="216" s="1"/>
  <c r="H47" i="130"/>
  <c r="G47" i="130" s="1"/>
  <c r="F47" i="130" s="1"/>
  <c r="O47" i="130"/>
  <c r="N47" i="130" s="1"/>
  <c r="M47" i="130" s="1"/>
  <c r="L45" i="130" s="1"/>
  <c r="J45" i="130" s="1"/>
  <c r="E45" i="130" s="1"/>
  <c r="D45" i="130" s="1"/>
  <c r="P48" i="130"/>
  <c r="H47" i="134"/>
  <c r="G47" i="134" s="1"/>
  <c r="F47" i="134" s="1"/>
  <c r="O47" i="134"/>
  <c r="N47" i="134" s="1"/>
  <c r="M47" i="134" s="1"/>
  <c r="P48" i="134"/>
  <c r="X52" i="205"/>
  <c r="L44" i="224"/>
  <c r="J44" i="224" s="1"/>
  <c r="E44" i="224" s="1"/>
  <c r="D44" i="224" s="1"/>
  <c r="F119" i="347"/>
  <c r="H47" i="373"/>
  <c r="G47" i="373" s="1"/>
  <c r="F47" i="373" s="1"/>
  <c r="O47" i="373"/>
  <c r="N47" i="373" s="1"/>
  <c r="M47" i="373" s="1"/>
  <c r="P48" i="373"/>
  <c r="C41" i="134"/>
  <c r="AV41" i="134" s="1"/>
  <c r="H47" i="209"/>
  <c r="G47" i="209" s="1"/>
  <c r="F47" i="209" s="1"/>
  <c r="P48" i="209"/>
  <c r="O47" i="209"/>
  <c r="N47" i="209" s="1"/>
  <c r="M47" i="209" s="1"/>
  <c r="C40" i="373"/>
  <c r="L44" i="373"/>
  <c r="J44" i="373" s="1"/>
  <c r="E44" i="373" s="1"/>
  <c r="D44" i="373" s="1"/>
  <c r="G44" i="413"/>
  <c r="F44" i="413" s="1"/>
  <c r="Q47" i="413"/>
  <c r="P47" i="413" s="1"/>
  <c r="O47" i="413" s="1"/>
  <c r="J47" i="413"/>
  <c r="I47" i="413" s="1"/>
  <c r="H47" i="413" s="1"/>
  <c r="G42" i="413"/>
  <c r="F42" i="413" s="1"/>
  <c r="E39" i="413" s="1"/>
  <c r="BP39" i="413" s="1"/>
  <c r="L13" i="413"/>
  <c r="G13" i="413" s="1"/>
  <c r="F13" i="413" s="1"/>
  <c r="E13" i="413" s="1"/>
  <c r="M69" i="117"/>
  <c r="L16" i="413"/>
  <c r="M72" i="117"/>
  <c r="L45" i="413"/>
  <c r="L15" i="413"/>
  <c r="M71" i="117"/>
  <c r="E14" i="413"/>
  <c r="L43" i="413"/>
  <c r="L17" i="413"/>
  <c r="R48" i="413"/>
  <c r="C42" i="130" l="1"/>
  <c r="C42" i="221"/>
  <c r="H48" i="134"/>
  <c r="G48" i="134" s="1"/>
  <c r="F48" i="134" s="1"/>
  <c r="O48" i="134"/>
  <c r="N48" i="134" s="1"/>
  <c r="M48" i="134" s="1"/>
  <c r="P49" i="134"/>
  <c r="H48" i="216"/>
  <c r="G48" i="216" s="1"/>
  <c r="F48" i="216" s="1"/>
  <c r="P49" i="216"/>
  <c r="O48" i="216"/>
  <c r="N48" i="216" s="1"/>
  <c r="M48" i="216" s="1"/>
  <c r="C41" i="377"/>
  <c r="H48" i="325"/>
  <c r="G48" i="325" s="1"/>
  <c r="F48" i="325" s="1"/>
  <c r="O48" i="325"/>
  <c r="N48" i="325" s="1"/>
  <c r="M48" i="325" s="1"/>
  <c r="L46" i="325" s="1"/>
  <c r="J46" i="325" s="1"/>
  <c r="E46" i="325" s="1"/>
  <c r="D46" i="325" s="1"/>
  <c r="P49" i="325"/>
  <c r="P49" i="218"/>
  <c r="O48" i="218"/>
  <c r="N48" i="218" s="1"/>
  <c r="M48" i="218" s="1"/>
  <c r="H48" i="218"/>
  <c r="G48" i="218" s="1"/>
  <c r="F48" i="218" s="1"/>
  <c r="D120" i="347"/>
  <c r="F120" i="347"/>
  <c r="L45" i="214"/>
  <c r="J45" i="214" s="1"/>
  <c r="E45" i="214" s="1"/>
  <c r="D45" i="214" s="1"/>
  <c r="L45" i="140"/>
  <c r="J45" i="140" s="1"/>
  <c r="E45" i="140" s="1"/>
  <c r="D45" i="140" s="1"/>
  <c r="X53" i="205"/>
  <c r="L42" i="126"/>
  <c r="L45" i="373"/>
  <c r="J45" i="373" s="1"/>
  <c r="E45" i="373" s="1"/>
  <c r="D45" i="373" s="1"/>
  <c r="L45" i="325"/>
  <c r="J45" i="325" s="1"/>
  <c r="E45" i="325" s="1"/>
  <c r="D45" i="325" s="1"/>
  <c r="L46" i="134"/>
  <c r="J46" i="134" s="1"/>
  <c r="E46" i="134" s="1"/>
  <c r="D46" i="134" s="1"/>
  <c r="L45" i="218"/>
  <c r="J45" i="218" s="1"/>
  <c r="E45" i="218" s="1"/>
  <c r="D45" i="218" s="1"/>
  <c r="L46" i="218"/>
  <c r="J46" i="218" s="1"/>
  <c r="E46" i="218" s="1"/>
  <c r="D46" i="218" s="1"/>
  <c r="T56" i="205"/>
  <c r="S56" i="205" s="1"/>
  <c r="R56" i="205" s="1"/>
  <c r="AB57" i="205"/>
  <c r="AA56" i="205"/>
  <c r="Z56" i="205" s="1"/>
  <c r="Y56" i="205" s="1"/>
  <c r="C41" i="370"/>
  <c r="C41" i="209"/>
  <c r="H48" i="200"/>
  <c r="G48" i="200" s="1"/>
  <c r="F48" i="200" s="1"/>
  <c r="O48" i="200"/>
  <c r="N48" i="200" s="1"/>
  <c r="M48" i="200" s="1"/>
  <c r="L46" i="200" s="1"/>
  <c r="J46" i="200" s="1"/>
  <c r="E46" i="200" s="1"/>
  <c r="D46" i="200" s="1"/>
  <c r="P49" i="200"/>
  <c r="H48" i="130"/>
  <c r="G48" i="130" s="1"/>
  <c r="F48" i="130" s="1"/>
  <c r="P49" i="130"/>
  <c r="O48" i="130"/>
  <c r="N48" i="130" s="1"/>
  <c r="M48" i="130" s="1"/>
  <c r="H48" i="224"/>
  <c r="G48" i="224" s="1"/>
  <c r="F48" i="224" s="1"/>
  <c r="P49" i="224"/>
  <c r="O48" i="224"/>
  <c r="N48" i="224" s="1"/>
  <c r="M48" i="224" s="1"/>
  <c r="L46" i="224" s="1"/>
  <c r="J46" i="224" s="1"/>
  <c r="E46" i="224" s="1"/>
  <c r="D46" i="224" s="1"/>
  <c r="H48" i="365"/>
  <c r="G48" i="365" s="1"/>
  <c r="F48" i="365" s="1"/>
  <c r="P49" i="365"/>
  <c r="O48" i="365"/>
  <c r="N48" i="365" s="1"/>
  <c r="M48" i="365" s="1"/>
  <c r="O48" i="370"/>
  <c r="N48" i="370" s="1"/>
  <c r="M48" i="370" s="1"/>
  <c r="H48" i="370"/>
  <c r="G48" i="370" s="1"/>
  <c r="F48" i="370" s="1"/>
  <c r="P49" i="370"/>
  <c r="L45" i="200"/>
  <c r="J45" i="200" s="1"/>
  <c r="E45" i="200" s="1"/>
  <c r="D45" i="200" s="1"/>
  <c r="C41" i="365"/>
  <c r="L45" i="375"/>
  <c r="J45" i="375" s="1"/>
  <c r="E45" i="375" s="1"/>
  <c r="D45" i="375" s="1"/>
  <c r="L45" i="224"/>
  <c r="J45" i="224" s="1"/>
  <c r="E45" i="224" s="1"/>
  <c r="D45" i="224" s="1"/>
  <c r="L45" i="365"/>
  <c r="J45" i="365" s="1"/>
  <c r="E45" i="365" s="1"/>
  <c r="D45" i="365" s="1"/>
  <c r="K126" i="347"/>
  <c r="J126" i="347" s="1"/>
  <c r="I126" i="347" s="1"/>
  <c r="S127" i="347"/>
  <c r="R126" i="347"/>
  <c r="Q126" i="347" s="1"/>
  <c r="P126" i="347" s="1"/>
  <c r="H48" i="226"/>
  <c r="G48" i="226" s="1"/>
  <c r="F48" i="226" s="1"/>
  <c r="P49" i="226"/>
  <c r="O48" i="226"/>
  <c r="N48" i="226" s="1"/>
  <c r="M48" i="226" s="1"/>
  <c r="C41" i="214"/>
  <c r="L45" i="370"/>
  <c r="J45" i="370" s="1"/>
  <c r="E45" i="370" s="1"/>
  <c r="D45" i="370" s="1"/>
  <c r="L45" i="134"/>
  <c r="J45" i="134" s="1"/>
  <c r="E45" i="134" s="1"/>
  <c r="D45" i="134" s="1"/>
  <c r="AD13" i="96"/>
  <c r="BP13" i="413"/>
  <c r="L45" i="209"/>
  <c r="J45" i="209" s="1"/>
  <c r="E45" i="209" s="1"/>
  <c r="D45" i="209" s="1"/>
  <c r="H48" i="209"/>
  <c r="G48" i="209" s="1"/>
  <c r="F48" i="209" s="1"/>
  <c r="O48" i="209"/>
  <c r="N48" i="209" s="1"/>
  <c r="M48" i="209" s="1"/>
  <c r="P49" i="209"/>
  <c r="C41" i="375"/>
  <c r="N59" i="20"/>
  <c r="M59" i="20" s="1"/>
  <c r="L59" i="20" s="1"/>
  <c r="V60" i="20"/>
  <c r="U59" i="20"/>
  <c r="T59" i="20" s="1"/>
  <c r="S59" i="20" s="1"/>
  <c r="C41" i="221"/>
  <c r="AD14" i="96"/>
  <c r="BP14" i="413"/>
  <c r="C41" i="224"/>
  <c r="C42" i="224"/>
  <c r="V52" i="205"/>
  <c r="P52" i="205" s="1"/>
  <c r="Q52" i="205" s="1"/>
  <c r="O52" i="205" s="1"/>
  <c r="E52" i="205"/>
  <c r="L45" i="216"/>
  <c r="J45" i="216" s="1"/>
  <c r="E45" i="216" s="1"/>
  <c r="D45" i="216" s="1"/>
  <c r="C41" i="216"/>
  <c r="L45" i="377"/>
  <c r="J45" i="377" s="1"/>
  <c r="E45" i="377" s="1"/>
  <c r="D45" i="377" s="1"/>
  <c r="C43" i="218"/>
  <c r="C41" i="218"/>
  <c r="H48" i="221"/>
  <c r="G48" i="221" s="1"/>
  <c r="F48" i="221" s="1"/>
  <c r="O48" i="221"/>
  <c r="N48" i="221" s="1"/>
  <c r="M48" i="221" s="1"/>
  <c r="P49" i="221"/>
  <c r="C41" i="373"/>
  <c r="H48" i="373"/>
  <c r="G48" i="373" s="1"/>
  <c r="F48" i="373" s="1"/>
  <c r="O48" i="373"/>
  <c r="N48" i="373" s="1"/>
  <c r="M48" i="373" s="1"/>
  <c r="P49" i="373"/>
  <c r="O48" i="375"/>
  <c r="N48" i="375" s="1"/>
  <c r="M48" i="375" s="1"/>
  <c r="L46" i="375" s="1"/>
  <c r="J46" i="375" s="1"/>
  <c r="E46" i="375" s="1"/>
  <c r="D46" i="375" s="1"/>
  <c r="H48" i="375"/>
  <c r="G48" i="375" s="1"/>
  <c r="F48" i="375" s="1"/>
  <c r="P49" i="375"/>
  <c r="D119" i="347"/>
  <c r="H48" i="140"/>
  <c r="G48" i="140" s="1"/>
  <c r="F48" i="140" s="1"/>
  <c r="O48" i="140"/>
  <c r="N48" i="140" s="1"/>
  <c r="M48" i="140" s="1"/>
  <c r="L46" i="140" s="1"/>
  <c r="J46" i="140" s="1"/>
  <c r="E46" i="140" s="1"/>
  <c r="D46" i="140" s="1"/>
  <c r="P49" i="140"/>
  <c r="P49" i="377"/>
  <c r="O48" i="377"/>
  <c r="N48" i="377" s="1"/>
  <c r="M48" i="377" s="1"/>
  <c r="H48" i="377"/>
  <c r="G48" i="377" s="1"/>
  <c r="F48" i="377" s="1"/>
  <c r="C42" i="214"/>
  <c r="C42" i="226"/>
  <c r="C41" i="226"/>
  <c r="H48" i="214"/>
  <c r="G48" i="214" s="1"/>
  <c r="F48" i="214" s="1"/>
  <c r="P49" i="214"/>
  <c r="O48" i="214"/>
  <c r="N48" i="214" s="1"/>
  <c r="M48" i="214" s="1"/>
  <c r="L46" i="214" s="1"/>
  <c r="J46" i="214" s="1"/>
  <c r="E46" i="214" s="1"/>
  <c r="D46" i="214" s="1"/>
  <c r="P46" i="126"/>
  <c r="O45" i="126"/>
  <c r="N45" i="126" s="1"/>
  <c r="M45" i="126" s="1"/>
  <c r="H45" i="126"/>
  <c r="G45" i="126" s="1"/>
  <c r="F45" i="126" s="1"/>
  <c r="C42" i="200"/>
  <c r="G15" i="413"/>
  <c r="F15" i="413" s="1"/>
  <c r="G45" i="413"/>
  <c r="F45" i="413" s="1"/>
  <c r="G43" i="413"/>
  <c r="F43" i="413" s="1"/>
  <c r="Q48" i="413"/>
  <c r="P48" i="413" s="1"/>
  <c r="O48" i="413" s="1"/>
  <c r="J48" i="413"/>
  <c r="I48" i="413" s="1"/>
  <c r="H48" i="413" s="1"/>
  <c r="G17" i="413"/>
  <c r="F17" i="413" s="1"/>
  <c r="E20" i="413" s="1"/>
  <c r="G16" i="413"/>
  <c r="F16" i="413" s="1"/>
  <c r="N47" i="413"/>
  <c r="L47" i="413" s="1"/>
  <c r="R49" i="413"/>
  <c r="L76" i="16"/>
  <c r="L16" i="16" s="1"/>
  <c r="Y16" i="16" s="1"/>
  <c r="Y76" i="16" s="1"/>
  <c r="B69" i="117" s="1"/>
  <c r="F69" i="117" s="1"/>
  <c r="AD13" i="221"/>
  <c r="C43" i="224" l="1"/>
  <c r="C43" i="375"/>
  <c r="C43" i="214"/>
  <c r="H49" i="373"/>
  <c r="G49" i="373" s="1"/>
  <c r="F49" i="373" s="1"/>
  <c r="E49" i="373" s="1"/>
  <c r="D49" i="373" s="1"/>
  <c r="O49" i="373"/>
  <c r="N49" i="373" s="1"/>
  <c r="M49" i="373" s="1"/>
  <c r="P50" i="373"/>
  <c r="H49" i="221"/>
  <c r="G49" i="221" s="1"/>
  <c r="F49" i="221" s="1"/>
  <c r="E49" i="221" s="1"/>
  <c r="D49" i="221" s="1"/>
  <c r="P50" i="221"/>
  <c r="O49" i="221"/>
  <c r="N49" i="221" s="1"/>
  <c r="M49" i="221" s="1"/>
  <c r="L47" i="221" s="1"/>
  <c r="J47" i="221" s="1"/>
  <c r="E47" i="221" s="1"/>
  <c r="D47" i="221" s="1"/>
  <c r="N60" i="20"/>
  <c r="M60" i="20" s="1"/>
  <c r="L60" i="20" s="1"/>
  <c r="U60" i="20"/>
  <c r="T60" i="20" s="1"/>
  <c r="S60" i="20" s="1"/>
  <c r="R60" i="20" s="1"/>
  <c r="C43" i="200"/>
  <c r="O49" i="224"/>
  <c r="N49" i="224" s="1"/>
  <c r="M49" i="224" s="1"/>
  <c r="H49" i="224"/>
  <c r="G49" i="224" s="1"/>
  <c r="F49" i="224" s="1"/>
  <c r="E49" i="224" s="1"/>
  <c r="D49" i="224" s="1"/>
  <c r="P50" i="224"/>
  <c r="C44" i="200"/>
  <c r="J42" i="126"/>
  <c r="E42" i="126" s="1"/>
  <c r="D42" i="126" s="1"/>
  <c r="M98" i="117"/>
  <c r="O49" i="218"/>
  <c r="N49" i="218" s="1"/>
  <c r="M49" i="218" s="1"/>
  <c r="P50" i="218"/>
  <c r="H49" i="218"/>
  <c r="G49" i="218" s="1"/>
  <c r="F49" i="218" s="1"/>
  <c r="E49" i="218" s="1"/>
  <c r="D49" i="218" s="1"/>
  <c r="H49" i="214"/>
  <c r="G49" i="214" s="1"/>
  <c r="F49" i="214" s="1"/>
  <c r="O49" i="214"/>
  <c r="N49" i="214" s="1"/>
  <c r="M49" i="214" s="1"/>
  <c r="L47" i="214" s="1"/>
  <c r="J47" i="214" s="1"/>
  <c r="E47" i="214" s="1"/>
  <c r="D47" i="214" s="1"/>
  <c r="C44" i="214" s="1"/>
  <c r="P50" i="214"/>
  <c r="L46" i="373"/>
  <c r="J46" i="373" s="1"/>
  <c r="E46" i="373" s="1"/>
  <c r="D46" i="373" s="1"/>
  <c r="H49" i="370"/>
  <c r="G49" i="370" s="1"/>
  <c r="F49" i="370" s="1"/>
  <c r="E49" i="370" s="1"/>
  <c r="D49" i="370" s="1"/>
  <c r="P50" i="370"/>
  <c r="O49" i="370"/>
  <c r="N49" i="370" s="1"/>
  <c r="M49" i="370" s="1"/>
  <c r="L46" i="209"/>
  <c r="J46" i="209" s="1"/>
  <c r="E46" i="209" s="1"/>
  <c r="D46" i="209" s="1"/>
  <c r="T57" i="205"/>
  <c r="S57" i="205" s="1"/>
  <c r="R57" i="205" s="1"/>
  <c r="AA57" i="205"/>
  <c r="Z57" i="205" s="1"/>
  <c r="Y57" i="205" s="1"/>
  <c r="X55" i="205" s="1"/>
  <c r="AB58" i="205"/>
  <c r="X54" i="205"/>
  <c r="L46" i="226"/>
  <c r="J46" i="226" s="1"/>
  <c r="E46" i="226" s="1"/>
  <c r="D46" i="226" s="1"/>
  <c r="C42" i="375"/>
  <c r="C42" i="325"/>
  <c r="V53" i="205"/>
  <c r="P53" i="205" s="1"/>
  <c r="Q53" i="205" s="1"/>
  <c r="O53" i="205" s="1"/>
  <c r="E53" i="205"/>
  <c r="C43" i="325"/>
  <c r="L46" i="377"/>
  <c r="J46" i="377" s="1"/>
  <c r="E46" i="377" s="1"/>
  <c r="D46" i="377" s="1"/>
  <c r="L46" i="221"/>
  <c r="J46" i="221" s="1"/>
  <c r="E46" i="221" s="1"/>
  <c r="D46" i="221" s="1"/>
  <c r="H49" i="209"/>
  <c r="G49" i="209" s="1"/>
  <c r="F49" i="209" s="1"/>
  <c r="E49" i="209" s="1"/>
  <c r="P50" i="209"/>
  <c r="O49" i="209"/>
  <c r="N49" i="209" s="1"/>
  <c r="M49" i="209" s="1"/>
  <c r="L47" i="209" s="1"/>
  <c r="J47" i="209" s="1"/>
  <c r="E47" i="209" s="1"/>
  <c r="D47" i="209" s="1"/>
  <c r="P50" i="226"/>
  <c r="O49" i="226"/>
  <c r="N49" i="226" s="1"/>
  <c r="M49" i="226" s="1"/>
  <c r="L47" i="226" s="1"/>
  <c r="J47" i="226" s="1"/>
  <c r="E47" i="226" s="1"/>
  <c r="D47" i="226" s="1"/>
  <c r="H49" i="226"/>
  <c r="G49" i="226" s="1"/>
  <c r="F49" i="226" s="1"/>
  <c r="E49" i="226" s="1"/>
  <c r="D49" i="226" s="1"/>
  <c r="L46" i="370"/>
  <c r="J46" i="370" s="1"/>
  <c r="E46" i="370" s="1"/>
  <c r="D46" i="370" s="1"/>
  <c r="L46" i="130"/>
  <c r="J46" i="130" s="1"/>
  <c r="E46" i="130" s="1"/>
  <c r="D46" i="130" s="1"/>
  <c r="L46" i="216"/>
  <c r="J46" i="216" s="1"/>
  <c r="E46" i="216" s="1"/>
  <c r="D46" i="216" s="1"/>
  <c r="C42" i="216"/>
  <c r="C42" i="134"/>
  <c r="AV42" i="134" s="1"/>
  <c r="C43" i="134"/>
  <c r="AV43" i="134" s="1"/>
  <c r="C42" i="365"/>
  <c r="H49" i="130"/>
  <c r="G49" i="130" s="1"/>
  <c r="F49" i="130" s="1"/>
  <c r="O49" i="130"/>
  <c r="N49" i="130" s="1"/>
  <c r="M49" i="130" s="1"/>
  <c r="L47" i="130" s="1"/>
  <c r="J47" i="130" s="1"/>
  <c r="E47" i="130" s="1"/>
  <c r="D47" i="130" s="1"/>
  <c r="P50" i="130"/>
  <c r="C42" i="140"/>
  <c r="C43" i="140"/>
  <c r="H49" i="216"/>
  <c r="G49" i="216" s="1"/>
  <c r="F49" i="216" s="1"/>
  <c r="E49" i="216" s="1"/>
  <c r="D49" i="216" s="1"/>
  <c r="P50" i="216"/>
  <c r="O49" i="216"/>
  <c r="N49" i="216" s="1"/>
  <c r="M49" i="216" s="1"/>
  <c r="P50" i="377"/>
  <c r="O49" i="377"/>
  <c r="N49" i="377" s="1"/>
  <c r="M49" i="377" s="1"/>
  <c r="L47" i="377" s="1"/>
  <c r="J47" i="377" s="1"/>
  <c r="E47" i="377" s="1"/>
  <c r="D47" i="377" s="1"/>
  <c r="H49" i="377"/>
  <c r="G49" i="377" s="1"/>
  <c r="F49" i="377" s="1"/>
  <c r="E49" i="377" s="1"/>
  <c r="D49" i="377" s="1"/>
  <c r="AD20" i="96"/>
  <c r="BP20" i="413"/>
  <c r="O49" i="375"/>
  <c r="N49" i="375" s="1"/>
  <c r="M49" i="375" s="1"/>
  <c r="L47" i="375" s="1"/>
  <c r="J47" i="375" s="1"/>
  <c r="E47" i="375" s="1"/>
  <c r="D47" i="375" s="1"/>
  <c r="P50" i="375"/>
  <c r="H49" i="375"/>
  <c r="G49" i="375" s="1"/>
  <c r="F49" i="375" s="1"/>
  <c r="E49" i="375" s="1"/>
  <c r="D49" i="375" s="1"/>
  <c r="O123" i="347"/>
  <c r="M123" i="347" s="1"/>
  <c r="H123" i="347" s="1"/>
  <c r="G123" i="347" s="1"/>
  <c r="L46" i="365"/>
  <c r="J46" i="365" s="1"/>
  <c r="E46" i="365" s="1"/>
  <c r="D46" i="365" s="1"/>
  <c r="H49" i="365"/>
  <c r="G49" i="365" s="1"/>
  <c r="F49" i="365" s="1"/>
  <c r="E49" i="365" s="1"/>
  <c r="D49" i="365" s="1"/>
  <c r="O49" i="365"/>
  <c r="N49" i="365" s="1"/>
  <c r="M49" i="365" s="1"/>
  <c r="P50" i="365"/>
  <c r="L47" i="373"/>
  <c r="J47" i="373" s="1"/>
  <c r="E47" i="373" s="1"/>
  <c r="D47" i="373" s="1"/>
  <c r="H49" i="325"/>
  <c r="G49" i="325" s="1"/>
  <c r="F49" i="325" s="1"/>
  <c r="E49" i="325" s="1"/>
  <c r="D49" i="325" s="1"/>
  <c r="O49" i="325"/>
  <c r="N49" i="325" s="1"/>
  <c r="M49" i="325" s="1"/>
  <c r="P50" i="325"/>
  <c r="L43" i="126"/>
  <c r="L44" i="126"/>
  <c r="C42" i="377"/>
  <c r="C42" i="209"/>
  <c r="K127" i="347"/>
  <c r="J127" i="347" s="1"/>
  <c r="I127" i="347" s="1"/>
  <c r="S128" i="347"/>
  <c r="R127" i="347"/>
  <c r="Q127" i="347" s="1"/>
  <c r="P127" i="347" s="1"/>
  <c r="C42" i="218"/>
  <c r="C42" i="373"/>
  <c r="H49" i="134"/>
  <c r="G49" i="134" s="1"/>
  <c r="F49" i="134" s="1"/>
  <c r="P50" i="134"/>
  <c r="O49" i="134"/>
  <c r="N49" i="134" s="1"/>
  <c r="M49" i="134" s="1"/>
  <c r="H49" i="140"/>
  <c r="G49" i="140" s="1"/>
  <c r="F49" i="140" s="1"/>
  <c r="O49" i="140"/>
  <c r="N49" i="140" s="1"/>
  <c r="M49" i="140" s="1"/>
  <c r="P50" i="140"/>
  <c r="O46" i="126"/>
  <c r="N46" i="126" s="1"/>
  <c r="M46" i="126" s="1"/>
  <c r="P47" i="126"/>
  <c r="H46" i="126"/>
  <c r="G46" i="126" s="1"/>
  <c r="F46" i="126" s="1"/>
  <c r="R58" i="20"/>
  <c r="P58" i="20" s="1"/>
  <c r="K58" i="20" s="1"/>
  <c r="J58" i="20" s="1"/>
  <c r="R57" i="20"/>
  <c r="P57" i="20" s="1"/>
  <c r="K57" i="20" s="1"/>
  <c r="J57" i="20" s="1"/>
  <c r="I55" i="20" s="1"/>
  <c r="C42" i="370"/>
  <c r="C43" i="370"/>
  <c r="H49" i="200"/>
  <c r="G49" i="200" s="1"/>
  <c r="F49" i="200" s="1"/>
  <c r="O49" i="200"/>
  <c r="N49" i="200" s="1"/>
  <c r="M49" i="200" s="1"/>
  <c r="P50" i="200"/>
  <c r="E19" i="413"/>
  <c r="E16" i="413"/>
  <c r="E41" i="413"/>
  <c r="BP41" i="413" s="1"/>
  <c r="E40" i="413"/>
  <c r="BP40" i="413" s="1"/>
  <c r="E42" i="413"/>
  <c r="BP42" i="413" s="1"/>
  <c r="E18" i="413"/>
  <c r="Q49" i="413"/>
  <c r="P49" i="413" s="1"/>
  <c r="O49" i="413" s="1"/>
  <c r="J49" i="413"/>
  <c r="I49" i="413" s="1"/>
  <c r="H49" i="413" s="1"/>
  <c r="G47" i="413"/>
  <c r="F47" i="413" s="1"/>
  <c r="E17" i="413"/>
  <c r="E15" i="413"/>
  <c r="N48" i="413"/>
  <c r="L48" i="413" s="1"/>
  <c r="G48" i="413" s="1"/>
  <c r="R50" i="413"/>
  <c r="E55" i="205" l="1"/>
  <c r="V55" i="205"/>
  <c r="P55" i="205" s="1"/>
  <c r="Q55" i="205" s="1"/>
  <c r="O55" i="205" s="1"/>
  <c r="C44" i="221"/>
  <c r="AD17" i="96"/>
  <c r="BP17" i="413"/>
  <c r="O50" i="365"/>
  <c r="N50" i="365" s="1"/>
  <c r="M50" i="365" s="1"/>
  <c r="L49" i="365" s="1"/>
  <c r="H50" i="365"/>
  <c r="G50" i="365" s="1"/>
  <c r="F50" i="365" s="1"/>
  <c r="E50" i="365" s="1"/>
  <c r="D50" i="365" s="1"/>
  <c r="L47" i="140"/>
  <c r="J47" i="140" s="1"/>
  <c r="E47" i="140" s="1"/>
  <c r="D47" i="140" s="1"/>
  <c r="H50" i="226"/>
  <c r="G50" i="226" s="1"/>
  <c r="F50" i="226" s="1"/>
  <c r="E50" i="226" s="1"/>
  <c r="D50" i="226" s="1"/>
  <c r="O50" i="226"/>
  <c r="N50" i="226" s="1"/>
  <c r="M50" i="226" s="1"/>
  <c r="C43" i="226"/>
  <c r="C43" i="209"/>
  <c r="H50" i="218"/>
  <c r="G50" i="218" s="1"/>
  <c r="F50" i="218" s="1"/>
  <c r="E50" i="218" s="1"/>
  <c r="D50" i="218" s="1"/>
  <c r="O50" i="218"/>
  <c r="N50" i="218" s="1"/>
  <c r="M50" i="218" s="1"/>
  <c r="O50" i="325"/>
  <c r="N50" i="325" s="1"/>
  <c r="M50" i="325" s="1"/>
  <c r="L50" i="325" s="1"/>
  <c r="H50" i="325"/>
  <c r="G50" i="325" s="1"/>
  <c r="F50" i="325" s="1"/>
  <c r="E50" i="325" s="1"/>
  <c r="D50" i="325" s="1"/>
  <c r="L47" i="365"/>
  <c r="J47" i="365" s="1"/>
  <c r="E47" i="365" s="1"/>
  <c r="D47" i="365" s="1"/>
  <c r="C44" i="377"/>
  <c r="L50" i="365"/>
  <c r="C44" i="209"/>
  <c r="L47" i="370"/>
  <c r="J47" i="370" s="1"/>
  <c r="E47" i="370" s="1"/>
  <c r="D47" i="370" s="1"/>
  <c r="L47" i="218"/>
  <c r="J47" i="218" s="1"/>
  <c r="E47" i="218" s="1"/>
  <c r="D47" i="218" s="1"/>
  <c r="L48" i="218"/>
  <c r="J48" i="218" s="1"/>
  <c r="E48" i="218" s="1"/>
  <c r="D48" i="218" s="1"/>
  <c r="L49" i="218"/>
  <c r="L50" i="218"/>
  <c r="L47" i="224"/>
  <c r="J47" i="224" s="1"/>
  <c r="E47" i="224" s="1"/>
  <c r="D47" i="224" s="1"/>
  <c r="AD15" i="96"/>
  <c r="BP15" i="413"/>
  <c r="H50" i="200"/>
  <c r="G50" i="200" s="1"/>
  <c r="F50" i="200" s="1"/>
  <c r="O50" i="200"/>
  <c r="N50" i="200" s="1"/>
  <c r="M50" i="200" s="1"/>
  <c r="L47" i="325"/>
  <c r="J47" i="325" s="1"/>
  <c r="E47" i="325" s="1"/>
  <c r="D47" i="325" s="1"/>
  <c r="H50" i="377"/>
  <c r="G50" i="377" s="1"/>
  <c r="F50" i="377" s="1"/>
  <c r="E50" i="377" s="1"/>
  <c r="D50" i="377" s="1"/>
  <c r="O50" i="377"/>
  <c r="N50" i="377" s="1"/>
  <c r="M50" i="377" s="1"/>
  <c r="L50" i="377" s="1"/>
  <c r="O50" i="209"/>
  <c r="N50" i="209" s="1"/>
  <c r="M50" i="209" s="1"/>
  <c r="H50" i="209"/>
  <c r="G50" i="209" s="1"/>
  <c r="F50" i="209" s="1"/>
  <c r="E50" i="209" s="1"/>
  <c r="D50" i="209" s="1"/>
  <c r="H50" i="370"/>
  <c r="G50" i="370" s="1"/>
  <c r="F50" i="370" s="1"/>
  <c r="E50" i="370" s="1"/>
  <c r="D50" i="370" s="1"/>
  <c r="O50" i="370"/>
  <c r="N50" i="370" s="1"/>
  <c r="M50" i="370" s="1"/>
  <c r="L49" i="370" s="1"/>
  <c r="C43" i="373"/>
  <c r="H50" i="221"/>
  <c r="G50" i="221" s="1"/>
  <c r="F50" i="221" s="1"/>
  <c r="E50" i="221" s="1"/>
  <c r="D50" i="221" s="1"/>
  <c r="O50" i="221"/>
  <c r="N50" i="221" s="1"/>
  <c r="M50" i="221" s="1"/>
  <c r="L50" i="221" s="1"/>
  <c r="L47" i="134"/>
  <c r="J47" i="134" s="1"/>
  <c r="E47" i="134" s="1"/>
  <c r="D47" i="134" s="1"/>
  <c r="L50" i="134"/>
  <c r="J50" i="134" s="1"/>
  <c r="E50" i="134" s="1"/>
  <c r="D50" i="134" s="1"/>
  <c r="L48" i="134"/>
  <c r="J48" i="134" s="1"/>
  <c r="E48" i="134" s="1"/>
  <c r="D48" i="134" s="1"/>
  <c r="J44" i="126"/>
  <c r="E44" i="126" s="1"/>
  <c r="D44" i="126" s="1"/>
  <c r="M100" i="117"/>
  <c r="C43" i="130"/>
  <c r="E54" i="205"/>
  <c r="V54" i="205"/>
  <c r="P54" i="205" s="1"/>
  <c r="Q54" i="205" s="1"/>
  <c r="O54" i="205" s="1"/>
  <c r="O50" i="214"/>
  <c r="N50" i="214" s="1"/>
  <c r="M50" i="214" s="1"/>
  <c r="H50" i="214"/>
  <c r="G50" i="214" s="1"/>
  <c r="F50" i="214" s="1"/>
  <c r="C39" i="126"/>
  <c r="Y39" i="126" s="1"/>
  <c r="AC95" i="117" s="1"/>
  <c r="AD19" i="96"/>
  <c r="BP19" i="413"/>
  <c r="O50" i="134"/>
  <c r="N50" i="134" s="1"/>
  <c r="M50" i="134" s="1"/>
  <c r="L49" i="134" s="1"/>
  <c r="J49" i="134" s="1"/>
  <c r="E49" i="134" s="1"/>
  <c r="D49" i="134" s="1"/>
  <c r="H50" i="134"/>
  <c r="G50" i="134" s="1"/>
  <c r="F50" i="134" s="1"/>
  <c r="C43" i="365"/>
  <c r="H50" i="375"/>
  <c r="G50" i="375" s="1"/>
  <c r="F50" i="375" s="1"/>
  <c r="E50" i="375" s="1"/>
  <c r="D50" i="375" s="1"/>
  <c r="O50" i="375"/>
  <c r="N50" i="375" s="1"/>
  <c r="M50" i="375" s="1"/>
  <c r="H50" i="216"/>
  <c r="G50" i="216" s="1"/>
  <c r="F50" i="216" s="1"/>
  <c r="E50" i="216" s="1"/>
  <c r="D50" i="216" s="1"/>
  <c r="O50" i="216"/>
  <c r="N50" i="216" s="1"/>
  <c r="M50" i="216" s="1"/>
  <c r="L49" i="216" s="1"/>
  <c r="L48" i="370"/>
  <c r="J48" i="370" s="1"/>
  <c r="E48" i="370" s="1"/>
  <c r="D48" i="370" s="1"/>
  <c r="C47" i="370" s="1"/>
  <c r="C43" i="221"/>
  <c r="L49" i="214"/>
  <c r="H50" i="373"/>
  <c r="G50" i="373" s="1"/>
  <c r="F50" i="373" s="1"/>
  <c r="E50" i="373" s="1"/>
  <c r="D50" i="373" s="1"/>
  <c r="O50" i="373"/>
  <c r="N50" i="373" s="1"/>
  <c r="M50" i="373" s="1"/>
  <c r="L47" i="200"/>
  <c r="J47" i="200" s="1"/>
  <c r="E47" i="200" s="1"/>
  <c r="D47" i="200" s="1"/>
  <c r="L50" i="200"/>
  <c r="J50" i="200" s="1"/>
  <c r="E50" i="200" s="1"/>
  <c r="D50" i="200" s="1"/>
  <c r="L48" i="200"/>
  <c r="J48" i="200" s="1"/>
  <c r="E48" i="200" s="1"/>
  <c r="D48" i="200" s="1"/>
  <c r="O47" i="126"/>
  <c r="N47" i="126" s="1"/>
  <c r="M47" i="126" s="1"/>
  <c r="L45" i="126" s="1"/>
  <c r="H47" i="126"/>
  <c r="G47" i="126" s="1"/>
  <c r="F47" i="126" s="1"/>
  <c r="P48" i="126"/>
  <c r="R128" i="347"/>
  <c r="Q128" i="347" s="1"/>
  <c r="P128" i="347" s="1"/>
  <c r="O128" i="347" s="1"/>
  <c r="M128" i="347" s="1"/>
  <c r="H128" i="347" s="1"/>
  <c r="G128" i="347" s="1"/>
  <c r="K128" i="347"/>
  <c r="J128" i="347" s="1"/>
  <c r="I128" i="347" s="1"/>
  <c r="O124" i="347"/>
  <c r="M124" i="347" s="1"/>
  <c r="H124" i="347" s="1"/>
  <c r="G124" i="347" s="1"/>
  <c r="C44" i="375"/>
  <c r="C49" i="370"/>
  <c r="L49" i="377"/>
  <c r="L48" i="209"/>
  <c r="J48" i="209" s="1"/>
  <c r="E48" i="209" s="1"/>
  <c r="D48" i="209" s="1"/>
  <c r="T58" i="205"/>
  <c r="S58" i="205" s="1"/>
  <c r="R58" i="205" s="1"/>
  <c r="AB59" i="205"/>
  <c r="AA58" i="205"/>
  <c r="Z58" i="205" s="1"/>
  <c r="Y58" i="205" s="1"/>
  <c r="AD16" i="96"/>
  <c r="BP16" i="413"/>
  <c r="L48" i="365"/>
  <c r="J48" i="365" s="1"/>
  <c r="E48" i="365" s="1"/>
  <c r="D48" i="365" s="1"/>
  <c r="C45" i="365" s="1"/>
  <c r="C44" i="373"/>
  <c r="H50" i="130"/>
  <c r="G50" i="130" s="1"/>
  <c r="F50" i="130" s="1"/>
  <c r="O50" i="130"/>
  <c r="N50" i="130" s="1"/>
  <c r="M50" i="130" s="1"/>
  <c r="C43" i="216"/>
  <c r="L48" i="377"/>
  <c r="J48" i="377" s="1"/>
  <c r="E48" i="377" s="1"/>
  <c r="D48" i="377" s="1"/>
  <c r="C45" i="377" s="1"/>
  <c r="L48" i="221"/>
  <c r="J48" i="221" s="1"/>
  <c r="E48" i="221" s="1"/>
  <c r="D48" i="221" s="1"/>
  <c r="C47" i="221" s="1"/>
  <c r="L47" i="216"/>
  <c r="J47" i="216" s="1"/>
  <c r="E47" i="216" s="1"/>
  <c r="D47" i="216" s="1"/>
  <c r="C47" i="216" s="1"/>
  <c r="AD18" i="96"/>
  <c r="BP18" i="413"/>
  <c r="L49" i="200"/>
  <c r="J49" i="200" s="1"/>
  <c r="E49" i="200" s="1"/>
  <c r="D49" i="200" s="1"/>
  <c r="O50" i="140"/>
  <c r="N50" i="140" s="1"/>
  <c r="M50" i="140" s="1"/>
  <c r="L50" i="140" s="1"/>
  <c r="J50" i="140" s="1"/>
  <c r="E50" i="140" s="1"/>
  <c r="D50" i="140" s="1"/>
  <c r="H50" i="140"/>
  <c r="G50" i="140" s="1"/>
  <c r="F50" i="140" s="1"/>
  <c r="J43" i="126"/>
  <c r="E43" i="126" s="1"/>
  <c r="D43" i="126" s="1"/>
  <c r="M99" i="117"/>
  <c r="F121" i="347"/>
  <c r="D121" i="347"/>
  <c r="D122" i="347"/>
  <c r="C44" i="130"/>
  <c r="L48" i="216"/>
  <c r="J48" i="216" s="1"/>
  <c r="E48" i="216" s="1"/>
  <c r="D48" i="216" s="1"/>
  <c r="C46" i="216" s="1"/>
  <c r="C44" i="226"/>
  <c r="C43" i="377"/>
  <c r="L49" i="226"/>
  <c r="O50" i="224"/>
  <c r="N50" i="224" s="1"/>
  <c r="M50" i="224" s="1"/>
  <c r="L48" i="224" s="1"/>
  <c r="J48" i="224" s="1"/>
  <c r="E48" i="224" s="1"/>
  <c r="D48" i="224" s="1"/>
  <c r="H50" i="224"/>
  <c r="G50" i="224" s="1"/>
  <c r="F50" i="224" s="1"/>
  <c r="E50" i="224" s="1"/>
  <c r="D50" i="224" s="1"/>
  <c r="Q50" i="413"/>
  <c r="P50" i="413" s="1"/>
  <c r="O50" i="413" s="1"/>
  <c r="J50" i="413"/>
  <c r="I50" i="413" s="1"/>
  <c r="H50" i="413" s="1"/>
  <c r="F48" i="413"/>
  <c r="N49" i="413"/>
  <c r="L49" i="413" s="1"/>
  <c r="G49" i="413" s="1"/>
  <c r="C45" i="200" l="1"/>
  <c r="C49" i="200"/>
  <c r="C46" i="200"/>
  <c r="C48" i="200"/>
  <c r="C47" i="200"/>
  <c r="C48" i="221"/>
  <c r="C46" i="365"/>
  <c r="L50" i="216"/>
  <c r="C48" i="377"/>
  <c r="L49" i="140"/>
  <c r="J49" i="140" s="1"/>
  <c r="E49" i="140" s="1"/>
  <c r="D49" i="140" s="1"/>
  <c r="L48" i="140"/>
  <c r="J48" i="140" s="1"/>
  <c r="E48" i="140" s="1"/>
  <c r="D48" i="140" s="1"/>
  <c r="C49" i="140" s="1"/>
  <c r="X56" i="205"/>
  <c r="X59" i="205"/>
  <c r="C49" i="216"/>
  <c r="AA59" i="205"/>
  <c r="Z59" i="205" s="1"/>
  <c r="Y59" i="205" s="1"/>
  <c r="T59" i="205"/>
  <c r="S59" i="205" s="1"/>
  <c r="R59" i="205" s="1"/>
  <c r="O127" i="347"/>
  <c r="M127" i="347" s="1"/>
  <c r="H127" i="347" s="1"/>
  <c r="G127" i="347" s="1"/>
  <c r="C49" i="221"/>
  <c r="C49" i="365"/>
  <c r="C44" i="140"/>
  <c r="C48" i="216"/>
  <c r="L50" i="373"/>
  <c r="L48" i="373"/>
  <c r="J48" i="373" s="1"/>
  <c r="E48" i="373" s="1"/>
  <c r="D48" i="373" s="1"/>
  <c r="L49" i="373"/>
  <c r="C41" i="126"/>
  <c r="Y41" i="126" s="1"/>
  <c r="AC97" i="117" s="1"/>
  <c r="L50" i="209"/>
  <c r="L49" i="209"/>
  <c r="D49" i="209" s="1"/>
  <c r="C46" i="209" s="1"/>
  <c r="L48" i="130"/>
  <c r="J48" i="130" s="1"/>
  <c r="E48" i="130" s="1"/>
  <c r="D48" i="130" s="1"/>
  <c r="L50" i="130"/>
  <c r="J50" i="130" s="1"/>
  <c r="E50" i="130" s="1"/>
  <c r="D50" i="130" s="1"/>
  <c r="L49" i="130"/>
  <c r="J49" i="130" s="1"/>
  <c r="E49" i="130" s="1"/>
  <c r="D49" i="130" s="1"/>
  <c r="C48" i="209"/>
  <c r="C45" i="209"/>
  <c r="O48" i="126"/>
  <c r="N48" i="126" s="1"/>
  <c r="M48" i="126" s="1"/>
  <c r="H48" i="126"/>
  <c r="G48" i="126" s="1"/>
  <c r="F48" i="126" s="1"/>
  <c r="P49" i="126"/>
  <c r="C50" i="218"/>
  <c r="C45" i="218"/>
  <c r="C44" i="218"/>
  <c r="C47" i="218"/>
  <c r="C46" i="218"/>
  <c r="C49" i="218"/>
  <c r="C48" i="218"/>
  <c r="C45" i="216"/>
  <c r="C44" i="216"/>
  <c r="C50" i="216"/>
  <c r="O126" i="347"/>
  <c r="M126" i="347" s="1"/>
  <c r="H126" i="347" s="1"/>
  <c r="G126" i="347" s="1"/>
  <c r="L50" i="370"/>
  <c r="C50" i="377"/>
  <c r="C40" i="126"/>
  <c r="Y40" i="126" s="1"/>
  <c r="AC96" i="117" s="1"/>
  <c r="O125" i="347"/>
  <c r="M125" i="347" s="1"/>
  <c r="H125" i="347" s="1"/>
  <c r="G125" i="347" s="1"/>
  <c r="C47" i="209"/>
  <c r="J45" i="126"/>
  <c r="E45" i="126" s="1"/>
  <c r="D45" i="126" s="1"/>
  <c r="M101" i="117"/>
  <c r="C45" i="221"/>
  <c r="C44" i="325"/>
  <c r="L50" i="224"/>
  <c r="C44" i="370"/>
  <c r="C50" i="370"/>
  <c r="C45" i="370"/>
  <c r="C48" i="370"/>
  <c r="C46" i="370"/>
  <c r="C49" i="377"/>
  <c r="F122" i="347"/>
  <c r="X57" i="205"/>
  <c r="C50" i="200"/>
  <c r="C46" i="221"/>
  <c r="L48" i="375"/>
  <c r="J48" i="375" s="1"/>
  <c r="E48" i="375" s="1"/>
  <c r="D48" i="375" s="1"/>
  <c r="L49" i="375"/>
  <c r="L50" i="375"/>
  <c r="C50" i="134"/>
  <c r="AV50" i="134" s="1"/>
  <c r="C45" i="134"/>
  <c r="AV45" i="134" s="1"/>
  <c r="C47" i="134"/>
  <c r="AV47" i="134" s="1"/>
  <c r="C49" i="134"/>
  <c r="AV49" i="134" s="1"/>
  <c r="C48" i="134"/>
  <c r="AV48" i="134" s="1"/>
  <c r="C46" i="134"/>
  <c r="AV46" i="134" s="1"/>
  <c r="C44" i="134"/>
  <c r="AV44" i="134" s="1"/>
  <c r="L49" i="325"/>
  <c r="L49" i="224"/>
  <c r="C44" i="365"/>
  <c r="C50" i="365"/>
  <c r="C48" i="365"/>
  <c r="L49" i="221"/>
  <c r="C50" i="221"/>
  <c r="C46" i="377"/>
  <c r="C47" i="377"/>
  <c r="X58" i="205"/>
  <c r="L50" i="214"/>
  <c r="L48" i="214"/>
  <c r="J48" i="214" s="1"/>
  <c r="L48" i="325"/>
  <c r="J48" i="325" s="1"/>
  <c r="E48" i="325" s="1"/>
  <c r="D48" i="325" s="1"/>
  <c r="C49" i="325" s="1"/>
  <c r="C50" i="224"/>
  <c r="C44" i="224"/>
  <c r="C48" i="224"/>
  <c r="C45" i="224"/>
  <c r="C49" i="224"/>
  <c r="C47" i="224"/>
  <c r="C46" i="224"/>
  <c r="C49" i="209"/>
  <c r="L50" i="226"/>
  <c r="L48" i="226"/>
  <c r="J48" i="226" s="1"/>
  <c r="E48" i="226" s="1"/>
  <c r="D48" i="226" s="1"/>
  <c r="C47" i="365"/>
  <c r="N50" i="413"/>
  <c r="L50" i="413" s="1"/>
  <c r="G50" i="413" s="1"/>
  <c r="F50" i="413" s="1"/>
  <c r="N46" i="413"/>
  <c r="F49" i="413"/>
  <c r="C47" i="375" l="1"/>
  <c r="C45" i="375"/>
  <c r="C49" i="375"/>
  <c r="C50" i="375"/>
  <c r="C48" i="375"/>
  <c r="C46" i="375"/>
  <c r="C45" i="325"/>
  <c r="C45" i="373"/>
  <c r="C46" i="373"/>
  <c r="C48" i="373"/>
  <c r="C50" i="373"/>
  <c r="C49" i="373"/>
  <c r="C47" i="373"/>
  <c r="C46" i="140"/>
  <c r="E59" i="205"/>
  <c r="V59" i="205"/>
  <c r="P59" i="205" s="1"/>
  <c r="Q59" i="205" s="1"/>
  <c r="O59" i="205" s="1"/>
  <c r="C48" i="325"/>
  <c r="C50" i="140"/>
  <c r="E56" i="205"/>
  <c r="V56" i="205"/>
  <c r="P56" i="205" s="1"/>
  <c r="Q56" i="205" s="1"/>
  <c r="O56" i="205" s="1"/>
  <c r="C47" i="325"/>
  <c r="D127" i="347"/>
  <c r="D125" i="347"/>
  <c r="D124" i="347"/>
  <c r="C49" i="130"/>
  <c r="C47" i="130"/>
  <c r="C48" i="130"/>
  <c r="C46" i="130"/>
  <c r="C45" i="130"/>
  <c r="C50" i="130"/>
  <c r="C45" i="140"/>
  <c r="E57" i="205"/>
  <c r="V57" i="205"/>
  <c r="P57" i="205" s="1"/>
  <c r="Q57" i="205" s="1"/>
  <c r="O57" i="205" s="1"/>
  <c r="E58" i="205"/>
  <c r="V58" i="205"/>
  <c r="P58" i="205" s="1"/>
  <c r="Q58" i="205" s="1"/>
  <c r="O58" i="205" s="1"/>
  <c r="F123" i="347"/>
  <c r="P50" i="126"/>
  <c r="O49" i="126"/>
  <c r="N49" i="126" s="1"/>
  <c r="M49" i="126" s="1"/>
  <c r="H49" i="126"/>
  <c r="G49" i="126" s="1"/>
  <c r="F49" i="126" s="1"/>
  <c r="E48" i="214"/>
  <c r="D48" i="214" s="1"/>
  <c r="J49" i="214"/>
  <c r="C50" i="325"/>
  <c r="D123" i="347"/>
  <c r="C47" i="140"/>
  <c r="D126" i="347"/>
  <c r="C46" i="325"/>
  <c r="L46" i="126"/>
  <c r="J46" i="126" s="1"/>
  <c r="E46" i="126" s="1"/>
  <c r="D46" i="126" s="1"/>
  <c r="L47" i="126"/>
  <c r="J47" i="126" s="1"/>
  <c r="E47" i="126" s="1"/>
  <c r="D47" i="126" s="1"/>
  <c r="C48" i="140"/>
  <c r="C42" i="126"/>
  <c r="Y42" i="126" s="1"/>
  <c r="AC98" i="117" s="1"/>
  <c r="C50" i="226"/>
  <c r="C49" i="226"/>
  <c r="C48" i="226"/>
  <c r="C46" i="226"/>
  <c r="C45" i="226"/>
  <c r="C47" i="226"/>
  <c r="D128" i="347"/>
  <c r="C50" i="209"/>
  <c r="L46" i="413"/>
  <c r="E50" i="413"/>
  <c r="BP50" i="413" s="1"/>
  <c r="C44" i="126" l="1"/>
  <c r="Y44" i="126" s="1"/>
  <c r="AC100" i="117" s="1"/>
  <c r="E49" i="214"/>
  <c r="D49" i="214" s="1"/>
  <c r="C46" i="214" s="1"/>
  <c r="J50" i="214"/>
  <c r="E50" i="214" s="1"/>
  <c r="D50" i="214" s="1"/>
  <c r="C50" i="214" s="1"/>
  <c r="C43" i="126"/>
  <c r="Y43" i="126" s="1"/>
  <c r="AC99" i="117" s="1"/>
  <c r="C45" i="214"/>
  <c r="H50" i="126"/>
  <c r="G50" i="126" s="1"/>
  <c r="F50" i="126" s="1"/>
  <c r="O50" i="126"/>
  <c r="N50" i="126" s="1"/>
  <c r="M50" i="126" s="1"/>
  <c r="G46" i="413"/>
  <c r="F46" i="413" s="1"/>
  <c r="C49" i="214" l="1"/>
  <c r="L49" i="126"/>
  <c r="J49" i="126" s="1"/>
  <c r="E49" i="126" s="1"/>
  <c r="D49" i="126" s="1"/>
  <c r="L50" i="126"/>
  <c r="J50" i="126" s="1"/>
  <c r="E50" i="126" s="1"/>
  <c r="D50" i="126" s="1"/>
  <c r="L48" i="126"/>
  <c r="J48" i="126" s="1"/>
  <c r="E48" i="126" s="1"/>
  <c r="D48" i="126" s="1"/>
  <c r="C47" i="214"/>
  <c r="C48" i="214"/>
  <c r="E48" i="413"/>
  <c r="BP48" i="413" s="1"/>
  <c r="E46" i="413"/>
  <c r="BP46" i="413" s="1"/>
  <c r="E47" i="413"/>
  <c r="BP47" i="413" s="1"/>
  <c r="E43" i="413"/>
  <c r="BP43" i="413" s="1"/>
  <c r="E45" i="413"/>
  <c r="BP45" i="413" s="1"/>
  <c r="E44" i="413"/>
  <c r="BP44" i="413" s="1"/>
  <c r="E49" i="413"/>
  <c r="BP49" i="413" s="1"/>
  <c r="R59" i="20"/>
  <c r="P59" i="20" s="1"/>
  <c r="P60" i="20"/>
  <c r="C46" i="126" l="1"/>
  <c r="C49" i="126"/>
  <c r="C50" i="126"/>
  <c r="C45" i="126"/>
  <c r="Y45" i="126" s="1"/>
  <c r="AC101" i="117" s="1"/>
  <c r="C48" i="126"/>
  <c r="C47" i="126"/>
  <c r="K60" i="20"/>
  <c r="J60" i="20" s="1"/>
  <c r="K59" i="20"/>
  <c r="J59" i="20" s="1"/>
  <c r="G85" i="347" l="1"/>
  <c r="F85" i="347" s="1"/>
  <c r="AS7" i="96" s="1"/>
</calcChain>
</file>

<file path=xl/comments1.xml><?xml version="1.0" encoding="utf-8"?>
<comments xmlns="http://schemas.openxmlformats.org/spreadsheetml/2006/main">
  <authors>
    <author>David Cosgrove</author>
    <author>Cosgrove David</author>
  </authors>
  <commentList>
    <comment ref="E7" authorId="0" shapeId="0">
      <text>
        <r>
          <rPr>
            <b/>
            <sz val="9"/>
            <color indexed="81"/>
            <rFont val="Tahoma"/>
            <family val="2"/>
          </rPr>
          <t>David Cosgrove:</t>
        </r>
        <r>
          <rPr>
            <sz val="9"/>
            <color indexed="81"/>
            <rFont val="Tahoma"/>
            <family val="2"/>
          </rPr>
          <t xml:space="preserve">
inc. orig Blade sales?
</t>
        </r>
      </text>
    </comment>
    <comment ref="G8" authorId="0" shapeId="0">
      <text>
        <r>
          <rPr>
            <b/>
            <sz val="9"/>
            <color indexed="81"/>
            <rFont val="Tahoma"/>
            <family val="2"/>
          </rPr>
          <t>David Cosgrove:</t>
        </r>
        <r>
          <rPr>
            <sz val="9"/>
            <color indexed="81"/>
            <rFont val="Tahoma"/>
            <family val="2"/>
          </rPr>
          <t xml:space="preserve">
assuming 14 trial MiEVs are separate from the 112 recorded for lease the following year?</t>
        </r>
      </text>
    </comment>
    <comment ref="K8" authorId="0" shapeId="0">
      <text>
        <r>
          <rPr>
            <b/>
            <sz val="9"/>
            <color indexed="81"/>
            <rFont val="Tahoma"/>
            <family val="2"/>
          </rPr>
          <t>David Cosgrove:</t>
        </r>
        <r>
          <rPr>
            <sz val="9"/>
            <color indexed="81"/>
            <rFont val="Tahoma"/>
            <family val="2"/>
          </rPr>
          <t xml:space="preserve">
assuming some of the 112 leased MiEVs have been returned and retired?</t>
        </r>
      </text>
    </comment>
    <comment ref="L8" authorId="1" shapeId="0">
      <text>
        <r>
          <rPr>
            <b/>
            <sz val="9"/>
            <color indexed="81"/>
            <rFont val="Tahoma"/>
            <family val="2"/>
          </rPr>
          <t>Cosgrove David:</t>
        </r>
        <r>
          <rPr>
            <sz val="9"/>
            <color indexed="81"/>
            <rFont val="Tahoma"/>
            <family val="2"/>
          </rPr>
          <t xml:space="preserve">
Tesla sales only known roughly</t>
        </r>
      </text>
    </comment>
  </commentList>
</comments>
</file>

<file path=xl/sharedStrings.xml><?xml version="1.0" encoding="utf-8"?>
<sst xmlns="http://schemas.openxmlformats.org/spreadsheetml/2006/main" count="9110" uniqueCount="1422">
  <si>
    <t>Plugin</t>
  </si>
  <si>
    <t>enthusiast/independent?</t>
  </si>
  <si>
    <t>market</t>
  </si>
  <si>
    <t>total</t>
  </si>
  <si>
    <t>enthusist/independent?</t>
  </si>
  <si>
    <t>BEV</t>
  </si>
  <si>
    <t>all EV</t>
  </si>
  <si>
    <t>fin yr</t>
  </si>
  <si>
    <t>Estimated EVs registered for road use - Australia</t>
  </si>
  <si>
    <t>very rough estimate or assumed value</t>
  </si>
  <si>
    <t xml:space="preserve">rough estimate </t>
  </si>
  <si>
    <t>all light vehs</t>
  </si>
  <si>
    <t>projected sales - thousand vehicles</t>
  </si>
  <si>
    <t>cars + SUVs</t>
  </si>
  <si>
    <t>LCVs</t>
  </si>
  <si>
    <t>BAU sales electric vehs (BEV or plugin) - thou veh</t>
  </si>
  <si>
    <t>Sales scenario for no direct EV incentives</t>
  </si>
  <si>
    <t>Accelerated sales scenario 1 - as may hold under vehicle fuel efficiency targets or direct EV incentives</t>
  </si>
  <si>
    <t>faster than BAU, sales electric vehs (BEV or plugin) - thou veh</t>
  </si>
  <si>
    <t>consumer</t>
  </si>
  <si>
    <t>EV1</t>
  </si>
  <si>
    <t>US CPI</t>
  </si>
  <si>
    <t>US$/kWh</t>
  </si>
  <si>
    <t xml:space="preserve"> Consumer Lag9</t>
  </si>
  <si>
    <t xml:space="preserve"> EV1</t>
  </si>
  <si>
    <t xml:space="preserve"> EV2</t>
  </si>
  <si>
    <t xml:space="preserve"> UBS</t>
  </si>
  <si>
    <t>large orders</t>
  </si>
  <si>
    <t>ratio</t>
  </si>
  <si>
    <t>top third</t>
  </si>
  <si>
    <t>of models</t>
  </si>
  <si>
    <t>Range km</t>
  </si>
  <si>
    <t>smth'd range</t>
  </si>
  <si>
    <t>%aceptance</t>
  </si>
  <si>
    <t>Range km top 1/3</t>
  </si>
  <si>
    <t>25% acceptance, 215 km</t>
  </si>
  <si>
    <t>50% acceptance, 375 km</t>
  </si>
  <si>
    <t>75% acceptance, 550 km</t>
  </si>
  <si>
    <t>100% acceptance, 750 km</t>
  </si>
  <si>
    <t>Make</t>
  </si>
  <si>
    <t xml:space="preserve">Model </t>
  </si>
  <si>
    <t>Range</t>
  </si>
  <si>
    <t>kWh</t>
  </si>
  <si>
    <t>Daimler</t>
  </si>
  <si>
    <t>Smart Edrive</t>
  </si>
  <si>
    <t>Mitsubishi</t>
  </si>
  <si>
    <t>Peugeot</t>
  </si>
  <si>
    <t>I MIEV</t>
  </si>
  <si>
    <t>Peugeot iOn</t>
  </si>
  <si>
    <t>Citroen C_Zero</t>
  </si>
  <si>
    <t>Renault</t>
  </si>
  <si>
    <t>Nissan</t>
  </si>
  <si>
    <t>Twizy</t>
  </si>
  <si>
    <t>Kangoo ZE</t>
  </si>
  <si>
    <t>Fluence ZE</t>
  </si>
  <si>
    <t>Leaf</t>
  </si>
  <si>
    <t>Tesla</t>
  </si>
  <si>
    <t>Ford</t>
  </si>
  <si>
    <t>Bollore</t>
  </si>
  <si>
    <t>Honda</t>
  </si>
  <si>
    <t>S 70D</t>
  </si>
  <si>
    <t>s 90D</t>
  </si>
  <si>
    <t>Focus</t>
  </si>
  <si>
    <t>Bluecar</t>
  </si>
  <si>
    <t>Fit EV</t>
  </si>
  <si>
    <t>BMW</t>
  </si>
  <si>
    <t>Volkswagen</t>
  </si>
  <si>
    <t>GM</t>
  </si>
  <si>
    <t>Zoe</t>
  </si>
  <si>
    <t>i3</t>
  </si>
  <si>
    <t>e-Up!</t>
  </si>
  <si>
    <t>Chevy Spark</t>
  </si>
  <si>
    <t>Kia</t>
  </si>
  <si>
    <t>e-Golf</t>
  </si>
  <si>
    <t>Mercedes B-Class ED</t>
  </si>
  <si>
    <t>Soul EV</t>
  </si>
  <si>
    <t>e-NV200</t>
  </si>
  <si>
    <t>Model X</t>
  </si>
  <si>
    <t>Leaf 24</t>
  </si>
  <si>
    <t>Leaf 30</t>
  </si>
  <si>
    <t>Citroen e-Mehan</t>
  </si>
  <si>
    <t>Smart Fortwo</t>
  </si>
  <si>
    <t>Zoe+</t>
  </si>
  <si>
    <t>i3+</t>
  </si>
  <si>
    <t>Hyundai</t>
  </si>
  <si>
    <t>Ioniq</t>
  </si>
  <si>
    <t>Opel Ampera-E</t>
  </si>
  <si>
    <t>Golf+</t>
  </si>
  <si>
    <t>Smart Forfour</t>
  </si>
  <si>
    <t>Smart Cabrio</t>
  </si>
  <si>
    <t>Clarity EV</t>
  </si>
  <si>
    <t>Focus+</t>
  </si>
  <si>
    <t>Model 3</t>
  </si>
  <si>
    <t>Leaf+</t>
  </si>
  <si>
    <t>Micra EV</t>
  </si>
  <si>
    <t>Volvo</t>
  </si>
  <si>
    <t>Aston Martin</t>
  </si>
  <si>
    <t>Lucid Motors</t>
  </si>
  <si>
    <t>top 1/3 Range</t>
  </si>
  <si>
    <t>Toyota</t>
  </si>
  <si>
    <t>Faraday</t>
  </si>
  <si>
    <t>i-Next</t>
  </si>
  <si>
    <t>range rankings</t>
  </si>
  <si>
    <t>Median Range</t>
  </si>
  <si>
    <t>Jaguar</t>
  </si>
  <si>
    <t xml:space="preserve"> I-Pace</t>
  </si>
  <si>
    <t>Audi</t>
  </si>
  <si>
    <t>e-tron Quatro</t>
  </si>
  <si>
    <t>up!</t>
  </si>
  <si>
    <t>E-Golf</t>
  </si>
  <si>
    <t>Kona</t>
  </si>
  <si>
    <t>Niro</t>
  </si>
  <si>
    <t>i-Miev</t>
  </si>
  <si>
    <t>Chevy</t>
  </si>
  <si>
    <t>Bolt</t>
  </si>
  <si>
    <t>i3s</t>
  </si>
  <si>
    <t>NIO</t>
  </si>
  <si>
    <t>ES8</t>
  </si>
  <si>
    <t xml:space="preserve">Porche </t>
  </si>
  <si>
    <t>Mission E</t>
  </si>
  <si>
    <t>Mercedes</t>
  </si>
  <si>
    <t>EQ</t>
  </si>
  <si>
    <t>XC40.2 Concept</t>
  </si>
  <si>
    <t>i5</t>
  </si>
  <si>
    <t>Corsa EV</t>
  </si>
  <si>
    <t xml:space="preserve">Ford </t>
  </si>
  <si>
    <t>ID Vizzion</t>
  </si>
  <si>
    <t>FF91</t>
  </si>
  <si>
    <t>Model S</t>
  </si>
  <si>
    <t>Fisker</t>
  </si>
  <si>
    <t>E-Motion</t>
  </si>
  <si>
    <t>Mini</t>
  </si>
  <si>
    <t>Cooper E</t>
  </si>
  <si>
    <t>Rapid E</t>
  </si>
  <si>
    <t>Kodiaq BEV</t>
  </si>
  <si>
    <t xml:space="preserve">Skoda </t>
  </si>
  <si>
    <t>Q6 e-tron</t>
  </si>
  <si>
    <t xml:space="preserve">Audi </t>
  </si>
  <si>
    <t xml:space="preserve">Chevy </t>
  </si>
  <si>
    <t xml:space="preserve"> </t>
  </si>
  <si>
    <t>500e</t>
  </si>
  <si>
    <t xml:space="preserve">Fiat </t>
  </si>
  <si>
    <t>ID Crozz SUV</t>
  </si>
  <si>
    <t>ID Hatch</t>
  </si>
  <si>
    <t>I Vision Dynamics</t>
  </si>
  <si>
    <t>ID Buzz</t>
  </si>
  <si>
    <t>Air+</t>
  </si>
  <si>
    <t>Opel</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</si>
  <si>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</si>
  <si>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</si>
  <si>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</si>
  <si>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</si>
  <si>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</si>
  <si>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</si>
  <si>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</si>
  <si>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</si>
  <si>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</si>
  <si>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</si>
  <si>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</si>
  <si>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</si>
  <si>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</si>
  <si>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</si>
  <si>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</si>
  <si>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</si>
  <si>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</si>
  <si>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</si>
  <si>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</si>
  <si>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</si>
  <si>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</si>
  <si>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</si>
  <si>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pred</t>
  </si>
  <si>
    <t>Spark</t>
  </si>
  <si>
    <t>US$'000</t>
  </si>
  <si>
    <t>BYD</t>
  </si>
  <si>
    <t>e6</t>
  </si>
  <si>
    <t>Model S 85D</t>
  </si>
  <si>
    <t>Vision E</t>
  </si>
  <si>
    <t>Mach 1</t>
  </si>
  <si>
    <t>RAV4 EV</t>
  </si>
  <si>
    <t>C30 EV</t>
  </si>
  <si>
    <t>2020+(=2021)</t>
  </si>
  <si>
    <t>median cost</t>
  </si>
  <si>
    <t>median range</t>
  </si>
  <si>
    <t>% acceptance</t>
  </si>
  <si>
    <t>range</t>
  </si>
  <si>
    <t>km</t>
  </si>
  <si>
    <t>BEV sales</t>
  </si>
  <si>
    <t>range/cost</t>
  </si>
  <si>
    <t>US2017$</t>
  </si>
  <si>
    <t>US cpi</t>
  </si>
  <si>
    <t>US cpi 2017</t>
  </si>
  <si>
    <t>Range&lt;$50K</t>
  </si>
  <si>
    <t>median&lt;$50K</t>
  </si>
  <si>
    <t>US2017&lt;50K</t>
  </si>
  <si>
    <t>nominal</t>
  </si>
  <si>
    <t>top 1/3 Cost 2017$</t>
  </si>
  <si>
    <t>year-specific</t>
  </si>
  <si>
    <t>2-year average</t>
  </si>
  <si>
    <t xml:space="preserve"> smth'd Range</t>
  </si>
  <si>
    <t>&lt;$50K</t>
  </si>
  <si>
    <t>median cost 2017$</t>
  </si>
  <si>
    <t>hi range</t>
  </si>
  <si>
    <t>small orders</t>
  </si>
  <si>
    <t>fraction large</t>
  </si>
  <si>
    <t>cost/kWh</t>
  </si>
  <si>
    <t xml:space="preserve">kWh </t>
  </si>
  <si>
    <t>battery pack cost</t>
  </si>
  <si>
    <t>Battery Pack</t>
  </si>
  <si>
    <t>Powertrain</t>
  </si>
  <si>
    <t>Car Body</t>
  </si>
  <si>
    <t>Indirect Costs</t>
  </si>
  <si>
    <t>Dealer Margin</t>
  </si>
  <si>
    <t>Profit</t>
  </si>
  <si>
    <t>Price</t>
  </si>
  <si>
    <t>$/kWh</t>
  </si>
  <si>
    <t xml:space="preserve">Top 1/3 </t>
  </si>
  <si>
    <t>($000)</t>
  </si>
  <si>
    <t>Constant Range</t>
  </si>
  <si>
    <t>Growing Range</t>
  </si>
  <si>
    <t>Tesla Model 3 analysis</t>
  </si>
  <si>
    <t xml:space="preserve">Constant Range </t>
  </si>
  <si>
    <t>Price Growing Range</t>
  </si>
  <si>
    <t xml:space="preserve">Price Constant Range </t>
  </si>
  <si>
    <t>Chevy Bolt analysis</t>
  </si>
  <si>
    <t>Range (km)</t>
  </si>
  <si>
    <t>Price gas-fuelled</t>
  </si>
  <si>
    <t>smth'd</t>
  </si>
  <si>
    <t xml:space="preserve"> large orders</t>
  </si>
  <si>
    <t>28 New Energy Finance</t>
  </si>
  <si>
    <t>51.3 Cairn Energy Research Advisors</t>
  </si>
  <si>
    <t xml:space="preserve"> small orders composite</t>
  </si>
  <si>
    <t>Lower 95.0%</t>
  </si>
  <si>
    <t>Upper 95.0%</t>
  </si>
  <si>
    <t>X Variable 1</t>
  </si>
  <si>
    <t>X Variable 2</t>
  </si>
  <si>
    <t>range&gt;250</t>
  </si>
  <si>
    <t>range&lt;250km</t>
  </si>
  <si>
    <t>range&gt;250km</t>
  </si>
  <si>
    <t>Canada</t>
  </si>
  <si>
    <t>China</t>
  </si>
  <si>
    <t>France</t>
  </si>
  <si>
    <t>Germany</t>
  </si>
  <si>
    <t>India</t>
  </si>
  <si>
    <t>Japan</t>
  </si>
  <si>
    <t>Korea</t>
  </si>
  <si>
    <t>Netherlands</t>
  </si>
  <si>
    <t>Norway</t>
  </si>
  <si>
    <t xml:space="preserve">Sweden </t>
  </si>
  <si>
    <t>UK</t>
  </si>
  <si>
    <t>USA</t>
  </si>
  <si>
    <t>BEV and PHEV new regios</t>
  </si>
  <si>
    <t>('000s)</t>
  </si>
  <si>
    <t>Others</t>
  </si>
  <si>
    <t>BEV and PHEV cumulative vehicles</t>
  </si>
  <si>
    <t>BEV new regios</t>
  </si>
  <si>
    <t>Australia</t>
  </si>
  <si>
    <t>all EV sales</t>
  </si>
  <si>
    <t>000s</t>
  </si>
  <si>
    <t>gas-fuelled = average of Chevy Cruz and Malibu 2017</t>
  </si>
  <si>
    <t>top 1/3 price 2017$</t>
  </si>
  <si>
    <t>median price predicted</t>
  </si>
  <si>
    <t>median price growing range</t>
  </si>
  <si>
    <t>Top 1/3 Price Growing Range</t>
  </si>
  <si>
    <t xml:space="preserve">Top 1/3 Price Constant Range </t>
  </si>
  <si>
    <t xml:space="preserve"> top 1/3 gas-fuelled equivalent = average of Chevy Cruz and Malibu 2017</t>
  </si>
  <si>
    <t>top 1/3 price</t>
  </si>
  <si>
    <t>median price constant range</t>
  </si>
  <si>
    <t>top 1/3 Cost 2017$000</t>
  </si>
  <si>
    <t>top 1/3 by rangerange 2017$000</t>
  </si>
  <si>
    <t>BEV price</t>
  </si>
  <si>
    <t>2017$US</t>
  </si>
  <si>
    <t>petrol vs electricity</t>
  </si>
  <si>
    <t>TCO vs ICEV</t>
  </si>
  <si>
    <t>Range acceptance</t>
  </si>
  <si>
    <t>Slow charge units</t>
  </si>
  <si>
    <t>Fast charge units</t>
  </si>
  <si>
    <t>median</t>
  </si>
  <si>
    <t>Range&gt;500</t>
  </si>
  <si>
    <t>range acceptance</t>
  </si>
  <si>
    <t>range&gt;500</t>
  </si>
  <si>
    <t>Top 1/3 range</t>
  </si>
  <si>
    <t>Top 1/3</t>
  </si>
  <si>
    <t>smoothed</t>
  </si>
  <si>
    <t>Source UBS ref 35</t>
  </si>
  <si>
    <t>POPULATION (000)</t>
  </si>
  <si>
    <t>VEHICLES (000)</t>
  </si>
  <si>
    <t>Recharge/(000 veh)</t>
  </si>
  <si>
    <t>Vehicle Numbers (000s)</t>
  </si>
  <si>
    <t xml:space="preserve">Weighted recharge facilties/ '000 vehicles </t>
  </si>
  <si>
    <t>ICEV price</t>
  </si>
  <si>
    <t>BEV/ICEV price ratio</t>
  </si>
  <si>
    <t>golf-e</t>
  </si>
  <si>
    <t>golf -ICE</t>
  </si>
  <si>
    <t>tax</t>
  </si>
  <si>
    <t>import price</t>
  </si>
  <si>
    <t>retail price</t>
  </si>
  <si>
    <t xml:space="preserve">annual subsidies </t>
  </si>
  <si>
    <t>$US</t>
  </si>
  <si>
    <t>Britain</t>
  </si>
  <si>
    <t>share of new sales</t>
  </si>
  <si>
    <t>EV target date</t>
  </si>
  <si>
    <t>all new models electric</t>
  </si>
  <si>
    <t>PHEV new regios</t>
  </si>
  <si>
    <t>IEA (2017) Global EV Outlook 2017</t>
  </si>
  <si>
    <t>ICEV import price</t>
  </si>
  <si>
    <t>BEV import price</t>
  </si>
  <si>
    <t>Golf-e</t>
  </si>
  <si>
    <t>Golf-ICE</t>
  </si>
  <si>
    <t>1US$=8.1N crowns</t>
  </si>
  <si>
    <t>1US$=6.1N crowns</t>
  </si>
  <si>
    <t>tax benefit/yr</t>
  </si>
  <si>
    <t>40%new sales</t>
  </si>
  <si>
    <t>company car use</t>
  </si>
  <si>
    <t>petrol price</t>
  </si>
  <si>
    <t>thousands</t>
  </si>
  <si>
    <t>BEV benefits phased in from 1990</t>
  </si>
  <si>
    <t>US2017$/l</t>
  </si>
  <si>
    <t xml:space="preserve"> regio</t>
  </si>
  <si>
    <t>parking</t>
  </si>
  <si>
    <t>tolls</t>
  </si>
  <si>
    <t>change</t>
  </si>
  <si>
    <t>average</t>
  </si>
  <si>
    <t>%sales</t>
  </si>
  <si>
    <t>logistic</t>
  </si>
  <si>
    <t>PHEV</t>
  </si>
  <si>
    <t>B+PH EV</t>
  </si>
  <si>
    <t>lag1 price ratio</t>
  </si>
  <si>
    <t>dum1415</t>
  </si>
  <si>
    <t>BEV + PHEV % sales</t>
  </si>
  <si>
    <t>time</t>
  </si>
  <si>
    <t>Nethlds</t>
  </si>
  <si>
    <t>NZ</t>
  </si>
  <si>
    <t>PHEV sales</t>
  </si>
  <si>
    <t>All new pass vehicle sales</t>
  </si>
  <si>
    <t>smaller</t>
  </si>
  <si>
    <t>use this</t>
  </si>
  <si>
    <t>random</t>
  </si>
  <si>
    <t>larger</t>
  </si>
  <si>
    <t>high</t>
  </si>
  <si>
    <t>IRF DATA</t>
  </si>
  <si>
    <t>NZ cars in</t>
  </si>
  <si>
    <t>MOT XL</t>
  </si>
  <si>
    <t>https://countryeconomy.com/business/car-registrations/norway?year=2016</t>
  </si>
  <si>
    <t>USA tot</t>
  </si>
  <si>
    <t>US govt</t>
  </si>
  <si>
    <t>us_vehsales_hist.xlsx</t>
  </si>
  <si>
    <t>https://www.google.com.au/url?sa=t&amp;rct=j&amp;q=&amp;esrc=s&amp;source=web&amp;cd=4&amp;cad=rja&amp;uact=8&amp;ved=0ahUKEwjVgIL8wr3aAhWHn5QKHRdND-IQFgg7MAM&amp;url=https%3A%2F%2Fwww.bea.gov%2Fnational%2Fxls%2Fgap_hist.xlsx&amp;usg=AOvVaw25t3sAjwFT9huVtMn4PME0</t>
  </si>
  <si>
    <t>https://www.reportlinker.com/data/series/xLTSwVteK9Q</t>
  </si>
  <si>
    <t>IEA</t>
  </si>
  <si>
    <t>Cars</t>
  </si>
  <si>
    <t>Vans</t>
  </si>
  <si>
    <t>New registrations ('000s)</t>
  </si>
  <si>
    <t>Total Sales</t>
  </si>
  <si>
    <t>https://en.wikipedia.org/wiki/File:EV_Registrations_France_2010_2013.png</t>
  </si>
  <si>
    <t>New registrations</t>
  </si>
  <si>
    <t>Cars only</t>
  </si>
  <si>
    <t>BEV cars</t>
  </si>
  <si>
    <t>PHEV cars</t>
  </si>
  <si>
    <t>E-Van</t>
  </si>
  <si>
    <t>E-Truck</t>
  </si>
  <si>
    <t>Trucks</t>
  </si>
  <si>
    <t>Total PEV</t>
  </si>
  <si>
    <t>number</t>
  </si>
  <si>
    <t>E-Vans</t>
  </si>
  <si>
    <t>used</t>
  </si>
  <si>
    <t>new</t>
  </si>
  <si>
    <t>PHEVs</t>
  </si>
  <si>
    <t>BEVs</t>
  </si>
  <si>
    <t>vans</t>
  </si>
  <si>
    <r>
      <t>Total used imports registered</t>
    </r>
    <r>
      <rPr>
        <vertAlign val="superscript"/>
        <sz val="8.8000000000000007"/>
        <color theme="1"/>
        <rFont val="Calibri"/>
        <family val="2"/>
        <scheme val="minor"/>
      </rPr>
      <t>[2][3][90]</t>
    </r>
  </si>
  <si>
    <r>
      <t>Total registered</t>
    </r>
    <r>
      <rPr>
        <vertAlign val="superscript"/>
        <sz val="8.8000000000000007"/>
        <color theme="1"/>
        <rFont val="Calibri"/>
        <family val="2"/>
        <scheme val="minor"/>
      </rPr>
      <t>[2][3][131][88]</t>
    </r>
  </si>
  <si>
    <t>tot regos</t>
  </si>
  <si>
    <t>used import</t>
  </si>
  <si>
    <t>new sales</t>
  </si>
  <si>
    <t>cars</t>
  </si>
  <si>
    <t>Wiki</t>
  </si>
  <si>
    <t>UK     Wiki</t>
  </si>
  <si>
    <t>numbers</t>
  </si>
  <si>
    <t xml:space="preserve"> More than 137,000 light-duty plug-in electric vehicles had been registered in the UK as of December 2017.[9] </t>
  </si>
  <si>
    <t>As of December 2016[update], the British plug-in fleet was the fourth largest in Europe.[10] The stock of plug-ins includes about 5,100 plug-in commercial vans.</t>
  </si>
  <si>
    <t>van fraction</t>
  </si>
  <si>
    <t>Plug-in hybrid vehicles remain far more popular, with over 1,000 such vehicles sold in 2016, but the segment remains a tiny fraction of the overall market.</t>
  </si>
  <si>
    <t>https://www.canstar.com.au/news-articles/electric-car-sales-slump-despite-record-year/</t>
  </si>
  <si>
    <t>2016 Amid another record sales year for new cars in Australia, electric vehicle sales have taken a huge dive. Just 219 electric cars were sold in 2016, out of nearly 1.2 million new vehicles which left Australian dealerships.</t>
  </si>
  <si>
    <t>VANS</t>
  </si>
  <si>
    <t>https://www.parkers.co.uk/vans/news-and-advice/electric-vans/</t>
  </si>
  <si>
    <t>the Nissan e-NV200 and Renault Kangoo ZE do currently dominate electric van sales</t>
  </si>
  <si>
    <t>Van name</t>
  </si>
  <si>
    <t xml:space="preserve"> Van type/size </t>
  </si>
  <si>
    <t> Official driving range</t>
  </si>
  <si>
    <t xml:space="preserve"> Renault Kangoo ZE 33 </t>
  </si>
  <si>
    <t>Small van</t>
  </si>
  <si>
    <t>170 miles</t>
  </si>
  <si>
    <t xml:space="preserve"> Nissan e-NV200 40kWh </t>
  </si>
  <si>
    <t>174 miles</t>
  </si>
  <si>
    <t xml:space="preserve"> Citroen Berlingo Electric </t>
  </si>
  <si>
    <t>106 miles</t>
  </si>
  <si>
    <t xml:space="preserve"> Peugeot Partner Electric </t>
  </si>
  <si>
    <t xml:space="preserve"> Renault Master ZE </t>
  </si>
  <si>
    <t>Large van</t>
  </si>
  <si>
    <t>120 miles</t>
  </si>
  <si>
    <t xml:space="preserve"> LDV EV80 </t>
  </si>
  <si>
    <t>127 miles</t>
  </si>
  <si>
    <t xml:space="preserve"> Iveco Daily Electric </t>
  </si>
  <si>
    <t>Varies with batteries</t>
  </si>
  <si>
    <t xml:space="preserve">Mercedes-Benz e-Vito, e-Sprinter </t>
  </si>
  <si>
    <t>Volkswagon e-Crafter</t>
  </si>
  <si>
    <t>Ford Transit Custom PHEV</t>
  </si>
  <si>
    <t>https://www.governmentnews.com.au/2017/03/electric-vehicles-can/</t>
  </si>
  <si>
    <t>Table</t>
  </si>
  <si>
    <t>New</t>
  </si>
  <si>
    <t>Vehicle</t>
  </si>
  <si>
    <t>Sales</t>
  </si>
  <si>
    <t>(excl</t>
  </si>
  <si>
    <t>Heavy</t>
  </si>
  <si>
    <t>Vehicles)</t>
  </si>
  <si>
    <t>All</t>
  </si>
  <si>
    <t>Diesel</t>
  </si>
  <si>
    <t>Electric</t>
  </si>
  <si>
    <t>Hybrid</t>
  </si>
  <si>
    <t>LPG</t>
  </si>
  <si>
    <t>Petrol</t>
  </si>
  <si>
    <t>Azure</t>
  </si>
  <si>
    <t>Dynamics</t>
  </si>
  <si>
    <t>Transit</t>
  </si>
  <si>
    <t>Connect</t>
  </si>
  <si>
    <t>Mercedes-Benz</t>
  </si>
  <si>
    <t>Vito</t>
  </si>
  <si>
    <t>E-Cell</t>
  </si>
  <si>
    <t>Faam</t>
  </si>
  <si>
    <t>ECOMILE</t>
  </si>
  <si>
    <t>JOLLY</t>
  </si>
  <si>
    <t>Mia-electric</t>
  </si>
  <si>
    <t>Mia</t>
  </si>
  <si>
    <t>U</t>
  </si>
  <si>
    <t>Kangoo</t>
  </si>
  <si>
    <t>ZE</t>
  </si>
  <si>
    <t>variants</t>
  </si>
  <si>
    <t>VAN</t>
  </si>
  <si>
    <t>ZE,</t>
  </si>
  <si>
    <t>Van</t>
  </si>
  <si>
    <t>Maxi</t>
  </si>
  <si>
    <t>and</t>
  </si>
  <si>
    <t>Crew</t>
  </si>
  <si>
    <t>Smith</t>
  </si>
  <si>
    <t>Edison</t>
  </si>
  <si>
    <t>SE2</t>
  </si>
  <si>
    <t>SE3</t>
  </si>
  <si>
    <t>The rise of electric vans</t>
  </si>
  <si>
    <r>
      <t>According to the latest figures from the Department for Transport</t>
    </r>
    <r>
      <rPr>
        <sz val="11"/>
        <color rgb="FF4D4D4D"/>
        <rFont val="Arial"/>
        <family val="2"/>
      </rPr>
      <t xml:space="preserve">, there were 6,348 ultra-low emission vans in the UK at the end of September – a 60% increase since September 2014. As the graph below shows, that increase is due to a surge in the number of plug-in electric vans, from just 903 three years ago to 3,656 now. And our survey of fleet professionals for Hitachi Capital’s new </t>
    </r>
    <r>
      <rPr>
        <i/>
        <sz val="11"/>
        <color rgb="FFB1000E"/>
        <rFont val="Arial"/>
        <family val="2"/>
      </rPr>
      <t>Future of Fuel</t>
    </r>
    <r>
      <rPr>
        <sz val="11"/>
        <color rgb="FF4D4D4D"/>
        <rFont val="Arial"/>
        <family val="2"/>
      </rPr>
      <t>  report found that 9% of fleets now contain electric vans.</t>
    </r>
  </si>
  <si>
    <t> Of course, there’s still a long way to go before electric vans are the norm. Those 3,656 plug-in vans represent just 0.1% of all light commercial vehicles on Britain’s roads, and only 0.4% of new van registrations are electric.</t>
  </si>
  <si>
    <t>new regos</t>
  </si>
  <si>
    <t>e-VANS</t>
  </si>
  <si>
    <t>IEA figures for Japan are cars - no vans</t>
  </si>
  <si>
    <t>IEA figures for Norway are cars - no vans</t>
  </si>
  <si>
    <t>IEA figures for France are cars - no vans</t>
  </si>
  <si>
    <t>PEV sales</t>
  </si>
  <si>
    <t>Cosgrove</t>
  </si>
  <si>
    <t>https://climateworksaustralia.org/sites/default/files/documents/publications/state_of_evs_final.pdf</t>
  </si>
  <si>
    <t>2017)</t>
  </si>
  <si>
    <t>Both small electric vans, Renault’s Kangoo Z.E. (170 mi NEDC range) and Nissan’s e-NV200 (175 mi NEDC) lead the European market with close to 4k units each in 2016. In third position was Deutsche Post’s “Street-Scooter,” a large, fully electric van built in collaboration with Ford. Other large vans are coming such as San Francisco-based Chanje’s V8070 (100 mi EPA, 2017) in the USA, Renault’s Master (2017) and Mercedes’ Vito and Sprinter (2018 and 2019).</t>
  </si>
  <si>
    <t>Overview</t>
  </si>
  <si>
    <t>of</t>
  </si>
  <si>
    <t>currently</t>
  </si>
  <si>
    <t>available</t>
  </si>
  <si>
    <t>e-LCVs.</t>
  </si>
  <si>
    <t>Model</t>
  </si>
  <si>
    <t>(per</t>
  </si>
  <si>
    <t>august</t>
  </si>
  <si>
    <t>Citroen</t>
  </si>
  <si>
    <t>Small</t>
  </si>
  <si>
    <t>Iveco</t>
  </si>
  <si>
    <t>Large</t>
  </si>
  <si>
    <t>n/a</t>
  </si>
  <si>
    <t>SAIC</t>
  </si>
  <si>
    <t>EV-80</t>
  </si>
  <si>
    <t>Berlingo EV</t>
  </si>
  <si>
    <t>Vehicle segment</t>
  </si>
  <si>
    <t>EU Sales (YTD Aug)</t>
  </si>
  <si>
    <t>Partner EV</t>
  </si>
  <si>
    <t>Daily EV</t>
  </si>
  <si>
    <t>Master ZE</t>
  </si>
  <si>
    <t>https://www.leaseplan.com/corporate/~/media/Files/L/Leaseplan/documents/media-library/2017/leaseplan-white-paper-electric-lcv.pdf</t>
  </si>
  <si>
    <t>range km</t>
  </si>
  <si>
    <t>IEA figures for Britain cars only</t>
  </si>
  <si>
    <t>pass only</t>
  </si>
  <si>
    <t>https://en.wikipedia.org/wiki/Electric_car_use_by_country#cite_note-Sales2017US-15</t>
  </si>
  <si>
    <t>(2) Only includes passenger EVs.</t>
  </si>
  <si>
    <t>Midsize</t>
  </si>
  <si>
    <t>Luxury</t>
  </si>
  <si>
    <t>Light-duty</t>
  </si>
  <si>
    <t>trucks</t>
  </si>
  <si>
    <t>Pickup</t>
  </si>
  <si>
    <t>Cross-over</t>
  </si>
  <si>
    <t>Minivan</t>
  </si>
  <si>
    <t>SUV</t>
  </si>
  <si>
    <t>SUV/Cross-over</t>
  </si>
  <si>
    <t>http://www.wsj.com/mdc/public/page/2_3022-autosales.html</t>
  </si>
  <si>
    <t>%</t>
  </si>
  <si>
    <t>YTD</t>
  </si>
  <si>
    <t>ch from 17</t>
  </si>
  <si>
    <t>ch from YTD</t>
  </si>
  <si>
    <t>Small Van</t>
  </si>
  <si>
    <t>Large Van</t>
  </si>
  <si>
    <t>Midsize SUV</t>
  </si>
  <si>
    <t>Large SUV</t>
  </si>
  <si>
    <t>Small SUV</t>
  </si>
  <si>
    <t>Luxury SUV</t>
  </si>
  <si>
    <t>year to</t>
  </si>
  <si>
    <t>cars+SUV</t>
  </si>
  <si>
    <t>cars+SUV+cross-over</t>
  </si>
  <si>
    <t>SUV+cross-over</t>
  </si>
  <si>
    <t>Source: Bureau of Transportation Statistics[15]</t>
  </si>
  <si>
    <t>https://en.wikibooks.org/wiki/Transportation_Deployment_Casebook/Life_cycle_of_Sport_Utility_Vehicles_(SUVs)#cite_note-15</t>
  </si>
  <si>
    <t>http://www.goodcarbadcar.net/2014/01/2013-usa-suv-crossover-sales-rankings-by-model-december/</t>
  </si>
  <si>
    <t>SUV+Xover</t>
  </si>
  <si>
    <t>% all sales</t>
  </si>
  <si>
    <t>sales</t>
  </si>
  <si>
    <t>private cars</t>
  </si>
  <si>
    <t>IRF</t>
  </si>
  <si>
    <t>ITF</t>
  </si>
  <si>
    <t>new registrations ('000s)</t>
  </si>
  <si>
    <t>CUV</t>
  </si>
  <si>
    <t xml:space="preserve">                           Light trucks</t>
  </si>
  <si>
    <t>SUV/CUV</t>
  </si>
  <si>
    <t>Pickup/van</t>
  </si>
  <si>
    <t>Total LV sales</t>
  </si>
  <si>
    <t>difference</t>
  </si>
  <si>
    <t>less vans/pickups</t>
  </si>
  <si>
    <t>USA cars</t>
  </si>
  <si>
    <t>US cars/SUV/CUV</t>
  </si>
  <si>
    <t>from DC</t>
  </si>
  <si>
    <t>LV total</t>
  </si>
  <si>
    <t>https://www.leadingthecharge.org.nz/nz_electric_car_guide</t>
  </si>
  <si>
    <t>Petrol price nominal currency/l</t>
  </si>
  <si>
    <t>exchange rate (currency per US$)</t>
  </si>
  <si>
    <t>1 US gal = 3.78541 litres</t>
  </si>
  <si>
    <t>http://www.eafo.eu/content/italy</t>
  </si>
  <si>
    <t>Italy</t>
  </si>
  <si>
    <t>Austria</t>
  </si>
  <si>
    <t>Belgium</t>
  </si>
  <si>
    <t>Denmark</t>
  </si>
  <si>
    <t>Finland</t>
  </si>
  <si>
    <t>Hungary</t>
  </si>
  <si>
    <t>Ireland</t>
  </si>
  <si>
    <t>Spain</t>
  </si>
  <si>
    <t>Switzerland</t>
  </si>
  <si>
    <t>ICCT</t>
  </si>
  <si>
    <t>Bulgaria</t>
  </si>
  <si>
    <t>Cyprus</t>
  </si>
  <si>
    <t>Czeck Rep</t>
  </si>
  <si>
    <t>Estonia</t>
  </si>
  <si>
    <t>Iceland</t>
  </si>
  <si>
    <t>Latvia</t>
  </si>
  <si>
    <t>Lithuania</t>
  </si>
  <si>
    <t>Luxumberg</t>
  </si>
  <si>
    <t>Malta</t>
  </si>
  <si>
    <t>Poland</t>
  </si>
  <si>
    <t>Portugal</t>
  </si>
  <si>
    <t>Romania</t>
  </si>
  <si>
    <t>Slovakia</t>
  </si>
  <si>
    <t>Turkey</t>
  </si>
  <si>
    <t>Croatia</t>
  </si>
  <si>
    <t>Slovania</t>
  </si>
  <si>
    <t>%BEV</t>
  </si>
  <si>
    <t>%PHEV</t>
  </si>
  <si>
    <t>Normal</t>
  </si>
  <si>
    <t>Fast</t>
  </si>
  <si>
    <t>Sales1</t>
  </si>
  <si>
    <t>Sales2</t>
  </si>
  <si>
    <t>Pass sales</t>
  </si>
  <si>
    <t>%Total</t>
  </si>
  <si>
    <t>BULGARIA</t>
  </si>
  <si>
    <t>CROATIA</t>
  </si>
  <si>
    <t>CYPRUS</t>
  </si>
  <si>
    <t>CZECH R.</t>
  </si>
  <si>
    <t>ESTONIA</t>
  </si>
  <si>
    <t>GREECE</t>
  </si>
  <si>
    <t>ICELAND</t>
  </si>
  <si>
    <t>LATVIA</t>
  </si>
  <si>
    <t>LICHENSTEIN</t>
  </si>
  <si>
    <t>LITHUANIA</t>
  </si>
  <si>
    <t>LUXEMBERG</t>
  </si>
  <si>
    <t>MALTA</t>
  </si>
  <si>
    <t>POLAND</t>
  </si>
  <si>
    <t>PORTUGAL</t>
  </si>
  <si>
    <t>ROMANIA</t>
  </si>
  <si>
    <t>SLOVAKIA</t>
  </si>
  <si>
    <t>SLOVEN IA</t>
  </si>
  <si>
    <t>TURKEY</t>
  </si>
  <si>
    <t>AUSTRIA</t>
  </si>
  <si>
    <t>BELGIUM</t>
  </si>
  <si>
    <t>DENMARK</t>
  </si>
  <si>
    <t>FINLAND</t>
  </si>
  <si>
    <t>HUNGARY</t>
  </si>
  <si>
    <t>IRELAND</t>
  </si>
  <si>
    <t>SPAIN</t>
  </si>
  <si>
    <t>SWITZERLAND</t>
  </si>
  <si>
    <t>ITALY</t>
  </si>
  <si>
    <t>FRANCE</t>
  </si>
  <si>
    <t>GERMANY</t>
  </si>
  <si>
    <t>NETHERLANDS</t>
  </si>
  <si>
    <t>NORWAY</t>
  </si>
  <si>
    <t>SWEDEN</t>
  </si>
  <si>
    <t>UNITED KINGDOM</t>
  </si>
  <si>
    <t>eafo</t>
  </si>
  <si>
    <t>reportlinker</t>
  </si>
  <si>
    <t>US</t>
  </si>
  <si>
    <t>ABS cars+suvs</t>
  </si>
  <si>
    <t>rest Europe</t>
  </si>
  <si>
    <t>Greece</t>
  </si>
  <si>
    <t xml:space="preserve">India </t>
  </si>
  <si>
    <t>https://www.thenational.ae/business/india-on-road-to-electric-car-future-but-roadblocks-remain-1.705356</t>
  </si>
  <si>
    <t>Only 2,000 of these were actually cars, with most of these vehicles being autorickshaws.</t>
  </si>
  <si>
    <t xml:space="preserve">The number of electric vehicles being sold in India are still very small. There were 22,000 sold in 2016, up from 16,000 in the previous year, according to the Society of Manufacturers of Electric Vehicles. </t>
  </si>
  <si>
    <t>“By 2040, the whole world will be driving home hydrogen cars,” Roland Folger, the managing director of Mercedes-Benz India told the Press Trust of India news agency.</t>
  </si>
  <si>
    <t>https://wattev2buy.com/global-ev-sales/india-ev-sales/</t>
  </si>
  <si>
    <t>https://about.bnef.com/blog/indias-electric-vehicle-market-doubled-2017/</t>
  </si>
  <si>
    <t>http://www.innovasjonnorge.no/contentassets/815ebd0568d4490aa91d0b2d5505abe4/india-ev-story.pdf</t>
  </si>
  <si>
    <t>BEV stock</t>
  </si>
  <si>
    <t>FinYr</t>
  </si>
  <si>
    <t>80 locations across 10 cities with ~86% located in Delhi,</t>
  </si>
  <si>
    <t>Kolkata, Bangalore and Pune</t>
  </si>
  <si>
    <t>246 slow</t>
  </si>
  <si>
    <t>24 fast</t>
  </si>
  <si>
    <t>270 chargers in 2017</t>
  </si>
  <si>
    <t>https://www.mckinsey.com/~/media/mckinsey/industries/automotive%20and%20assembly/our%20insights/the%20future%20of%20mobility%20in%20india/the-future-of-mobility-in-india.ashx</t>
  </si>
  <si>
    <t>https://timesofindia.indiatimes.com/business/india-business/car-sales-grow-highest-in-4-years-to-cross-3m-in-2017/articleshow/62330862.cms</t>
  </si>
  <si>
    <t>Car Sales</t>
  </si>
  <si>
    <t>%ch</t>
  </si>
  <si>
    <t>http://www.ieahev.org/assets/1/7/EV_PHEV_Roadmap.pdf</t>
  </si>
  <si>
    <t>https://myelectriccar.com.au/incentives/</t>
  </si>
  <si>
    <t>https://www.theicct.org/sites/default/files/publications/India-hybrid-and-EV-incentives_working-paper_ICCT_27122016.pdf</t>
  </si>
  <si>
    <t>https://www.drivespark.com/four-wheelers/2017/gst-effect-hybrids-electric-cars-right-move-022869.html</t>
  </si>
  <si>
    <t>na</t>
  </si>
  <si>
    <t>innovas</t>
  </si>
  <si>
    <t>bnef</t>
  </si>
  <si>
    <t>watev2buy</t>
  </si>
  <si>
    <t>BEV car sales</t>
  </si>
  <si>
    <t>PHEV car sales</t>
  </si>
  <si>
    <t>BEV estimate</t>
  </si>
  <si>
    <t>Total PEV sales</t>
  </si>
  <si>
    <t>PEVs</t>
  </si>
  <si>
    <t>India tab</t>
  </si>
  <si>
    <t>EV sales</t>
  </si>
  <si>
    <t>Pass Veh sales</t>
  </si>
  <si>
    <t>see Climate Works</t>
  </si>
  <si>
    <t>USA tab</t>
  </si>
  <si>
    <t>Rest Europe</t>
  </si>
  <si>
    <t>EV (BEV+PHEV) market share  (% new sales)</t>
  </si>
  <si>
    <t>nominal petrol price ($US/litre)</t>
  </si>
  <si>
    <t>real petrol price (2017 $US/litre)</t>
  </si>
  <si>
    <t>https://www.best-selling-cars.com</t>
  </si>
  <si>
    <t>2016,17 updates</t>
  </si>
  <si>
    <t xml:space="preserve">German aver price </t>
  </si>
  <si>
    <t>VAT 20%</t>
  </si>
  <si>
    <t>Base cost</t>
  </si>
  <si>
    <t>Purchase price</t>
  </si>
  <si>
    <t>Fosil Fuel Vehicles (FFV)</t>
  </si>
  <si>
    <t>Euros/veh</t>
  </si>
  <si>
    <t>German aver ccs</t>
  </si>
  <si>
    <t>Ownership tax</t>
  </si>
  <si>
    <t>Percieved Up-front cost</t>
  </si>
  <si>
    <t>Battery Electric Vehicles (BEV)</t>
  </si>
  <si>
    <t>EV median price US$</t>
  </si>
  <si>
    <t>Euros/US$</t>
  </si>
  <si>
    <t>$A</t>
  </si>
  <si>
    <t>adj Euro</t>
  </si>
  <si>
    <t>Pound</t>
  </si>
  <si>
    <t>C$</t>
  </si>
  <si>
    <t>Koruny</t>
  </si>
  <si>
    <t>Kroner</t>
  </si>
  <si>
    <t>Forint</t>
  </si>
  <si>
    <t>Shekels</t>
  </si>
  <si>
    <t>Yen</t>
  </si>
  <si>
    <t>Won</t>
  </si>
  <si>
    <t>NZ$</t>
  </si>
  <si>
    <t>Kronor</t>
  </si>
  <si>
    <t>Francs</t>
  </si>
  <si>
    <t>Liras</t>
  </si>
  <si>
    <t>synthetic</t>
  </si>
  <si>
    <t>Czech Rep</t>
  </si>
  <si>
    <t xml:space="preserve">Finland </t>
  </si>
  <si>
    <t>Isreal</t>
  </si>
  <si>
    <t>New Zealand</t>
  </si>
  <si>
    <t>Sweden</t>
  </si>
  <si>
    <t>Euro</t>
  </si>
  <si>
    <t>SDR</t>
  </si>
  <si>
    <t>EV median price Euros</t>
  </si>
  <si>
    <t>Ownership tax (2 E /cc)</t>
  </si>
  <si>
    <t>Exchange Rates (currency per US$)</t>
  </si>
  <si>
    <t>NTC</t>
  </si>
  <si>
    <t>market sales</t>
  </si>
  <si>
    <t>cars + SUVs (000s)</t>
  </si>
  <si>
    <t>LCVs (000s)</t>
  </si>
  <si>
    <t>all light vehs (000s)</t>
  </si>
  <si>
    <t>base-Case BEV,PHEV share (%)</t>
  </si>
  <si>
    <t>Accelerated BEV,PHEV share (%)</t>
  </si>
  <si>
    <t>Cars+SUVs</t>
  </si>
  <si>
    <t>actual 2017 sales</t>
  </si>
  <si>
    <t>mitsub outlander hitch in suppy</t>
  </si>
  <si>
    <t>All Evs ClimateWorks</t>
  </si>
  <si>
    <t>PHEV ClimateWorks implied</t>
  </si>
  <si>
    <t>Trading Econs</t>
  </si>
  <si>
    <t>Rupees</t>
  </si>
  <si>
    <t>US$</t>
  </si>
  <si>
    <t>SDRs</t>
  </si>
  <si>
    <t>Exchange Rates (currency per SDR)</t>
  </si>
  <si>
    <t>E/US$</t>
  </si>
  <si>
    <t>Euros</t>
  </si>
  <si>
    <t>BEV base</t>
  </si>
  <si>
    <t>PHEV base</t>
  </si>
  <si>
    <t>Both Evs</t>
  </si>
  <si>
    <t>purch subs</t>
  </si>
  <si>
    <t xml:space="preserve">VAT% </t>
  </si>
  <si>
    <t>2017US$</t>
  </si>
  <si>
    <t>FFV</t>
  </si>
  <si>
    <t>PHEV price</t>
  </si>
  <si>
    <t>BEV cost</t>
  </si>
  <si>
    <t>PHEV cost</t>
  </si>
  <si>
    <t>Non-Price subsidies</t>
  </si>
  <si>
    <t>subsidies</t>
  </si>
  <si>
    <t>$A/US$</t>
  </si>
  <si>
    <t xml:space="preserve">GST% </t>
  </si>
  <si>
    <t>FFV base</t>
  </si>
  <si>
    <t>FFV price</t>
  </si>
  <si>
    <t xml:space="preserve">$A </t>
  </si>
  <si>
    <t>Kroner/US$</t>
  </si>
  <si>
    <t>VAT</t>
  </si>
  <si>
    <t>Owner tax</t>
  </si>
  <si>
    <t>FFV cost</t>
  </si>
  <si>
    <t>pounds</t>
  </si>
  <si>
    <t>pounds/US$</t>
  </si>
  <si>
    <t>plug-in grant</t>
  </si>
  <si>
    <t>owner tax reduct</t>
  </si>
  <si>
    <t>tax reduct</t>
  </si>
  <si>
    <t>BPMrego tax</t>
  </si>
  <si>
    <r>
      <t>Initially, sales of plug-in electric car were lower than expected, and during 2012 the segment captured a market share of less than 1% of new car sales in the country.</t>
    </r>
    <r>
      <rPr>
        <vertAlign val="superscript"/>
        <sz val="8.5"/>
        <color theme="1"/>
        <rFont val="Open Sans"/>
      </rPr>
      <t>[23]</t>
    </r>
    <r>
      <rPr>
        <sz val="11.5"/>
        <color rgb="FF425869"/>
        <rFont val="Open Sans"/>
      </rPr>
      <t xml:space="preserve"> As a result of the end of the total exemption of the registration fee, the segment sales peaked at the end of 2013,</t>
    </r>
    <r>
      <rPr>
        <vertAlign val="superscript"/>
        <sz val="8.5"/>
        <color theme="1"/>
        <rFont val="Open Sans"/>
      </rPr>
      <t>[24]</t>
    </r>
    <r>
      <rPr>
        <sz val="11.5"/>
        <color rgb="FF425869"/>
        <rFont val="Open Sans"/>
      </rPr>
      <t xml:space="preserve"> and plug-in electric car sales reached a market share of 5.34% of new car sales in 2013.</t>
    </r>
    <r>
      <rPr>
        <vertAlign val="superscript"/>
        <sz val="8.5"/>
        <color theme="1"/>
        <rFont val="Open Sans"/>
      </rPr>
      <t>[12]</t>
    </r>
    <r>
      <rPr>
        <sz val="11.5"/>
        <color rgb="FF425869"/>
        <rFont val="Open Sans"/>
      </rPr>
      <t xml:space="preserve"> The total cost of the tax exemptions for the Dutch treasury of the more than 22,000 plug-in electric vehicles sold in 2013 was estimated at €500 million (US$691 million</t>
    </r>
  </si>
  <si>
    <t>The strong increase of plug-in car sales during the last months of 2013 was due to the end of the total exemption of the registration fee for corporate cars, which is valid for 5 years. From January 1, 2014, all-electric vehicles pay a 4% registration fee and plug-in hybrids a 7% fee.</t>
  </si>
  <si>
    <r>
      <t>Plug-in car sales achieved its best monthly volume on record ever in December 2015, with about 15,900 units sold, and allowing the segment to reach a record market share of about 23%. The surge in plug-in car sales was due to reduction of the registration fees for plug-in hybrids. From January 1, 2016, all-electric vehicles continue to pay a 4% registration fee, but for a plug-in hybrid the fee rises from 7% to 15% if its CO</t>
    </r>
    <r>
      <rPr>
        <vertAlign val="subscript"/>
        <sz val="8.5"/>
        <color rgb="FF425869"/>
        <rFont val="Open Sans"/>
      </rPr>
      <t>2</t>
    </r>
    <r>
      <rPr>
        <sz val="11.5"/>
        <color rgb="FF425869"/>
        <rFont val="Open Sans"/>
      </rPr>
      <t xml:space="preserve"> emissions do not exceed 50 g/km. The rate for a conventional internal combustion car is 25% of its book value.</t>
    </r>
    <r>
      <rPr>
        <vertAlign val="superscript"/>
        <sz val="8.5"/>
        <color theme="1"/>
        <rFont val="Open Sans"/>
      </rPr>
      <t>[6][60]</t>
    </r>
  </si>
  <si>
    <t>Sales during the first half of 2016 were down 64% year-on-year as a result of the changes in the tax rules that went into force at the beginning of 2016.[</t>
  </si>
  <si>
    <t>As a result of the changes in tax rules, the plug-in market share declined from 9.9% in 2015, to 6.7% in 2016, and fell to 2.6% in 2017</t>
  </si>
  <si>
    <t>dum13</t>
  </si>
  <si>
    <t>end of corporate tax break</t>
  </si>
  <si>
    <t>end of low PHEV rego tax rate</t>
  </si>
  <si>
    <t>dum15</t>
  </si>
  <si>
    <t>krone/US$</t>
  </si>
  <si>
    <t>Exchange rate</t>
  </si>
  <si>
    <t>last year no purchase tax</t>
  </si>
  <si>
    <t>purchase tax</t>
  </si>
  <si>
    <t>purchase subsidy</t>
  </si>
  <si>
    <t>krone</t>
  </si>
  <si>
    <t>(000s)</t>
  </si>
  <si>
    <t>krona/US$</t>
  </si>
  <si>
    <t>krona</t>
  </si>
  <si>
    <t>home charging</t>
  </si>
  <si>
    <t>corp. subsidy</t>
  </si>
  <si>
    <t>Cdn$/US$</t>
  </si>
  <si>
    <t>Cdn$</t>
  </si>
  <si>
    <t>Quebec</t>
  </si>
  <si>
    <t>EV subsidy</t>
  </si>
  <si>
    <t>PHEV subsidy</t>
  </si>
  <si>
    <t>chg subsidy</t>
  </si>
  <si>
    <t>sales tax subs</t>
  </si>
  <si>
    <t>Ontario</t>
  </si>
  <si>
    <t>BC</t>
  </si>
  <si>
    <t>veh rego tax</t>
  </si>
  <si>
    <t>circul tax</t>
  </si>
  <si>
    <t>FFV Base cost (US$)</t>
  </si>
  <si>
    <t>ENV/EPOC/WPNEP</t>
  </si>
  <si>
    <t>structure is base +base*25% VAT+rego tax</t>
  </si>
  <si>
    <t>import duty</t>
  </si>
  <si>
    <t>BEV %sales</t>
  </si>
  <si>
    <t>PHEV %sales</t>
  </si>
  <si>
    <t>Co. tax write-off</t>
  </si>
  <si>
    <t>from EU</t>
  </si>
  <si>
    <t>Euros from EU</t>
  </si>
  <si>
    <t>from  EU</t>
  </si>
  <si>
    <t>rupees/US$</t>
  </si>
  <si>
    <t>Yen/US$</t>
  </si>
  <si>
    <t>Euro/US$</t>
  </si>
  <si>
    <t>palmer total cost of ownership applied energy 2018</t>
  </si>
  <si>
    <t>000Pounds cumulative</t>
  </si>
  <si>
    <t>Ecocar</t>
  </si>
  <si>
    <t>rebate</t>
  </si>
  <si>
    <t>CEV</t>
  </si>
  <si>
    <t>annual tax</t>
  </si>
  <si>
    <t>000Pounds annual</t>
  </si>
  <si>
    <t>Total subsidy</t>
  </si>
  <si>
    <t>Pound/US$</t>
  </si>
  <si>
    <t>Yen annual</t>
  </si>
  <si>
    <t>EcoCar CleanEnergy</t>
  </si>
  <si>
    <t>annual subsidy</t>
  </si>
  <si>
    <t xml:space="preserve">Euros </t>
  </si>
  <si>
    <t>NZ$/US$</t>
  </si>
  <si>
    <t>Won/US$</t>
  </si>
  <si>
    <t>m Won</t>
  </si>
  <si>
    <t>consumpt</t>
  </si>
  <si>
    <t>education</t>
  </si>
  <si>
    <t>acquisition</t>
  </si>
  <si>
    <t>subsidy</t>
  </si>
  <si>
    <t>franc/US$</t>
  </si>
  <si>
    <t>francs</t>
  </si>
  <si>
    <t>2017US$ '000</t>
  </si>
  <si>
    <t>initial rego tax</t>
  </si>
  <si>
    <t>stamp duty</t>
  </si>
  <si>
    <t>GST</t>
  </si>
  <si>
    <t xml:space="preserve">Sales Tax% </t>
  </si>
  <si>
    <t>Sales Tax</t>
  </si>
  <si>
    <t>federal subsidy</t>
  </si>
  <si>
    <t>state subsidies</t>
  </si>
  <si>
    <t>Home charging</t>
  </si>
  <si>
    <t>FFVs</t>
  </si>
  <si>
    <t>EQUALITY</t>
  </si>
  <si>
    <t>Petrol price vs USA</t>
  </si>
  <si>
    <t>country average</t>
  </si>
  <si>
    <t>BEV market share  (% new sales)</t>
  </si>
  <si>
    <t>PHEV market share  (% new sales)</t>
  </si>
  <si>
    <t>PHEV/FFV price</t>
  </si>
  <si>
    <t>2017Euros</t>
  </si>
  <si>
    <t>Consumer Price Indices (2010=100)</t>
  </si>
  <si>
    <t>2010 to 2016</t>
  </si>
  <si>
    <t>http://www.ers.usda.gov/data/macroeconomics/</t>
  </si>
  <si>
    <t>http://www.inflation.eu/inflation-rates/united-states/historic-inflation/cpi-inflation-united-states.aspx</t>
  </si>
  <si>
    <t>http://www.usinflationcalculator.com/inflation/consumer-price-index-and-annual-percent-changes-from-1913-to-2008/</t>
  </si>
  <si>
    <t>Petrol price (t-1)</t>
  </si>
  <si>
    <t>global PHEV%</t>
  </si>
  <si>
    <t>X Variable 3</t>
  </si>
  <si>
    <t>global BEV%</t>
  </si>
  <si>
    <t>BEV/FFV price (t-1)</t>
  </si>
  <si>
    <t>global median</t>
  </si>
  <si>
    <t>BEV/FFV price ratio</t>
  </si>
  <si>
    <t>PHEV/FFV price ratio</t>
  </si>
  <si>
    <t>OZ</t>
  </si>
  <si>
    <t xml:space="preserve">Petrol prices real 2017 currency/l </t>
  </si>
  <si>
    <t>BASE OIL PRICE FORECAST</t>
  </si>
  <si>
    <t>HIGH OIL PRICE FORECAST</t>
  </si>
  <si>
    <t>LOW OIL PRICE FORECAST</t>
  </si>
  <si>
    <t>(=N America, Europe, India, China,</t>
  </si>
  <si>
    <t xml:space="preserve"> Japan, Korea and Aust/NZ)</t>
  </si>
  <si>
    <t>RMB/US$</t>
  </si>
  <si>
    <t>Renminbi</t>
  </si>
  <si>
    <t>3yr subsidies</t>
  </si>
  <si>
    <t>purchase subs</t>
  </si>
  <si>
    <t>nom US$</t>
  </si>
  <si>
    <t>recur subs/yr</t>
  </si>
  <si>
    <t>RMB</t>
  </si>
  <si>
    <t>Total Car Sales</t>
  </si>
  <si>
    <t>global wgt'd aver</t>
  </si>
  <si>
    <t>Car Sales Weight</t>
  </si>
  <si>
    <t>CPI</t>
  </si>
  <si>
    <t>puchase sub</t>
  </si>
  <si>
    <t>nom Euros</t>
  </si>
  <si>
    <t>2017 Euros</t>
  </si>
  <si>
    <t>plug-in grants</t>
  </si>
  <si>
    <t>nom pounds</t>
  </si>
  <si>
    <t>2017 pounds</t>
  </si>
  <si>
    <t>nom 3years</t>
  </si>
  <si>
    <t>BEV tax reduct</t>
  </si>
  <si>
    <t>PHEV tax reduct</t>
  </si>
  <si>
    <t xml:space="preserve"> nom subsidies</t>
  </si>
  <si>
    <t>nom subsidies</t>
  </si>
  <si>
    <t>2017E subsidies</t>
  </si>
  <si>
    <t>BEV nom</t>
  </si>
  <si>
    <t>PHEV nom</t>
  </si>
  <si>
    <t>BEV 2017 Euros</t>
  </si>
  <si>
    <t>PHEV 2017Euros</t>
  </si>
  <si>
    <t>PHEV 2017 Euros</t>
  </si>
  <si>
    <t>real</t>
  </si>
  <si>
    <t>BEV purch subs</t>
  </si>
  <si>
    <t>PHEVpurch subs</t>
  </si>
  <si>
    <t>=half sales</t>
  </si>
  <si>
    <t>BEV corp subs</t>
  </si>
  <si>
    <t>PHEV corp subs</t>
  </si>
  <si>
    <t>nom Rupees</t>
  </si>
  <si>
    <t>2017 rupees</t>
  </si>
  <si>
    <t>rego tax subs</t>
  </si>
  <si>
    <t>charge subs</t>
  </si>
  <si>
    <t>nominal Euros</t>
  </si>
  <si>
    <t>BEV 2017Euros</t>
  </si>
  <si>
    <t>NZ$ nom</t>
  </si>
  <si>
    <t>NZ$ 2017</t>
  </si>
  <si>
    <t>Kroner nom</t>
  </si>
  <si>
    <t>Kroner2017</t>
  </si>
  <si>
    <t>BEV 2017</t>
  </si>
  <si>
    <t>PHEV 2017</t>
  </si>
  <si>
    <t>francs nom</t>
  </si>
  <si>
    <t>francs 2017</t>
  </si>
  <si>
    <t>US$ nom</t>
  </si>
  <si>
    <t>US$ 2017</t>
  </si>
  <si>
    <t>BEV Fed subsidy</t>
  </si>
  <si>
    <t>PHEV Fed subsidy</t>
  </si>
  <si>
    <t>BEV state subsidy</t>
  </si>
  <si>
    <t>PHEV state subsidy</t>
  </si>
  <si>
    <t>Average</t>
  </si>
  <si>
    <t>wgt'd aver</t>
  </si>
  <si>
    <t>global EV%</t>
  </si>
  <si>
    <t>logistic EV%</t>
  </si>
  <si>
    <t xml:space="preserve">time </t>
  </si>
  <si>
    <t>petrol price (t-1)</t>
  </si>
  <si>
    <t>acceptance</t>
  </si>
  <si>
    <t>BEV/EV fraction</t>
  </si>
  <si>
    <t xml:space="preserve">BEV/PHEV price </t>
  </si>
  <si>
    <t>LN range acceptance</t>
  </si>
  <si>
    <t>annual</t>
  </si>
  <si>
    <t>yr bonus</t>
  </si>
  <si>
    <t>yr VED sub</t>
  </si>
  <si>
    <t>annual cost subsidy</t>
  </si>
  <si>
    <t>annual MV tax subsidy</t>
  </si>
  <si>
    <t>annual nom</t>
  </si>
  <si>
    <t>annual tax reduct</t>
  </si>
  <si>
    <t xml:space="preserve"> BEVsmoothed</t>
  </si>
  <si>
    <t>PHEV smoothed</t>
  </si>
  <si>
    <t>check purchase subsidy - large, miscalcualted?</t>
  </si>
  <si>
    <t>Exchange rates</t>
  </si>
  <si>
    <t>principle</t>
  </si>
  <si>
    <t>interest</t>
  </si>
  <si>
    <t>BEV higher price</t>
  </si>
  <si>
    <t>Costs</t>
  </si>
  <si>
    <t xml:space="preserve">US 2017 c/l </t>
  </si>
  <si>
    <t>l/100 km</t>
  </si>
  <si>
    <t>fuel intensity</t>
  </si>
  <si>
    <t>cost</t>
  </si>
  <si>
    <t>kms</t>
  </si>
  <si>
    <t>aver dist</t>
  </si>
  <si>
    <t>petrol cost</t>
  </si>
  <si>
    <t>electricity cost</t>
  </si>
  <si>
    <t>BEV fuel saving</t>
  </si>
  <si>
    <t>BEV capital cost</t>
  </si>
  <si>
    <t>$/year</t>
  </si>
  <si>
    <t>BEV annual subsidies</t>
  </si>
  <si>
    <t>BEV cost saving</t>
  </si>
  <si>
    <t>BEV Cost Saving (t-1)</t>
  </si>
  <si>
    <t>X Variable 4</t>
  </si>
  <si>
    <t>Petrol price</t>
  </si>
  <si>
    <t xml:space="preserve">BEV/FFV price </t>
  </si>
  <si>
    <t>nom centsA/l</t>
  </si>
  <si>
    <t>Logistic</t>
  </si>
  <si>
    <t>EV %sales</t>
  </si>
  <si>
    <t>Orig logistic</t>
  </si>
  <si>
    <t>regression</t>
  </si>
  <si>
    <t>car sales</t>
  </si>
  <si>
    <t>base EV sales</t>
  </si>
  <si>
    <t>pred base</t>
  </si>
  <si>
    <t>equiv year</t>
  </si>
  <si>
    <t>years lead</t>
  </si>
  <si>
    <t>where</t>
  </si>
  <si>
    <t>BEV/FFV</t>
  </si>
  <si>
    <t>col C=col B</t>
  </si>
  <si>
    <t>belgium</t>
  </si>
  <si>
    <t>dum OZ</t>
  </si>
  <si>
    <t>dumAustria</t>
  </si>
  <si>
    <t>EV/FFV</t>
  </si>
  <si>
    <t>Austria base</t>
  </si>
  <si>
    <t>canada base</t>
  </si>
  <si>
    <t>Belgian base</t>
  </si>
  <si>
    <t>dum Austria</t>
  </si>
  <si>
    <t>dum Belgium</t>
  </si>
  <si>
    <t>dum canada</t>
  </si>
  <si>
    <t>dum china</t>
  </si>
  <si>
    <t>base</t>
  </si>
  <si>
    <t>dum dmk</t>
  </si>
  <si>
    <t>dum finland</t>
  </si>
  <si>
    <t>dum France</t>
  </si>
  <si>
    <t>Germay</t>
  </si>
  <si>
    <t>dum Germany</t>
  </si>
  <si>
    <t>dum India</t>
  </si>
  <si>
    <t>dum Ireland</t>
  </si>
  <si>
    <t>Smoothed %</t>
  </si>
  <si>
    <t>dum Italy</t>
  </si>
  <si>
    <t>SMOOTHED</t>
  </si>
  <si>
    <t>col G=col B</t>
  </si>
  <si>
    <t>dum Japan</t>
  </si>
  <si>
    <t>dum Korea</t>
  </si>
  <si>
    <t>dum Netherlands</t>
  </si>
  <si>
    <t>dum NZ</t>
  </si>
  <si>
    <t>dum Norway</t>
  </si>
  <si>
    <t>dum Spain</t>
  </si>
  <si>
    <t>EV price</t>
  </si>
  <si>
    <t>principal</t>
  </si>
  <si>
    <t>Evs</t>
  </si>
  <si>
    <t>annual subs</t>
  </si>
  <si>
    <t>EV/FFV Cost</t>
  </si>
  <si>
    <t>Annual cost</t>
  </si>
  <si>
    <t>EV/FFV cost</t>
  </si>
  <si>
    <t>fuel</t>
  </si>
  <si>
    <t xml:space="preserve">L/100 km </t>
  </si>
  <si>
    <t>distance</t>
  </si>
  <si>
    <t>real 2017 US$</t>
  </si>
  <si>
    <t>real 2017 $A</t>
  </si>
  <si>
    <t>dum Britain</t>
  </si>
  <si>
    <t>BEV sub/yr</t>
  </si>
  <si>
    <t xml:space="preserve"> MV tax</t>
  </si>
  <si>
    <t>London congch</t>
  </si>
  <si>
    <t>rego fee subs</t>
  </si>
  <si>
    <t>circ tax sub</t>
  </si>
  <si>
    <t>https://www.globalfueleconomy.org/media/402389/wp12-summary-b.pdf</t>
  </si>
  <si>
    <t>FFV/EV Cost</t>
  </si>
  <si>
    <t xml:space="preserve"> Cars - distance travelled per year (kilometres)</t>
  </si>
  <si>
    <t>http://internationalcomparisons.org/environment/transportation.html</t>
  </si>
  <si>
    <t>http://www.odyssee-mure.eu/publications/efficiency-by-sector/transport/distance-travelled-by-car.html</t>
  </si>
  <si>
    <t>https://www.cartell.ie/2013/07/average-mileage-falling-everywhere/</t>
  </si>
  <si>
    <t>Evs driven 50% more than FFVs</t>
  </si>
  <si>
    <t>www.greencarcongress.com/2015/01/20150109-leaf.html</t>
  </si>
  <si>
    <t>Global</t>
  </si>
  <si>
    <t>https://pdfs.semanticscholar.org/020e/9777aeea916b3e705974b97d011bd1e9cf3b.pdf</t>
  </si>
  <si>
    <t>http://bovagrai.info/auto/2015/en/9-mobility-and-infrastructure/9-9-average-annual-distance-travelled-by-cars-and-type-of-fuel-and-owner/</t>
  </si>
  <si>
    <t>http://www.urbanemissions.info/wp-content/uploads/docs/2015-06-TRD-India-Three-Cities-Veh-Characteristics.pdf</t>
  </si>
  <si>
    <t>New Fossil Fuel Cars - litres/100 km</t>
  </si>
  <si>
    <t>https://en.wikipedia.org/wiki/Car_longevity</t>
  </si>
  <si>
    <t>https://www.transport.govt.nz/assets/Import/Documents/vehicledistanceperday.xls</t>
  </si>
  <si>
    <t>https://www.ssb.no/en/klreg</t>
  </si>
  <si>
    <t>https://ec.europa.eu/clima/sites/clima/files/transport/vehicles/docs/ldv_mileage_en.pdf</t>
  </si>
  <si>
    <t>http://citeseerx.ist.psu.edu/viewdoc/download?doi=10.1.1.870.8192&amp;rep=rep1&amp;type=pdf</t>
  </si>
  <si>
    <t>https://www.evs24.org/wevajournal/php/download.php?f=vol3/WEVJ3-3580406</t>
  </si>
  <si>
    <t>Total charge units</t>
  </si>
  <si>
    <t>https://www.acea.be/uploads/statistic_documents/ACEA_Report_Vehicles_in_use-Europe_2017.pdf</t>
  </si>
  <si>
    <t>http://oee.nrcan.gc.ca/publications/statistics/cvs08/chapter2.cfm?attr=0</t>
  </si>
  <si>
    <t>https://www.fhwa.dot.gov/policyinformation/statistics/2008/pdf/in5.pdf</t>
  </si>
  <si>
    <t>https://www.afdc.energy.gov › AFDC</t>
  </si>
  <si>
    <t>https://cso.ie › StatBank › Transport Statistics › SEI07</t>
  </si>
  <si>
    <t>https://www.tc.gc.ca/eng/policy/anre-menu-3042.htm</t>
  </si>
  <si>
    <t>vkt per vehicle</t>
  </si>
  <si>
    <t>https://cta.ornl.gov/data/chapter8.shtml</t>
  </si>
  <si>
    <t>JAPAN 7000</t>
  </si>
  <si>
    <t xml:space="preserve">CSIRO </t>
  </si>
  <si>
    <t>CSIRO logist</t>
  </si>
  <si>
    <t>ev-volumes</t>
  </si>
  <si>
    <t>adj'd</t>
  </si>
  <si>
    <t>IHS MarkitLtd.: for total sales data (all vehicle types)</t>
  </si>
  <si>
    <t>−</t>
  </si>
  <si>
    <t>EV-volumes.com: for electric ranges for battery-electric vehicles (BEVs), plug-in hybrid vehicles (PHEVs), fuel-cell electric vehicles (FCEVs)</t>
  </si>
  <si>
    <t>lag Norway</t>
  </si>
  <si>
    <t>years lag Norway</t>
  </si>
  <si>
    <t>years lag</t>
  </si>
  <si>
    <t>FFV/EV cost</t>
  </si>
  <si>
    <t>time OZ</t>
  </si>
  <si>
    <t>timeAustria</t>
  </si>
  <si>
    <t>col C=OZ</t>
  </si>
  <si>
    <t>time Belgium</t>
  </si>
  <si>
    <t>dumOZ</t>
  </si>
  <si>
    <t>time Britain</t>
  </si>
  <si>
    <t>real 2017 Euros</t>
  </si>
  <si>
    <t>real 2017 Pounds</t>
  </si>
  <si>
    <t>real 2017 Cdn$</t>
  </si>
  <si>
    <t>real 2017 RMB</t>
  </si>
  <si>
    <t>real 2017 krone</t>
  </si>
  <si>
    <t>time canada</t>
  </si>
  <si>
    <t>dum Canada</t>
  </si>
  <si>
    <t>time china</t>
  </si>
  <si>
    <t>time Denmark</t>
  </si>
  <si>
    <t>dum Denmark</t>
  </si>
  <si>
    <t>time Finland</t>
  </si>
  <si>
    <t>dum Finland</t>
  </si>
  <si>
    <t>time France</t>
  </si>
  <si>
    <t>Bloomberg</t>
  </si>
  <si>
    <t>EV% sales</t>
  </si>
  <si>
    <t>LV sales</t>
  </si>
  <si>
    <t>(000's)</t>
  </si>
  <si>
    <t>%EV sales</t>
  </si>
  <si>
    <t>% logistic</t>
  </si>
  <si>
    <t>logistic pred</t>
  </si>
  <si>
    <t>time17on</t>
  </si>
  <si>
    <t>time1116</t>
  </si>
  <si>
    <t>time1115</t>
  </si>
  <si>
    <t>see major Europe and Rest of Europe tabs</t>
  </si>
  <si>
    <t>BBrg logistic%</t>
  </si>
  <si>
    <t>Norway logistic</t>
  </si>
  <si>
    <t>Norway stretched</t>
  </si>
  <si>
    <t>lead</t>
  </si>
  <si>
    <t>smth'd increase</t>
  </si>
  <si>
    <t>Col O = Col D</t>
  </si>
  <si>
    <t>China base</t>
  </si>
  <si>
    <t>Denmark base</t>
  </si>
  <si>
    <t>Finland base</t>
  </si>
  <si>
    <t>dum</t>
  </si>
  <si>
    <t>France base</t>
  </si>
  <si>
    <t>Germany base</t>
  </si>
  <si>
    <t>India base</t>
  </si>
  <si>
    <t>Ireland base</t>
  </si>
  <si>
    <t>Italy base</t>
  </si>
  <si>
    <t>Japan base</t>
  </si>
  <si>
    <t>Korea base</t>
  </si>
  <si>
    <t>FFV/PHEV Cost</t>
  </si>
  <si>
    <t>global BEV% (t+1)</t>
  </si>
  <si>
    <t>dum0912</t>
  </si>
  <si>
    <t>FFV/EV price</t>
  </si>
  <si>
    <t>FFV/EV Price</t>
  </si>
  <si>
    <t>BEV annual saving</t>
  </si>
  <si>
    <t>BEV+PHEV</t>
  </si>
  <si>
    <t>BEV fraction</t>
  </si>
  <si>
    <t>ev-volumes.com</t>
  </si>
  <si>
    <t>increase in  lead</t>
  </si>
  <si>
    <t>Norway global year</t>
  </si>
  <si>
    <t>dum17</t>
  </si>
  <si>
    <t>BEV share</t>
  </si>
  <si>
    <t>dum1213</t>
  </si>
  <si>
    <t>FFV/BEV Cost</t>
  </si>
  <si>
    <t>Total EV %sales</t>
  </si>
  <si>
    <t>NZ base</t>
  </si>
  <si>
    <t>Spain base</t>
  </si>
  <si>
    <t>Sweden base</t>
  </si>
  <si>
    <t xml:space="preserve">USA base </t>
  </si>
  <si>
    <t>time co-eff</t>
  </si>
  <si>
    <t>real 2017 NZ$</t>
  </si>
  <si>
    <t>real 2017 krona</t>
  </si>
  <si>
    <t>real 2017 rupees</t>
  </si>
  <si>
    <t>EV/FFV cost ratio</t>
  </si>
  <si>
    <t>dumKorea</t>
  </si>
  <si>
    <t>DumUK</t>
  </si>
  <si>
    <t>dumUK</t>
  </si>
  <si>
    <t>dumNeth</t>
  </si>
  <si>
    <t>dumDenmark</t>
  </si>
  <si>
    <t>dumChina</t>
  </si>
  <si>
    <t>dumIreland</t>
  </si>
  <si>
    <t>dumNZ</t>
  </si>
  <si>
    <t>dumSwitzerland</t>
  </si>
  <si>
    <t>dumIndia</t>
  </si>
  <si>
    <t>dumUSA</t>
  </si>
  <si>
    <t>Steep</t>
  </si>
  <si>
    <t>annual priv</t>
  </si>
  <si>
    <t>annual co</t>
  </si>
  <si>
    <t>All pass veh sales</t>
  </si>
  <si>
    <t>smoothed EV sales</t>
  </si>
  <si>
    <t>pred no subs</t>
  </si>
  <si>
    <t>pred subs</t>
  </si>
  <si>
    <t>no peaks13,15,16</t>
  </si>
  <si>
    <t>PHEV no peaks</t>
  </si>
  <si>
    <t>BEV no peaks</t>
  </si>
  <si>
    <t>Total EV</t>
  </si>
  <si>
    <t>EV no peaks</t>
  </si>
  <si>
    <t>SALES (000s)</t>
  </si>
  <si>
    <t>Neth no subs</t>
  </si>
  <si>
    <t>Neth with subs</t>
  </si>
  <si>
    <t>no subs</t>
  </si>
  <si>
    <t>with subs</t>
  </si>
  <si>
    <t>loglag</t>
  </si>
  <si>
    <t>loglag pred</t>
  </si>
  <si>
    <t xml:space="preserve">PHEV sales </t>
  </si>
  <si>
    <t>no peaks</t>
  </si>
  <si>
    <t>Pas veh sales</t>
  </si>
  <si>
    <t>EV sales %</t>
  </si>
  <si>
    <t>no peaks %</t>
  </si>
  <si>
    <t>base with subs</t>
  </si>
  <si>
    <t>2% year</t>
  </si>
  <si>
    <t>Dmk with subs</t>
  </si>
  <si>
    <t>Dmk no subs</t>
  </si>
  <si>
    <t>Medium</t>
  </si>
  <si>
    <t>Steep reg</t>
  </si>
  <si>
    <t>All reg</t>
  </si>
  <si>
    <t>Flat</t>
  </si>
  <si>
    <t>All country reg</t>
  </si>
  <si>
    <t>EV/FF cost ratio</t>
  </si>
  <si>
    <t>pred 2%</t>
  </si>
  <si>
    <t>PHEV/FFV Cost</t>
  </si>
  <si>
    <t>BEV/FFV Cost</t>
  </si>
  <si>
    <t>logistic base</t>
  </si>
  <si>
    <t>baseline</t>
  </si>
  <si>
    <t>trend</t>
  </si>
  <si>
    <t xml:space="preserve"> All uptake reg</t>
  </si>
  <si>
    <t>pred cost</t>
  </si>
  <si>
    <t>predCostLagged</t>
  </si>
  <si>
    <t>raw</t>
  </si>
  <si>
    <t>logistic cost</t>
  </si>
  <si>
    <t>rawPredCostLagged</t>
  </si>
  <si>
    <t>loglag smth'd</t>
  </si>
  <si>
    <t xml:space="preserve">           real 2017 total petrol price (Australian $/l)</t>
  </si>
  <si>
    <t xml:space="preserve">  actual</t>
  </si>
  <si>
    <t xml:space="preserve">  high</t>
  </si>
  <si>
    <t xml:space="preserve">  medium</t>
  </si>
  <si>
    <t xml:space="preserve">  low</t>
  </si>
  <si>
    <t>Australian EV uptake scenarios</t>
  </si>
  <si>
    <t xml:space="preserve">                    Petrol price</t>
  </si>
  <si>
    <t>High</t>
  </si>
  <si>
    <t>Low</t>
  </si>
  <si>
    <t>2018%est</t>
  </si>
  <si>
    <t>2018% updates</t>
  </si>
  <si>
    <r>
      <t xml:space="preserve"> top 1/3 </t>
    </r>
    <r>
      <rPr>
        <b/>
        <sz val="11"/>
        <color theme="1"/>
        <rFont val="Calibri"/>
        <family val="2"/>
        <scheme val="minor"/>
      </rPr>
      <t>Range</t>
    </r>
  </si>
  <si>
    <r>
      <t xml:space="preserve"> weighted </t>
    </r>
    <r>
      <rPr>
        <b/>
        <sz val="11"/>
        <color theme="1"/>
        <rFont val="Calibri"/>
        <family val="2"/>
        <scheme val="minor"/>
      </rPr>
      <t>Cost/kWh</t>
    </r>
  </si>
  <si>
    <t xml:space="preserve">top 1/3 </t>
  </si>
  <si>
    <t>Battery cost</t>
  </si>
  <si>
    <t>EV cost</t>
  </si>
  <si>
    <t>medium</t>
  </si>
  <si>
    <t>low</t>
  </si>
  <si>
    <t xml:space="preserve">                  EV vehicle price</t>
  </si>
  <si>
    <t>nominal cost</t>
  </si>
  <si>
    <t>Real Cost</t>
  </si>
  <si>
    <t>US2017</t>
  </si>
  <si>
    <t>$'000</t>
  </si>
  <si>
    <r>
      <t xml:space="preserve">  top 1/3</t>
    </r>
    <r>
      <rPr>
        <b/>
        <sz val="11"/>
        <color theme="1"/>
        <rFont val="Calibri"/>
        <family val="2"/>
        <scheme val="minor"/>
      </rPr>
      <t xml:space="preserve"> kWh</t>
    </r>
  </si>
  <si>
    <t>real 2017US$/kWh</t>
  </si>
  <si>
    <t>000 2017US$</t>
  </si>
  <si>
    <t>Top 1/3 Price</t>
  </si>
  <si>
    <t>Median price</t>
  </si>
  <si>
    <t xml:space="preserve">  EV %sales</t>
  </si>
  <si>
    <t>predicted cost</t>
  </si>
  <si>
    <t xml:space="preserve">  Linearized logistic</t>
  </si>
  <si>
    <t xml:space="preserve">  predicted</t>
  </si>
  <si>
    <t xml:space="preserve">  Austalian raw predicted</t>
  </si>
  <si>
    <t xml:space="preserve">  Canadian raw predicted</t>
  </si>
  <si>
    <t>Steep Adoption Curves</t>
  </si>
  <si>
    <t>Medium Adoption Curves</t>
  </si>
  <si>
    <t>Flat Adoption Curves</t>
  </si>
  <si>
    <t>EV% of new vehicle sales</t>
  </si>
  <si>
    <t>cost ratio</t>
  </si>
  <si>
    <t>year 2% (LHS)</t>
  </si>
  <si>
    <t>EV/FFV cost ratio (RHS)</t>
  </si>
  <si>
    <t xml:space="preserve"> predicted raw</t>
  </si>
  <si>
    <t>Price fossil-fuelled vehicles</t>
  </si>
  <si>
    <t xml:space="preserve">  global EV%</t>
  </si>
  <si>
    <t>OZ raw</t>
  </si>
  <si>
    <t>Global raw</t>
  </si>
  <si>
    <t>Norway raw</t>
  </si>
  <si>
    <t>Rest Europe raw</t>
  </si>
  <si>
    <t>https://www.bloomberg.com/news/articles/2018-03-08/the-battery-will-kill-fossil-fuels-it-s-only-a-matter-of-time</t>
  </si>
  <si>
    <t>Mtr veh tax</t>
  </si>
  <si>
    <t>logpred</t>
  </si>
  <si>
    <t>rawPredCost</t>
  </si>
  <si>
    <t>2018est</t>
  </si>
  <si>
    <t xml:space="preserve">2018 est </t>
  </si>
  <si>
    <t>dum1113</t>
  </si>
  <si>
    <t xml:space="preserve">           real 2017 total petrol price</t>
  </si>
  <si>
    <t>British reg</t>
  </si>
  <si>
    <t xml:space="preserve">           real 2017 total petrol price (Euro cents/l)</t>
  </si>
  <si>
    <t xml:space="preserve">           real 2017 total petrol price (rupees/l)</t>
  </si>
  <si>
    <t xml:space="preserve">           real 2017 total petrol price (yen/l)</t>
  </si>
  <si>
    <t xml:space="preserve">           real 2017 total petrol price (won/l)</t>
  </si>
  <si>
    <t xml:space="preserve">       real 2017 total petrol price (Euro cents/l)</t>
  </si>
  <si>
    <t xml:space="preserve">           real 2017 total petrol price (cents/l)</t>
  </si>
  <si>
    <t xml:space="preserve">           real 2017 total petrol price (krone/l)</t>
  </si>
  <si>
    <t xml:space="preserve">           real 2017 total petrol price (krona/l)</t>
  </si>
  <si>
    <t xml:space="preserve">           real 2017total petrol price (Euro cents/l)</t>
  </si>
  <si>
    <t>EV %sales (no peaks)</t>
  </si>
  <si>
    <t>2018 est</t>
  </si>
  <si>
    <t>dum1617</t>
  </si>
  <si>
    <t>Q1</t>
  </si>
  <si>
    <t>Q2</t>
  </si>
  <si>
    <t>Q3</t>
  </si>
  <si>
    <t>Q4</t>
  </si>
  <si>
    <t>EAFO</t>
  </si>
  <si>
    <t>AEFO</t>
  </si>
  <si>
    <t>AEFO 45.21</t>
  </si>
  <si>
    <t>AEFO 6.85</t>
  </si>
  <si>
    <t>time2</t>
  </si>
  <si>
    <t>time1</t>
  </si>
  <si>
    <t>jan</t>
  </si>
  <si>
    <t>feb</t>
  </si>
  <si>
    <t>mar</t>
  </si>
  <si>
    <t>apr</t>
  </si>
  <si>
    <t>may</t>
  </si>
  <si>
    <t>jun</t>
  </si>
  <si>
    <t>jul</t>
  </si>
  <si>
    <t>aug</t>
  </si>
  <si>
    <t>sep</t>
  </si>
  <si>
    <t>oct</t>
  </si>
  <si>
    <t>nov</t>
  </si>
  <si>
    <t>dec</t>
  </si>
  <si>
    <t>TeslaOntario</t>
  </si>
  <si>
    <t>https://www.best-selling-cars.com/international/2018-january-to-september-international-worldwide-car-sales/</t>
  </si>
  <si>
    <t>https://www.marklines.com/en/vehicle_sales/</t>
  </si>
  <si>
    <t>Passenger vehicle sales</t>
  </si>
  <si>
    <t>cars+SUVs</t>
  </si>
  <si>
    <t>cars,SUV,LCVs</t>
  </si>
  <si>
    <t>cars10000</t>
  </si>
  <si>
    <t>cars.SUV,pickups</t>
  </si>
  <si>
    <t>https://www.euki.de/wp-content/uploads/2018/09/fact-sheet-incentives-for-electric-vehicles-no.pdf</t>
  </si>
  <si>
    <t>1162 kg</t>
  </si>
  <si>
    <t>109g/km</t>
  </si>
  <si>
    <t>31.9 mg/km</t>
  </si>
  <si>
    <t>Norway (Oslo)</t>
  </si>
  <si>
    <t>selling price</t>
  </si>
  <si>
    <t>Vat %</t>
  </si>
  <si>
    <t xml:space="preserve">VAT </t>
  </si>
  <si>
    <t>base rego tax</t>
  </si>
  <si>
    <t>rego1</t>
  </si>
  <si>
    <t>rego2</t>
  </si>
  <si>
    <t>rego3</t>
  </si>
  <si>
    <t>rego4</t>
  </si>
  <si>
    <t>bonus malus</t>
  </si>
  <si>
    <t>duty</t>
  </si>
  <si>
    <t>weight tax</t>
  </si>
  <si>
    <t>KW tax</t>
  </si>
  <si>
    <t>CO2 tax</t>
  </si>
  <si>
    <t>Nox tax</t>
  </si>
  <si>
    <t>total price</t>
  </si>
  <si>
    <t>VW Golf</t>
  </si>
  <si>
    <t>VW E-Golf</t>
  </si>
  <si>
    <t>Subsidy removal</t>
  </si>
  <si>
    <t>Subsidies continued</t>
  </si>
  <si>
    <t>bonus-mal</t>
  </si>
  <si>
    <t>CO2 cost</t>
  </si>
  <si>
    <t>fed dum</t>
  </si>
  <si>
    <t>Austria reg</t>
  </si>
  <si>
    <t>Belgian reg</t>
  </si>
  <si>
    <t xml:space="preserve"> Canada reg</t>
  </si>
  <si>
    <t>pred raw</t>
  </si>
  <si>
    <t>predicted</t>
  </si>
  <si>
    <t>OZ reg</t>
  </si>
  <si>
    <t>predicted raw</t>
  </si>
  <si>
    <t xml:space="preserve"> EV %sales</t>
  </si>
  <si>
    <t xml:space="preserve"> rawPredCostLagged</t>
  </si>
  <si>
    <t xml:space="preserve"> predicted cost lagged</t>
  </si>
  <si>
    <t>Austrian EV uptake scenarios</t>
  </si>
  <si>
    <t>dumItaly</t>
  </si>
  <si>
    <t>dumSpain</t>
  </si>
  <si>
    <t>dumJapan</t>
  </si>
  <si>
    <t xml:space="preserve"> Predicted Cost Lagged</t>
  </si>
  <si>
    <t xml:space="preserve"> raw Predicted Cost Lagged</t>
  </si>
  <si>
    <t xml:space="preserve"> Predicted Cost</t>
  </si>
  <si>
    <t xml:space="preserve"> raw predicted</t>
  </si>
  <si>
    <t>Linearized Logistic</t>
  </si>
  <si>
    <t>BelgianEV uptake scenarios</t>
  </si>
  <si>
    <t>raw prediction</t>
  </si>
  <si>
    <t>dum1517</t>
  </si>
  <si>
    <t>BritishEV uptake scenarios</t>
  </si>
  <si>
    <t>China reg</t>
  </si>
  <si>
    <t xml:space="preserve"> Linearized Logistic</t>
  </si>
  <si>
    <t>raw predicted</t>
  </si>
  <si>
    <t>EV uptake scenarios</t>
  </si>
  <si>
    <t xml:space="preserve"> predicted</t>
  </si>
  <si>
    <t xml:space="preserve"> Linearized Logistic EV% sales (no peaks)</t>
  </si>
  <si>
    <t>Predicted Cost Lagged</t>
  </si>
  <si>
    <t>Linearized Logistic EV% sales</t>
  </si>
  <si>
    <t>dum1314</t>
  </si>
  <si>
    <t>Finland reg</t>
  </si>
  <si>
    <t>dum1214</t>
  </si>
  <si>
    <t>dum1215</t>
  </si>
  <si>
    <t>Both EVS</t>
  </si>
  <si>
    <t>Predicted Cost</t>
  </si>
  <si>
    <t xml:space="preserve"> Linearized  Logistic</t>
  </si>
  <si>
    <t>dum1416</t>
  </si>
  <si>
    <t>Predicted cost</t>
  </si>
  <si>
    <t xml:space="preserve">predicted </t>
  </si>
  <si>
    <t>predi cted raw</t>
  </si>
  <si>
    <t>dum12</t>
  </si>
  <si>
    <t>m won</t>
  </si>
  <si>
    <t>dum1011</t>
  </si>
  <si>
    <t>EV% sales no peaks</t>
  </si>
  <si>
    <t>PHEvs</t>
  </si>
  <si>
    <t xml:space="preserve"> EV % sales</t>
  </si>
  <si>
    <t>dum1316</t>
  </si>
  <si>
    <t>FFV  price</t>
  </si>
  <si>
    <t>dum1516</t>
  </si>
  <si>
    <t xml:space="preserve"> Linear Logistic</t>
  </si>
  <si>
    <t>Dum1114</t>
  </si>
  <si>
    <t xml:space="preserve">predicted raw </t>
  </si>
  <si>
    <t>EV/FFV price</t>
  </si>
  <si>
    <t xml:space="preserve">Norway </t>
  </si>
  <si>
    <t xml:space="preserve">China </t>
  </si>
  <si>
    <t xml:space="preserve">Dnmk  no subs </t>
  </si>
  <si>
    <t xml:space="preserve">Ireland </t>
  </si>
  <si>
    <t>Neth  no subs</t>
  </si>
  <si>
    <t>Cost Lagged</t>
  </si>
  <si>
    <t xml:space="preserve">petrol price </t>
  </si>
  <si>
    <t xml:space="preserve">Linearized Logistic </t>
  </si>
  <si>
    <t>dum13,16</t>
  </si>
  <si>
    <t>Global reg</t>
  </si>
  <si>
    <t>Global wgt'd-average raw</t>
  </si>
  <si>
    <t>Cost</t>
  </si>
  <si>
    <t>Global EV uptake scenarios</t>
  </si>
  <si>
    <t>old CSIRO</t>
  </si>
  <si>
    <t>CSIRO Vehicle Prices</t>
  </si>
  <si>
    <t>DC old</t>
  </si>
  <si>
    <t>DC new +</t>
  </si>
  <si>
    <t>Climate Works</t>
  </si>
  <si>
    <t xml:space="preserve">PHEV </t>
  </si>
  <si>
    <t xml:space="preserve">All Evs </t>
  </si>
  <si>
    <t>model dum</t>
  </si>
  <si>
    <t>dum Australia</t>
  </si>
  <si>
    <t>dumAustralia</t>
  </si>
  <si>
    <t>Estimated sales</t>
  </si>
  <si>
    <t>DC NEW</t>
  </si>
  <si>
    <t>Global wgt'd-average Cost Lagged</t>
  </si>
  <si>
    <t>Global wgt'd-average Cost</t>
  </si>
  <si>
    <t>65% lagged</t>
  </si>
  <si>
    <t>cost lagged</t>
  </si>
  <si>
    <t>65% raw</t>
  </si>
  <si>
    <t>100% raw</t>
  </si>
  <si>
    <t>Predicted Cost Lagged Uptakes</t>
  </si>
  <si>
    <t>no  PUps</t>
  </si>
  <si>
    <t>year 2%</t>
  </si>
  <si>
    <t xml:space="preserve"> cost ratio</t>
  </si>
  <si>
    <t>adjgt1</t>
  </si>
  <si>
    <t>Adjustment</t>
  </si>
  <si>
    <t>loglag adj'd</t>
  </si>
  <si>
    <t>real 2017 Won/l</t>
  </si>
  <si>
    <t>Linearized Logistics</t>
  </si>
  <si>
    <t>Global model Cost Lagged</t>
  </si>
  <si>
    <t>Norway with subs</t>
  </si>
  <si>
    <t xml:space="preserve">year 2% </t>
  </si>
  <si>
    <t xml:space="preserve">Denmark no subs </t>
  </si>
  <si>
    <t>Netherlands no subs</t>
  </si>
  <si>
    <t>Denmark subsidies</t>
  </si>
  <si>
    <t>Netherlands subsidies</t>
  </si>
  <si>
    <t xml:space="preserve"> Australia</t>
  </si>
  <si>
    <t>2017US$000</t>
  </si>
  <si>
    <t>x</t>
  </si>
  <si>
    <t xml:space="preserve">Belgium </t>
  </si>
  <si>
    <t>Country</t>
  </si>
  <si>
    <t>Policy target</t>
  </si>
  <si>
    <t>Date target set</t>
  </si>
  <si>
    <t>Scotland</t>
  </si>
  <si>
    <t>Taiwan</t>
  </si>
  <si>
    <t>5,000 Evs on road by 2019</t>
  </si>
  <si>
    <t>No FFVs on road by 2030</t>
  </si>
  <si>
    <t>Evs 30% of sales by 2020</t>
  </si>
  <si>
    <t>April 2016</t>
  </si>
  <si>
    <t>July 2017</t>
  </si>
  <si>
    <t>September 2017</t>
  </si>
  <si>
    <t>October 2016</t>
  </si>
  <si>
    <t>April 2017</t>
  </si>
  <si>
    <t>February 2018</t>
  </si>
  <si>
    <t>October 2017</t>
  </si>
  <si>
    <t>June 2016</t>
  </si>
  <si>
    <t>Decenber 2017</t>
  </si>
  <si>
    <t>No new FFVs sold after 2020</t>
  </si>
  <si>
    <t>No new FFVs sold after 2040</t>
  </si>
  <si>
    <t>No new FFVs sold after 2030</t>
  </si>
  <si>
    <t>AIG</t>
  </si>
  <si>
    <t>20%depreciation</t>
  </si>
  <si>
    <t>30%tax rate</t>
  </si>
  <si>
    <t>companies 40%sales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</si>
</sst>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64" formatCode="0.0"/>
    <numFmt numFmtId="165" formatCode="0.000"/>
    <numFmt numFmtId="166" formatCode="0.00000000"/>
    <numFmt numFmtId="167" formatCode="0.00000"/>
    <numFmt numFmtId="168" formatCode="0.0000"/>
    <numFmt numFmtId="169" formatCode="0.000000"/>
  </numFmts>
  <fonts count="36">
    <font>
      <sz val="11"/>
      <color theme="1"/>
      <name val="Calibri"/>
      <family val="2"/>
      <scheme val="minor"/>
    </font>
    <font>
      <sz val="11"/>
      <color rgb="FF3F3F76"/>
      <name val="Calibri"/>
      <family val="2"/>
      <scheme val="minor"/>
    </font>
    <font>
      <b/>
      <sz val="11"/>
      <color theme="1"/>
      <name val="Calibri"/>
      <family val="2"/>
      <scheme val="minor"/>
    </font>
    <font>
      <sz val="10"/>
      <name val="Arial"/>
      <family val="2"/>
    </font>
    <font>
      <b/>
      <sz val="11"/>
      <color indexed="9"/>
      <name val="Calibri"/>
      <family val="2"/>
    </font>
    <font>
      <i/>
      <sz val="11"/>
      <color indexed="62"/>
      <name val="Calibri"/>
      <family val="2"/>
    </font>
    <font>
      <b/>
      <sz val="9"/>
      <color indexed="81"/>
      <name val="Tahoma"/>
      <family val="2"/>
    </font>
    <font>
      <sz val="9"/>
      <color indexed="81"/>
      <name val="Tahoma"/>
      <family val="2"/>
    </font>
    <font>
      <i/>
      <sz val="11"/>
      <color theme="1"/>
      <name val="Calibri"/>
      <family val="2"/>
      <scheme val="minor"/>
    </font>
    <font>
      <i/>
      <sz val="10"/>
      <name val="Arial"/>
      <family val="2"/>
    </font>
    <font>
      <sz val="11"/>
      <color rgb="FF006100"/>
      <name val="Calibri"/>
      <family val="2"/>
      <scheme val="minor"/>
    </font>
    <font>
      <b/>
      <sz val="11"/>
      <color theme="0"/>
      <name val="Calibri"/>
      <family val="2"/>
      <scheme val="minor"/>
    </font>
    <font>
      <sz val="11"/>
      <color rgb="FFFF0000"/>
      <name val="Calibri"/>
      <family val="2"/>
      <scheme val="minor"/>
    </font>
    <font>
      <sz val="11"/>
      <name val="Calibri"/>
      <family val="2"/>
      <scheme val="minor"/>
    </font>
    <font>
      <i/>
      <sz val="11"/>
      <color rgb="FFFF0000"/>
      <name val="Calibri"/>
      <family val="2"/>
    </font>
    <font>
      <sz val="9"/>
      <color theme="1"/>
      <name val="Calibri"/>
      <family val="2"/>
      <scheme val="minor"/>
    </font>
    <font>
      <sz val="11"/>
      <color rgb="FF333333"/>
      <name val="Inherit"/>
    </font>
    <font>
      <u/>
      <sz val="11"/>
      <color theme="10"/>
      <name val="Calibri"/>
      <family val="2"/>
      <scheme val="minor"/>
    </font>
    <font>
      <vertAlign val="superscript"/>
      <sz val="8.8000000000000007"/>
      <color theme="1"/>
      <name val="Calibri"/>
      <family val="2"/>
      <scheme val="minor"/>
    </font>
    <font>
      <sz val="11"/>
      <color rgb="FF404040"/>
      <name val="Arial"/>
      <family val="2"/>
    </font>
    <font>
      <b/>
      <sz val="14.3"/>
      <color rgb="FF404040"/>
      <name val="Arial"/>
      <family val="2"/>
    </font>
    <font>
      <sz val="11"/>
      <color rgb="FF4D4D4D"/>
      <name val="Arial"/>
      <family val="2"/>
    </font>
    <font>
      <b/>
      <sz val="27"/>
      <color rgb="FF4D4D4D"/>
      <name val="Arial"/>
      <family val="2"/>
    </font>
    <font>
      <sz val="11"/>
      <color rgb="FFB1000E"/>
      <name val="Arial"/>
      <family val="2"/>
    </font>
    <font>
      <i/>
      <sz val="11"/>
      <color rgb="FFB1000E"/>
      <name val="Arial"/>
      <family val="2"/>
    </font>
    <font>
      <sz val="11"/>
      <color rgb="FF626262"/>
      <name val="Arial"/>
      <family val="2"/>
    </font>
    <font>
      <sz val="9.35"/>
      <color theme="1"/>
      <name val="Calibri"/>
      <family val="2"/>
      <scheme val="minor"/>
    </font>
    <font>
      <sz val="11.5"/>
      <color rgb="FF505054"/>
      <name val="Arial"/>
      <family val="2"/>
    </font>
    <font>
      <sz val="11"/>
      <color rgb="FF333333"/>
      <name val="Arial"/>
      <family val="2"/>
    </font>
    <font>
      <sz val="11.5"/>
      <color rgb="FF425869"/>
      <name val="Open Sans"/>
    </font>
    <font>
      <vertAlign val="superscript"/>
      <sz val="8.5"/>
      <color theme="1"/>
      <name val="Open Sans"/>
    </font>
    <font>
      <vertAlign val="subscript"/>
      <sz val="8.5"/>
      <color rgb="FF425869"/>
      <name val="Open Sans"/>
    </font>
    <font>
      <sz val="11"/>
      <color theme="1"/>
      <name val="Calibri"/>
      <family val="2"/>
      <scheme val="minor"/>
    </font>
    <font>
      <sz val="14"/>
      <color rgb="FF595959"/>
      <name val="Calibri"/>
      <family val="2"/>
      <scheme val="minor"/>
    </font>
    <font>
      <sz val="18"/>
      <color rgb="FF595959"/>
      <name val="Calibri"/>
      <family val="2"/>
      <scheme val="minor"/>
    </font>
    <font>
      <b/>
      <sz val="12"/>
      <color theme="1"/>
      <name val="Calibri"/>
      <family val="2"/>
      <scheme val="minor"/>
    </font>
  </fonts>
  <fills count="41">
    <fill>
      <patternFill patternType="none"/>
    </fill>
    <fill>
      <patternFill patternType="gray125"/>
    </fill>
    <fill>
      <patternFill patternType="solid">
        <fgColor rgb="FFFFCC99"/>
      </patternFill>
    </fill>
    <fill>
      <patternFill patternType="solid">
        <fgColor indexed="55"/>
      </patternFill>
    </fill>
    <fill>
      <patternFill patternType="solid">
        <fgColor rgb="FFC6EFCE"/>
      </patternFill>
    </fill>
    <fill>
      <patternFill patternType="solid">
        <fgColor rgb="FFA5A5A5"/>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rgb="FFF1F5FA"/>
        <bgColor indexed="64"/>
      </patternFill>
    </fill>
    <fill>
      <patternFill patternType="solid">
        <fgColor rgb="FFF0F0FF"/>
        <bgColor indexed="64"/>
      </patternFill>
    </fill>
    <fill>
      <patternFill patternType="solid">
        <fgColor rgb="FFD3D3D3"/>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6"/>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7"/>
        <bgColor indexed="64"/>
      </patternFill>
    </fill>
    <fill>
      <patternFill patternType="solid">
        <fgColor theme="4" tint="0.39997558519241921"/>
        <bgColor indexed="64"/>
      </patternFill>
    </fill>
    <fill>
      <patternFill patternType="solid">
        <fgColor rgb="FF00B0F0"/>
        <bgColor indexed="64"/>
      </patternFill>
    </fill>
    <fill>
      <patternFill patternType="solid">
        <fgColor rgb="FF00FF00"/>
        <bgColor indexed="64"/>
      </patternFill>
    </fill>
    <fill>
      <patternFill patternType="solid">
        <fgColor rgb="FFCC99FF"/>
        <bgColor indexed="64"/>
      </patternFill>
    </fill>
    <fill>
      <patternFill patternType="solid">
        <fgColor rgb="FFD6E923"/>
        <bgColor indexed="64"/>
      </patternFill>
    </fill>
    <fill>
      <patternFill patternType="solid">
        <fgColor rgb="FFA5EF01"/>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79998168889431442"/>
        <bgColor indexed="64"/>
      </patternFill>
    </fill>
  </fills>
  <borders count="14">
    <border>
      <left/>
      <right/>
      <top/>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style="thin">
        <color rgb="FF7F7F7F"/>
      </top>
      <bottom/>
      <diagonal/>
    </border>
    <border>
      <left style="medium">
        <color rgb="FF000000"/>
      </left>
      <right style="medium">
        <color rgb="FF000000"/>
      </right>
      <top style="medium">
        <color rgb="FF000000"/>
      </top>
      <bottom style="medium">
        <color rgb="FF000000"/>
      </bottom>
      <diagonal/>
    </border>
  </borders>
  <cellStyleXfs count="7">
    <xf numFmtId="0" fontId="0" fillId="0" borderId="0"/>
    <xf numFmtId="0" fontId="1" fillId="2" borderId="1" applyNumberFormat="0" applyAlignment="0" applyProtection="0"/>
    <xf numFmtId="0" fontId="4" fillId="3" borderId="2" applyNumberFormat="0" applyAlignment="0" applyProtection="0"/>
    <xf numFmtId="0" fontId="10" fillId="4" borderId="0" applyNumberFormat="0" applyBorder="0" applyAlignment="0" applyProtection="0"/>
    <xf numFmtId="0" fontId="11" fillId="5" borderId="3" applyNumberFormat="0" applyAlignment="0" applyProtection="0"/>
    <xf numFmtId="0" fontId="17" fillId="0" borderId="0" applyNumberFormat="0" applyFill="0" applyBorder="0" applyAlignment="0" applyProtection="0"/>
    <xf numFmtId="9" fontId="32" fillId="0" borderId="0" applyFont="0" applyFill="0" applyBorder="0" applyAlignment="0" applyProtection="0"/>
  </cellStyleXfs>
  <cellXfs count="273">
    <xf numFmtId="0" fontId="0" fillId="0" borderId="0" xfId="0"/>
    <xf numFmtId="0" fontId="3" fillId="0" borderId="0" xfId="0" applyFont="1"/>
    <xf numFmtId="0" fontId="5" fillId="2" borderId="1" xfId="1" applyFont="1"/>
    <xf numFmtId="1" fontId="0" fillId="0" borderId="0" xfId="0" applyNumberFormat="1"/>
    <xf numFmtId="0" fontId="8" fillId="0" borderId="0" xfId="0" applyFont="1" applyAlignment="1">
      <alignment horizontal="right"/>
    </xf>
    <xf numFmtId="0" fontId="9" fillId="0" borderId="0" xfId="0" applyFont="1"/>
    <xf numFmtId="0" fontId="8" fillId="0" borderId="0" xfId="0" applyFont="1"/>
    <xf numFmtId="0" fontId="2" fillId="0" borderId="0" xfId="0" applyFont="1"/>
    <xf numFmtId="1" fontId="8" fillId="0" borderId="0" xfId="0" applyNumberFormat="1" applyFont="1"/>
    <xf numFmtId="164" fontId="10" fillId="4" borderId="1" xfId="3" applyNumberFormat="1" applyBorder="1"/>
    <xf numFmtId="164" fontId="1" fillId="2" borderId="1" xfId="1" applyNumberFormat="1"/>
    <xf numFmtId="164" fontId="11" fillId="5" borderId="3" xfId="4" applyNumberFormat="1"/>
    <xf numFmtId="164" fontId="0" fillId="0" borderId="0" xfId="0" applyNumberFormat="1"/>
    <xf numFmtId="2" fontId="0" fillId="0" borderId="0" xfId="0" applyNumberFormat="1"/>
    <xf numFmtId="0" fontId="0" fillId="6" borderId="0" xfId="0" applyFill="1"/>
    <xf numFmtId="1" fontId="0" fillId="6" borderId="0" xfId="0" applyNumberFormat="1" applyFill="1"/>
    <xf numFmtId="1" fontId="0" fillId="0" borderId="4" xfId="0" applyNumberFormat="1" applyBorder="1"/>
    <xf numFmtId="1" fontId="0" fillId="6" borderId="4" xfId="0" applyNumberFormat="1" applyFill="1" applyBorder="1"/>
    <xf numFmtId="0" fontId="0" fillId="0" borderId="4" xfId="0" applyBorder="1"/>
    <xf numFmtId="0" fontId="0" fillId="0" borderId="0" xfId="0" applyFill="1" applyBorder="1"/>
    <xf numFmtId="2" fontId="0" fillId="6" borderId="0" xfId="0" applyNumberFormat="1" applyFill="1"/>
    <xf numFmtId="164" fontId="0" fillId="6" borderId="0" xfId="0" applyNumberFormat="1" applyFill="1"/>
    <xf numFmtId="0" fontId="0" fillId="0" borderId="0" xfId="0" applyAlignment="1">
      <alignment horizontal="center"/>
    </xf>
    <xf numFmtId="0" fontId="2" fillId="0" borderId="4" xfId="0" applyFont="1" applyBorder="1"/>
    <xf numFmtId="0" fontId="0" fillId="7" borderId="0" xfId="0" applyFill="1" applyAlignment="1">
      <alignment horizontal="center"/>
    </xf>
    <xf numFmtId="0" fontId="0" fillId="7" borderId="0" xfId="0" applyFill="1" applyAlignment="1">
      <alignment horizontal="right"/>
    </xf>
    <xf numFmtId="6" fontId="0" fillId="7" borderId="0" xfId="0" applyNumberFormat="1" applyFill="1" applyAlignment="1">
      <alignment horizontal="right"/>
    </xf>
    <xf numFmtId="0" fontId="0" fillId="0" borderId="4" xfId="0" applyFill="1" applyBorder="1"/>
    <xf numFmtId="0" fontId="12" fillId="0" borderId="0" xfId="0" applyFont="1"/>
    <xf numFmtId="0" fontId="12" fillId="0" borderId="0" xfId="0" applyFont="1" applyFill="1" applyBorder="1"/>
    <xf numFmtId="0" fontId="12" fillId="0" borderId="4" xfId="0" applyFont="1" applyBorder="1"/>
    <xf numFmtId="0" fontId="0" fillId="0" borderId="0" xfId="0" applyBorder="1"/>
    <xf numFmtId="0" fontId="0" fillId="0" borderId="0" xfId="0" applyFill="1" applyAlignment="1">
      <alignment horizontal="right"/>
    </xf>
    <xf numFmtId="0" fontId="0" fillId="0" borderId="0" xfId="0" applyFill="1"/>
    <xf numFmtId="0" fontId="12" fillId="0" borderId="0" xfId="0" applyFont="1" applyFill="1"/>
    <xf numFmtId="0" fontId="0" fillId="0" borderId="4" xfId="0" applyFont="1" applyBorder="1"/>
    <xf numFmtId="0" fontId="0" fillId="0" borderId="0" xfId="0" applyFont="1"/>
    <xf numFmtId="0" fontId="2" fillId="0" borderId="0" xfId="0" applyFont="1" applyBorder="1"/>
    <xf numFmtId="0" fontId="0" fillId="6" borderId="0" xfId="0" applyFill="1" applyBorder="1"/>
    <xf numFmtId="0" fontId="13" fillId="0" borderId="0" xfId="0" applyFont="1" applyFill="1"/>
    <xf numFmtId="0" fontId="12" fillId="0" borderId="0" xfId="0" applyFont="1" applyBorder="1"/>
    <xf numFmtId="0" fontId="0" fillId="0" borderId="0" xfId="0" applyFill="1" applyBorder="1" applyAlignment="1"/>
    <xf numFmtId="0" fontId="0" fillId="0" borderId="5" xfId="0" applyFill="1" applyBorder="1" applyAlignment="1"/>
    <xf numFmtId="0" fontId="8" fillId="0" borderId="6" xfId="0" applyFont="1" applyFill="1" applyBorder="1" applyAlignment="1">
      <alignment horizontal="center"/>
    </xf>
    <xf numFmtId="0" fontId="8" fillId="0" borderId="6" xfId="0" applyFont="1" applyFill="1" applyBorder="1" applyAlignment="1">
      <alignment horizontal="centerContinuous"/>
    </xf>
    <xf numFmtId="166" fontId="0" fillId="0" borderId="0" xfId="0" applyNumberFormat="1" applyFill="1" applyBorder="1" applyAlignment="1"/>
    <xf numFmtId="166" fontId="0" fillId="0" borderId="5" xfId="0" applyNumberFormat="1" applyFill="1" applyBorder="1" applyAlignment="1"/>
    <xf numFmtId="165" fontId="0" fillId="0" borderId="0" xfId="0" applyNumberFormat="1" applyFill="1" applyBorder="1" applyAlignment="1"/>
    <xf numFmtId="165" fontId="0" fillId="0" borderId="5" xfId="0" applyNumberFormat="1" applyFill="1" applyBorder="1" applyAlignment="1"/>
    <xf numFmtId="1" fontId="0" fillId="0" borderId="0" xfId="0" applyNumberFormat="1" applyFill="1" applyBorder="1" applyAlignment="1"/>
    <xf numFmtId="1" fontId="0" fillId="0" borderId="0" xfId="0" applyNumberFormat="1" applyBorder="1"/>
    <xf numFmtId="0" fontId="0" fillId="0" borderId="0" xfId="0" applyFont="1" applyFill="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0" fontId="13" fillId="0" borderId="10" xfId="0" applyFont="1" applyFill="1" applyBorder="1"/>
    <xf numFmtId="1" fontId="0" fillId="0" borderId="7" xfId="0" applyNumberFormat="1" applyBorder="1"/>
    <xf numFmtId="1" fontId="0" fillId="0" borderId="8" xfId="0" applyNumberFormat="1" applyBorder="1"/>
    <xf numFmtId="1" fontId="0" fillId="0" borderId="9" xfId="0" applyNumberFormat="1" applyBorder="1"/>
    <xf numFmtId="1" fontId="0" fillId="0" borderId="0" xfId="0" applyNumberFormat="1" applyFill="1"/>
    <xf numFmtId="164" fontId="0" fillId="0" borderId="0" xfId="0" applyNumberFormat="1" applyBorder="1"/>
    <xf numFmtId="0" fontId="0" fillId="0" borderId="0" xfId="0" applyFill="1" applyBorder="1" applyAlignment="1">
      <alignment horizontal="right"/>
    </xf>
    <xf numFmtId="0" fontId="3" fillId="0" borderId="0" xfId="0" applyFont="1" applyFill="1"/>
    <xf numFmtId="0" fontId="8" fillId="0" borderId="0" xfId="0" applyFont="1" applyFill="1"/>
    <xf numFmtId="0" fontId="5" fillId="2" borderId="12" xfId="1" applyFont="1" applyBorder="1"/>
    <xf numFmtId="0" fontId="5" fillId="0" borderId="0" xfId="1" applyFont="1" applyFill="1" applyBorder="1"/>
    <xf numFmtId="0" fontId="14" fillId="0" borderId="0" xfId="1" applyFont="1" applyFill="1" applyBorder="1"/>
    <xf numFmtId="0" fontId="12" fillId="6" borderId="0" xfId="0" applyFont="1" applyFill="1" applyBorder="1"/>
    <xf numFmtId="0" fontId="0" fillId="6" borderId="4" xfId="0" applyFill="1" applyBorder="1"/>
    <xf numFmtId="1" fontId="0" fillId="0" borderId="0" xfId="0" applyNumberFormat="1" applyFill="1" applyBorder="1"/>
    <xf numFmtId="2" fontId="0" fillId="0" borderId="0" xfId="0" applyNumberFormat="1" applyFill="1"/>
    <xf numFmtId="1" fontId="0" fillId="0" borderId="4" xfId="0" applyNumberFormat="1" applyFill="1" applyBorder="1"/>
    <xf numFmtId="1" fontId="0" fillId="6" borderId="0" xfId="0" applyNumberFormat="1" applyFill="1" applyBorder="1"/>
    <xf numFmtId="1" fontId="12" fillId="0" borderId="0" xfId="0" applyNumberFormat="1" applyFont="1"/>
    <xf numFmtId="1" fontId="0" fillId="0" borderId="4" xfId="0" applyNumberFormat="1" applyFont="1" applyBorder="1"/>
    <xf numFmtId="1" fontId="12" fillId="6" borderId="0" xfId="0" applyNumberFormat="1" applyFont="1" applyFill="1" applyBorder="1"/>
    <xf numFmtId="0" fontId="0" fillId="6" borderId="0" xfId="0" applyFill="1" applyAlignment="1">
      <alignment horizontal="center"/>
    </xf>
    <xf numFmtId="0" fontId="0" fillId="0" borderId="0" xfId="0" applyFill="1" applyAlignment="1">
      <alignment horizontal="center"/>
    </xf>
    <xf numFmtId="1" fontId="0" fillId="0" borderId="0" xfId="0" quotePrefix="1" applyNumberFormat="1" applyAlignment="1">
      <alignment horizontal="right"/>
    </xf>
    <xf numFmtId="1" fontId="15" fillId="0" borderId="0" xfId="0" quotePrefix="1" applyNumberFormat="1" applyFont="1" applyAlignment="1">
      <alignment horizontal="right"/>
    </xf>
    <xf numFmtId="1" fontId="15" fillId="0" borderId="0" xfId="0" quotePrefix="1" applyNumberFormat="1" applyFont="1" applyAlignment="1">
      <alignment horizontal="center"/>
    </xf>
    <xf numFmtId="164" fontId="0" fillId="0" borderId="0" xfId="0" applyNumberFormat="1" applyFill="1"/>
    <xf numFmtId="165" fontId="0" fillId="0" borderId="0" xfId="0" applyNumberFormat="1"/>
    <xf numFmtId="0" fontId="3" fillId="0" borderId="0" xfId="0" quotePrefix="1" applyFont="1" applyFill="1"/>
    <xf numFmtId="0" fontId="0" fillId="7" borderId="0" xfId="0" applyFill="1"/>
    <xf numFmtId="0" fontId="0" fillId="9" borderId="0" xfId="0" applyFill="1"/>
    <xf numFmtId="164" fontId="0" fillId="9" borderId="0" xfId="0" applyNumberFormat="1" applyFill="1"/>
    <xf numFmtId="2" fontId="0" fillId="9" borderId="0" xfId="0" applyNumberFormat="1" applyFill="1"/>
    <xf numFmtId="0" fontId="2" fillId="6" borderId="0" xfId="0" applyFont="1" applyFill="1"/>
    <xf numFmtId="0" fontId="16" fillId="8" borderId="0" xfId="0" applyFont="1" applyFill="1" applyAlignment="1">
      <alignment horizontal="left" vertical="center" wrapText="1" indent="1"/>
    </xf>
    <xf numFmtId="3" fontId="0" fillId="0" borderId="0" xfId="0" applyNumberFormat="1"/>
    <xf numFmtId="165" fontId="0" fillId="6" borderId="0" xfId="0" applyNumberFormat="1" applyFill="1"/>
    <xf numFmtId="165" fontId="0" fillId="0" borderId="0" xfId="0" applyNumberFormat="1" applyFill="1"/>
    <xf numFmtId="9" fontId="0" fillId="0" borderId="0" xfId="0" applyNumberFormat="1"/>
    <xf numFmtId="1" fontId="0" fillId="7" borderId="0" xfId="0" applyNumberFormat="1" applyFill="1"/>
    <xf numFmtId="164" fontId="0" fillId="7" borderId="0" xfId="0" applyNumberFormat="1" applyFill="1"/>
    <xf numFmtId="0" fontId="0" fillId="0" borderId="0" xfId="0" applyAlignment="1"/>
    <xf numFmtId="1" fontId="0" fillId="10" borderId="0" xfId="0" applyNumberFormat="1" applyFill="1"/>
    <xf numFmtId="1" fontId="0" fillId="12" borderId="0" xfId="0" applyNumberFormat="1" applyFill="1"/>
    <xf numFmtId="0" fontId="0" fillId="12" borderId="0" xfId="0" applyFill="1"/>
    <xf numFmtId="0" fontId="0" fillId="11" borderId="0" xfId="0" applyFill="1"/>
    <xf numFmtId="1" fontId="0" fillId="10" borderId="4" xfId="0" applyNumberFormat="1" applyFill="1" applyBorder="1"/>
    <xf numFmtId="0" fontId="0" fillId="0" borderId="0" xfId="0" applyAlignment="1">
      <alignment vertical="center"/>
    </xf>
    <xf numFmtId="0" fontId="17" fillId="0" borderId="0" xfId="5" applyAlignment="1">
      <alignment vertical="center"/>
    </xf>
    <xf numFmtId="3" fontId="0" fillId="0" borderId="0" xfId="0" applyNumberFormat="1" applyAlignment="1">
      <alignment horizontal="center" vertical="center" wrapText="1"/>
    </xf>
    <xf numFmtId="0" fontId="0" fillId="0" borderId="0" xfId="0" applyAlignment="1">
      <alignment horizontal="center" vertical="center" wrapText="1"/>
    </xf>
    <xf numFmtId="0" fontId="0" fillId="13" borderId="0" xfId="0" applyFill="1"/>
    <xf numFmtId="3" fontId="0" fillId="15" borderId="0" xfId="0" applyNumberFormat="1" applyFill="1" applyAlignment="1">
      <alignment horizontal="center" vertical="center" wrapText="1"/>
    </xf>
    <xf numFmtId="10" fontId="0" fillId="15" borderId="0" xfId="0" applyNumberFormat="1" applyFill="1" applyAlignment="1">
      <alignment horizontal="center" vertical="center" wrapText="1"/>
    </xf>
    <xf numFmtId="3" fontId="2" fillId="14" borderId="0" xfId="0" applyNumberFormat="1" applyFont="1" applyFill="1" applyAlignment="1">
      <alignment horizontal="center" vertical="center" wrapText="1"/>
    </xf>
    <xf numFmtId="0" fontId="0" fillId="14" borderId="0" xfId="0" applyFill="1" applyAlignment="1">
      <alignment horizontal="center" vertical="center" wrapText="1"/>
    </xf>
    <xf numFmtId="0" fontId="2" fillId="14" borderId="0" xfId="0" applyFont="1" applyFill="1" applyAlignment="1">
      <alignment horizontal="center" vertical="center" wrapText="1"/>
    </xf>
    <xf numFmtId="0" fontId="17" fillId="0" borderId="0" xfId="5"/>
    <xf numFmtId="0" fontId="20" fillId="0" borderId="0" xfId="0" applyFont="1" applyAlignment="1">
      <alignment vertical="center"/>
    </xf>
    <xf numFmtId="0" fontId="19" fillId="0" borderId="13" xfId="0" applyFont="1" applyBorder="1" applyAlignment="1">
      <alignment horizontal="center" vertical="top" wrapText="1"/>
    </xf>
    <xf numFmtId="0" fontId="19" fillId="16" borderId="13" xfId="0" applyFont="1" applyFill="1" applyBorder="1" applyAlignment="1">
      <alignment horizontal="center" vertical="top" wrapText="1"/>
    </xf>
    <xf numFmtId="20" fontId="0" fillId="0" borderId="0" xfId="0" applyNumberFormat="1"/>
    <xf numFmtId="3" fontId="0" fillId="6" borderId="0" xfId="0" applyNumberFormat="1" applyFill="1"/>
    <xf numFmtId="0" fontId="22" fillId="0" borderId="0" xfId="0" applyFont="1" applyAlignment="1">
      <alignment vertical="center"/>
    </xf>
    <xf numFmtId="0" fontId="23" fillId="0" borderId="0" xfId="0" applyFont="1" applyAlignment="1">
      <alignment vertical="center"/>
    </xf>
    <xf numFmtId="0" fontId="21" fillId="0" borderId="0" xfId="0" applyFont="1" applyAlignment="1">
      <alignment vertical="center"/>
    </xf>
    <xf numFmtId="0" fontId="25" fillId="0" borderId="0" xfId="0" applyFont="1"/>
    <xf numFmtId="0" fontId="0" fillId="0" borderId="0" xfId="0" applyAlignment="1">
      <alignment horizontal="right"/>
    </xf>
    <xf numFmtId="0" fontId="26" fillId="0" borderId="0" xfId="0" applyFont="1"/>
    <xf numFmtId="17" fontId="0" fillId="0" borderId="0" xfId="0" applyNumberFormat="1"/>
    <xf numFmtId="0" fontId="0" fillId="13" borderId="0" xfId="0" applyFill="1" applyAlignment="1">
      <alignment horizontal="right"/>
    </xf>
    <xf numFmtId="17" fontId="0" fillId="13" borderId="0" xfId="0" applyNumberFormat="1" applyFill="1"/>
    <xf numFmtId="0" fontId="0" fillId="17" borderId="0" xfId="0" applyFill="1"/>
    <xf numFmtId="0" fontId="27" fillId="0" borderId="0" xfId="0" applyFont="1" applyAlignment="1">
      <alignment vertical="center"/>
    </xf>
    <xf numFmtId="165" fontId="0" fillId="11" borderId="0" xfId="0" applyNumberFormat="1" applyFill="1"/>
    <xf numFmtId="0" fontId="0" fillId="6" borderId="0" xfId="0" applyFill="1" applyAlignment="1"/>
    <xf numFmtId="0" fontId="0" fillId="11" borderId="0" xfId="0" applyFill="1" applyAlignment="1"/>
    <xf numFmtId="167" fontId="0" fillId="0" borderId="0" xfId="0" applyNumberFormat="1"/>
    <xf numFmtId="0" fontId="0" fillId="18" borderId="0" xfId="0" applyFill="1"/>
    <xf numFmtId="165" fontId="0" fillId="7" borderId="0" xfId="0" applyNumberFormat="1" applyFill="1"/>
    <xf numFmtId="165" fontId="0" fillId="10" borderId="0" xfId="0" applyNumberFormat="1" applyFill="1"/>
    <xf numFmtId="165" fontId="0" fillId="18" borderId="0" xfId="0" applyNumberFormat="1" applyFill="1"/>
    <xf numFmtId="165" fontId="0" fillId="19" borderId="0" xfId="0" applyNumberFormat="1" applyFill="1"/>
    <xf numFmtId="0" fontId="0" fillId="0" borderId="0" xfId="0" applyFill="1" applyAlignment="1"/>
    <xf numFmtId="0" fontId="28" fillId="0" borderId="0" xfId="0" applyFont="1"/>
    <xf numFmtId="0" fontId="5" fillId="10" borderId="0" xfId="1" applyFont="1" applyFill="1" applyBorder="1"/>
    <xf numFmtId="0" fontId="2" fillId="0" borderId="0" xfId="0" applyFont="1" applyFill="1" applyAlignment="1"/>
    <xf numFmtId="0" fontId="2" fillId="6" borderId="0" xfId="0" applyFont="1" applyFill="1" applyAlignment="1"/>
    <xf numFmtId="0" fontId="2" fillId="11" borderId="0" xfId="0" applyFont="1" applyFill="1" applyAlignment="1"/>
    <xf numFmtId="0" fontId="0" fillId="11" borderId="0" xfId="0" applyFont="1" applyFill="1" applyAlignment="1"/>
    <xf numFmtId="0" fontId="2" fillId="0" borderId="0" xfId="0" applyFont="1" applyFill="1"/>
    <xf numFmtId="0" fontId="2" fillId="11" borderId="0" xfId="0" applyFont="1" applyFill="1"/>
    <xf numFmtId="0" fontId="2" fillId="0" borderId="0" xfId="0" applyFont="1" applyAlignment="1"/>
    <xf numFmtId="0" fontId="2" fillId="0" borderId="0" xfId="0" applyFont="1" applyAlignment="1">
      <alignment horizontal="center"/>
    </xf>
    <xf numFmtId="165" fontId="2" fillId="0" borderId="0" xfId="0" applyNumberFormat="1" applyFont="1" applyAlignment="1"/>
    <xf numFmtId="165" fontId="2" fillId="0" borderId="0" xfId="0" applyNumberFormat="1" applyFont="1"/>
    <xf numFmtId="165" fontId="2" fillId="0" borderId="0" xfId="0" applyNumberFormat="1" applyFont="1" applyAlignment="1">
      <alignment horizontal="center"/>
    </xf>
    <xf numFmtId="0" fontId="2" fillId="0" borderId="0" xfId="0" applyFont="1" applyFill="1" applyAlignment="1">
      <alignment horizontal="center"/>
    </xf>
    <xf numFmtId="168" fontId="0" fillId="0" borderId="0" xfId="0" applyNumberFormat="1"/>
    <xf numFmtId="168" fontId="0" fillId="0" borderId="0" xfId="0" applyNumberFormat="1" applyFill="1"/>
    <xf numFmtId="0" fontId="5" fillId="20" borderId="0" xfId="1" applyFont="1" applyFill="1" applyBorder="1"/>
    <xf numFmtId="0" fontId="0" fillId="20" borderId="0" xfId="0" applyFill="1"/>
    <xf numFmtId="164" fontId="0" fillId="10" borderId="0" xfId="0" applyNumberFormat="1" applyFill="1"/>
    <xf numFmtId="0" fontId="0" fillId="10" borderId="0" xfId="0" applyFill="1"/>
    <xf numFmtId="165" fontId="5" fillId="0" borderId="0" xfId="1" applyNumberFormat="1" applyFont="1" applyFill="1" applyBorder="1"/>
    <xf numFmtId="1" fontId="5" fillId="0" borderId="0" xfId="1" applyNumberFormat="1" applyFont="1" applyFill="1" applyBorder="1"/>
    <xf numFmtId="0" fontId="5" fillId="6" borderId="0" xfId="1" applyFont="1" applyFill="1" applyBorder="1"/>
    <xf numFmtId="168" fontId="0" fillId="0" borderId="0" xfId="0" applyNumberFormat="1" applyAlignment="1">
      <alignment horizontal="center"/>
    </xf>
    <xf numFmtId="165" fontId="0" fillId="0" borderId="0" xfId="0" applyNumberFormat="1" applyAlignment="1">
      <alignment horizontal="center"/>
    </xf>
    <xf numFmtId="169" fontId="0" fillId="0" borderId="0" xfId="0" applyNumberFormat="1"/>
    <xf numFmtId="0" fontId="29" fillId="0" borderId="0" xfId="0" applyFont="1" applyAlignment="1">
      <alignment vertical="center"/>
    </xf>
    <xf numFmtId="1" fontId="2" fillId="0" borderId="0" xfId="0" applyNumberFormat="1" applyFont="1" applyAlignment="1"/>
    <xf numFmtId="1" fontId="2" fillId="0" borderId="0" xfId="0" applyNumberFormat="1" applyFont="1"/>
    <xf numFmtId="1" fontId="2" fillId="0" borderId="0" xfId="0" applyNumberFormat="1" applyFont="1" applyAlignment="1">
      <alignment horizontal="center"/>
    </xf>
    <xf numFmtId="2" fontId="2" fillId="0" borderId="0" xfId="0" applyNumberFormat="1" applyFont="1" applyAlignment="1"/>
    <xf numFmtId="2" fontId="2" fillId="0" borderId="0" xfId="0" applyNumberFormat="1" applyFont="1"/>
    <xf numFmtId="2" fontId="2" fillId="0" borderId="0" xfId="0" applyNumberFormat="1" applyFont="1" applyAlignment="1">
      <alignment horizontal="center"/>
    </xf>
    <xf numFmtId="0" fontId="0" fillId="21" borderId="0" xfId="0" applyFill="1"/>
    <xf numFmtId="0" fontId="0" fillId="22" borderId="0" xfId="0" applyFill="1"/>
    <xf numFmtId="0" fontId="0" fillId="23" borderId="0" xfId="0" applyFill="1"/>
    <xf numFmtId="2" fontId="0" fillId="0" borderId="0" xfId="0" applyNumberFormat="1" applyBorder="1"/>
    <xf numFmtId="0" fontId="0" fillId="0" borderId="0" xfId="0" quotePrefix="1"/>
    <xf numFmtId="0" fontId="0" fillId="24" borderId="0" xfId="0" applyFill="1"/>
    <xf numFmtId="164" fontId="12" fillId="0" borderId="0" xfId="0" applyNumberFormat="1" applyFont="1"/>
    <xf numFmtId="2" fontId="0" fillId="0" borderId="0" xfId="0" applyNumberFormat="1" applyFill="1" applyBorder="1" applyAlignment="1"/>
    <xf numFmtId="2" fontId="0" fillId="0" borderId="4" xfId="0" applyNumberFormat="1" applyBorder="1"/>
    <xf numFmtId="2" fontId="0" fillId="0" borderId="4" xfId="0" applyNumberFormat="1" applyBorder="1" applyAlignment="1">
      <alignment horizontal="right"/>
    </xf>
    <xf numFmtId="1" fontId="0" fillId="0" borderId="0" xfId="0" applyNumberFormat="1" applyFont="1" applyAlignment="1"/>
    <xf numFmtId="1" fontId="0" fillId="0" borderId="0" xfId="0" applyNumberFormat="1" applyFont="1"/>
    <xf numFmtId="1" fontId="0" fillId="0" borderId="0" xfId="0" applyNumberFormat="1" applyFont="1" applyFill="1"/>
    <xf numFmtId="1" fontId="2" fillId="9" borderId="0" xfId="0" applyNumberFormat="1" applyFont="1" applyFill="1" applyAlignment="1"/>
    <xf numFmtId="1" fontId="2" fillId="25" borderId="0" xfId="0" applyNumberFormat="1" applyFont="1" applyFill="1" applyAlignment="1"/>
    <xf numFmtId="1" fontId="2" fillId="25" borderId="0" xfId="0" applyNumberFormat="1" applyFont="1" applyFill="1"/>
    <xf numFmtId="0" fontId="0" fillId="25" borderId="0" xfId="0" applyFill="1"/>
    <xf numFmtId="1" fontId="0" fillId="9" borderId="0" xfId="0" applyNumberFormat="1" applyFont="1" applyFill="1"/>
    <xf numFmtId="1" fontId="0" fillId="13" borderId="0" xfId="0" applyNumberFormat="1" applyFont="1" applyFill="1"/>
    <xf numFmtId="0" fontId="0" fillId="26" borderId="0" xfId="0" applyFill="1"/>
    <xf numFmtId="0" fontId="0" fillId="27" borderId="0" xfId="0" applyFill="1"/>
    <xf numFmtId="1" fontId="0" fillId="27" borderId="0" xfId="0" applyNumberFormat="1" applyFont="1" applyFill="1" applyAlignment="1"/>
    <xf numFmtId="1" fontId="0" fillId="27" borderId="0" xfId="0" applyNumberFormat="1" applyFill="1"/>
    <xf numFmtId="1" fontId="0" fillId="27" borderId="0" xfId="0" applyNumberFormat="1" applyFont="1" applyFill="1"/>
    <xf numFmtId="1" fontId="0" fillId="18" borderId="0" xfId="0" applyNumberFormat="1" applyFont="1" applyFill="1"/>
    <xf numFmtId="0" fontId="0" fillId="28" borderId="0" xfId="0" applyFill="1"/>
    <xf numFmtId="0" fontId="0" fillId="29" borderId="0" xfId="0" applyFill="1"/>
    <xf numFmtId="0" fontId="0" fillId="30" borderId="0" xfId="0" applyFill="1"/>
    <xf numFmtId="1" fontId="2" fillId="20" borderId="0" xfId="0" applyNumberFormat="1" applyFont="1" applyFill="1" applyAlignment="1"/>
    <xf numFmtId="1" fontId="0" fillId="20" borderId="0" xfId="0" applyNumberFormat="1" applyFont="1" applyFill="1"/>
    <xf numFmtId="0" fontId="0" fillId="31" borderId="0" xfId="0" applyFill="1"/>
    <xf numFmtId="1" fontId="0" fillId="19" borderId="0" xfId="0" applyNumberFormat="1" applyFont="1" applyFill="1"/>
    <xf numFmtId="0" fontId="0" fillId="32" borderId="0" xfId="0" applyFill="1"/>
    <xf numFmtId="1" fontId="0" fillId="32" borderId="0" xfId="0" applyNumberFormat="1" applyFont="1" applyFill="1"/>
    <xf numFmtId="1" fontId="0" fillId="33" borderId="0" xfId="0" applyNumberFormat="1" applyFont="1" applyFill="1" applyAlignment="1"/>
    <xf numFmtId="0" fontId="0" fillId="33" borderId="0" xfId="0" applyFill="1"/>
    <xf numFmtId="0" fontId="0" fillId="34" borderId="0" xfId="0" applyFill="1"/>
    <xf numFmtId="1" fontId="0" fillId="34" borderId="0" xfId="0" applyNumberFormat="1" applyFont="1" applyFill="1"/>
    <xf numFmtId="1" fontId="0" fillId="30" borderId="0" xfId="0" applyNumberFormat="1" applyFont="1" applyFill="1" applyAlignment="1"/>
    <xf numFmtId="1" fontId="0" fillId="35" borderId="0" xfId="0" applyNumberFormat="1" applyFont="1" applyFill="1" applyAlignment="1"/>
    <xf numFmtId="0" fontId="0" fillId="35" borderId="0" xfId="0" applyFill="1"/>
    <xf numFmtId="1" fontId="0" fillId="0" borderId="0" xfId="0" applyNumberFormat="1" applyFont="1" applyFill="1" applyAlignment="1">
      <alignment horizontal="right"/>
    </xf>
    <xf numFmtId="165" fontId="0" fillId="29" borderId="0" xfId="0" applyNumberFormat="1" applyFill="1"/>
    <xf numFmtId="1" fontId="0" fillId="18" borderId="0" xfId="0" applyNumberFormat="1" applyFill="1"/>
    <xf numFmtId="164" fontId="0" fillId="18" borderId="0" xfId="0" applyNumberFormat="1" applyFill="1"/>
    <xf numFmtId="2" fontId="0" fillId="18" borderId="0" xfId="0" applyNumberFormat="1" applyFill="1"/>
    <xf numFmtId="1" fontId="0" fillId="18" borderId="0" xfId="0" applyNumberFormat="1" applyFont="1" applyFill="1" applyAlignment="1"/>
    <xf numFmtId="2" fontId="0" fillId="0" borderId="0" xfId="0" applyNumberFormat="1" applyBorder="1" applyAlignment="1">
      <alignment horizontal="right"/>
    </xf>
    <xf numFmtId="166" fontId="0" fillId="0" borderId="0" xfId="0" applyNumberFormat="1" applyFill="1"/>
    <xf numFmtId="1" fontId="0" fillId="9" borderId="0" xfId="0" applyNumberFormat="1" applyFill="1"/>
    <xf numFmtId="1" fontId="0" fillId="22" borderId="0" xfId="0" applyNumberFormat="1" applyFill="1"/>
    <xf numFmtId="0" fontId="0" fillId="36" borderId="0" xfId="0" applyFill="1"/>
    <xf numFmtId="164" fontId="0" fillId="0" borderId="0" xfId="0" applyNumberFormat="1" applyFill="1" applyBorder="1" applyAlignment="1"/>
    <xf numFmtId="164" fontId="0" fillId="0" borderId="5" xfId="0" applyNumberFormat="1" applyFill="1" applyBorder="1" applyAlignment="1"/>
    <xf numFmtId="0" fontId="0" fillId="0" borderId="5" xfId="0" applyBorder="1"/>
    <xf numFmtId="2" fontId="0" fillId="21" borderId="0" xfId="0" applyNumberFormat="1" applyFill="1"/>
    <xf numFmtId="166" fontId="0" fillId="0" borderId="0" xfId="0" applyNumberFormat="1"/>
    <xf numFmtId="165" fontId="0" fillId="9" borderId="0" xfId="0" applyNumberFormat="1" applyFill="1"/>
    <xf numFmtId="1" fontId="0" fillId="21" borderId="0" xfId="0" applyNumberFormat="1" applyFill="1"/>
    <xf numFmtId="2" fontId="0" fillId="28" borderId="0" xfId="0" applyNumberFormat="1" applyFill="1"/>
    <xf numFmtId="9" fontId="0" fillId="9" borderId="0" xfId="6" applyFont="1" applyFill="1"/>
    <xf numFmtId="0" fontId="0" fillId="9" borderId="0" xfId="0" applyFill="1" applyAlignment="1">
      <alignment horizontal="center"/>
    </xf>
    <xf numFmtId="0" fontId="0" fillId="37" borderId="0" xfId="0" applyFill="1"/>
    <xf numFmtId="164" fontId="0" fillId="21" borderId="0" xfId="0" applyNumberFormat="1" applyFill="1"/>
    <xf numFmtId="9" fontId="0" fillId="21" borderId="0" xfId="0" applyNumberFormat="1" applyFill="1"/>
    <xf numFmtId="0" fontId="2" fillId="6" borderId="0" xfId="0" applyFont="1" applyFill="1" applyAlignment="1">
      <alignment horizontal="center"/>
    </xf>
    <xf numFmtId="0" fontId="0" fillId="21" borderId="0" xfId="0" applyFill="1" applyAlignment="1">
      <alignment horizontal="center"/>
    </xf>
    <xf numFmtId="0" fontId="2" fillId="21" borderId="0" xfId="0" applyFont="1" applyFill="1"/>
    <xf numFmtId="0" fontId="0" fillId="38" borderId="0" xfId="0" applyFill="1"/>
    <xf numFmtId="0" fontId="2" fillId="21" borderId="0" xfId="0" applyFont="1" applyFill="1" applyAlignment="1">
      <alignment horizontal="center"/>
    </xf>
    <xf numFmtId="0" fontId="0" fillId="0" borderId="0" xfId="0" quotePrefix="1" applyFill="1"/>
    <xf numFmtId="0" fontId="0" fillId="6" borderId="0" xfId="0" quotePrefix="1" applyFill="1"/>
    <xf numFmtId="0" fontId="33" fillId="0" borderId="0" xfId="0" applyFont="1" applyAlignment="1">
      <alignment horizontal="center" vertical="center" readingOrder="1"/>
    </xf>
    <xf numFmtId="0" fontId="34" fillId="0" borderId="0" xfId="0" applyFont="1" applyAlignment="1">
      <alignment horizontal="center" vertical="center" readingOrder="1"/>
    </xf>
    <xf numFmtId="0" fontId="0" fillId="19" borderId="0" xfId="0" applyFill="1"/>
    <xf numFmtId="10" fontId="0" fillId="0" borderId="0" xfId="0" applyNumberFormat="1"/>
    <xf numFmtId="10" fontId="0" fillId="0" borderId="0" xfId="0" applyNumberFormat="1" applyFill="1"/>
    <xf numFmtId="164" fontId="0" fillId="0" borderId="4" xfId="0" applyNumberFormat="1" applyBorder="1"/>
    <xf numFmtId="1" fontId="0" fillId="29" borderId="0" xfId="0" applyNumberFormat="1" applyFill="1"/>
    <xf numFmtId="2" fontId="0" fillId="39" borderId="0" xfId="0" applyNumberFormat="1" applyFill="1"/>
    <xf numFmtId="17" fontId="0" fillId="0" borderId="0" xfId="0" applyNumberFormat="1" applyFill="1"/>
    <xf numFmtId="1" fontId="0" fillId="0" borderId="0" xfId="0" applyNumberFormat="1" applyFill="1" applyAlignment="1">
      <alignment horizontal="center"/>
    </xf>
    <xf numFmtId="0" fontId="0" fillId="40" borderId="0" xfId="0" applyFill="1"/>
    <xf numFmtId="3" fontId="0" fillId="40" borderId="0" xfId="0" applyNumberFormat="1" applyFill="1"/>
    <xf numFmtId="1" fontId="0" fillId="40" borderId="0" xfId="0" applyNumberFormat="1" applyFill="1"/>
    <xf numFmtId="0" fontId="0" fillId="39" borderId="0" xfId="0" applyFill="1"/>
    <xf numFmtId="0" fontId="0" fillId="0" borderId="5" xfId="0" applyFill="1" applyBorder="1"/>
    <xf numFmtId="2" fontId="0" fillId="0" borderId="5" xfId="0" applyNumberFormat="1" applyFill="1" applyBorder="1"/>
    <xf numFmtId="165" fontId="2" fillId="0" borderId="0" xfId="0" applyNumberFormat="1" applyFont="1" applyFill="1" applyAlignment="1"/>
    <xf numFmtId="165" fontId="2" fillId="0" borderId="0" xfId="0" applyNumberFormat="1" applyFont="1" applyFill="1"/>
    <xf numFmtId="165" fontId="2" fillId="0" borderId="0" xfId="0" applyNumberFormat="1" applyFont="1" applyFill="1" applyAlignment="1">
      <alignment horizontal="center"/>
    </xf>
    <xf numFmtId="0" fontId="0" fillId="0" borderId="4" xfId="0" applyFill="1" applyBorder="1" applyAlignment="1">
      <alignment horizontal="center"/>
    </xf>
    <xf numFmtId="0" fontId="0" fillId="0" borderId="0" xfId="0" quotePrefix="1" applyNumberFormat="1"/>
    <xf numFmtId="0" fontId="0" fillId="0" borderId="0" xfId="0" applyNumberFormat="1" applyAlignment="1">
      <alignment horizontal="left"/>
    </xf>
    <xf numFmtId="0" fontId="0" fillId="0" borderId="0" xfId="0" quotePrefix="1" applyNumberFormat="1" applyAlignment="1">
      <alignment horizontal="left"/>
    </xf>
    <xf numFmtId="0" fontId="35" fillId="6" borderId="0" xfId="0" applyFont="1" applyFill="1" applyAlignment="1">
      <alignment horizontal="center"/>
    </xf>
    <xf numFmtId="0" fontId="35" fillId="38" borderId="0" xfId="0" applyFont="1" applyFill="1" applyAlignment="1">
      <alignment horizontal="center"/>
    </xf>
    <xf numFmtId="0" fontId="0" fillId="0" borderId="0" xfId="0" applyAlignment="1">
      <alignment horizontal="center" vertical="center" wrapText="1"/>
    </xf>
    <xf numFmtId="0" fontId="0" fillId="15" borderId="0" xfId="0" applyFill="1" applyAlignment="1">
      <alignment horizontal="center" vertical="center" wrapText="1"/>
    </xf>
  </cellXfs>
  <cellStyles count="7">
    <cellStyle name="Check Cell" xfId="4" builtinId="23"/>
    <cellStyle name="Check Cell 2" xfId="2"/>
    <cellStyle name="Good" xfId="3" builtinId="26"/>
    <cellStyle name="Hyperlink" xfId="5" builtinId="8"/>
    <cellStyle name="Input" xfId="1" builtinId="20"/>
    <cellStyle name="Normal" xfId="0" builtinId="0"/>
    <cellStyle name="Percent" xfId="6" builtinId="5"/>
  </cellStyles>
  <dxfs count="0"/>
  <tableStyles count="0" defaultTableStyle="TableStyleMedium2" defaultPivotStyle="PivotStyleLight16"/>
  <colors>
    <mruColors>
      <color rgb="FFA5EF01"/>
      <color rgb="FFBC5908"/>
      <color rgb="FFCC99FF"/>
      <color rgb="FFA00627"/>
      <color rgb="FF960C23"/>
      <color rgb="FF8A1823"/>
      <color rgb="FFDA6071"/>
      <color rgb="FFB85C70"/>
      <color rgb="FF7C2E2C"/>
      <color rgb="FFD6E9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uptake'!$AG$3</c:f>
              <c:strCache>
                <c:ptCount val="1"/>
                <c:pt idx="0">
                  <c:v> Linearized Logistic</c:v>
                </c:pt>
              </c:strCache>
            </c:strRef>
          </c:tx>
          <c:spPr>
            <a:ln w="38100" cap="rnd">
              <a:solidFill>
                <a:schemeClr val="tx1"/>
              </a:solidFill>
              <a:round/>
            </a:ln>
            <a:effectLst/>
          </c:spPr>
          <c:marker>
            <c:symbol val="none"/>
          </c:marker>
          <c:cat>
            <c:numRef>
              <c:f>'Australia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'Australia EV uptake'!$AG$6:$AG$13</c:f>
              <c:numCache>
                <c:formatCode>General</c:formatCode>
                <c:ptCount val="8"/>
                <c:pt idx="0">
                  <c:v>-8.1417157026388818</c:v>
                </c:pt>
                <c:pt idx="1">
                  <c:v>-8.3693541302992696</c:v>
                </c:pt>
                <c:pt idx="2">
                  <c:v>-7.4498012308011932</c:v>
                </c:pt>
                <c:pt idx="3">
                  <c:v>-6.0721671964042301</c:v>
                </c:pt>
                <c:pt idx="4">
                  <c:v>-5.823598868369289</c:v>
                </c:pt>
                <c:pt idx="5">
                  <c:v>-5.8406699446691599</c:v>
                </c:pt>
                <c:pt idx="6">
                  <c:v>-5.7486065084324887</c:v>
                </c:pt>
                <c:pt idx="7">
                  <c:v>-5.2560903055228829</c:v>
                </c:pt>
              </c:numCache>
            </c:numRef>
          </c:val>
          <c:smooth val="0"/>
          <c:extLst>
            <c:ext xmlns:c16="http://schemas.microsoft.com/office/drawing/2014/chart" uri="{C3380CC4-5D6E-409C-BE32-E72D297353CC}">
              <c16:uniqueId val="{00000000-ABBC-4A13-8B37-1D0857E697D0}"/>
            </c:ext>
          </c:extLst>
        </c:ser>
        <c:ser>
          <c:idx val="1"/>
          <c:order val="1"/>
          <c:tx>
            <c:strRef>
              <c:f>'Australia EV uptake'!$AH$3</c:f>
              <c:strCache>
                <c:ptCount val="1"/>
                <c:pt idx="0">
                  <c:v>predicted</c:v>
                </c:pt>
              </c:strCache>
            </c:strRef>
          </c:tx>
          <c:spPr>
            <a:ln w="28575" cap="rnd">
              <a:solidFill>
                <a:schemeClr val="accent2"/>
              </a:solidFill>
              <a:round/>
            </a:ln>
            <a:effectLst/>
          </c:spPr>
          <c:marker>
            <c:symbol val="none"/>
          </c:marker>
          <c:cat>
            <c:numRef>
              <c:f>'Australia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 All EV uptake'!$BC$6:$BC$13</c:f>
              <c:numCache>
                <c:formatCode>General</c:formatCode>
                <c:ptCount val="8"/>
                <c:pt idx="0">
                  <c:v>-8.121329318189499</c:v>
                </c:pt>
                <c:pt idx="1">
                  <c:v>-8.3127449213434392</c:v>
                </c:pt>
                <c:pt idx="2">
                  <c:v>-7.5630196487128547</c:v>
                </c:pt>
                <c:pt idx="3">
                  <c:v>-6.0791225805933706</c:v>
                </c:pt>
                <c:pt idx="4">
                  <c:v>-5.8266538820965206</c:v>
                </c:pt>
                <c:pt idx="5">
                  <c:v>-5.7944367222463393</c:v>
                </c:pt>
                <c:pt idx="6">
                  <c:v>-5.7203542306622239</c:v>
                </c:pt>
                <c:pt idx="7">
                  <c:v>-5.2843425832931477</c:v>
                </c:pt>
              </c:numCache>
            </c:numRef>
          </c:val>
          <c:smooth val="0"/>
          <c:extLst>
            <c:ext xmlns:c16="http://schemas.microsoft.com/office/drawing/2014/chart" uri="{C3380CC4-5D6E-409C-BE32-E72D297353CC}">
              <c16:uniqueId val="{00000001-ABBC-4A13-8B37-1D0857E697D0}"/>
            </c:ext>
          </c:extLst>
        </c:ser>
        <c:dLbls>
          <c:showLegendKey val="0"/>
          <c:showVal val="0"/>
          <c:showCatName val="0"/>
          <c:showSerName val="0"/>
          <c:showPercent val="0"/>
          <c:showBubbleSize val="0"/>
        </c:dLbls>
        <c:smooth val="0"/>
        <c:axId val="726873408"/>
        <c:axId val="726872096"/>
      </c:lineChart>
      <c:catAx>
        <c:axId val="72687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72096"/>
        <c:crosses val="autoZero"/>
        <c:auto val="1"/>
        <c:lblAlgn val="ctr"/>
        <c:lblOffset val="100"/>
        <c:noMultiLvlLbl val="0"/>
      </c:catAx>
      <c:valAx>
        <c:axId val="726872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 percentage</a:t>
                </a:r>
              </a:p>
            </c:rich>
          </c:tx>
          <c:layout>
            <c:manualLayout>
              <c:xMode val="edge"/>
              <c:yMode val="edge"/>
              <c:x val="1.2448132780082987E-2"/>
              <c:y val="0.179290500921427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7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10407032454277E-2"/>
          <c:y val="5.0925925925925923E-2"/>
          <c:w val="0.90748906386701667"/>
          <c:h val="0.78759988334791486"/>
        </c:manualLayout>
      </c:layout>
      <c:lineChart>
        <c:grouping val="standard"/>
        <c:varyColors val="0"/>
        <c:ser>
          <c:idx val="0"/>
          <c:order val="0"/>
          <c:tx>
            <c:strRef>
              <c:f>'Vehicle price'!$R$4</c:f>
              <c:strCache>
                <c:ptCount val="1"/>
                <c:pt idx="0">
                  <c:v>Top 1/3 Price Growing Range</c:v>
                </c:pt>
              </c:strCache>
            </c:strRef>
          </c:tx>
          <c:spPr>
            <a:ln w="28575" cap="rnd">
              <a:solidFill>
                <a:schemeClr val="accent1"/>
              </a:solidFill>
              <a:round/>
            </a:ln>
            <a:effectLst/>
          </c:spPr>
          <c:marker>
            <c:symbol val="none"/>
          </c:marker>
          <c:cat>
            <c:numRef>
              <c:f>'Vehicle price'!$J$5:$J$26</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'Vehicle price'!$R$5:$R$26</c:f>
              <c:numCache>
                <c:formatCode>0</c:formatCode>
                <c:ptCount val="22"/>
                <c:pt idx="0">
                  <c:v>36.356134512510266</c:v>
                </c:pt>
                <c:pt idx="1">
                  <c:v>36</c:v>
                </c:pt>
                <c:pt idx="2">
                  <c:v>36</c:v>
                </c:pt>
                <c:pt idx="3">
                  <c:v>39.61564750594718</c:v>
                </c:pt>
                <c:pt idx="4">
                  <c:v>39.140798236635504</c:v>
                </c:pt>
                <c:pt idx="5">
                  <c:v>38.197702779444143</c:v>
                </c:pt>
                <c:pt idx="6">
                  <c:v>39.380767295509123</c:v>
                </c:pt>
                <c:pt idx="7">
                  <c:v>42.186215957687942</c:v>
                </c:pt>
                <c:pt idx="8">
                  <c:v>36.626807871640452</c:v>
                </c:pt>
                <c:pt idx="9">
                  <c:v>37.349700008721925</c:v>
                </c:pt>
                <c:pt idx="10">
                  <c:v>38.058908799345986</c:v>
                </c:pt>
                <c:pt idx="11">
                  <c:v>37.83049068103179</c:v>
                </c:pt>
                <c:pt idx="12">
                  <c:v>36.879177374357539</c:v>
                </c:pt>
                <c:pt idx="13">
                  <c:v>37.411176630451607</c:v>
                </c:pt>
                <c:pt idx="14">
                  <c:v>37.068217382358931</c:v>
                </c:pt>
                <c:pt idx="15">
                  <c:v>35.742441932950683</c:v>
                </c:pt>
                <c:pt idx="16">
                  <c:v>34.604246030671611</c:v>
                </c:pt>
                <c:pt idx="17">
                  <c:v>33.955822904792974</c:v>
                </c:pt>
                <c:pt idx="18">
                  <c:v>33.307399778914338</c:v>
                </c:pt>
                <c:pt idx="19">
                  <c:v>32.577923762300877</c:v>
                </c:pt>
                <c:pt idx="20">
                  <c:v>31.92950063642224</c:v>
                </c:pt>
                <c:pt idx="21">
                  <c:v>31.200024619808779</c:v>
                </c:pt>
              </c:numCache>
            </c:numRef>
          </c:val>
          <c:smooth val="0"/>
          <c:extLst>
            <c:ext xmlns:c16="http://schemas.microsoft.com/office/drawing/2014/chart" uri="{C3380CC4-5D6E-409C-BE32-E72D297353CC}">
              <c16:uniqueId val="{00000000-C7B4-492D-B11C-E2201D28D9B4}"/>
            </c:ext>
          </c:extLst>
        </c:ser>
        <c:ser>
          <c:idx val="1"/>
          <c:order val="1"/>
          <c:tx>
            <c:strRef>
              <c:f>'Vehicle price'!$T$4</c:f>
              <c:strCache>
                <c:ptCount val="1"/>
                <c:pt idx="0">
                  <c:v>median price growing range</c:v>
                </c:pt>
              </c:strCache>
            </c:strRef>
          </c:tx>
          <c:spPr>
            <a:ln w="28575" cap="rnd">
              <a:solidFill>
                <a:schemeClr val="accent2"/>
              </a:solidFill>
              <a:round/>
            </a:ln>
            <a:effectLst/>
          </c:spPr>
          <c:marker>
            <c:symbol val="none"/>
          </c:marker>
          <c:cat>
            <c:numRef>
              <c:f>'Vehicle price'!$J$5:$J$26</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'Vehicle price'!$T$5:$T$26</c:f>
              <c:numCache>
                <c:formatCode>0</c:formatCode>
                <c:ptCount val="22"/>
                <c:pt idx="0">
                  <c:v>29.592572886961211</c:v>
                </c:pt>
                <c:pt idx="1">
                  <c:v>30</c:v>
                </c:pt>
                <c:pt idx="2">
                  <c:v>30</c:v>
                </c:pt>
                <c:pt idx="3">
                  <c:v>30.842462459493706</c:v>
                </c:pt>
                <c:pt idx="4">
                  <c:v>31.143929334439989</c:v>
                </c:pt>
                <c:pt idx="5">
                  <c:v>33.541755956678692</c:v>
                </c:pt>
                <c:pt idx="6">
                  <c:v>30</c:v>
                </c:pt>
                <c:pt idx="7">
                  <c:v>30</c:v>
                </c:pt>
                <c:pt idx="8">
                  <c:v>30</c:v>
                </c:pt>
                <c:pt idx="9">
                  <c:v>30.592100851060948</c:v>
                </c:pt>
                <c:pt idx="10">
                  <c:v>31.172994053473918</c:v>
                </c:pt>
                <c:pt idx="11">
                  <c:v>30.985903123425071</c:v>
                </c:pt>
                <c:pt idx="12">
                  <c:v>30.206708843097807</c:v>
                </c:pt>
                <c:pt idx="13">
                  <c:v>30.642454642697771</c:v>
                </c:pt>
                <c:pt idx="14">
                  <c:v>30.361546257811007</c:v>
                </c:pt>
                <c:pt idx="15">
                  <c:v>29.275640447464834</c:v>
                </c:pt>
                <c:pt idx="16">
                  <c:v>28.343375828936317</c:v>
                </c:pt>
                <c:pt idx="17">
                  <c:v>27.812270474504896</c:v>
                </c:pt>
                <c:pt idx="18">
                  <c:v>27.281165120073478</c:v>
                </c:pt>
                <c:pt idx="19">
                  <c:v>26.683671596338133</c:v>
                </c:pt>
                <c:pt idx="20">
                  <c:v>26.152566241906715</c:v>
                </c:pt>
                <c:pt idx="21">
                  <c:v>25.55507271817137</c:v>
                </c:pt>
              </c:numCache>
            </c:numRef>
          </c:val>
          <c:smooth val="0"/>
          <c:extLst>
            <c:ext xmlns:c16="http://schemas.microsoft.com/office/drawing/2014/chart" uri="{C3380CC4-5D6E-409C-BE32-E72D297353CC}">
              <c16:uniqueId val="{00000001-C7B4-492D-B11C-E2201D28D9B4}"/>
            </c:ext>
          </c:extLst>
        </c:ser>
        <c:ser>
          <c:idx val="2"/>
          <c:order val="2"/>
          <c:tx>
            <c:strRef>
              <c:f>'Vehicle price'!$U$4</c:f>
              <c:strCache>
                <c:ptCount val="1"/>
                <c:pt idx="0">
                  <c:v>median price predicted</c:v>
                </c:pt>
              </c:strCache>
            </c:strRef>
          </c:tx>
          <c:spPr>
            <a:ln w="28575" cap="rnd">
              <a:solidFill>
                <a:schemeClr val="accent3"/>
              </a:solidFill>
              <a:round/>
            </a:ln>
            <a:effectLst/>
          </c:spPr>
          <c:marker>
            <c:symbol val="none"/>
          </c:marker>
          <c:val>
            <c:numRef>
              <c:f>'Vehicle price'!$U$5:$U$26</c:f>
              <c:numCache>
                <c:formatCode>0</c:formatCode>
                <c:ptCount val="22"/>
                <c:pt idx="8">
                  <c:v>30</c:v>
                </c:pt>
                <c:pt idx="9">
                  <c:v>30.592100851060948</c:v>
                </c:pt>
                <c:pt idx="10">
                  <c:v>31.172994053473918</c:v>
                </c:pt>
                <c:pt idx="11">
                  <c:v>30.985903123425071</c:v>
                </c:pt>
                <c:pt idx="12">
                  <c:v>30.206708843097807</c:v>
                </c:pt>
                <c:pt idx="13">
                  <c:v>30.642454642697771</c:v>
                </c:pt>
                <c:pt idx="14">
                  <c:v>30.361546257811007</c:v>
                </c:pt>
                <c:pt idx="15">
                  <c:v>29.275640447464834</c:v>
                </c:pt>
                <c:pt idx="16">
                  <c:v>28.343375828936317</c:v>
                </c:pt>
                <c:pt idx="17">
                  <c:v>27.812270474504896</c:v>
                </c:pt>
                <c:pt idx="18">
                  <c:v>27.281165120073478</c:v>
                </c:pt>
                <c:pt idx="19">
                  <c:v>26.683671596338133</c:v>
                </c:pt>
                <c:pt idx="20">
                  <c:v>26.152566241906715</c:v>
                </c:pt>
                <c:pt idx="21">
                  <c:v>25.55507271817137</c:v>
                </c:pt>
              </c:numCache>
            </c:numRef>
          </c:val>
          <c:smooth val="0"/>
          <c:extLst>
            <c:ext xmlns:c16="http://schemas.microsoft.com/office/drawing/2014/chart" uri="{C3380CC4-5D6E-409C-BE32-E72D297353CC}">
              <c16:uniqueId val="{00000002-C7B4-492D-B11C-E2201D28D9B4}"/>
            </c:ext>
          </c:extLst>
        </c:ser>
        <c:ser>
          <c:idx val="3"/>
          <c:order val="3"/>
          <c:tx>
            <c:strRef>
              <c:f>'Vehicle price'!$X$4</c:f>
              <c:strCache>
                <c:ptCount val="1"/>
                <c:pt idx="0">
                  <c:v>Price fossil-fuelled vehicles</c:v>
                </c:pt>
              </c:strCache>
            </c:strRef>
          </c:tx>
          <c:spPr>
            <a:ln w="28575" cap="rnd">
              <a:solidFill>
                <a:schemeClr val="accent4"/>
              </a:solidFill>
              <a:round/>
            </a:ln>
            <a:effectLst/>
          </c:spPr>
          <c:marker>
            <c:symbol val="none"/>
          </c:marker>
          <c:val>
            <c:numRef>
              <c:f>'Vehicle price'!$X$5:$X$26</c:f>
              <c:numCache>
                <c:formatCode>0</c:formatCode>
                <c:ptCount val="22"/>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pt idx="14">
                  <c:v>23</c:v>
                </c:pt>
                <c:pt idx="15">
                  <c:v>23</c:v>
                </c:pt>
                <c:pt idx="16">
                  <c:v>23</c:v>
                </c:pt>
                <c:pt idx="17">
                  <c:v>23</c:v>
                </c:pt>
                <c:pt idx="18">
                  <c:v>23</c:v>
                </c:pt>
                <c:pt idx="19">
                  <c:v>23</c:v>
                </c:pt>
                <c:pt idx="20">
                  <c:v>23</c:v>
                </c:pt>
                <c:pt idx="21">
                  <c:v>23</c:v>
                </c:pt>
              </c:numCache>
            </c:numRef>
          </c:val>
          <c:smooth val="0"/>
          <c:extLst>
            <c:ext xmlns:c16="http://schemas.microsoft.com/office/drawing/2014/chart" uri="{C3380CC4-5D6E-409C-BE32-E72D297353CC}">
              <c16:uniqueId val="{00000000-DD05-4D85-B6AA-AC82F313F400}"/>
            </c:ext>
          </c:extLst>
        </c:ser>
        <c:dLbls>
          <c:showLegendKey val="0"/>
          <c:showVal val="0"/>
          <c:showCatName val="0"/>
          <c:showSerName val="0"/>
          <c:showPercent val="0"/>
          <c:showBubbleSize val="0"/>
        </c:dLbls>
        <c:smooth val="0"/>
        <c:axId val="592924528"/>
        <c:axId val="592926168"/>
      </c:lineChart>
      <c:catAx>
        <c:axId val="59292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926168"/>
        <c:crosses val="autoZero"/>
        <c:auto val="1"/>
        <c:lblAlgn val="ctr"/>
        <c:lblOffset val="100"/>
        <c:noMultiLvlLbl val="0"/>
      </c:catAx>
      <c:valAx>
        <c:axId val="592926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'000s 2017 US$ </a:t>
                </a:r>
              </a:p>
            </c:rich>
          </c:tx>
          <c:layout>
            <c:manualLayout>
              <c:xMode val="edge"/>
              <c:yMode val="edge"/>
              <c:x val="4.1214884024664391E-3"/>
              <c:y val="0.329514790380932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924528"/>
        <c:crosses val="autoZero"/>
        <c:crossBetween val="between"/>
      </c:valAx>
      <c:spPr>
        <a:noFill/>
        <a:ln>
          <a:noFill/>
        </a:ln>
        <a:effectLst/>
      </c:spPr>
    </c:plotArea>
    <c:legend>
      <c:legendPos val="b"/>
      <c:layout>
        <c:manualLayout>
          <c:xMode val="edge"/>
          <c:yMode val="edge"/>
          <c:x val="5.2645502645502641E-2"/>
          <c:y val="0.48668926800816564"/>
          <c:w val="0.35135566188197759"/>
          <c:h val="0.34079431793998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'Australia EV uptake'!$AG$6:$AG$12</c:f>
              <c:numCache>
                <c:formatCode>General</c:formatCode>
                <c:ptCount val="7"/>
                <c:pt idx="0">
                  <c:v>-8.1417157026388818</c:v>
                </c:pt>
                <c:pt idx="1">
                  <c:v>-8.3693541302992696</c:v>
                </c:pt>
                <c:pt idx="2">
                  <c:v>-7.4498012308011932</c:v>
                </c:pt>
                <c:pt idx="3">
                  <c:v>-6.0721671964042301</c:v>
                </c:pt>
                <c:pt idx="4">
                  <c:v>-5.823598868369289</c:v>
                </c:pt>
                <c:pt idx="5">
                  <c:v>-5.8406699446691599</c:v>
                </c:pt>
                <c:pt idx="6">
                  <c:v>-5.7486065084324887</c:v>
                </c:pt>
              </c:numCache>
            </c:numRef>
          </c:val>
          <c:smooth val="0"/>
          <c:extLst>
            <c:ext xmlns:c16="http://schemas.microsoft.com/office/drawing/2014/chart" uri="{C3380CC4-5D6E-409C-BE32-E72D297353CC}">
              <c16:uniqueId val="{00000000-BFD9-4230-A3F0-D9F40BB60652}"/>
            </c:ext>
          </c:extLst>
        </c:ser>
        <c:ser>
          <c:idx val="1"/>
          <c:order val="1"/>
          <c:spPr>
            <a:ln w="28575" cap="rnd">
              <a:solidFill>
                <a:schemeClr val="accent2"/>
              </a:solidFill>
              <a:round/>
            </a:ln>
            <a:effectLst/>
          </c:spPr>
          <c:marker>
            <c:symbol val="none"/>
          </c:marker>
          <c:val>
            <c:numRef>
              <c:f>'Australia EV uptake'!$AH$6:$AH$12</c:f>
              <c:numCache>
                <c:formatCode>General</c:formatCode>
                <c:ptCount val="7"/>
                <c:pt idx="0">
                  <c:v>-8.121329318189499</c:v>
                </c:pt>
                <c:pt idx="1">
                  <c:v>-8.3127449213434392</c:v>
                </c:pt>
                <c:pt idx="2">
                  <c:v>-7.5630196487128547</c:v>
                </c:pt>
                <c:pt idx="3">
                  <c:v>-6.0791225805933706</c:v>
                </c:pt>
                <c:pt idx="4">
                  <c:v>-5.8266538820965206</c:v>
                </c:pt>
                <c:pt idx="5">
                  <c:v>-5.7944367222463393</c:v>
                </c:pt>
                <c:pt idx="6">
                  <c:v>-5.7203542306622239</c:v>
                </c:pt>
              </c:numCache>
            </c:numRef>
          </c:val>
          <c:smooth val="0"/>
          <c:extLst>
            <c:ext xmlns:c16="http://schemas.microsoft.com/office/drawing/2014/chart" uri="{C3380CC4-5D6E-409C-BE32-E72D297353CC}">
              <c16:uniqueId val="{00000001-BFD9-4230-A3F0-D9F40BB60652}"/>
            </c:ext>
          </c:extLst>
        </c:ser>
        <c:dLbls>
          <c:showLegendKey val="0"/>
          <c:showVal val="0"/>
          <c:showCatName val="0"/>
          <c:showSerName val="0"/>
          <c:showPercent val="0"/>
          <c:showBubbleSize val="0"/>
        </c:dLbls>
        <c:smooth val="0"/>
        <c:axId val="726873408"/>
        <c:axId val="726872096"/>
      </c:lineChart>
      <c:catAx>
        <c:axId val="726873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72096"/>
        <c:crosses val="autoZero"/>
        <c:auto val="1"/>
        <c:lblAlgn val="ctr"/>
        <c:lblOffset val="100"/>
        <c:noMultiLvlLbl val="0"/>
      </c:catAx>
      <c:valAx>
        <c:axId val="72687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7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 All EV uptake'!$D$3</c:f>
              <c:strCache>
                <c:ptCount val="1"/>
                <c:pt idx="0">
                  <c:v>Norway</c:v>
                </c:pt>
              </c:strCache>
            </c:strRef>
          </c:tx>
          <c:spPr>
            <a:ln w="28575" cap="rnd">
              <a:solidFill>
                <a:schemeClr val="accent3"/>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uptake'!$D$4:$D$35</c:f>
              <c:numCache>
                <c:formatCode>0.00</c:formatCode>
                <c:ptCount val="32"/>
                <c:pt idx="1">
                  <c:v>0.95422607071705978</c:v>
                </c:pt>
                <c:pt idx="2">
                  <c:v>1.8243074485334112</c:v>
                </c:pt>
                <c:pt idx="3">
                  <c:v>3.4450702320769109</c:v>
                </c:pt>
                <c:pt idx="4">
                  <c:v>6.3607835641863382</c:v>
                </c:pt>
                <c:pt idx="5">
                  <c:v>11.291522864493412</c:v>
                </c:pt>
                <c:pt idx="6">
                  <c:v>18.81788217034801</c:v>
                </c:pt>
                <c:pt idx="7">
                  <c:v>28.681875004731538</c:v>
                </c:pt>
                <c:pt idx="8">
                  <c:v>39.314736357294422</c:v>
                </c:pt>
                <c:pt idx="9">
                  <c:v>48.613157762113936</c:v>
                </c:pt>
                <c:pt idx="10">
                  <c:v>55.369953598215368</c:v>
                </c:pt>
                <c:pt idx="11">
                  <c:v>59.647470933153592</c:v>
                </c:pt>
                <c:pt idx="12">
                  <c:v>62.123681562857406</c:v>
                </c:pt>
                <c:pt idx="13">
                  <c:v>63.483462457791383</c:v>
                </c:pt>
                <c:pt idx="14">
                  <c:v>64.208595508841753</c:v>
                </c:pt>
                <c:pt idx="15">
                  <c:v>64.589249257811147</c:v>
                </c:pt>
                <c:pt idx="16">
                  <c:v>64.78742039856111</c:v>
                </c:pt>
                <c:pt idx="17">
                  <c:v>64.890144344344137</c:v>
                </c:pt>
                <c:pt idx="18">
                  <c:v>64.943272893507597</c:v>
                </c:pt>
                <c:pt idx="19">
                  <c:v>64.970718932031488</c:v>
                </c:pt>
                <c:pt idx="20">
                  <c:v>64.984888958391409</c:v>
                </c:pt>
                <c:pt idx="21">
                  <c:v>64.992202487941555</c:v>
                </c:pt>
                <c:pt idx="22">
                  <c:v>64.995976592197081</c:v>
                </c:pt>
                <c:pt idx="23">
                  <c:v>64.997924035865111</c:v>
                </c:pt>
                <c:pt idx="24">
                  <c:v>64.998928877011707</c:v>
                </c:pt>
                <c:pt idx="25">
                  <c:v>64.999447343115634</c:v>
                </c:pt>
                <c:pt idx="26">
                  <c:v>64.999714852116952</c:v>
                </c:pt>
                <c:pt idx="27">
                  <c:v>64.999852875888223</c:v>
                </c:pt>
                <c:pt idx="28">
                  <c:v>64.999924090328904</c:v>
                </c:pt>
                <c:pt idx="29">
                  <c:v>64.999960833917427</c:v>
                </c:pt>
                <c:pt idx="30">
                  <c:v>64.999979792013562</c:v>
                </c:pt>
                <c:pt idx="31">
                  <c:v>64.999989573563866</c:v>
                </c:pt>
              </c:numCache>
            </c:numRef>
          </c:val>
          <c:smooth val="0"/>
          <c:extLst>
            <c:ext xmlns:c16="http://schemas.microsoft.com/office/drawing/2014/chart" uri="{C3380CC4-5D6E-409C-BE32-E72D297353CC}">
              <c16:uniqueId val="{00000002-3769-4728-ACAC-AC190D6EFAB9}"/>
            </c:ext>
          </c:extLst>
        </c:ser>
        <c:ser>
          <c:idx val="5"/>
          <c:order val="1"/>
          <c:tx>
            <c:strRef>
              <c:f>' All EV uptake'!$G$3</c:f>
              <c:strCache>
                <c:ptCount val="1"/>
                <c:pt idx="0">
                  <c:v>Belgium</c:v>
                </c:pt>
              </c:strCache>
            </c:strRef>
          </c:tx>
          <c:spPr>
            <a:ln w="28575" cap="rnd">
              <a:solidFill>
                <a:schemeClr val="accent6"/>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uptake'!$G$4:$G$35</c:f>
              <c:numCache>
                <c:formatCode>0.00</c:formatCode>
                <c:ptCount val="32"/>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5-3769-4728-ACAC-AC190D6EFAB9}"/>
            </c:ext>
          </c:extLst>
        </c:ser>
        <c:ser>
          <c:idx val="10"/>
          <c:order val="2"/>
          <c:tx>
            <c:strRef>
              <c:f>' All EV uptake'!$M$3</c:f>
              <c:strCache>
                <c:ptCount val="1"/>
                <c:pt idx="0">
                  <c:v>Germany</c:v>
                </c:pt>
              </c:strCache>
            </c:strRef>
          </c:tx>
          <c:spPr>
            <a:ln w="28575" cap="rnd">
              <a:solidFill>
                <a:schemeClr val="accent5">
                  <a:lumMod val="60000"/>
                </a:schemeClr>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uptake'!$M$4:$M$35</c:f>
              <c:numCache>
                <c:formatCode>0.00</c:formatCode>
                <c:ptCount val="32"/>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pt idx="10">
                  <c:v>4.4373644231824505</c:v>
                </c:pt>
                <c:pt idx="11">
                  <c:v>7.7868554505897851</c:v>
                </c:pt>
                <c:pt idx="12">
                  <c:v>13.117067998248489</c:v>
                </c:pt>
                <c:pt idx="13">
                  <c:v>20.771258326627883</c:v>
                </c:pt>
                <c:pt idx="14">
                  <c:v>30.284768316160477</c:v>
                </c:pt>
                <c:pt idx="15">
                  <c:v>40.195612796933077</c:v>
                </c:pt>
                <c:pt idx="16">
                  <c:v>48.791353526737112</c:v>
                </c:pt>
                <c:pt idx="17">
                  <c:v>55.139080005240515</c:v>
                </c:pt>
                <c:pt idx="18">
                  <c:v>59.291711169072009</c:v>
                </c:pt>
                <c:pt idx="19">
                  <c:v>61.797165159989525</c:v>
                </c:pt>
                <c:pt idx="20">
                  <c:v>63.235660781813245</c:v>
                </c:pt>
                <c:pt idx="21">
                  <c:v>64.038138020406834</c:v>
                </c:pt>
                <c:pt idx="22">
                  <c:v>64.478632546612985</c:v>
                </c:pt>
                <c:pt idx="23">
                  <c:v>64.71828554099875</c:v>
                </c:pt>
                <c:pt idx="24">
                  <c:v>64.84803869476076</c:v>
                </c:pt>
                <c:pt idx="25">
                  <c:v>64.918105253848566</c:v>
                </c:pt>
                <c:pt idx="26">
                  <c:v>64.955887389291988</c:v>
                </c:pt>
                <c:pt idx="27">
                  <c:v>64.976245117461644</c:v>
                </c:pt>
                <c:pt idx="28">
                  <c:v>64.987209715550918</c:v>
                </c:pt>
                <c:pt idx="29">
                  <c:v>64.993113894164921</c:v>
                </c:pt>
                <c:pt idx="30">
                  <c:v>64.996292774785871</c:v>
                </c:pt>
                <c:pt idx="31">
                  <c:v>64.998004211842257</c:v>
                </c:pt>
              </c:numCache>
            </c:numRef>
          </c:val>
          <c:smooth val="0"/>
          <c:extLst>
            <c:ext xmlns:c16="http://schemas.microsoft.com/office/drawing/2014/chart" uri="{C3380CC4-5D6E-409C-BE32-E72D297353CC}">
              <c16:uniqueId val="{0000000A-3769-4728-ACAC-AC190D6EFAB9}"/>
            </c:ext>
          </c:extLst>
        </c:ser>
        <c:ser>
          <c:idx val="15"/>
          <c:order val="3"/>
          <c:tx>
            <c:strRef>
              <c:f>' All EV uptake'!$R$3</c:f>
              <c:strCache>
                <c:ptCount val="1"/>
                <c:pt idx="0">
                  <c:v>Korea</c:v>
                </c:pt>
              </c:strCache>
            </c:strRef>
          </c:tx>
          <c:spPr>
            <a:ln w="28575" cap="rnd">
              <a:solidFill>
                <a:schemeClr val="accent4">
                  <a:lumMod val="80000"/>
                  <a:lumOff val="20000"/>
                </a:schemeClr>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uptake'!$R$4:$R$35</c:f>
              <c:numCache>
                <c:formatCode>0.00</c:formatCode>
                <c:ptCount val="3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numCache>
            </c:numRef>
          </c:val>
          <c:smooth val="0"/>
          <c:extLst>
            <c:ext xmlns:c16="http://schemas.microsoft.com/office/drawing/2014/chart" uri="{C3380CC4-5D6E-409C-BE32-E72D297353CC}">
              <c16:uniqueId val="{0000000F-3769-4728-ACAC-AC190D6EFAB9}"/>
            </c:ext>
          </c:extLst>
        </c:ser>
        <c:ser>
          <c:idx val="1"/>
          <c:order val="4"/>
          <c:tx>
            <c:strRef>
              <c:f>' All EV uptake'!$K$3</c:f>
              <c:strCache>
                <c:ptCount val="1"/>
                <c:pt idx="0">
                  <c:v>Finland</c:v>
                </c:pt>
              </c:strCache>
            </c:strRef>
          </c:tx>
          <c:spPr>
            <a:ln w="28575" cap="rnd">
              <a:solidFill>
                <a:schemeClr val="accent2"/>
              </a:solidFill>
              <a:round/>
            </a:ln>
            <a:effectLst/>
          </c:spPr>
          <c:marker>
            <c:symbol val="none"/>
          </c:marker>
          <c:val>
            <c:numRef>
              <c:f>' All EV uptake'!$K$4:$K$35</c:f>
              <c:numCache>
                <c:formatCode>0.00</c:formatCode>
                <c:ptCount val="32"/>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pt idx="10">
                  <c:v>8.6400147217897896</c:v>
                </c:pt>
                <c:pt idx="11">
                  <c:v>15.336968936398058</c:v>
                </c:pt>
                <c:pt idx="12">
                  <c:v>24.928799826983788</c:v>
                </c:pt>
                <c:pt idx="13">
                  <c:v>36.15255806520549</c:v>
                </c:pt>
                <c:pt idx="14">
                  <c:v>46.558247297352999</c:v>
                </c:pt>
                <c:pt idx="15">
                  <c:v>54.319355186406916</c:v>
                </c:pt>
                <c:pt idx="16">
                  <c:v>59.219748667996228</c:v>
                </c:pt>
                <c:pt idx="17">
                  <c:v>61.996124029956285</c:v>
                </c:pt>
                <c:pt idx="18">
                  <c:v>63.473327028320881</c:v>
                </c:pt>
                <c:pt idx="19">
                  <c:v>64.233078720701982</c:v>
                </c:pt>
                <c:pt idx="20">
                  <c:v>64.617019845831976</c:v>
                </c:pt>
                <c:pt idx="21">
                  <c:v>64.809320454222686</c:v>
                </c:pt>
                <c:pt idx="22">
                  <c:v>64.905205429006713</c:v>
                </c:pt>
                <c:pt idx="23">
                  <c:v>64.952908791357117</c:v>
                </c:pt>
                <c:pt idx="24">
                  <c:v>64.976615094924767</c:v>
                </c:pt>
                <c:pt idx="25">
                  <c:v>64.988389481943116</c:v>
                </c:pt>
                <c:pt idx="26">
                  <c:v>64.994235947045865</c:v>
                </c:pt>
                <c:pt idx="27">
                  <c:v>64.997138559942073</c:v>
                </c:pt>
                <c:pt idx="28">
                  <c:v>64.998579531601152</c:v>
                </c:pt>
                <c:pt idx="29">
                  <c:v>64.999294862759669</c:v>
                </c:pt>
                <c:pt idx="30">
                  <c:v>64.999649963510308</c:v>
                </c:pt>
                <c:pt idx="31">
                  <c:v>64.999826239205618</c:v>
                </c:pt>
              </c:numCache>
            </c:numRef>
          </c:val>
          <c:smooth val="0"/>
          <c:extLst>
            <c:ext xmlns:c16="http://schemas.microsoft.com/office/drawing/2014/chart" uri="{C3380CC4-5D6E-409C-BE32-E72D297353CC}">
              <c16:uniqueId val="{00000010-3769-4728-ACAC-AC190D6EFAB9}"/>
            </c:ext>
          </c:extLst>
        </c:ser>
        <c:ser>
          <c:idx val="6"/>
          <c:order val="5"/>
          <c:tx>
            <c:strRef>
              <c:f>' All EV uptake'!$S$3</c:f>
              <c:strCache>
                <c:ptCount val="1"/>
                <c:pt idx="0">
                  <c:v>Netherlands subsidies</c:v>
                </c:pt>
              </c:strCache>
            </c:strRef>
          </c:tx>
          <c:spPr>
            <a:ln w="28575" cap="rnd">
              <a:solidFill>
                <a:schemeClr val="accent1">
                  <a:lumMod val="60000"/>
                </a:schemeClr>
              </a:solidFill>
              <a:round/>
            </a:ln>
            <a:effectLst/>
          </c:spPr>
          <c:marker>
            <c:symbol val="none"/>
          </c:marker>
          <c:val>
            <c:numRef>
              <c:f>' All EV uptake'!$S$4:$S$35</c:f>
              <c:numCache>
                <c:formatCode>0.00</c:formatCode>
                <c:ptCount val="32"/>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pt idx="10">
                  <c:v>33.139809185381857</c:v>
                </c:pt>
                <c:pt idx="11">
                  <c:v>42.484730160291178</c:v>
                </c:pt>
                <c:pt idx="12">
                  <c:v>50.304167818683801</c:v>
                </c:pt>
                <c:pt idx="13">
                  <c:v>55.984247460872368</c:v>
                </c:pt>
                <c:pt idx="14">
                  <c:v>59.700218311068888</c:v>
                </c:pt>
                <c:pt idx="15">
                  <c:v>61.96755891259167</c:v>
                </c:pt>
                <c:pt idx="16">
                  <c:v>63.292632284816008</c:v>
                </c:pt>
                <c:pt idx="17">
                  <c:v>64.047592860998989</c:v>
                </c:pt>
                <c:pt idx="18">
                  <c:v>64.471513837004551</c:v>
                </c:pt>
                <c:pt idx="19">
                  <c:v>64.707606970513154</c:v>
                </c:pt>
                <c:pt idx="20">
                  <c:v>64.838493311169827</c:v>
                </c:pt>
                <c:pt idx="21">
                  <c:v>64.910870605500591</c:v>
                </c:pt>
                <c:pt idx="22">
                  <c:v>64.950837472731223</c:v>
                </c:pt>
                <c:pt idx="23">
                  <c:v>64.97289012259948</c:v>
                </c:pt>
                <c:pt idx="24">
                  <c:v>64.985052974742146</c:v>
                </c:pt>
                <c:pt idx="25">
                  <c:v>64.991759652818033</c:v>
                </c:pt>
                <c:pt idx="26">
                  <c:v>64.995457278203901</c:v>
                </c:pt>
                <c:pt idx="27">
                  <c:v>64.997495761520739</c:v>
                </c:pt>
                <c:pt idx="28">
                  <c:v>64.998619523188253</c:v>
                </c:pt>
                <c:pt idx="29">
                  <c:v>64.999239009599833</c:v>
                </c:pt>
                <c:pt idx="30">
                  <c:v>64.99958050442612</c:v>
                </c:pt>
                <c:pt idx="31">
                  <c:v>64.999768753821897</c:v>
                </c:pt>
              </c:numCache>
            </c:numRef>
          </c:val>
          <c:smooth val="0"/>
          <c:extLst>
            <c:ext xmlns:c16="http://schemas.microsoft.com/office/drawing/2014/chart" uri="{C3380CC4-5D6E-409C-BE32-E72D297353CC}">
              <c16:uniqueId val="{00000003-66AC-4A6D-A155-73C4A8B2F126}"/>
            </c:ext>
          </c:extLst>
        </c:ser>
        <c:dLbls>
          <c:showLegendKey val="0"/>
          <c:showVal val="0"/>
          <c:showCatName val="0"/>
          <c:showSerName val="0"/>
          <c:showPercent val="0"/>
          <c:showBubbleSize val="0"/>
        </c:dLbls>
        <c:smooth val="0"/>
        <c:axId val="639932536"/>
        <c:axId val="639928272"/>
      </c:lineChart>
      <c:catAx>
        <c:axId val="639932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928272"/>
        <c:crosses val="autoZero"/>
        <c:auto val="1"/>
        <c:lblAlgn val="ctr"/>
        <c:lblOffset val="100"/>
        <c:noMultiLvlLbl val="0"/>
      </c:catAx>
      <c:valAx>
        <c:axId val="639928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vehicle sales</a:t>
                </a:r>
              </a:p>
            </c:rich>
          </c:tx>
          <c:layout>
            <c:manualLayout>
              <c:xMode val="edge"/>
              <c:yMode val="edge"/>
              <c:x val="1.3816925734024179E-2"/>
              <c:y val="0.27553255439844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93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1316641938216E-2"/>
          <c:y val="2.9333333333333333E-2"/>
          <c:w val="0.90470880708760071"/>
          <c:h val="0.76363323552384366"/>
        </c:manualLayout>
      </c:layout>
      <c:lineChart>
        <c:grouping val="standard"/>
        <c:varyColors val="0"/>
        <c:ser>
          <c:idx val="0"/>
          <c:order val="0"/>
          <c:tx>
            <c:strRef>
              <c:f>' All EV uptake'!$E$3</c:f>
              <c:strCache>
                <c:ptCount val="1"/>
                <c:pt idx="0">
                  <c:v>Austria</c:v>
                </c:pt>
              </c:strCache>
            </c:strRef>
          </c:tx>
          <c:spPr>
            <a:ln w="28575" cap="rnd">
              <a:solidFill>
                <a:schemeClr val="tx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uptake'!$E$4:$E$35</c:f>
              <c:numCache>
                <c:formatCode>0.00</c:formatCode>
                <c:ptCount val="32"/>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pt idx="10">
                  <c:v>3.8381890852736973</c:v>
                </c:pt>
                <c:pt idx="11">
                  <c:v>5.5200023789857555</c:v>
                </c:pt>
                <c:pt idx="12">
                  <c:v>7.8442359614469916</c:v>
                </c:pt>
                <c:pt idx="13">
                  <c:v>10.96666716050855</c:v>
                </c:pt>
                <c:pt idx="14">
                  <c:v>15.005684880315728</c:v>
                </c:pt>
                <c:pt idx="15">
                  <c:v>19.982150823142476</c:v>
                </c:pt>
                <c:pt idx="16">
                  <c:v>25.758672365867149</c:v>
                </c:pt>
                <c:pt idx="17">
                  <c:v>32.017433710081967</c:v>
                </c:pt>
                <c:pt idx="18">
                  <c:v>38.312201822341244</c:v>
                </c:pt>
                <c:pt idx="19">
                  <c:v>44.186570827175956</c:v>
                </c:pt>
                <c:pt idx="20">
                  <c:v>49.297852580242349</c:v>
                </c:pt>
                <c:pt idx="21">
                  <c:v>53.481141904775455</c:v>
                </c:pt>
                <c:pt idx="22">
                  <c:v>56.73674955124897</c:v>
                </c:pt>
                <c:pt idx="23">
                  <c:v>59.172477908962534</c:v>
                </c:pt>
                <c:pt idx="24">
                  <c:v>60.941592261933344</c:v>
                </c:pt>
                <c:pt idx="25">
                  <c:v>62.199062445521918</c:v>
                </c:pt>
                <c:pt idx="26">
                  <c:v>63.079194309776966</c:v>
                </c:pt>
                <c:pt idx="27">
                  <c:v>63.688595482263246</c:v>
                </c:pt>
                <c:pt idx="28">
                  <c:v>64.107391906110223</c:v>
                </c:pt>
                <c:pt idx="29">
                  <c:v>64.393719042125909</c:v>
                </c:pt>
                <c:pt idx="30">
                  <c:v>64.588788486440805</c:v>
                </c:pt>
                <c:pt idx="31">
                  <c:v>64.721366382820392</c:v>
                </c:pt>
              </c:numCache>
            </c:numRef>
          </c:val>
          <c:smooth val="0"/>
          <c:extLst>
            <c:ext xmlns:c16="http://schemas.microsoft.com/office/drawing/2014/chart" uri="{C3380CC4-5D6E-409C-BE32-E72D297353CC}">
              <c16:uniqueId val="{00000000-5D56-4A79-988F-B860F1EF25BD}"/>
            </c:ext>
          </c:extLst>
        </c:ser>
        <c:ser>
          <c:idx val="1"/>
          <c:order val="1"/>
          <c:tx>
            <c:strRef>
              <c:f>' All EV uptake'!$F$3</c:f>
              <c:strCache>
                <c:ptCount val="1"/>
                <c:pt idx="0">
                  <c:v>Canada</c:v>
                </c:pt>
              </c:strCache>
            </c:strRef>
          </c:tx>
          <c:spPr>
            <a:ln w="28575" cap="rnd">
              <a:solidFill>
                <a:schemeClr val="accent2"/>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uptake'!$F$4:$F$35</c:f>
              <c:numCache>
                <c:formatCode>0.00</c:formatCode>
                <c:ptCount val="32"/>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numCache>
            </c:numRef>
          </c:val>
          <c:smooth val="0"/>
          <c:extLst>
            <c:ext xmlns:c16="http://schemas.microsoft.com/office/drawing/2014/chart" uri="{C3380CC4-5D6E-409C-BE32-E72D297353CC}">
              <c16:uniqueId val="{00000001-5D56-4A79-988F-B860F1EF25BD}"/>
            </c:ext>
          </c:extLst>
        </c:ser>
        <c:ser>
          <c:idx val="2"/>
          <c:order val="2"/>
          <c:tx>
            <c:strRef>
              <c:f>' All EV uptake'!$H$3</c:f>
              <c:strCache>
                <c:ptCount val="1"/>
                <c:pt idx="0">
                  <c:v>China</c:v>
                </c:pt>
              </c:strCache>
            </c:strRef>
          </c:tx>
          <c:spPr>
            <a:ln w="28575" cap="rnd">
              <a:solidFill>
                <a:schemeClr val="accent3"/>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uptake'!$H$4:$H$35</c:f>
              <c:numCache>
                <c:formatCode>0.00</c:formatCode>
                <c:ptCount val="32"/>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pt idx="13">
                  <c:v>20.103016074040784</c:v>
                </c:pt>
                <c:pt idx="14">
                  <c:v>27.311543855336645</c:v>
                </c:pt>
                <c:pt idx="15">
                  <c:v>35.084973204563525</c:v>
                </c:pt>
                <c:pt idx="16">
                  <c:v>42.571732694407068</c:v>
                </c:pt>
                <c:pt idx="17">
                  <c:v>49.037279341738675</c:v>
                </c:pt>
                <c:pt idx="18">
                  <c:v>54.1155023268024</c:v>
                </c:pt>
                <c:pt idx="19">
                  <c:v>57.814902817423203</c:v>
                </c:pt>
                <c:pt idx="20">
                  <c:v>60.364658409767081</c:v>
                </c:pt>
                <c:pt idx="21">
                  <c:v>62.055669149850516</c:v>
                </c:pt>
                <c:pt idx="22">
                  <c:v>63.148704515446354</c:v>
                </c:pt>
                <c:pt idx="23">
                  <c:v>63.843530086803234</c:v>
                </c:pt>
                <c:pt idx="24">
                  <c:v>64.280545800679874</c:v>
                </c:pt>
                <c:pt idx="25">
                  <c:v>64.553573430480995</c:v>
                </c:pt>
                <c:pt idx="26">
                  <c:v>64.723434850432866</c:v>
                </c:pt>
                <c:pt idx="27">
                  <c:v>64.828836848000762</c:v>
                </c:pt>
                <c:pt idx="28">
                  <c:v>64.89413469777223</c:v>
                </c:pt>
                <c:pt idx="29">
                  <c:v>64.93454690908419</c:v>
                </c:pt>
                <c:pt idx="30">
                  <c:v>64.959542089396493</c:v>
                </c:pt>
                <c:pt idx="31">
                  <c:v>64.97499580336121</c:v>
                </c:pt>
              </c:numCache>
            </c:numRef>
          </c:val>
          <c:smooth val="0"/>
          <c:extLst>
            <c:ext xmlns:c16="http://schemas.microsoft.com/office/drawing/2014/chart" uri="{C3380CC4-5D6E-409C-BE32-E72D297353CC}">
              <c16:uniqueId val="{00000002-5D56-4A79-988F-B860F1EF25BD}"/>
            </c:ext>
          </c:extLst>
        </c:ser>
        <c:ser>
          <c:idx val="6"/>
          <c:order val="3"/>
          <c:tx>
            <c:strRef>
              <c:f>' All EV uptake'!$I$3</c:f>
              <c:strCache>
                <c:ptCount val="1"/>
                <c:pt idx="0">
                  <c:v>Denmark subsidies</c:v>
                </c:pt>
              </c:strCache>
            </c:strRef>
          </c:tx>
          <c:spPr>
            <a:ln w="28575" cap="rnd">
              <a:solidFill>
                <a:srgbClr val="FF0000"/>
              </a:solidFill>
              <a:round/>
            </a:ln>
            <a:effectLst/>
          </c:spPr>
          <c:marker>
            <c:symbol val="none"/>
          </c:marker>
          <c:val>
            <c:numRef>
              <c:f>' All EV uptake'!$I$4:$I$35</c:f>
              <c:numCache>
                <c:formatCode>0.00</c:formatCode>
                <c:ptCount val="32"/>
                <c:pt idx="1">
                  <c:v>0</c:v>
                </c:pt>
                <c:pt idx="2">
                  <c:v>0.2445466806557601</c:v>
                </c:pt>
                <c:pt idx="3">
                  <c:v>0.28414031280549218</c:v>
                </c:pt>
                <c:pt idx="4">
                  <c:v>0.28452453918310588</c:v>
                </c:pt>
                <c:pt idx="5">
                  <c:v>0.93137474819959321</c:v>
                </c:pt>
                <c:pt idx="6">
                  <c:v>1.4479052196409519</c:v>
                </c:pt>
                <c:pt idx="7">
                  <c:v>2.2408785959824278</c:v>
                </c:pt>
                <c:pt idx="8">
                  <c:v>3.4446003282819651</c:v>
                </c:pt>
                <c:pt idx="9">
                  <c:v>5.2409229437896716</c:v>
                </c:pt>
                <c:pt idx="10">
                  <c:v>7.8544776715370315</c:v>
                </c:pt>
                <c:pt idx="11">
                  <c:v>11.520114188615567</c:v>
                </c:pt>
                <c:pt idx="12">
                  <c:v>16.405363572657308</c:v>
                </c:pt>
                <c:pt idx="13">
                  <c:v>22.491028963670956</c:v>
                </c:pt>
                <c:pt idx="14">
                  <c:v>29.465364095738629</c:v>
                </c:pt>
                <c:pt idx="15">
                  <c:v>36.733532308131018</c:v>
                </c:pt>
                <c:pt idx="16">
                  <c:v>43.595030140274922</c:v>
                </c:pt>
                <c:pt idx="17">
                  <c:v>49.494021669546953</c:v>
                </c:pt>
                <c:pt idx="18">
                  <c:v>54.171130546633584</c:v>
                </c:pt>
                <c:pt idx="19">
                  <c:v>57.647057747672527</c:v>
                </c:pt>
                <c:pt idx="20">
                  <c:v>60.108014285855596</c:v>
                </c:pt>
                <c:pt idx="21">
                  <c:v>61.791160878808874</c:v>
                </c:pt>
                <c:pt idx="22">
                  <c:v>62.915285666542161</c:v>
                </c:pt>
                <c:pt idx="23">
                  <c:v>63.654182671646552</c:v>
                </c:pt>
                <c:pt idx="24">
                  <c:v>64.134789790351192</c:v>
                </c:pt>
                <c:pt idx="25">
                  <c:v>64.445262218655003</c:v>
                </c:pt>
                <c:pt idx="26">
                  <c:v>64.644941359252172</c:v>
                </c:pt>
                <c:pt idx="27">
                  <c:v>64.772998705422452</c:v>
                </c:pt>
                <c:pt idx="28">
                  <c:v>64.854973819569949</c:v>
                </c:pt>
                <c:pt idx="29">
                  <c:v>64.907388259699118</c:v>
                </c:pt>
                <c:pt idx="30">
                  <c:v>64.940876675254501</c:v>
                </c:pt>
                <c:pt idx="31">
                  <c:v>64.962262716471727</c:v>
                </c:pt>
              </c:numCache>
            </c:numRef>
          </c:val>
          <c:smooth val="0"/>
          <c:extLst>
            <c:ext xmlns:c16="http://schemas.microsoft.com/office/drawing/2014/chart" uri="{C3380CC4-5D6E-409C-BE32-E72D297353CC}">
              <c16:uniqueId val="{00000000-2F5E-43A4-B834-38B0082C6F6F}"/>
            </c:ext>
          </c:extLst>
        </c:ser>
        <c:ser>
          <c:idx val="3"/>
          <c:order val="4"/>
          <c:tx>
            <c:strRef>
              <c:f>' All EV uptake'!$J$3</c:f>
              <c:strCache>
                <c:ptCount val="1"/>
                <c:pt idx="0">
                  <c:v>Denmark no subs </c:v>
                </c:pt>
              </c:strCache>
            </c:strRef>
          </c:tx>
          <c:spPr>
            <a:ln w="28575" cap="rnd">
              <a:solidFill>
                <a:srgbClr val="A5EF0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uptake'!$J$4:$J$35</c:f>
              <c:numCache>
                <c:formatCode>0.00</c:formatCode>
                <c:ptCount val="32"/>
                <c:pt idx="1">
                  <c:v>0</c:v>
                </c:pt>
                <c:pt idx="2">
                  <c:v>0</c:v>
                </c:pt>
                <c:pt idx="3">
                  <c:v>0</c:v>
                </c:pt>
                <c:pt idx="4">
                  <c:v>0.2445466806557601</c:v>
                </c:pt>
                <c:pt idx="5">
                  <c:v>0.28414031280549218</c:v>
                </c:pt>
                <c:pt idx="6">
                  <c:v>0.28452453918310588</c:v>
                </c:pt>
                <c:pt idx="7">
                  <c:v>0.93137474819959321</c:v>
                </c:pt>
                <c:pt idx="8">
                  <c:v>0.93137474819959321</c:v>
                </c:pt>
                <c:pt idx="9">
                  <c:v>0.90531080068456737</c:v>
                </c:pt>
                <c:pt idx="10">
                  <c:v>1.1672115702411343</c:v>
                </c:pt>
                <c:pt idx="11">
                  <c:v>1.6698566862576087</c:v>
                </c:pt>
                <c:pt idx="12">
                  <c:v>2.6611363671789219</c:v>
                </c:pt>
                <c:pt idx="13">
                  <c:v>4.0457569518464096</c:v>
                </c:pt>
                <c:pt idx="14">
                  <c:v>7.0372486224496811</c:v>
                </c:pt>
                <c:pt idx="15">
                  <c:v>11.087278695987386</c:v>
                </c:pt>
                <c:pt idx="16">
                  <c:v>16.291431449478718</c:v>
                </c:pt>
                <c:pt idx="17">
                  <c:v>22.589953322346989</c:v>
                </c:pt>
                <c:pt idx="18">
                  <c:v>29.738063816094563</c:v>
                </c:pt>
                <c:pt idx="19">
                  <c:v>36.355795435472501</c:v>
                </c:pt>
                <c:pt idx="20">
                  <c:v>42.691815752065018</c:v>
                </c:pt>
                <c:pt idx="21">
                  <c:v>48.328154482451801</c:v>
                </c:pt>
                <c:pt idx="22">
                  <c:v>53.003050877996714</c:v>
                </c:pt>
                <c:pt idx="23">
                  <c:v>56.642277025703507</c:v>
                </c:pt>
                <c:pt idx="24">
                  <c:v>59.326529825102554</c:v>
                </c:pt>
                <c:pt idx="25">
                  <c:v>61.223140250105146</c:v>
                </c:pt>
                <c:pt idx="26">
                  <c:v>62.520686658640876</c:v>
                </c:pt>
                <c:pt idx="27">
                  <c:v>63.388136245200755</c:v>
                </c:pt>
                <c:pt idx="28">
                  <c:v>63.958892341289413</c:v>
                </c:pt>
                <c:pt idx="29">
                  <c:v>64.330434949065463</c:v>
                </c:pt>
                <c:pt idx="30">
                  <c:v>64.570593178650171</c:v>
                </c:pt>
                <c:pt idx="31">
                  <c:v>64.725112872519745</c:v>
                </c:pt>
              </c:numCache>
            </c:numRef>
          </c:val>
          <c:smooth val="0"/>
          <c:extLst>
            <c:ext xmlns:c16="http://schemas.microsoft.com/office/drawing/2014/chart" uri="{C3380CC4-5D6E-409C-BE32-E72D297353CC}">
              <c16:uniqueId val="{00000003-5D56-4A79-988F-B860F1EF25BD}"/>
            </c:ext>
          </c:extLst>
        </c:ser>
        <c:ser>
          <c:idx val="5"/>
          <c:order val="5"/>
          <c:tx>
            <c:strRef>
              <c:f>' All EV uptake'!$O$3</c:f>
              <c:strCache>
                <c:ptCount val="1"/>
                <c:pt idx="0">
                  <c:v>Ireland</c:v>
                </c:pt>
              </c:strCache>
            </c:strRef>
          </c:tx>
          <c:spPr>
            <a:ln w="28575" cap="rnd">
              <a:solidFill>
                <a:schemeClr val="accent6"/>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uptake'!$O$4:$O$35</c:f>
              <c:numCache>
                <c:formatCode>0.00</c:formatCode>
                <c:ptCount val="3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pt idx="12">
                  <c:v>4.0391024160345372</c:v>
                </c:pt>
                <c:pt idx="13">
                  <c:v>5.9863117522368512</c:v>
                </c:pt>
                <c:pt idx="14">
                  <c:v>8.7376997223777266</c:v>
                </c:pt>
                <c:pt idx="15">
                  <c:v>12.486103600758348</c:v>
                </c:pt>
                <c:pt idx="16">
                  <c:v>17.346754578607644</c:v>
                </c:pt>
                <c:pt idx="17">
                  <c:v>23.261428838728147</c:v>
                </c:pt>
                <c:pt idx="18">
                  <c:v>29.926315888739872</c:v>
                </c:pt>
                <c:pt idx="19">
                  <c:v>36.816402784108064</c:v>
                </c:pt>
                <c:pt idx="20">
                  <c:v>43.33293398469911</c:v>
                </c:pt>
                <c:pt idx="21">
                  <c:v>48.997637836341092</c:v>
                </c:pt>
                <c:pt idx="22">
                  <c:v>53.571923644377804</c:v>
                </c:pt>
                <c:pt idx="23">
                  <c:v>57.050781563780149</c:v>
                </c:pt>
                <c:pt idx="24">
                  <c:v>59.577814845498921</c:v>
                </c:pt>
                <c:pt idx="25">
                  <c:v>61.352867201183777</c:v>
                </c:pt>
                <c:pt idx="26">
                  <c:v>62.570519514439546</c:v>
                </c:pt>
                <c:pt idx="27">
                  <c:v>63.392292447343138</c:v>
                </c:pt>
                <c:pt idx="28">
                  <c:v>63.940805689229563</c:v>
                </c:pt>
                <c:pt idx="29">
                  <c:v>64.304232664706845</c:v>
                </c:pt>
                <c:pt idx="30">
                  <c:v>64.543851455922123</c:v>
                </c:pt>
                <c:pt idx="31">
                  <c:v>64.701330025578272</c:v>
                </c:pt>
              </c:numCache>
            </c:numRef>
          </c:val>
          <c:smooth val="0"/>
          <c:extLst>
            <c:ext xmlns:c16="http://schemas.microsoft.com/office/drawing/2014/chart" uri="{C3380CC4-5D6E-409C-BE32-E72D297353CC}">
              <c16:uniqueId val="{00000005-5D56-4A79-988F-B860F1EF25BD}"/>
            </c:ext>
          </c:extLst>
        </c:ser>
        <c:ser>
          <c:idx val="7"/>
          <c:order val="6"/>
          <c:tx>
            <c:strRef>
              <c:f>' All EV uptake'!$U$3</c:f>
              <c:strCache>
                <c:ptCount val="1"/>
                <c:pt idx="0">
                  <c:v>NZ</c:v>
                </c:pt>
              </c:strCache>
            </c:strRef>
          </c:tx>
          <c:spPr>
            <a:ln w="28575" cap="rnd">
              <a:solidFill>
                <a:schemeClr val="accent2">
                  <a:lumMod val="60000"/>
                </a:schemeClr>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uptake'!$U$4:$U$35</c:f>
              <c:numCache>
                <c:formatCode>0.00</c:formatCode>
                <c:ptCount val="32"/>
                <c:pt idx="1">
                  <c:v>2.1888993231889326E-2</c:v>
                </c:pt>
                <c:pt idx="2">
                  <c:v>3.3181380766074499E-2</c:v>
                </c:pt>
                <c:pt idx="3">
                  <c:v>5.0294927467282827E-2</c:v>
                </c:pt>
                <c:pt idx="4">
                  <c:v>7.6224558672425224E-2</c:v>
                </c:pt>
                <c:pt idx="5">
                  <c:v>0.11549848108329042</c:v>
                </c:pt>
                <c:pt idx="6">
                  <c:v>0.11847389558232939</c:v>
                </c:pt>
                <c:pt idx="7">
                  <c:v>0.26488873951865571</c:v>
                </c:pt>
                <c:pt idx="8">
                  <c:v>0.40076989322369888</c:v>
                </c:pt>
                <c:pt idx="9">
                  <c:v>0.60570241577331663</c:v>
                </c:pt>
                <c:pt idx="10">
                  <c:v>0.91394400665760067</c:v>
                </c:pt>
                <c:pt idx="11">
                  <c:v>1.3756983661601709</c:v>
                </c:pt>
                <c:pt idx="12">
                  <c:v>2.0632352831504894</c:v>
                </c:pt>
                <c:pt idx="13">
                  <c:v>3.0777626865267869</c:v>
                </c:pt>
                <c:pt idx="14">
                  <c:v>4.5550452562582526</c:v>
                </c:pt>
                <c:pt idx="15">
                  <c:v>6.6650803900395221</c:v>
                </c:pt>
                <c:pt idx="16">
                  <c:v>9.5973526779353122</c:v>
                </c:pt>
                <c:pt idx="17">
                  <c:v>13.520664050956489</c:v>
                </c:pt>
                <c:pt idx="18">
                  <c:v>18.511901087386413</c:v>
                </c:pt>
                <c:pt idx="19">
                  <c:v>24.469860094022749</c:v>
                </c:pt>
                <c:pt idx="20">
                  <c:v>31.064030092641175</c:v>
                </c:pt>
                <c:pt idx="21">
                  <c:v>37.778828723190486</c:v>
                </c:pt>
                <c:pt idx="22">
                  <c:v>44.060588758828594</c:v>
                </c:pt>
                <c:pt idx="23">
                  <c:v>49.487942130385711</c:v>
                </c:pt>
                <c:pt idx="24">
                  <c:v>53.864100890929627</c:v>
                </c:pt>
                <c:pt idx="25">
                  <c:v>57.200266309652122</c:v>
                </c:pt>
                <c:pt idx="26">
                  <c:v>59.636483712964129</c:v>
                </c:pt>
                <c:pt idx="27">
                  <c:v>61.360178858851896</c:v>
                </c:pt>
                <c:pt idx="28">
                  <c:v>62.552655924755371</c:v>
                </c:pt>
                <c:pt idx="29">
                  <c:v>63.364864897317197</c:v>
                </c:pt>
                <c:pt idx="30">
                  <c:v>63.912210608218167</c:v>
                </c:pt>
                <c:pt idx="31">
                  <c:v>64.278424047159135</c:v>
                </c:pt>
              </c:numCache>
            </c:numRef>
          </c:val>
          <c:smooth val="0"/>
          <c:extLst>
            <c:ext xmlns:c16="http://schemas.microsoft.com/office/drawing/2014/chart" uri="{C3380CC4-5D6E-409C-BE32-E72D297353CC}">
              <c16:uniqueId val="{00000007-5D56-4A79-988F-B860F1EF25BD}"/>
            </c:ext>
          </c:extLst>
        </c:ser>
        <c:ser>
          <c:idx val="8"/>
          <c:order val="7"/>
          <c:tx>
            <c:strRef>
              <c:f>' All EV uptake'!$W$3</c:f>
              <c:strCache>
                <c:ptCount val="1"/>
                <c:pt idx="0">
                  <c:v>Sweden</c:v>
                </c:pt>
              </c:strCache>
            </c:strRef>
          </c:tx>
          <c:spPr>
            <a:ln w="28575" cap="rnd">
              <a:solidFill>
                <a:schemeClr val="accent3">
                  <a:lumMod val="60000"/>
                </a:schemeClr>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uptake'!$W$4:$W$35</c:f>
              <c:numCache>
                <c:formatCode>0.00</c:formatCode>
                <c:ptCount val="32"/>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pt idx="10">
                  <c:v>11.309646896270017</c:v>
                </c:pt>
                <c:pt idx="11">
                  <c:v>15.879185521949198</c:v>
                </c:pt>
                <c:pt idx="12">
                  <c:v>21.553816245209962</c:v>
                </c:pt>
                <c:pt idx="13">
                  <c:v>28.096417491564278</c:v>
                </c:pt>
                <c:pt idx="14">
                  <c:v>35.024008658586574</c:v>
                </c:pt>
                <c:pt idx="15">
                  <c:v>41.728285980140683</c:v>
                </c:pt>
                <c:pt idx="16">
                  <c:v>47.674841827857293</c:v>
                </c:pt>
                <c:pt idx="17">
                  <c:v>52.555064664009244</c:v>
                </c:pt>
                <c:pt idx="18">
                  <c:v>56.311144997869462</c:v>
                </c:pt>
                <c:pt idx="19">
                  <c:v>59.061673622444033</c:v>
                </c:pt>
                <c:pt idx="20">
                  <c:v>61.00329814668018</c:v>
                </c:pt>
                <c:pt idx="21">
                  <c:v>62.338685509486218</c:v>
                </c:pt>
                <c:pt idx="22">
                  <c:v>63.240757360076294</c:v>
                </c:pt>
                <c:pt idx="23">
                  <c:v>63.842741627581553</c:v>
                </c:pt>
                <c:pt idx="24">
                  <c:v>64.241208206836262</c:v>
                </c:pt>
                <c:pt idx="25">
                  <c:v>64.503541890273766</c:v>
                </c:pt>
                <c:pt idx="26">
                  <c:v>64.67563805863881</c:v>
                </c:pt>
                <c:pt idx="27">
                  <c:v>64.788273266841315</c:v>
                </c:pt>
                <c:pt idx="28">
                  <c:v>64.861879245893505</c:v>
                </c:pt>
                <c:pt idx="29">
                  <c:v>64.909931964655115</c:v>
                </c:pt>
                <c:pt idx="30">
                  <c:v>64.941282099830573</c:v>
                </c:pt>
                <c:pt idx="31">
                  <c:v>64.961726574009816</c:v>
                </c:pt>
              </c:numCache>
            </c:numRef>
          </c:val>
          <c:smooth val="0"/>
          <c:extLst>
            <c:ext xmlns:c16="http://schemas.microsoft.com/office/drawing/2014/chart" uri="{C3380CC4-5D6E-409C-BE32-E72D297353CC}">
              <c16:uniqueId val="{00000008-5D56-4A79-988F-B860F1EF25BD}"/>
            </c:ext>
          </c:extLst>
        </c:ser>
        <c:ser>
          <c:idx val="9"/>
          <c:order val="8"/>
          <c:tx>
            <c:strRef>
              <c:f>' All EV uptake'!$X$3</c:f>
              <c:strCache>
                <c:ptCount val="1"/>
                <c:pt idx="0">
                  <c:v>Switzerland</c:v>
                </c:pt>
              </c:strCache>
            </c:strRef>
          </c:tx>
          <c:spPr>
            <a:ln w="28575" cap="rnd">
              <a:solidFill>
                <a:schemeClr val="bg2">
                  <a:lumMod val="75000"/>
                </a:schemeClr>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uptake'!$X$4:$X$35</c:f>
              <c:numCache>
                <c:formatCode>0.00</c:formatCode>
                <c:ptCount val="32"/>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pt idx="10">
                  <c:v>4.8724801350553042</c:v>
                </c:pt>
                <c:pt idx="11">
                  <c:v>6.6991954560165095</c:v>
                </c:pt>
                <c:pt idx="12">
                  <c:v>9.1070270327411542</c:v>
                </c:pt>
                <c:pt idx="13">
                  <c:v>12.199197278580884</c:v>
                </c:pt>
                <c:pt idx="14">
                  <c:v>16.039974653046883</c:v>
                </c:pt>
                <c:pt idx="15">
                  <c:v>20.617795513239166</c:v>
                </c:pt>
                <c:pt idx="16">
                  <c:v>25.813294105753002</c:v>
                </c:pt>
                <c:pt idx="17">
                  <c:v>31.39198763842187</c:v>
                </c:pt>
                <c:pt idx="18">
                  <c:v>37.036826165730012</c:v>
                </c:pt>
                <c:pt idx="19">
                  <c:v>42.415652843649568</c:v>
                </c:pt>
                <c:pt idx="20">
                  <c:v>47.255539591428146</c:v>
                </c:pt>
                <c:pt idx="21">
                  <c:v>51.391009635066219</c:v>
                </c:pt>
                <c:pt idx="22">
                  <c:v>54.771299004421564</c:v>
                </c:pt>
                <c:pt idx="23">
                  <c:v>57.435556837430028</c:v>
                </c:pt>
                <c:pt idx="24">
                  <c:v>59.475849898845816</c:v>
                </c:pt>
                <c:pt idx="25">
                  <c:v>61.004118023693003</c:v>
                </c:pt>
                <c:pt idx="26">
                  <c:v>62.129989626255771</c:v>
                </c:pt>
                <c:pt idx="27">
                  <c:v>62.949301624138897</c:v>
                </c:pt>
                <c:pt idx="28">
                  <c:v>63.540217168021101</c:v>
                </c:pt>
                <c:pt idx="29">
                  <c:v>63.963661672656372</c:v>
                </c:pt>
                <c:pt idx="30">
                  <c:v>64.265695582398237</c:v>
                </c:pt>
                <c:pt idx="31">
                  <c:v>64.480418758306072</c:v>
                </c:pt>
              </c:numCache>
            </c:numRef>
          </c:val>
          <c:smooth val="0"/>
          <c:extLst>
            <c:ext xmlns:c16="http://schemas.microsoft.com/office/drawing/2014/chart" uri="{C3380CC4-5D6E-409C-BE32-E72D297353CC}">
              <c16:uniqueId val="{00000009-5D56-4A79-988F-B860F1EF25BD}"/>
            </c:ext>
          </c:extLst>
        </c:ser>
        <c:ser>
          <c:idx val="10"/>
          <c:order val="9"/>
          <c:tx>
            <c:strRef>
              <c:f>' All EV uptake'!$AA$3</c:f>
              <c:strCache>
                <c:ptCount val="1"/>
                <c:pt idx="0">
                  <c:v>Rest Europe</c:v>
                </c:pt>
              </c:strCache>
            </c:strRef>
          </c:tx>
          <c:spPr>
            <a:ln w="28575" cap="rnd">
              <a:solidFill>
                <a:schemeClr val="accent5">
                  <a:lumMod val="60000"/>
                </a:schemeClr>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uptake'!$AA$4:$AA$35</c:f>
              <c:numCache>
                <c:formatCode>0.00</c:formatCode>
                <c:ptCount val="32"/>
                <c:pt idx="1">
                  <c:v>1.3922142440185525E-2</c:v>
                </c:pt>
                <c:pt idx="2">
                  <c:v>2.1675441318295498E-2</c:v>
                </c:pt>
                <c:pt idx="3">
                  <c:v>3.3744342442585909E-2</c:v>
                </c:pt>
                <c:pt idx="4">
                  <c:v>5.2527783932434013E-2</c:v>
                </c:pt>
                <c:pt idx="5">
                  <c:v>8.175367776141565E-2</c:v>
                </c:pt>
                <c:pt idx="6">
                  <c:v>0.12720869508644847</c:v>
                </c:pt>
                <c:pt idx="7">
                  <c:v>0.12387481770399303</c:v>
                </c:pt>
                <c:pt idx="8">
                  <c:v>0.30756372069793464</c:v>
                </c:pt>
                <c:pt idx="9">
                  <c:v>0.47764529154494301</c:v>
                </c:pt>
                <c:pt idx="10">
                  <c:v>0.74070443711545286</c:v>
                </c:pt>
                <c:pt idx="11">
                  <c:v>1.1460678396135278</c:v>
                </c:pt>
                <c:pt idx="12">
                  <c:v>1.7671726185362033</c:v>
                </c:pt>
                <c:pt idx="13">
                  <c:v>2.7105926994601921</c:v>
                </c:pt>
                <c:pt idx="14">
                  <c:v>4.1248112477580197</c:v>
                </c:pt>
                <c:pt idx="15">
                  <c:v>6.2033984467536163</c:v>
                </c:pt>
                <c:pt idx="16">
                  <c:v>9.1716221571704377</c:v>
                </c:pt>
                <c:pt idx="17">
                  <c:v>13.240269993680185</c:v>
                </c:pt>
                <c:pt idx="18">
                  <c:v>18.515233276278042</c:v>
                </c:pt>
                <c:pt idx="19">
                  <c:v>24.881512508231992</c:v>
                </c:pt>
                <c:pt idx="20">
                  <c:v>31.933037154333675</c:v>
                </c:pt>
                <c:pt idx="21">
                  <c:v>39.038366136989417</c:v>
                </c:pt>
                <c:pt idx="22">
                  <c:v>45.547003618162918</c:v>
                </c:pt>
                <c:pt idx="23">
                  <c:v>51.008720535160165</c:v>
                </c:pt>
                <c:pt idx="24">
                  <c:v>55.264742203913279</c:v>
                </c:pt>
                <c:pt idx="25">
                  <c:v>58.393791321865343</c:v>
                </c:pt>
                <c:pt idx="26">
                  <c:v>60.597242333125578</c:v>
                </c:pt>
                <c:pt idx="27">
                  <c:v>62.102220364826763</c:v>
                </c:pt>
                <c:pt idx="28">
                  <c:v>63.1088126931933</c:v>
                </c:pt>
                <c:pt idx="29">
                  <c:v>63.77265865505985</c:v>
                </c:pt>
                <c:pt idx="30">
                  <c:v>64.206411174684547</c:v>
                </c:pt>
                <c:pt idx="31">
                  <c:v>64.488102447689897</c:v>
                </c:pt>
              </c:numCache>
            </c:numRef>
          </c:val>
          <c:smooth val="0"/>
          <c:extLst>
            <c:ext xmlns:c16="http://schemas.microsoft.com/office/drawing/2014/chart" uri="{C3380CC4-5D6E-409C-BE32-E72D297353CC}">
              <c16:uniqueId val="{0000000A-5D56-4A79-988F-B860F1EF25BD}"/>
            </c:ext>
          </c:extLst>
        </c:ser>
        <c:ser>
          <c:idx val="4"/>
          <c:order val="10"/>
          <c:tx>
            <c:strRef>
              <c:f>' All EV uptake'!$Y$3</c:f>
              <c:strCache>
                <c:ptCount val="1"/>
                <c:pt idx="0">
                  <c:v>UK</c:v>
                </c:pt>
              </c:strCache>
            </c:strRef>
          </c:tx>
          <c:spPr>
            <a:ln w="28575" cap="rnd">
              <a:solidFill>
                <a:schemeClr val="accent5"/>
              </a:solidFill>
              <a:round/>
            </a:ln>
            <a:effectLst/>
          </c:spPr>
          <c:marker>
            <c:symbol val="none"/>
          </c:marker>
          <c:val>
            <c:numRef>
              <c:f>' All EV uptake'!$Y$4:$Y$35</c:f>
              <c:numCache>
                <c:formatCode>0.00</c:formatCode>
                <c:ptCount val="32"/>
                <c:pt idx="1">
                  <c:v>0</c:v>
                </c:pt>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numCache>
            </c:numRef>
          </c:val>
          <c:smooth val="0"/>
          <c:extLst>
            <c:ext xmlns:c16="http://schemas.microsoft.com/office/drawing/2014/chart" uri="{C3380CC4-5D6E-409C-BE32-E72D297353CC}">
              <c16:uniqueId val="{00000001-CA60-44E5-8EB5-954374581BD9}"/>
            </c:ext>
          </c:extLst>
        </c:ser>
        <c:ser>
          <c:idx val="11"/>
          <c:order val="11"/>
          <c:tx>
            <c:strRef>
              <c:f>' All EV uptake'!$P$3</c:f>
              <c:strCache>
                <c:ptCount val="1"/>
                <c:pt idx="0">
                  <c:v>Italy</c:v>
                </c:pt>
              </c:strCache>
            </c:strRef>
          </c:tx>
          <c:spPr>
            <a:ln w="28575" cap="rnd">
              <a:solidFill>
                <a:schemeClr val="accent6">
                  <a:lumMod val="60000"/>
                </a:schemeClr>
              </a:solidFill>
              <a:round/>
            </a:ln>
            <a:effectLst/>
          </c:spPr>
          <c:marker>
            <c:symbol val="none"/>
          </c:marker>
          <c:val>
            <c:numRef>
              <c:f>' All EV uptake'!$P$4:$P$35</c:f>
              <c:numCache>
                <c:formatCode>0.00</c:formatCode>
                <c:ptCount val="32"/>
                <c:pt idx="1">
                  <c:v>3.1673501110891733E-2</c:v>
                </c:pt>
                <c:pt idx="2">
                  <c:v>4.6634398966126429E-2</c:v>
                </c:pt>
                <c:pt idx="3">
                  <c:v>8.2081523558712705E-2</c:v>
                </c:pt>
                <c:pt idx="4">
                  <c:v>0.11049248750991837</c:v>
                </c:pt>
                <c:pt idx="5">
                  <c:v>0.14871484058186824</c:v>
                </c:pt>
                <c:pt idx="6">
                  <c:v>0.15297258907354042</c:v>
                </c:pt>
                <c:pt idx="7">
                  <c:v>0.24606828814625634</c:v>
                </c:pt>
                <c:pt idx="8">
                  <c:v>0.47261854943019649</c:v>
                </c:pt>
                <c:pt idx="9">
                  <c:v>0.69363502576303426</c:v>
                </c:pt>
                <c:pt idx="10">
                  <c:v>1.0163801931175711</c:v>
                </c:pt>
                <c:pt idx="11">
                  <c:v>1.485827405631815</c:v>
                </c:pt>
                <c:pt idx="12">
                  <c:v>2.164767594639474</c:v>
                </c:pt>
                <c:pt idx="13">
                  <c:v>3.1386148509074898</c:v>
                </c:pt>
                <c:pt idx="14">
                  <c:v>4.5190517009811133</c:v>
                </c:pt>
                <c:pt idx="15">
                  <c:v>6.4433974625468542</c:v>
                </c:pt>
                <c:pt idx="16">
                  <c:v>9.0643752569605045</c:v>
                </c:pt>
                <c:pt idx="17">
                  <c:v>12.523473405238571</c:v>
                </c:pt>
                <c:pt idx="18">
                  <c:v>16.903698286910249</c:v>
                </c:pt>
                <c:pt idx="19">
                  <c:v>22.168747485891053</c:v>
                </c:pt>
                <c:pt idx="20">
                  <c:v>28.115088703950246</c:v>
                </c:pt>
                <c:pt idx="21">
                  <c:v>34.376284275425931</c:v>
                </c:pt>
                <c:pt idx="22">
                  <c:v>40.500788806984481</c:v>
                </c:pt>
                <c:pt idx="23">
                  <c:v>46.074760835613823</c:v>
                </c:pt>
                <c:pt idx="24">
                  <c:v>50.824431532284635</c:v>
                </c:pt>
                <c:pt idx="25">
                  <c:v>54.649850966082099</c:v>
                </c:pt>
                <c:pt idx="26">
                  <c:v>57.593383144374307</c:v>
                </c:pt>
                <c:pt idx="27">
                  <c:v>59.77975278287154</c:v>
                </c:pt>
                <c:pt idx="28">
                  <c:v>61.361498328668745</c:v>
                </c:pt>
                <c:pt idx="29">
                  <c:v>62.484142134015258</c:v>
                </c:pt>
                <c:pt idx="30">
                  <c:v>63.270164051956705</c:v>
                </c:pt>
                <c:pt idx="31">
                  <c:v>63.815267723868956</c:v>
                </c:pt>
              </c:numCache>
            </c:numRef>
          </c:val>
          <c:smooth val="0"/>
          <c:extLst>
            <c:ext xmlns:c16="http://schemas.microsoft.com/office/drawing/2014/chart" uri="{C3380CC4-5D6E-409C-BE32-E72D297353CC}">
              <c16:uniqueId val="{00000002-CA60-44E5-8EB5-954374581BD9}"/>
            </c:ext>
          </c:extLst>
        </c:ser>
        <c:ser>
          <c:idx val="12"/>
          <c:order val="12"/>
          <c:tx>
            <c:strRef>
              <c:f>' All EV uptake'!$B$3</c:f>
              <c:strCache>
                <c:ptCount val="1"/>
                <c:pt idx="0">
                  <c:v>Australia</c:v>
                </c:pt>
              </c:strCache>
            </c:strRef>
          </c:tx>
          <c:spPr>
            <a:ln w="28575" cap="rnd">
              <a:solidFill>
                <a:schemeClr val="accent1">
                  <a:lumMod val="80000"/>
                  <a:lumOff val="20000"/>
                </a:schemeClr>
              </a:solidFill>
              <a:round/>
            </a:ln>
            <a:effectLst/>
          </c:spPr>
          <c:marker>
            <c:symbol val="none"/>
          </c:marker>
          <c:val>
            <c:numRef>
              <c:f>' All EV uptake'!$B$4:$B$35</c:f>
              <c:numCache>
                <c:formatCode>0.00</c:formatCode>
                <c:ptCount val="32"/>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numCache>
            </c:numRef>
          </c:val>
          <c:smooth val="0"/>
          <c:extLst>
            <c:ext xmlns:c16="http://schemas.microsoft.com/office/drawing/2014/chart" uri="{C3380CC4-5D6E-409C-BE32-E72D297353CC}">
              <c16:uniqueId val="{00000000-7252-405C-AB53-D580D05A677F}"/>
            </c:ext>
          </c:extLst>
        </c:ser>
        <c:dLbls>
          <c:showLegendKey val="0"/>
          <c:showVal val="0"/>
          <c:showCatName val="0"/>
          <c:showSerName val="0"/>
          <c:showPercent val="0"/>
          <c:showBubbleSize val="0"/>
        </c:dLbls>
        <c:smooth val="0"/>
        <c:axId val="771504952"/>
        <c:axId val="771500360"/>
      </c:lineChart>
      <c:catAx>
        <c:axId val="771504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1500360"/>
        <c:crosses val="autoZero"/>
        <c:auto val="1"/>
        <c:lblAlgn val="ctr"/>
        <c:lblOffset val="100"/>
        <c:noMultiLvlLbl val="0"/>
      </c:catAx>
      <c:valAx>
        <c:axId val="771500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baseline="0">
                    <a:effectLst/>
                  </a:rPr>
                  <a:t>EV% of new vehicle sales</a:t>
                </a:r>
                <a:r>
                  <a:rPr lang="en-AU" sz="1000" b="0" i="0" u="none" strike="noStrike" baseline="0"/>
                  <a:t> </a:t>
                </a:r>
                <a:endParaRPr lang="en-AU"/>
              </a:p>
            </c:rich>
          </c:tx>
          <c:layout>
            <c:manualLayout>
              <c:xMode val="edge"/>
              <c:yMode val="edge"/>
              <c:x val="1.3570819105789878E-2"/>
              <c:y val="0.36333501312335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1504952"/>
        <c:crosses val="autoZero"/>
        <c:crossBetween val="between"/>
      </c:valAx>
      <c:spPr>
        <a:noFill/>
        <a:ln>
          <a:noFill/>
        </a:ln>
        <a:effectLst/>
      </c:spPr>
    </c:plotArea>
    <c:legend>
      <c:legendPos val="b"/>
      <c:layout>
        <c:manualLayout>
          <c:xMode val="edge"/>
          <c:yMode val="edge"/>
          <c:x val="4.0134896079048417E-2"/>
          <c:y val="0.89566572178477688"/>
          <c:w val="0.79342875827539461"/>
          <c:h val="0.104334297354921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All EV uptake'!$N$3</c:f>
              <c:strCache>
                <c:ptCount val="1"/>
                <c:pt idx="0">
                  <c:v>India</c:v>
                </c:pt>
              </c:strCache>
            </c:strRef>
          </c:tx>
          <c:spPr>
            <a:ln w="28575" cap="rnd">
              <a:solidFill>
                <a:schemeClr val="accent1"/>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uptake'!$N$4:$N$35</c:f>
              <c:numCache>
                <c:formatCode>0.00</c:formatCode>
                <c:ptCount val="32"/>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pt idx="10">
                  <c:v>0.41424713827539777</c:v>
                </c:pt>
                <c:pt idx="11">
                  <c:v>0.50132590511767838</c:v>
                </c:pt>
                <c:pt idx="12">
                  <c:v>0.60653756944353054</c:v>
                </c:pt>
                <c:pt idx="13">
                  <c:v>0.7335785364504962</c:v>
                </c:pt>
                <c:pt idx="14">
                  <c:v>0.88686210956113698</c:v>
                </c:pt>
                <c:pt idx="15">
                  <c:v>1.0716406896356336</c:v>
                </c:pt>
                <c:pt idx="16">
                  <c:v>1.2941409573841982</c:v>
                </c:pt>
                <c:pt idx="17">
                  <c:v>1.5617094795796753</c:v>
                </c:pt>
                <c:pt idx="18">
                  <c:v>1.8829636772975846</c:v>
                </c:pt>
                <c:pt idx="19">
                  <c:v>2.2679395050816198</c:v>
                </c:pt>
                <c:pt idx="20">
                  <c:v>2.7282222524337612</c:v>
                </c:pt>
                <c:pt idx="21">
                  <c:v>3.2770403898495579</c:v>
                </c:pt>
                <c:pt idx="22">
                  <c:v>3.9292943115095809</c:v>
                </c:pt>
                <c:pt idx="23">
                  <c:v>4.7014825110803562</c:v>
                </c:pt>
                <c:pt idx="24">
                  <c:v>5.6114781425235627</c:v>
                </c:pt>
                <c:pt idx="25">
                  <c:v>6.6781010294633321</c:v>
                </c:pt>
                <c:pt idx="26">
                  <c:v>7.9204272879143121</c:v>
                </c:pt>
                <c:pt idx="27">
                  <c:v>9.3567855877488721</c:v>
                </c:pt>
                <c:pt idx="28">
                  <c:v>11.003411575932741</c:v>
                </c:pt>
                <c:pt idx="29">
                  <c:v>12.872775785252154</c:v>
                </c:pt>
                <c:pt idx="30">
                  <c:v>14.971668268591911</c:v>
                </c:pt>
                <c:pt idx="31">
                  <c:v>17.299211315914775</c:v>
                </c:pt>
              </c:numCache>
            </c:numRef>
          </c:val>
          <c:smooth val="0"/>
          <c:extLst>
            <c:ext xmlns:c16="http://schemas.microsoft.com/office/drawing/2014/chart" uri="{C3380CC4-5D6E-409C-BE32-E72D297353CC}">
              <c16:uniqueId val="{00000000-47C0-43BE-BC95-63D0A469BD5C}"/>
            </c:ext>
          </c:extLst>
        </c:ser>
        <c:ser>
          <c:idx val="2"/>
          <c:order val="1"/>
          <c:tx>
            <c:strRef>
              <c:f>' All EV uptake'!$Q$3</c:f>
              <c:strCache>
                <c:ptCount val="1"/>
                <c:pt idx="0">
                  <c:v>Japan</c:v>
                </c:pt>
              </c:strCache>
            </c:strRef>
          </c:tx>
          <c:spPr>
            <a:ln w="28575" cap="rnd">
              <a:solidFill>
                <a:schemeClr val="accent3"/>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uptake'!$Q$4:$Q$35</c:f>
              <c:numCache>
                <c:formatCode>0.00</c:formatCode>
                <c:ptCount val="32"/>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pt idx="10">
                  <c:v>1.7688193798116725</c:v>
                </c:pt>
                <c:pt idx="11">
                  <c:v>2.0941403093031719</c:v>
                </c:pt>
                <c:pt idx="12">
                  <c:v>2.4769503709961866</c:v>
                </c:pt>
                <c:pt idx="13">
                  <c:v>2.9264828480241376</c:v>
                </c:pt>
                <c:pt idx="14">
                  <c:v>3.4530934847635457</c:v>
                </c:pt>
                <c:pt idx="15">
                  <c:v>4.0682552925428244</c:v>
                </c:pt>
                <c:pt idx="16">
                  <c:v>4.7844877499604683</c:v>
                </c:pt>
                <c:pt idx="17">
                  <c:v>5.6151953688923006</c:v>
                </c:pt>
                <c:pt idx="18">
                  <c:v>6.5743873969310416</c:v>
                </c:pt>
                <c:pt idx="19">
                  <c:v>7.6762496412036976</c:v>
                </c:pt>
                <c:pt idx="20">
                  <c:v>8.934542906055853</c:v>
                </c:pt>
                <c:pt idx="21">
                  <c:v>10.361812576120002</c:v>
                </c:pt>
                <c:pt idx="22">
                  <c:v>11.968412618693254</c:v>
                </c:pt>
                <c:pt idx="23">
                  <c:v>13.761376026223918</c:v>
                </c:pt>
                <c:pt idx="24">
                  <c:v>15.743201724789555</c:v>
                </c:pt>
                <c:pt idx="25">
                  <c:v>17.910671129207994</c:v>
                </c:pt>
                <c:pt idx="26">
                  <c:v>20.253847466681552</c:v>
                </c:pt>
                <c:pt idx="27">
                  <c:v>22.755435479348741</c:v>
                </c:pt>
                <c:pt idx="28">
                  <c:v>25.390674501188812</c:v>
                </c:pt>
                <c:pt idx="29">
                  <c:v>28.127893831324712</c:v>
                </c:pt>
                <c:pt idx="30">
                  <c:v>30.929774511876143</c:v>
                </c:pt>
                <c:pt idx="31">
                  <c:v>33.75524808240845</c:v>
                </c:pt>
              </c:numCache>
            </c:numRef>
          </c:val>
          <c:smooth val="0"/>
          <c:extLst>
            <c:ext xmlns:c16="http://schemas.microsoft.com/office/drawing/2014/chart" uri="{C3380CC4-5D6E-409C-BE32-E72D297353CC}">
              <c16:uniqueId val="{00000002-47C0-43BE-BC95-63D0A469BD5C}"/>
            </c:ext>
          </c:extLst>
        </c:ser>
        <c:ser>
          <c:idx val="3"/>
          <c:order val="2"/>
          <c:tx>
            <c:strRef>
              <c:f>' All EV uptake'!$V$3</c:f>
              <c:strCache>
                <c:ptCount val="1"/>
                <c:pt idx="0">
                  <c:v>Spain</c:v>
                </c:pt>
              </c:strCache>
            </c:strRef>
          </c:tx>
          <c:spPr>
            <a:ln w="28575" cap="rnd">
              <a:solidFill>
                <a:schemeClr val="accent4"/>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uptake'!$V$4:$V$35</c:f>
              <c:numCache>
                <c:formatCode>0.00</c:formatCode>
                <c:ptCount val="32"/>
                <c:pt idx="1">
                  <c:v>0</c:v>
                </c:pt>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pt idx="10">
                  <c:v>1.0053082103042874</c:v>
                </c:pt>
                <c:pt idx="11">
                  <c:v>1.3025634030058668</c:v>
                </c:pt>
                <c:pt idx="12">
                  <c:v>1.6853978600233139</c:v>
                </c:pt>
                <c:pt idx="13">
                  <c:v>2.1769052253495365</c:v>
                </c:pt>
                <c:pt idx="14">
                  <c:v>2.8053982735175036</c:v>
                </c:pt>
                <c:pt idx="15">
                  <c:v>3.6049310682133533</c:v>
                </c:pt>
                <c:pt idx="16">
                  <c:v>4.6154193572990128</c:v>
                </c:pt>
                <c:pt idx="17">
                  <c:v>5.8820180433334794</c:v>
                </c:pt>
                <c:pt idx="18">
                  <c:v>7.4533032347368664</c:v>
                </c:pt>
                <c:pt idx="19">
                  <c:v>9.3777487441254639</c:v>
                </c:pt>
                <c:pt idx="20">
                  <c:v>11.698078570932097</c:v>
                </c:pt>
                <c:pt idx="21">
                  <c:v>14.443444720759517</c:v>
                </c:pt>
                <c:pt idx="22">
                  <c:v>17.620121247697206</c:v>
                </c:pt>
                <c:pt idx="23">
                  <c:v>21.202461713609075</c:v>
                </c:pt>
                <c:pt idx="24">
                  <c:v>25.12687573909826</c:v>
                </c:pt>
                <c:pt idx="25">
                  <c:v>29.291865338853871</c:v>
                </c:pt>
                <c:pt idx="26">
                  <c:v>33.566058411412435</c:v>
                </c:pt>
                <c:pt idx="27">
                  <c:v>37.803651140592251</c:v>
                </c:pt>
                <c:pt idx="28">
                  <c:v>41.863737053982668</c:v>
                </c:pt>
                <c:pt idx="29">
                  <c:v>45.628295868721665</c:v>
                </c:pt>
                <c:pt idx="30">
                  <c:v>49.01421436123956</c:v>
                </c:pt>
                <c:pt idx="31">
                  <c:v>51.977228543072854</c:v>
                </c:pt>
              </c:numCache>
            </c:numRef>
          </c:val>
          <c:smooth val="0"/>
          <c:extLst>
            <c:ext xmlns:c16="http://schemas.microsoft.com/office/drawing/2014/chart" uri="{C3380CC4-5D6E-409C-BE32-E72D297353CC}">
              <c16:uniqueId val="{00000003-47C0-43BE-BC95-63D0A469BD5C}"/>
            </c:ext>
          </c:extLst>
        </c:ser>
        <c:ser>
          <c:idx val="4"/>
          <c:order val="3"/>
          <c:tx>
            <c:strRef>
              <c:f>' All EV uptake'!$Z$3</c:f>
              <c:strCache>
                <c:ptCount val="1"/>
                <c:pt idx="0">
                  <c:v>USA</c:v>
                </c:pt>
              </c:strCache>
            </c:strRef>
          </c:tx>
          <c:spPr>
            <a:ln w="28575" cap="rnd">
              <a:solidFill>
                <a:schemeClr val="accent5"/>
              </a:solidFill>
              <a:round/>
            </a:ln>
            <a:effectLst/>
          </c:spPr>
          <c:marker>
            <c:symbol val="none"/>
          </c:marker>
          <c:cat>
            <c:numRef>
              <c:f>' All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uptake'!$Z$4:$Z$35</c:f>
              <c:numCache>
                <c:formatCode>0.00</c:formatCode>
                <c:ptCount val="32"/>
                <c:pt idx="1">
                  <c:v>0.27236607887944386</c:v>
                </c:pt>
                <c:pt idx="2">
                  <c:v>0.3452602736585953</c:v>
                </c:pt>
                <c:pt idx="3">
                  <c:v>0.43753150028238091</c:v>
                </c:pt>
                <c:pt idx="4">
                  <c:v>0.75238469235392802</c:v>
                </c:pt>
                <c:pt idx="5">
                  <c:v>0.95185857423565579</c:v>
                </c:pt>
                <c:pt idx="6">
                  <c:v>0.88800892679070453</c:v>
                </c:pt>
                <c:pt idx="7">
                  <c:v>1.1228114078567422</c:v>
                </c:pt>
                <c:pt idx="8">
                  <c:v>1.4183255938840109</c:v>
                </c:pt>
                <c:pt idx="9">
                  <c:v>2.6156431898055854</c:v>
                </c:pt>
                <c:pt idx="10">
                  <c:v>2.7228670318692854</c:v>
                </c:pt>
                <c:pt idx="11">
                  <c:v>2.8342866355497933</c:v>
                </c:pt>
                <c:pt idx="12">
                  <c:v>3.5551760195496298</c:v>
                </c:pt>
                <c:pt idx="13">
                  <c:v>4.4463065083250726</c:v>
                </c:pt>
                <c:pt idx="14">
                  <c:v>5.5406634902843503</c:v>
                </c:pt>
                <c:pt idx="15">
                  <c:v>6.8737959202792842</c:v>
                </c:pt>
                <c:pt idx="16">
                  <c:v>8.4819345291881394</c:v>
                </c:pt>
                <c:pt idx="17">
                  <c:v>10.39899200101924</c:v>
                </c:pt>
                <c:pt idx="18">
                  <c:v>12.652339034827211</c:v>
                </c:pt>
                <c:pt idx="19">
                  <c:v>15.25751951629652</c:v>
                </c:pt>
                <c:pt idx="20">
                  <c:v>18.212491769628407</c:v>
                </c:pt>
                <c:pt idx="21">
                  <c:v>21.492486800444834</c:v>
                </c:pt>
                <c:pt idx="22">
                  <c:v>25.046966098071962</c:v>
                </c:pt>
                <c:pt idx="23">
                  <c:v>28.800162611632498</c:v>
                </c:pt>
                <c:pt idx="24">
                  <c:v>32.656075477571825</c:v>
                </c:pt>
                <c:pt idx="25">
                  <c:v>36.507599321444729</c:v>
                </c:pt>
                <c:pt idx="26">
                  <c:v>40.248112240310185</c:v>
                </c:pt>
                <c:pt idx="27">
                  <c:v>43.782954090933238</c:v>
                </c:pt>
                <c:pt idx="28">
                  <c:v>47.038267718087994</c:v>
                </c:pt>
                <c:pt idx="29">
                  <c:v>49.965627955048241</c:v>
                </c:pt>
                <c:pt idx="30">
                  <c:v>52.542249014773667</c:v>
                </c:pt>
                <c:pt idx="31">
                  <c:v>54.767714504466355</c:v>
                </c:pt>
              </c:numCache>
            </c:numRef>
          </c:val>
          <c:smooth val="0"/>
          <c:extLst>
            <c:ext xmlns:c16="http://schemas.microsoft.com/office/drawing/2014/chart" uri="{C3380CC4-5D6E-409C-BE32-E72D297353CC}">
              <c16:uniqueId val="{00000004-47C0-43BE-BC95-63D0A469BD5C}"/>
            </c:ext>
          </c:extLst>
        </c:ser>
        <c:ser>
          <c:idx val="5"/>
          <c:order val="4"/>
          <c:tx>
            <c:strRef>
              <c:f>' All EV uptake'!$L$3</c:f>
              <c:strCache>
                <c:ptCount val="1"/>
                <c:pt idx="0">
                  <c:v>France</c:v>
                </c:pt>
              </c:strCache>
            </c:strRef>
          </c:tx>
          <c:spPr>
            <a:ln w="28575" cap="rnd">
              <a:solidFill>
                <a:schemeClr val="accent6"/>
              </a:solidFill>
              <a:round/>
            </a:ln>
            <a:effectLst/>
          </c:spPr>
          <c:marker>
            <c:symbol val="none"/>
          </c:marker>
          <c:val>
            <c:numRef>
              <c:f>' All EV uptake'!$L$4:$L$35</c:f>
              <c:numCache>
                <c:formatCode>0.00</c:formatCode>
                <c:ptCount val="32"/>
                <c:pt idx="1">
                  <c:v>0</c:v>
                </c:pt>
                <c:pt idx="2">
                  <c:v>0</c:v>
                </c:pt>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pt idx="12">
                  <c:v>3.6038168475970256</c:v>
                </c:pt>
                <c:pt idx="13">
                  <c:v>4.3056438023428854</c:v>
                </c:pt>
                <c:pt idx="14">
                  <c:v>5.1327221164140759</c:v>
                </c:pt>
                <c:pt idx="15">
                  <c:v>6.1027007251192567</c:v>
                </c:pt>
                <c:pt idx="16">
                  <c:v>7.2338362019303668</c:v>
                </c:pt>
                <c:pt idx="17">
                  <c:v>8.5442128980735639</c:v>
                </c:pt>
                <c:pt idx="18">
                  <c:v>10.050658916349153</c:v>
                </c:pt>
                <c:pt idx="19">
                  <c:v>11.767348060463275</c:v>
                </c:pt>
                <c:pt idx="20">
                  <c:v>13.704126976386682</c:v>
                </c:pt>
                <c:pt idx="21">
                  <c:v>15.864676460614854</c:v>
                </c:pt>
                <c:pt idx="22">
                  <c:v>18.2446991592826</c:v>
                </c:pt>
                <c:pt idx="23">
                  <c:v>20.830405173776125</c:v>
                </c:pt>
                <c:pt idx="24">
                  <c:v>23.597615056751863</c:v>
                </c:pt>
                <c:pt idx="25">
                  <c:v>26.511785194965093</c:v>
                </c:pt>
                <c:pt idx="26">
                  <c:v>29.529161341843466</c:v>
                </c:pt>
                <c:pt idx="27">
                  <c:v>32.599083937523453</c:v>
                </c:pt>
                <c:pt idx="28">
                  <c:v>35.667239375327917</c:v>
                </c:pt>
                <c:pt idx="29">
                  <c:v>38.679438450277175</c:v>
                </c:pt>
                <c:pt idx="30">
                  <c:v>41.585376567024952</c:v>
                </c:pt>
                <c:pt idx="31">
                  <c:v>44.34183475482628</c:v>
                </c:pt>
              </c:numCache>
            </c:numRef>
          </c:val>
          <c:smooth val="0"/>
          <c:extLst>
            <c:ext xmlns:c16="http://schemas.microsoft.com/office/drawing/2014/chart" uri="{C3380CC4-5D6E-409C-BE32-E72D297353CC}">
              <c16:uniqueId val="{00000000-112A-4997-AA5B-C9DEC1318CC6}"/>
            </c:ext>
          </c:extLst>
        </c:ser>
        <c:dLbls>
          <c:showLegendKey val="0"/>
          <c:showVal val="0"/>
          <c:showCatName val="0"/>
          <c:showSerName val="0"/>
          <c:showPercent val="0"/>
          <c:showBubbleSize val="0"/>
        </c:dLbls>
        <c:smooth val="0"/>
        <c:axId val="636189216"/>
        <c:axId val="636183968"/>
      </c:lineChart>
      <c:catAx>
        <c:axId val="63618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183968"/>
        <c:crosses val="autoZero"/>
        <c:auto val="1"/>
        <c:lblAlgn val="ctr"/>
        <c:lblOffset val="100"/>
        <c:noMultiLvlLbl val="0"/>
      </c:catAx>
      <c:valAx>
        <c:axId val="636183968"/>
        <c:scaling>
          <c:orientation val="minMax"/>
          <c:max val="7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baseline="0">
                    <a:effectLst/>
                  </a:rPr>
                  <a:t>EV% of new vehicle sales</a:t>
                </a:r>
                <a:r>
                  <a:rPr lang="en-AU" sz="1000" b="0" i="0" u="none" strike="noStrike" baseline="0"/>
                  <a:t> </a:t>
                </a:r>
                <a:endParaRPr lang="en-AU"/>
              </a:p>
            </c:rich>
          </c:tx>
          <c:layout>
            <c:manualLayout>
              <c:xMode val="edge"/>
              <c:yMode val="edge"/>
              <c:x val="8.9686073320554126E-3"/>
              <c:y val="0.297828451443569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189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80927384076992E-2"/>
          <c:y val="5.0925925925925923E-2"/>
          <c:w val="0.87753018372703417"/>
          <c:h val="0.63127377596318968"/>
        </c:manualLayout>
      </c:layout>
      <c:lineChart>
        <c:grouping val="standard"/>
        <c:varyColors val="0"/>
        <c:ser>
          <c:idx val="0"/>
          <c:order val="0"/>
          <c:tx>
            <c:v> year 2%</c:v>
          </c:tx>
          <c:spPr>
            <a:ln w="34925" cap="rnd">
              <a:solidFill>
                <a:schemeClr val="tx1"/>
              </a:solidFill>
              <a:round/>
            </a:ln>
            <a:effectLst/>
          </c:spPr>
          <c:marker>
            <c:symbol val="none"/>
          </c:marker>
          <c:cat>
            <c:strRef>
              <c:f>' All EV uptake'!$C$74:$C$97</c:f>
              <c:strCache>
                <c:ptCount val="24"/>
                <c:pt idx="0">
                  <c:v>Norway with subs</c:v>
                </c:pt>
                <c:pt idx="1">
                  <c:v>Belgium</c:v>
                </c:pt>
                <c:pt idx="2">
                  <c:v>Finland</c:v>
                </c:pt>
                <c:pt idx="3">
                  <c:v>Germany</c:v>
                </c:pt>
                <c:pt idx="4">
                  <c:v>Korea</c:v>
                </c:pt>
                <c:pt idx="5">
                  <c:v>Neth with subs</c:v>
                </c:pt>
                <c:pt idx="6">
                  <c:v>Neth no subs</c:v>
                </c:pt>
                <c:pt idx="7">
                  <c:v>Australia</c:v>
                </c:pt>
                <c:pt idx="8">
                  <c:v>Austria</c:v>
                </c:pt>
                <c:pt idx="9">
                  <c:v>Canada</c:v>
                </c:pt>
                <c:pt idx="10">
                  <c:v>China</c:v>
                </c:pt>
                <c:pt idx="11">
                  <c:v>Dmk with subs</c:v>
                </c:pt>
                <c:pt idx="12">
                  <c:v>Dmk no subs</c:v>
                </c:pt>
                <c:pt idx="13">
                  <c:v>Ireland</c:v>
                </c:pt>
                <c:pt idx="14">
                  <c:v>New Zealand</c:v>
                </c:pt>
                <c:pt idx="15">
                  <c:v>Sweden</c:v>
                </c:pt>
                <c:pt idx="16">
                  <c:v>Switzerland</c:v>
                </c:pt>
                <c:pt idx="17">
                  <c:v>UK</c:v>
                </c:pt>
                <c:pt idx="18">
                  <c:v>France</c:v>
                </c:pt>
                <c:pt idx="19">
                  <c:v>India</c:v>
                </c:pt>
                <c:pt idx="20">
                  <c:v>Italy</c:v>
                </c:pt>
                <c:pt idx="21">
                  <c:v>Japan</c:v>
                </c:pt>
                <c:pt idx="22">
                  <c:v>Spain</c:v>
                </c:pt>
                <c:pt idx="23">
                  <c:v>USA</c:v>
                </c:pt>
              </c:strCache>
            </c:strRef>
          </c:cat>
          <c:val>
            <c:numRef>
              <c:f>' All EV uptake'!$D$74:$D$97</c:f>
              <c:numCache>
                <c:formatCode>0.0</c:formatCode>
                <c:ptCount val="24"/>
                <c:pt idx="0">
                  <c:v>2011.1084011511434</c:v>
                </c:pt>
                <c:pt idx="1">
                  <c:v>2016.2086860429163</c:v>
                </c:pt>
                <c:pt idx="2">
                  <c:v>2016.5819020208137</c:v>
                </c:pt>
                <c:pt idx="3">
                  <c:v>2017.4694448564735</c:v>
                </c:pt>
                <c:pt idx="4">
                  <c:v>2018.1619318725568</c:v>
                </c:pt>
                <c:pt idx="5">
                  <c:v>2013.1099537407679</c:v>
                </c:pt>
                <c:pt idx="6">
                  <c:v>2016.8900462592321</c:v>
                </c:pt>
                <c:pt idx="7">
                  <c:v>2021.6707626641812</c:v>
                </c:pt>
                <c:pt idx="8">
                  <c:v>2016.9574758290712</c:v>
                </c:pt>
                <c:pt idx="9">
                  <c:v>2016.8670958973294</c:v>
                </c:pt>
                <c:pt idx="10">
                  <c:v>2016.8206240858601</c:v>
                </c:pt>
                <c:pt idx="11">
                  <c:v>2015.6962336906015</c:v>
                </c:pt>
                <c:pt idx="12">
                  <c:v>2020.3330475950395</c:v>
                </c:pt>
                <c:pt idx="13">
                  <c:v>2019.2343404313958</c:v>
                </c:pt>
                <c:pt idx="14">
                  <c:v>2020.9080263450765</c:v>
                </c:pt>
                <c:pt idx="15">
                  <c:v>2014.5322870015141</c:v>
                </c:pt>
                <c:pt idx="16">
                  <c:v>2016.0623384192609</c:v>
                </c:pt>
                <c:pt idx="17">
                  <c:v>2017.3629305135437</c:v>
                </c:pt>
                <c:pt idx="18">
                  <c:v>2017.7386567954632</c:v>
                </c:pt>
                <c:pt idx="19">
                  <c:v>2027.3040095358092</c:v>
                </c:pt>
                <c:pt idx="20">
                  <c:v>2020.7573164804394</c:v>
                </c:pt>
                <c:pt idx="21">
                  <c:v>2019.7106232622343</c:v>
                </c:pt>
                <c:pt idx="22">
                  <c:v>2021.640076145691</c:v>
                </c:pt>
                <c:pt idx="23">
                  <c:v>2017.485814631053</c:v>
                </c:pt>
              </c:numCache>
            </c:numRef>
          </c:val>
          <c:smooth val="0"/>
          <c:extLst>
            <c:ext xmlns:c16="http://schemas.microsoft.com/office/drawing/2014/chart" uri="{C3380CC4-5D6E-409C-BE32-E72D297353CC}">
              <c16:uniqueId val="{00000000-5B99-4F98-8B46-3A3923DDA21E}"/>
            </c:ext>
          </c:extLst>
        </c:ser>
        <c:ser>
          <c:idx val="2"/>
          <c:order val="1"/>
          <c:tx>
            <c:strRef>
              <c:f>' All EV uptake'!$E$72</c:f>
              <c:strCache>
                <c:ptCount val="1"/>
                <c:pt idx="0">
                  <c:v>predicted</c:v>
                </c:pt>
              </c:strCache>
            </c:strRef>
          </c:tx>
          <c:spPr>
            <a:ln w="28575" cap="rnd">
              <a:solidFill>
                <a:schemeClr val="accent3"/>
              </a:solidFill>
              <a:round/>
            </a:ln>
            <a:effectLst/>
          </c:spPr>
          <c:marker>
            <c:symbol val="none"/>
          </c:marker>
          <c:cat>
            <c:strRef>
              <c:f>' All EV uptake'!$C$74:$C$97</c:f>
              <c:strCache>
                <c:ptCount val="24"/>
                <c:pt idx="0">
                  <c:v>Norway with subs</c:v>
                </c:pt>
                <c:pt idx="1">
                  <c:v>Belgium</c:v>
                </c:pt>
                <c:pt idx="2">
                  <c:v>Finland</c:v>
                </c:pt>
                <c:pt idx="3">
                  <c:v>Germany</c:v>
                </c:pt>
                <c:pt idx="4">
                  <c:v>Korea</c:v>
                </c:pt>
                <c:pt idx="5">
                  <c:v>Neth with subs</c:v>
                </c:pt>
                <c:pt idx="6">
                  <c:v>Neth no subs</c:v>
                </c:pt>
                <c:pt idx="7">
                  <c:v>Australia</c:v>
                </c:pt>
                <c:pt idx="8">
                  <c:v>Austria</c:v>
                </c:pt>
                <c:pt idx="9">
                  <c:v>Canada</c:v>
                </c:pt>
                <c:pt idx="10">
                  <c:v>China</c:v>
                </c:pt>
                <c:pt idx="11">
                  <c:v>Dmk with subs</c:v>
                </c:pt>
                <c:pt idx="12">
                  <c:v>Dmk no subs</c:v>
                </c:pt>
                <c:pt idx="13">
                  <c:v>Ireland</c:v>
                </c:pt>
                <c:pt idx="14">
                  <c:v>New Zealand</c:v>
                </c:pt>
                <c:pt idx="15">
                  <c:v>Sweden</c:v>
                </c:pt>
                <c:pt idx="16">
                  <c:v>Switzerland</c:v>
                </c:pt>
                <c:pt idx="17">
                  <c:v>UK</c:v>
                </c:pt>
                <c:pt idx="18">
                  <c:v>France</c:v>
                </c:pt>
                <c:pt idx="19">
                  <c:v>India</c:v>
                </c:pt>
                <c:pt idx="20">
                  <c:v>Italy</c:v>
                </c:pt>
                <c:pt idx="21">
                  <c:v>Japan</c:v>
                </c:pt>
                <c:pt idx="22">
                  <c:v>Spain</c:v>
                </c:pt>
                <c:pt idx="23">
                  <c:v>USA</c:v>
                </c:pt>
              </c:strCache>
            </c:strRef>
          </c:cat>
          <c:val>
            <c:numRef>
              <c:f>' All EV uptake'!$E$74:$E$97</c:f>
              <c:numCache>
                <c:formatCode>0.0</c:formatCode>
                <c:ptCount val="24"/>
                <c:pt idx="0">
                  <c:v>2010.807342149152</c:v>
                </c:pt>
                <c:pt idx="1">
                  <c:v>2016.7539438926117</c:v>
                </c:pt>
                <c:pt idx="2">
                  <c:v>2016.8559499419252</c:v>
                </c:pt>
                <c:pt idx="3">
                  <c:v>2016.9419121989265</c:v>
                </c:pt>
                <c:pt idx="4">
                  <c:v>2018.5503778605353</c:v>
                </c:pt>
                <c:pt idx="5">
                  <c:v>2013.2999640268331</c:v>
                </c:pt>
                <c:pt idx="6">
                  <c:v>2016.4571105230541</c:v>
                </c:pt>
                <c:pt idx="7">
                  <c:v>2021.7688629854749</c:v>
                </c:pt>
                <c:pt idx="8">
                  <c:v>2017.049752732456</c:v>
                </c:pt>
                <c:pt idx="9">
                  <c:v>2017.6180844157946</c:v>
                </c:pt>
                <c:pt idx="10">
                  <c:v>2016.9164503902307</c:v>
                </c:pt>
                <c:pt idx="11">
                  <c:v>2016.0923970003205</c:v>
                </c:pt>
                <c:pt idx="12">
                  <c:v>2020.0146708121101</c:v>
                </c:pt>
                <c:pt idx="13">
                  <c:v>2019.3325959403301</c:v>
                </c:pt>
                <c:pt idx="14">
                  <c:v>2021.0024974018199</c:v>
                </c:pt>
                <c:pt idx="15">
                  <c:v>2015.1574972587619</c:v>
                </c:pt>
                <c:pt idx="16">
                  <c:v>2016.1561619791923</c:v>
                </c:pt>
                <c:pt idx="17">
                  <c:v>2017.4513768817899</c:v>
                </c:pt>
                <c:pt idx="18">
                  <c:v>2016.982255222978</c:v>
                </c:pt>
                <c:pt idx="19">
                  <c:v>2027.4023052258367</c:v>
                </c:pt>
                <c:pt idx="20">
                  <c:v>2020.8823914766338</c:v>
                </c:pt>
                <c:pt idx="21">
                  <c:v>2020.4329483138711</c:v>
                </c:pt>
                <c:pt idx="22">
                  <c:v>2021.739415158265</c:v>
                </c:pt>
                <c:pt idx="23">
                  <c:v>2017.5778599031757</c:v>
                </c:pt>
              </c:numCache>
            </c:numRef>
          </c:val>
          <c:smooth val="0"/>
          <c:extLst>
            <c:ext xmlns:c16="http://schemas.microsoft.com/office/drawing/2014/chart" uri="{C3380CC4-5D6E-409C-BE32-E72D297353CC}">
              <c16:uniqueId val="{00000002-5B99-4F98-8B46-3A3923DDA21E}"/>
            </c:ext>
          </c:extLst>
        </c:ser>
        <c:dLbls>
          <c:showLegendKey val="0"/>
          <c:showVal val="0"/>
          <c:showCatName val="0"/>
          <c:showSerName val="0"/>
          <c:showPercent val="0"/>
          <c:showBubbleSize val="0"/>
        </c:dLbls>
        <c:smooth val="0"/>
        <c:axId val="875697656"/>
        <c:axId val="875702248"/>
      </c:lineChart>
      <c:catAx>
        <c:axId val="87569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702248"/>
        <c:crosses val="autoZero"/>
        <c:auto val="1"/>
        <c:lblAlgn val="ctr"/>
        <c:lblOffset val="100"/>
        <c:noMultiLvlLbl val="0"/>
      </c:catAx>
      <c:valAx>
        <c:axId val="875702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697656"/>
        <c:crosses val="autoZero"/>
        <c:crossBetween val="between"/>
      </c:valAx>
      <c:spPr>
        <a:noFill/>
        <a:ln>
          <a:noFill/>
        </a:ln>
        <a:effectLst/>
      </c:spPr>
    </c:plotArea>
    <c:legend>
      <c:legendPos val="b"/>
      <c:layout>
        <c:manualLayout>
          <c:xMode val="edge"/>
          <c:yMode val="edge"/>
          <c:x val="0.3372264843077592"/>
          <c:y val="0.47280029811088431"/>
          <c:w val="0.20761516467243993"/>
          <c:h val="0.198495836168627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5044090711682E-2"/>
          <c:y val="4.5454545454545456E-2"/>
          <c:w val="0.84679072490039464"/>
          <c:h val="0.63248519554890359"/>
        </c:manualLayout>
      </c:layout>
      <c:lineChart>
        <c:grouping val="standard"/>
        <c:varyColors val="0"/>
        <c:ser>
          <c:idx val="0"/>
          <c:order val="0"/>
          <c:tx>
            <c:strRef>
              <c:f>' All EV uptake'!$D$72</c:f>
              <c:strCache>
                <c:ptCount val="1"/>
                <c:pt idx="0">
                  <c:v>year 2% (LHS)</c:v>
                </c:pt>
              </c:strCache>
            </c:strRef>
          </c:tx>
          <c:spPr>
            <a:ln w="28575" cap="rnd">
              <a:solidFill>
                <a:schemeClr val="accent1"/>
              </a:solidFill>
              <a:round/>
            </a:ln>
            <a:effectLst/>
          </c:spPr>
          <c:marker>
            <c:symbol val="none"/>
          </c:marker>
          <c:cat>
            <c:strRef>
              <c:f>' All EV uptake'!$C$74:$C$97</c:f>
              <c:strCache>
                <c:ptCount val="24"/>
                <c:pt idx="0">
                  <c:v>Norway with subs</c:v>
                </c:pt>
                <c:pt idx="1">
                  <c:v>Belgium</c:v>
                </c:pt>
                <c:pt idx="2">
                  <c:v>Finland</c:v>
                </c:pt>
                <c:pt idx="3">
                  <c:v>Germany</c:v>
                </c:pt>
                <c:pt idx="4">
                  <c:v>Korea</c:v>
                </c:pt>
                <c:pt idx="5">
                  <c:v>Neth with subs</c:v>
                </c:pt>
                <c:pt idx="6">
                  <c:v>Neth no subs</c:v>
                </c:pt>
                <c:pt idx="7">
                  <c:v>Australia</c:v>
                </c:pt>
                <c:pt idx="8">
                  <c:v>Austria</c:v>
                </c:pt>
                <c:pt idx="9">
                  <c:v>Canada</c:v>
                </c:pt>
                <c:pt idx="10">
                  <c:v>China</c:v>
                </c:pt>
                <c:pt idx="11">
                  <c:v>Dmk with subs</c:v>
                </c:pt>
                <c:pt idx="12">
                  <c:v>Dmk no subs</c:v>
                </c:pt>
                <c:pt idx="13">
                  <c:v>Ireland</c:v>
                </c:pt>
                <c:pt idx="14">
                  <c:v>New Zealand</c:v>
                </c:pt>
                <c:pt idx="15">
                  <c:v>Sweden</c:v>
                </c:pt>
                <c:pt idx="16">
                  <c:v>Switzerland</c:v>
                </c:pt>
                <c:pt idx="17">
                  <c:v>UK</c:v>
                </c:pt>
                <c:pt idx="18">
                  <c:v>France</c:v>
                </c:pt>
                <c:pt idx="19">
                  <c:v>India</c:v>
                </c:pt>
                <c:pt idx="20">
                  <c:v>Italy</c:v>
                </c:pt>
                <c:pt idx="21">
                  <c:v>Japan</c:v>
                </c:pt>
                <c:pt idx="22">
                  <c:v>Spain</c:v>
                </c:pt>
                <c:pt idx="23">
                  <c:v>USA</c:v>
                </c:pt>
              </c:strCache>
            </c:strRef>
          </c:cat>
          <c:val>
            <c:numRef>
              <c:f>' All EV uptake'!$D$74:$D$97</c:f>
              <c:numCache>
                <c:formatCode>0.0</c:formatCode>
                <c:ptCount val="24"/>
                <c:pt idx="0">
                  <c:v>2011.1084011511434</c:v>
                </c:pt>
                <c:pt idx="1">
                  <c:v>2016.2086860429163</c:v>
                </c:pt>
                <c:pt idx="2">
                  <c:v>2016.5819020208137</c:v>
                </c:pt>
                <c:pt idx="3">
                  <c:v>2017.4694448564735</c:v>
                </c:pt>
                <c:pt idx="4">
                  <c:v>2018.1619318725568</c:v>
                </c:pt>
                <c:pt idx="5">
                  <c:v>2013.1099537407679</c:v>
                </c:pt>
                <c:pt idx="6">
                  <c:v>2016.8900462592321</c:v>
                </c:pt>
                <c:pt idx="7">
                  <c:v>2021.6707626641812</c:v>
                </c:pt>
                <c:pt idx="8">
                  <c:v>2016.9574758290712</c:v>
                </c:pt>
                <c:pt idx="9">
                  <c:v>2016.8670958973294</c:v>
                </c:pt>
                <c:pt idx="10">
                  <c:v>2016.8206240858601</c:v>
                </c:pt>
                <c:pt idx="11">
                  <c:v>2015.6962336906015</c:v>
                </c:pt>
                <c:pt idx="12">
                  <c:v>2020.3330475950395</c:v>
                </c:pt>
                <c:pt idx="13">
                  <c:v>2019.2343404313958</c:v>
                </c:pt>
                <c:pt idx="14">
                  <c:v>2020.9080263450765</c:v>
                </c:pt>
                <c:pt idx="15">
                  <c:v>2014.5322870015141</c:v>
                </c:pt>
                <c:pt idx="16">
                  <c:v>2016.0623384192609</c:v>
                </c:pt>
                <c:pt idx="17">
                  <c:v>2017.3629305135437</c:v>
                </c:pt>
                <c:pt idx="18">
                  <c:v>2017.7386567954632</c:v>
                </c:pt>
                <c:pt idx="19">
                  <c:v>2027.3040095358092</c:v>
                </c:pt>
                <c:pt idx="20">
                  <c:v>2020.7573164804394</c:v>
                </c:pt>
                <c:pt idx="21">
                  <c:v>2019.7106232622343</c:v>
                </c:pt>
                <c:pt idx="22">
                  <c:v>2021.640076145691</c:v>
                </c:pt>
                <c:pt idx="23">
                  <c:v>2017.485814631053</c:v>
                </c:pt>
              </c:numCache>
            </c:numRef>
          </c:val>
          <c:smooth val="0"/>
          <c:extLst>
            <c:ext xmlns:c16="http://schemas.microsoft.com/office/drawing/2014/chart" uri="{C3380CC4-5D6E-409C-BE32-E72D297353CC}">
              <c16:uniqueId val="{00000000-291A-48A0-B188-340746CC5094}"/>
            </c:ext>
          </c:extLst>
        </c:ser>
        <c:dLbls>
          <c:showLegendKey val="0"/>
          <c:showVal val="0"/>
          <c:showCatName val="0"/>
          <c:showSerName val="0"/>
          <c:showPercent val="0"/>
          <c:showBubbleSize val="0"/>
        </c:dLbls>
        <c:marker val="1"/>
        <c:smooth val="0"/>
        <c:axId val="660207960"/>
        <c:axId val="660207304"/>
      </c:lineChart>
      <c:lineChart>
        <c:grouping val="standard"/>
        <c:varyColors val="0"/>
        <c:ser>
          <c:idx val="1"/>
          <c:order val="1"/>
          <c:tx>
            <c:strRef>
              <c:f>' All EV uptake'!$G$72</c:f>
              <c:strCache>
                <c:ptCount val="1"/>
                <c:pt idx="0">
                  <c:v>EV/FFV cost ratio (RHS)</c:v>
                </c:pt>
              </c:strCache>
            </c:strRef>
          </c:tx>
          <c:spPr>
            <a:ln w="28575" cap="rnd">
              <a:solidFill>
                <a:schemeClr val="accent2"/>
              </a:solidFill>
              <a:round/>
            </a:ln>
            <a:effectLst/>
          </c:spPr>
          <c:marker>
            <c:symbol val="none"/>
          </c:marker>
          <c:cat>
            <c:strRef>
              <c:f>' All EV uptake'!$C$74:$C$97</c:f>
              <c:strCache>
                <c:ptCount val="24"/>
                <c:pt idx="0">
                  <c:v>Norway with subs</c:v>
                </c:pt>
                <c:pt idx="1">
                  <c:v>Belgium</c:v>
                </c:pt>
                <c:pt idx="2">
                  <c:v>Finland</c:v>
                </c:pt>
                <c:pt idx="3">
                  <c:v>Germany</c:v>
                </c:pt>
                <c:pt idx="4">
                  <c:v>Korea</c:v>
                </c:pt>
                <c:pt idx="5">
                  <c:v>Neth with subs</c:v>
                </c:pt>
                <c:pt idx="6">
                  <c:v>Neth no subs</c:v>
                </c:pt>
                <c:pt idx="7">
                  <c:v>Australia</c:v>
                </c:pt>
                <c:pt idx="8">
                  <c:v>Austria</c:v>
                </c:pt>
                <c:pt idx="9">
                  <c:v>Canada</c:v>
                </c:pt>
                <c:pt idx="10">
                  <c:v>China</c:v>
                </c:pt>
                <c:pt idx="11">
                  <c:v>Dmk with subs</c:v>
                </c:pt>
                <c:pt idx="12">
                  <c:v>Dmk no subs</c:v>
                </c:pt>
                <c:pt idx="13">
                  <c:v>Ireland</c:v>
                </c:pt>
                <c:pt idx="14">
                  <c:v>New Zealand</c:v>
                </c:pt>
                <c:pt idx="15">
                  <c:v>Sweden</c:v>
                </c:pt>
                <c:pt idx="16">
                  <c:v>Switzerland</c:v>
                </c:pt>
                <c:pt idx="17">
                  <c:v>UK</c:v>
                </c:pt>
                <c:pt idx="18">
                  <c:v>France</c:v>
                </c:pt>
                <c:pt idx="19">
                  <c:v>India</c:v>
                </c:pt>
                <c:pt idx="20">
                  <c:v>Italy</c:v>
                </c:pt>
                <c:pt idx="21">
                  <c:v>Japan</c:v>
                </c:pt>
                <c:pt idx="22">
                  <c:v>Spain</c:v>
                </c:pt>
                <c:pt idx="23">
                  <c:v>USA</c:v>
                </c:pt>
              </c:strCache>
            </c:strRef>
          </c:cat>
          <c:val>
            <c:numRef>
              <c:f>' All EV uptake'!$G$74:$G$97</c:f>
              <c:numCache>
                <c:formatCode>0.00</c:formatCode>
                <c:ptCount val="24"/>
                <c:pt idx="0">
                  <c:v>0.43691947701006872</c:v>
                </c:pt>
                <c:pt idx="1">
                  <c:v>0.98835258337888732</c:v>
                </c:pt>
                <c:pt idx="2">
                  <c:v>0.99781168541193943</c:v>
                </c:pt>
                <c:pt idx="3">
                  <c:v>1.0057830338313676</c:v>
                </c:pt>
                <c:pt idx="4">
                  <c:v>0.8512717235003322</c:v>
                </c:pt>
                <c:pt idx="5">
                  <c:v>0.78438629194910292</c:v>
                </c:pt>
                <c:pt idx="6">
                  <c:v>1.0771509960235544</c:v>
                </c:pt>
                <c:pt idx="7">
                  <c:v>1.2475785927097467</c:v>
                </c:pt>
                <c:pt idx="8">
                  <c:v>1.0961413486395826</c:v>
                </c:pt>
                <c:pt idx="9">
                  <c:v>1.0684850209617511</c:v>
                </c:pt>
                <c:pt idx="10">
                  <c:v>0.84725733135714365</c:v>
                </c:pt>
                <c:pt idx="11">
                  <c:v>0.62419558837453848</c:v>
                </c:pt>
                <c:pt idx="12">
                  <c:v>0.98791115658843531</c:v>
                </c:pt>
                <c:pt idx="13">
                  <c:v>0.89751377068696248</c:v>
                </c:pt>
                <c:pt idx="14">
                  <c:v>1.2060917913671696</c:v>
                </c:pt>
                <c:pt idx="15">
                  <c:v>0.84031281807526137</c:v>
                </c:pt>
                <c:pt idx="16">
                  <c:v>1.1280414250830448</c:v>
                </c:pt>
                <c:pt idx="17">
                  <c:v>0.80008574218203099</c:v>
                </c:pt>
                <c:pt idx="18">
                  <c:v>1.0095240745186009</c:v>
                </c:pt>
                <c:pt idx="19">
                  <c:v>1.1975968944703292</c:v>
                </c:pt>
                <c:pt idx="20">
                  <c:v>1.1809597296644165</c:v>
                </c:pt>
                <c:pt idx="21">
                  <c:v>0.94978724397440906</c:v>
                </c:pt>
                <c:pt idx="22">
                  <c:v>1.0410846881713862</c:v>
                </c:pt>
                <c:pt idx="23">
                  <c:v>0.86643268249025507</c:v>
                </c:pt>
              </c:numCache>
            </c:numRef>
          </c:val>
          <c:smooth val="0"/>
          <c:extLst>
            <c:ext xmlns:c16="http://schemas.microsoft.com/office/drawing/2014/chart" uri="{C3380CC4-5D6E-409C-BE32-E72D297353CC}">
              <c16:uniqueId val="{00000001-291A-48A0-B188-340746CC5094}"/>
            </c:ext>
          </c:extLst>
        </c:ser>
        <c:dLbls>
          <c:showLegendKey val="0"/>
          <c:showVal val="0"/>
          <c:showCatName val="0"/>
          <c:showSerName val="0"/>
          <c:showPercent val="0"/>
          <c:showBubbleSize val="0"/>
        </c:dLbls>
        <c:marker val="1"/>
        <c:smooth val="0"/>
        <c:axId val="662677848"/>
        <c:axId val="662687688"/>
      </c:lineChart>
      <c:catAx>
        <c:axId val="66020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207304"/>
        <c:crosses val="autoZero"/>
        <c:auto val="1"/>
        <c:lblAlgn val="ctr"/>
        <c:lblOffset val="100"/>
        <c:noMultiLvlLbl val="0"/>
      </c:catAx>
      <c:valAx>
        <c:axId val="660207304"/>
        <c:scaling>
          <c:orientation val="minMax"/>
          <c:max val="2027"/>
          <c:min val="20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207960"/>
        <c:crosses val="autoZero"/>
        <c:crossBetween val="between"/>
      </c:valAx>
      <c:valAx>
        <c:axId val="662687688"/>
        <c:scaling>
          <c:orientation val="minMax"/>
          <c:max val="1.8"/>
          <c:min val="0"/>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677848"/>
        <c:crosses val="max"/>
        <c:crossBetween val="between"/>
      </c:valAx>
      <c:catAx>
        <c:axId val="662677848"/>
        <c:scaling>
          <c:orientation val="minMax"/>
        </c:scaling>
        <c:delete val="1"/>
        <c:axPos val="b"/>
        <c:numFmt formatCode="General" sourceLinked="1"/>
        <c:majorTickMark val="out"/>
        <c:minorTickMark val="none"/>
        <c:tickLblPos val="nextTo"/>
        <c:crossAx val="662687688"/>
        <c:crosses val="autoZero"/>
        <c:auto val="1"/>
        <c:lblAlgn val="ctr"/>
        <c:lblOffset val="100"/>
        <c:noMultiLvlLbl val="0"/>
      </c:catAx>
      <c:spPr>
        <a:noFill/>
        <a:ln>
          <a:noFill/>
        </a:ln>
        <a:effectLst/>
      </c:spPr>
    </c:plotArea>
    <c:legend>
      <c:legendPos val="b"/>
      <c:layout>
        <c:manualLayout>
          <c:xMode val="edge"/>
          <c:yMode val="edge"/>
          <c:x val="0.23260586209708797"/>
          <c:y val="7.8306933423205327E-2"/>
          <c:w val="0.34275539764268498"/>
          <c:h val="0.12791874751064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 All EV uptake'!$AE$3</c:f>
              <c:strCache>
                <c:ptCount val="1"/>
                <c:pt idx="0">
                  <c:v>Norway </c:v>
                </c:pt>
              </c:strCache>
            </c:strRef>
          </c:tx>
          <c:spPr>
            <a:ln w="28575" cap="rnd">
              <a:solidFill>
                <a:schemeClr val="accent2"/>
              </a:solidFill>
              <a:prstDash val="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uptake'!$AE$5:$AE$35</c:f>
              <c:numCache>
                <c:formatCode>General</c:formatCode>
                <c:ptCount val="31"/>
                <c:pt idx="2" formatCode="0.00">
                  <c:v>3.4450702320769127</c:v>
                </c:pt>
                <c:pt idx="3" formatCode="0.00">
                  <c:v>6.3607835641863382</c:v>
                </c:pt>
                <c:pt idx="4" formatCode="0.00">
                  <c:v>13.102487636563037</c:v>
                </c:pt>
                <c:pt idx="5" formatCode="0.00">
                  <c:v>18.817882170348014</c:v>
                </c:pt>
                <c:pt idx="6" formatCode="0.00">
                  <c:v>28.681875004731538</c:v>
                </c:pt>
                <c:pt idx="7" formatCode="0.00">
                  <c:v>39.314736357294422</c:v>
                </c:pt>
                <c:pt idx="8" formatCode="0.00">
                  <c:v>48.613157762113936</c:v>
                </c:pt>
                <c:pt idx="9" formatCode="0.00">
                  <c:v>55.369953598215368</c:v>
                </c:pt>
                <c:pt idx="10" formatCode="0.00">
                  <c:v>59.647470933153592</c:v>
                </c:pt>
                <c:pt idx="11" formatCode="0.00">
                  <c:v>48.077248062780114</c:v>
                </c:pt>
                <c:pt idx="12" formatCode="0.00">
                  <c:v>56.264107302094025</c:v>
                </c:pt>
                <c:pt idx="13" formatCode="0.00">
                  <c:v>56.516079957945678</c:v>
                </c:pt>
                <c:pt idx="14" formatCode="0.00">
                  <c:v>59.986107797620143</c:v>
                </c:pt>
                <c:pt idx="15" formatCode="0.00">
                  <c:v>62.244089960793424</c:v>
                </c:pt>
                <c:pt idx="16" formatCode="0.00">
                  <c:v>63.589614491396411</c:v>
                </c:pt>
                <c:pt idx="17" formatCode="0.00">
                  <c:v>64.351240619450323</c:v>
                </c:pt>
                <c:pt idx="18" formatCode="0.00">
                  <c:v>64.767510585903281</c:v>
                </c:pt>
                <c:pt idx="19" formatCode="0.00">
                  <c:v>64.879732649035418</c:v>
                </c:pt>
                <c:pt idx="20" formatCode="0.00">
                  <c:v>64.937863612935615</c:v>
                </c:pt>
                <c:pt idx="21" formatCode="0.00">
                  <c:v>64.967918012706406</c:v>
                </c:pt>
                <c:pt idx="22" formatCode="0.00">
                  <c:v>64.98344114817084</c:v>
                </c:pt>
                <c:pt idx="23" formatCode="0.00">
                  <c:v>64.991454772887778</c:v>
                </c:pt>
                <c:pt idx="24" formatCode="0.00">
                  <c:v>64.99559061532328</c:v>
                </c:pt>
                <c:pt idx="25" formatCode="0.00">
                  <c:v>64.997724838480636</c:v>
                </c:pt>
                <c:pt idx="26" formatCode="0.00">
                  <c:v>64.99882608652068</c:v>
                </c:pt>
                <c:pt idx="27" formatCode="0.00">
                  <c:v>64.999394304169485</c:v>
                </c:pt>
                <c:pt idx="28" formatCode="0.00">
                  <c:v>64.999687485399122</c:v>
                </c:pt>
                <c:pt idx="29" formatCode="0.00">
                  <c:v>64.999838755609858</c:v>
                </c:pt>
                <c:pt idx="30" formatCode="0.00">
                  <c:v>64.999916804817474</c:v>
                </c:pt>
              </c:numCache>
            </c:numRef>
          </c:val>
          <c:smooth val="0"/>
          <c:extLst>
            <c:ext xmlns:c16="http://schemas.microsoft.com/office/drawing/2014/chart" uri="{C3380CC4-5D6E-409C-BE32-E72D297353CC}">
              <c16:uniqueId val="{00000001-CF6D-4727-A674-32B25EDCD684}"/>
            </c:ext>
          </c:extLst>
        </c:ser>
        <c:ser>
          <c:idx val="2"/>
          <c:order val="1"/>
          <c:tx>
            <c:strRef>
              <c:f>' All EV uptake'!$AF$3</c:f>
              <c:strCache>
                <c:ptCount val="1"/>
                <c:pt idx="0">
                  <c:v>Austria</c:v>
                </c:pt>
              </c:strCache>
            </c:strRef>
          </c:tx>
          <c:spPr>
            <a:ln w="28575" cap="rnd">
              <a:solidFill>
                <a:schemeClr val="accent3"/>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uptake'!$AF$5:$AF$35</c:f>
              <c:numCache>
                <c:formatCode>General</c:formatCode>
                <c:ptCount val="31"/>
                <c:pt idx="2" formatCode="0.00">
                  <c:v>0.26263042390584534</c:v>
                </c:pt>
                <c:pt idx="3" formatCode="0.00">
                  <c:v>0.38763937622394484</c:v>
                </c:pt>
                <c:pt idx="4" formatCode="0.00">
                  <c:v>0.57162569563598153</c:v>
                </c:pt>
                <c:pt idx="5" formatCode="0.00">
                  <c:v>0.84180021336470912</c:v>
                </c:pt>
                <c:pt idx="6" formatCode="0.00">
                  <c:v>1.5391698634286424</c:v>
                </c:pt>
                <c:pt idx="7" formatCode="0.00">
                  <c:v>2.020466751119709</c:v>
                </c:pt>
                <c:pt idx="8" formatCode="0.00">
                  <c:v>2.9732896015560768</c:v>
                </c:pt>
                <c:pt idx="9" formatCode="0.00">
                  <c:v>4.3737767511725316</c:v>
                </c:pt>
                <c:pt idx="10" formatCode="0.00">
                  <c:v>5.1340918730190337</c:v>
                </c:pt>
                <c:pt idx="11" formatCode="0.00">
                  <c:v>6.5300184054192467</c:v>
                </c:pt>
                <c:pt idx="12" formatCode="0.00">
                  <c:v>8.0013383234854825</c:v>
                </c:pt>
                <c:pt idx="13" formatCode="0.00">
                  <c:v>9.6328139322572195</c:v>
                </c:pt>
                <c:pt idx="14" formatCode="0.00">
                  <c:v>11.674811535506359</c:v>
                </c:pt>
                <c:pt idx="15" formatCode="0.00">
                  <c:v>14.025627871187837</c:v>
                </c:pt>
                <c:pt idx="16" formatCode="0.00">
                  <c:v>16.735019057864029</c:v>
                </c:pt>
                <c:pt idx="17" formatCode="0.00">
                  <c:v>19.774774485245235</c:v>
                </c:pt>
                <c:pt idx="18" formatCode="0.00">
                  <c:v>23.265738855400819</c:v>
                </c:pt>
                <c:pt idx="19" formatCode="0.00">
                  <c:v>26.865534497160706</c:v>
                </c:pt>
                <c:pt idx="20" formatCode="0.00">
                  <c:v>30.520093276262724</c:v>
                </c:pt>
                <c:pt idx="21" formatCode="0.00">
                  <c:v>34.052373674056277</c:v>
                </c:pt>
                <c:pt idx="22" formatCode="0.00">
                  <c:v>37.517058750001787</c:v>
                </c:pt>
                <c:pt idx="23" formatCode="0.00">
                  <c:v>40.818097245629644</c:v>
                </c:pt>
                <c:pt idx="24" formatCode="0.00">
                  <c:v>43.825589856797954</c:v>
                </c:pt>
                <c:pt idx="25" formatCode="0.00">
                  <c:v>46.371460709969426</c:v>
                </c:pt>
                <c:pt idx="26" formatCode="0.00">
                  <c:v>48.739664528034844</c:v>
                </c:pt>
                <c:pt idx="27" formatCode="0.00">
                  <c:v>50.909842404491577</c:v>
                </c:pt>
                <c:pt idx="28" formatCode="0.00">
                  <c:v>52.871381277329633</c:v>
                </c:pt>
                <c:pt idx="29" formatCode="0.00">
                  <c:v>54.622356834219126</c:v>
                </c:pt>
                <c:pt idx="30" formatCode="0.00">
                  <c:v>56.167981342237518</c:v>
                </c:pt>
              </c:numCache>
            </c:numRef>
          </c:val>
          <c:smooth val="0"/>
          <c:extLst>
            <c:ext xmlns:c16="http://schemas.microsoft.com/office/drawing/2014/chart" uri="{C3380CC4-5D6E-409C-BE32-E72D297353CC}">
              <c16:uniqueId val="{00000002-CF6D-4727-A674-32B25EDCD684}"/>
            </c:ext>
          </c:extLst>
        </c:ser>
        <c:ser>
          <c:idx val="3"/>
          <c:order val="2"/>
          <c:tx>
            <c:strRef>
              <c:f>' All EV uptake'!$AG$3</c:f>
              <c:strCache>
                <c:ptCount val="1"/>
                <c:pt idx="0">
                  <c:v>Canada</c:v>
                </c:pt>
              </c:strCache>
            </c:strRef>
          </c:tx>
          <c:spPr>
            <a:ln w="28575" cap="rnd">
              <a:solidFill>
                <a:schemeClr val="accent4"/>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uptake'!$AG$5:$AG$35</c:f>
              <c:numCache>
                <c:formatCode>General</c:formatCode>
                <c:ptCount val="31"/>
                <c:pt idx="2" formatCode="0.00">
                  <c:v>0.26976839331369129</c:v>
                </c:pt>
                <c:pt idx="3" formatCode="0.00">
                  <c:v>0.4153190615900294</c:v>
                </c:pt>
                <c:pt idx="4" formatCode="0.00">
                  <c:v>0.63862526913926998</c:v>
                </c:pt>
                <c:pt idx="5" formatCode="0.00">
                  <c:v>0.83298342165318717</c:v>
                </c:pt>
                <c:pt idx="6" formatCode="0.00">
                  <c:v>1.2764186108823803</c:v>
                </c:pt>
                <c:pt idx="7" formatCode="0.00">
                  <c:v>2.1109069198989259</c:v>
                </c:pt>
                <c:pt idx="8" formatCode="0.00">
                  <c:v>5.4034855410703129</c:v>
                </c:pt>
                <c:pt idx="9" formatCode="0.00">
                  <c:v>3.5166388613865194</c:v>
                </c:pt>
                <c:pt idx="10" formatCode="0.00">
                  <c:v>4.8401346420411286</c:v>
                </c:pt>
                <c:pt idx="11" formatCode="0.00">
                  <c:v>6.7819588768419212</c:v>
                </c:pt>
                <c:pt idx="12" formatCode="0.00">
                  <c:v>8.9554016993125423</c:v>
                </c:pt>
                <c:pt idx="13" formatCode="0.00">
                  <c:v>11.538905194591692</c:v>
                </c:pt>
                <c:pt idx="14" formatCode="0.00">
                  <c:v>14.73318377422464</c:v>
                </c:pt>
                <c:pt idx="15" formatCode="0.00">
                  <c:v>18.62032881779167</c:v>
                </c:pt>
                <c:pt idx="16" formatCode="0.00">
                  <c:v>22.928622096889296</c:v>
                </c:pt>
                <c:pt idx="17" formatCode="0.00">
                  <c:v>27.665322089276572</c:v>
                </c:pt>
                <c:pt idx="18" formatCode="0.00">
                  <c:v>32.647000337788334</c:v>
                </c:pt>
                <c:pt idx="19" formatCode="0.00">
                  <c:v>37.740478997781011</c:v>
                </c:pt>
                <c:pt idx="20" formatCode="0.00">
                  <c:v>42.580692937590193</c:v>
                </c:pt>
                <c:pt idx="21" formatCode="0.00">
                  <c:v>47.009867346596209</c:v>
                </c:pt>
                <c:pt idx="22" formatCode="0.00">
                  <c:v>50.758278508185988</c:v>
                </c:pt>
                <c:pt idx="23" formatCode="0.00">
                  <c:v>53.985948552210502</c:v>
                </c:pt>
                <c:pt idx="24" formatCode="0.00">
                  <c:v>56.636318021438015</c:v>
                </c:pt>
                <c:pt idx="25" formatCode="0.00">
                  <c:v>58.674109188170284</c:v>
                </c:pt>
                <c:pt idx="26" formatCode="0.00">
                  <c:v>60.081095148379987</c:v>
                </c:pt>
                <c:pt idx="27" formatCode="0.00">
                  <c:v>61.202486867669677</c:v>
                </c:pt>
                <c:pt idx="28" formatCode="0.00">
                  <c:v>62.084966056047946</c:v>
                </c:pt>
                <c:pt idx="29" formatCode="0.00">
                  <c:v>62.772428344001469</c:v>
                </c:pt>
                <c:pt idx="30" formatCode="0.00">
                  <c:v>63.303719333515723</c:v>
                </c:pt>
              </c:numCache>
            </c:numRef>
          </c:val>
          <c:smooth val="0"/>
          <c:extLst>
            <c:ext xmlns:c16="http://schemas.microsoft.com/office/drawing/2014/chart" uri="{C3380CC4-5D6E-409C-BE32-E72D297353CC}">
              <c16:uniqueId val="{00000003-CF6D-4727-A674-32B25EDCD684}"/>
            </c:ext>
          </c:extLst>
        </c:ser>
        <c:ser>
          <c:idx val="4"/>
          <c:order val="3"/>
          <c:tx>
            <c:strRef>
              <c:f>' All EV uptake'!$AH$3</c:f>
              <c:strCache>
                <c:ptCount val="1"/>
                <c:pt idx="0">
                  <c:v>Belgium </c:v>
                </c:pt>
              </c:strCache>
            </c:strRef>
          </c:tx>
          <c:spPr>
            <a:ln w="28575" cap="rnd">
              <a:solidFill>
                <a:schemeClr val="accent5"/>
              </a:solidFill>
              <a:prstDash val="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uptake'!$AH$5:$AH$35</c:f>
              <c:numCache>
                <c:formatCode>General</c:formatCode>
                <c:ptCount val="31"/>
                <c:pt idx="2" formatCode="0.00">
                  <c:v>8.4399567466143896E-2</c:v>
                </c:pt>
                <c:pt idx="3" formatCode="0.00">
                  <c:v>0.17800153505072761</c:v>
                </c:pt>
                <c:pt idx="4" formatCode="0.00">
                  <c:v>0.40271582726249378</c:v>
                </c:pt>
                <c:pt idx="5" formatCode="0.00">
                  <c:v>0.71369107587336666</c:v>
                </c:pt>
                <c:pt idx="6" formatCode="0.00">
                  <c:v>1.1926559312137441</c:v>
                </c:pt>
                <c:pt idx="7" formatCode="0.00">
                  <c:v>2.0222454368261653</c:v>
                </c:pt>
                <c:pt idx="8" formatCode="0.00">
                  <c:v>2.9105026776402227</c:v>
                </c:pt>
                <c:pt idx="9" formatCode="0.00">
                  <c:v>4.2993095302947566</c:v>
                </c:pt>
                <c:pt idx="10" formatCode="0.00">
                  <c:v>6.1235588751700103</c:v>
                </c:pt>
                <c:pt idx="11" formatCode="0.00">
                  <c:v>8.9369762499681951</c:v>
                </c:pt>
                <c:pt idx="12" formatCode="0.00">
                  <c:v>12.107574473266308</c:v>
                </c:pt>
                <c:pt idx="13" formatCode="0.00">
                  <c:v>15.834916959571382</c:v>
                </c:pt>
                <c:pt idx="14" formatCode="0.00">
                  <c:v>20.652276048250862</c:v>
                </c:pt>
                <c:pt idx="15" formatCode="0.00">
                  <c:v>26.679494955090632</c:v>
                </c:pt>
                <c:pt idx="16" formatCode="0.00">
                  <c:v>32.916725584360151</c:v>
                </c:pt>
                <c:pt idx="17" formatCode="0.00">
                  <c:v>39.172877935886966</c:v>
                </c:pt>
                <c:pt idx="18" formatCode="0.00">
                  <c:v>45.309889660480998</c:v>
                </c:pt>
                <c:pt idx="19" formatCode="0.00">
                  <c:v>50.848230517620586</c:v>
                </c:pt>
                <c:pt idx="20" formatCode="0.00">
                  <c:v>55.571869169006327</c:v>
                </c:pt>
                <c:pt idx="21" formatCode="0.00">
                  <c:v>59.176430082922074</c:v>
                </c:pt>
                <c:pt idx="22" formatCode="0.00">
                  <c:v>61.211091022849381</c:v>
                </c:pt>
                <c:pt idx="23" formatCode="0.00">
                  <c:v>62.655238369716763</c:v>
                </c:pt>
                <c:pt idx="24" formatCode="0.00">
                  <c:v>63.620594864692961</c:v>
                </c:pt>
                <c:pt idx="25" formatCode="0.00">
                  <c:v>64.197957405628046</c:v>
                </c:pt>
                <c:pt idx="26" formatCode="0.00">
                  <c:v>64.445121255382659</c:v>
                </c:pt>
                <c:pt idx="27" formatCode="0.00">
                  <c:v>64.614904578951212</c:v>
                </c:pt>
                <c:pt idx="28" formatCode="0.00">
                  <c:v>64.731776026663411</c:v>
                </c:pt>
                <c:pt idx="29" formatCode="0.00">
                  <c:v>64.812481839970701</c:v>
                </c:pt>
                <c:pt idx="30" formatCode="0.00">
                  <c:v>64.868432896549479</c:v>
                </c:pt>
              </c:numCache>
            </c:numRef>
          </c:val>
          <c:smooth val="0"/>
          <c:extLst>
            <c:ext xmlns:c16="http://schemas.microsoft.com/office/drawing/2014/chart" uri="{C3380CC4-5D6E-409C-BE32-E72D297353CC}">
              <c16:uniqueId val="{00000004-CF6D-4727-A674-32B25EDCD684}"/>
            </c:ext>
          </c:extLst>
        </c:ser>
        <c:ser>
          <c:idx val="5"/>
          <c:order val="4"/>
          <c:tx>
            <c:strRef>
              <c:f>' All EV uptake'!$AI$3</c:f>
              <c:strCache>
                <c:ptCount val="1"/>
                <c:pt idx="0">
                  <c:v>China </c:v>
                </c:pt>
              </c:strCache>
            </c:strRef>
          </c:tx>
          <c:spPr>
            <a:ln w="28575" cap="rnd">
              <a:solidFill>
                <a:schemeClr val="accent6"/>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uptake'!$AI$5:$AI$35</c:f>
              <c:numCache>
                <c:formatCode>General</c:formatCode>
                <c:ptCount val="31"/>
                <c:pt idx="2" formatCode="0.00">
                  <c:v>3.8755032033271214E-2</c:v>
                </c:pt>
                <c:pt idx="3" formatCode="0.00">
                  <c:v>8.7551383817578696E-2</c:v>
                </c:pt>
                <c:pt idx="4" formatCode="0.00">
                  <c:v>8.7551383817578696E-2</c:v>
                </c:pt>
                <c:pt idx="5" formatCode="0.00">
                  <c:v>0.98551973616104327</c:v>
                </c:pt>
                <c:pt idx="6" formatCode="0.00">
                  <c:v>1.3415981568072222</c:v>
                </c:pt>
                <c:pt idx="7" formatCode="0.00">
                  <c:v>2.1439166050925254</c:v>
                </c:pt>
                <c:pt idx="8" formatCode="0.00">
                  <c:v>3.9822183298483407</c:v>
                </c:pt>
                <c:pt idx="9" formatCode="0.00">
                  <c:v>6.1024878315413114</c:v>
                </c:pt>
                <c:pt idx="10" formatCode="0.00">
                  <c:v>8.6348881204181804</c:v>
                </c:pt>
                <c:pt idx="11" formatCode="0.00">
                  <c:v>11.405845874630028</c:v>
                </c:pt>
                <c:pt idx="12" formatCode="0.00">
                  <c:v>14.757399435374293</c:v>
                </c:pt>
                <c:pt idx="13" formatCode="0.00">
                  <c:v>18.852198102158244</c:v>
                </c:pt>
                <c:pt idx="14" formatCode="0.00">
                  <c:v>23.760830088439658</c:v>
                </c:pt>
                <c:pt idx="15" formatCode="0.00">
                  <c:v>29.477995640258456</c:v>
                </c:pt>
                <c:pt idx="16" formatCode="0.00">
                  <c:v>35.985260366750502</c:v>
                </c:pt>
                <c:pt idx="17" formatCode="0.00">
                  <c:v>42.401460558894172</c:v>
                </c:pt>
                <c:pt idx="18" formatCode="0.00">
                  <c:v>48.360946904840048</c:v>
                </c:pt>
                <c:pt idx="19" formatCode="0.00">
                  <c:v>53.510082101162276</c:v>
                </c:pt>
                <c:pt idx="20" formatCode="0.00">
                  <c:v>57.576138176176222</c:v>
                </c:pt>
                <c:pt idx="21" formatCode="0.00">
                  <c:v>60.235360003673044</c:v>
                </c:pt>
                <c:pt idx="22" formatCode="0.00">
                  <c:v>62.079576288656014</c:v>
                </c:pt>
                <c:pt idx="23" formatCode="0.00">
                  <c:v>63.265725435003688</c:v>
                </c:pt>
                <c:pt idx="24" formatCode="0.00">
                  <c:v>63.970027409325859</c:v>
                </c:pt>
                <c:pt idx="25" formatCode="0.00">
                  <c:v>64.334536445063151</c:v>
                </c:pt>
                <c:pt idx="26" formatCode="0.00">
                  <c:v>64.571354548520972</c:v>
                </c:pt>
                <c:pt idx="27" formatCode="0.00">
                  <c:v>64.724442379232826</c:v>
                </c:pt>
                <c:pt idx="28" formatCode="0.00">
                  <c:v>64.823082031600762</c:v>
                </c:pt>
                <c:pt idx="29" formatCode="0.00">
                  <c:v>64.886505467915768</c:v>
                </c:pt>
                <c:pt idx="30" formatCode="0.00">
                  <c:v>64.927230510028664</c:v>
                </c:pt>
              </c:numCache>
            </c:numRef>
          </c:val>
          <c:smooth val="0"/>
          <c:extLst>
            <c:ext xmlns:c16="http://schemas.microsoft.com/office/drawing/2014/chart" uri="{C3380CC4-5D6E-409C-BE32-E72D297353CC}">
              <c16:uniqueId val="{00000005-CF6D-4727-A674-32B25EDCD684}"/>
            </c:ext>
          </c:extLst>
        </c:ser>
        <c:ser>
          <c:idx val="6"/>
          <c:order val="5"/>
          <c:tx>
            <c:strRef>
              <c:f>' All EV uptake'!$AJ$3</c:f>
              <c:strCache>
                <c:ptCount val="1"/>
                <c:pt idx="0">
                  <c:v>Dnmk  no subs </c:v>
                </c:pt>
              </c:strCache>
            </c:strRef>
          </c:tx>
          <c:spPr>
            <a:ln w="28575" cap="rnd">
              <a:solidFill>
                <a:schemeClr val="accent1">
                  <a:lumMod val="60000"/>
                </a:schemeClr>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uptake'!$AJ$5:$AJ$35</c:f>
              <c:numCache>
                <c:formatCode>General</c:formatCode>
                <c:ptCount val="31"/>
                <c:pt idx="2" formatCode="0.00">
                  <c:v>0.28414031280549218</c:v>
                </c:pt>
                <c:pt idx="3" formatCode="0.00">
                  <c:v>0.28452453918310588</c:v>
                </c:pt>
                <c:pt idx="4" formatCode="0.00">
                  <c:v>0.93137474819959321</c:v>
                </c:pt>
                <c:pt idx="5" formatCode="0.00">
                  <c:v>1.4479052196409519</c:v>
                </c:pt>
                <c:pt idx="6" formatCode="0.00">
                  <c:v>0.93137474819959321</c:v>
                </c:pt>
                <c:pt idx="7" formatCode="0.00">
                  <c:v>0.93137474819959321</c:v>
                </c:pt>
                <c:pt idx="8" formatCode="0.00">
                  <c:v>0.90531080068456726</c:v>
                </c:pt>
                <c:pt idx="9" formatCode="0.00">
                  <c:v>1.1672115702411339</c:v>
                </c:pt>
                <c:pt idx="10" formatCode="0.00">
                  <c:v>1.5146517368990953</c:v>
                </c:pt>
                <c:pt idx="11" formatCode="0.00">
                  <c:v>2.1844642818764251</c:v>
                </c:pt>
                <c:pt idx="12" formatCode="0.00">
                  <c:v>3.0030555808113628</c:v>
                </c:pt>
                <c:pt idx="13" formatCode="0.00">
                  <c:v>4.7578194610155951</c:v>
                </c:pt>
                <c:pt idx="14" formatCode="0.00">
                  <c:v>6.8943043346632562</c:v>
                </c:pt>
                <c:pt idx="15" formatCode="0.00">
                  <c:v>9.4585081823171482</c:v>
                </c:pt>
                <c:pt idx="16" formatCode="0.00">
                  <c:v>12.50206484745504</c:v>
                </c:pt>
                <c:pt idx="17" formatCode="0.00">
                  <c:v>16.107048765331417</c:v>
                </c:pt>
                <c:pt idx="18" formatCode="0.00">
                  <c:v>19.577898337638004</c:v>
                </c:pt>
                <c:pt idx="19" formatCode="0.00">
                  <c:v>23.391281091125158</c:v>
                </c:pt>
                <c:pt idx="20" formatCode="0.00">
                  <c:v>27.491239953220312</c:v>
                </c:pt>
                <c:pt idx="21" formatCode="0.00">
                  <c:v>31.780195571499071</c:v>
                </c:pt>
                <c:pt idx="22" formatCode="0.00">
                  <c:v>36.117949277945051</c:v>
                </c:pt>
                <c:pt idx="23" formatCode="0.00">
                  <c:v>40.341447778454459</c:v>
                </c:pt>
                <c:pt idx="24" formatCode="0.00">
                  <c:v>44.296915049808547</c:v>
                </c:pt>
                <c:pt idx="25" formatCode="0.00">
                  <c:v>47.868210470726417</c:v>
                </c:pt>
                <c:pt idx="26" formatCode="0.00">
                  <c:v>50.990301380283242</c:v>
                </c:pt>
                <c:pt idx="27" formatCode="0.00">
                  <c:v>53.647110975328651</c:v>
                </c:pt>
                <c:pt idx="28" formatCode="0.00">
                  <c:v>55.859777131668501</c:v>
                </c:pt>
                <c:pt idx="29" formatCode="0.00">
                  <c:v>57.672262939623479</c:v>
                </c:pt>
                <c:pt idx="30" formatCode="0.00">
                  <c:v>59.138859288545795</c:v>
                </c:pt>
              </c:numCache>
            </c:numRef>
          </c:val>
          <c:smooth val="0"/>
          <c:extLst>
            <c:ext xmlns:c16="http://schemas.microsoft.com/office/drawing/2014/chart" uri="{C3380CC4-5D6E-409C-BE32-E72D297353CC}">
              <c16:uniqueId val="{00000006-CF6D-4727-A674-32B25EDCD684}"/>
            </c:ext>
          </c:extLst>
        </c:ser>
        <c:ser>
          <c:idx val="7"/>
          <c:order val="6"/>
          <c:tx>
            <c:strRef>
              <c:f>' All EV uptake'!$AK$3</c:f>
              <c:strCache>
                <c:ptCount val="1"/>
                <c:pt idx="0">
                  <c:v>Finland </c:v>
                </c:pt>
              </c:strCache>
            </c:strRef>
          </c:tx>
          <c:spPr>
            <a:ln w="28575" cap="rnd">
              <a:solidFill>
                <a:schemeClr val="accent2">
                  <a:lumMod val="60000"/>
                </a:schemeClr>
              </a:solidFill>
              <a:prstDash val="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uptake'!$AK$5:$AK$35</c:f>
              <c:numCache>
                <c:formatCode>General</c:formatCode>
                <c:ptCount val="31"/>
                <c:pt idx="2" formatCode="0.00">
                  <c:v>0.10779280678428281</c:v>
                </c:pt>
                <c:pt idx="3" formatCode="0.00">
                  <c:v>0.2167816204415593</c:v>
                </c:pt>
                <c:pt idx="4" formatCode="0.00">
                  <c:v>0.43522943065798925</c:v>
                </c:pt>
                <c:pt idx="5" formatCode="0.00">
                  <c:v>0.59949021570807204</c:v>
                </c:pt>
                <c:pt idx="6" formatCode="0.00">
                  <c:v>1.1964656516070145</c:v>
                </c:pt>
                <c:pt idx="7" formatCode="0.00">
                  <c:v>2.577341331106104</c:v>
                </c:pt>
                <c:pt idx="8" formatCode="0.00">
                  <c:v>4.596654877069545</c:v>
                </c:pt>
                <c:pt idx="9" formatCode="0.00">
                  <c:v>11.215955938669456</c:v>
                </c:pt>
                <c:pt idx="10" formatCode="0.00">
                  <c:v>14.367487649150064</c:v>
                </c:pt>
                <c:pt idx="11" formatCode="0.00">
                  <c:v>18.265617627829446</c:v>
                </c:pt>
                <c:pt idx="12" formatCode="0.00">
                  <c:v>23.220405124882777</c:v>
                </c:pt>
                <c:pt idx="13" formatCode="0.00">
                  <c:v>28.678843507589971</c:v>
                </c:pt>
                <c:pt idx="14" formatCode="0.00">
                  <c:v>34.355952049744346</c:v>
                </c:pt>
                <c:pt idx="15" formatCode="0.00">
                  <c:v>40.113725422452497</c:v>
                </c:pt>
                <c:pt idx="16" formatCode="0.00">
                  <c:v>45.690626869820264</c:v>
                </c:pt>
                <c:pt idx="17" formatCode="0.00">
                  <c:v>50.950363967952946</c:v>
                </c:pt>
                <c:pt idx="18" formatCode="0.00">
                  <c:v>55.526801517277214</c:v>
                </c:pt>
                <c:pt idx="19" formatCode="0.00">
                  <c:v>59.100104228259383</c:v>
                </c:pt>
                <c:pt idx="20" formatCode="0.00">
                  <c:v>61.260752034074862</c:v>
                </c:pt>
                <c:pt idx="21" formatCode="0.00">
                  <c:v>62.784429615521056</c:v>
                </c:pt>
                <c:pt idx="22" formatCode="0.00">
                  <c:v>63.774538942341827</c:v>
                </c:pt>
                <c:pt idx="23" formatCode="0.00">
                  <c:v>64.34160449647699</c:v>
                </c:pt>
                <c:pt idx="24" formatCode="0.00">
                  <c:v>64.580381567450573</c:v>
                </c:pt>
                <c:pt idx="25" formatCode="0.00">
                  <c:v>64.731973395144877</c:v>
                </c:pt>
                <c:pt idx="26" formatCode="0.00">
                  <c:v>64.828261508675723</c:v>
                </c:pt>
                <c:pt idx="27" formatCode="0.00">
                  <c:v>64.889546774269732</c:v>
                </c:pt>
                <c:pt idx="28" formatCode="0.00">
                  <c:v>64.928680060874711</c:v>
                </c:pt>
                <c:pt idx="29" formatCode="0.00">
                  <c:v>64.953764812139156</c:v>
                </c:pt>
                <c:pt idx="30" formatCode="0.00">
                  <c:v>64.969912632556671</c:v>
                </c:pt>
              </c:numCache>
            </c:numRef>
          </c:val>
          <c:smooth val="0"/>
          <c:extLst>
            <c:ext xmlns:c16="http://schemas.microsoft.com/office/drawing/2014/chart" uri="{C3380CC4-5D6E-409C-BE32-E72D297353CC}">
              <c16:uniqueId val="{00000007-CF6D-4727-A674-32B25EDCD684}"/>
            </c:ext>
          </c:extLst>
        </c:ser>
        <c:ser>
          <c:idx val="8"/>
          <c:order val="7"/>
          <c:tx>
            <c:strRef>
              <c:f>' All EV uptake'!$AL$3</c:f>
              <c:strCache>
                <c:ptCount val="1"/>
                <c:pt idx="0">
                  <c:v>France</c:v>
                </c:pt>
              </c:strCache>
            </c:strRef>
          </c:tx>
          <c:spPr>
            <a:ln w="28575" cap="rnd">
              <a:solidFill>
                <a:schemeClr val="accent3">
                  <a:lumMod val="60000"/>
                </a:schemeClr>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uptake'!$AL$5:$AL$35</c:f>
              <c:numCache>
                <c:formatCode>General</c:formatCode>
                <c:ptCount val="31"/>
                <c:pt idx="2" formatCode="0.00">
                  <c:v>0.3326081919378055</c:v>
                </c:pt>
                <c:pt idx="3" formatCode="0.00">
                  <c:v>0.69582893347782004</c:v>
                </c:pt>
                <c:pt idx="4" formatCode="0.00">
                  <c:v>0.69582893347782004</c:v>
                </c:pt>
                <c:pt idx="5" formatCode="0.00">
                  <c:v>1.2017643024582392</c:v>
                </c:pt>
                <c:pt idx="6" formatCode="0.00">
                  <c:v>1.4468260734570164</c:v>
                </c:pt>
                <c:pt idx="7" formatCode="0.00">
                  <c:v>1.7404971160048122</c:v>
                </c:pt>
                <c:pt idx="8" formatCode="0.00">
                  <c:v>2.0918143794335924</c:v>
                </c:pt>
                <c:pt idx="9" formatCode="0.00">
                  <c:v>2.6482789871426538</c:v>
                </c:pt>
                <c:pt idx="10" formatCode="0.00">
                  <c:v>3.1864034686442451</c:v>
                </c:pt>
                <c:pt idx="11" formatCode="0.00">
                  <c:v>4.0424320446843387</c:v>
                </c:pt>
                <c:pt idx="12" formatCode="0.00">
                  <c:v>4.9321054966629498</c:v>
                </c:pt>
                <c:pt idx="13" formatCode="0.00">
                  <c:v>5.9952762265435036</c:v>
                </c:pt>
                <c:pt idx="14" formatCode="0.00">
                  <c:v>7.3320712920762068</c:v>
                </c:pt>
                <c:pt idx="15" formatCode="0.00">
                  <c:v>8.9330173444295422</c:v>
                </c:pt>
                <c:pt idx="16" formatCode="0.00">
                  <c:v>10.818405824689448</c:v>
                </c:pt>
                <c:pt idx="17" formatCode="0.00">
                  <c:v>12.966963972449891</c:v>
                </c:pt>
                <c:pt idx="18" formatCode="0.00">
                  <c:v>15.383470471544754</c:v>
                </c:pt>
                <c:pt idx="19" formatCode="0.00">
                  <c:v>17.996910699785918</c:v>
                </c:pt>
                <c:pt idx="20" formatCode="0.00">
                  <c:v>20.78936319492934</c:v>
                </c:pt>
                <c:pt idx="21" formatCode="0.00">
                  <c:v>23.66581068891168</c:v>
                </c:pt>
                <c:pt idx="22" formatCode="0.00">
                  <c:v>26.621898157075655</c:v>
                </c:pt>
                <c:pt idx="23" formatCode="0.00">
                  <c:v>29.61414897588477</c:v>
                </c:pt>
                <c:pt idx="24" formatCode="0.00">
                  <c:v>32.594153893074015</c:v>
                </c:pt>
                <c:pt idx="25" formatCode="0.00">
                  <c:v>35.510982866616487</c:v>
                </c:pt>
                <c:pt idx="26" formatCode="0.00">
                  <c:v>38.381911029483774</c:v>
                </c:pt>
                <c:pt idx="27" formatCode="0.00">
                  <c:v>41.16505370153498</c:v>
                </c:pt>
                <c:pt idx="28" formatCode="0.00">
                  <c:v>43.823306734211542</c:v>
                </c:pt>
                <c:pt idx="29" formatCode="0.00">
                  <c:v>46.326056199379593</c:v>
                </c:pt>
                <c:pt idx="30" formatCode="0.00">
                  <c:v>48.650245743011297</c:v>
                </c:pt>
              </c:numCache>
            </c:numRef>
          </c:val>
          <c:smooth val="0"/>
          <c:extLst>
            <c:ext xmlns:c16="http://schemas.microsoft.com/office/drawing/2014/chart" uri="{C3380CC4-5D6E-409C-BE32-E72D297353CC}">
              <c16:uniqueId val="{00000008-CF6D-4727-A674-32B25EDCD684}"/>
            </c:ext>
          </c:extLst>
        </c:ser>
        <c:ser>
          <c:idx val="9"/>
          <c:order val="8"/>
          <c:tx>
            <c:strRef>
              <c:f>' All EV uptake'!$AM$3</c:f>
              <c:strCache>
                <c:ptCount val="1"/>
                <c:pt idx="0">
                  <c:v>Germany</c:v>
                </c:pt>
              </c:strCache>
            </c:strRef>
          </c:tx>
          <c:spPr>
            <a:ln w="28575" cap="sq">
              <a:solidFill>
                <a:schemeClr val="accent4">
                  <a:lumMod val="60000"/>
                </a:schemeClr>
              </a:solidFill>
              <a:prstDash val="sys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uptake'!$AM$5:$AM$35</c:f>
              <c:numCache>
                <c:formatCode>General</c:formatCode>
                <c:ptCount val="31"/>
                <c:pt idx="2" formatCode="0.00">
                  <c:v>6.346987523992427E-2</c:v>
                </c:pt>
                <c:pt idx="3" formatCode="0.00">
                  <c:v>0.40468534472849599</c:v>
                </c:pt>
                <c:pt idx="4" formatCode="0.00">
                  <c:v>0.40468534472849599</c:v>
                </c:pt>
                <c:pt idx="5" formatCode="0.00">
                  <c:v>0.74774037060532272</c:v>
                </c:pt>
                <c:pt idx="6" formatCode="0.00">
                  <c:v>0.73461459756398872</c:v>
                </c:pt>
                <c:pt idx="7" formatCode="0.00">
                  <c:v>1.5872033755904482</c:v>
                </c:pt>
                <c:pt idx="8" formatCode="0.00">
                  <c:v>2.4665326913069379</c:v>
                </c:pt>
                <c:pt idx="9" formatCode="0.00">
                  <c:v>4.2857980085890945</c:v>
                </c:pt>
                <c:pt idx="10" formatCode="0.00">
                  <c:v>6.3965483267176513</c:v>
                </c:pt>
                <c:pt idx="11" formatCode="0.00">
                  <c:v>9.0282834753518948</c:v>
                </c:pt>
                <c:pt idx="12" formatCode="0.00">
                  <c:v>11.62524357232658</c:v>
                </c:pt>
                <c:pt idx="13" formatCode="0.00">
                  <c:v>14.633056848848486</c:v>
                </c:pt>
                <c:pt idx="14" formatCode="0.00">
                  <c:v>18.534462224743553</c:v>
                </c:pt>
                <c:pt idx="15" formatCode="0.00">
                  <c:v>22.839043393520146</c:v>
                </c:pt>
                <c:pt idx="16" formatCode="0.00">
                  <c:v>27.385803410641039</c:v>
                </c:pt>
                <c:pt idx="17" formatCode="0.00">
                  <c:v>32.279020304359399</c:v>
                </c:pt>
                <c:pt idx="18" formatCode="0.00">
                  <c:v>37.472066512159685</c:v>
                </c:pt>
                <c:pt idx="19" formatCode="0.00">
                  <c:v>42.873198148679599</c:v>
                </c:pt>
                <c:pt idx="20" formatCode="0.00">
                  <c:v>47.811686522248429</c:v>
                </c:pt>
                <c:pt idx="21" formatCode="0.00">
                  <c:v>51.814082722476925</c:v>
                </c:pt>
                <c:pt idx="22" formatCode="0.00">
                  <c:v>55.270760789028323</c:v>
                </c:pt>
                <c:pt idx="23" formatCode="0.00">
                  <c:v>58.099140083468527</c:v>
                </c:pt>
                <c:pt idx="24" formatCode="0.00">
                  <c:v>60.245447499995393</c:v>
                </c:pt>
                <c:pt idx="25" formatCode="0.00">
                  <c:v>61.721967468788776</c:v>
                </c:pt>
                <c:pt idx="26" formatCode="0.00">
                  <c:v>62.524367834205222</c:v>
                </c:pt>
                <c:pt idx="27" formatCode="0.00">
                  <c:v>63.127970905709084</c:v>
                </c:pt>
                <c:pt idx="28" formatCode="0.00">
                  <c:v>63.581291004702464</c:v>
                </c:pt>
                <c:pt idx="29" formatCode="0.00">
                  <c:v>63.921949390789045</c:v>
                </c:pt>
                <c:pt idx="30" formatCode="0.00">
                  <c:v>64.178528452075398</c:v>
                </c:pt>
              </c:numCache>
            </c:numRef>
          </c:val>
          <c:smooth val="0"/>
          <c:extLst>
            <c:ext xmlns:c16="http://schemas.microsoft.com/office/drawing/2014/chart" uri="{C3380CC4-5D6E-409C-BE32-E72D297353CC}">
              <c16:uniqueId val="{00000009-CF6D-4727-A674-32B25EDCD684}"/>
            </c:ext>
          </c:extLst>
        </c:ser>
        <c:ser>
          <c:idx val="10"/>
          <c:order val="9"/>
          <c:tx>
            <c:strRef>
              <c:f>' All EV uptake'!$AN$3</c:f>
              <c:strCache>
                <c:ptCount val="1"/>
                <c:pt idx="0">
                  <c:v>India</c:v>
                </c:pt>
              </c:strCache>
            </c:strRef>
          </c:tx>
          <c:spPr>
            <a:ln w="28575" cap="rnd">
              <a:solidFill>
                <a:schemeClr val="accent5">
                  <a:lumMod val="60000"/>
                </a:schemeClr>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uptake'!$AN$5:$AN$35</c:f>
              <c:numCache>
                <c:formatCode>General</c:formatCode>
                <c:ptCount val="31"/>
                <c:pt idx="2" formatCode="0.00">
                  <c:v>0.15912514420898602</c:v>
                </c:pt>
                <c:pt idx="3" formatCode="0.00">
                  <c:v>0.10843888120676225</c:v>
                </c:pt>
                <c:pt idx="4" formatCode="0.00">
                  <c:v>0.13136453644471022</c:v>
                </c:pt>
                <c:pt idx="5" formatCode="0.00">
                  <c:v>0.1927348314807267</c:v>
                </c:pt>
                <c:pt idx="6" formatCode="0.00">
                  <c:v>0.23341784865421891</c:v>
                </c:pt>
                <c:pt idx="7" formatCode="0.00">
                  <c:v>0.28265089943372285</c:v>
                </c:pt>
                <c:pt idx="8" formatCode="0.00">
                  <c:v>0.36396305984338306</c:v>
                </c:pt>
                <c:pt idx="9" formatCode="0.00">
                  <c:v>0.44298154046646898</c:v>
                </c:pt>
                <c:pt idx="10" formatCode="0.00">
                  <c:v>0.5384491529880634</c:v>
                </c:pt>
                <c:pt idx="11" formatCode="0.00">
                  <c:v>0.69880890576847388</c:v>
                </c:pt>
                <c:pt idx="12" formatCode="0.00">
                  <c:v>0.86730205535340221</c:v>
                </c:pt>
                <c:pt idx="13" formatCode="0.00">
                  <c:v>1.0777449312835681</c:v>
                </c:pt>
                <c:pt idx="14" formatCode="0.00">
                  <c:v>1.3569514067810817</c:v>
                </c:pt>
                <c:pt idx="15" formatCode="0.00">
                  <c:v>1.7103042924540723</c:v>
                </c:pt>
                <c:pt idx="16" formatCode="0.00">
                  <c:v>2.151403489951798</c:v>
                </c:pt>
                <c:pt idx="17" formatCode="0.00">
                  <c:v>2.6882106288758019</c:v>
                </c:pt>
                <c:pt idx="18" formatCode="0.00">
                  <c:v>3.3368971657319908</c:v>
                </c:pt>
                <c:pt idx="19" formatCode="0.00">
                  <c:v>4.0968159970912694</c:v>
                </c:pt>
                <c:pt idx="20" formatCode="0.00">
                  <c:v>4.9841796547928281</c:v>
                </c:pt>
                <c:pt idx="21" formatCode="0.00">
                  <c:v>5.9973617130902346</c:v>
                </c:pt>
                <c:pt idx="22" formatCode="0.00">
                  <c:v>7.1577950344627235</c:v>
                </c:pt>
                <c:pt idx="23" formatCode="0.00">
                  <c:v>8.4796646290573392</c:v>
                </c:pt>
                <c:pt idx="24" formatCode="0.00">
                  <c:v>9.9751947428949048</c:v>
                </c:pt>
                <c:pt idx="25" formatCode="0.00">
                  <c:v>11.653369090747033</c:v>
                </c:pt>
                <c:pt idx="26" formatCode="0.00">
                  <c:v>13.537145465974074</c:v>
                </c:pt>
                <c:pt idx="27" formatCode="0.00">
                  <c:v>15.628164450522215</c:v>
                </c:pt>
                <c:pt idx="28" formatCode="0.00">
                  <c:v>17.921158856672587</c:v>
                </c:pt>
                <c:pt idx="29" formatCode="0.00">
                  <c:v>20.402997055576975</c:v>
                </c:pt>
                <c:pt idx="30" formatCode="0.00">
                  <c:v>23.052226189629614</c:v>
                </c:pt>
              </c:numCache>
            </c:numRef>
          </c:val>
          <c:smooth val="0"/>
          <c:extLst>
            <c:ext xmlns:c16="http://schemas.microsoft.com/office/drawing/2014/chart" uri="{C3380CC4-5D6E-409C-BE32-E72D297353CC}">
              <c16:uniqueId val="{0000000A-CF6D-4727-A674-32B25EDCD684}"/>
            </c:ext>
          </c:extLst>
        </c:ser>
        <c:ser>
          <c:idx val="11"/>
          <c:order val="10"/>
          <c:tx>
            <c:strRef>
              <c:f>' All EV uptake'!$AO$3</c:f>
              <c:strCache>
                <c:ptCount val="1"/>
                <c:pt idx="0">
                  <c:v>Ireland </c:v>
                </c:pt>
              </c:strCache>
            </c:strRef>
          </c:tx>
          <c:spPr>
            <a:ln w="28575" cap="sq">
              <a:solidFill>
                <a:srgbClr val="00B050"/>
              </a:solidFill>
              <a:prstDash val="sys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uptake'!$AO$5:$AO$35</c:f>
              <c:numCache>
                <c:formatCode>General</c:formatCode>
                <c:ptCount val="31"/>
                <c:pt idx="2" formatCode="0.00">
                  <c:v>9.3060869482101627E-2</c:v>
                </c:pt>
                <c:pt idx="3" formatCode="0.00">
                  <c:v>0.14236726087496704</c:v>
                </c:pt>
                <c:pt idx="4" formatCode="0.00">
                  <c:v>0.21771000690284034</c:v>
                </c:pt>
                <c:pt idx="5" formatCode="0.00">
                  <c:v>0.33272064189834066</c:v>
                </c:pt>
                <c:pt idx="6" formatCode="0.00">
                  <c:v>0.50801200951831016</c:v>
                </c:pt>
                <c:pt idx="7" formatCode="0.00">
                  <c:v>0.77454818827191763</c:v>
                </c:pt>
                <c:pt idx="8" formatCode="0.00">
                  <c:v>1.4826241933696944</c:v>
                </c:pt>
                <c:pt idx="9" formatCode="0.00">
                  <c:v>2.824179396802704</c:v>
                </c:pt>
                <c:pt idx="10" formatCode="0.00">
                  <c:v>3.9273759317622585</c:v>
                </c:pt>
                <c:pt idx="11" formatCode="0.00">
                  <c:v>5.7087109217509404</c:v>
                </c:pt>
                <c:pt idx="12" formatCode="0.00">
                  <c:v>7.6349336512067856</c:v>
                </c:pt>
                <c:pt idx="13" formatCode="0.00">
                  <c:v>10.047581927165023</c:v>
                </c:pt>
                <c:pt idx="14" formatCode="0.00">
                  <c:v>13.124338124799181</c:v>
                </c:pt>
                <c:pt idx="15" formatCode="0.00">
                  <c:v>16.872079181313538</c:v>
                </c:pt>
                <c:pt idx="16" formatCode="0.00">
                  <c:v>21.314274226264978</c:v>
                </c:pt>
                <c:pt idx="17" formatCode="0.00">
                  <c:v>26.331705442305974</c:v>
                </c:pt>
                <c:pt idx="18" formatCode="0.00">
                  <c:v>31.791769224284813</c:v>
                </c:pt>
                <c:pt idx="19" formatCode="0.00">
                  <c:v>37.493858571420454</c:v>
                </c:pt>
                <c:pt idx="20" formatCode="0.00">
                  <c:v>42.9438536085827</c:v>
                </c:pt>
                <c:pt idx="21" formatCode="0.00">
                  <c:v>47.890879896237649</c:v>
                </c:pt>
                <c:pt idx="22" formatCode="0.00">
                  <c:v>52.223716629287729</c:v>
                </c:pt>
                <c:pt idx="23" formatCode="0.00">
                  <c:v>55.815327901090924</c:v>
                </c:pt>
                <c:pt idx="24" formatCode="0.00">
                  <c:v>58.595976614611679</c:v>
                </c:pt>
                <c:pt idx="25" formatCode="0.00">
                  <c:v>60.591507987325812</c:v>
                </c:pt>
                <c:pt idx="26" formatCode="0.00">
                  <c:v>61.877024011109384</c:v>
                </c:pt>
                <c:pt idx="27" formatCode="0.00">
                  <c:v>62.809233286577488</c:v>
                </c:pt>
                <c:pt idx="28" formatCode="0.00">
                  <c:v>63.47418935072568</c:v>
                </c:pt>
                <c:pt idx="29" formatCode="0.00">
                  <c:v>63.942793977739818</c:v>
                </c:pt>
                <c:pt idx="30" formatCode="0.00">
                  <c:v>64.270157592789019</c:v>
                </c:pt>
              </c:numCache>
            </c:numRef>
          </c:val>
          <c:smooth val="0"/>
          <c:extLst>
            <c:ext xmlns:c16="http://schemas.microsoft.com/office/drawing/2014/chart" uri="{C3380CC4-5D6E-409C-BE32-E72D297353CC}">
              <c16:uniqueId val="{0000000B-CF6D-4727-A674-32B25EDCD684}"/>
            </c:ext>
          </c:extLst>
        </c:ser>
        <c:ser>
          <c:idx val="12"/>
          <c:order val="11"/>
          <c:tx>
            <c:strRef>
              <c:f>' All EV uptake'!$AP$3</c:f>
              <c:strCache>
                <c:ptCount val="1"/>
                <c:pt idx="0">
                  <c:v>Italy</c:v>
                </c:pt>
              </c:strCache>
            </c:strRef>
          </c:tx>
          <c:spPr>
            <a:ln w="28575" cap="rnd">
              <a:solidFill>
                <a:srgbClr val="A5EF01"/>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uptake'!$AP$5:$AP$35</c:f>
              <c:numCache>
                <c:formatCode>General</c:formatCode>
                <c:ptCount val="31"/>
                <c:pt idx="2" formatCode="0.00">
                  <c:v>4.6634398966126429E-2</c:v>
                </c:pt>
                <c:pt idx="3" formatCode="0.00">
                  <c:v>8.2081523558712705E-2</c:v>
                </c:pt>
                <c:pt idx="4" formatCode="0.00">
                  <c:v>0.11049248750991837</c:v>
                </c:pt>
                <c:pt idx="5" formatCode="0.00">
                  <c:v>0.14871484058186824</c:v>
                </c:pt>
                <c:pt idx="6" formatCode="0.00">
                  <c:v>0.15297258907354042</c:v>
                </c:pt>
                <c:pt idx="7" formatCode="0.00">
                  <c:v>0.24606828814625634</c:v>
                </c:pt>
                <c:pt idx="8" formatCode="0.00">
                  <c:v>0.47261854943019649</c:v>
                </c:pt>
                <c:pt idx="9" formatCode="0.00">
                  <c:v>0.79885183226478085</c:v>
                </c:pt>
                <c:pt idx="10" formatCode="0.00">
                  <c:v>1.1131383963990709</c:v>
                </c:pt>
                <c:pt idx="11" formatCode="0.00">
                  <c:v>1.7220737046054655</c:v>
                </c:pt>
                <c:pt idx="12" formatCode="0.00">
                  <c:v>2.3699569093357091</c:v>
                </c:pt>
                <c:pt idx="13" formatCode="0.00">
                  <c:v>3.2917415337684437</c:v>
                </c:pt>
                <c:pt idx="14" formatCode="0.00">
                  <c:v>4.5309701300095435</c:v>
                </c:pt>
                <c:pt idx="15" formatCode="0.00">
                  <c:v>6.0900009554144026</c:v>
                </c:pt>
                <c:pt idx="16" formatCode="0.00">
                  <c:v>8.0091841501325991</c:v>
                </c:pt>
                <c:pt idx="17" formatCode="0.00">
                  <c:v>10.293885746311389</c:v>
                </c:pt>
                <c:pt idx="18" formatCode="0.00">
                  <c:v>12.838471174668937</c:v>
                </c:pt>
                <c:pt idx="19" formatCode="0.00">
                  <c:v>15.639595156943576</c:v>
                </c:pt>
                <c:pt idx="20" formatCode="0.00">
                  <c:v>18.586385836707301</c:v>
                </c:pt>
                <c:pt idx="21" formatCode="0.00">
                  <c:v>21.644637668562154</c:v>
                </c:pt>
                <c:pt idx="22" formatCode="0.00">
                  <c:v>24.803517653624453</c:v>
                </c:pt>
                <c:pt idx="23" formatCode="0.00">
                  <c:v>27.998858376571174</c:v>
                </c:pt>
                <c:pt idx="24" formatCode="0.00">
                  <c:v>31.138291268627935</c:v>
                </c:pt>
                <c:pt idx="25" formatCode="0.00">
                  <c:v>34.274158691978428</c:v>
                </c:pt>
                <c:pt idx="26" formatCode="0.00">
                  <c:v>37.347456716300776</c:v>
                </c:pt>
                <c:pt idx="27" formatCode="0.00">
                  <c:v>40.30282601774848</c:v>
                </c:pt>
                <c:pt idx="28" formatCode="0.00">
                  <c:v>43.101068426274978</c:v>
                </c:pt>
                <c:pt idx="29" formatCode="0.00">
                  <c:v>45.711996159636143</c:v>
                </c:pt>
                <c:pt idx="30" formatCode="0.00">
                  <c:v>48.116011769222844</c:v>
                </c:pt>
              </c:numCache>
            </c:numRef>
          </c:val>
          <c:smooth val="0"/>
          <c:extLst>
            <c:ext xmlns:c16="http://schemas.microsoft.com/office/drawing/2014/chart" uri="{C3380CC4-5D6E-409C-BE32-E72D297353CC}">
              <c16:uniqueId val="{0000000C-CF6D-4727-A674-32B25EDCD684}"/>
            </c:ext>
          </c:extLst>
        </c:ser>
        <c:ser>
          <c:idx val="13"/>
          <c:order val="12"/>
          <c:tx>
            <c:strRef>
              <c:f>' All EV uptake'!$AQ$3</c:f>
              <c:strCache>
                <c:ptCount val="1"/>
                <c:pt idx="0">
                  <c:v>Japan</c:v>
                </c:pt>
              </c:strCache>
            </c:strRef>
          </c:tx>
          <c:spPr>
            <a:ln w="28575" cap="rnd">
              <a:solidFill>
                <a:schemeClr val="accent2">
                  <a:lumMod val="80000"/>
                  <a:lumOff val="20000"/>
                </a:schemeClr>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uptake'!$AQ$5:$AQ$35</c:f>
              <c:numCache>
                <c:formatCode>General</c:formatCode>
                <c:ptCount val="31"/>
                <c:pt idx="2" formatCode="0.00">
                  <c:v>0.37763544019268991</c:v>
                </c:pt>
                <c:pt idx="3" formatCode="0.00">
                  <c:v>0.69122173256355823</c:v>
                </c:pt>
                <c:pt idx="4" formatCode="0.00">
                  <c:v>0.63391991215036203</c:v>
                </c:pt>
                <c:pt idx="5" formatCode="0.00">
                  <c:v>0.58282814824822404</c:v>
                </c:pt>
                <c:pt idx="6" formatCode="0.00">
                  <c:v>0.60024846680994026</c:v>
                </c:pt>
                <c:pt idx="7" formatCode="0.00">
                  <c:v>1.2590579509713404</c:v>
                </c:pt>
                <c:pt idx="8" formatCode="0.00">
                  <c:v>1.4928371390463264</c:v>
                </c:pt>
                <c:pt idx="9" formatCode="0.00">
                  <c:v>1.8531998816118898</c:v>
                </c:pt>
                <c:pt idx="10" formatCode="0.00">
                  <c:v>2.2307944819395216</c:v>
                </c:pt>
                <c:pt idx="11" formatCode="0.00">
                  <c:v>2.8108491062770335</c:v>
                </c:pt>
                <c:pt idx="12" formatCode="0.00">
                  <c:v>3.4005413333204459</c:v>
                </c:pt>
                <c:pt idx="13" formatCode="0.00">
                  <c:v>4.100342987975151</c:v>
                </c:pt>
                <c:pt idx="14" formatCode="0.00">
                  <c:v>4.9577589275349983</c:v>
                </c:pt>
                <c:pt idx="15" formatCode="0.00">
                  <c:v>5.9919155617124007</c:v>
                </c:pt>
                <c:pt idx="16" formatCode="0.00">
                  <c:v>7.2018763661100786</c:v>
                </c:pt>
                <c:pt idx="17" formatCode="0.00">
                  <c:v>8.6036476398910491</c:v>
                </c:pt>
                <c:pt idx="18" formatCode="0.00">
                  <c:v>10.211757986091756</c:v>
                </c:pt>
                <c:pt idx="19" formatCode="0.00">
                  <c:v>11.992361362791774</c:v>
                </c:pt>
                <c:pt idx="20" formatCode="0.00">
                  <c:v>13.948617569596729</c:v>
                </c:pt>
                <c:pt idx="21" formatCode="0.00">
                  <c:v>16.053467126053174</c:v>
                </c:pt>
                <c:pt idx="22" formatCode="0.00">
                  <c:v>18.297543046090663</c:v>
                </c:pt>
                <c:pt idx="23" formatCode="0.00">
                  <c:v>20.665407145781536</c:v>
                </c:pt>
                <c:pt idx="24" formatCode="0.00">
                  <c:v>23.135328061849897</c:v>
                </c:pt>
                <c:pt idx="25" formatCode="0.00">
                  <c:v>25.679484427928521</c:v>
                </c:pt>
                <c:pt idx="26" formatCode="0.00">
                  <c:v>28.310544002829211</c:v>
                </c:pt>
                <c:pt idx="27" formatCode="0.00">
                  <c:v>30.996327111165531</c:v>
                </c:pt>
                <c:pt idx="28" formatCode="0.00">
                  <c:v>33.702004794960494</c:v>
                </c:pt>
                <c:pt idx="29" formatCode="0.00">
                  <c:v>36.39176838115619</c:v>
                </c:pt>
                <c:pt idx="30" formatCode="0.00">
                  <c:v>39.030593596480358</c:v>
                </c:pt>
              </c:numCache>
            </c:numRef>
          </c:val>
          <c:smooth val="0"/>
          <c:extLst>
            <c:ext xmlns:c16="http://schemas.microsoft.com/office/drawing/2014/chart" uri="{C3380CC4-5D6E-409C-BE32-E72D297353CC}">
              <c16:uniqueId val="{0000000D-CF6D-4727-A674-32B25EDCD684}"/>
            </c:ext>
          </c:extLst>
        </c:ser>
        <c:ser>
          <c:idx val="14"/>
          <c:order val="13"/>
          <c:tx>
            <c:strRef>
              <c:f>' All EV uptake'!$AR$3</c:f>
              <c:strCache>
                <c:ptCount val="1"/>
                <c:pt idx="0">
                  <c:v>Korea</c:v>
                </c:pt>
              </c:strCache>
            </c:strRef>
          </c:tx>
          <c:spPr>
            <a:ln w="28575" cap="rnd">
              <a:solidFill>
                <a:schemeClr val="accent3">
                  <a:lumMod val="80000"/>
                  <a:lumOff val="20000"/>
                </a:schemeClr>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uptake'!$AR$5:$AR$35</c:f>
              <c:numCache>
                <c:formatCode>General</c:formatCode>
                <c:ptCount val="31"/>
                <c:pt idx="2" formatCode="0.00">
                  <c:v>4.3976366875896858E-2</c:v>
                </c:pt>
                <c:pt idx="3" formatCode="0.00">
                  <c:v>5.5501342011082921E-2</c:v>
                </c:pt>
                <c:pt idx="4" formatCode="0.00">
                  <c:v>5.5501342011082921E-2</c:v>
                </c:pt>
                <c:pt idx="5" formatCode="0.00">
                  <c:v>0.22161628502959124</c:v>
                </c:pt>
                <c:pt idx="6" formatCode="0.00">
                  <c:v>0.44190356227885791</c:v>
                </c:pt>
                <c:pt idx="7" formatCode="0.00">
                  <c:v>0.87818859400646965</c:v>
                </c:pt>
                <c:pt idx="8" formatCode="0.00">
                  <c:v>1.7804203205284468</c:v>
                </c:pt>
                <c:pt idx="9" formatCode="0.00">
                  <c:v>2.8065512897951961</c:v>
                </c:pt>
                <c:pt idx="10" formatCode="0.00">
                  <c:v>5.2403013381056427</c:v>
                </c:pt>
                <c:pt idx="11" formatCode="0.00">
                  <c:v>7.5973475012623597</c:v>
                </c:pt>
                <c:pt idx="12" formatCode="0.00">
                  <c:v>10.821903618953856</c:v>
                </c:pt>
                <c:pt idx="13" formatCode="0.00">
                  <c:v>15.305519087429673</c:v>
                </c:pt>
                <c:pt idx="14" formatCode="0.00">
                  <c:v>20.828298895684373</c:v>
                </c:pt>
                <c:pt idx="15" formatCode="0.00">
                  <c:v>27.335747293277198</c:v>
                </c:pt>
                <c:pt idx="16" formatCode="0.00">
                  <c:v>34.429408480020584</c:v>
                </c:pt>
                <c:pt idx="17" formatCode="0.00">
                  <c:v>41.364685885968512</c:v>
                </c:pt>
                <c:pt idx="18" formatCode="0.00">
                  <c:v>47.86406928319709</c:v>
                </c:pt>
                <c:pt idx="19" formatCode="0.00">
                  <c:v>53.518510254323168</c:v>
                </c:pt>
                <c:pt idx="20" formatCode="0.00">
                  <c:v>57.817795202045488</c:v>
                </c:pt>
                <c:pt idx="21" formatCode="0.00">
                  <c:v>60.959576697754969</c:v>
                </c:pt>
                <c:pt idx="22" formatCode="0.00">
                  <c:v>62.910479618304272</c:v>
                </c:pt>
                <c:pt idx="23" formatCode="0.00">
                  <c:v>63.791176217728925</c:v>
                </c:pt>
                <c:pt idx="24" formatCode="0.00">
                  <c:v>64.308204277339939</c:v>
                </c:pt>
                <c:pt idx="25" formatCode="0.00">
                  <c:v>64.606162940402797</c:v>
                </c:pt>
                <c:pt idx="26" formatCode="0.00">
                  <c:v>64.776209802246811</c:v>
                </c:pt>
                <c:pt idx="27" formatCode="0.00">
                  <c:v>64.872825969980639</c:v>
                </c:pt>
                <c:pt idx="28" formatCode="0.00">
                  <c:v>64.927647708952094</c:v>
                </c:pt>
                <c:pt idx="29" formatCode="0.00">
                  <c:v>64.958767268421511</c:v>
                </c:pt>
                <c:pt idx="30" formatCode="0.00">
                  <c:v>64.976456813807914</c:v>
                </c:pt>
              </c:numCache>
            </c:numRef>
          </c:val>
          <c:smooth val="0"/>
          <c:extLst>
            <c:ext xmlns:c16="http://schemas.microsoft.com/office/drawing/2014/chart" uri="{C3380CC4-5D6E-409C-BE32-E72D297353CC}">
              <c16:uniqueId val="{0000000E-CF6D-4727-A674-32B25EDCD684}"/>
            </c:ext>
          </c:extLst>
        </c:ser>
        <c:ser>
          <c:idx val="15"/>
          <c:order val="14"/>
          <c:tx>
            <c:strRef>
              <c:f>' All EV uptake'!$AS$3</c:f>
              <c:strCache>
                <c:ptCount val="1"/>
                <c:pt idx="0">
                  <c:v>Neth  no subs</c:v>
                </c:pt>
              </c:strCache>
            </c:strRef>
          </c:tx>
          <c:spPr>
            <a:ln w="28575" cap="sq">
              <a:solidFill>
                <a:schemeClr val="accent4">
                  <a:lumMod val="80000"/>
                  <a:lumOff val="20000"/>
                </a:schemeClr>
              </a:solidFill>
              <a:prstDash val="sys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uptake'!$AS$5:$AS$35</c:f>
              <c:numCache>
                <c:formatCode>General</c:formatCode>
                <c:ptCount val="31"/>
                <c:pt idx="2" formatCode="0.00">
                  <c:v>1.8433023734304723</c:v>
                </c:pt>
                <c:pt idx="3" formatCode="0.00">
                  <c:v>1.8433023734304723</c:v>
                </c:pt>
                <c:pt idx="4" formatCode="0.00">
                  <c:v>3.2684255704696215</c:v>
                </c:pt>
                <c:pt idx="5" formatCode="0.00">
                  <c:v>5.6959919762793181</c:v>
                </c:pt>
                <c:pt idx="6" formatCode="0.00">
                  <c:v>3.2684255704696215</c:v>
                </c:pt>
                <c:pt idx="7" formatCode="0.00">
                  <c:v>1.8433023734304723</c:v>
                </c:pt>
                <c:pt idx="8" formatCode="0.00">
                  <c:v>5.6959919762793181</c:v>
                </c:pt>
                <c:pt idx="9" formatCode="0.00">
                  <c:v>6.5472336108152431</c:v>
                </c:pt>
                <c:pt idx="10" formatCode="0.00">
                  <c:v>9.0292647735608416</c:v>
                </c:pt>
                <c:pt idx="11" formatCode="0.00">
                  <c:v>11.1603586919554</c:v>
                </c:pt>
                <c:pt idx="12" formatCode="0.00">
                  <c:v>13.704534636337453</c:v>
                </c:pt>
                <c:pt idx="13" formatCode="0.00">
                  <c:v>16.219124474894382</c:v>
                </c:pt>
                <c:pt idx="14" formatCode="0.00">
                  <c:v>18.679487431988754</c:v>
                </c:pt>
                <c:pt idx="15" formatCode="0.00">
                  <c:v>21.332290501130679</c:v>
                </c:pt>
                <c:pt idx="16" formatCode="0.00">
                  <c:v>24.643019090423234</c:v>
                </c:pt>
                <c:pt idx="17" formatCode="0.00">
                  <c:v>29.184931276318629</c:v>
                </c:pt>
                <c:pt idx="18" formatCode="0.00">
                  <c:v>34.101265452622528</c:v>
                </c:pt>
                <c:pt idx="19" formatCode="0.00">
                  <c:v>39.331777776119338</c:v>
                </c:pt>
                <c:pt idx="20" formatCode="0.00">
                  <c:v>44.836250733647944</c:v>
                </c:pt>
                <c:pt idx="21" formatCode="0.00">
                  <c:v>49.585825992214367</c:v>
                </c:pt>
                <c:pt idx="22" formatCode="0.00">
                  <c:v>52.957902551228656</c:v>
                </c:pt>
                <c:pt idx="23" formatCode="0.00">
                  <c:v>55.714327874223841</c:v>
                </c:pt>
                <c:pt idx="24" formatCode="0.00">
                  <c:v>57.749861502004379</c:v>
                </c:pt>
                <c:pt idx="25" formatCode="0.00">
                  <c:v>58.886786008172749</c:v>
                </c:pt>
                <c:pt idx="26" formatCode="0.00">
                  <c:v>59.822444724934442</c:v>
                </c:pt>
                <c:pt idx="27" formatCode="0.00">
                  <c:v>60.59112762866647</c:v>
                </c:pt>
                <c:pt idx="28" formatCode="0.00">
                  <c:v>61.222530710150558</c:v>
                </c:pt>
                <c:pt idx="29" formatCode="0.00">
                  <c:v>61.745723154645944</c:v>
                </c:pt>
                <c:pt idx="30" formatCode="0.00">
                  <c:v>62.183992667932174</c:v>
                </c:pt>
              </c:numCache>
            </c:numRef>
          </c:val>
          <c:smooth val="0"/>
          <c:extLst>
            <c:ext xmlns:c16="http://schemas.microsoft.com/office/drawing/2014/chart" uri="{C3380CC4-5D6E-409C-BE32-E72D297353CC}">
              <c16:uniqueId val="{0000000F-CF6D-4727-A674-32B25EDCD684}"/>
            </c:ext>
          </c:extLst>
        </c:ser>
        <c:ser>
          <c:idx val="16"/>
          <c:order val="15"/>
          <c:tx>
            <c:strRef>
              <c:f>' All EV uptake'!$AT$3</c:f>
              <c:strCache>
                <c:ptCount val="1"/>
                <c:pt idx="0">
                  <c:v>NZ</c:v>
                </c:pt>
              </c:strCache>
            </c:strRef>
          </c:tx>
          <c:spPr>
            <a:ln w="28575" cap="rnd">
              <a:solidFill>
                <a:schemeClr val="accent5">
                  <a:lumMod val="80000"/>
                  <a:lumOff val="20000"/>
                </a:schemeClr>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uptake'!$AT$5:$AT$35</c:f>
              <c:numCache>
                <c:formatCode>General</c:formatCode>
                <c:ptCount val="31"/>
                <c:pt idx="2" formatCode="0.00">
                  <c:v>5.0294927467282827E-2</c:v>
                </c:pt>
                <c:pt idx="3" formatCode="0.00">
                  <c:v>7.6224558672425224E-2</c:v>
                </c:pt>
                <c:pt idx="4" formatCode="0.00">
                  <c:v>7.6224558672425224E-2</c:v>
                </c:pt>
                <c:pt idx="5" formatCode="0.00">
                  <c:v>0.11847389558232939</c:v>
                </c:pt>
                <c:pt idx="6" formatCode="0.00">
                  <c:v>0.26488873951865571</c:v>
                </c:pt>
                <c:pt idx="7" formatCode="0.00">
                  <c:v>0.40076989322369888</c:v>
                </c:pt>
                <c:pt idx="8" formatCode="0.00">
                  <c:v>0.60570241577331663</c:v>
                </c:pt>
                <c:pt idx="9" formatCode="0.00">
                  <c:v>0.91394400665760067</c:v>
                </c:pt>
                <c:pt idx="10" formatCode="0.00">
                  <c:v>1.4577469580307734</c:v>
                </c:pt>
                <c:pt idx="11" formatCode="0.00">
                  <c:v>2.7577063663501185</c:v>
                </c:pt>
                <c:pt idx="12" formatCode="0.00">
                  <c:v>4.0555904034033849</c:v>
                </c:pt>
                <c:pt idx="13" formatCode="0.00">
                  <c:v>5.7796746796103458</c:v>
                </c:pt>
                <c:pt idx="14" formatCode="0.00">
                  <c:v>7.9199890011022029</c:v>
                </c:pt>
                <c:pt idx="15" formatCode="0.00">
                  <c:v>10.561998939520437</c:v>
                </c:pt>
                <c:pt idx="16" formatCode="0.00">
                  <c:v>13.547688579025499</c:v>
                </c:pt>
                <c:pt idx="17" formatCode="0.00">
                  <c:v>16.870385678585343</c:v>
                </c:pt>
                <c:pt idx="18" formatCode="0.00">
                  <c:v>20.393496520207453</c:v>
                </c:pt>
                <c:pt idx="19" formatCode="0.00">
                  <c:v>24.06561481942407</c:v>
                </c:pt>
                <c:pt idx="20" formatCode="0.00">
                  <c:v>27.807344244802135</c:v>
                </c:pt>
                <c:pt idx="21" formatCode="0.00">
                  <c:v>31.5665908451634</c:v>
                </c:pt>
                <c:pt idx="22" formatCode="0.00">
                  <c:v>35.222121988058468</c:v>
                </c:pt>
                <c:pt idx="23" formatCode="0.00">
                  <c:v>38.798280228540712</c:v>
                </c:pt>
                <c:pt idx="24" formatCode="0.00">
                  <c:v>42.213655566163354</c:v>
                </c:pt>
                <c:pt idx="25" formatCode="0.00">
                  <c:v>45.398426965543081</c:v>
                </c:pt>
                <c:pt idx="26" formatCode="0.00">
                  <c:v>48.300623305289001</c:v>
                </c:pt>
                <c:pt idx="27" formatCode="0.00">
                  <c:v>50.889499442911244</c:v>
                </c:pt>
                <c:pt idx="28" formatCode="0.00">
                  <c:v>53.159468218956867</c:v>
                </c:pt>
                <c:pt idx="29" formatCode="0.00">
                  <c:v>55.120868606155526</c:v>
                </c:pt>
                <c:pt idx="30" formatCode="0.00">
                  <c:v>56.795666341264642</c:v>
                </c:pt>
              </c:numCache>
            </c:numRef>
          </c:val>
          <c:smooth val="0"/>
          <c:extLst>
            <c:ext xmlns:c16="http://schemas.microsoft.com/office/drawing/2014/chart" uri="{C3380CC4-5D6E-409C-BE32-E72D297353CC}">
              <c16:uniqueId val="{00000010-CF6D-4727-A674-32B25EDCD684}"/>
            </c:ext>
          </c:extLst>
        </c:ser>
        <c:ser>
          <c:idx val="17"/>
          <c:order val="16"/>
          <c:tx>
            <c:strRef>
              <c:f>' All EV uptake'!$AU$3</c:f>
              <c:strCache>
                <c:ptCount val="1"/>
                <c:pt idx="0">
                  <c:v>Spain</c:v>
                </c:pt>
              </c:strCache>
            </c:strRef>
          </c:tx>
          <c:spPr>
            <a:ln w="28575" cap="rnd">
              <a:solidFill>
                <a:schemeClr val="accent6">
                  <a:lumMod val="80000"/>
                  <a:lumOff val="20000"/>
                </a:schemeClr>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uptake'!$AU$5:$AU$35</c:f>
              <c:numCache>
                <c:formatCode>General</c:formatCode>
                <c:ptCount val="31"/>
                <c:pt idx="2" formatCode="0.00">
                  <c:v>0.10374374152131341</c:v>
                </c:pt>
                <c:pt idx="3" formatCode="0.00">
                  <c:v>0.13498156151751803</c:v>
                </c:pt>
                <c:pt idx="4" formatCode="0.00">
                  <c:v>0.13498156151751803</c:v>
                </c:pt>
                <c:pt idx="5" formatCode="0.00">
                  <c:v>0.2283977496812255</c:v>
                </c:pt>
                <c:pt idx="6" formatCode="0.00">
                  <c:v>0.29699781325595348</c:v>
                </c:pt>
                <c:pt idx="7" formatCode="0.00">
                  <c:v>0.59705961331901092</c:v>
                </c:pt>
                <c:pt idx="8" formatCode="0.00">
                  <c:v>0.77506356503223739</c:v>
                </c:pt>
                <c:pt idx="9" formatCode="0.00">
                  <c:v>1.0053082103042874</c:v>
                </c:pt>
                <c:pt idx="10" formatCode="0.00">
                  <c:v>1.3890476527430482</c:v>
                </c:pt>
                <c:pt idx="11" formatCode="0.00">
                  <c:v>1.7951145944401015</c:v>
                </c:pt>
                <c:pt idx="12" formatCode="0.00">
                  <c:v>2.517136823839047</c:v>
                </c:pt>
                <c:pt idx="13" formatCode="0.00">
                  <c:v>3.9361466814945563</c:v>
                </c:pt>
                <c:pt idx="14" formatCode="0.00">
                  <c:v>5.2243190122691248</c:v>
                </c:pt>
                <c:pt idx="15" formatCode="0.00">
                  <c:v>6.892208741951988</c:v>
                </c:pt>
                <c:pt idx="16" formatCode="0.00">
                  <c:v>8.9619116532738996</c:v>
                </c:pt>
                <c:pt idx="17" formatCode="0.00">
                  <c:v>11.469747763292974</c:v>
                </c:pt>
                <c:pt idx="18" formatCode="0.00">
                  <c:v>14.437586000905386</c:v>
                </c:pt>
                <c:pt idx="19" formatCode="0.00">
                  <c:v>17.776358134921203</c:v>
                </c:pt>
                <c:pt idx="20" formatCode="0.00">
                  <c:v>21.451375841592988</c:v>
                </c:pt>
                <c:pt idx="21" formatCode="0.00">
                  <c:v>25.34058549795693</c:v>
                </c:pt>
                <c:pt idx="22" formatCode="0.00">
                  <c:v>29.355563878666867</c:v>
                </c:pt>
                <c:pt idx="23" formatCode="0.00">
                  <c:v>33.391616477299635</c:v>
                </c:pt>
                <c:pt idx="24" formatCode="0.00">
                  <c:v>37.335978428464948</c:v>
                </c:pt>
                <c:pt idx="25" formatCode="0.00">
                  <c:v>41.077353514526088</c:v>
                </c:pt>
                <c:pt idx="26" formatCode="0.00">
                  <c:v>44.60610440127585</c:v>
                </c:pt>
                <c:pt idx="27" formatCode="0.00">
                  <c:v>47.852225158409667</c:v>
                </c:pt>
                <c:pt idx="28" formatCode="0.00">
                  <c:v>50.768002716233049</c:v>
                </c:pt>
                <c:pt idx="29" formatCode="0.00">
                  <c:v>53.329089833568844</c:v>
                </c:pt>
                <c:pt idx="30" formatCode="0.00">
                  <c:v>55.532697019299555</c:v>
                </c:pt>
              </c:numCache>
            </c:numRef>
          </c:val>
          <c:smooth val="0"/>
          <c:extLst>
            <c:ext xmlns:c16="http://schemas.microsoft.com/office/drawing/2014/chart" uri="{C3380CC4-5D6E-409C-BE32-E72D297353CC}">
              <c16:uniqueId val="{00000011-CF6D-4727-A674-32B25EDCD684}"/>
            </c:ext>
          </c:extLst>
        </c:ser>
        <c:ser>
          <c:idx val="18"/>
          <c:order val="17"/>
          <c:tx>
            <c:strRef>
              <c:f>' All EV uptake'!$AV$3</c:f>
              <c:strCache>
                <c:ptCount val="1"/>
                <c:pt idx="0">
                  <c:v>Sweden</c:v>
                </c:pt>
              </c:strCache>
            </c:strRef>
          </c:tx>
          <c:spPr>
            <a:ln w="28575" cap="rnd">
              <a:solidFill>
                <a:schemeClr val="accent1">
                  <a:lumMod val="80000"/>
                </a:schemeClr>
              </a:solidFill>
              <a:prstDash val="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uptake'!$AV$5:$AV$35</c:f>
              <c:numCache>
                <c:formatCode>General</c:formatCode>
                <c:ptCount val="31"/>
                <c:pt idx="2" formatCode="0.00">
                  <c:v>0.35918053409809425</c:v>
                </c:pt>
                <c:pt idx="3" formatCode="0.00">
                  <c:v>0.54959336127147995</c:v>
                </c:pt>
                <c:pt idx="4" formatCode="0.00">
                  <c:v>1.5696418171502364</c:v>
                </c:pt>
                <c:pt idx="5" formatCode="0.00">
                  <c:v>2.3781495989026036</c:v>
                </c:pt>
                <c:pt idx="6" formatCode="0.00">
                  <c:v>3.5796100720839283</c:v>
                </c:pt>
                <c:pt idx="7" formatCode="0.00">
                  <c:v>5.3363335562542451</c:v>
                </c:pt>
                <c:pt idx="8" formatCode="0.00">
                  <c:v>9.2732106911149987</c:v>
                </c:pt>
                <c:pt idx="9" formatCode="0.00">
                  <c:v>13.009676331884179</c:v>
                </c:pt>
                <c:pt idx="10" formatCode="0.00">
                  <c:v>16.547495299341858</c:v>
                </c:pt>
                <c:pt idx="11" formatCode="0.00">
                  <c:v>20.364141676569183</c:v>
                </c:pt>
                <c:pt idx="12" formatCode="0.00">
                  <c:v>24.501361537391915</c:v>
                </c:pt>
                <c:pt idx="13" formatCode="0.00">
                  <c:v>28.890772537291301</c:v>
                </c:pt>
                <c:pt idx="14" formatCode="0.00">
                  <c:v>33.551690175248289</c:v>
                </c:pt>
                <c:pt idx="15" formatCode="0.00">
                  <c:v>38.357748742352179</c:v>
                </c:pt>
                <c:pt idx="16" formatCode="0.00">
                  <c:v>43.071236332996399</c:v>
                </c:pt>
                <c:pt idx="17" formatCode="0.00">
                  <c:v>47.582553312925562</c:v>
                </c:pt>
                <c:pt idx="18" formatCode="0.00">
                  <c:v>51.766622414112668</c:v>
                </c:pt>
                <c:pt idx="19" formatCode="0.00">
                  <c:v>55.284613937014441</c:v>
                </c:pt>
                <c:pt idx="20" formatCode="0.00">
                  <c:v>57.956761195220921</c:v>
                </c:pt>
                <c:pt idx="21" formatCode="0.00">
                  <c:v>60.056078419948754</c:v>
                </c:pt>
                <c:pt idx="22" formatCode="0.00">
                  <c:v>61.612702797981477</c:v>
                </c:pt>
                <c:pt idx="23" formatCode="0.00">
                  <c:v>62.683968672407914</c:v>
                </c:pt>
                <c:pt idx="24" formatCode="0.00">
                  <c:v>63.339454393893071</c:v>
                </c:pt>
                <c:pt idx="25" formatCode="0.00">
                  <c:v>63.812202712996964</c:v>
                </c:pt>
                <c:pt idx="26" formatCode="0.00">
                  <c:v>64.15119395269214</c:v>
                </c:pt>
                <c:pt idx="27" formatCode="0.00">
                  <c:v>64.393431774741117</c:v>
                </c:pt>
                <c:pt idx="28" formatCode="0.00">
                  <c:v>64.566268969835548</c:v>
                </c:pt>
                <c:pt idx="29" formatCode="0.00">
                  <c:v>64.689552897893151</c:v>
                </c:pt>
                <c:pt idx="30" formatCode="0.00">
                  <c:v>64.777542227510679</c:v>
                </c:pt>
              </c:numCache>
            </c:numRef>
          </c:val>
          <c:smooth val="0"/>
          <c:extLst>
            <c:ext xmlns:c16="http://schemas.microsoft.com/office/drawing/2014/chart" uri="{C3380CC4-5D6E-409C-BE32-E72D297353CC}">
              <c16:uniqueId val="{00000012-CF6D-4727-A674-32B25EDCD684}"/>
            </c:ext>
          </c:extLst>
        </c:ser>
        <c:ser>
          <c:idx val="19"/>
          <c:order val="18"/>
          <c:tx>
            <c:strRef>
              <c:f>' All EV uptake'!$AW$3</c:f>
              <c:strCache>
                <c:ptCount val="1"/>
                <c:pt idx="0">
                  <c:v>Switzerland</c:v>
                </c:pt>
              </c:strCache>
            </c:strRef>
          </c:tx>
          <c:spPr>
            <a:ln w="28575" cap="sq">
              <a:solidFill>
                <a:schemeClr val="accent2">
                  <a:lumMod val="80000"/>
                </a:schemeClr>
              </a:solidFill>
              <a:prstDash val="sysDash"/>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uptake'!$AW$5:$AW$35</c:f>
              <c:numCache>
                <c:formatCode>General</c:formatCode>
                <c:ptCount val="31"/>
                <c:pt idx="2" formatCode="0.00">
                  <c:v>0.2429049181160419</c:v>
                </c:pt>
                <c:pt idx="3" formatCode="0.00">
                  <c:v>0.42348472348697969</c:v>
                </c:pt>
                <c:pt idx="4" formatCode="0.00">
                  <c:v>0.73678333887473513</c:v>
                </c:pt>
                <c:pt idx="5" formatCode="0.00">
                  <c:v>1.7272382151998207</c:v>
                </c:pt>
                <c:pt idx="6" formatCode="0.00">
                  <c:v>1.9655495214791945</c:v>
                </c:pt>
                <c:pt idx="7" formatCode="0.00">
                  <c:v>2.5181859041344001</c:v>
                </c:pt>
                <c:pt idx="8" formatCode="0.00">
                  <c:v>4.0792777376945386</c:v>
                </c:pt>
                <c:pt idx="9" formatCode="0.00">
                  <c:v>5.3295337963467757</c:v>
                </c:pt>
                <c:pt idx="10" formatCode="0.00">
                  <c:v>6.833462724122529</c:v>
                </c:pt>
                <c:pt idx="11" formatCode="0.00">
                  <c:v>9.0655879820791885</c:v>
                </c:pt>
                <c:pt idx="12" formatCode="0.00">
                  <c:v>11.340549172193581</c:v>
                </c:pt>
                <c:pt idx="13" formatCode="0.00">
                  <c:v>13.969895796420333</c:v>
                </c:pt>
                <c:pt idx="14" formatCode="0.00">
                  <c:v>17.132598991346192</c:v>
                </c:pt>
                <c:pt idx="15" formatCode="0.00">
                  <c:v>20.673049593959433</c:v>
                </c:pt>
                <c:pt idx="16" formatCode="0.00">
                  <c:v>24.573267650361963</c:v>
                </c:pt>
                <c:pt idx="17" formatCode="0.00">
                  <c:v>28.686021159696825</c:v>
                </c:pt>
                <c:pt idx="18" formatCode="0.00">
                  <c:v>32.989440621710102</c:v>
                </c:pt>
                <c:pt idx="19" formatCode="0.00">
                  <c:v>37.169467984997326</c:v>
                </c:pt>
                <c:pt idx="20" formatCode="0.00">
                  <c:v>41.135504216434143</c:v>
                </c:pt>
                <c:pt idx="21" formatCode="0.00">
                  <c:v>44.68290315088489</c:v>
                </c:pt>
                <c:pt idx="22" formatCode="0.00">
                  <c:v>47.891592258478695</c:v>
                </c:pt>
                <c:pt idx="23" formatCode="0.00">
                  <c:v>50.704484533454597</c:v>
                </c:pt>
                <c:pt idx="24" formatCode="0.00">
                  <c:v>53.06923354824098</c:v>
                </c:pt>
                <c:pt idx="25" formatCode="0.00">
                  <c:v>54.937576847824054</c:v>
                </c:pt>
                <c:pt idx="26" formatCode="0.00">
                  <c:v>56.553846464532619</c:v>
                </c:pt>
                <c:pt idx="27" formatCode="0.00">
                  <c:v>57.936908496138756</c:v>
                </c:pt>
                <c:pt idx="28" formatCode="0.00">
                  <c:v>59.110854323429628</c:v>
                </c:pt>
                <c:pt idx="29" formatCode="0.00">
                  <c:v>60.100956023586413</c:v>
                </c:pt>
                <c:pt idx="30" formatCode="0.00">
                  <c:v>60.931984632212469</c:v>
                </c:pt>
              </c:numCache>
            </c:numRef>
          </c:val>
          <c:smooth val="0"/>
          <c:extLst>
            <c:ext xmlns:c16="http://schemas.microsoft.com/office/drawing/2014/chart" uri="{C3380CC4-5D6E-409C-BE32-E72D297353CC}">
              <c16:uniqueId val="{00000013-CF6D-4727-A674-32B25EDCD684}"/>
            </c:ext>
          </c:extLst>
        </c:ser>
        <c:ser>
          <c:idx val="20"/>
          <c:order val="19"/>
          <c:tx>
            <c:strRef>
              <c:f>' All EV uptake'!$AX$3</c:f>
              <c:strCache>
                <c:ptCount val="1"/>
                <c:pt idx="0">
                  <c:v>UK</c:v>
                </c:pt>
              </c:strCache>
            </c:strRef>
          </c:tx>
          <c:spPr>
            <a:ln w="28575" cap="rnd" cmpd="sng">
              <a:solidFill>
                <a:srgbClr val="FFC000"/>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uptake'!$AX$5:$AX$35</c:f>
              <c:numCache>
                <c:formatCode>General</c:formatCode>
                <c:ptCount val="31"/>
                <c:pt idx="2" formatCode="0.00">
                  <c:v>0.12311636472094348</c:v>
                </c:pt>
                <c:pt idx="3" formatCode="0.00">
                  <c:v>0.17450773560150143</c:v>
                </c:pt>
                <c:pt idx="4" formatCode="0.00">
                  <c:v>0.62214017193631121</c:v>
                </c:pt>
                <c:pt idx="5" formatCode="0.00">
                  <c:v>1.1141054329537496</c:v>
                </c:pt>
                <c:pt idx="6" formatCode="0.00">
                  <c:v>1.2399004278695112</c:v>
                </c:pt>
                <c:pt idx="7" formatCode="0.00">
                  <c:v>1.7449230058151759</c:v>
                </c:pt>
                <c:pt idx="8" formatCode="0.00">
                  <c:v>2.4477489867286506</c:v>
                </c:pt>
                <c:pt idx="9" formatCode="0.00">
                  <c:v>3.4183633247503673</c:v>
                </c:pt>
                <c:pt idx="10" formatCode="0.00">
                  <c:v>4.0264837096282111</c:v>
                </c:pt>
                <c:pt idx="11" formatCode="0.00">
                  <c:v>4.6678633605832385</c:v>
                </c:pt>
                <c:pt idx="12" formatCode="0.00">
                  <c:v>6.0277420639963921</c:v>
                </c:pt>
                <c:pt idx="13" formatCode="0.00">
                  <c:v>7.7213108086701068</c:v>
                </c:pt>
                <c:pt idx="14" formatCode="0.00">
                  <c:v>9.8172621104326403</c:v>
                </c:pt>
                <c:pt idx="15" formatCode="0.00">
                  <c:v>12.38227248314139</c:v>
                </c:pt>
                <c:pt idx="16" formatCode="0.00">
                  <c:v>15.326228918126082</c:v>
                </c:pt>
                <c:pt idx="17" formatCode="0.00">
                  <c:v>18.688647046715996</c:v>
                </c:pt>
                <c:pt idx="18" formatCode="0.00">
                  <c:v>22.338012040843889</c:v>
                </c:pt>
                <c:pt idx="19" formatCode="0.00">
                  <c:v>26.210065115308712</c:v>
                </c:pt>
                <c:pt idx="20" formatCode="0.00">
                  <c:v>30.215984364203909</c:v>
                </c:pt>
                <c:pt idx="21" formatCode="0.00">
                  <c:v>34.239280285492683</c:v>
                </c:pt>
                <c:pt idx="22" formatCode="0.00">
                  <c:v>38.135703199022991</c:v>
                </c:pt>
                <c:pt idx="23" formatCode="0.00">
                  <c:v>41.896705249588628</c:v>
                </c:pt>
                <c:pt idx="24" formatCode="0.00">
                  <c:v>45.412905407599169</c:v>
                </c:pt>
                <c:pt idx="25" formatCode="0.00">
                  <c:v>48.615538716512127</c:v>
                </c:pt>
                <c:pt idx="26" formatCode="0.00">
                  <c:v>51.461128427110211</c:v>
                </c:pt>
                <c:pt idx="27" formatCode="0.00">
                  <c:v>53.932201707087792</c:v>
                </c:pt>
                <c:pt idx="28" formatCode="0.00">
                  <c:v>56.035744993121156</c:v>
                </c:pt>
                <c:pt idx="29" formatCode="0.00">
                  <c:v>57.795731915354104</c:v>
                </c:pt>
                <c:pt idx="30" formatCode="0.00">
                  <c:v>59.247080614259097</c:v>
                </c:pt>
              </c:numCache>
            </c:numRef>
          </c:val>
          <c:smooth val="0"/>
          <c:extLst>
            <c:ext xmlns:c16="http://schemas.microsoft.com/office/drawing/2014/chart" uri="{C3380CC4-5D6E-409C-BE32-E72D297353CC}">
              <c16:uniqueId val="{00000014-CF6D-4727-A674-32B25EDCD684}"/>
            </c:ext>
          </c:extLst>
        </c:ser>
        <c:ser>
          <c:idx val="21"/>
          <c:order val="20"/>
          <c:tx>
            <c:strRef>
              <c:f>' All EV uptake'!$AY$3</c:f>
              <c:strCache>
                <c:ptCount val="1"/>
                <c:pt idx="0">
                  <c:v>USA</c:v>
                </c:pt>
              </c:strCache>
            </c:strRef>
          </c:tx>
          <c:spPr>
            <a:ln w="28575" cap="rnd">
              <a:solidFill>
                <a:schemeClr val="accent4">
                  <a:lumMod val="80000"/>
                </a:schemeClr>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uptake'!$AY$5:$AY$35</c:f>
              <c:numCache>
                <c:formatCode>General</c:formatCode>
                <c:ptCount val="31"/>
                <c:pt idx="2" formatCode="0.00">
                  <c:v>0.43753150028238091</c:v>
                </c:pt>
                <c:pt idx="3" formatCode="0.00">
                  <c:v>0.75238469235392802</c:v>
                </c:pt>
                <c:pt idx="4" formatCode="0.00">
                  <c:v>0.75238469235392802</c:v>
                </c:pt>
                <c:pt idx="5" formatCode="0.00">
                  <c:v>0.88800892679070453</c:v>
                </c:pt>
                <c:pt idx="6" formatCode="0.00">
                  <c:v>1.1228114078567422</c:v>
                </c:pt>
                <c:pt idx="7" formatCode="0.00">
                  <c:v>1.4183255938840109</c:v>
                </c:pt>
                <c:pt idx="8" formatCode="0.00">
                  <c:v>2.6156431898055854</c:v>
                </c:pt>
                <c:pt idx="9" formatCode="0.00">
                  <c:v>2.3935033158161345</c:v>
                </c:pt>
                <c:pt idx="10" formatCode="0.00">
                  <c:v>2.7192280592535458</c:v>
                </c:pt>
                <c:pt idx="11" formatCode="0.00">
                  <c:v>3.1016682263851574</c:v>
                </c:pt>
                <c:pt idx="12" formatCode="0.00">
                  <c:v>3.5330616873736922</c:v>
                </c:pt>
                <c:pt idx="13" formatCode="0.00">
                  <c:v>4.2449709311987238</c:v>
                </c:pt>
                <c:pt idx="14" formatCode="0.00">
                  <c:v>5.2627084369068342</c:v>
                </c:pt>
                <c:pt idx="15" formatCode="0.00">
                  <c:v>6.6362512235749405</c:v>
                </c:pt>
                <c:pt idx="16" formatCode="0.00">
                  <c:v>8.3751662262900783</c:v>
                </c:pt>
                <c:pt idx="17" formatCode="0.00">
                  <c:v>10.50379583667393</c:v>
                </c:pt>
                <c:pt idx="18" formatCode="0.00">
                  <c:v>12.972130328381544</c:v>
                </c:pt>
                <c:pt idx="19" formatCode="0.00">
                  <c:v>15.773021633345055</c:v>
                </c:pt>
                <c:pt idx="20" formatCode="0.00">
                  <c:v>18.816114514095393</c:v>
                </c:pt>
                <c:pt idx="21" formatCode="0.00">
                  <c:v>22.086190607185557</c:v>
                </c:pt>
                <c:pt idx="22" formatCode="0.00">
                  <c:v>25.529528406376212</c:v>
                </c:pt>
                <c:pt idx="23" formatCode="0.00">
                  <c:v>29.076278040603714</c:v>
                </c:pt>
                <c:pt idx="24" formatCode="0.00">
                  <c:v>32.644299700791024</c:v>
                </c:pt>
                <c:pt idx="25" formatCode="0.00">
                  <c:v>36.209087821450417</c:v>
                </c:pt>
                <c:pt idx="26" formatCode="0.00">
                  <c:v>39.691620122192134</c:v>
                </c:pt>
                <c:pt idx="27" formatCode="0.00">
                  <c:v>43.019314504399027</c:v>
                </c:pt>
                <c:pt idx="28" formatCode="0.00">
                  <c:v>46.131280259941583</c:v>
                </c:pt>
                <c:pt idx="29" formatCode="0.00">
                  <c:v>48.981940547460013</c:v>
                </c:pt>
                <c:pt idx="30" formatCode="0.00">
                  <c:v>51.54266515602253</c:v>
                </c:pt>
              </c:numCache>
            </c:numRef>
          </c:val>
          <c:smooth val="0"/>
          <c:extLst>
            <c:ext xmlns:c16="http://schemas.microsoft.com/office/drawing/2014/chart" uri="{C3380CC4-5D6E-409C-BE32-E72D297353CC}">
              <c16:uniqueId val="{00000015-CF6D-4727-A674-32B25EDCD684}"/>
            </c:ext>
          </c:extLst>
        </c:ser>
        <c:ser>
          <c:idx val="22"/>
          <c:order val="21"/>
          <c:tx>
            <c:strRef>
              <c:f>' All EV uptake'!$AZ$3</c:f>
              <c:strCache>
                <c:ptCount val="1"/>
                <c:pt idx="0">
                  <c:v>Rest Europe</c:v>
                </c:pt>
              </c:strCache>
            </c:strRef>
          </c:tx>
          <c:spPr>
            <a:ln w="28575" cap="rnd">
              <a:solidFill>
                <a:srgbClr val="C00000"/>
              </a:solidFill>
              <a:prstDash val="lgDashDotDot"/>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uptake'!$AZ$5:$AZ$35</c:f>
              <c:numCache>
                <c:formatCode>General</c:formatCode>
                <c:ptCount val="31"/>
                <c:pt idx="2" formatCode="0.00">
                  <c:v>3.3744342442585909E-2</c:v>
                </c:pt>
                <c:pt idx="3" formatCode="0.00">
                  <c:v>5.2527783932434013E-2</c:v>
                </c:pt>
                <c:pt idx="4" formatCode="0.00">
                  <c:v>8.175367776141565E-2</c:v>
                </c:pt>
                <c:pt idx="5" formatCode="0.00">
                  <c:v>0.12720869508644847</c:v>
                </c:pt>
                <c:pt idx="6" formatCode="0.00">
                  <c:v>0.12387481770399303</c:v>
                </c:pt>
                <c:pt idx="7" formatCode="0.00">
                  <c:v>0.30756372069793464</c:v>
                </c:pt>
                <c:pt idx="8" formatCode="0.00">
                  <c:v>0.53770724711563977</c:v>
                </c:pt>
                <c:pt idx="9" formatCode="0.00">
                  <c:v>0.80231503714945585</c:v>
                </c:pt>
                <c:pt idx="10" formatCode="0.00">
                  <c:v>1.1409432358500173</c:v>
                </c:pt>
                <c:pt idx="11" formatCode="0.00">
                  <c:v>1.7397763277109062</c:v>
                </c:pt>
                <c:pt idx="12" formatCode="0.00">
                  <c:v>2.3882958574109643</c:v>
                </c:pt>
                <c:pt idx="13" formatCode="0.00">
                  <c:v>3.235463946736632</c:v>
                </c:pt>
                <c:pt idx="14" formatCode="0.00">
                  <c:v>4.3373109947000348</c:v>
                </c:pt>
                <c:pt idx="15" formatCode="0.00">
                  <c:v>5.7460928041321813</c:v>
                </c:pt>
                <c:pt idx="16" formatCode="0.00">
                  <c:v>7.5123484183964866</c:v>
                </c:pt>
                <c:pt idx="17" formatCode="0.00">
                  <c:v>9.6782153372011557</c:v>
                </c:pt>
                <c:pt idx="18" formatCode="0.00">
                  <c:v>12.269378694505548</c:v>
                </c:pt>
                <c:pt idx="19" formatCode="0.00">
                  <c:v>15.287046255962554</c:v>
                </c:pt>
                <c:pt idx="20" formatCode="0.00">
                  <c:v>18.701877305538918</c:v>
                </c:pt>
                <c:pt idx="21" formatCode="0.00">
                  <c:v>22.451750711328952</c:v>
                </c:pt>
                <c:pt idx="22" formatCode="0.00">
                  <c:v>26.444523671266914</c:v>
                </c:pt>
                <c:pt idx="23" formatCode="0.00">
                  <c:v>30.5657574927612</c:v>
                </c:pt>
                <c:pt idx="24" formatCode="0.00">
                  <c:v>34.690210331963065</c:v>
                </c:pt>
                <c:pt idx="25" formatCode="0.00">
                  <c:v>38.695058871007866</c:v>
                </c:pt>
                <c:pt idx="26" formatCode="0.00">
                  <c:v>42.472445808493127</c:v>
                </c:pt>
                <c:pt idx="27" formatCode="0.00">
                  <c:v>45.939101265020064</c:v>
                </c:pt>
                <c:pt idx="28" formatCode="0.00">
                  <c:v>49.04663284859231</c:v>
                </c:pt>
                <c:pt idx="29" formatCode="0.00">
                  <c:v>51.774010485656405</c:v>
                </c:pt>
                <c:pt idx="30" formatCode="0.00">
                  <c:v>54.124354992857789</c:v>
                </c:pt>
              </c:numCache>
            </c:numRef>
          </c:val>
          <c:smooth val="0"/>
          <c:extLst>
            <c:ext xmlns:c16="http://schemas.microsoft.com/office/drawing/2014/chart" uri="{C3380CC4-5D6E-409C-BE32-E72D297353CC}">
              <c16:uniqueId val="{00000016-CF6D-4727-A674-32B25EDCD684}"/>
            </c:ext>
          </c:extLst>
        </c:ser>
        <c:ser>
          <c:idx val="0"/>
          <c:order val="22"/>
          <c:tx>
            <c:strRef>
              <c:f>' All EV uptake'!$AD$3</c:f>
              <c:strCache>
                <c:ptCount val="1"/>
                <c:pt idx="0">
                  <c:v> Australia</c:v>
                </c:pt>
              </c:strCache>
            </c:strRef>
          </c:tx>
          <c:spPr>
            <a:ln w="34925" cap="rnd">
              <a:solidFill>
                <a:schemeClr val="tx1"/>
              </a:solidFill>
              <a:round/>
            </a:ln>
            <a:effectLst/>
          </c:spPr>
          <c:marker>
            <c:symbol val="none"/>
          </c:marker>
          <c:cat>
            <c:numRef>
              <c:f>' All EV uptake'!$AC$5:$AC$35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 All EV uptake'!$AD$5:$AD$35</c:f>
              <c:numCache>
                <c:formatCode>0.00</c:formatCode>
                <c:ptCount val="31"/>
                <c:pt idx="2">
                  <c:v>3.3737289203929641E-2</c:v>
                </c:pt>
                <c:pt idx="3">
                  <c:v>3.3737289203929641E-2</c:v>
                </c:pt>
                <c:pt idx="4">
                  <c:v>3.3737289203929641E-2</c:v>
                </c:pt>
                <c:pt idx="5">
                  <c:v>0.19105189234029193</c:v>
                </c:pt>
                <c:pt idx="6">
                  <c:v>0.19728827949079125</c:v>
                </c:pt>
                <c:pt idx="7">
                  <c:v>0.21240931229561377</c:v>
                </c:pt>
                <c:pt idx="8">
                  <c:v>0.46529499260757357</c:v>
                </c:pt>
                <c:pt idx="9">
                  <c:v>0.72128820687528983</c:v>
                </c:pt>
                <c:pt idx="10">
                  <c:v>1.3784503770027925</c:v>
                </c:pt>
                <c:pt idx="11">
                  <c:v>2.0454176020905916</c:v>
                </c:pt>
                <c:pt idx="12">
                  <c:v>2.9260014029329313</c:v>
                </c:pt>
                <c:pt idx="13">
                  <c:v>4.1981355639089175</c:v>
                </c:pt>
                <c:pt idx="14">
                  <c:v>5.8798767082036187</c:v>
                </c:pt>
                <c:pt idx="15">
                  <c:v>8.0223170470678973</c:v>
                </c:pt>
                <c:pt idx="16">
                  <c:v>10.641364340714375</c:v>
                </c:pt>
                <c:pt idx="17">
                  <c:v>13.915702409395562</c:v>
                </c:pt>
                <c:pt idx="18">
                  <c:v>17.676776875566038</c:v>
                </c:pt>
                <c:pt idx="19">
                  <c:v>21.927531861590744</c:v>
                </c:pt>
                <c:pt idx="20">
                  <c:v>26.53930108875187</c:v>
                </c:pt>
                <c:pt idx="21">
                  <c:v>31.541346455031022</c:v>
                </c:pt>
                <c:pt idx="22">
                  <c:v>36.457651563255034</c:v>
                </c:pt>
                <c:pt idx="23">
                  <c:v>41.140043673785051</c:v>
                </c:pt>
                <c:pt idx="24">
                  <c:v>45.31624094050359</c:v>
                </c:pt>
                <c:pt idx="25">
                  <c:v>49.059959713650805</c:v>
                </c:pt>
                <c:pt idx="26">
                  <c:v>52.27369741094325</c:v>
                </c:pt>
                <c:pt idx="27">
                  <c:v>54.867705368968885</c:v>
                </c:pt>
                <c:pt idx="28">
                  <c:v>56.757455016019755</c:v>
                </c:pt>
                <c:pt idx="29">
                  <c:v>58.326983196037432</c:v>
                </c:pt>
                <c:pt idx="30">
                  <c:v>59.617035091051719</c:v>
                </c:pt>
              </c:numCache>
            </c:numRef>
          </c:val>
          <c:smooth val="0"/>
          <c:extLst>
            <c:ext xmlns:c16="http://schemas.microsoft.com/office/drawing/2014/chart" uri="{C3380CC4-5D6E-409C-BE32-E72D297353CC}">
              <c16:uniqueId val="{00000000-CF6D-4727-A674-32B25EDCD684}"/>
            </c:ext>
          </c:extLst>
        </c:ser>
        <c:dLbls>
          <c:showLegendKey val="0"/>
          <c:showVal val="0"/>
          <c:showCatName val="0"/>
          <c:showSerName val="0"/>
          <c:showPercent val="0"/>
          <c:showBubbleSize val="0"/>
        </c:dLbls>
        <c:smooth val="0"/>
        <c:axId val="813978760"/>
        <c:axId val="813979088"/>
      </c:lineChart>
      <c:catAx>
        <c:axId val="813978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979088"/>
        <c:crosses val="autoZero"/>
        <c:auto val="1"/>
        <c:lblAlgn val="ctr"/>
        <c:lblOffset val="100"/>
        <c:tickLblSkip val="5"/>
        <c:tickMarkSkip val="5"/>
        <c:noMultiLvlLbl val="0"/>
      </c:catAx>
      <c:valAx>
        <c:axId val="813979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4336914865254638E-2"/>
              <c:y val="0.353489052147735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978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Australia EV%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'Australia EV uptake'!$C$3</c:f>
              <c:strCache>
                <c:ptCount val="1"/>
                <c:pt idx="0">
                  <c:v> predicted</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uptake'!$C$4:$C$45</c:f>
              <c:numCache>
                <c:formatCode>0.00</c:formatCode>
                <c:ptCount val="42"/>
                <c:pt idx="0">
                  <c:v>0</c:v>
                </c:pt>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3-C99A-4C3A-B920-499BBA6AC8E8}"/>
            </c:ext>
          </c:extLst>
        </c:ser>
        <c:ser>
          <c:idx val="0"/>
          <c:order val="1"/>
          <c:tx>
            <c:strRef>
              <c:f>'Australia EV uptake'!$E$3</c:f>
              <c:strCache>
                <c:ptCount val="1"/>
                <c:pt idx="0">
                  <c:v>Predicted Cost Lagged</c:v>
                </c:pt>
              </c:strCache>
            </c:strRef>
          </c:tx>
          <c:spPr>
            <a:ln w="28575" cap="rnd">
              <a:solidFill>
                <a:schemeClr val="accent1"/>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uptake'!$E$4:$E$45</c:f>
              <c:numCache>
                <c:formatCode>0.00</c:formatCode>
                <c:ptCount val="42"/>
                <c:pt idx="3">
                  <c:v>3.3737289203929641E-2</c:v>
                </c:pt>
                <c:pt idx="4">
                  <c:v>3.3737289203929641E-2</c:v>
                </c:pt>
                <c:pt idx="5">
                  <c:v>3.3737289203929641E-2</c:v>
                </c:pt>
                <c:pt idx="6">
                  <c:v>0.19105189234029193</c:v>
                </c:pt>
                <c:pt idx="7">
                  <c:v>0.19728827949079125</c:v>
                </c:pt>
                <c:pt idx="8">
                  <c:v>0.21240931229561377</c:v>
                </c:pt>
                <c:pt idx="9">
                  <c:v>0.46529499260757357</c:v>
                </c:pt>
                <c:pt idx="10">
                  <c:v>0.72128820687528983</c:v>
                </c:pt>
                <c:pt idx="11">
                  <c:v>1.3784503770027925</c:v>
                </c:pt>
                <c:pt idx="12">
                  <c:v>2.0454176020905916</c:v>
                </c:pt>
                <c:pt idx="13">
                  <c:v>2.9260014029329313</c:v>
                </c:pt>
                <c:pt idx="14">
                  <c:v>4.1981355639089175</c:v>
                </c:pt>
                <c:pt idx="15">
                  <c:v>5.8798767082036187</c:v>
                </c:pt>
                <c:pt idx="16">
                  <c:v>8.0223170470678973</c:v>
                </c:pt>
                <c:pt idx="17">
                  <c:v>10.641364340714375</c:v>
                </c:pt>
                <c:pt idx="18">
                  <c:v>13.915702409395562</c:v>
                </c:pt>
                <c:pt idx="19">
                  <c:v>17.676776875566038</c:v>
                </c:pt>
                <c:pt idx="20">
                  <c:v>21.927531861590744</c:v>
                </c:pt>
                <c:pt idx="21">
                  <c:v>26.53930108875187</c:v>
                </c:pt>
                <c:pt idx="22">
                  <c:v>31.541346455031022</c:v>
                </c:pt>
                <c:pt idx="23">
                  <c:v>36.457651563255034</c:v>
                </c:pt>
                <c:pt idx="24">
                  <c:v>41.140043673785051</c:v>
                </c:pt>
                <c:pt idx="25">
                  <c:v>45.31624094050359</c:v>
                </c:pt>
                <c:pt idx="26">
                  <c:v>49.059959713650805</c:v>
                </c:pt>
                <c:pt idx="27">
                  <c:v>52.27369741094325</c:v>
                </c:pt>
                <c:pt idx="28">
                  <c:v>54.867705368968885</c:v>
                </c:pt>
                <c:pt idx="29">
                  <c:v>56.757455016019755</c:v>
                </c:pt>
                <c:pt idx="30">
                  <c:v>58.326983196037432</c:v>
                </c:pt>
                <c:pt idx="31">
                  <c:v>59.617035091051719</c:v>
                </c:pt>
                <c:pt idx="32">
                  <c:v>60.669608218606562</c:v>
                </c:pt>
                <c:pt idx="33">
                  <c:v>61.524414476596924</c:v>
                </c:pt>
                <c:pt idx="34">
                  <c:v>62.216929571757383</c:v>
                </c:pt>
                <c:pt idx="35">
                  <c:v>62.777630859933588</c:v>
                </c:pt>
                <c:pt idx="36">
                  <c:v>63.229334891316022</c:v>
                </c:pt>
                <c:pt idx="37">
                  <c:v>63.606739664948257</c:v>
                </c:pt>
                <c:pt idx="38">
                  <c:v>63.908468013779789</c:v>
                </c:pt>
                <c:pt idx="39">
                  <c:v>64.149087658891773</c:v>
                </c:pt>
                <c:pt idx="40">
                  <c:v>64.340589886984404</c:v>
                </c:pt>
                <c:pt idx="41">
                  <c:v>64.47672263953821</c:v>
                </c:pt>
              </c:numCache>
            </c:numRef>
          </c:val>
          <c:smooth val="0"/>
          <c:extLst>
            <c:ext xmlns:c16="http://schemas.microsoft.com/office/drawing/2014/chart" uri="{C3380CC4-5D6E-409C-BE32-E72D297353CC}">
              <c16:uniqueId val="{00000000-C99A-4C3A-B920-499BBA6AC8E8}"/>
            </c:ext>
          </c:extLst>
        </c:ser>
        <c:ser>
          <c:idx val="2"/>
          <c:order val="2"/>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C99A-4C3A-B920-499BBA6AC8E8}"/>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52718207249229576"/>
          <c:h val="5.96295253432577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uptake'!$U$3</c:f>
              <c:strCache>
                <c:ptCount val="1"/>
                <c:pt idx="0">
                  <c:v>High</c:v>
                </c:pt>
              </c:strCache>
            </c:strRef>
          </c:tx>
          <c:spPr>
            <a:ln w="28575" cap="rnd">
              <a:solidFill>
                <a:schemeClr val="accent1"/>
              </a:solidFill>
              <a:round/>
            </a:ln>
            <a:effectLst/>
          </c:spPr>
          <c:marker>
            <c:symbol val="none"/>
          </c:marker>
          <c:cat>
            <c:numRef>
              <c:f>'Australia EV uptake'!$T$5:$T$25</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 EV uptake'!$U$5:$U$25</c:f>
              <c:numCache>
                <c:formatCode>General</c:formatCode>
                <c:ptCount val="21"/>
                <c:pt idx="2" formatCode="0.00">
                  <c:v>3.3737289203929641E-2</c:v>
                </c:pt>
                <c:pt idx="3" formatCode="0.00">
                  <c:v>3.3737289203929641E-2</c:v>
                </c:pt>
                <c:pt idx="4" formatCode="0.00">
                  <c:v>3.3737289203929641E-2</c:v>
                </c:pt>
                <c:pt idx="5" formatCode="0.00">
                  <c:v>0.19105189234029193</c:v>
                </c:pt>
                <c:pt idx="6" formatCode="0.00">
                  <c:v>0.19728827949079125</c:v>
                </c:pt>
                <c:pt idx="7" formatCode="0.00">
                  <c:v>0.21240931229561377</c:v>
                </c:pt>
                <c:pt idx="8" formatCode="0.00">
                  <c:v>0.46529499260757357</c:v>
                </c:pt>
                <c:pt idx="9" formatCode="0.00">
                  <c:v>0.87715426117000117</c:v>
                </c:pt>
                <c:pt idx="10" formatCode="0.00">
                  <c:v>1.5829135765545301</c:v>
                </c:pt>
                <c:pt idx="11" formatCode="0.00">
                  <c:v>2.3883810105955754</c:v>
                </c:pt>
                <c:pt idx="12" formatCode="0.00">
                  <c:v>3.5227528202987131</c:v>
                </c:pt>
                <c:pt idx="13" formatCode="0.00">
                  <c:v>5.0000206942250687</c:v>
                </c:pt>
                <c:pt idx="14" formatCode="0.00">
                  <c:v>6.9053983874780958</c:v>
                </c:pt>
                <c:pt idx="15" formatCode="0.00">
                  <c:v>9.382913934038724</c:v>
                </c:pt>
                <c:pt idx="16" formatCode="0.00">
                  <c:v>12.372447596055476</c:v>
                </c:pt>
                <c:pt idx="17" formatCode="0.00">
                  <c:v>15.912885002157934</c:v>
                </c:pt>
                <c:pt idx="18" formatCode="0.00">
                  <c:v>19.959768472483045</c:v>
                </c:pt>
                <c:pt idx="19" formatCode="0.00">
                  <c:v>24.55062896158757</c:v>
                </c:pt>
                <c:pt idx="20" formatCode="0.00">
                  <c:v>29.284804461556117</c:v>
                </c:pt>
              </c:numCache>
            </c:numRef>
          </c:val>
          <c:smooth val="0"/>
          <c:extLst>
            <c:ext xmlns:c16="http://schemas.microsoft.com/office/drawing/2014/chart" uri="{C3380CC4-5D6E-409C-BE32-E72D297353CC}">
              <c16:uniqueId val="{00000000-881B-4B14-B991-0C20291D523C}"/>
            </c:ext>
          </c:extLst>
        </c:ser>
        <c:ser>
          <c:idx val="1"/>
          <c:order val="1"/>
          <c:tx>
            <c:strRef>
              <c:f>'Australia EV uptake'!$V$3</c:f>
              <c:strCache>
                <c:ptCount val="1"/>
                <c:pt idx="0">
                  <c:v>Medium</c:v>
                </c:pt>
              </c:strCache>
            </c:strRef>
          </c:tx>
          <c:spPr>
            <a:ln w="28575" cap="rnd">
              <a:solidFill>
                <a:schemeClr val="accent2"/>
              </a:solidFill>
              <a:round/>
            </a:ln>
            <a:effectLst/>
          </c:spPr>
          <c:marker>
            <c:symbol val="none"/>
          </c:marker>
          <c:cat>
            <c:numRef>
              <c:f>'Australia EV uptake'!$T$5:$T$25</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 EV uptake'!$V$5:$V$25</c:f>
              <c:numCache>
                <c:formatCode>General</c:formatCode>
                <c:ptCount val="21"/>
                <c:pt idx="2" formatCode="0.00">
                  <c:v>3.3737289203929641E-2</c:v>
                </c:pt>
                <c:pt idx="3" formatCode="0.00">
                  <c:v>3.3737289203929641E-2</c:v>
                </c:pt>
                <c:pt idx="4" formatCode="0.00">
                  <c:v>3.3737289203929641E-2</c:v>
                </c:pt>
                <c:pt idx="5" formatCode="0.00">
                  <c:v>0.19105189234029193</c:v>
                </c:pt>
                <c:pt idx="6" formatCode="0.00">
                  <c:v>0.19728827949079125</c:v>
                </c:pt>
                <c:pt idx="7" formatCode="0.00">
                  <c:v>0.21240931229561377</c:v>
                </c:pt>
                <c:pt idx="8" formatCode="0.00">
                  <c:v>0.46529499260757357</c:v>
                </c:pt>
                <c:pt idx="9" formatCode="0.00">
                  <c:v>0.72128820687528983</c:v>
                </c:pt>
                <c:pt idx="10" formatCode="0.00">
                  <c:v>1.3784503770027925</c:v>
                </c:pt>
                <c:pt idx="11" formatCode="0.00">
                  <c:v>2.0454176020905916</c:v>
                </c:pt>
                <c:pt idx="12" formatCode="0.00">
                  <c:v>2.9260014029329313</c:v>
                </c:pt>
                <c:pt idx="13" formatCode="0.00">
                  <c:v>4.1981355639089175</c:v>
                </c:pt>
                <c:pt idx="14" formatCode="0.00">
                  <c:v>5.8798767082036187</c:v>
                </c:pt>
                <c:pt idx="15" formatCode="0.00">
                  <c:v>8.0223170470678973</c:v>
                </c:pt>
                <c:pt idx="16" formatCode="0.00">
                  <c:v>10.641364340714375</c:v>
                </c:pt>
                <c:pt idx="17" formatCode="0.00">
                  <c:v>13.915702409395562</c:v>
                </c:pt>
                <c:pt idx="18" formatCode="0.00">
                  <c:v>17.676776875566038</c:v>
                </c:pt>
                <c:pt idx="19" formatCode="0.00">
                  <c:v>21.927531861590744</c:v>
                </c:pt>
                <c:pt idx="20" formatCode="0.00">
                  <c:v>26.53930108875187</c:v>
                </c:pt>
              </c:numCache>
            </c:numRef>
          </c:val>
          <c:smooth val="0"/>
          <c:extLst>
            <c:ext xmlns:c16="http://schemas.microsoft.com/office/drawing/2014/chart" uri="{C3380CC4-5D6E-409C-BE32-E72D297353CC}">
              <c16:uniqueId val="{00000001-881B-4B14-B991-0C20291D523C}"/>
            </c:ext>
          </c:extLst>
        </c:ser>
        <c:ser>
          <c:idx val="2"/>
          <c:order val="2"/>
          <c:tx>
            <c:strRef>
              <c:f>'Australia EV uptake'!$W$3</c:f>
              <c:strCache>
                <c:ptCount val="1"/>
                <c:pt idx="0">
                  <c:v>Low</c:v>
                </c:pt>
              </c:strCache>
            </c:strRef>
          </c:tx>
          <c:spPr>
            <a:ln w="28575" cap="rnd">
              <a:solidFill>
                <a:schemeClr val="accent3"/>
              </a:solidFill>
              <a:round/>
            </a:ln>
            <a:effectLst/>
          </c:spPr>
          <c:marker>
            <c:symbol val="none"/>
          </c:marker>
          <c:cat>
            <c:numRef>
              <c:f>'Australia EV uptake'!$T$5:$T$25</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 EV uptake'!$W$5:$W$25</c:f>
              <c:numCache>
                <c:formatCode>General</c:formatCode>
                <c:ptCount val="21"/>
                <c:pt idx="2" formatCode="0.00">
                  <c:v>3.3737289203929641E-2</c:v>
                </c:pt>
                <c:pt idx="3" formatCode="0.00">
                  <c:v>3.3737289203929641E-2</c:v>
                </c:pt>
                <c:pt idx="4" formatCode="0.00">
                  <c:v>3.3737289203929641E-2</c:v>
                </c:pt>
                <c:pt idx="5" formatCode="0.00">
                  <c:v>0.19105189234029193</c:v>
                </c:pt>
                <c:pt idx="6" formatCode="0.00">
                  <c:v>0.19728827949079125</c:v>
                </c:pt>
                <c:pt idx="7" formatCode="0.00">
                  <c:v>0.21240931229561377</c:v>
                </c:pt>
                <c:pt idx="8" formatCode="0.00">
                  <c:v>0.33828888943153329</c:v>
                </c:pt>
                <c:pt idx="9" formatCode="0.00">
                  <c:v>0.5942821036992495</c:v>
                </c:pt>
                <c:pt idx="10" formatCode="0.00">
                  <c:v>1.2018310113118065</c:v>
                </c:pt>
                <c:pt idx="11" formatCode="0.00">
                  <c:v>1.8233840036803106</c:v>
                </c:pt>
                <c:pt idx="12" formatCode="0.00">
                  <c:v>2.6787104408046538</c:v>
                </c:pt>
                <c:pt idx="13" formatCode="0.00">
                  <c:v>3.8016928516079376</c:v>
                </c:pt>
                <c:pt idx="14" formatCode="0.00">
                  <c:v>5.3677154971849825</c:v>
                </c:pt>
                <c:pt idx="15" formatCode="0.00">
                  <c:v>7.3760444534492082</c:v>
                </c:pt>
                <c:pt idx="16" formatCode="0.00">
                  <c:v>9.8759470291640099</c:v>
                </c:pt>
                <c:pt idx="17" formatCode="0.00">
                  <c:v>12.873865621547301</c:v>
                </c:pt>
                <c:pt idx="18" formatCode="0.00">
                  <c:v>16.473172923324086</c:v>
                </c:pt>
                <c:pt idx="19" formatCode="0.00">
                  <c:v>20.410512532319931</c:v>
                </c:pt>
                <c:pt idx="20" formatCode="0.00">
                  <c:v>24.628106909941213</c:v>
                </c:pt>
              </c:numCache>
            </c:numRef>
          </c:val>
          <c:smooth val="0"/>
          <c:extLst>
            <c:ext xmlns:c16="http://schemas.microsoft.com/office/drawing/2014/chart" uri="{C3380CC4-5D6E-409C-BE32-E72D297353CC}">
              <c16:uniqueId val="{00000002-881B-4B14-B991-0C20291D523C}"/>
            </c:ext>
          </c:extLst>
        </c:ser>
        <c:dLbls>
          <c:showLegendKey val="0"/>
          <c:showVal val="0"/>
          <c:showCatName val="0"/>
          <c:showSerName val="0"/>
          <c:showPercent val="0"/>
          <c:showBubbleSize val="0"/>
        </c:dLbls>
        <c:smooth val="0"/>
        <c:axId val="703167496"/>
        <c:axId val="703174384"/>
      </c:lineChart>
      <c:catAx>
        <c:axId val="703167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174384"/>
        <c:crosses val="autoZero"/>
        <c:auto val="1"/>
        <c:lblAlgn val="ctr"/>
        <c:lblOffset val="100"/>
        <c:tickLblSkip val="5"/>
        <c:tickMarkSkip val="5"/>
        <c:noMultiLvlLbl val="0"/>
      </c:catAx>
      <c:valAx>
        <c:axId val="70317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new sales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167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uptake'!$Z$3</c:f>
              <c:strCache>
                <c:ptCount val="1"/>
                <c:pt idx="0">
                  <c:v>High</c:v>
                </c:pt>
              </c:strCache>
            </c:strRef>
          </c:tx>
          <c:spPr>
            <a:ln w="28575" cap="rnd">
              <a:solidFill>
                <a:schemeClr val="accent1"/>
              </a:solidFill>
              <a:round/>
            </a:ln>
            <a:effectLst/>
          </c:spPr>
          <c:marker>
            <c:symbol val="none"/>
          </c:marker>
          <c:cat>
            <c:numRef>
              <c:f>'Australia EV uptake'!$Y$4:$Y$25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 EV uptake'!$Z$4:$Z$25</c:f>
              <c:numCache>
                <c:formatCode>General</c:formatCode>
                <c:ptCount val="22"/>
                <c:pt idx="3" formatCode="0.00">
                  <c:v>3.3737289203929641E-2</c:v>
                </c:pt>
                <c:pt idx="4" formatCode="0.00">
                  <c:v>3.3737289203929641E-2</c:v>
                </c:pt>
                <c:pt idx="5" formatCode="0.00">
                  <c:v>3.3737289203929641E-2</c:v>
                </c:pt>
                <c:pt idx="6" formatCode="0.00">
                  <c:v>0.19105189234029193</c:v>
                </c:pt>
                <c:pt idx="7" formatCode="0.00">
                  <c:v>0.19728827949079125</c:v>
                </c:pt>
                <c:pt idx="8" formatCode="0.00">
                  <c:v>0.21240931229561377</c:v>
                </c:pt>
                <c:pt idx="9" formatCode="0.00">
                  <c:v>0.33828888943153329</c:v>
                </c:pt>
                <c:pt idx="10" formatCode="0.00">
                  <c:v>0.49141954864933296</c:v>
                </c:pt>
                <c:pt idx="11" formatCode="0.00">
                  <c:v>0.81108862974483864</c:v>
                </c:pt>
                <c:pt idx="12" formatCode="0.00">
                  <c:v>1.1181815992224682</c:v>
                </c:pt>
                <c:pt idx="13" formatCode="0.00">
                  <c:v>1.5198533390337734</c:v>
                </c:pt>
                <c:pt idx="14" formatCode="0.00">
                  <c:v>2.0420714243338947</c:v>
                </c:pt>
                <c:pt idx="15" formatCode="0.00">
                  <c:v>2.7144373785725913</c:v>
                </c:pt>
                <c:pt idx="16" formatCode="0.00">
                  <c:v>3.5643949435978719</c:v>
                </c:pt>
                <c:pt idx="17" formatCode="0.00">
                  <c:v>4.6149753359161725</c:v>
                </c:pt>
                <c:pt idx="18" formatCode="0.00">
                  <c:v>5.8926594812794999</c:v>
                </c:pt>
                <c:pt idx="19" formatCode="0.00">
                  <c:v>7.4201624765852898</c:v>
                </c:pt>
                <c:pt idx="20" formatCode="0.00">
                  <c:v>9.2181778434848418</c:v>
                </c:pt>
                <c:pt idx="21" formatCode="0.00">
                  <c:v>11.304443008063904</c:v>
                </c:pt>
              </c:numCache>
            </c:numRef>
          </c:val>
          <c:smooth val="0"/>
          <c:extLst>
            <c:ext xmlns:c16="http://schemas.microsoft.com/office/drawing/2014/chart" uri="{C3380CC4-5D6E-409C-BE32-E72D297353CC}">
              <c16:uniqueId val="{00000000-8163-49E2-8BEE-B9AB01ABD520}"/>
            </c:ext>
          </c:extLst>
        </c:ser>
        <c:ser>
          <c:idx val="1"/>
          <c:order val="1"/>
          <c:tx>
            <c:strRef>
              <c:f>'Australia EV uptake'!$AA$3</c:f>
              <c:strCache>
                <c:ptCount val="1"/>
                <c:pt idx="0">
                  <c:v>Medium</c:v>
                </c:pt>
              </c:strCache>
            </c:strRef>
          </c:tx>
          <c:spPr>
            <a:ln w="28575" cap="rnd">
              <a:solidFill>
                <a:schemeClr val="accent2"/>
              </a:solidFill>
              <a:round/>
            </a:ln>
            <a:effectLst/>
          </c:spPr>
          <c:marker>
            <c:symbol val="none"/>
          </c:marker>
          <c:cat>
            <c:numRef>
              <c:f>'Australia EV uptake'!$Y$4:$Y$25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 EV uptake'!$AA$4:$AA$25</c:f>
              <c:numCache>
                <c:formatCode>General</c:formatCode>
                <c:ptCount val="22"/>
                <c:pt idx="3" formatCode="0.00">
                  <c:v>3.3737289203929641E-2</c:v>
                </c:pt>
                <c:pt idx="4" formatCode="0.00">
                  <c:v>3.3737289203929641E-2</c:v>
                </c:pt>
                <c:pt idx="5" formatCode="0.00">
                  <c:v>3.3737289203929641E-2</c:v>
                </c:pt>
                <c:pt idx="6" formatCode="0.00">
                  <c:v>0.19105189234029193</c:v>
                </c:pt>
                <c:pt idx="7" formatCode="0.00">
                  <c:v>0.19728827949079125</c:v>
                </c:pt>
                <c:pt idx="8" formatCode="0.00">
                  <c:v>0.21240931229561377</c:v>
                </c:pt>
                <c:pt idx="9" formatCode="0.00">
                  <c:v>0.46529499260757357</c:v>
                </c:pt>
                <c:pt idx="10" formatCode="0.00">
                  <c:v>0.72128820687528983</c:v>
                </c:pt>
                <c:pt idx="11" formatCode="0.00">
                  <c:v>1.3784503770027925</c:v>
                </c:pt>
                <c:pt idx="12" formatCode="0.00">
                  <c:v>2.0454176020905916</c:v>
                </c:pt>
                <c:pt idx="13" formatCode="0.00">
                  <c:v>2.9260014029329313</c:v>
                </c:pt>
                <c:pt idx="14" formatCode="0.00">
                  <c:v>4.1981355639089175</c:v>
                </c:pt>
                <c:pt idx="15" formatCode="0.00">
                  <c:v>5.8798767082036187</c:v>
                </c:pt>
                <c:pt idx="16" formatCode="0.00">
                  <c:v>8.0223170470678973</c:v>
                </c:pt>
                <c:pt idx="17" formatCode="0.00">
                  <c:v>10.641364340714375</c:v>
                </c:pt>
                <c:pt idx="18" formatCode="0.00">
                  <c:v>13.915702409395562</c:v>
                </c:pt>
                <c:pt idx="19" formatCode="0.00">
                  <c:v>17.676776875566038</c:v>
                </c:pt>
                <c:pt idx="20" formatCode="0.00">
                  <c:v>21.927531861590744</c:v>
                </c:pt>
                <c:pt idx="21" formatCode="0.00">
                  <c:v>26.53930108875187</c:v>
                </c:pt>
              </c:numCache>
            </c:numRef>
          </c:val>
          <c:smooth val="0"/>
          <c:extLst>
            <c:ext xmlns:c16="http://schemas.microsoft.com/office/drawing/2014/chart" uri="{C3380CC4-5D6E-409C-BE32-E72D297353CC}">
              <c16:uniqueId val="{00000001-8163-49E2-8BEE-B9AB01ABD520}"/>
            </c:ext>
          </c:extLst>
        </c:ser>
        <c:ser>
          <c:idx val="2"/>
          <c:order val="2"/>
          <c:tx>
            <c:strRef>
              <c:f>'Australia EV uptake'!$AB$3</c:f>
              <c:strCache>
                <c:ptCount val="1"/>
                <c:pt idx="0">
                  <c:v>Low</c:v>
                </c:pt>
              </c:strCache>
            </c:strRef>
          </c:tx>
          <c:spPr>
            <a:ln w="28575" cap="rnd">
              <a:solidFill>
                <a:schemeClr val="accent3"/>
              </a:solidFill>
              <a:round/>
            </a:ln>
            <a:effectLst/>
          </c:spPr>
          <c:marker>
            <c:symbol val="none"/>
          </c:marker>
          <c:cat>
            <c:numRef>
              <c:f>'Australia EV uptake'!$Y$4:$Y$25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 EV uptake'!$AB$4:$AB$25</c:f>
              <c:numCache>
                <c:formatCode>General</c:formatCode>
                <c:ptCount val="22"/>
                <c:pt idx="3" formatCode="0.00">
                  <c:v>3.3737289203929641E-2</c:v>
                </c:pt>
                <c:pt idx="4" formatCode="0.00">
                  <c:v>3.3737289203929641E-2</c:v>
                </c:pt>
                <c:pt idx="5" formatCode="0.00">
                  <c:v>3.3737289203929641E-2</c:v>
                </c:pt>
                <c:pt idx="6" formatCode="0.00">
                  <c:v>0.19105189234029193</c:v>
                </c:pt>
                <c:pt idx="7" formatCode="0.00">
                  <c:v>0.19728827949079125</c:v>
                </c:pt>
                <c:pt idx="8" formatCode="0.00">
                  <c:v>0.21240931229561377</c:v>
                </c:pt>
                <c:pt idx="9" formatCode="0.00">
                  <c:v>0.46529499260757357</c:v>
                </c:pt>
                <c:pt idx="10" formatCode="0.00">
                  <c:v>0.87715426117000117</c:v>
                </c:pt>
                <c:pt idx="11" formatCode="0.00">
                  <c:v>2.2053287029361379</c:v>
                </c:pt>
                <c:pt idx="12" formatCode="0.00">
                  <c:v>3.6208853311106659</c:v>
                </c:pt>
                <c:pt idx="13" formatCode="0.00">
                  <c:v>5.6271657654506102</c:v>
                </c:pt>
                <c:pt idx="14" formatCode="0.00">
                  <c:v>8.2521010812326629</c:v>
                </c:pt>
                <c:pt idx="15" formatCode="0.00">
                  <c:v>11.741222489302331</c:v>
                </c:pt>
                <c:pt idx="16" formatCode="0.00">
                  <c:v>16.074064679772583</c:v>
                </c:pt>
                <c:pt idx="17" formatCode="0.00">
                  <c:v>21.152465749309908</c:v>
                </c:pt>
                <c:pt idx="18" formatCode="0.00">
                  <c:v>26.8647345543956</c:v>
                </c:pt>
                <c:pt idx="19" formatCode="0.00">
                  <c:v>33.016604936132246</c:v>
                </c:pt>
                <c:pt idx="20" formatCode="0.00">
                  <c:v>39.126054813584986</c:v>
                </c:pt>
                <c:pt idx="21" formatCode="0.00">
                  <c:v>45.010068378385974</c:v>
                </c:pt>
              </c:numCache>
            </c:numRef>
          </c:val>
          <c:smooth val="0"/>
          <c:extLst>
            <c:ext xmlns:c16="http://schemas.microsoft.com/office/drawing/2014/chart" uri="{C3380CC4-5D6E-409C-BE32-E72D297353CC}">
              <c16:uniqueId val="{00000002-8163-49E2-8BEE-B9AB01ABD520}"/>
            </c:ext>
          </c:extLst>
        </c:ser>
        <c:dLbls>
          <c:showLegendKey val="0"/>
          <c:showVal val="0"/>
          <c:showCatName val="0"/>
          <c:showSerName val="0"/>
          <c:showPercent val="0"/>
          <c:showBubbleSize val="0"/>
        </c:dLbls>
        <c:smooth val="0"/>
        <c:axId val="1143371720"/>
        <c:axId val="1143369096"/>
      </c:lineChart>
      <c:catAx>
        <c:axId val="114337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69096"/>
        <c:crosses val="autoZero"/>
        <c:auto val="1"/>
        <c:lblAlgn val="ctr"/>
        <c:lblOffset val="100"/>
        <c:noMultiLvlLbl val="0"/>
      </c:catAx>
      <c:valAx>
        <c:axId val="1143369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new sales</a:t>
                </a:r>
              </a:p>
            </c:rich>
          </c:tx>
          <c:layout>
            <c:manualLayout>
              <c:xMode val="edge"/>
              <c:yMode val="edge"/>
              <c:x val="1.0582008818562876E-2"/>
              <c:y val="0.289049422497489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71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'Vehicle price'!$J$5:$J$26</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'Vehicle price'!$T$5:$T$26</c:f>
              <c:numCache>
                <c:formatCode>0</c:formatCode>
                <c:ptCount val="22"/>
                <c:pt idx="0">
                  <c:v>29.592572886961211</c:v>
                </c:pt>
                <c:pt idx="1">
                  <c:v>30</c:v>
                </c:pt>
                <c:pt idx="2">
                  <c:v>30</c:v>
                </c:pt>
                <c:pt idx="3">
                  <c:v>30.842462459493706</c:v>
                </c:pt>
                <c:pt idx="4">
                  <c:v>31.143929334439989</c:v>
                </c:pt>
                <c:pt idx="5">
                  <c:v>33.541755956678692</c:v>
                </c:pt>
                <c:pt idx="6">
                  <c:v>30</c:v>
                </c:pt>
                <c:pt idx="7">
                  <c:v>30</c:v>
                </c:pt>
                <c:pt idx="8">
                  <c:v>30</c:v>
                </c:pt>
                <c:pt idx="9">
                  <c:v>30.592100851060948</c:v>
                </c:pt>
                <c:pt idx="10">
                  <c:v>31.172994053473918</c:v>
                </c:pt>
                <c:pt idx="11">
                  <c:v>30.985903123425071</c:v>
                </c:pt>
                <c:pt idx="12">
                  <c:v>30.206708843097807</c:v>
                </c:pt>
                <c:pt idx="13">
                  <c:v>30.642454642697771</c:v>
                </c:pt>
                <c:pt idx="14">
                  <c:v>30.361546257811007</c:v>
                </c:pt>
                <c:pt idx="15">
                  <c:v>29.275640447464834</c:v>
                </c:pt>
                <c:pt idx="16">
                  <c:v>28.343375828936317</c:v>
                </c:pt>
                <c:pt idx="17">
                  <c:v>27.812270474504896</c:v>
                </c:pt>
                <c:pt idx="18">
                  <c:v>27.281165120073478</c:v>
                </c:pt>
                <c:pt idx="19">
                  <c:v>26.683671596338133</c:v>
                </c:pt>
                <c:pt idx="20">
                  <c:v>26.152566241906715</c:v>
                </c:pt>
                <c:pt idx="21">
                  <c:v>25.55507271817137</c:v>
                </c:pt>
              </c:numCache>
            </c:numRef>
          </c:val>
          <c:smooth val="0"/>
          <c:extLst>
            <c:ext xmlns:c16="http://schemas.microsoft.com/office/drawing/2014/chart" uri="{C3380CC4-5D6E-409C-BE32-E72D297353CC}">
              <c16:uniqueId val="{00000000-2093-48D1-8637-947D72716A1B}"/>
            </c:ext>
          </c:extLst>
        </c:ser>
        <c:ser>
          <c:idx val="1"/>
          <c:order val="1"/>
          <c:spPr>
            <a:ln w="28575" cap="rnd">
              <a:solidFill>
                <a:schemeClr val="accent2"/>
              </a:solidFill>
              <a:round/>
            </a:ln>
            <a:effectLst/>
          </c:spPr>
          <c:marker>
            <c:symbol val="none"/>
          </c:marker>
          <c:cat>
            <c:numRef>
              <c:f>'Vehicle price'!$J$5:$J$26</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'Vehicle price'!$V$5:$V$26</c:f>
              <c:numCache>
                <c:formatCode>0</c:formatCode>
                <c:ptCount val="22"/>
                <c:pt idx="8">
                  <c:v>30</c:v>
                </c:pt>
                <c:pt idx="9">
                  <c:v>29.016121410034494</c:v>
                </c:pt>
                <c:pt idx="10">
                  <c:v>27.632892725530816</c:v>
                </c:pt>
                <c:pt idx="11">
                  <c:v>26.22306299404223</c:v>
                </c:pt>
                <c:pt idx="12">
                  <c:v>24.882383701008763</c:v>
                </c:pt>
                <c:pt idx="13">
                  <c:v>24.333757747445869</c:v>
                </c:pt>
                <c:pt idx="14">
                  <c:v>23.791764994926925</c:v>
                </c:pt>
                <c:pt idx="15">
                  <c:v>23.257142465790157</c:v>
                </c:pt>
                <c:pt idx="16">
                  <c:v>22.782218746048969</c:v>
                </c:pt>
                <c:pt idx="17">
                  <c:v>22.575852491348197</c:v>
                </c:pt>
                <c:pt idx="18">
                  <c:v>22.369486236647425</c:v>
                </c:pt>
                <c:pt idx="19">
                  <c:v>22.13732420010906</c:v>
                </c:pt>
                <c:pt idx="20">
                  <c:v>21.930957945408291</c:v>
                </c:pt>
                <c:pt idx="21">
                  <c:v>21.698795908869926</c:v>
                </c:pt>
              </c:numCache>
            </c:numRef>
          </c:val>
          <c:smooth val="0"/>
          <c:extLst>
            <c:ext xmlns:c16="http://schemas.microsoft.com/office/drawing/2014/chart" uri="{C3380CC4-5D6E-409C-BE32-E72D297353CC}">
              <c16:uniqueId val="{00000001-2093-48D1-8637-947D72716A1B}"/>
            </c:ext>
          </c:extLst>
        </c:ser>
        <c:dLbls>
          <c:showLegendKey val="0"/>
          <c:showVal val="0"/>
          <c:showCatName val="0"/>
          <c:showSerName val="0"/>
          <c:showPercent val="0"/>
          <c:showBubbleSize val="0"/>
        </c:dLbls>
        <c:smooth val="0"/>
        <c:axId val="924933072"/>
        <c:axId val="924934056"/>
      </c:lineChart>
      <c:catAx>
        <c:axId val="92493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934056"/>
        <c:crosses val="autoZero"/>
        <c:auto val="1"/>
        <c:lblAlgn val="ctr"/>
        <c:lblOffset val="100"/>
        <c:noMultiLvlLbl val="0"/>
      </c:catAx>
      <c:valAx>
        <c:axId val="92493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93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'Australia EV uptake'!$B$3</c:f>
              <c:strCache>
                <c:ptCount val="1"/>
                <c:pt idx="0">
                  <c:v> EV %sales</c:v>
                </c:pt>
              </c:strCache>
            </c:strRef>
          </c:tx>
          <c:spPr>
            <a:ln w="60325" cap="rnd">
              <a:solidFill>
                <a:schemeClr val="tx1"/>
              </a:solidFill>
              <a:round/>
            </a:ln>
            <a:effectLst/>
          </c:spPr>
          <c:marker>
            <c:symbol val="none"/>
          </c:marker>
          <c:val>
            <c:numRef>
              <c:f>'Australia EV uptake'!$B$4:$B$45</c:f>
              <c:numCache>
                <c:formatCode>0.00</c:formatCode>
                <c:ptCount val="42"/>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59AF-4801-832A-3175B744FD12}"/>
            </c:ext>
          </c:extLst>
        </c:ser>
        <c:ser>
          <c:idx val="3"/>
          <c:order val="1"/>
          <c:tx>
            <c:strRef>
              <c:f>'Australia EV uptake'!$D$3</c:f>
              <c:strCache>
                <c:ptCount val="1"/>
                <c:pt idx="0">
                  <c:v> predicted raw</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uptake'!$D$4:$D$45</c:f>
              <c:numCache>
                <c:formatCode>0.00</c:formatCode>
                <c:ptCount val="4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0-572B-473D-AE94-442162A29CA2}"/>
            </c:ext>
          </c:extLst>
        </c:ser>
        <c:ser>
          <c:idx val="2"/>
          <c:order val="2"/>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572B-473D-AE94-442162A29CA2}"/>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5170667017596182E-2"/>
              <c:y val="0.279098013867669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65610307771423049"/>
          <c:h val="6.29668586202844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uptake'!$B$3</c:f>
              <c:strCache>
                <c:ptCount val="1"/>
                <c:pt idx="0">
                  <c:v> EV %sales</c:v>
                </c:pt>
              </c:strCache>
            </c:strRef>
          </c:tx>
          <c:spPr>
            <a:ln w="38100" cap="rnd">
              <a:solidFill>
                <a:schemeClr val="tx1"/>
              </a:solidFill>
              <a:round/>
            </a:ln>
            <a:effectLst/>
          </c:spPr>
          <c:marker>
            <c:symbol val="none"/>
          </c:marker>
          <c:cat>
            <c:numRef>
              <c:f>'Australia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'Australia EV uptake'!$B$4:$B$13</c:f>
              <c:numCache>
                <c:formatCode>0.00</c:formatCode>
                <c:ptCount val="10"/>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ECA2-4312-9F01-CF23691DAEF2}"/>
            </c:ext>
          </c:extLst>
        </c:ser>
        <c:ser>
          <c:idx val="1"/>
          <c:order val="1"/>
          <c:tx>
            <c:strRef>
              <c:f>'Australia EV uptake'!$C$3</c:f>
              <c:strCache>
                <c:ptCount val="1"/>
                <c:pt idx="0">
                  <c:v> predicted</c:v>
                </c:pt>
              </c:strCache>
            </c:strRef>
          </c:tx>
          <c:spPr>
            <a:ln w="28575" cap="rnd">
              <a:solidFill>
                <a:schemeClr val="accent2"/>
              </a:solidFill>
              <a:round/>
            </a:ln>
            <a:effectLst/>
          </c:spPr>
          <c:marker>
            <c:symbol val="none"/>
          </c:marker>
          <c:cat>
            <c:numRef>
              <c:f>'Australia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'Australia EV uptake'!$C$4:$C$13</c:f>
              <c:numCache>
                <c:formatCode>0.00</c:formatCode>
                <c:ptCount val="10"/>
                <c:pt idx="0">
                  <c:v>0</c:v>
                </c:pt>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numCache>
            </c:numRef>
          </c:val>
          <c:smooth val="0"/>
          <c:extLst>
            <c:ext xmlns:c16="http://schemas.microsoft.com/office/drawing/2014/chart" uri="{C3380CC4-5D6E-409C-BE32-E72D297353CC}">
              <c16:uniqueId val="{00000001-ECA2-4312-9F01-CF23691DAEF2}"/>
            </c:ext>
          </c:extLst>
        </c:ser>
        <c:dLbls>
          <c:showLegendKey val="0"/>
          <c:showVal val="0"/>
          <c:showCatName val="0"/>
          <c:showSerName val="0"/>
          <c:showPercent val="0"/>
          <c:showBubbleSize val="0"/>
        </c:dLbls>
        <c:smooth val="0"/>
        <c:axId val="667391568"/>
        <c:axId val="667398128"/>
      </c:lineChart>
      <c:catAx>
        <c:axId val="6673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398128"/>
        <c:crosses val="autoZero"/>
        <c:auto val="1"/>
        <c:lblAlgn val="ctr"/>
        <c:lblOffset val="100"/>
        <c:noMultiLvlLbl val="0"/>
      </c:catAx>
      <c:valAx>
        <c:axId val="667398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Evs as % of passenger vehicle sales</a:t>
                </a:r>
              </a:p>
            </c:rich>
          </c:tx>
          <c:layout>
            <c:manualLayout>
              <c:xMode val="edge"/>
              <c:yMode val="edge"/>
              <c:x val="1.9444444444444445E-2"/>
              <c:y val="0.120836978710994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391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'Australia EV uptake'!$B$3</c:f>
              <c:strCache>
                <c:ptCount val="1"/>
                <c:pt idx="0">
                  <c:v> EV %sales</c:v>
                </c:pt>
              </c:strCache>
            </c:strRef>
          </c:tx>
          <c:spPr>
            <a:ln w="60325" cap="rnd">
              <a:solidFill>
                <a:schemeClr val="tx1"/>
              </a:solidFill>
              <a:round/>
            </a:ln>
            <a:effectLst/>
          </c:spPr>
          <c:marker>
            <c:symbol val="none"/>
          </c:marker>
          <c:val>
            <c:numRef>
              <c:f>'Australia EV uptake'!$B$4:$B$45</c:f>
              <c:numCache>
                <c:formatCode>0.00</c:formatCode>
                <c:ptCount val="42"/>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C3FC-4736-A4BF-71CEC9B14126}"/>
            </c:ext>
          </c:extLst>
        </c:ser>
        <c:ser>
          <c:idx val="3"/>
          <c:order val="1"/>
          <c:tx>
            <c:strRef>
              <c:f>'Australia EV uptake'!$D$3</c:f>
              <c:strCache>
                <c:ptCount val="1"/>
                <c:pt idx="0">
                  <c:v> predicted raw</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uptake'!$D$4:$D$45</c:f>
              <c:numCache>
                <c:formatCode>0.00</c:formatCode>
                <c:ptCount val="4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1-C3FC-4736-A4BF-71CEC9B14126}"/>
            </c:ext>
          </c:extLst>
        </c:ser>
        <c:ser>
          <c:idx val="2"/>
          <c:order val="2"/>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C3FC-4736-A4BF-71CEC9B14126}"/>
            </c:ext>
          </c:extLst>
        </c:ser>
        <c:ser>
          <c:idx val="0"/>
          <c:order val="3"/>
          <c:tx>
            <c:strRef>
              <c:f>'Australia EV uptake'!$E$3</c:f>
              <c:strCache>
                <c:ptCount val="1"/>
                <c:pt idx="0">
                  <c:v>Predicted Cost Lagged</c:v>
                </c:pt>
              </c:strCache>
            </c:strRef>
          </c:tx>
          <c:spPr>
            <a:ln w="28575" cap="rnd">
              <a:solidFill>
                <a:srgbClr val="C00000"/>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uptake'!$E$4:$E$45</c:f>
              <c:numCache>
                <c:formatCode>0.00</c:formatCode>
                <c:ptCount val="42"/>
                <c:pt idx="3">
                  <c:v>3.3737289203929641E-2</c:v>
                </c:pt>
                <c:pt idx="4">
                  <c:v>3.3737289203929641E-2</c:v>
                </c:pt>
                <c:pt idx="5">
                  <c:v>3.3737289203929641E-2</c:v>
                </c:pt>
                <c:pt idx="6">
                  <c:v>0.19105189234029193</c:v>
                </c:pt>
                <c:pt idx="7">
                  <c:v>0.19728827949079125</c:v>
                </c:pt>
                <c:pt idx="8">
                  <c:v>0.21240931229561377</c:v>
                </c:pt>
                <c:pt idx="9">
                  <c:v>0.46529499260757357</c:v>
                </c:pt>
                <c:pt idx="10">
                  <c:v>0.72128820687528983</c:v>
                </c:pt>
                <c:pt idx="11">
                  <c:v>1.3784503770027925</c:v>
                </c:pt>
                <c:pt idx="12">
                  <c:v>2.0454176020905916</c:v>
                </c:pt>
                <c:pt idx="13">
                  <c:v>2.9260014029329313</c:v>
                </c:pt>
                <c:pt idx="14">
                  <c:v>4.1981355639089175</c:v>
                </c:pt>
                <c:pt idx="15">
                  <c:v>5.8798767082036187</c:v>
                </c:pt>
                <c:pt idx="16">
                  <c:v>8.0223170470678973</c:v>
                </c:pt>
                <c:pt idx="17">
                  <c:v>10.641364340714375</c:v>
                </c:pt>
                <c:pt idx="18">
                  <c:v>13.915702409395562</c:v>
                </c:pt>
                <c:pt idx="19">
                  <c:v>17.676776875566038</c:v>
                </c:pt>
                <c:pt idx="20">
                  <c:v>21.927531861590744</c:v>
                </c:pt>
                <c:pt idx="21">
                  <c:v>26.53930108875187</c:v>
                </c:pt>
                <c:pt idx="22">
                  <c:v>31.541346455031022</c:v>
                </c:pt>
                <c:pt idx="23">
                  <c:v>36.457651563255034</c:v>
                </c:pt>
                <c:pt idx="24">
                  <c:v>41.140043673785051</c:v>
                </c:pt>
                <c:pt idx="25">
                  <c:v>45.31624094050359</c:v>
                </c:pt>
                <c:pt idx="26">
                  <c:v>49.059959713650805</c:v>
                </c:pt>
                <c:pt idx="27">
                  <c:v>52.27369741094325</c:v>
                </c:pt>
                <c:pt idx="28">
                  <c:v>54.867705368968885</c:v>
                </c:pt>
                <c:pt idx="29">
                  <c:v>56.757455016019755</c:v>
                </c:pt>
                <c:pt idx="30">
                  <c:v>58.326983196037432</c:v>
                </c:pt>
                <c:pt idx="31">
                  <c:v>59.617035091051719</c:v>
                </c:pt>
                <c:pt idx="32">
                  <c:v>60.669608218606562</c:v>
                </c:pt>
                <c:pt idx="33">
                  <c:v>61.524414476596924</c:v>
                </c:pt>
                <c:pt idx="34">
                  <c:v>62.216929571757383</c:v>
                </c:pt>
                <c:pt idx="35">
                  <c:v>62.777630859933588</c:v>
                </c:pt>
                <c:pt idx="36">
                  <c:v>63.229334891316022</c:v>
                </c:pt>
                <c:pt idx="37">
                  <c:v>63.606739664948257</c:v>
                </c:pt>
                <c:pt idx="38">
                  <c:v>63.908468013779789</c:v>
                </c:pt>
                <c:pt idx="39">
                  <c:v>64.149087658891773</c:v>
                </c:pt>
                <c:pt idx="40">
                  <c:v>64.340589886984404</c:v>
                </c:pt>
                <c:pt idx="41">
                  <c:v>64.47672263953821</c:v>
                </c:pt>
              </c:numCache>
            </c:numRef>
          </c:val>
          <c:smooth val="0"/>
          <c:extLst>
            <c:ext xmlns:c16="http://schemas.microsoft.com/office/drawing/2014/chart" uri="{C3380CC4-5D6E-409C-BE32-E72D297353CC}">
              <c16:uniqueId val="{00000003-C3FC-4736-A4BF-71CEC9B14126}"/>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5170667017596182E-2"/>
              <c:y val="0.279098013867669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86579912483965782"/>
          <c:h val="6.29668586202844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'Australia EV uptake'!$B$3</c:f>
              <c:strCache>
                <c:ptCount val="1"/>
                <c:pt idx="0">
                  <c:v> EV %sales</c:v>
                </c:pt>
              </c:strCache>
            </c:strRef>
          </c:tx>
          <c:spPr>
            <a:ln w="60325" cap="rnd">
              <a:solidFill>
                <a:schemeClr val="tx1"/>
              </a:solidFill>
              <a:round/>
            </a:ln>
            <a:effectLst/>
          </c:spPr>
          <c:marker>
            <c:symbol val="none"/>
          </c:marker>
          <c:val>
            <c:numRef>
              <c:f>'Australia EV uptake'!$B$4:$B$45</c:f>
              <c:numCache>
                <c:formatCode>0.00</c:formatCode>
                <c:ptCount val="42"/>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64DF-4C1D-ADA4-07CF51DE4BD4}"/>
            </c:ext>
          </c:extLst>
        </c:ser>
        <c:ser>
          <c:idx val="3"/>
          <c:order val="1"/>
          <c:tx>
            <c:strRef>
              <c:f>'Australia EV uptake'!$D$3</c:f>
              <c:strCache>
                <c:ptCount val="1"/>
                <c:pt idx="0">
                  <c:v> predicted raw</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uptake'!$D$4:$D$45</c:f>
              <c:numCache>
                <c:formatCode>0.00</c:formatCode>
                <c:ptCount val="4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1-64DF-4C1D-ADA4-07CF51DE4BD4}"/>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5170667017596182E-2"/>
              <c:y val="0.279098013867669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86579912483965782"/>
          <c:h val="6.29668586202844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'Australia EV uptake'!$B$3</c:f>
              <c:strCache>
                <c:ptCount val="1"/>
                <c:pt idx="0">
                  <c:v> EV %sales</c:v>
                </c:pt>
              </c:strCache>
            </c:strRef>
          </c:tx>
          <c:spPr>
            <a:ln w="60325" cap="rnd">
              <a:solidFill>
                <a:schemeClr val="tx1"/>
              </a:solidFill>
              <a:round/>
            </a:ln>
            <a:effectLst/>
          </c:spPr>
          <c:marker>
            <c:symbol val="none"/>
          </c:marker>
          <c:val>
            <c:numRef>
              <c:f>'Australia EV uptake'!$B$4:$B$45</c:f>
              <c:numCache>
                <c:formatCode>0.00</c:formatCode>
                <c:ptCount val="42"/>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B1C6-4DEA-9120-4F94FC041209}"/>
            </c:ext>
          </c:extLst>
        </c:ser>
        <c:ser>
          <c:idx val="3"/>
          <c:order val="1"/>
          <c:tx>
            <c:strRef>
              <c:f>'Australia EV uptake'!$D$3</c:f>
              <c:strCache>
                <c:ptCount val="1"/>
                <c:pt idx="0">
                  <c:v> predicted raw</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uptake'!$D$4:$D$45</c:f>
              <c:numCache>
                <c:formatCode>0.00</c:formatCode>
                <c:ptCount val="4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1-B1C6-4DEA-9120-4F94FC041209}"/>
            </c:ext>
          </c:extLst>
        </c:ser>
        <c:ser>
          <c:idx val="2"/>
          <c:order val="2"/>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B1C6-4DEA-9120-4F94FC041209}"/>
            </c:ext>
          </c:extLst>
        </c:ser>
        <c:ser>
          <c:idx val="0"/>
          <c:order val="3"/>
          <c:tx>
            <c:strRef>
              <c:f>'Australia EV uptake'!$E$3</c:f>
              <c:strCache>
                <c:ptCount val="1"/>
                <c:pt idx="0">
                  <c:v>Predicted Cost Lagged</c:v>
                </c:pt>
              </c:strCache>
            </c:strRef>
          </c:tx>
          <c:spPr>
            <a:ln w="28575" cap="rnd">
              <a:solidFill>
                <a:srgbClr val="C00000"/>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uptake'!$E$4:$E$45</c:f>
              <c:numCache>
                <c:formatCode>0.00</c:formatCode>
                <c:ptCount val="42"/>
                <c:pt idx="3">
                  <c:v>3.3737289203929641E-2</c:v>
                </c:pt>
                <c:pt idx="4">
                  <c:v>3.3737289203929641E-2</c:v>
                </c:pt>
                <c:pt idx="5">
                  <c:v>3.3737289203929641E-2</c:v>
                </c:pt>
                <c:pt idx="6">
                  <c:v>0.19105189234029193</c:v>
                </c:pt>
                <c:pt idx="7">
                  <c:v>0.19728827949079125</c:v>
                </c:pt>
                <c:pt idx="8">
                  <c:v>0.21240931229561377</c:v>
                </c:pt>
                <c:pt idx="9">
                  <c:v>0.46529499260757357</c:v>
                </c:pt>
                <c:pt idx="10">
                  <c:v>0.72128820687528983</c:v>
                </c:pt>
                <c:pt idx="11">
                  <c:v>1.3784503770027925</c:v>
                </c:pt>
                <c:pt idx="12">
                  <c:v>2.0454176020905916</c:v>
                </c:pt>
                <c:pt idx="13">
                  <c:v>2.9260014029329313</c:v>
                </c:pt>
                <c:pt idx="14">
                  <c:v>4.1981355639089175</c:v>
                </c:pt>
                <c:pt idx="15">
                  <c:v>5.8798767082036187</c:v>
                </c:pt>
                <c:pt idx="16">
                  <c:v>8.0223170470678973</c:v>
                </c:pt>
                <c:pt idx="17">
                  <c:v>10.641364340714375</c:v>
                </c:pt>
                <c:pt idx="18">
                  <c:v>13.915702409395562</c:v>
                </c:pt>
                <c:pt idx="19">
                  <c:v>17.676776875566038</c:v>
                </c:pt>
                <c:pt idx="20">
                  <c:v>21.927531861590744</c:v>
                </c:pt>
                <c:pt idx="21">
                  <c:v>26.53930108875187</c:v>
                </c:pt>
                <c:pt idx="22">
                  <c:v>31.541346455031022</c:v>
                </c:pt>
                <c:pt idx="23">
                  <c:v>36.457651563255034</c:v>
                </c:pt>
                <c:pt idx="24">
                  <c:v>41.140043673785051</c:v>
                </c:pt>
                <c:pt idx="25">
                  <c:v>45.31624094050359</c:v>
                </c:pt>
                <c:pt idx="26">
                  <c:v>49.059959713650805</c:v>
                </c:pt>
                <c:pt idx="27">
                  <c:v>52.27369741094325</c:v>
                </c:pt>
                <c:pt idx="28">
                  <c:v>54.867705368968885</c:v>
                </c:pt>
                <c:pt idx="29">
                  <c:v>56.757455016019755</c:v>
                </c:pt>
                <c:pt idx="30">
                  <c:v>58.326983196037432</c:v>
                </c:pt>
                <c:pt idx="31">
                  <c:v>59.617035091051719</c:v>
                </c:pt>
                <c:pt idx="32">
                  <c:v>60.669608218606562</c:v>
                </c:pt>
                <c:pt idx="33">
                  <c:v>61.524414476596924</c:v>
                </c:pt>
                <c:pt idx="34">
                  <c:v>62.216929571757383</c:v>
                </c:pt>
                <c:pt idx="35">
                  <c:v>62.777630859933588</c:v>
                </c:pt>
                <c:pt idx="36">
                  <c:v>63.229334891316022</c:v>
                </c:pt>
                <c:pt idx="37">
                  <c:v>63.606739664948257</c:v>
                </c:pt>
                <c:pt idx="38">
                  <c:v>63.908468013779789</c:v>
                </c:pt>
                <c:pt idx="39">
                  <c:v>64.149087658891773</c:v>
                </c:pt>
                <c:pt idx="40">
                  <c:v>64.340589886984404</c:v>
                </c:pt>
                <c:pt idx="41">
                  <c:v>64.47672263953821</c:v>
                </c:pt>
              </c:numCache>
            </c:numRef>
          </c:val>
          <c:smooth val="0"/>
          <c:extLst>
            <c:ext xmlns:c16="http://schemas.microsoft.com/office/drawing/2014/chart" uri="{C3380CC4-5D6E-409C-BE32-E72D297353CC}">
              <c16:uniqueId val="{00000003-B1C6-4DEA-9120-4F94FC041209}"/>
            </c:ext>
          </c:extLst>
        </c:ser>
        <c:ser>
          <c:idx val="4"/>
          <c:order val="4"/>
          <c:tx>
            <c:strRef>
              <c:f>'Australia EV uptake'!$AU$3</c:f>
              <c:strCache>
                <c:ptCount val="1"/>
                <c:pt idx="0">
                  <c:v>CSIRO </c:v>
                </c:pt>
              </c:strCache>
            </c:strRef>
          </c:tx>
          <c:spPr>
            <a:ln w="28575" cap="rnd">
              <a:solidFill>
                <a:schemeClr val="accent5"/>
              </a:solidFill>
              <a:round/>
            </a:ln>
            <a:effectLst/>
          </c:spPr>
          <c:marker>
            <c:symbol val="none"/>
          </c:marker>
          <c:val>
            <c:numRef>
              <c:f>'Australia EV uptake'!$AV$4:$AV$45</c:f>
              <c:numCache>
                <c:formatCode>0.00</c:formatCode>
                <c:ptCount val="42"/>
                <c:pt idx="9">
                  <c:v>0.29254322250643544</c:v>
                </c:pt>
                <c:pt idx="10">
                  <c:v>0.41418716361827262</c:v>
                </c:pt>
                <c:pt idx="11">
                  <c:v>0.58595447690055014</c:v>
                </c:pt>
                <c:pt idx="12">
                  <c:v>1.5</c:v>
                </c:pt>
                <c:pt idx="13">
                  <c:v>2.5</c:v>
                </c:pt>
                <c:pt idx="14">
                  <c:v>3.5</c:v>
                </c:pt>
                <c:pt idx="15">
                  <c:v>5</c:v>
                </c:pt>
                <c:pt idx="16">
                  <c:v>7.5</c:v>
                </c:pt>
                <c:pt idx="17">
                  <c:v>10</c:v>
                </c:pt>
                <c:pt idx="18">
                  <c:v>14</c:v>
                </c:pt>
                <c:pt idx="19">
                  <c:v>18</c:v>
                </c:pt>
                <c:pt idx="20">
                  <c:v>22</c:v>
                </c:pt>
                <c:pt idx="21">
                  <c:v>26</c:v>
                </c:pt>
                <c:pt idx="22">
                  <c:v>30</c:v>
                </c:pt>
                <c:pt idx="23">
                  <c:v>35</c:v>
                </c:pt>
                <c:pt idx="24">
                  <c:v>39</c:v>
                </c:pt>
                <c:pt idx="25">
                  <c:v>40.5</c:v>
                </c:pt>
                <c:pt idx="26">
                  <c:v>42</c:v>
                </c:pt>
                <c:pt idx="27">
                  <c:v>42</c:v>
                </c:pt>
                <c:pt idx="28">
                  <c:v>42</c:v>
                </c:pt>
                <c:pt idx="29">
                  <c:v>42</c:v>
                </c:pt>
                <c:pt idx="30">
                  <c:v>42</c:v>
                </c:pt>
                <c:pt idx="31">
                  <c:v>42</c:v>
                </c:pt>
                <c:pt idx="32">
                  <c:v>42</c:v>
                </c:pt>
                <c:pt idx="33">
                  <c:v>42</c:v>
                </c:pt>
                <c:pt idx="34">
                  <c:v>42</c:v>
                </c:pt>
                <c:pt idx="35">
                  <c:v>42</c:v>
                </c:pt>
                <c:pt idx="36">
                  <c:v>42</c:v>
                </c:pt>
                <c:pt idx="37">
                  <c:v>42</c:v>
                </c:pt>
                <c:pt idx="38">
                  <c:v>42</c:v>
                </c:pt>
                <c:pt idx="39">
                  <c:v>42</c:v>
                </c:pt>
                <c:pt idx="40">
                  <c:v>42</c:v>
                </c:pt>
                <c:pt idx="41">
                  <c:v>42</c:v>
                </c:pt>
              </c:numCache>
            </c:numRef>
          </c:val>
          <c:smooth val="0"/>
          <c:extLst>
            <c:ext xmlns:c16="http://schemas.microsoft.com/office/drawing/2014/chart" uri="{C3380CC4-5D6E-409C-BE32-E72D297353CC}">
              <c16:uniqueId val="{00000004-B1C6-4DEA-9120-4F94FC041209}"/>
            </c:ext>
          </c:extLst>
        </c:ser>
        <c:ser>
          <c:idx val="5"/>
          <c:order val="5"/>
          <c:tx>
            <c:strRef>
              <c:f>'Australia EV uptake'!$AT$3</c:f>
              <c:strCache>
                <c:ptCount val="1"/>
                <c:pt idx="0">
                  <c:v>old CSIRO</c:v>
                </c:pt>
              </c:strCache>
            </c:strRef>
          </c:tx>
          <c:spPr>
            <a:ln w="28575" cap="rnd">
              <a:solidFill>
                <a:schemeClr val="accent6"/>
              </a:solidFill>
              <a:round/>
            </a:ln>
            <a:effectLst/>
          </c:spPr>
          <c:marker>
            <c:symbol val="none"/>
          </c:marker>
          <c:val>
            <c:numRef>
              <c:f>'Australia EV uptake'!$AT$4:$AT$45</c:f>
              <c:numCache>
                <c:formatCode>0.00</c:formatCode>
                <c:ptCount val="42"/>
                <c:pt idx="9">
                  <c:v>0.29254322250643544</c:v>
                </c:pt>
                <c:pt idx="10">
                  <c:v>0.41418716361827262</c:v>
                </c:pt>
                <c:pt idx="11">
                  <c:v>0.58595447690055014</c:v>
                </c:pt>
                <c:pt idx="12">
                  <c:v>1.5</c:v>
                </c:pt>
                <c:pt idx="13">
                  <c:v>3</c:v>
                </c:pt>
                <c:pt idx="14">
                  <c:v>4.5</c:v>
                </c:pt>
                <c:pt idx="15">
                  <c:v>6</c:v>
                </c:pt>
                <c:pt idx="16">
                  <c:v>7.5</c:v>
                </c:pt>
                <c:pt idx="17">
                  <c:v>9</c:v>
                </c:pt>
                <c:pt idx="18">
                  <c:v>10.5</c:v>
                </c:pt>
                <c:pt idx="19">
                  <c:v>12</c:v>
                </c:pt>
                <c:pt idx="20">
                  <c:v>13.5</c:v>
                </c:pt>
                <c:pt idx="21" formatCode="General">
                  <c:v>15</c:v>
                </c:pt>
                <c:pt idx="22" formatCode="General">
                  <c:v>17</c:v>
                </c:pt>
                <c:pt idx="23" formatCode="General">
                  <c:v>19</c:v>
                </c:pt>
                <c:pt idx="24">
                  <c:v>22.666666666666668</c:v>
                </c:pt>
                <c:pt idx="25">
                  <c:v>26.333333333333336</c:v>
                </c:pt>
                <c:pt idx="26" formatCode="General">
                  <c:v>30</c:v>
                </c:pt>
                <c:pt idx="27">
                  <c:v>34</c:v>
                </c:pt>
                <c:pt idx="28">
                  <c:v>38</c:v>
                </c:pt>
                <c:pt idx="29">
                  <c:v>41</c:v>
                </c:pt>
                <c:pt idx="30">
                  <c:v>43.5</c:v>
                </c:pt>
                <c:pt idx="31">
                  <c:v>45</c:v>
                </c:pt>
                <c:pt idx="32">
                  <c:v>45</c:v>
                </c:pt>
                <c:pt idx="33">
                  <c:v>45</c:v>
                </c:pt>
                <c:pt idx="34">
                  <c:v>45</c:v>
                </c:pt>
                <c:pt idx="35">
                  <c:v>45</c:v>
                </c:pt>
                <c:pt idx="36">
                  <c:v>45</c:v>
                </c:pt>
                <c:pt idx="37">
                  <c:v>45</c:v>
                </c:pt>
                <c:pt idx="38">
                  <c:v>45</c:v>
                </c:pt>
                <c:pt idx="39">
                  <c:v>45</c:v>
                </c:pt>
                <c:pt idx="40">
                  <c:v>45</c:v>
                </c:pt>
                <c:pt idx="41">
                  <c:v>45</c:v>
                </c:pt>
              </c:numCache>
            </c:numRef>
          </c:val>
          <c:smooth val="0"/>
          <c:extLst>
            <c:ext xmlns:c16="http://schemas.microsoft.com/office/drawing/2014/chart" uri="{C3380CC4-5D6E-409C-BE32-E72D297353CC}">
              <c16:uniqueId val="{00000005-B1C6-4DEA-9120-4F94FC041209}"/>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5170667017596182E-2"/>
              <c:y val="0.279098013867669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67320765192812448"/>
          <c:h val="8.698201903866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uptake'!$AG$3</c:f>
              <c:strCache>
                <c:ptCount val="1"/>
                <c:pt idx="0">
                  <c:v> Linearized Logistic</c:v>
                </c:pt>
              </c:strCache>
            </c:strRef>
          </c:tx>
          <c:spPr>
            <a:ln w="57150" cap="rnd">
              <a:solidFill>
                <a:schemeClr val="tx1"/>
              </a:solidFill>
              <a:round/>
            </a:ln>
            <a:effectLst/>
          </c:spPr>
          <c:marker>
            <c:symbol val="none"/>
          </c:marker>
          <c:cat>
            <c:numRef>
              <c:f>'Australia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'Australia EV uptake'!$AG$6:$AG$13</c:f>
              <c:numCache>
                <c:formatCode>General</c:formatCode>
                <c:ptCount val="8"/>
                <c:pt idx="0">
                  <c:v>-8.1417157026388818</c:v>
                </c:pt>
                <c:pt idx="1">
                  <c:v>-8.3693541302992696</c:v>
                </c:pt>
                <c:pt idx="2">
                  <c:v>-7.4498012308011932</c:v>
                </c:pt>
                <c:pt idx="3">
                  <c:v>-6.0721671964042301</c:v>
                </c:pt>
                <c:pt idx="4">
                  <c:v>-5.823598868369289</c:v>
                </c:pt>
                <c:pt idx="5">
                  <c:v>-5.8406699446691599</c:v>
                </c:pt>
                <c:pt idx="6">
                  <c:v>-5.7486065084324887</c:v>
                </c:pt>
                <c:pt idx="7">
                  <c:v>-5.2560903055228829</c:v>
                </c:pt>
              </c:numCache>
            </c:numRef>
          </c:val>
          <c:smooth val="0"/>
          <c:extLst>
            <c:ext xmlns:c16="http://schemas.microsoft.com/office/drawing/2014/chart" uri="{C3380CC4-5D6E-409C-BE32-E72D297353CC}">
              <c16:uniqueId val="{00000000-2ED7-4652-822C-E4B938F135A1}"/>
            </c:ext>
          </c:extLst>
        </c:ser>
        <c:ser>
          <c:idx val="1"/>
          <c:order val="1"/>
          <c:tx>
            <c:strRef>
              <c:f>'Australia EV uptake'!$AH$3</c:f>
              <c:strCache>
                <c:ptCount val="1"/>
                <c:pt idx="0">
                  <c:v>predicted</c:v>
                </c:pt>
              </c:strCache>
            </c:strRef>
          </c:tx>
          <c:spPr>
            <a:ln w="28575" cap="rnd">
              <a:solidFill>
                <a:schemeClr val="accent2"/>
              </a:solidFill>
              <a:round/>
            </a:ln>
            <a:effectLst/>
          </c:spPr>
          <c:marker>
            <c:symbol val="none"/>
          </c:marker>
          <c:cat>
            <c:numRef>
              <c:f>'Australia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'Australia EV uptake'!$AH$6:$AH$13</c:f>
              <c:numCache>
                <c:formatCode>General</c:formatCode>
                <c:ptCount val="8"/>
                <c:pt idx="0">
                  <c:v>-8.121329318189499</c:v>
                </c:pt>
                <c:pt idx="1">
                  <c:v>-8.3127449213434392</c:v>
                </c:pt>
                <c:pt idx="2">
                  <c:v>-7.5630196487128547</c:v>
                </c:pt>
                <c:pt idx="3">
                  <c:v>-6.0791225805933706</c:v>
                </c:pt>
                <c:pt idx="4">
                  <c:v>-5.8266538820965206</c:v>
                </c:pt>
                <c:pt idx="5">
                  <c:v>-5.7944367222463393</c:v>
                </c:pt>
                <c:pt idx="6">
                  <c:v>-5.7203542306622239</c:v>
                </c:pt>
                <c:pt idx="7">
                  <c:v>-5.2843425832931477</c:v>
                </c:pt>
              </c:numCache>
            </c:numRef>
          </c:val>
          <c:smooth val="0"/>
          <c:extLst>
            <c:ext xmlns:c16="http://schemas.microsoft.com/office/drawing/2014/chart" uri="{C3380CC4-5D6E-409C-BE32-E72D297353CC}">
              <c16:uniqueId val="{00000001-2ED7-4652-822C-E4B938F135A1}"/>
            </c:ext>
          </c:extLst>
        </c:ser>
        <c:dLbls>
          <c:showLegendKey val="0"/>
          <c:showVal val="0"/>
          <c:showCatName val="0"/>
          <c:showSerName val="0"/>
          <c:showPercent val="0"/>
          <c:showBubbleSize val="0"/>
        </c:dLbls>
        <c:smooth val="0"/>
        <c:axId val="848224112"/>
        <c:axId val="848223128"/>
      </c:lineChart>
      <c:catAx>
        <c:axId val="84822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23128"/>
        <c:crosses val="autoZero"/>
        <c:auto val="1"/>
        <c:lblAlgn val="ctr"/>
        <c:lblOffset val="100"/>
        <c:noMultiLvlLbl val="0"/>
      </c:catAx>
      <c:valAx>
        <c:axId val="848223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241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'Australia EV uptake'!$BL$3</c:f>
              <c:strCache>
                <c:ptCount val="1"/>
                <c:pt idx="0">
                  <c:v>Korea</c:v>
                </c:pt>
              </c:strCache>
            </c:strRef>
          </c:tx>
          <c:spPr>
            <a:ln w="28575" cap="rnd">
              <a:solidFill>
                <a:schemeClr val="accent2"/>
              </a:solidFill>
              <a:round/>
            </a:ln>
            <a:effectLst/>
          </c:spPr>
          <c:marker>
            <c:symbol val="none"/>
          </c:marker>
          <c:cat>
            <c:numRef>
              <c:f>'Australia EV uptake'!$BJ$4:$BJ$45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uptake'!$BL$4:$BL$45</c:f>
              <c:numCache>
                <c:formatCode>0.00</c:formatCode>
                <c:ptCount val="42"/>
                <c:pt idx="0">
                  <c:v>0</c:v>
                </c:pt>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pt idx="32">
                  <c:v>64.999719841301214</c:v>
                </c:pt>
                <c:pt idx="33">
                  <c:v>64.999859976856115</c:v>
                </c:pt>
                <c:pt idx="34">
                  <c:v>64.999930016595002</c:v>
                </c:pt>
                <c:pt idx="35">
                  <c:v>64.999965022394164</c:v>
                </c:pt>
                <c:pt idx="36">
                  <c:v>64.999982518247279</c:v>
                </c:pt>
                <c:pt idx="37">
                  <c:v>64.999991262648493</c:v>
                </c:pt>
                <c:pt idx="38">
                  <c:v>64.999995633086257</c:v>
                </c:pt>
                <c:pt idx="39">
                  <c:v>64.999997817423861</c:v>
                </c:pt>
                <c:pt idx="40">
                  <c:v>64.999998909152126</c:v>
                </c:pt>
                <c:pt idx="41">
                  <c:v>64.999999454796082</c:v>
                </c:pt>
              </c:numCache>
            </c:numRef>
          </c:val>
          <c:smooth val="0"/>
          <c:extLst>
            <c:ext xmlns:c16="http://schemas.microsoft.com/office/drawing/2014/chart" uri="{C3380CC4-5D6E-409C-BE32-E72D297353CC}">
              <c16:uniqueId val="{00000001-0B43-4066-A3E8-54E739334CB0}"/>
            </c:ext>
          </c:extLst>
        </c:ser>
        <c:ser>
          <c:idx val="0"/>
          <c:order val="1"/>
          <c:tx>
            <c:strRef>
              <c:f>'Australia EV uptake'!$BK$3</c:f>
              <c:strCache>
                <c:ptCount val="1"/>
                <c:pt idx="0">
                  <c:v>Australia</c:v>
                </c:pt>
              </c:strCache>
            </c:strRef>
          </c:tx>
          <c:spPr>
            <a:ln w="28575" cap="rnd">
              <a:solidFill>
                <a:schemeClr val="accent1"/>
              </a:solidFill>
              <a:round/>
            </a:ln>
            <a:effectLst/>
          </c:spPr>
          <c:marker>
            <c:symbol val="none"/>
          </c:marker>
          <c:cat>
            <c:numRef>
              <c:f>'Australia EV uptake'!$BJ$4:$BJ$45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uptake'!$BK$4:$BK$45</c:f>
              <c:numCache>
                <c:formatCode>0.00</c:formatCode>
                <c:ptCount val="42"/>
                <c:pt idx="0">
                  <c:v>0</c:v>
                </c:pt>
                <c:pt idx="1">
                  <c:v>0</c:v>
                </c:pt>
                <c:pt idx="2">
                  <c:v>0</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0-0B43-4066-A3E8-54E739334CB0}"/>
            </c:ext>
          </c:extLst>
        </c:ser>
        <c:dLbls>
          <c:showLegendKey val="0"/>
          <c:showVal val="0"/>
          <c:showCatName val="0"/>
          <c:showSerName val="0"/>
          <c:showPercent val="0"/>
          <c:showBubbleSize val="0"/>
        </c:dLbls>
        <c:smooth val="0"/>
        <c:axId val="616687360"/>
        <c:axId val="616687688"/>
      </c:lineChart>
      <c:catAx>
        <c:axId val="61668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687688"/>
        <c:crosses val="autoZero"/>
        <c:auto val="1"/>
        <c:lblAlgn val="ctr"/>
        <c:lblOffset val="100"/>
        <c:noMultiLvlLbl val="0"/>
      </c:catAx>
      <c:valAx>
        <c:axId val="616687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300512904636920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68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uptake'!$BO$3</c:f>
              <c:strCache>
                <c:ptCount val="1"/>
                <c:pt idx="0">
                  <c:v>Global</c:v>
                </c:pt>
              </c:strCache>
            </c:strRef>
          </c:tx>
          <c:spPr>
            <a:ln w="28575" cap="rnd">
              <a:solidFill>
                <a:schemeClr val="accent1"/>
              </a:solidFill>
              <a:round/>
            </a:ln>
            <a:effectLst/>
          </c:spPr>
          <c:marker>
            <c:symbol val="none"/>
          </c:marker>
          <c:cat>
            <c:numRef>
              <c:f>'Australia EV uptake'!$BN$4:$BN$45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uptake'!$BO$4:$BO$45</c:f>
              <c:numCache>
                <c:formatCode>0.00</c:formatCode>
                <c:ptCount val="42"/>
                <c:pt idx="0">
                  <c:v>0</c:v>
                </c:pt>
                <c:pt idx="1">
                  <c:v>7.0956542813617018E-2</c:v>
                </c:pt>
                <c:pt idx="2">
                  <c:v>0.12499382424174706</c:v>
                </c:pt>
                <c:pt idx="3">
                  <c:v>0.23591088263388429</c:v>
                </c:pt>
                <c:pt idx="4">
                  <c:v>0.33516897867153417</c:v>
                </c:pt>
                <c:pt idx="5">
                  <c:v>0.52767465208105813</c:v>
                </c:pt>
                <c:pt idx="6">
                  <c:v>0.82524529248265621</c:v>
                </c:pt>
                <c:pt idx="7">
                  <c:v>1.268058518934593</c:v>
                </c:pt>
                <c:pt idx="8">
                  <c:v>1.8884492699371382</c:v>
                </c:pt>
                <c:pt idx="9">
                  <c:v>2.730161099649465</c:v>
                </c:pt>
                <c:pt idx="10">
                  <c:v>3.8564974304636261</c:v>
                </c:pt>
                <c:pt idx="11">
                  <c:v>5.4455779264867781</c:v>
                </c:pt>
                <c:pt idx="12">
                  <c:v>7.4602925423505688</c:v>
                </c:pt>
                <c:pt idx="13">
                  <c:v>9.7530223471905853</c:v>
                </c:pt>
                <c:pt idx="14">
                  <c:v>12.199724743238342</c:v>
                </c:pt>
                <c:pt idx="15">
                  <c:v>15.077808305061705</c:v>
                </c:pt>
                <c:pt idx="16">
                  <c:v>18.328683452914706</c:v>
                </c:pt>
                <c:pt idx="17">
                  <c:v>21.824088999272806</c:v>
                </c:pt>
                <c:pt idx="18">
                  <c:v>25.486321741893295</c:v>
                </c:pt>
                <c:pt idx="19">
                  <c:v>29.22792182751234</c:v>
                </c:pt>
                <c:pt idx="20">
                  <c:v>32.93874902571261</c:v>
                </c:pt>
                <c:pt idx="21">
                  <c:v>36.492480679189057</c:v>
                </c:pt>
                <c:pt idx="22">
                  <c:v>39.786999354761399</c:v>
                </c:pt>
                <c:pt idx="23">
                  <c:v>42.800868583721353</c:v>
                </c:pt>
                <c:pt idx="24">
                  <c:v>45.517679485026655</c:v>
                </c:pt>
                <c:pt idx="25">
                  <c:v>47.924957877364768</c:v>
                </c:pt>
                <c:pt idx="26">
                  <c:v>50.037190986931051</c:v>
                </c:pt>
                <c:pt idx="27">
                  <c:v>51.886109611546019</c:v>
                </c:pt>
                <c:pt idx="28">
                  <c:v>53.492660432192032</c:v>
                </c:pt>
                <c:pt idx="29">
                  <c:v>54.889432580637518</c:v>
                </c:pt>
                <c:pt idx="30">
                  <c:v>56.10641539859661</c:v>
                </c:pt>
                <c:pt idx="31">
                  <c:v>57.170230632459329</c:v>
                </c:pt>
                <c:pt idx="32">
                  <c:v>58.103923424061897</c:v>
                </c:pt>
                <c:pt idx="33">
                  <c:v>58.927078001588853</c:v>
                </c:pt>
                <c:pt idx="34">
                  <c:v>59.656102184445899</c:v>
                </c:pt>
                <c:pt idx="35">
                  <c:v>60.304584039988711</c:v>
                </c:pt>
                <c:pt idx="36">
                  <c:v>60.879807647169329</c:v>
                </c:pt>
                <c:pt idx="37">
                  <c:v>61.388781961479538</c:v>
                </c:pt>
                <c:pt idx="38">
                  <c:v>61.838147266588265</c:v>
                </c:pt>
                <c:pt idx="39">
                  <c:v>62.234114739923356</c:v>
                </c:pt>
                <c:pt idx="40">
                  <c:v>62.582432772917599</c:v>
                </c:pt>
                <c:pt idx="41">
                  <c:v>62.888374197685202</c:v>
                </c:pt>
              </c:numCache>
            </c:numRef>
          </c:val>
          <c:smooth val="0"/>
          <c:extLst>
            <c:ext xmlns:c16="http://schemas.microsoft.com/office/drawing/2014/chart" uri="{C3380CC4-5D6E-409C-BE32-E72D297353CC}">
              <c16:uniqueId val="{00000000-A986-42E5-8EC6-F1AB3C212B08}"/>
            </c:ext>
          </c:extLst>
        </c:ser>
        <c:ser>
          <c:idx val="1"/>
          <c:order val="1"/>
          <c:tx>
            <c:strRef>
              <c:f>'Australia EV uptake'!$BP$3</c:f>
              <c:strCache>
                <c:ptCount val="1"/>
                <c:pt idx="0">
                  <c:v>Australia</c:v>
                </c:pt>
              </c:strCache>
            </c:strRef>
          </c:tx>
          <c:spPr>
            <a:ln w="28575" cap="rnd">
              <a:solidFill>
                <a:schemeClr val="accent2"/>
              </a:solidFill>
              <a:round/>
            </a:ln>
            <a:effectLst/>
          </c:spPr>
          <c:marker>
            <c:symbol val="none"/>
          </c:marker>
          <c:cat>
            <c:numRef>
              <c:f>'Australia EV uptake'!$BN$4:$BN$45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uptake'!$BP$4:$BP$45</c:f>
              <c:numCache>
                <c:formatCode>0.00</c:formatCode>
                <c:ptCount val="42"/>
                <c:pt idx="0">
                  <c:v>0</c:v>
                </c:pt>
                <c:pt idx="1">
                  <c:v>0</c:v>
                </c:pt>
                <c:pt idx="2">
                  <c:v>0</c:v>
                </c:pt>
                <c:pt idx="3">
                  <c:v>3.3737289203929641E-2</c:v>
                </c:pt>
                <c:pt idx="4">
                  <c:v>3.3737289203929641E-2</c:v>
                </c:pt>
                <c:pt idx="5">
                  <c:v>3.3737289203929641E-2</c:v>
                </c:pt>
                <c:pt idx="6">
                  <c:v>0.19105189234029193</c:v>
                </c:pt>
                <c:pt idx="7">
                  <c:v>0.19728827949079125</c:v>
                </c:pt>
                <c:pt idx="8">
                  <c:v>0.21240931229561377</c:v>
                </c:pt>
                <c:pt idx="9">
                  <c:v>0.46529499260757357</c:v>
                </c:pt>
                <c:pt idx="10">
                  <c:v>0.72128820687528983</c:v>
                </c:pt>
                <c:pt idx="11">
                  <c:v>1.3784503770027925</c:v>
                </c:pt>
                <c:pt idx="12">
                  <c:v>2.0454176020905916</c:v>
                </c:pt>
                <c:pt idx="13">
                  <c:v>2.9260014029329313</c:v>
                </c:pt>
                <c:pt idx="14">
                  <c:v>4.1981355639089175</c:v>
                </c:pt>
                <c:pt idx="15">
                  <c:v>5.8798767082036187</c:v>
                </c:pt>
                <c:pt idx="16">
                  <c:v>8.0223170470678973</c:v>
                </c:pt>
                <c:pt idx="17">
                  <c:v>10.641364340714375</c:v>
                </c:pt>
                <c:pt idx="18">
                  <c:v>13.915702409395562</c:v>
                </c:pt>
                <c:pt idx="19">
                  <c:v>17.676776875566038</c:v>
                </c:pt>
                <c:pt idx="20">
                  <c:v>21.927531861590744</c:v>
                </c:pt>
                <c:pt idx="21">
                  <c:v>26.53930108875187</c:v>
                </c:pt>
                <c:pt idx="22">
                  <c:v>31.541346455031022</c:v>
                </c:pt>
                <c:pt idx="23">
                  <c:v>36.457651563255034</c:v>
                </c:pt>
                <c:pt idx="24">
                  <c:v>41.140043673785051</c:v>
                </c:pt>
                <c:pt idx="25">
                  <c:v>45.31624094050359</c:v>
                </c:pt>
                <c:pt idx="26">
                  <c:v>49.059959713650805</c:v>
                </c:pt>
                <c:pt idx="27">
                  <c:v>52.27369741094325</c:v>
                </c:pt>
                <c:pt idx="28">
                  <c:v>54.867705368968885</c:v>
                </c:pt>
                <c:pt idx="29">
                  <c:v>56.757455016019755</c:v>
                </c:pt>
                <c:pt idx="30">
                  <c:v>58.326983196037432</c:v>
                </c:pt>
                <c:pt idx="31">
                  <c:v>59.617035091051719</c:v>
                </c:pt>
                <c:pt idx="32">
                  <c:v>60.669608218606562</c:v>
                </c:pt>
                <c:pt idx="33">
                  <c:v>61.524414476596924</c:v>
                </c:pt>
                <c:pt idx="34">
                  <c:v>62.216929571757383</c:v>
                </c:pt>
                <c:pt idx="35">
                  <c:v>62.777630859933588</c:v>
                </c:pt>
                <c:pt idx="36">
                  <c:v>63.229334891316022</c:v>
                </c:pt>
                <c:pt idx="37">
                  <c:v>63.606739664948257</c:v>
                </c:pt>
                <c:pt idx="38">
                  <c:v>63.908468013779789</c:v>
                </c:pt>
                <c:pt idx="39">
                  <c:v>64.149087658891773</c:v>
                </c:pt>
                <c:pt idx="40">
                  <c:v>64.340589886984404</c:v>
                </c:pt>
                <c:pt idx="41">
                  <c:v>64.47672263953821</c:v>
                </c:pt>
              </c:numCache>
            </c:numRef>
          </c:val>
          <c:smooth val="0"/>
          <c:extLst>
            <c:ext xmlns:c16="http://schemas.microsoft.com/office/drawing/2014/chart" uri="{C3380CC4-5D6E-409C-BE32-E72D297353CC}">
              <c16:uniqueId val="{00000001-A986-42E5-8EC6-F1AB3C212B08}"/>
            </c:ext>
          </c:extLst>
        </c:ser>
        <c:dLbls>
          <c:showLegendKey val="0"/>
          <c:showVal val="0"/>
          <c:showCatName val="0"/>
          <c:showSerName val="0"/>
          <c:showPercent val="0"/>
          <c:showBubbleSize val="0"/>
        </c:dLbls>
        <c:smooth val="0"/>
        <c:axId val="384315456"/>
        <c:axId val="384087824"/>
      </c:lineChart>
      <c:catAx>
        <c:axId val="38431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087824"/>
        <c:crosses val="autoZero"/>
        <c:auto val="1"/>
        <c:lblAlgn val="ctr"/>
        <c:lblOffset val="100"/>
        <c:noMultiLvlLbl val="0"/>
      </c:catAx>
      <c:valAx>
        <c:axId val="384087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315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Australia!$AH$17</c:f>
              <c:strCache>
                <c:ptCount val="1"/>
                <c:pt idx="0">
                  <c:v>PEV sales</c:v>
                </c:pt>
              </c:strCache>
            </c:strRef>
          </c:tx>
          <c:spPr>
            <a:ln w="28575" cap="rnd">
              <a:solidFill>
                <a:schemeClr val="accent1"/>
              </a:solidFill>
              <a:round/>
            </a:ln>
            <a:effectLst/>
          </c:spPr>
          <c:marker>
            <c:symbol val="none"/>
          </c:marker>
          <c:cat>
            <c:numRef>
              <c:f>Australia!$AF$18:$AF$24</c:f>
              <c:numCache>
                <c:formatCode>General</c:formatCode>
                <c:ptCount val="7"/>
                <c:pt idx="0">
                  <c:v>2011</c:v>
                </c:pt>
                <c:pt idx="1">
                  <c:v>2012</c:v>
                </c:pt>
                <c:pt idx="2">
                  <c:v>2013</c:v>
                </c:pt>
                <c:pt idx="3">
                  <c:v>2014</c:v>
                </c:pt>
                <c:pt idx="4">
                  <c:v>2015</c:v>
                </c:pt>
                <c:pt idx="5">
                  <c:v>2016</c:v>
                </c:pt>
                <c:pt idx="6">
                  <c:v>2017</c:v>
                </c:pt>
              </c:numCache>
            </c:numRef>
          </c:cat>
          <c:val>
            <c:numRef>
              <c:f>Australia!$AH$18:$AH$24</c:f>
              <c:numCache>
                <c:formatCode>0.00</c:formatCode>
                <c:ptCount val="7"/>
                <c:pt idx="0">
                  <c:v>4.9000000000000002E-2</c:v>
                </c:pt>
                <c:pt idx="1">
                  <c:v>0.253</c:v>
                </c:pt>
                <c:pt idx="2">
                  <c:v>0.29299999999999998</c:v>
                </c:pt>
                <c:pt idx="3">
                  <c:v>1.3220000000000001</c:v>
                </c:pt>
                <c:pt idx="4">
                  <c:v>1.7709999999999999</c:v>
                </c:pt>
                <c:pt idx="5">
                  <c:v>1.369</c:v>
                </c:pt>
              </c:numCache>
            </c:numRef>
          </c:val>
          <c:smooth val="0"/>
          <c:extLst>
            <c:ext xmlns:c16="http://schemas.microsoft.com/office/drawing/2014/chart" uri="{C3380CC4-5D6E-409C-BE32-E72D297353CC}">
              <c16:uniqueId val="{00000000-C946-4E3B-A6FE-439C4A0F5375}"/>
            </c:ext>
          </c:extLst>
        </c:ser>
        <c:ser>
          <c:idx val="1"/>
          <c:order val="1"/>
          <c:tx>
            <c:strRef>
              <c:f>Australia!$AI$17</c:f>
              <c:strCache>
                <c:ptCount val="1"/>
                <c:pt idx="0">
                  <c:v>Cosgrove</c:v>
                </c:pt>
              </c:strCache>
            </c:strRef>
          </c:tx>
          <c:spPr>
            <a:ln w="28575" cap="rnd">
              <a:solidFill>
                <a:schemeClr val="accent2"/>
              </a:solidFill>
              <a:round/>
            </a:ln>
            <a:effectLst/>
          </c:spPr>
          <c:marker>
            <c:symbol val="none"/>
          </c:marker>
          <c:cat>
            <c:numRef>
              <c:f>Australia!$AF$18:$AF$24</c:f>
              <c:numCache>
                <c:formatCode>General</c:formatCode>
                <c:ptCount val="7"/>
                <c:pt idx="0">
                  <c:v>2011</c:v>
                </c:pt>
                <c:pt idx="1">
                  <c:v>2012</c:v>
                </c:pt>
                <c:pt idx="2">
                  <c:v>2013</c:v>
                </c:pt>
                <c:pt idx="3">
                  <c:v>2014</c:v>
                </c:pt>
                <c:pt idx="4">
                  <c:v>2015</c:v>
                </c:pt>
                <c:pt idx="5">
                  <c:v>2016</c:v>
                </c:pt>
                <c:pt idx="6">
                  <c:v>2017</c:v>
                </c:pt>
              </c:numCache>
            </c:numRef>
          </c:cat>
          <c:val>
            <c:numRef>
              <c:f>Australia!$AI$18:$AI$24</c:f>
              <c:numCache>
                <c:formatCode>0.00</c:formatCode>
                <c:ptCount val="7"/>
                <c:pt idx="0">
                  <c:v>0.13900000000000001</c:v>
                </c:pt>
                <c:pt idx="1">
                  <c:v>0.121</c:v>
                </c:pt>
                <c:pt idx="2">
                  <c:v>0.32800000000000001</c:v>
                </c:pt>
                <c:pt idx="3">
                  <c:v>0.379</c:v>
                </c:pt>
                <c:pt idx="4">
                  <c:v>1.81</c:v>
                </c:pt>
                <c:pt idx="5">
                  <c:v>1.6639999999999999</c:v>
                </c:pt>
                <c:pt idx="6">
                  <c:v>1.3140000000000001</c:v>
                </c:pt>
              </c:numCache>
            </c:numRef>
          </c:val>
          <c:smooth val="0"/>
          <c:extLst>
            <c:ext xmlns:c16="http://schemas.microsoft.com/office/drawing/2014/chart" uri="{C3380CC4-5D6E-409C-BE32-E72D297353CC}">
              <c16:uniqueId val="{00000001-C946-4E3B-A6FE-439C4A0F5375}"/>
            </c:ext>
          </c:extLst>
        </c:ser>
        <c:dLbls>
          <c:showLegendKey val="0"/>
          <c:showVal val="0"/>
          <c:showCatName val="0"/>
          <c:showSerName val="0"/>
          <c:showPercent val="0"/>
          <c:showBubbleSize val="0"/>
        </c:dLbls>
        <c:smooth val="0"/>
        <c:axId val="436922352"/>
        <c:axId val="674284880"/>
      </c:lineChart>
      <c:catAx>
        <c:axId val="43692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284880"/>
        <c:crosses val="autoZero"/>
        <c:auto val="1"/>
        <c:lblAlgn val="ctr"/>
        <c:lblOffset val="100"/>
        <c:noMultiLvlLbl val="0"/>
      </c:catAx>
      <c:valAx>
        <c:axId val="674284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92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Australia!$AR$5</c:f>
              <c:strCache>
                <c:ptCount val="1"/>
                <c:pt idx="0">
                  <c:v>private cars</c:v>
                </c:pt>
              </c:strCache>
            </c:strRef>
          </c:tx>
          <c:spPr>
            <a:ln w="28575" cap="rnd">
              <a:solidFill>
                <a:schemeClr val="accent1"/>
              </a:solidFill>
              <a:round/>
            </a:ln>
            <a:effectLst/>
          </c:spPr>
          <c:marker>
            <c:symbol val="none"/>
          </c:marker>
          <c:cat>
            <c:numRef>
              <c:f>Australia!$AQ$6:$AQ$10</c:f>
              <c:numCache>
                <c:formatCode>General</c:formatCode>
                <c:ptCount val="5"/>
                <c:pt idx="0">
                  <c:v>2013</c:v>
                </c:pt>
                <c:pt idx="1">
                  <c:v>2014</c:v>
                </c:pt>
                <c:pt idx="2">
                  <c:v>2015</c:v>
                </c:pt>
                <c:pt idx="3">
                  <c:v>2016</c:v>
                </c:pt>
                <c:pt idx="4">
                  <c:v>2017</c:v>
                </c:pt>
              </c:numCache>
            </c:numRef>
          </c:cat>
          <c:val>
            <c:numRef>
              <c:f>Australia!$AR$6:$AR$10</c:f>
              <c:numCache>
                <c:formatCode>General</c:formatCode>
                <c:ptCount val="5"/>
                <c:pt idx="0">
                  <c:v>899965</c:v>
                </c:pt>
                <c:pt idx="1">
                  <c:v>883949</c:v>
                </c:pt>
                <c:pt idx="2">
                  <c:v>924154</c:v>
                </c:pt>
                <c:pt idx="3">
                  <c:v>927280</c:v>
                </c:pt>
                <c:pt idx="4">
                  <c:v>892590</c:v>
                </c:pt>
              </c:numCache>
            </c:numRef>
          </c:val>
          <c:smooth val="0"/>
          <c:extLst>
            <c:ext xmlns:c16="http://schemas.microsoft.com/office/drawing/2014/chart" uri="{C3380CC4-5D6E-409C-BE32-E72D297353CC}">
              <c16:uniqueId val="{00000000-7B88-4E90-86A9-A82AEFBE7532}"/>
            </c:ext>
          </c:extLst>
        </c:ser>
        <c:ser>
          <c:idx val="1"/>
          <c:order val="1"/>
          <c:tx>
            <c:strRef>
              <c:f>Australia!$AU$5</c:f>
              <c:strCache>
                <c:ptCount val="1"/>
                <c:pt idx="0">
                  <c:v>LV total</c:v>
                </c:pt>
              </c:strCache>
            </c:strRef>
          </c:tx>
          <c:spPr>
            <a:ln w="28575" cap="rnd">
              <a:solidFill>
                <a:schemeClr val="accent2"/>
              </a:solidFill>
              <a:round/>
            </a:ln>
            <a:effectLst/>
          </c:spPr>
          <c:marker>
            <c:symbol val="none"/>
          </c:marker>
          <c:cat>
            <c:numRef>
              <c:f>Australia!$AQ$6:$AQ$10</c:f>
              <c:numCache>
                <c:formatCode>General</c:formatCode>
                <c:ptCount val="5"/>
                <c:pt idx="0">
                  <c:v>2013</c:v>
                </c:pt>
                <c:pt idx="1">
                  <c:v>2014</c:v>
                </c:pt>
                <c:pt idx="2">
                  <c:v>2015</c:v>
                </c:pt>
                <c:pt idx="3">
                  <c:v>2016</c:v>
                </c:pt>
                <c:pt idx="4">
                  <c:v>2017</c:v>
                </c:pt>
              </c:numCache>
            </c:numRef>
          </c:cat>
          <c:val>
            <c:numRef>
              <c:f>Australia!$AU$6:$AU$10</c:f>
              <c:numCache>
                <c:formatCode>General</c:formatCode>
                <c:ptCount val="5"/>
                <c:pt idx="0">
                  <c:v>1104531</c:v>
                </c:pt>
                <c:pt idx="1">
                  <c:v>1081899</c:v>
                </c:pt>
                <c:pt idx="2">
                  <c:v>1123224</c:v>
                </c:pt>
                <c:pt idx="3">
                  <c:v>1145024</c:v>
                </c:pt>
              </c:numCache>
            </c:numRef>
          </c:val>
          <c:smooth val="0"/>
          <c:extLst>
            <c:ext xmlns:c16="http://schemas.microsoft.com/office/drawing/2014/chart" uri="{C3380CC4-5D6E-409C-BE32-E72D297353CC}">
              <c16:uniqueId val="{00000001-7B88-4E90-86A9-A82AEFBE7532}"/>
            </c:ext>
          </c:extLst>
        </c:ser>
        <c:dLbls>
          <c:showLegendKey val="0"/>
          <c:showVal val="0"/>
          <c:showCatName val="0"/>
          <c:showSerName val="0"/>
          <c:showPercent val="0"/>
          <c:showBubbleSize val="0"/>
        </c:dLbls>
        <c:smooth val="0"/>
        <c:axId val="717821136"/>
        <c:axId val="717824416"/>
      </c:lineChart>
      <c:catAx>
        <c:axId val="71782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824416"/>
        <c:crosses val="autoZero"/>
        <c:auto val="1"/>
        <c:lblAlgn val="ctr"/>
        <c:lblOffset val="100"/>
        <c:noMultiLvlLbl val="0"/>
      </c:catAx>
      <c:valAx>
        <c:axId val="717824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82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'German car price'!$J$21:$R$21</c:f>
              <c:numCache>
                <c:formatCode>0</c:formatCode>
                <c:ptCount val="9"/>
                <c:pt idx="0">
                  <c:v>15236.97624854485</c:v>
                </c:pt>
                <c:pt idx="1">
                  <c:v>16266.383559451078</c:v>
                </c:pt>
                <c:pt idx="2">
                  <c:v>17983.888059741566</c:v>
                </c:pt>
                <c:pt idx="3">
                  <c:v>16997.816888407608</c:v>
                </c:pt>
                <c:pt idx="4">
                  <c:v>17738.309698677382</c:v>
                </c:pt>
                <c:pt idx="5">
                  <c:v>18042.189316121909</c:v>
                </c:pt>
                <c:pt idx="6">
                  <c:v>15689.080819971681</c:v>
                </c:pt>
                <c:pt idx="7">
                  <c:v>16126.648979531188</c:v>
                </c:pt>
                <c:pt idx="8">
                  <c:v>17016.641355229178</c:v>
                </c:pt>
              </c:numCache>
            </c:numRef>
          </c:val>
          <c:smooth val="0"/>
          <c:extLst>
            <c:ext xmlns:c16="http://schemas.microsoft.com/office/drawing/2014/chart" uri="{C3380CC4-5D6E-409C-BE32-E72D297353CC}">
              <c16:uniqueId val="{00000000-2B85-409C-802B-94ED0B149E84}"/>
            </c:ext>
          </c:extLst>
        </c:ser>
        <c:dLbls>
          <c:showLegendKey val="0"/>
          <c:showVal val="0"/>
          <c:showCatName val="0"/>
          <c:showSerName val="0"/>
          <c:showPercent val="0"/>
          <c:showBubbleSize val="0"/>
        </c:dLbls>
        <c:smooth val="0"/>
        <c:axId val="652654280"/>
        <c:axId val="652655920"/>
      </c:lineChart>
      <c:catAx>
        <c:axId val="652654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655920"/>
        <c:crosses val="autoZero"/>
        <c:auto val="1"/>
        <c:lblAlgn val="ctr"/>
        <c:lblOffset val="100"/>
        <c:noMultiLvlLbl val="0"/>
      </c:catAx>
      <c:valAx>
        <c:axId val="652655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654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Australia!$O$2</c:f>
              <c:strCache>
                <c:ptCount val="1"/>
                <c:pt idx="0">
                  <c:v>BEV price</c:v>
                </c:pt>
              </c:strCache>
            </c:strRef>
          </c:tx>
          <c:spPr>
            <a:ln w="79375" cap="rnd">
              <a:solidFill>
                <a:schemeClr val="accent1"/>
              </a:solidFill>
              <a:round/>
            </a:ln>
            <a:effectLst/>
          </c:spPr>
          <c:marker>
            <c:symbol val="none"/>
          </c:marker>
          <c:cat>
            <c:numRef>
              <c:f>Australia!$N$3:$N$24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Australia!$O$3:$O$24</c:f>
              <c:numCache>
                <c:formatCode>0</c:formatCode>
                <c:ptCount val="22"/>
                <c:pt idx="0">
                  <c:v>45075.890373517621</c:v>
                </c:pt>
                <c:pt idx="1">
                  <c:v>39050.162600889547</c:v>
                </c:pt>
                <c:pt idx="2">
                  <c:v>34775.011410863139</c:v>
                </c:pt>
                <c:pt idx="3">
                  <c:v>35735.706114243818</c:v>
                </c:pt>
                <c:pt idx="4">
                  <c:v>38857.40912069843</c:v>
                </c:pt>
                <c:pt idx="5">
                  <c:v>44360.382904390346</c:v>
                </c:pt>
                <c:pt idx="6">
                  <c:v>47612.93621201635</c:v>
                </c:pt>
                <c:pt idx="7">
                  <c:v>47800.780190339538</c:v>
                </c:pt>
                <c:pt idx="8">
                  <c:v>46274.62783592278</c:v>
                </c:pt>
                <c:pt idx="9">
                  <c:v>48868.249848293483</c:v>
                </c:pt>
                <c:pt idx="10">
                  <c:v>49754.402428574467</c:v>
                </c:pt>
                <c:pt idx="11">
                  <c:v>49468.995214784947</c:v>
                </c:pt>
                <c:pt idx="12">
                  <c:v>48280.33434014571</c:v>
                </c:pt>
                <c:pt idx="13">
                  <c:v>48945.064557435449</c:v>
                </c:pt>
                <c:pt idx="14">
                  <c:v>48516.538816290689</c:v>
                </c:pt>
                <c:pt idx="15">
                  <c:v>46859.989502607605</c:v>
                </c:pt>
                <c:pt idx="16">
                  <c:v>45437.819827042353</c:v>
                </c:pt>
                <c:pt idx="17">
                  <c:v>44627.618608857214</c:v>
                </c:pt>
                <c:pt idx="18">
                  <c:v>43817.41739067209</c:v>
                </c:pt>
                <c:pt idx="19">
                  <c:v>42905.941020213824</c:v>
                </c:pt>
                <c:pt idx="20">
                  <c:v>42095.7398020287</c:v>
                </c:pt>
                <c:pt idx="21">
                  <c:v>41184.263431570427</c:v>
                </c:pt>
              </c:numCache>
            </c:numRef>
          </c:val>
          <c:smooth val="0"/>
          <c:extLst>
            <c:ext xmlns:c16="http://schemas.microsoft.com/office/drawing/2014/chart" uri="{C3380CC4-5D6E-409C-BE32-E72D297353CC}">
              <c16:uniqueId val="{00000000-0031-4918-B291-86D131D096E8}"/>
            </c:ext>
          </c:extLst>
        </c:ser>
        <c:ser>
          <c:idx val="1"/>
          <c:order val="1"/>
          <c:tx>
            <c:strRef>
              <c:f>Australia!$P$2</c:f>
              <c:strCache>
                <c:ptCount val="1"/>
                <c:pt idx="0">
                  <c:v>PHEV price</c:v>
                </c:pt>
              </c:strCache>
            </c:strRef>
          </c:tx>
          <c:spPr>
            <a:ln w="15875" cap="rnd">
              <a:solidFill>
                <a:schemeClr val="accent2"/>
              </a:solidFill>
              <a:round/>
            </a:ln>
            <a:effectLst/>
          </c:spPr>
          <c:marker>
            <c:symbol val="none"/>
          </c:marker>
          <c:cat>
            <c:numRef>
              <c:f>Australia!$N$3:$N$24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Australia!$P$3:$P$24</c:f>
              <c:numCache>
                <c:formatCode>0</c:formatCode>
                <c:ptCount val="22"/>
                <c:pt idx="0">
                  <c:v>45075.890373517621</c:v>
                </c:pt>
                <c:pt idx="1">
                  <c:v>39050.162600889547</c:v>
                </c:pt>
                <c:pt idx="2">
                  <c:v>34775.011410863139</c:v>
                </c:pt>
                <c:pt idx="3">
                  <c:v>35735.706114243818</c:v>
                </c:pt>
                <c:pt idx="4">
                  <c:v>38857.40912069843</c:v>
                </c:pt>
                <c:pt idx="5">
                  <c:v>44360.382904390346</c:v>
                </c:pt>
                <c:pt idx="6">
                  <c:v>47612.93621201635</c:v>
                </c:pt>
                <c:pt idx="7">
                  <c:v>47800.780190339538</c:v>
                </c:pt>
                <c:pt idx="8">
                  <c:v>46274.62783592278</c:v>
                </c:pt>
                <c:pt idx="9">
                  <c:v>48868.249848293483</c:v>
                </c:pt>
                <c:pt idx="10">
                  <c:v>49754.402428574467</c:v>
                </c:pt>
                <c:pt idx="11">
                  <c:v>49468.995214784947</c:v>
                </c:pt>
                <c:pt idx="12">
                  <c:v>48280.33434014571</c:v>
                </c:pt>
                <c:pt idx="13">
                  <c:v>48945.064557435449</c:v>
                </c:pt>
                <c:pt idx="14">
                  <c:v>48516.538816290689</c:v>
                </c:pt>
                <c:pt idx="15">
                  <c:v>46859.989502607605</c:v>
                </c:pt>
                <c:pt idx="16">
                  <c:v>45437.819827042353</c:v>
                </c:pt>
                <c:pt idx="17">
                  <c:v>44627.618608857214</c:v>
                </c:pt>
                <c:pt idx="18">
                  <c:v>43817.41739067209</c:v>
                </c:pt>
                <c:pt idx="19">
                  <c:v>42905.941020213824</c:v>
                </c:pt>
                <c:pt idx="20">
                  <c:v>42095.7398020287</c:v>
                </c:pt>
                <c:pt idx="21">
                  <c:v>41184.263431570427</c:v>
                </c:pt>
              </c:numCache>
            </c:numRef>
          </c:val>
          <c:smooth val="0"/>
          <c:extLst>
            <c:ext xmlns:c16="http://schemas.microsoft.com/office/drawing/2014/chart" uri="{C3380CC4-5D6E-409C-BE32-E72D297353CC}">
              <c16:uniqueId val="{00000001-0031-4918-B291-86D131D096E8}"/>
            </c:ext>
          </c:extLst>
        </c:ser>
        <c:ser>
          <c:idx val="2"/>
          <c:order val="2"/>
          <c:tx>
            <c:strRef>
              <c:f>Australia!$Q$2</c:f>
              <c:strCache>
                <c:ptCount val="1"/>
                <c:pt idx="0">
                  <c:v>FFV price</c:v>
                </c:pt>
              </c:strCache>
            </c:strRef>
          </c:tx>
          <c:spPr>
            <a:ln w="28575" cap="rnd">
              <a:solidFill>
                <a:schemeClr val="tx1"/>
              </a:solidFill>
              <a:round/>
            </a:ln>
            <a:effectLst/>
          </c:spPr>
          <c:marker>
            <c:symbol val="none"/>
          </c:marker>
          <c:cat>
            <c:numRef>
              <c:f>Australia!$N$3:$N$24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Australia!$Q$3:$Q$24</c:f>
              <c:numCache>
                <c:formatCode>0</c:formatCode>
                <c:ptCount val="22"/>
                <c:pt idx="0">
                  <c:v>33324.087174096676</c:v>
                </c:pt>
                <c:pt idx="1">
                  <c:v>28251.791327348656</c:v>
                </c:pt>
                <c:pt idx="2">
                  <c:v>24974.175414995072</c:v>
                </c:pt>
                <c:pt idx="3">
                  <c:v>25008.419533317297</c:v>
                </c:pt>
                <c:pt idx="4">
                  <c:v>27071.741677878563</c:v>
                </c:pt>
                <c:pt idx="5">
                  <c:v>28909.899888765292</c:v>
                </c:pt>
                <c:pt idx="6">
                  <c:v>34816.584429212533</c:v>
                </c:pt>
                <c:pt idx="7">
                  <c:v>34960.598145926975</c:v>
                </c:pt>
                <c:pt idx="8">
                  <c:v>33790.548007540798</c:v>
                </c:pt>
                <c:pt idx="9">
                  <c:v>35086.5</c:v>
                </c:pt>
                <c:pt idx="10">
                  <c:v>35086.5</c:v>
                </c:pt>
                <c:pt idx="11">
                  <c:v>35086.5</c:v>
                </c:pt>
                <c:pt idx="12">
                  <c:v>35086.5</c:v>
                </c:pt>
                <c:pt idx="13">
                  <c:v>35086.5</c:v>
                </c:pt>
                <c:pt idx="14">
                  <c:v>35086.5</c:v>
                </c:pt>
                <c:pt idx="15">
                  <c:v>35086.5</c:v>
                </c:pt>
                <c:pt idx="16">
                  <c:v>35086.5</c:v>
                </c:pt>
                <c:pt idx="17">
                  <c:v>35086.5</c:v>
                </c:pt>
                <c:pt idx="18">
                  <c:v>35086.5</c:v>
                </c:pt>
                <c:pt idx="19">
                  <c:v>35086.5</c:v>
                </c:pt>
                <c:pt idx="20">
                  <c:v>35086.5</c:v>
                </c:pt>
                <c:pt idx="21">
                  <c:v>35086.5</c:v>
                </c:pt>
              </c:numCache>
            </c:numRef>
          </c:val>
          <c:smooth val="0"/>
          <c:extLst>
            <c:ext xmlns:c16="http://schemas.microsoft.com/office/drawing/2014/chart" uri="{C3380CC4-5D6E-409C-BE32-E72D297353CC}">
              <c16:uniqueId val="{00000002-0031-4918-B291-86D131D096E8}"/>
            </c:ext>
          </c:extLst>
        </c:ser>
        <c:dLbls>
          <c:showLegendKey val="0"/>
          <c:showVal val="0"/>
          <c:showCatName val="0"/>
          <c:showSerName val="0"/>
          <c:showPercent val="0"/>
          <c:showBubbleSize val="0"/>
        </c:dLbls>
        <c:smooth val="0"/>
        <c:axId val="689936432"/>
        <c:axId val="689942992"/>
      </c:lineChart>
      <c:catAx>
        <c:axId val="68993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42992"/>
        <c:crosses val="autoZero"/>
        <c:auto val="1"/>
        <c:lblAlgn val="ctr"/>
        <c:lblOffset val="100"/>
        <c:noMultiLvlLbl val="0"/>
      </c:catAx>
      <c:valAx>
        <c:axId val="68994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'Australia EV uptake'!$C$3</c:f>
              <c:strCache>
                <c:ptCount val="1"/>
                <c:pt idx="0">
                  <c:v> predicted</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uptake'!$C$4:$C$45</c:f>
              <c:numCache>
                <c:formatCode>0.00</c:formatCode>
                <c:ptCount val="42"/>
                <c:pt idx="0">
                  <c:v>0</c:v>
                </c:pt>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0-FD3D-4228-8929-966A7D8C2325}"/>
            </c:ext>
          </c:extLst>
        </c:ser>
        <c:ser>
          <c:idx val="0"/>
          <c:order val="1"/>
          <c:tx>
            <c:strRef>
              <c:f>'Australia EV uptake'!$E$3</c:f>
              <c:strCache>
                <c:ptCount val="1"/>
                <c:pt idx="0">
                  <c:v>Predicted Cost Lagged</c:v>
                </c:pt>
              </c:strCache>
            </c:strRef>
          </c:tx>
          <c:spPr>
            <a:ln w="28575" cap="rnd">
              <a:solidFill>
                <a:schemeClr val="accent1"/>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uptake'!$E$4:$E$45</c:f>
              <c:numCache>
                <c:formatCode>0.00</c:formatCode>
                <c:ptCount val="42"/>
                <c:pt idx="3">
                  <c:v>3.3737289203929641E-2</c:v>
                </c:pt>
                <c:pt idx="4">
                  <c:v>3.3737289203929641E-2</c:v>
                </c:pt>
                <c:pt idx="5">
                  <c:v>3.3737289203929641E-2</c:v>
                </c:pt>
                <c:pt idx="6">
                  <c:v>0.19105189234029193</c:v>
                </c:pt>
                <c:pt idx="7">
                  <c:v>0.19728827949079125</c:v>
                </c:pt>
                <c:pt idx="8">
                  <c:v>0.21240931229561377</c:v>
                </c:pt>
                <c:pt idx="9">
                  <c:v>0.46529499260757357</c:v>
                </c:pt>
                <c:pt idx="10">
                  <c:v>0.72128820687528983</c:v>
                </c:pt>
                <c:pt idx="11">
                  <c:v>1.3784503770027925</c:v>
                </c:pt>
                <c:pt idx="12">
                  <c:v>2.0454176020905916</c:v>
                </c:pt>
                <c:pt idx="13">
                  <c:v>2.9260014029329313</c:v>
                </c:pt>
                <c:pt idx="14">
                  <c:v>4.1981355639089175</c:v>
                </c:pt>
                <c:pt idx="15">
                  <c:v>5.8798767082036187</c:v>
                </c:pt>
                <c:pt idx="16">
                  <c:v>8.0223170470678973</c:v>
                </c:pt>
                <c:pt idx="17">
                  <c:v>10.641364340714375</c:v>
                </c:pt>
                <c:pt idx="18">
                  <c:v>13.915702409395562</c:v>
                </c:pt>
                <c:pt idx="19">
                  <c:v>17.676776875566038</c:v>
                </c:pt>
                <c:pt idx="20">
                  <c:v>21.927531861590744</c:v>
                </c:pt>
                <c:pt idx="21">
                  <c:v>26.53930108875187</c:v>
                </c:pt>
                <c:pt idx="22">
                  <c:v>31.541346455031022</c:v>
                </c:pt>
                <c:pt idx="23">
                  <c:v>36.457651563255034</c:v>
                </c:pt>
                <c:pt idx="24">
                  <c:v>41.140043673785051</c:v>
                </c:pt>
                <c:pt idx="25">
                  <c:v>45.31624094050359</c:v>
                </c:pt>
                <c:pt idx="26">
                  <c:v>49.059959713650805</c:v>
                </c:pt>
                <c:pt idx="27">
                  <c:v>52.27369741094325</c:v>
                </c:pt>
                <c:pt idx="28">
                  <c:v>54.867705368968885</c:v>
                </c:pt>
                <c:pt idx="29">
                  <c:v>56.757455016019755</c:v>
                </c:pt>
                <c:pt idx="30">
                  <c:v>58.326983196037432</c:v>
                </c:pt>
                <c:pt idx="31">
                  <c:v>59.617035091051719</c:v>
                </c:pt>
                <c:pt idx="32">
                  <c:v>60.669608218606562</c:v>
                </c:pt>
                <c:pt idx="33">
                  <c:v>61.524414476596924</c:v>
                </c:pt>
                <c:pt idx="34">
                  <c:v>62.216929571757383</c:v>
                </c:pt>
                <c:pt idx="35">
                  <c:v>62.777630859933588</c:v>
                </c:pt>
                <c:pt idx="36">
                  <c:v>63.229334891316022</c:v>
                </c:pt>
                <c:pt idx="37">
                  <c:v>63.606739664948257</c:v>
                </c:pt>
                <c:pt idx="38">
                  <c:v>63.908468013779789</c:v>
                </c:pt>
                <c:pt idx="39">
                  <c:v>64.149087658891773</c:v>
                </c:pt>
                <c:pt idx="40">
                  <c:v>64.340589886984404</c:v>
                </c:pt>
                <c:pt idx="41">
                  <c:v>64.47672263953821</c:v>
                </c:pt>
              </c:numCache>
            </c:numRef>
          </c:val>
          <c:smooth val="0"/>
          <c:extLst>
            <c:ext xmlns:c16="http://schemas.microsoft.com/office/drawing/2014/chart" uri="{C3380CC4-5D6E-409C-BE32-E72D297353CC}">
              <c16:uniqueId val="{00000001-FD3D-4228-8929-966A7D8C2325}"/>
            </c:ext>
          </c:extLst>
        </c:ser>
        <c:ser>
          <c:idx val="2"/>
          <c:order val="2"/>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FD3D-4228-8929-966A7D8C2325}"/>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sales</a:t>
                </a:r>
              </a:p>
            </c:rich>
          </c:tx>
          <c:layout>
            <c:manualLayout>
              <c:xMode val="edge"/>
              <c:yMode val="edge"/>
              <c:x val="1.627670135985752E-2"/>
              <c:y val="0.321512916196914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52718207249229576"/>
          <c:h val="5.96295253432577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Australia!$AD$138</c:f>
              <c:strCache>
                <c:ptCount val="1"/>
                <c:pt idx="0">
                  <c:v>  actual</c:v>
                </c:pt>
              </c:strCache>
            </c:strRef>
          </c:tx>
          <c:spPr>
            <a:ln w="60325" cap="rnd">
              <a:solidFill>
                <a:schemeClr val="tx1"/>
              </a:solidFill>
              <a:round/>
            </a:ln>
            <a:effectLst/>
          </c:spPr>
          <c:marker>
            <c:symbol val="none"/>
          </c:marker>
          <c:cat>
            <c:numRef>
              <c:f>Australia!$AC$139:$AC$159</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Australia!$AD$139:$AD$159</c:f>
              <c:numCache>
                <c:formatCode>0.00</c:formatCode>
                <c:ptCount val="21"/>
                <c:pt idx="0">
                  <c:v>1.4576299374953985</c:v>
                </c:pt>
                <c:pt idx="1">
                  <c:v>1.580935509025881</c:v>
                </c:pt>
                <c:pt idx="2">
                  <c:v>1.5781501817765069</c:v>
                </c:pt>
                <c:pt idx="3">
                  <c:v>1.5694677056232293</c:v>
                </c:pt>
                <c:pt idx="4">
                  <c:v>1.5412200332171693</c:v>
                </c:pt>
                <c:pt idx="5">
                  <c:v>1.3224989495340207</c:v>
                </c:pt>
                <c:pt idx="6">
                  <c:v>1.1895981614201958</c:v>
                </c:pt>
                <c:pt idx="7">
                  <c:v>1.2802082212403147</c:v>
                </c:pt>
                <c:pt idx="8">
                  <c:v>1.4088472427814824</c:v>
                </c:pt>
              </c:numCache>
            </c:numRef>
          </c:val>
          <c:smooth val="0"/>
          <c:extLst>
            <c:ext xmlns:c16="http://schemas.microsoft.com/office/drawing/2014/chart" uri="{C3380CC4-5D6E-409C-BE32-E72D297353CC}">
              <c16:uniqueId val="{00000000-61C7-4685-98FF-D88DE4843F45}"/>
            </c:ext>
          </c:extLst>
        </c:ser>
        <c:ser>
          <c:idx val="1"/>
          <c:order val="1"/>
          <c:tx>
            <c:strRef>
              <c:f>Australia!$AE$138</c:f>
              <c:strCache>
                <c:ptCount val="1"/>
                <c:pt idx="0">
                  <c:v>  high</c:v>
                </c:pt>
              </c:strCache>
            </c:strRef>
          </c:tx>
          <c:spPr>
            <a:ln w="28575" cap="rnd">
              <a:solidFill>
                <a:schemeClr val="accent1"/>
              </a:solidFill>
              <a:round/>
            </a:ln>
            <a:effectLst/>
          </c:spPr>
          <c:marker>
            <c:symbol val="none"/>
          </c:marker>
          <c:cat>
            <c:numRef>
              <c:f>Australia!$AC$139:$AC$159</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Australia!$AE$139:$AE$159</c:f>
              <c:numCache>
                <c:formatCode>0.00</c:formatCode>
                <c:ptCount val="21"/>
                <c:pt idx="0">
                  <c:v>1.4576299374953985</c:v>
                </c:pt>
                <c:pt idx="1">
                  <c:v>1.580935509025881</c:v>
                </c:pt>
                <c:pt idx="2">
                  <c:v>1.5781501817765069</c:v>
                </c:pt>
                <c:pt idx="3">
                  <c:v>1.5694677056232293</c:v>
                </c:pt>
                <c:pt idx="4">
                  <c:v>1.5412200332171693</c:v>
                </c:pt>
                <c:pt idx="5">
                  <c:v>1.3224989495340207</c:v>
                </c:pt>
                <c:pt idx="6">
                  <c:v>1.1895981614201958</c:v>
                </c:pt>
                <c:pt idx="7">
                  <c:v>1.2802082212403147</c:v>
                </c:pt>
                <c:pt idx="8">
                  <c:v>1.4114626377125723</c:v>
                </c:pt>
                <c:pt idx="9">
                  <c:v>1.7148048928318038</c:v>
                </c:pt>
                <c:pt idx="10">
                  <c:v>1.8538860720679247</c:v>
                </c:pt>
                <c:pt idx="11">
                  <c:v>2.0011484971414633</c:v>
                </c:pt>
                <c:pt idx="12">
                  <c:v>2.0665984638408146</c:v>
                </c:pt>
                <c:pt idx="13">
                  <c:v>2.1156859388653277</c:v>
                </c:pt>
                <c:pt idx="14">
                  <c:v>2.1565921680524216</c:v>
                </c:pt>
                <c:pt idx="15">
                  <c:v>2.1974983972395163</c:v>
                </c:pt>
                <c:pt idx="16">
                  <c:v>2.2384046264266111</c:v>
                </c:pt>
                <c:pt idx="17">
                  <c:v>2.2793108556137049</c:v>
                </c:pt>
                <c:pt idx="18">
                  <c:v>2.3120358389633804</c:v>
                </c:pt>
                <c:pt idx="19">
                  <c:v>2.3529420681504742</c:v>
                </c:pt>
                <c:pt idx="20">
                  <c:v>2.3774858056627308</c:v>
                </c:pt>
              </c:numCache>
            </c:numRef>
          </c:val>
          <c:smooth val="0"/>
          <c:extLst>
            <c:ext xmlns:c16="http://schemas.microsoft.com/office/drawing/2014/chart" uri="{C3380CC4-5D6E-409C-BE32-E72D297353CC}">
              <c16:uniqueId val="{00000001-61C7-4685-98FF-D88DE4843F45}"/>
            </c:ext>
          </c:extLst>
        </c:ser>
        <c:ser>
          <c:idx val="3"/>
          <c:order val="2"/>
          <c:tx>
            <c:strRef>
              <c:f>Australia!$AG$138</c:f>
              <c:strCache>
                <c:ptCount val="1"/>
                <c:pt idx="0">
                  <c:v>  low</c:v>
                </c:pt>
              </c:strCache>
            </c:strRef>
          </c:tx>
          <c:spPr>
            <a:ln w="28575" cap="rnd">
              <a:solidFill>
                <a:schemeClr val="accent3"/>
              </a:solidFill>
              <a:round/>
            </a:ln>
            <a:effectLst/>
          </c:spPr>
          <c:marker>
            <c:symbol val="none"/>
          </c:marker>
          <c:cat>
            <c:numRef>
              <c:f>Australia!$AC$139:$AC$159</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Australia!$AG$139:$AG$159</c:f>
              <c:numCache>
                <c:formatCode>0.00</c:formatCode>
                <c:ptCount val="21"/>
                <c:pt idx="0">
                  <c:v>1.4576299374953985</c:v>
                </c:pt>
                <c:pt idx="1">
                  <c:v>1.580935509025881</c:v>
                </c:pt>
                <c:pt idx="2">
                  <c:v>1.5781501817765069</c:v>
                </c:pt>
                <c:pt idx="3">
                  <c:v>1.5694677056232293</c:v>
                </c:pt>
                <c:pt idx="4">
                  <c:v>1.5412200332171693</c:v>
                </c:pt>
                <c:pt idx="5">
                  <c:v>1.3224989495340207</c:v>
                </c:pt>
                <c:pt idx="6">
                  <c:v>1.1895981614201958</c:v>
                </c:pt>
                <c:pt idx="7">
                  <c:v>1.2802082212403147</c:v>
                </c:pt>
                <c:pt idx="8">
                  <c:v>1.4114626377125723</c:v>
                </c:pt>
                <c:pt idx="9">
                  <c:v>1.10121145502539</c:v>
                </c:pt>
                <c:pt idx="10">
                  <c:v>1.1093927008628088</c:v>
                </c:pt>
                <c:pt idx="11">
                  <c:v>1.1257551925376466</c:v>
                </c:pt>
                <c:pt idx="12">
                  <c:v>1.1339364383750652</c:v>
                </c:pt>
                <c:pt idx="13">
                  <c:v>1.1339364383750652</c:v>
                </c:pt>
                <c:pt idx="14">
                  <c:v>1.1339364383750652</c:v>
                </c:pt>
                <c:pt idx="15">
                  <c:v>1.1421176842124843</c:v>
                </c:pt>
                <c:pt idx="16">
                  <c:v>1.1502989300499034</c:v>
                </c:pt>
                <c:pt idx="17">
                  <c:v>1.1584801758873222</c:v>
                </c:pt>
                <c:pt idx="18">
                  <c:v>1.1584801758873222</c:v>
                </c:pt>
                <c:pt idx="19">
                  <c:v>1.1584801758873222</c:v>
                </c:pt>
                <c:pt idx="20">
                  <c:v>1.1666614217247409</c:v>
                </c:pt>
              </c:numCache>
            </c:numRef>
          </c:val>
          <c:smooth val="0"/>
          <c:extLst>
            <c:ext xmlns:c16="http://schemas.microsoft.com/office/drawing/2014/chart" uri="{C3380CC4-5D6E-409C-BE32-E72D297353CC}">
              <c16:uniqueId val="{00000003-61C7-4685-98FF-D88DE4843F45}"/>
            </c:ext>
          </c:extLst>
        </c:ser>
        <c:ser>
          <c:idx val="2"/>
          <c:order val="3"/>
          <c:tx>
            <c:strRef>
              <c:f>Australia!$AF$138</c:f>
              <c:strCache>
                <c:ptCount val="1"/>
                <c:pt idx="0">
                  <c:v>  medium</c:v>
                </c:pt>
              </c:strCache>
            </c:strRef>
          </c:tx>
          <c:spPr>
            <a:ln w="28575" cap="rnd">
              <a:solidFill>
                <a:schemeClr val="accent2"/>
              </a:solidFill>
              <a:round/>
            </a:ln>
            <a:effectLst/>
          </c:spPr>
          <c:marker>
            <c:symbol val="none"/>
          </c:marker>
          <c:cat>
            <c:numRef>
              <c:f>Australia!$AC$139:$AC$159</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Australia!$AF$139:$AF$159</c:f>
              <c:numCache>
                <c:formatCode>0.00</c:formatCode>
                <c:ptCount val="21"/>
                <c:pt idx="0">
                  <c:v>1.4576299374953985</c:v>
                </c:pt>
                <c:pt idx="1">
                  <c:v>1.580935509025881</c:v>
                </c:pt>
                <c:pt idx="2">
                  <c:v>1.5781501817765069</c:v>
                </c:pt>
                <c:pt idx="3">
                  <c:v>1.5694677056232293</c:v>
                </c:pt>
                <c:pt idx="4">
                  <c:v>1.5412200332171693</c:v>
                </c:pt>
                <c:pt idx="5">
                  <c:v>1.3224989495340207</c:v>
                </c:pt>
                <c:pt idx="6">
                  <c:v>1.1895981614201958</c:v>
                </c:pt>
                <c:pt idx="7">
                  <c:v>1.2802082212403147</c:v>
                </c:pt>
                <c:pt idx="8">
                  <c:v>1.4114626377125723</c:v>
                </c:pt>
                <c:pt idx="9">
                  <c:v>1.3868610172668738</c:v>
                </c:pt>
                <c:pt idx="10">
                  <c:v>1.3890589796531234</c:v>
                </c:pt>
                <c:pt idx="11">
                  <c:v>1.4538159890679625</c:v>
                </c:pt>
                <c:pt idx="12">
                  <c:v>1.5020320352858789</c:v>
                </c:pt>
                <c:pt idx="13">
                  <c:v>1.5242194335172785</c:v>
                </c:pt>
                <c:pt idx="14">
                  <c:v>1.5300855040696681</c:v>
                </c:pt>
                <c:pt idx="15">
                  <c:v>1.5607792656131758</c:v>
                </c:pt>
                <c:pt idx="16">
                  <c:v>1.6147271278277657</c:v>
                </c:pt>
                <c:pt idx="17">
                  <c:v>1.642530490972979</c:v>
                </c:pt>
                <c:pt idx="18">
                  <c:v>1.6601307135351053</c:v>
                </c:pt>
                <c:pt idx="19">
                  <c:v>1.6839866409975923</c:v>
                </c:pt>
                <c:pt idx="20">
                  <c:v>1.7022275761440326</c:v>
                </c:pt>
              </c:numCache>
            </c:numRef>
          </c:val>
          <c:smooth val="0"/>
          <c:extLst>
            <c:ext xmlns:c16="http://schemas.microsoft.com/office/drawing/2014/chart" uri="{C3380CC4-5D6E-409C-BE32-E72D297353CC}">
              <c16:uniqueId val="{00000002-61C7-4685-98FF-D88DE4843F45}"/>
            </c:ext>
          </c:extLst>
        </c:ser>
        <c:dLbls>
          <c:showLegendKey val="0"/>
          <c:showVal val="0"/>
          <c:showCatName val="0"/>
          <c:showSerName val="0"/>
          <c:showPercent val="0"/>
          <c:showBubbleSize val="0"/>
        </c:dLbls>
        <c:smooth val="0"/>
        <c:axId val="703319904"/>
        <c:axId val="703322528"/>
      </c:lineChart>
      <c:catAx>
        <c:axId val="7033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322528"/>
        <c:crosses val="autoZero"/>
        <c:auto val="1"/>
        <c:lblAlgn val="ctr"/>
        <c:lblOffset val="100"/>
        <c:noMultiLvlLbl val="0"/>
      </c:catAx>
      <c:valAx>
        <c:axId val="70332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2017A$ per lire</a:t>
                </a:r>
              </a:p>
            </c:rich>
          </c:tx>
          <c:layout>
            <c:manualLayout>
              <c:xMode val="edge"/>
              <c:yMode val="edge"/>
              <c:x val="2.2222222222222223E-2"/>
              <c:y val="0.243638086905803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31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Australia!$AA$2</c:f>
              <c:strCache>
                <c:ptCount val="1"/>
                <c:pt idx="0">
                  <c:v>high</c:v>
                </c:pt>
              </c:strCache>
            </c:strRef>
          </c:tx>
          <c:spPr>
            <a:ln w="28575" cap="rnd">
              <a:solidFill>
                <a:schemeClr val="accent1"/>
              </a:solidFill>
              <a:round/>
            </a:ln>
            <a:effectLst/>
          </c:spPr>
          <c:marker>
            <c:symbol val="none"/>
          </c:marker>
          <c:cat>
            <c:numRef>
              <c:f>Australia!$V$3:$V$24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Australia!$AA$3:$AA$24</c:f>
              <c:numCache>
                <c:formatCode>0</c:formatCode>
                <c:ptCount val="22"/>
                <c:pt idx="0">
                  <c:v>29.592572886961211</c:v>
                </c:pt>
                <c:pt idx="1">
                  <c:v>30</c:v>
                </c:pt>
                <c:pt idx="2">
                  <c:v>30</c:v>
                </c:pt>
                <c:pt idx="3">
                  <c:v>30.842462459493706</c:v>
                </c:pt>
                <c:pt idx="4">
                  <c:v>31.143929334439989</c:v>
                </c:pt>
                <c:pt idx="5">
                  <c:v>33.541755956678692</c:v>
                </c:pt>
                <c:pt idx="6">
                  <c:v>30</c:v>
                </c:pt>
                <c:pt idx="7">
                  <c:v>30</c:v>
                </c:pt>
                <c:pt idx="8">
                  <c:v>30</c:v>
                </c:pt>
                <c:pt idx="9">
                  <c:v>30.592100851060948</c:v>
                </c:pt>
                <c:pt idx="10">
                  <c:v>31.952318904810763</c:v>
                </c:pt>
                <c:pt idx="11">
                  <c:v>32.535198279596322</c:v>
                </c:pt>
                <c:pt idx="12">
                  <c:v>32.472212006330132</c:v>
                </c:pt>
                <c:pt idx="13">
                  <c:v>33.706700106967538</c:v>
                </c:pt>
                <c:pt idx="14">
                  <c:v>34.156739540037371</c:v>
                </c:pt>
                <c:pt idx="15">
                  <c:v>33.666986514584543</c:v>
                </c:pt>
                <c:pt idx="16">
                  <c:v>33.303466599000153</c:v>
                </c:pt>
                <c:pt idx="17">
                  <c:v>33.374724569405856</c:v>
                </c:pt>
                <c:pt idx="18">
                  <c:v>33.41942727208999</c:v>
                </c:pt>
                <c:pt idx="19">
                  <c:v>33.354589495422644</c:v>
                </c:pt>
                <c:pt idx="20">
                  <c:v>33.344521958431038</c:v>
                </c:pt>
                <c:pt idx="21">
                  <c:v>33.221594533622785</c:v>
                </c:pt>
              </c:numCache>
            </c:numRef>
          </c:val>
          <c:smooth val="0"/>
          <c:extLst>
            <c:ext xmlns:c16="http://schemas.microsoft.com/office/drawing/2014/chart" uri="{C3380CC4-5D6E-409C-BE32-E72D297353CC}">
              <c16:uniqueId val="{00000000-154B-4AAD-B930-BCBAF9D11E7E}"/>
            </c:ext>
          </c:extLst>
        </c:ser>
        <c:ser>
          <c:idx val="2"/>
          <c:order val="1"/>
          <c:tx>
            <c:strRef>
              <c:f>Australia!$AC$2</c:f>
              <c:strCache>
                <c:ptCount val="1"/>
                <c:pt idx="0">
                  <c:v>low</c:v>
                </c:pt>
              </c:strCache>
            </c:strRef>
          </c:tx>
          <c:spPr>
            <a:ln w="28575" cap="rnd">
              <a:solidFill>
                <a:schemeClr val="accent3"/>
              </a:solidFill>
              <a:round/>
            </a:ln>
            <a:effectLst/>
          </c:spPr>
          <c:marker>
            <c:symbol val="none"/>
          </c:marker>
          <c:cat>
            <c:numRef>
              <c:f>Australia!$V$3:$V$24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Australia!$AC$3:$AC$24</c:f>
              <c:numCache>
                <c:formatCode>0</c:formatCode>
                <c:ptCount val="22"/>
                <c:pt idx="0">
                  <c:v>29.592572886961211</c:v>
                </c:pt>
                <c:pt idx="1">
                  <c:v>30</c:v>
                </c:pt>
                <c:pt idx="2">
                  <c:v>30</c:v>
                </c:pt>
                <c:pt idx="3">
                  <c:v>30.842462459493706</c:v>
                </c:pt>
                <c:pt idx="4">
                  <c:v>31.143929334439989</c:v>
                </c:pt>
                <c:pt idx="5">
                  <c:v>33.541755956678692</c:v>
                </c:pt>
                <c:pt idx="6">
                  <c:v>30</c:v>
                </c:pt>
                <c:pt idx="7">
                  <c:v>30</c:v>
                </c:pt>
                <c:pt idx="8">
                  <c:v>30</c:v>
                </c:pt>
                <c:pt idx="9">
                  <c:v>30.592100851060948</c:v>
                </c:pt>
                <c:pt idx="10">
                  <c:v>30.393669202137069</c:v>
                </c:pt>
                <c:pt idx="11">
                  <c:v>29.436607967253817</c:v>
                </c:pt>
                <c:pt idx="12">
                  <c:v>27.941205679865469</c:v>
                </c:pt>
                <c:pt idx="13">
                  <c:v>27.57820917842799</c:v>
                </c:pt>
                <c:pt idx="14">
                  <c:v>26.566352975584628</c:v>
                </c:pt>
                <c:pt idx="15">
                  <c:v>24.884294380345104</c:v>
                </c:pt>
                <c:pt idx="16">
                  <c:v>23.383285058872456</c:v>
                </c:pt>
                <c:pt idx="17">
                  <c:v>22.24981637960391</c:v>
                </c:pt>
                <c:pt idx="18">
                  <c:v>21.142902968056941</c:v>
                </c:pt>
                <c:pt idx="19">
                  <c:v>20.012753697253594</c:v>
                </c:pt>
                <c:pt idx="20">
                  <c:v>18.960610525382361</c:v>
                </c:pt>
                <c:pt idx="21">
                  <c:v>17.88855090271996</c:v>
                </c:pt>
              </c:numCache>
            </c:numRef>
          </c:val>
          <c:smooth val="0"/>
          <c:extLst>
            <c:ext xmlns:c16="http://schemas.microsoft.com/office/drawing/2014/chart" uri="{C3380CC4-5D6E-409C-BE32-E72D297353CC}">
              <c16:uniqueId val="{00000002-154B-4AAD-B930-BCBAF9D11E7E}"/>
            </c:ext>
          </c:extLst>
        </c:ser>
        <c:ser>
          <c:idx val="1"/>
          <c:order val="2"/>
          <c:tx>
            <c:strRef>
              <c:f>Australia!$AB$2</c:f>
              <c:strCache>
                <c:ptCount val="1"/>
                <c:pt idx="0">
                  <c:v>medium</c:v>
                </c:pt>
              </c:strCache>
            </c:strRef>
          </c:tx>
          <c:spPr>
            <a:ln w="28575" cap="rnd">
              <a:solidFill>
                <a:schemeClr val="accent2"/>
              </a:solidFill>
              <a:round/>
            </a:ln>
            <a:effectLst/>
          </c:spPr>
          <c:marker>
            <c:symbol val="none"/>
          </c:marker>
          <c:cat>
            <c:numRef>
              <c:f>Australia!$V$3:$V$24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Australia!$AB$3:$AB$24</c:f>
              <c:numCache>
                <c:formatCode>0</c:formatCode>
                <c:ptCount val="22"/>
                <c:pt idx="0">
                  <c:v>29.592572886961211</c:v>
                </c:pt>
                <c:pt idx="1">
                  <c:v>30</c:v>
                </c:pt>
                <c:pt idx="2">
                  <c:v>30</c:v>
                </c:pt>
                <c:pt idx="3">
                  <c:v>30.842462459493706</c:v>
                </c:pt>
                <c:pt idx="4">
                  <c:v>31.143929334439989</c:v>
                </c:pt>
                <c:pt idx="5">
                  <c:v>33.541755956678692</c:v>
                </c:pt>
                <c:pt idx="6">
                  <c:v>30</c:v>
                </c:pt>
                <c:pt idx="7">
                  <c:v>30</c:v>
                </c:pt>
                <c:pt idx="8">
                  <c:v>30</c:v>
                </c:pt>
                <c:pt idx="9">
                  <c:v>30.592100851060948</c:v>
                </c:pt>
                <c:pt idx="10">
                  <c:v>31.172994053473918</c:v>
                </c:pt>
                <c:pt idx="11">
                  <c:v>30.985903123425071</c:v>
                </c:pt>
                <c:pt idx="12">
                  <c:v>30.206708843097807</c:v>
                </c:pt>
                <c:pt idx="13">
                  <c:v>30.642454642697771</c:v>
                </c:pt>
                <c:pt idx="14">
                  <c:v>30.361546257811007</c:v>
                </c:pt>
                <c:pt idx="15">
                  <c:v>29.275640447464834</c:v>
                </c:pt>
                <c:pt idx="16">
                  <c:v>28.343375828936317</c:v>
                </c:pt>
                <c:pt idx="17">
                  <c:v>27.812270474504896</c:v>
                </c:pt>
                <c:pt idx="18">
                  <c:v>27.281165120073478</c:v>
                </c:pt>
                <c:pt idx="19">
                  <c:v>26.683671596338133</c:v>
                </c:pt>
                <c:pt idx="20">
                  <c:v>26.152566241906715</c:v>
                </c:pt>
                <c:pt idx="21">
                  <c:v>25.55507271817137</c:v>
                </c:pt>
              </c:numCache>
            </c:numRef>
          </c:val>
          <c:smooth val="0"/>
          <c:extLst>
            <c:ext xmlns:c16="http://schemas.microsoft.com/office/drawing/2014/chart" uri="{C3380CC4-5D6E-409C-BE32-E72D297353CC}">
              <c16:uniqueId val="{00000001-154B-4AAD-B930-BCBAF9D11E7E}"/>
            </c:ext>
          </c:extLst>
        </c:ser>
        <c:ser>
          <c:idx val="3"/>
          <c:order val="3"/>
          <c:tx>
            <c:strRef>
              <c:f>Australia!$Y$1</c:f>
              <c:strCache>
                <c:ptCount val="1"/>
                <c:pt idx="0">
                  <c:v>FFV cost</c:v>
                </c:pt>
              </c:strCache>
            </c:strRef>
          </c:tx>
          <c:spPr>
            <a:ln w="28575" cap="rnd">
              <a:solidFill>
                <a:schemeClr val="accent4"/>
              </a:solidFill>
              <a:round/>
            </a:ln>
            <a:effectLst/>
          </c:spPr>
          <c:marker>
            <c:symbol val="none"/>
          </c:marker>
          <c:val>
            <c:numRef>
              <c:f>Australia!$Y$3:$Y$24</c:f>
              <c:numCache>
                <c:formatCode>0</c:formatCode>
                <c:ptCount val="22"/>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pt idx="14">
                  <c:v>23</c:v>
                </c:pt>
                <c:pt idx="15">
                  <c:v>23</c:v>
                </c:pt>
                <c:pt idx="16">
                  <c:v>23</c:v>
                </c:pt>
                <c:pt idx="17">
                  <c:v>23</c:v>
                </c:pt>
                <c:pt idx="18">
                  <c:v>23</c:v>
                </c:pt>
                <c:pt idx="19">
                  <c:v>23</c:v>
                </c:pt>
                <c:pt idx="20">
                  <c:v>23</c:v>
                </c:pt>
                <c:pt idx="21">
                  <c:v>23</c:v>
                </c:pt>
              </c:numCache>
            </c:numRef>
          </c:val>
          <c:smooth val="0"/>
          <c:extLst>
            <c:ext xmlns:c16="http://schemas.microsoft.com/office/drawing/2014/chart" uri="{C3380CC4-5D6E-409C-BE32-E72D297353CC}">
              <c16:uniqueId val="{00000003-154B-4AAD-B930-BCBAF9D11E7E}"/>
            </c:ext>
          </c:extLst>
        </c:ser>
        <c:dLbls>
          <c:showLegendKey val="0"/>
          <c:showVal val="0"/>
          <c:showCatName val="0"/>
          <c:showSerName val="0"/>
          <c:showPercent val="0"/>
          <c:showBubbleSize val="0"/>
        </c:dLbls>
        <c:smooth val="0"/>
        <c:axId val="1143375328"/>
        <c:axId val="1143357944"/>
      </c:lineChart>
      <c:catAx>
        <c:axId val="11433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57944"/>
        <c:crosses val="autoZero"/>
        <c:auto val="1"/>
        <c:lblAlgn val="ctr"/>
        <c:lblOffset val="100"/>
        <c:noMultiLvlLbl val="0"/>
      </c:catAx>
      <c:valAx>
        <c:axId val="1143357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prices ('000 $US2017)</a:t>
                </a:r>
              </a:p>
            </c:rich>
          </c:tx>
          <c:layout>
            <c:manualLayout>
              <c:xMode val="edge"/>
              <c:yMode val="edge"/>
              <c:x val="1.9444444444444445E-2"/>
              <c:y val="0.171712962962962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7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'Australia EV uptake'!$C$3</c:f>
              <c:strCache>
                <c:ptCount val="1"/>
                <c:pt idx="0">
                  <c:v> predicted</c:v>
                </c:pt>
              </c:strCache>
            </c:strRef>
          </c:tx>
          <c:spPr>
            <a:ln w="28575" cap="rnd">
              <a:solidFill>
                <a:schemeClr val="accent4"/>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uptake'!$C$4:$C$45</c:f>
              <c:numCache>
                <c:formatCode>0.00</c:formatCode>
                <c:ptCount val="42"/>
                <c:pt idx="0">
                  <c:v>0</c:v>
                </c:pt>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pt idx="32">
                  <c:v>64.546893513696162</c:v>
                </c:pt>
                <c:pt idx="33">
                  <c:v>64.706293199391482</c:v>
                </c:pt>
                <c:pt idx="34">
                  <c:v>64.809782446223437</c:v>
                </c:pt>
                <c:pt idx="35">
                  <c:v>64.876876059654052</c:v>
                </c:pt>
                <c:pt idx="36">
                  <c:v>64.920333476516277</c:v>
                </c:pt>
                <c:pt idx="37">
                  <c:v>64.948464492263298</c:v>
                </c:pt>
                <c:pt idx="38">
                  <c:v>64.96666727593481</c:v>
                </c:pt>
                <c:pt idx="39">
                  <c:v>64.978442814164936</c:v>
                </c:pt>
                <c:pt idx="40">
                  <c:v>64.986059269999714</c:v>
                </c:pt>
                <c:pt idx="41">
                  <c:v>64.990985098600049</c:v>
                </c:pt>
              </c:numCache>
            </c:numRef>
          </c:val>
          <c:smooth val="0"/>
          <c:extLst>
            <c:ext xmlns:c16="http://schemas.microsoft.com/office/drawing/2014/chart" uri="{C3380CC4-5D6E-409C-BE32-E72D297353CC}">
              <c16:uniqueId val="{00000000-D8F4-417B-A4A0-210D3B600B0B}"/>
            </c:ext>
          </c:extLst>
        </c:ser>
        <c:ser>
          <c:idx val="2"/>
          <c:order val="1"/>
          <c:tx>
            <c:strRef>
              <c:f>'Australia EV uptake'!$N$3</c:f>
              <c:strCache>
                <c:ptCount val="1"/>
                <c:pt idx="0">
                  <c:v>Predicted Cost</c:v>
                </c:pt>
              </c:strCache>
            </c:strRef>
          </c:tx>
          <c:spPr>
            <a:ln w="28575" cap="rnd">
              <a:solidFill>
                <a:schemeClr val="accent3"/>
              </a:solidFill>
              <a:round/>
            </a:ln>
            <a:effectLst/>
          </c:spPr>
          <c:marker>
            <c:symbol val="none"/>
          </c:marker>
          <c:cat>
            <c:numRef>
              <c:f>'Australia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'Australia EV uptake'!$N$4:$N$45</c:f>
              <c:numCache>
                <c:formatCode>General</c:formatCode>
                <c:ptCount val="42"/>
                <c:pt idx="3" formatCode="0.00">
                  <c:v>3.3737289203929641E-2</c:v>
                </c:pt>
                <c:pt idx="4" formatCode="0.00">
                  <c:v>3.3737289203929641E-2</c:v>
                </c:pt>
                <c:pt idx="5" formatCode="0.00">
                  <c:v>9.7910407888574427E-2</c:v>
                </c:pt>
                <c:pt idx="6" formatCode="0.00">
                  <c:v>0.13364481250691124</c:v>
                </c:pt>
                <c:pt idx="7" formatCode="0.00">
                  <c:v>0.19247956660604326</c:v>
                </c:pt>
                <c:pt idx="8" formatCode="0.00">
                  <c:v>0.31091705595967378</c:v>
                </c:pt>
                <c:pt idx="9" formatCode="0.00">
                  <c:v>0.4652949926075734</c:v>
                </c:pt>
                <c:pt idx="10" formatCode="0.00">
                  <c:v>0.72128820687528961</c:v>
                </c:pt>
                <c:pt idx="11" formatCode="0.00">
                  <c:v>1.1301232688767526</c:v>
                </c:pt>
                <c:pt idx="12" formatCode="0.00">
                  <c:v>1.7495182953225084</c:v>
                </c:pt>
                <c:pt idx="13" formatCode="0.00">
                  <c:v>3.1506935629494803</c:v>
                </c:pt>
                <c:pt idx="14" formatCode="0.00">
                  <c:v>5.1763215542722154</c:v>
                </c:pt>
                <c:pt idx="15" formatCode="0.00">
                  <c:v>8.0187763521019058</c:v>
                </c:pt>
                <c:pt idx="16" formatCode="0.00">
                  <c:v>11.85474004457347</c:v>
                </c:pt>
                <c:pt idx="17" formatCode="0.00">
                  <c:v>18.197994264420885</c:v>
                </c:pt>
                <c:pt idx="18" formatCode="0.00">
                  <c:v>25.061904689333801</c:v>
                </c:pt>
                <c:pt idx="19" formatCode="0.00">
                  <c:v>32.435968670137449</c:v>
                </c:pt>
                <c:pt idx="20" formatCode="0.00">
                  <c:v>39.869640031418975</c:v>
                </c:pt>
                <c:pt idx="21" formatCode="0.00">
                  <c:v>47.44319853104863</c:v>
                </c:pt>
                <c:pt idx="22" formatCode="0.00">
                  <c:v>52.654835213628509</c:v>
                </c:pt>
                <c:pt idx="23" formatCode="0.00">
                  <c:v>56.762685079905324</c:v>
                </c:pt>
                <c:pt idx="24" formatCode="0.00">
                  <c:v>59.841395722200922</c:v>
                </c:pt>
                <c:pt idx="25" formatCode="0.00">
                  <c:v>62.055158209080808</c:v>
                </c:pt>
                <c:pt idx="26" formatCode="0.00">
                  <c:v>63.054702732735656</c:v>
                </c:pt>
                <c:pt idx="27" formatCode="0.00">
                  <c:v>63.724213294661936</c:v>
                </c:pt>
                <c:pt idx="28" formatCode="0.00">
                  <c:v>64.167351428529088</c:v>
                </c:pt>
                <c:pt idx="29" formatCode="0.00">
                  <c:v>64.45831698823585</c:v>
                </c:pt>
                <c:pt idx="30" formatCode="0.00">
                  <c:v>64.64835268400968</c:v>
                </c:pt>
                <c:pt idx="31" formatCode="0.00">
                  <c:v>64.772035739096282</c:v>
                </c:pt>
                <c:pt idx="32" formatCode="0.00">
                  <c:v>64.852349934809723</c:v>
                </c:pt>
                <c:pt idx="33" formatCode="0.00">
                  <c:v>64.904424750118366</c:v>
                </c:pt>
                <c:pt idx="34" formatCode="0.00">
                  <c:v>64.938156823706692</c:v>
                </c:pt>
                <c:pt idx="35" formatCode="0.00">
                  <c:v>64.959993465775796</c:v>
                </c:pt>
                <c:pt idx="36" formatCode="0.00">
                  <c:v>64.974123790192564</c:v>
                </c:pt>
                <c:pt idx="37" formatCode="0.00">
                  <c:v>64.983265009168093</c:v>
                </c:pt>
                <c:pt idx="38" formatCode="0.00">
                  <c:v>64.98917765853119</c:v>
                </c:pt>
                <c:pt idx="39" formatCode="0.00">
                  <c:v>64.993001609224194</c:v>
                </c:pt>
                <c:pt idx="40" formatCode="0.00">
                  <c:v>64.996230522750281</c:v>
                </c:pt>
                <c:pt idx="41" formatCode="0.00">
                  <c:v>64.997562567629913</c:v>
                </c:pt>
              </c:numCache>
            </c:numRef>
          </c:val>
          <c:smooth val="0"/>
          <c:extLst>
            <c:ext xmlns:c16="http://schemas.microsoft.com/office/drawing/2014/chart" uri="{C3380CC4-5D6E-409C-BE32-E72D297353CC}">
              <c16:uniqueId val="{00000002-D8F4-417B-A4A0-210D3B600B0B}"/>
            </c:ext>
          </c:extLst>
        </c:ser>
        <c:dLbls>
          <c:showLegendKey val="0"/>
          <c:showVal val="0"/>
          <c:showCatName val="0"/>
          <c:showSerName val="0"/>
          <c:showPercent val="0"/>
          <c:showBubbleSize val="0"/>
        </c:dLbls>
        <c:smooth val="0"/>
        <c:axId val="744861952"/>
        <c:axId val="744862608"/>
      </c:lineChart>
      <c:catAx>
        <c:axId val="74486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2608"/>
        <c:crosses val="autoZero"/>
        <c:auto val="1"/>
        <c:lblAlgn val="ctr"/>
        <c:lblOffset val="100"/>
        <c:noMultiLvlLbl val="0"/>
      </c:catAx>
      <c:valAx>
        <c:axId val="74486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sales</a:t>
                </a:r>
              </a:p>
            </c:rich>
          </c:tx>
          <c:layout>
            <c:manualLayout>
              <c:xMode val="edge"/>
              <c:yMode val="edge"/>
              <c:x val="1.627670135985752E-2"/>
              <c:y val="0.321512916196914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4861952"/>
        <c:crosses val="autoZero"/>
        <c:crossBetween val="between"/>
      </c:valAx>
      <c:spPr>
        <a:noFill/>
        <a:ln>
          <a:noFill/>
        </a:ln>
        <a:effectLst/>
      </c:spPr>
    </c:plotArea>
    <c:legend>
      <c:legendPos val="b"/>
      <c:layout>
        <c:manualLayout>
          <c:xMode val="edge"/>
          <c:yMode val="edge"/>
          <c:x val="0.13420084923939482"/>
          <c:y val="0.91301788889292046"/>
          <c:w val="0.52718207249229576"/>
          <c:h val="5.96295253432577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'Austria EV uptake'!$B$3</c:f>
              <c:strCache>
                <c:ptCount val="1"/>
                <c:pt idx="0">
                  <c:v> EV %sales</c:v>
                </c:pt>
              </c:strCache>
            </c:strRef>
          </c:tx>
          <c:spPr>
            <a:ln w="60325" cap="rnd">
              <a:solidFill>
                <a:schemeClr val="tx1"/>
              </a:solidFill>
              <a:round/>
            </a:ln>
            <a:effectLst/>
          </c:spPr>
          <c:marker>
            <c:symbol val="none"/>
          </c:marker>
          <c:cat>
            <c:numRef>
              <c:f>'Austria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'Austria EV uptake'!$B$4:$B$13</c:f>
              <c:numCache>
                <c:formatCode>0.00</c:formatCode>
                <c:ptCount val="10"/>
                <c:pt idx="0">
                  <c:v>1.2530229177891664E-2</c:v>
                </c:pt>
                <c:pt idx="1">
                  <c:v>3.4144988155957234E-2</c:v>
                </c:pt>
                <c:pt idx="2">
                  <c:v>0.17717552450694102</c:v>
                </c:pt>
                <c:pt idx="3">
                  <c:v>0.20654147198000058</c:v>
                </c:pt>
                <c:pt idx="4">
                  <c:v>0.26266710548999328</c:v>
                </c:pt>
                <c:pt idx="5">
                  <c:v>0.56211632675937462</c:v>
                </c:pt>
                <c:pt idx="6">
                  <c:v>0.90032571178558107</c:v>
                </c:pt>
                <c:pt idx="7">
                  <c:v>1.5360857271149624</c:v>
                </c:pt>
                <c:pt idx="8">
                  <c:v>2.0212750928842866</c:v>
                </c:pt>
                <c:pt idx="9">
                  <c:v>2.6402362896921945</c:v>
                </c:pt>
              </c:numCache>
            </c:numRef>
          </c:val>
          <c:smooth val="0"/>
          <c:extLst>
            <c:ext xmlns:c16="http://schemas.microsoft.com/office/drawing/2014/chart" uri="{C3380CC4-5D6E-409C-BE32-E72D297353CC}">
              <c16:uniqueId val="{00000000-6467-4860-8835-9BD3E201848E}"/>
            </c:ext>
          </c:extLst>
        </c:ser>
        <c:ser>
          <c:idx val="1"/>
          <c:order val="1"/>
          <c:tx>
            <c:strRef>
              <c:f>'Austria EV uptake'!$AB$3</c:f>
              <c:strCache>
                <c:ptCount val="1"/>
                <c:pt idx="0">
                  <c:v>predicted raw</c:v>
                </c:pt>
              </c:strCache>
            </c:strRef>
          </c:tx>
          <c:spPr>
            <a:ln w="28575" cap="rnd">
              <a:solidFill>
                <a:schemeClr val="accent2"/>
              </a:solidFill>
              <a:round/>
            </a:ln>
            <a:effectLst/>
          </c:spPr>
          <c:marker>
            <c:symbol val="none"/>
          </c:marker>
          <c:cat>
            <c:numRef>
              <c:f>'Austria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'Austria EV uptake'!$AB$4:$AB$13</c:f>
              <c:numCache>
                <c:formatCode>0.00</c:formatCode>
                <c:ptCount val="10"/>
                <c:pt idx="0">
                  <c:v>0</c:v>
                </c:pt>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numCache>
            </c:numRef>
          </c:val>
          <c:smooth val="0"/>
          <c:extLst>
            <c:ext xmlns:c16="http://schemas.microsoft.com/office/drawing/2014/chart" uri="{C3380CC4-5D6E-409C-BE32-E72D297353CC}">
              <c16:uniqueId val="{00000001-6467-4860-8835-9BD3E201848E}"/>
            </c:ext>
          </c:extLst>
        </c:ser>
        <c:dLbls>
          <c:showLegendKey val="0"/>
          <c:showVal val="0"/>
          <c:showCatName val="0"/>
          <c:showSerName val="0"/>
          <c:showPercent val="0"/>
          <c:showBubbleSize val="0"/>
        </c:dLbls>
        <c:smooth val="0"/>
        <c:axId val="717931280"/>
        <c:axId val="718023776"/>
      </c:lineChart>
      <c:catAx>
        <c:axId val="71793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23776"/>
        <c:crosses val="autoZero"/>
        <c:auto val="1"/>
        <c:lblAlgn val="ctr"/>
        <c:lblOffset val="100"/>
        <c:noMultiLvlLbl val="0"/>
      </c:catAx>
      <c:valAx>
        <c:axId val="718023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Evs as a % of passenger vehicle sales</a:t>
                </a:r>
              </a:p>
            </c:rich>
          </c:tx>
          <c:layout>
            <c:manualLayout>
              <c:xMode val="edge"/>
              <c:yMode val="edge"/>
              <c:x val="1.6172506738544475E-2"/>
              <c:y val="6.686122950227552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93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6639853980516"/>
          <c:y val="5.0925925925925923E-2"/>
          <c:w val="0.8373069168240761"/>
          <c:h val="0.70218358121901425"/>
        </c:manualLayout>
      </c:layout>
      <c:lineChart>
        <c:grouping val="standard"/>
        <c:varyColors val="0"/>
        <c:ser>
          <c:idx val="0"/>
          <c:order val="0"/>
          <c:tx>
            <c:strRef>
              <c:f>'Austria EV uptake'!$B$3</c:f>
              <c:strCache>
                <c:ptCount val="1"/>
                <c:pt idx="0">
                  <c:v> EV %sales</c:v>
                </c:pt>
              </c:strCache>
            </c:strRef>
          </c:tx>
          <c:spPr>
            <a:ln w="60325" cap="rnd">
              <a:solidFill>
                <a:schemeClr val="tx1"/>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uptake'!$B$5:$B$25</c:f>
              <c:numCache>
                <c:formatCode>0.00</c:formatCode>
                <c:ptCount val="21"/>
                <c:pt idx="0">
                  <c:v>3.4144988155957234E-2</c:v>
                </c:pt>
                <c:pt idx="1">
                  <c:v>0.17717552450694102</c:v>
                </c:pt>
                <c:pt idx="2">
                  <c:v>0.20654147198000058</c:v>
                </c:pt>
                <c:pt idx="3">
                  <c:v>0.26266710548999328</c:v>
                </c:pt>
                <c:pt idx="4">
                  <c:v>0.56211632675937462</c:v>
                </c:pt>
                <c:pt idx="5">
                  <c:v>0.90032571178558107</c:v>
                </c:pt>
                <c:pt idx="6">
                  <c:v>1.5360857271149624</c:v>
                </c:pt>
                <c:pt idx="7">
                  <c:v>2.0212750928842866</c:v>
                </c:pt>
                <c:pt idx="8">
                  <c:v>2.6402362896921945</c:v>
                </c:pt>
              </c:numCache>
            </c:numRef>
          </c:val>
          <c:smooth val="0"/>
          <c:extLst>
            <c:ext xmlns:c16="http://schemas.microsoft.com/office/drawing/2014/chart" uri="{C3380CC4-5D6E-409C-BE32-E72D297353CC}">
              <c16:uniqueId val="{00000000-51A7-4304-8D53-A19DE992CA0F}"/>
            </c:ext>
          </c:extLst>
        </c:ser>
        <c:ser>
          <c:idx val="1"/>
          <c:order val="1"/>
          <c:tx>
            <c:strRef>
              <c:f>'Austria EV uptake'!$AB$3</c:f>
              <c:strCache>
                <c:ptCount val="1"/>
                <c:pt idx="0">
                  <c:v>predicted raw</c:v>
                </c:pt>
              </c:strCache>
            </c:strRef>
          </c:tx>
          <c:spPr>
            <a:ln w="28575" cap="rnd">
              <a:solidFill>
                <a:schemeClr val="accent2"/>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uptake'!$AB$5:$AB$45</c:f>
              <c:numCache>
                <c:formatCode>0.00</c:formatCode>
                <c:ptCount val="41"/>
                <c:pt idx="0">
                  <c:v>0.1203521589427423</c:v>
                </c:pt>
                <c:pt idx="1">
                  <c:v>0.17782437732109599</c:v>
                </c:pt>
                <c:pt idx="2">
                  <c:v>0.26263042390584534</c:v>
                </c:pt>
                <c:pt idx="3">
                  <c:v>0.38763937622394484</c:v>
                </c:pt>
                <c:pt idx="4">
                  <c:v>0.57162569563598153</c:v>
                </c:pt>
                <c:pt idx="5">
                  <c:v>0.84180021336470912</c:v>
                </c:pt>
                <c:pt idx="6">
                  <c:v>1.5391698634286424</c:v>
                </c:pt>
                <c:pt idx="7">
                  <c:v>2.020466751119709</c:v>
                </c:pt>
                <c:pt idx="8">
                  <c:v>2.6459895790365104</c:v>
                </c:pt>
                <c:pt idx="9">
                  <c:v>3.8381890852736973</c:v>
                </c:pt>
                <c:pt idx="10">
                  <c:v>5.5200023789857555</c:v>
                </c:pt>
                <c:pt idx="11">
                  <c:v>7.8442359614469916</c:v>
                </c:pt>
                <c:pt idx="12">
                  <c:v>10.96666716050855</c:v>
                </c:pt>
                <c:pt idx="13">
                  <c:v>15.005684880315728</c:v>
                </c:pt>
                <c:pt idx="14">
                  <c:v>19.982150823142476</c:v>
                </c:pt>
                <c:pt idx="15">
                  <c:v>25.758672365867149</c:v>
                </c:pt>
                <c:pt idx="16">
                  <c:v>32.017433710081967</c:v>
                </c:pt>
                <c:pt idx="17">
                  <c:v>38.312201822341244</c:v>
                </c:pt>
                <c:pt idx="18">
                  <c:v>44.186570827175956</c:v>
                </c:pt>
                <c:pt idx="19">
                  <c:v>49.297852580242349</c:v>
                </c:pt>
                <c:pt idx="20">
                  <c:v>53.481141904775455</c:v>
                </c:pt>
                <c:pt idx="21">
                  <c:v>56.73674955124897</c:v>
                </c:pt>
                <c:pt idx="22">
                  <c:v>59.172477908962534</c:v>
                </c:pt>
                <c:pt idx="23">
                  <c:v>60.941592261933344</c:v>
                </c:pt>
                <c:pt idx="24">
                  <c:v>62.199062445521918</c:v>
                </c:pt>
                <c:pt idx="25">
                  <c:v>63.079194309776966</c:v>
                </c:pt>
                <c:pt idx="26">
                  <c:v>63.688595482263246</c:v>
                </c:pt>
                <c:pt idx="27">
                  <c:v>64.107391906110223</c:v>
                </c:pt>
                <c:pt idx="28">
                  <c:v>64.393719042125909</c:v>
                </c:pt>
                <c:pt idx="29">
                  <c:v>64.588788486440805</c:v>
                </c:pt>
                <c:pt idx="30">
                  <c:v>64.721366382820392</c:v>
                </c:pt>
                <c:pt idx="31">
                  <c:v>64.811324963189335</c:v>
                </c:pt>
                <c:pt idx="32">
                  <c:v>64.872297168106343</c:v>
                </c:pt>
                <c:pt idx="33">
                  <c:v>64.913591871314367</c:v>
                </c:pt>
                <c:pt idx="34">
                  <c:v>64.941545320216093</c:v>
                </c:pt>
                <c:pt idx="35">
                  <c:v>64.960461200889711</c:v>
                </c:pt>
                <c:pt idx="36">
                  <c:v>64.973258440521377</c:v>
                </c:pt>
                <c:pt idx="37">
                  <c:v>64.981914842492998</c:v>
                </c:pt>
                <c:pt idx="38">
                  <c:v>64.987769643086352</c:v>
                </c:pt>
                <c:pt idx="39">
                  <c:v>64.991729280362648</c:v>
                </c:pt>
                <c:pt idx="40">
                  <c:v>64.994407076222487</c:v>
                </c:pt>
              </c:numCache>
            </c:numRef>
          </c:val>
          <c:smooth val="0"/>
          <c:extLst>
            <c:ext xmlns:c16="http://schemas.microsoft.com/office/drawing/2014/chart" uri="{C3380CC4-5D6E-409C-BE32-E72D297353CC}">
              <c16:uniqueId val="{00000001-51A7-4304-8D53-A19DE992CA0F}"/>
            </c:ext>
          </c:extLst>
        </c:ser>
        <c:dLbls>
          <c:showLegendKey val="0"/>
          <c:showVal val="0"/>
          <c:showCatName val="0"/>
          <c:showSerName val="0"/>
          <c:showPercent val="0"/>
          <c:showBubbleSize val="0"/>
        </c:dLbls>
        <c:smooth val="0"/>
        <c:axId val="717931280"/>
        <c:axId val="718023776"/>
      </c:lineChart>
      <c:catAx>
        <c:axId val="717931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23776"/>
        <c:crosses val="autoZero"/>
        <c:auto val="1"/>
        <c:lblAlgn val="ctr"/>
        <c:lblOffset val="100"/>
        <c:tickLblSkip val="5"/>
        <c:tickMarkSkip val="5"/>
        <c:noMultiLvlLbl val="0"/>
      </c:catAx>
      <c:valAx>
        <c:axId val="718023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Evs as % of passenger vehicle sales</a:t>
                </a:r>
              </a:p>
            </c:rich>
          </c:tx>
          <c:layout>
            <c:manualLayout>
              <c:xMode val="edge"/>
              <c:yMode val="edge"/>
              <c:x val="1.3975635121081563E-2"/>
              <c:y val="6.237642169728784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93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'Austria EV uptake'!$AD$3</c:f>
              <c:strCache>
                <c:ptCount val="1"/>
                <c:pt idx="0">
                  <c:v>Logistic</c:v>
                </c:pt>
              </c:strCache>
            </c:strRef>
          </c:tx>
          <c:spPr>
            <a:ln w="44450" cap="rnd">
              <a:solidFill>
                <a:schemeClr val="tx1"/>
              </a:solidFill>
              <a:round/>
            </a:ln>
            <a:effectLst/>
          </c:spPr>
          <c:marker>
            <c:symbol val="none"/>
          </c:marker>
          <c:cat>
            <c:numRef>
              <c:f>'Austria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'Austria EV uptake'!$AD$4:$AD$13</c:f>
              <c:numCache>
                <c:formatCode>General</c:formatCode>
                <c:ptCount val="10"/>
                <c:pt idx="1">
                  <c:v>-7.5510012878072414</c:v>
                </c:pt>
                <c:pt idx="2">
                  <c:v>-5.9022721448011248</c:v>
                </c:pt>
                <c:pt idx="3" formatCode="0.00">
                  <c:v>-5.5154308229815339</c:v>
                </c:pt>
                <c:pt idx="4" formatCode="0.00">
                  <c:v>-5.1285895011619429</c:v>
                </c:pt>
                <c:pt idx="5">
                  <c:v>-4.7417481793423519</c:v>
                </c:pt>
                <c:pt idx="6">
                  <c:v>-4.2654379617511822</c:v>
                </c:pt>
                <c:pt idx="7">
                  <c:v>-3.7212340201078189</c:v>
                </c:pt>
                <c:pt idx="8">
                  <c:v>-3.439068423101233</c:v>
                </c:pt>
                <c:pt idx="9">
                  <c:v>-3.1620518382353913</c:v>
                </c:pt>
              </c:numCache>
            </c:numRef>
          </c:val>
          <c:smooth val="0"/>
          <c:extLst>
            <c:ext xmlns:c16="http://schemas.microsoft.com/office/drawing/2014/chart" uri="{C3380CC4-5D6E-409C-BE32-E72D297353CC}">
              <c16:uniqueId val="{00000000-517F-4247-9743-EC55AFEA106F}"/>
            </c:ext>
          </c:extLst>
        </c:ser>
        <c:ser>
          <c:idx val="1"/>
          <c:order val="1"/>
          <c:tx>
            <c:strRef>
              <c:f>'Austria EV uptake'!$AE$3</c:f>
              <c:strCache>
                <c:ptCount val="1"/>
                <c:pt idx="0">
                  <c:v>predicted</c:v>
                </c:pt>
              </c:strCache>
            </c:strRef>
          </c:tx>
          <c:spPr>
            <a:ln w="28575" cap="rnd">
              <a:solidFill>
                <a:schemeClr val="accent2"/>
              </a:solidFill>
              <a:round/>
            </a:ln>
            <a:effectLst/>
          </c:spPr>
          <c:marker>
            <c:symbol val="none"/>
          </c:marker>
          <c:cat>
            <c:numRef>
              <c:f>'Austria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'Austria EV uptake'!$AE$4:$AE$13</c:f>
              <c:numCache>
                <c:formatCode>General</c:formatCode>
                <c:ptCount val="10"/>
                <c:pt idx="1">
                  <c:v>-6.2898671579880254</c:v>
                </c:pt>
                <c:pt idx="2">
                  <c:v>-5.8986066212223198</c:v>
                </c:pt>
                <c:pt idx="3">
                  <c:v>-5.5073460844566133</c:v>
                </c:pt>
                <c:pt idx="4">
                  <c:v>-5.1160855476909077</c:v>
                </c:pt>
                <c:pt idx="5">
                  <c:v>-4.7248250109252012</c:v>
                </c:pt>
                <c:pt idx="6">
                  <c:v>-4.3335644741594948</c:v>
                </c:pt>
                <c:pt idx="7">
                  <c:v>-3.7191796459621811</c:v>
                </c:pt>
                <c:pt idx="8">
                  <c:v>-3.4394812549122786</c:v>
                </c:pt>
                <c:pt idx="9">
                  <c:v>-3.1597828638623766</c:v>
                </c:pt>
              </c:numCache>
            </c:numRef>
          </c:val>
          <c:smooth val="0"/>
          <c:extLst>
            <c:ext xmlns:c16="http://schemas.microsoft.com/office/drawing/2014/chart" uri="{C3380CC4-5D6E-409C-BE32-E72D297353CC}">
              <c16:uniqueId val="{00000001-517F-4247-9743-EC55AFEA106F}"/>
            </c:ext>
          </c:extLst>
        </c:ser>
        <c:dLbls>
          <c:showLegendKey val="0"/>
          <c:showVal val="0"/>
          <c:showCatName val="0"/>
          <c:showSerName val="0"/>
          <c:showPercent val="0"/>
          <c:showBubbleSize val="0"/>
        </c:dLbls>
        <c:smooth val="0"/>
        <c:axId val="630968616"/>
        <c:axId val="630967960"/>
      </c:lineChart>
      <c:catAx>
        <c:axId val="630968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67960"/>
        <c:crosses val="autoZero"/>
        <c:auto val="1"/>
        <c:lblAlgn val="ctr"/>
        <c:lblOffset val="100"/>
        <c:noMultiLvlLbl val="0"/>
      </c:catAx>
      <c:valAx>
        <c:axId val="630967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 percentage</a:t>
                </a:r>
              </a:p>
            </c:rich>
          </c:tx>
          <c:layout>
            <c:manualLayout>
              <c:xMode val="edge"/>
              <c:yMode val="edge"/>
              <c:x val="2.0833333333333332E-2"/>
              <c:y val="0.160174913560159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6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8641391672422"/>
          <c:y val="3.1428627993031255E-2"/>
          <c:w val="0.85809554401827781"/>
          <c:h val="0.81435217546797145"/>
        </c:manualLayout>
      </c:layout>
      <c:lineChart>
        <c:grouping val="standard"/>
        <c:varyColors val="0"/>
        <c:ser>
          <c:idx val="0"/>
          <c:order val="0"/>
          <c:tx>
            <c:strRef>
              <c:f>'Austria EV uptake'!$B$3</c:f>
              <c:strCache>
                <c:ptCount val="1"/>
                <c:pt idx="0">
                  <c:v> EV %sales</c:v>
                </c:pt>
              </c:strCache>
            </c:strRef>
          </c:tx>
          <c:spPr>
            <a:ln w="47625" cap="rnd">
              <a:solidFill>
                <a:schemeClr val="tx1"/>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uptake'!$B$5:$B$45</c:f>
              <c:numCache>
                <c:formatCode>0.00</c:formatCode>
                <c:ptCount val="41"/>
                <c:pt idx="0">
                  <c:v>3.4144988155957234E-2</c:v>
                </c:pt>
                <c:pt idx="1">
                  <c:v>0.17717552450694102</c:v>
                </c:pt>
                <c:pt idx="2">
                  <c:v>0.20654147198000058</c:v>
                </c:pt>
                <c:pt idx="3">
                  <c:v>0.26266710548999328</c:v>
                </c:pt>
                <c:pt idx="4">
                  <c:v>0.56211632675937462</c:v>
                </c:pt>
                <c:pt idx="5">
                  <c:v>0.90032571178558107</c:v>
                </c:pt>
                <c:pt idx="6">
                  <c:v>1.5360857271149624</c:v>
                </c:pt>
                <c:pt idx="7">
                  <c:v>2.0212750928842866</c:v>
                </c:pt>
                <c:pt idx="8">
                  <c:v>2.6402362896921945</c:v>
                </c:pt>
              </c:numCache>
            </c:numRef>
          </c:val>
          <c:smooth val="0"/>
          <c:extLst>
            <c:ext xmlns:c16="http://schemas.microsoft.com/office/drawing/2014/chart" uri="{C3380CC4-5D6E-409C-BE32-E72D297353CC}">
              <c16:uniqueId val="{00000000-B956-415F-8F16-5BC0E8859441}"/>
            </c:ext>
          </c:extLst>
        </c:ser>
        <c:ser>
          <c:idx val="1"/>
          <c:order val="1"/>
          <c:tx>
            <c:strRef>
              <c:f>'Austria EV uptake'!$C$3</c:f>
              <c:strCache>
                <c:ptCount val="1"/>
                <c:pt idx="0">
                  <c:v> predicted cost lagged</c:v>
                </c:pt>
              </c:strCache>
            </c:strRef>
          </c:tx>
          <c:spPr>
            <a:ln w="28575" cap="rnd">
              <a:solidFill>
                <a:schemeClr val="accent2"/>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uptake'!$C$5:$C$45</c:f>
              <c:numCache>
                <c:formatCode>0.00</c:formatCode>
                <c:ptCount val="41"/>
                <c:pt idx="2">
                  <c:v>0.26263042390584534</c:v>
                </c:pt>
                <c:pt idx="3">
                  <c:v>0.38763937622394484</c:v>
                </c:pt>
                <c:pt idx="4">
                  <c:v>0.57162569563598153</c:v>
                </c:pt>
                <c:pt idx="5">
                  <c:v>0.84180021336470912</c:v>
                </c:pt>
                <c:pt idx="6">
                  <c:v>1.5391698634286424</c:v>
                </c:pt>
                <c:pt idx="7">
                  <c:v>2.020466751119709</c:v>
                </c:pt>
                <c:pt idx="8">
                  <c:v>2.9732896015560768</c:v>
                </c:pt>
                <c:pt idx="9">
                  <c:v>4.3737767511725316</c:v>
                </c:pt>
                <c:pt idx="10">
                  <c:v>5.1340918730190337</c:v>
                </c:pt>
                <c:pt idx="11">
                  <c:v>6.5300184054192467</c:v>
                </c:pt>
                <c:pt idx="12">
                  <c:v>8.0013383234854825</c:v>
                </c:pt>
                <c:pt idx="13">
                  <c:v>9.6328139322572195</c:v>
                </c:pt>
                <c:pt idx="14">
                  <c:v>11.674811535506359</c:v>
                </c:pt>
                <c:pt idx="15">
                  <c:v>14.025627871187837</c:v>
                </c:pt>
                <c:pt idx="16">
                  <c:v>16.735019057864029</c:v>
                </c:pt>
                <c:pt idx="17">
                  <c:v>19.774774485245235</c:v>
                </c:pt>
                <c:pt idx="18">
                  <c:v>23.265738855400819</c:v>
                </c:pt>
                <c:pt idx="19">
                  <c:v>26.865534497160706</c:v>
                </c:pt>
                <c:pt idx="20">
                  <c:v>30.520093276262724</c:v>
                </c:pt>
                <c:pt idx="21">
                  <c:v>34.052373674056277</c:v>
                </c:pt>
                <c:pt idx="22">
                  <c:v>37.517058750001787</c:v>
                </c:pt>
                <c:pt idx="23">
                  <c:v>40.818097245629644</c:v>
                </c:pt>
                <c:pt idx="24">
                  <c:v>43.825589856797954</c:v>
                </c:pt>
                <c:pt idx="25">
                  <c:v>46.371460709969426</c:v>
                </c:pt>
                <c:pt idx="26">
                  <c:v>48.739664528034844</c:v>
                </c:pt>
                <c:pt idx="27">
                  <c:v>50.909842404491577</c:v>
                </c:pt>
                <c:pt idx="28">
                  <c:v>52.871381277329633</c:v>
                </c:pt>
                <c:pt idx="29">
                  <c:v>54.622356834219126</c:v>
                </c:pt>
                <c:pt idx="30">
                  <c:v>56.167981342237518</c:v>
                </c:pt>
                <c:pt idx="31">
                  <c:v>57.51885426289887</c:v>
                </c:pt>
                <c:pt idx="32">
                  <c:v>58.689247752253131</c:v>
                </c:pt>
                <c:pt idx="33">
                  <c:v>59.695581919169555</c:v>
                </c:pt>
                <c:pt idx="34">
                  <c:v>60.555172142719421</c:v>
                </c:pt>
                <c:pt idx="35">
                  <c:v>61.285272575842328</c:v>
                </c:pt>
                <c:pt idx="36">
                  <c:v>61.902399868900893</c:v>
                </c:pt>
                <c:pt idx="37">
                  <c:v>62.421898208592047</c:v>
                </c:pt>
                <c:pt idx="38">
                  <c:v>62.857697456295725</c:v>
                </c:pt>
                <c:pt idx="39">
                  <c:v>63.21721457351078</c:v>
                </c:pt>
                <c:pt idx="40">
                  <c:v>63.50498373390424</c:v>
                </c:pt>
              </c:numCache>
            </c:numRef>
          </c:val>
          <c:smooth val="0"/>
          <c:extLst>
            <c:ext xmlns:c16="http://schemas.microsoft.com/office/drawing/2014/chart" uri="{C3380CC4-5D6E-409C-BE32-E72D297353CC}">
              <c16:uniqueId val="{00000001-B956-415F-8F16-5BC0E8859441}"/>
            </c:ext>
          </c:extLst>
        </c:ser>
        <c:ser>
          <c:idx val="2"/>
          <c:order val="2"/>
          <c:tx>
            <c:strRef>
              <c:f>'Austria EV uptake'!$AB$3</c:f>
              <c:strCache>
                <c:ptCount val="1"/>
                <c:pt idx="0">
                  <c:v>predicted raw</c:v>
                </c:pt>
              </c:strCache>
            </c:strRef>
          </c:tx>
          <c:spPr>
            <a:ln w="28575" cap="rnd">
              <a:solidFill>
                <a:schemeClr val="tx2">
                  <a:lumMod val="60000"/>
                  <a:lumOff val="40000"/>
                </a:schemeClr>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uptake'!$AB$5:$AB$45</c:f>
              <c:numCache>
                <c:formatCode>0.00</c:formatCode>
                <c:ptCount val="41"/>
                <c:pt idx="0">
                  <c:v>0.1203521589427423</c:v>
                </c:pt>
                <c:pt idx="1">
                  <c:v>0.17782437732109599</c:v>
                </c:pt>
                <c:pt idx="2">
                  <c:v>0.26263042390584534</c:v>
                </c:pt>
                <c:pt idx="3">
                  <c:v>0.38763937622394484</c:v>
                </c:pt>
                <c:pt idx="4">
                  <c:v>0.57162569563598153</c:v>
                </c:pt>
                <c:pt idx="5">
                  <c:v>0.84180021336470912</c:v>
                </c:pt>
                <c:pt idx="6">
                  <c:v>1.5391698634286424</c:v>
                </c:pt>
                <c:pt idx="7">
                  <c:v>2.020466751119709</c:v>
                </c:pt>
                <c:pt idx="8">
                  <c:v>2.6459895790365104</c:v>
                </c:pt>
                <c:pt idx="9">
                  <c:v>3.8381890852736973</c:v>
                </c:pt>
                <c:pt idx="10">
                  <c:v>5.5200023789857555</c:v>
                </c:pt>
                <c:pt idx="11">
                  <c:v>7.8442359614469916</c:v>
                </c:pt>
                <c:pt idx="12">
                  <c:v>10.96666716050855</c:v>
                </c:pt>
                <c:pt idx="13">
                  <c:v>15.005684880315728</c:v>
                </c:pt>
                <c:pt idx="14">
                  <c:v>19.982150823142476</c:v>
                </c:pt>
                <c:pt idx="15">
                  <c:v>25.758672365867149</c:v>
                </c:pt>
                <c:pt idx="16">
                  <c:v>32.017433710081967</c:v>
                </c:pt>
                <c:pt idx="17">
                  <c:v>38.312201822341244</c:v>
                </c:pt>
                <c:pt idx="18">
                  <c:v>44.186570827175956</c:v>
                </c:pt>
                <c:pt idx="19">
                  <c:v>49.297852580242349</c:v>
                </c:pt>
                <c:pt idx="20">
                  <c:v>53.481141904775455</c:v>
                </c:pt>
                <c:pt idx="21">
                  <c:v>56.73674955124897</c:v>
                </c:pt>
                <c:pt idx="22">
                  <c:v>59.172477908962534</c:v>
                </c:pt>
                <c:pt idx="23">
                  <c:v>60.941592261933344</c:v>
                </c:pt>
                <c:pt idx="24">
                  <c:v>62.199062445521918</c:v>
                </c:pt>
                <c:pt idx="25">
                  <c:v>63.079194309776966</c:v>
                </c:pt>
                <c:pt idx="26">
                  <c:v>63.688595482263246</c:v>
                </c:pt>
                <c:pt idx="27">
                  <c:v>64.107391906110223</c:v>
                </c:pt>
                <c:pt idx="28">
                  <c:v>64.393719042125909</c:v>
                </c:pt>
                <c:pt idx="29">
                  <c:v>64.588788486440805</c:v>
                </c:pt>
                <c:pt idx="30">
                  <c:v>64.721366382820392</c:v>
                </c:pt>
                <c:pt idx="31">
                  <c:v>64.811324963189335</c:v>
                </c:pt>
                <c:pt idx="32">
                  <c:v>64.872297168106343</c:v>
                </c:pt>
                <c:pt idx="33">
                  <c:v>64.913591871314367</c:v>
                </c:pt>
                <c:pt idx="34">
                  <c:v>64.941545320216093</c:v>
                </c:pt>
                <c:pt idx="35">
                  <c:v>64.960461200889711</c:v>
                </c:pt>
                <c:pt idx="36">
                  <c:v>64.973258440521377</c:v>
                </c:pt>
                <c:pt idx="37">
                  <c:v>64.981914842492998</c:v>
                </c:pt>
                <c:pt idx="38">
                  <c:v>64.987769643086352</c:v>
                </c:pt>
                <c:pt idx="39">
                  <c:v>64.991729280362648</c:v>
                </c:pt>
                <c:pt idx="40">
                  <c:v>64.994407076222487</c:v>
                </c:pt>
              </c:numCache>
            </c:numRef>
          </c:val>
          <c:smooth val="0"/>
          <c:extLst>
            <c:ext xmlns:c16="http://schemas.microsoft.com/office/drawing/2014/chart" uri="{C3380CC4-5D6E-409C-BE32-E72D297353CC}">
              <c16:uniqueId val="{00000002-B956-415F-8F16-5BC0E8859441}"/>
            </c:ext>
          </c:extLst>
        </c:ser>
        <c:ser>
          <c:idx val="3"/>
          <c:order val="3"/>
          <c:tx>
            <c:strRef>
              <c:f>'Austria EV uptake'!$M$3</c:f>
              <c:strCache>
                <c:ptCount val="1"/>
                <c:pt idx="0">
                  <c:v>predicted cost</c:v>
                </c:pt>
              </c:strCache>
            </c:strRef>
          </c:tx>
          <c:spPr>
            <a:ln w="28575" cap="rnd">
              <a:solidFill>
                <a:srgbClr val="92D050"/>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uptake'!$L$5:$L$45</c:f>
              <c:numCache>
                <c:formatCode>General</c:formatCode>
                <c:ptCount val="41"/>
                <c:pt idx="2" formatCode="0.000">
                  <c:v>0.26263042390584534</c:v>
                </c:pt>
                <c:pt idx="3" formatCode="0.000">
                  <c:v>0.38763937622394484</c:v>
                </c:pt>
                <c:pt idx="4" formatCode="0.000">
                  <c:v>0.38763937622394484</c:v>
                </c:pt>
                <c:pt idx="5" formatCode="0.000">
                  <c:v>0.84180021336470912</c:v>
                </c:pt>
                <c:pt idx="6" formatCode="0.000">
                  <c:v>0.84180021336470912</c:v>
                </c:pt>
                <c:pt idx="7" formatCode="0.000">
                  <c:v>2.020466751119709</c:v>
                </c:pt>
                <c:pt idx="8" formatCode="0.000">
                  <c:v>2.9732896015560764</c:v>
                </c:pt>
                <c:pt idx="9" formatCode="0.000">
                  <c:v>4.3737767511725325</c:v>
                </c:pt>
                <c:pt idx="10" formatCode="0.000">
                  <c:v>6.1630168330503015</c:v>
                </c:pt>
                <c:pt idx="11" formatCode="0.000">
                  <c:v>8.6349558933061452</c:v>
                </c:pt>
                <c:pt idx="12" formatCode="0.000">
                  <c:v>11.8637482408799</c:v>
                </c:pt>
                <c:pt idx="13" formatCode="0.000">
                  <c:v>17.163234507099141</c:v>
                </c:pt>
                <c:pt idx="14" formatCode="0.000">
                  <c:v>23.256827679277997</c:v>
                </c:pt>
                <c:pt idx="15" formatCode="0.000">
                  <c:v>29.900808412611475</c:v>
                </c:pt>
                <c:pt idx="16" formatCode="0.000">
                  <c:v>36.759241952596803</c:v>
                </c:pt>
                <c:pt idx="17" formatCode="0.000">
                  <c:v>44.1101616982181</c:v>
                </c:pt>
                <c:pt idx="18" formatCode="0.000">
                  <c:v>49.541170537994219</c:v>
                </c:pt>
                <c:pt idx="19" formatCode="0.000">
                  <c:v>54.067048625912626</c:v>
                </c:pt>
                <c:pt idx="20" formatCode="0.000">
                  <c:v>57.669546949581822</c:v>
                </c:pt>
                <c:pt idx="21" formatCode="0.000">
                  <c:v>60.425815295488746</c:v>
                </c:pt>
                <c:pt idx="22" formatCode="0.000">
                  <c:v>61.816184481691593</c:v>
                </c:pt>
                <c:pt idx="23" formatCode="0.000">
                  <c:v>62.803167281121134</c:v>
                </c:pt>
                <c:pt idx="24" formatCode="0.000">
                  <c:v>63.493592637159658</c:v>
                </c:pt>
                <c:pt idx="25" formatCode="0.000">
                  <c:v>63.971537845343434</c:v>
                </c:pt>
                <c:pt idx="26" formatCode="0.000">
                  <c:v>64.299972259952114</c:v>
                </c:pt>
                <c:pt idx="27" formatCode="0.000">
                  <c:v>64.524518156137347</c:v>
                </c:pt>
                <c:pt idx="28" formatCode="0.000">
                  <c:v>64.67749920853656</c:v>
                </c:pt>
                <c:pt idx="29" formatCode="0.000">
                  <c:v>64.781473774374234</c:v>
                </c:pt>
                <c:pt idx="30" formatCode="0.000">
                  <c:v>64.852025141129303</c:v>
                </c:pt>
                <c:pt idx="31" formatCode="0.000">
                  <c:v>64.899844104743167</c:v>
                </c:pt>
                <c:pt idx="32" formatCode="0.000">
                  <c:v>64.932230800209567</c:v>
                </c:pt>
                <c:pt idx="33" formatCode="0.000">
                  <c:v>64.954154335086898</c:v>
                </c:pt>
                <c:pt idx="34" formatCode="0.000">
                  <c:v>64.968989889441303</c:v>
                </c:pt>
                <c:pt idx="35" formatCode="0.000">
                  <c:v>64.9790266814706</c:v>
                </c:pt>
                <c:pt idx="36" formatCode="0.000">
                  <c:v>64.985815856537172</c:v>
                </c:pt>
                <c:pt idx="37" formatCode="0.000">
                  <c:v>64.990407755920458</c:v>
                </c:pt>
                <c:pt idx="38" formatCode="0.000">
                  <c:v>64.993513288650973</c:v>
                </c:pt>
                <c:pt idx="39" formatCode="0.000">
                  <c:v>64.995613478134203</c:v>
                </c:pt>
                <c:pt idx="40" formatCode="0.000">
                  <c:v>64.997033733337602</c:v>
                </c:pt>
              </c:numCache>
            </c:numRef>
          </c:val>
          <c:smooth val="0"/>
          <c:extLst>
            <c:ext xmlns:c16="http://schemas.microsoft.com/office/drawing/2014/chart" uri="{C3380CC4-5D6E-409C-BE32-E72D297353CC}">
              <c16:uniqueId val="{00000000-9530-409F-B232-8CEEC687CBA4}"/>
            </c:ext>
          </c:extLst>
        </c:ser>
        <c:dLbls>
          <c:showLegendKey val="0"/>
          <c:showVal val="0"/>
          <c:showCatName val="0"/>
          <c:showSerName val="0"/>
          <c:showPercent val="0"/>
          <c:showBubbleSize val="0"/>
        </c:dLbls>
        <c:smooth val="0"/>
        <c:axId val="628643480"/>
        <c:axId val="628637576"/>
      </c:lineChart>
      <c:catAx>
        <c:axId val="628643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637576"/>
        <c:crosses val="autoZero"/>
        <c:auto val="1"/>
        <c:lblAlgn val="ctr"/>
        <c:lblOffset val="100"/>
        <c:tickLblSkip val="2"/>
        <c:tickMarkSkip val="2"/>
        <c:noMultiLvlLbl val="0"/>
      </c:catAx>
      <c:valAx>
        <c:axId val="628637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sales</a:t>
                </a:r>
              </a:p>
            </c:rich>
          </c:tx>
          <c:layout>
            <c:manualLayout>
              <c:xMode val="edge"/>
              <c:yMode val="edge"/>
              <c:x val="1.9731383622489808E-2"/>
              <c:y val="0.366044753286395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64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8641391672422"/>
          <c:y val="3.1428627993031255E-2"/>
          <c:w val="0.85809554401827781"/>
          <c:h val="0.80742480960371743"/>
        </c:manualLayout>
      </c:layout>
      <c:lineChart>
        <c:grouping val="standard"/>
        <c:varyColors val="0"/>
        <c:ser>
          <c:idx val="0"/>
          <c:order val="0"/>
          <c:tx>
            <c:strRef>
              <c:f>'Austria EV uptake'!$B$3</c:f>
              <c:strCache>
                <c:ptCount val="1"/>
                <c:pt idx="0">
                  <c:v> EV %sales</c:v>
                </c:pt>
              </c:strCache>
            </c:strRef>
          </c:tx>
          <c:spPr>
            <a:ln w="47625" cap="rnd">
              <a:solidFill>
                <a:schemeClr val="tx1"/>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uptake'!$B$5:$B$45</c:f>
              <c:numCache>
                <c:formatCode>0.00</c:formatCode>
                <c:ptCount val="41"/>
                <c:pt idx="0">
                  <c:v>3.4144988155957234E-2</c:v>
                </c:pt>
                <c:pt idx="1">
                  <c:v>0.17717552450694102</c:v>
                </c:pt>
                <c:pt idx="2">
                  <c:v>0.20654147198000058</c:v>
                </c:pt>
                <c:pt idx="3">
                  <c:v>0.26266710548999328</c:v>
                </c:pt>
                <c:pt idx="4">
                  <c:v>0.56211632675937462</c:v>
                </c:pt>
                <c:pt idx="5">
                  <c:v>0.90032571178558107</c:v>
                </c:pt>
                <c:pt idx="6">
                  <c:v>1.5360857271149624</c:v>
                </c:pt>
                <c:pt idx="7">
                  <c:v>2.0212750928842866</c:v>
                </c:pt>
                <c:pt idx="8">
                  <c:v>2.6402362896921945</c:v>
                </c:pt>
              </c:numCache>
            </c:numRef>
          </c:val>
          <c:smooth val="0"/>
          <c:extLst>
            <c:ext xmlns:c16="http://schemas.microsoft.com/office/drawing/2014/chart" uri="{C3380CC4-5D6E-409C-BE32-E72D297353CC}">
              <c16:uniqueId val="{00000000-E6DB-493B-9173-B4DCD619FD37}"/>
            </c:ext>
          </c:extLst>
        </c:ser>
        <c:ser>
          <c:idx val="2"/>
          <c:order val="1"/>
          <c:tx>
            <c:strRef>
              <c:f>'Austria EV uptake'!$AB$3</c:f>
              <c:strCache>
                <c:ptCount val="1"/>
                <c:pt idx="0">
                  <c:v>predicted raw</c:v>
                </c:pt>
              </c:strCache>
            </c:strRef>
          </c:tx>
          <c:spPr>
            <a:ln w="28575" cap="rnd">
              <a:solidFill>
                <a:schemeClr val="tx2">
                  <a:lumMod val="60000"/>
                  <a:lumOff val="40000"/>
                </a:schemeClr>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uptake'!$AB$5:$AB$45</c:f>
              <c:numCache>
                <c:formatCode>0.00</c:formatCode>
                <c:ptCount val="41"/>
                <c:pt idx="0">
                  <c:v>0.1203521589427423</c:v>
                </c:pt>
                <c:pt idx="1">
                  <c:v>0.17782437732109599</c:v>
                </c:pt>
                <c:pt idx="2">
                  <c:v>0.26263042390584534</c:v>
                </c:pt>
                <c:pt idx="3">
                  <c:v>0.38763937622394484</c:v>
                </c:pt>
                <c:pt idx="4">
                  <c:v>0.57162569563598153</c:v>
                </c:pt>
                <c:pt idx="5">
                  <c:v>0.84180021336470912</c:v>
                </c:pt>
                <c:pt idx="6">
                  <c:v>1.5391698634286424</c:v>
                </c:pt>
                <c:pt idx="7">
                  <c:v>2.020466751119709</c:v>
                </c:pt>
                <c:pt idx="8">
                  <c:v>2.6459895790365104</c:v>
                </c:pt>
                <c:pt idx="9">
                  <c:v>3.8381890852736973</c:v>
                </c:pt>
                <c:pt idx="10">
                  <c:v>5.5200023789857555</c:v>
                </c:pt>
                <c:pt idx="11">
                  <c:v>7.8442359614469916</c:v>
                </c:pt>
                <c:pt idx="12">
                  <c:v>10.96666716050855</c:v>
                </c:pt>
                <c:pt idx="13">
                  <c:v>15.005684880315728</c:v>
                </c:pt>
                <c:pt idx="14">
                  <c:v>19.982150823142476</c:v>
                </c:pt>
                <c:pt idx="15">
                  <c:v>25.758672365867149</c:v>
                </c:pt>
                <c:pt idx="16">
                  <c:v>32.017433710081967</c:v>
                </c:pt>
                <c:pt idx="17">
                  <c:v>38.312201822341244</c:v>
                </c:pt>
                <c:pt idx="18">
                  <c:v>44.186570827175956</c:v>
                </c:pt>
                <c:pt idx="19">
                  <c:v>49.297852580242349</c:v>
                </c:pt>
                <c:pt idx="20">
                  <c:v>53.481141904775455</c:v>
                </c:pt>
                <c:pt idx="21">
                  <c:v>56.73674955124897</c:v>
                </c:pt>
                <c:pt idx="22">
                  <c:v>59.172477908962534</c:v>
                </c:pt>
                <c:pt idx="23">
                  <c:v>60.941592261933344</c:v>
                </c:pt>
                <c:pt idx="24">
                  <c:v>62.199062445521918</c:v>
                </c:pt>
                <c:pt idx="25">
                  <c:v>63.079194309776966</c:v>
                </c:pt>
                <c:pt idx="26">
                  <c:v>63.688595482263246</c:v>
                </c:pt>
                <c:pt idx="27">
                  <c:v>64.107391906110223</c:v>
                </c:pt>
                <c:pt idx="28">
                  <c:v>64.393719042125909</c:v>
                </c:pt>
                <c:pt idx="29">
                  <c:v>64.588788486440805</c:v>
                </c:pt>
                <c:pt idx="30">
                  <c:v>64.721366382820392</c:v>
                </c:pt>
                <c:pt idx="31">
                  <c:v>64.811324963189335</c:v>
                </c:pt>
                <c:pt idx="32">
                  <c:v>64.872297168106343</c:v>
                </c:pt>
                <c:pt idx="33">
                  <c:v>64.913591871314367</c:v>
                </c:pt>
                <c:pt idx="34">
                  <c:v>64.941545320216093</c:v>
                </c:pt>
                <c:pt idx="35">
                  <c:v>64.960461200889711</c:v>
                </c:pt>
                <c:pt idx="36">
                  <c:v>64.973258440521377</c:v>
                </c:pt>
                <c:pt idx="37">
                  <c:v>64.981914842492998</c:v>
                </c:pt>
                <c:pt idx="38">
                  <c:v>64.987769643086352</c:v>
                </c:pt>
                <c:pt idx="39">
                  <c:v>64.991729280362648</c:v>
                </c:pt>
                <c:pt idx="40">
                  <c:v>64.994407076222487</c:v>
                </c:pt>
              </c:numCache>
            </c:numRef>
          </c:val>
          <c:smooth val="0"/>
          <c:extLst>
            <c:ext xmlns:c16="http://schemas.microsoft.com/office/drawing/2014/chart" uri="{C3380CC4-5D6E-409C-BE32-E72D297353CC}">
              <c16:uniqueId val="{00000002-E6DB-493B-9173-B4DCD619FD37}"/>
            </c:ext>
          </c:extLst>
        </c:ser>
        <c:ser>
          <c:idx val="3"/>
          <c:order val="2"/>
          <c:tx>
            <c:strRef>
              <c:f>'Austria EV uptake'!$M$3</c:f>
              <c:strCache>
                <c:ptCount val="1"/>
                <c:pt idx="0">
                  <c:v>predicted cost</c:v>
                </c:pt>
              </c:strCache>
            </c:strRef>
          </c:tx>
          <c:spPr>
            <a:ln w="28575" cap="rnd">
              <a:solidFill>
                <a:srgbClr val="92D050"/>
              </a:solidFill>
              <a:round/>
            </a:ln>
            <a:effectLst/>
          </c:spPr>
          <c:marker>
            <c:symbol val="none"/>
          </c:marker>
          <c:cat>
            <c:numRef>
              <c:f>'Austria EV uptake'!$A$5:$A$45</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'Austria EV uptake'!$L$5:$L$45</c:f>
              <c:numCache>
                <c:formatCode>General</c:formatCode>
                <c:ptCount val="41"/>
                <c:pt idx="2" formatCode="0.000">
                  <c:v>0.26263042390584534</c:v>
                </c:pt>
                <c:pt idx="3" formatCode="0.000">
                  <c:v>0.38763937622394484</c:v>
                </c:pt>
                <c:pt idx="4" formatCode="0.000">
                  <c:v>0.38763937622394484</c:v>
                </c:pt>
                <c:pt idx="5" formatCode="0.000">
                  <c:v>0.84180021336470912</c:v>
                </c:pt>
                <c:pt idx="6" formatCode="0.000">
                  <c:v>0.84180021336470912</c:v>
                </c:pt>
                <c:pt idx="7" formatCode="0.000">
                  <c:v>2.020466751119709</c:v>
                </c:pt>
                <c:pt idx="8" formatCode="0.000">
                  <c:v>2.9732896015560764</c:v>
                </c:pt>
                <c:pt idx="9" formatCode="0.000">
                  <c:v>4.3737767511725325</c:v>
                </c:pt>
                <c:pt idx="10" formatCode="0.000">
                  <c:v>6.1630168330503015</c:v>
                </c:pt>
                <c:pt idx="11" formatCode="0.000">
                  <c:v>8.6349558933061452</c:v>
                </c:pt>
                <c:pt idx="12" formatCode="0.000">
                  <c:v>11.8637482408799</c:v>
                </c:pt>
                <c:pt idx="13" formatCode="0.000">
                  <c:v>17.163234507099141</c:v>
                </c:pt>
                <c:pt idx="14" formatCode="0.000">
                  <c:v>23.256827679277997</c:v>
                </c:pt>
                <c:pt idx="15" formatCode="0.000">
                  <c:v>29.900808412611475</c:v>
                </c:pt>
                <c:pt idx="16" formatCode="0.000">
                  <c:v>36.759241952596803</c:v>
                </c:pt>
                <c:pt idx="17" formatCode="0.000">
                  <c:v>44.1101616982181</c:v>
                </c:pt>
                <c:pt idx="18" formatCode="0.000">
                  <c:v>49.541170537994219</c:v>
                </c:pt>
                <c:pt idx="19" formatCode="0.000">
                  <c:v>54.067048625912626</c:v>
                </c:pt>
                <c:pt idx="20" formatCode="0.000">
                  <c:v>57.669546949581822</c:v>
                </c:pt>
                <c:pt idx="21" formatCode="0.000">
                  <c:v>60.425815295488746</c:v>
                </c:pt>
                <c:pt idx="22" formatCode="0.000">
                  <c:v>61.816184481691593</c:v>
                </c:pt>
                <c:pt idx="23" formatCode="0.000">
                  <c:v>62.803167281121134</c:v>
                </c:pt>
                <c:pt idx="24" formatCode="0.000">
                  <c:v>63.493592637159658</c:v>
                </c:pt>
                <c:pt idx="25" formatCode="0.000">
                  <c:v>63.971537845343434</c:v>
                </c:pt>
                <c:pt idx="26" formatCode="0.000">
                  <c:v>64.299972259952114</c:v>
                </c:pt>
                <c:pt idx="27" formatCode="0.000">
                  <c:v>64.524518156137347</c:v>
                </c:pt>
                <c:pt idx="28" formatCode="0.000">
                  <c:v>64.67749920853656</c:v>
                </c:pt>
                <c:pt idx="29" formatCode="0.000">
                  <c:v>64.781473774374234</c:v>
                </c:pt>
                <c:pt idx="30" formatCode="0.000">
                  <c:v>64.852025141129303</c:v>
                </c:pt>
                <c:pt idx="31" formatCode="0.000">
                  <c:v>64.899844104743167</c:v>
                </c:pt>
                <c:pt idx="32" formatCode="0.000">
                  <c:v>64.932230800209567</c:v>
                </c:pt>
                <c:pt idx="33" formatCode="0.000">
                  <c:v>64.954154335086898</c:v>
                </c:pt>
                <c:pt idx="34" formatCode="0.000">
                  <c:v>64.968989889441303</c:v>
                </c:pt>
                <c:pt idx="35" formatCode="0.000">
                  <c:v>64.9790266814706</c:v>
                </c:pt>
                <c:pt idx="36" formatCode="0.000">
                  <c:v>64.985815856537172</c:v>
                </c:pt>
                <c:pt idx="37" formatCode="0.000">
                  <c:v>64.990407755920458</c:v>
                </c:pt>
                <c:pt idx="38" formatCode="0.000">
                  <c:v>64.993513288650973</c:v>
                </c:pt>
                <c:pt idx="39" formatCode="0.000">
                  <c:v>64.995613478134203</c:v>
                </c:pt>
                <c:pt idx="40" formatCode="0.000">
                  <c:v>64.997033733337602</c:v>
                </c:pt>
              </c:numCache>
            </c:numRef>
          </c:val>
          <c:smooth val="0"/>
          <c:extLst>
            <c:ext xmlns:c16="http://schemas.microsoft.com/office/drawing/2014/chart" uri="{C3380CC4-5D6E-409C-BE32-E72D297353CC}">
              <c16:uniqueId val="{00000003-E6DB-493B-9173-B4DCD619FD37}"/>
            </c:ext>
          </c:extLst>
        </c:ser>
        <c:dLbls>
          <c:showLegendKey val="0"/>
          <c:showVal val="0"/>
          <c:showCatName val="0"/>
          <c:showSerName val="0"/>
          <c:showPercent val="0"/>
          <c:showBubbleSize val="0"/>
        </c:dLbls>
        <c:smooth val="0"/>
        <c:axId val="628643480"/>
        <c:axId val="628637576"/>
      </c:lineChart>
      <c:catAx>
        <c:axId val="628643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637576"/>
        <c:crosses val="autoZero"/>
        <c:auto val="1"/>
        <c:lblAlgn val="ctr"/>
        <c:lblOffset val="100"/>
        <c:tickLblSkip val="2"/>
        <c:tickMarkSkip val="2"/>
        <c:noMultiLvlLbl val="0"/>
      </c:catAx>
      <c:valAx>
        <c:axId val="628637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sales</a:t>
                </a:r>
              </a:p>
            </c:rich>
          </c:tx>
          <c:layout>
            <c:manualLayout>
              <c:xMode val="edge"/>
              <c:yMode val="edge"/>
              <c:x val="1.9731383622489808E-2"/>
              <c:y val="0.366044753286395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64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Tesla Model 3 Price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40529990408423"/>
          <c:y val="0.17171296296296296"/>
          <c:w val="0.84903905779482947"/>
          <c:h val="0.70229442838632516"/>
        </c:manualLayout>
      </c:layout>
      <c:lineChart>
        <c:grouping val="standard"/>
        <c:varyColors val="0"/>
        <c:ser>
          <c:idx val="0"/>
          <c:order val="0"/>
          <c:tx>
            <c:strRef>
              <c:f>'Tesla model 3 price'!$R$10</c:f>
              <c:strCache>
                <c:ptCount val="1"/>
                <c:pt idx="0">
                  <c:v>Price Growing Range</c:v>
                </c:pt>
              </c:strCache>
            </c:strRef>
          </c:tx>
          <c:spPr>
            <a:ln w="28575" cap="rnd">
              <a:solidFill>
                <a:schemeClr val="accent1"/>
              </a:solidFill>
              <a:round/>
            </a:ln>
            <a:effectLst/>
          </c:spPr>
          <c:marker>
            <c:symbol val="none"/>
          </c:marker>
          <c:cat>
            <c:numRef>
              <c:f>'Tesla model 3 price'!$J$11:$J$24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'Tesla model 3 price'!$R$11:$R$24</c:f>
              <c:numCache>
                <c:formatCode>0</c:formatCode>
                <c:ptCount val="14"/>
                <c:pt idx="0">
                  <c:v>34.94083333333333</c:v>
                </c:pt>
                <c:pt idx="1">
                  <c:v>35.47891667393494</c:v>
                </c:pt>
                <c:pt idx="2">
                  <c:v>36.007423999454986</c:v>
                </c:pt>
                <c:pt idx="3">
                  <c:v>35.754575567526487</c:v>
                </c:pt>
                <c:pt idx="4">
                  <c:v>34.899314478631283</c:v>
                </c:pt>
                <c:pt idx="5">
                  <c:v>35.280147192043003</c:v>
                </c:pt>
                <c:pt idx="6">
                  <c:v>34.931847818632441</c:v>
                </c:pt>
                <c:pt idx="7">
                  <c:v>33.764534944125565</c:v>
                </c:pt>
                <c:pt idx="8">
                  <c:v>32.75353835889301</c:v>
                </c:pt>
                <c:pt idx="9">
                  <c:v>32.213185753994146</c:v>
                </c:pt>
                <c:pt idx="10">
                  <c:v>31.672833149095283</c:v>
                </c:pt>
                <c:pt idx="11">
                  <c:v>31.064936468584062</c:v>
                </c:pt>
                <c:pt idx="12">
                  <c:v>30.524583863685201</c:v>
                </c:pt>
                <c:pt idx="13">
                  <c:v>29.916687183173984</c:v>
                </c:pt>
              </c:numCache>
            </c:numRef>
          </c:val>
          <c:smooth val="0"/>
          <c:extLst>
            <c:ext xmlns:c16="http://schemas.microsoft.com/office/drawing/2014/chart" uri="{C3380CC4-5D6E-409C-BE32-E72D297353CC}">
              <c16:uniqueId val="{00000000-65F7-4750-8C74-5CBDF821525D}"/>
            </c:ext>
          </c:extLst>
        </c:ser>
        <c:ser>
          <c:idx val="1"/>
          <c:order val="1"/>
          <c:tx>
            <c:strRef>
              <c:f>'Tesla model 3 price'!$S$10</c:f>
              <c:strCache>
                <c:ptCount val="1"/>
                <c:pt idx="0">
                  <c:v>Price Constant Range </c:v>
                </c:pt>
              </c:strCache>
            </c:strRef>
          </c:tx>
          <c:spPr>
            <a:ln w="28575" cap="rnd">
              <a:solidFill>
                <a:schemeClr val="accent2"/>
              </a:solidFill>
              <a:round/>
            </a:ln>
            <a:effectLst/>
          </c:spPr>
          <c:marker>
            <c:symbol val="none"/>
          </c:marker>
          <c:cat>
            <c:numRef>
              <c:f>'Tesla model 3 price'!$J$11:$J$24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'Tesla model 3 price'!$S$11:$S$24</c:f>
              <c:numCache>
                <c:formatCode>0</c:formatCode>
                <c:ptCount val="14"/>
                <c:pt idx="0">
                  <c:v>34.94083333333333</c:v>
                </c:pt>
                <c:pt idx="1">
                  <c:v>33.877166666666668</c:v>
                </c:pt>
                <c:pt idx="2">
                  <c:v>32.407118055555557</c:v>
                </c:pt>
                <c:pt idx="3">
                  <c:v>30.909999999999997</c:v>
                </c:pt>
                <c:pt idx="4">
                  <c:v>29.483249999999998</c:v>
                </c:pt>
                <c:pt idx="5">
                  <c:v>28.862499999999997</c:v>
                </c:pt>
                <c:pt idx="6">
                  <c:v>28.2485</c:v>
                </c:pt>
                <c:pt idx="7">
                  <c:v>27.641999999999999</c:v>
                </c:pt>
                <c:pt idx="8">
                  <c:v>27.096250000000001</c:v>
                </c:pt>
                <c:pt idx="9">
                  <c:v>26.88625</c:v>
                </c:pt>
                <c:pt idx="10">
                  <c:v>26.67625</c:v>
                </c:pt>
                <c:pt idx="11">
                  <c:v>26.439999999999998</c:v>
                </c:pt>
                <c:pt idx="12">
                  <c:v>26.23</c:v>
                </c:pt>
                <c:pt idx="13">
                  <c:v>25.993749999999999</c:v>
                </c:pt>
              </c:numCache>
            </c:numRef>
          </c:val>
          <c:smooth val="0"/>
          <c:extLst>
            <c:ext xmlns:c16="http://schemas.microsoft.com/office/drawing/2014/chart" uri="{C3380CC4-5D6E-409C-BE32-E72D297353CC}">
              <c16:uniqueId val="{00000001-65F7-4750-8C74-5CBDF821525D}"/>
            </c:ext>
          </c:extLst>
        </c:ser>
        <c:ser>
          <c:idx val="2"/>
          <c:order val="2"/>
          <c:tx>
            <c:strRef>
              <c:f>'Tesla model 3 price'!$T$10</c:f>
              <c:strCache>
                <c:ptCount val="1"/>
                <c:pt idx="0">
                  <c:v>Price gas-fuelled</c:v>
                </c:pt>
              </c:strCache>
            </c:strRef>
          </c:tx>
          <c:spPr>
            <a:ln w="28575" cap="rnd">
              <a:solidFill>
                <a:schemeClr val="accent3"/>
              </a:solidFill>
              <a:round/>
            </a:ln>
            <a:effectLst/>
          </c:spPr>
          <c:marker>
            <c:symbol val="none"/>
          </c:marker>
          <c:cat>
            <c:numRef>
              <c:f>'Tesla model 3 price'!$J$11:$J$24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'Tesla model 3 price'!$T$11:$T$24</c:f>
              <c:numCache>
                <c:formatCode>0</c:formatCode>
                <c:ptCount val="14"/>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numCache>
            </c:numRef>
          </c:val>
          <c:smooth val="0"/>
          <c:extLst>
            <c:ext xmlns:c16="http://schemas.microsoft.com/office/drawing/2014/chart" uri="{C3380CC4-5D6E-409C-BE32-E72D297353CC}">
              <c16:uniqueId val="{00000002-65F7-4750-8C74-5CBDF821525D}"/>
            </c:ext>
          </c:extLst>
        </c:ser>
        <c:dLbls>
          <c:showLegendKey val="0"/>
          <c:showVal val="0"/>
          <c:showCatName val="0"/>
          <c:showSerName val="0"/>
          <c:showPercent val="0"/>
          <c:showBubbleSize val="0"/>
        </c:dLbls>
        <c:smooth val="0"/>
        <c:axId val="583019496"/>
        <c:axId val="583018840"/>
      </c:lineChart>
      <c:catAx>
        <c:axId val="58301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018840"/>
        <c:crosses val="autoZero"/>
        <c:auto val="1"/>
        <c:lblAlgn val="ctr"/>
        <c:lblOffset val="100"/>
        <c:noMultiLvlLbl val="0"/>
      </c:catAx>
      <c:valAx>
        <c:axId val="583018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Vehucle price (real US$000)</a:t>
                </a:r>
              </a:p>
            </c:rich>
          </c:tx>
          <c:layout>
            <c:manualLayout>
              <c:xMode val="edge"/>
              <c:yMode val="edge"/>
              <c:x val="1.792888849233789E-2"/>
              <c:y val="0.260043523040632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019496"/>
        <c:crosses val="autoZero"/>
        <c:crossBetween val="between"/>
      </c:valAx>
      <c:spPr>
        <a:noFill/>
        <a:ln>
          <a:noFill/>
        </a:ln>
        <a:effectLst/>
      </c:spPr>
    </c:plotArea>
    <c:legend>
      <c:legendPos val="b"/>
      <c:layout>
        <c:manualLayout>
          <c:xMode val="edge"/>
          <c:yMode val="edge"/>
          <c:x val="8.3399481134222381E-2"/>
          <c:y val="0.60852486793581184"/>
          <c:w val="0.38710258092738409"/>
          <c:h val="0.264892853583175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'Austria EV uptake'!$S$3</c:f>
              <c:strCache>
                <c:ptCount val="1"/>
                <c:pt idx="0">
                  <c:v>High</c:v>
                </c:pt>
              </c:strCache>
            </c:strRef>
          </c:tx>
          <c:spPr>
            <a:ln w="28575" cap="rnd">
              <a:solidFill>
                <a:schemeClr val="accent1"/>
              </a:solidFill>
              <a:round/>
            </a:ln>
            <a:effectLst/>
          </c:spPr>
          <c:marker>
            <c:symbol val="none"/>
          </c:marker>
          <c:cat>
            <c:numRef>
              <c:f>'Austria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uptake'!$S$4:$S$25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2.9732896015560768</c:v>
                </c:pt>
                <c:pt idx="10" formatCode="0.00">
                  <c:v>4.3737767511725316</c:v>
                </c:pt>
                <c:pt idx="11" formatCode="0.00">
                  <c:v>5.1340918730190337</c:v>
                </c:pt>
                <c:pt idx="12" formatCode="0.00">
                  <c:v>6.8441366574509468</c:v>
                </c:pt>
                <c:pt idx="13" formatCode="0.00">
                  <c:v>8.4254372923876453</c:v>
                </c:pt>
                <c:pt idx="14" formatCode="0.00">
                  <c:v>10.278877932873652</c:v>
                </c:pt>
                <c:pt idx="15" formatCode="0.00">
                  <c:v>12.43835091411635</c:v>
                </c:pt>
                <c:pt idx="16" formatCode="0.00">
                  <c:v>14.942975209249195</c:v>
                </c:pt>
                <c:pt idx="17" formatCode="0.00">
                  <c:v>17.781235962638764</c:v>
                </c:pt>
                <c:pt idx="18" formatCode="0.00">
                  <c:v>21.105542724767218</c:v>
                </c:pt>
                <c:pt idx="19" formatCode="0.00">
                  <c:v>24.613969768977856</c:v>
                </c:pt>
                <c:pt idx="20" formatCode="0.00">
                  <c:v>28.267275107877712</c:v>
                </c:pt>
                <c:pt idx="21" formatCode="0.00">
                  <c:v>31.899933056768184</c:v>
                </c:pt>
              </c:numCache>
            </c:numRef>
          </c:val>
          <c:smooth val="0"/>
          <c:extLst>
            <c:ext xmlns:c16="http://schemas.microsoft.com/office/drawing/2014/chart" uri="{C3380CC4-5D6E-409C-BE32-E72D297353CC}">
              <c16:uniqueId val="{00000000-AE31-45EF-90BD-6293DBE68C65}"/>
            </c:ext>
          </c:extLst>
        </c:ser>
        <c:ser>
          <c:idx val="1"/>
          <c:order val="1"/>
          <c:tx>
            <c:strRef>
              <c:f>'Austria EV uptake'!$T$3</c:f>
              <c:strCache>
                <c:ptCount val="1"/>
                <c:pt idx="0">
                  <c:v>Medium</c:v>
                </c:pt>
              </c:strCache>
            </c:strRef>
          </c:tx>
          <c:spPr>
            <a:ln w="28575" cap="rnd">
              <a:solidFill>
                <a:schemeClr val="accent2"/>
              </a:solidFill>
              <a:round/>
            </a:ln>
            <a:effectLst/>
          </c:spPr>
          <c:marker>
            <c:symbol val="none"/>
          </c:marker>
          <c:cat>
            <c:numRef>
              <c:f>'Austria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uptake'!$T$4:$T$25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2.9732896015560768</c:v>
                </c:pt>
                <c:pt idx="10" formatCode="0.00">
                  <c:v>4.3737767511725316</c:v>
                </c:pt>
                <c:pt idx="11" formatCode="0.00">
                  <c:v>5.1340918730190337</c:v>
                </c:pt>
                <c:pt idx="12" formatCode="0.00">
                  <c:v>6.5300184054192467</c:v>
                </c:pt>
                <c:pt idx="13" formatCode="0.00">
                  <c:v>8.0013383234854825</c:v>
                </c:pt>
                <c:pt idx="14" formatCode="0.00">
                  <c:v>9.6328139322572195</c:v>
                </c:pt>
                <c:pt idx="15" formatCode="0.00">
                  <c:v>11.674811535506359</c:v>
                </c:pt>
                <c:pt idx="16" formatCode="0.00">
                  <c:v>14.025627871187837</c:v>
                </c:pt>
                <c:pt idx="17" formatCode="0.00">
                  <c:v>16.735019057864029</c:v>
                </c:pt>
                <c:pt idx="18" formatCode="0.00">
                  <c:v>19.774774485245235</c:v>
                </c:pt>
                <c:pt idx="19" formatCode="0.00">
                  <c:v>23.265738855400819</c:v>
                </c:pt>
                <c:pt idx="20" formatCode="0.00">
                  <c:v>26.865534497160706</c:v>
                </c:pt>
                <c:pt idx="21" formatCode="0.00">
                  <c:v>30.520093276262724</c:v>
                </c:pt>
              </c:numCache>
            </c:numRef>
          </c:val>
          <c:smooth val="0"/>
          <c:extLst>
            <c:ext xmlns:c16="http://schemas.microsoft.com/office/drawing/2014/chart" uri="{C3380CC4-5D6E-409C-BE32-E72D297353CC}">
              <c16:uniqueId val="{00000001-AE31-45EF-90BD-6293DBE68C65}"/>
            </c:ext>
          </c:extLst>
        </c:ser>
        <c:ser>
          <c:idx val="2"/>
          <c:order val="2"/>
          <c:tx>
            <c:strRef>
              <c:f>'Austria EV uptake'!$U$3</c:f>
              <c:strCache>
                <c:ptCount val="1"/>
                <c:pt idx="0">
                  <c:v>Low</c:v>
                </c:pt>
              </c:strCache>
            </c:strRef>
          </c:tx>
          <c:spPr>
            <a:ln w="28575" cap="rnd">
              <a:solidFill>
                <a:schemeClr val="accent3"/>
              </a:solidFill>
              <a:round/>
            </a:ln>
            <a:effectLst/>
          </c:spPr>
          <c:marker>
            <c:symbol val="none"/>
          </c:marker>
          <c:cat>
            <c:numRef>
              <c:f>'Austria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uptake'!$U$4:$U$25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2.9732896015560768</c:v>
                </c:pt>
                <c:pt idx="10" formatCode="0.00">
                  <c:v>4.3737767511725316</c:v>
                </c:pt>
                <c:pt idx="11" formatCode="0.00">
                  <c:v>5.1340918730190337</c:v>
                </c:pt>
                <c:pt idx="12" formatCode="0.00">
                  <c:v>6.3131912868352416</c:v>
                </c:pt>
                <c:pt idx="13" formatCode="0.00">
                  <c:v>7.6698051811372281</c:v>
                </c:pt>
                <c:pt idx="14" formatCode="0.00">
                  <c:v>9.1707096378205311</c:v>
                </c:pt>
                <c:pt idx="15" formatCode="0.00">
                  <c:v>10.964179498140396</c:v>
                </c:pt>
                <c:pt idx="16" formatCode="0.00">
                  <c:v>13.119764668519309</c:v>
                </c:pt>
                <c:pt idx="17" formatCode="0.00">
                  <c:v>15.487382814412513</c:v>
                </c:pt>
                <c:pt idx="18" formatCode="0.00">
                  <c:v>18.074966826744376</c:v>
                </c:pt>
                <c:pt idx="19" formatCode="0.00">
                  <c:v>20.779821704341277</c:v>
                </c:pt>
                <c:pt idx="20" formatCode="0.00">
                  <c:v>23.597175492581421</c:v>
                </c:pt>
                <c:pt idx="21" formatCode="0.00">
                  <c:v>26.498973306184212</c:v>
                </c:pt>
              </c:numCache>
            </c:numRef>
          </c:val>
          <c:smooth val="0"/>
          <c:extLst>
            <c:ext xmlns:c16="http://schemas.microsoft.com/office/drawing/2014/chart" uri="{C3380CC4-5D6E-409C-BE32-E72D297353CC}">
              <c16:uniqueId val="{00000002-AE31-45EF-90BD-6293DBE68C65}"/>
            </c:ext>
          </c:extLst>
        </c:ser>
        <c:dLbls>
          <c:showLegendKey val="0"/>
          <c:showVal val="0"/>
          <c:showCatName val="0"/>
          <c:showSerName val="0"/>
          <c:showPercent val="0"/>
          <c:showBubbleSize val="0"/>
        </c:dLbls>
        <c:smooth val="0"/>
        <c:axId val="1001169336"/>
        <c:axId val="1001175240"/>
      </c:lineChart>
      <c:catAx>
        <c:axId val="100116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175240"/>
        <c:crosses val="autoZero"/>
        <c:auto val="1"/>
        <c:lblAlgn val="ctr"/>
        <c:lblOffset val="100"/>
        <c:noMultiLvlLbl val="0"/>
      </c:catAx>
      <c:valAx>
        <c:axId val="1001175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 of new sales</a:t>
                </a:r>
              </a:p>
            </c:rich>
          </c:tx>
          <c:layout>
            <c:manualLayout>
              <c:xMode val="edge"/>
              <c:yMode val="edge"/>
              <c:x val="1.7348199836431259E-2"/>
              <c:y val="0.274037922764865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169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'Austria EV uptake'!$X$3</c:f>
              <c:strCache>
                <c:ptCount val="1"/>
                <c:pt idx="0">
                  <c:v>High</c:v>
                </c:pt>
              </c:strCache>
            </c:strRef>
          </c:tx>
          <c:spPr>
            <a:ln w="28575" cap="rnd">
              <a:solidFill>
                <a:schemeClr val="accent1"/>
              </a:solidFill>
              <a:round/>
            </a:ln>
            <a:effectLst/>
          </c:spPr>
          <c:marker>
            <c:symbol val="none"/>
          </c:marker>
          <c:cat>
            <c:numRef>
              <c:f>'Austria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uptake'!$X$4:$X$25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2.3984870415662267</c:v>
                </c:pt>
                <c:pt idx="10" formatCode="0.00">
                  <c:v>3.3341274746904364</c:v>
                </c:pt>
                <c:pt idx="11" formatCode="0.00">
                  <c:v>3.7301723107907065</c:v>
                </c:pt>
                <c:pt idx="12" formatCode="0.00">
                  <c:v>4.3035966666426875</c:v>
                </c:pt>
                <c:pt idx="13" formatCode="0.00">
                  <c:v>5.0657356155108877</c:v>
                </c:pt>
                <c:pt idx="14" formatCode="0.00">
                  <c:v>5.9160444928309674</c:v>
                </c:pt>
                <c:pt idx="15" formatCode="0.00">
                  <c:v>6.9074904316499914</c:v>
                </c:pt>
                <c:pt idx="16" formatCode="0.00">
                  <c:v>8.1066500714882217</c:v>
                </c:pt>
                <c:pt idx="17" formatCode="0.00">
                  <c:v>9.4332265709490315</c:v>
                </c:pt>
                <c:pt idx="18" formatCode="0.00">
                  <c:v>10.903635665233789</c:v>
                </c:pt>
                <c:pt idx="19" formatCode="0.00">
                  <c:v>12.535656861868675</c:v>
                </c:pt>
                <c:pt idx="20" formatCode="0.00">
                  <c:v>14.346783392323848</c:v>
                </c:pt>
                <c:pt idx="21" formatCode="0.00">
                  <c:v>16.306863854320778</c:v>
                </c:pt>
              </c:numCache>
            </c:numRef>
          </c:val>
          <c:smooth val="0"/>
          <c:extLst>
            <c:ext xmlns:c16="http://schemas.microsoft.com/office/drawing/2014/chart" uri="{C3380CC4-5D6E-409C-BE32-E72D297353CC}">
              <c16:uniqueId val="{00000000-27D9-4618-8A93-1D7CBB3F3577}"/>
            </c:ext>
          </c:extLst>
        </c:ser>
        <c:ser>
          <c:idx val="1"/>
          <c:order val="1"/>
          <c:tx>
            <c:strRef>
              <c:f>'Austria EV uptake'!$Y$3</c:f>
              <c:strCache>
                <c:ptCount val="1"/>
                <c:pt idx="0">
                  <c:v>Medium</c:v>
                </c:pt>
              </c:strCache>
            </c:strRef>
          </c:tx>
          <c:spPr>
            <a:ln w="28575" cap="rnd">
              <a:solidFill>
                <a:schemeClr val="accent2"/>
              </a:solidFill>
              <a:round/>
            </a:ln>
            <a:effectLst/>
          </c:spPr>
          <c:marker>
            <c:symbol val="none"/>
          </c:marker>
          <c:cat>
            <c:numRef>
              <c:f>'Austria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uptake'!$Y$4:$Y$25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2.9732896015560768</c:v>
                </c:pt>
                <c:pt idx="10" formatCode="0.00">
                  <c:v>4.3737767511725316</c:v>
                </c:pt>
                <c:pt idx="11" formatCode="0.00">
                  <c:v>5.1340918730190337</c:v>
                </c:pt>
                <c:pt idx="12" formatCode="0.00">
                  <c:v>6.5300184054192467</c:v>
                </c:pt>
                <c:pt idx="13" formatCode="0.00">
                  <c:v>8.0013383234854825</c:v>
                </c:pt>
                <c:pt idx="14" formatCode="0.00">
                  <c:v>9.6328139322572195</c:v>
                </c:pt>
                <c:pt idx="15" formatCode="0.00">
                  <c:v>11.674811535506359</c:v>
                </c:pt>
                <c:pt idx="16" formatCode="0.00">
                  <c:v>14.025627871187837</c:v>
                </c:pt>
                <c:pt idx="17" formatCode="0.00">
                  <c:v>16.735019057864029</c:v>
                </c:pt>
                <c:pt idx="18" formatCode="0.00">
                  <c:v>19.774774485245235</c:v>
                </c:pt>
                <c:pt idx="19" formatCode="0.00">
                  <c:v>23.265738855400819</c:v>
                </c:pt>
                <c:pt idx="20" formatCode="0.00">
                  <c:v>26.865534497160706</c:v>
                </c:pt>
                <c:pt idx="21" formatCode="0.00">
                  <c:v>30.520093276262724</c:v>
                </c:pt>
              </c:numCache>
            </c:numRef>
          </c:val>
          <c:smooth val="0"/>
          <c:extLst>
            <c:ext xmlns:c16="http://schemas.microsoft.com/office/drawing/2014/chart" uri="{C3380CC4-5D6E-409C-BE32-E72D297353CC}">
              <c16:uniqueId val="{00000001-27D9-4618-8A93-1D7CBB3F3577}"/>
            </c:ext>
          </c:extLst>
        </c:ser>
        <c:ser>
          <c:idx val="2"/>
          <c:order val="2"/>
          <c:tx>
            <c:strRef>
              <c:f>'Austria EV uptake'!$Z$3</c:f>
              <c:strCache>
                <c:ptCount val="1"/>
                <c:pt idx="0">
                  <c:v>Low</c:v>
                </c:pt>
              </c:strCache>
            </c:strRef>
          </c:tx>
          <c:spPr>
            <a:ln w="28575" cap="rnd">
              <a:solidFill>
                <a:schemeClr val="accent3"/>
              </a:solidFill>
              <a:round/>
            </a:ln>
            <a:effectLst/>
          </c:spPr>
          <c:marker>
            <c:symbol val="none"/>
          </c:marker>
          <c:cat>
            <c:numRef>
              <c:f>'Austria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 EV uptake'!$Z$4:$Z$25</c:f>
              <c:numCache>
                <c:formatCode>General</c:formatCode>
                <c:ptCount val="22"/>
                <c:pt idx="3" formatCode="0.00">
                  <c:v>0.26263042390584534</c:v>
                </c:pt>
                <c:pt idx="4" formatCode="0.00">
                  <c:v>0.38763937622394484</c:v>
                </c:pt>
                <c:pt idx="5" formatCode="0.00">
                  <c:v>0.57162569563598153</c:v>
                </c:pt>
                <c:pt idx="6" formatCode="0.00">
                  <c:v>0.84180021336470912</c:v>
                </c:pt>
                <c:pt idx="7" formatCode="0.00">
                  <c:v>1.5391698634286424</c:v>
                </c:pt>
                <c:pt idx="8" formatCode="0.00">
                  <c:v>2.020466751119709</c:v>
                </c:pt>
                <c:pt idx="9" formatCode="0.00">
                  <c:v>2.9732896015560768</c:v>
                </c:pt>
                <c:pt idx="10" formatCode="0.00">
                  <c:v>4.9982629909848439</c:v>
                </c:pt>
                <c:pt idx="11" formatCode="0.00">
                  <c:v>6.3530786471696663</c:v>
                </c:pt>
                <c:pt idx="12" formatCode="0.00">
                  <c:v>9.626103892111411</c:v>
                </c:pt>
                <c:pt idx="13" formatCode="0.00">
                  <c:v>12.640576890315684</c:v>
                </c:pt>
                <c:pt idx="14" formatCode="0.00">
                  <c:v>16.21418269022579</c:v>
                </c:pt>
                <c:pt idx="15" formatCode="0.00">
                  <c:v>20.645951937363659</c:v>
                </c:pt>
                <c:pt idx="16" formatCode="0.00">
                  <c:v>25.680610510057814</c:v>
                </c:pt>
                <c:pt idx="17" formatCode="0.00">
                  <c:v>31.331489944715166</c:v>
                </c:pt>
                <c:pt idx="18" formatCode="0.00">
                  <c:v>37.096907173550726</c:v>
                </c:pt>
                <c:pt idx="19" formatCode="0.00">
                  <c:v>42.806212203604936</c:v>
                </c:pt>
                <c:pt idx="20" formatCode="0.00">
                  <c:v>48.081920838588211</c:v>
                </c:pt>
                <c:pt idx="21" formatCode="0.00">
                  <c:v>52.683043995482365</c:v>
                </c:pt>
              </c:numCache>
            </c:numRef>
          </c:val>
          <c:smooth val="0"/>
          <c:extLst>
            <c:ext xmlns:c16="http://schemas.microsoft.com/office/drawing/2014/chart" uri="{C3380CC4-5D6E-409C-BE32-E72D297353CC}">
              <c16:uniqueId val="{00000002-27D9-4618-8A93-1D7CBB3F3577}"/>
            </c:ext>
          </c:extLst>
        </c:ser>
        <c:dLbls>
          <c:showLegendKey val="0"/>
          <c:showVal val="0"/>
          <c:showCatName val="0"/>
          <c:showSerName val="0"/>
          <c:showPercent val="0"/>
          <c:showBubbleSize val="0"/>
        </c:dLbls>
        <c:smooth val="0"/>
        <c:axId val="1006847104"/>
        <c:axId val="1006852024"/>
      </c:lineChart>
      <c:catAx>
        <c:axId val="100684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852024"/>
        <c:crosses val="autoZero"/>
        <c:auto val="1"/>
        <c:lblAlgn val="ctr"/>
        <c:lblOffset val="100"/>
        <c:noMultiLvlLbl val="0"/>
      </c:catAx>
      <c:valAx>
        <c:axId val="1006852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2033692063694807E-2"/>
              <c:y val="0.262242039022230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8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Austria!$O$2</c:f>
              <c:strCache>
                <c:ptCount val="1"/>
                <c:pt idx="0">
                  <c:v>BEV price</c:v>
                </c:pt>
              </c:strCache>
            </c:strRef>
          </c:tx>
          <c:spPr>
            <a:ln w="60325" cap="rnd">
              <a:solidFill>
                <a:schemeClr val="accent1"/>
              </a:solidFill>
              <a:round/>
            </a:ln>
            <a:effectLst/>
          </c:spPr>
          <c:marker>
            <c:symbol val="none"/>
          </c:marker>
          <c:cat>
            <c:numRef>
              <c:f>Austria!$N$3:$N$24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Austria!$O$3:$O$24</c:f>
              <c:numCache>
                <c:formatCode>0</c:formatCode>
                <c:ptCount val="22"/>
                <c:pt idx="0">
                  <c:v>27012.449163204627</c:v>
                </c:pt>
                <c:pt idx="1">
                  <c:v>28762.166532298244</c:v>
                </c:pt>
                <c:pt idx="2">
                  <c:v>27205.879597376701</c:v>
                </c:pt>
                <c:pt idx="3">
                  <c:v>30092.757559327554</c:v>
                </c:pt>
                <c:pt idx="4">
                  <c:v>29541.902656778773</c:v>
                </c:pt>
                <c:pt idx="5">
                  <c:v>31934.941645743558</c:v>
                </c:pt>
                <c:pt idx="6">
                  <c:v>34063.320234879102</c:v>
                </c:pt>
                <c:pt idx="7">
                  <c:v>34092.894775190842</c:v>
                </c:pt>
                <c:pt idx="8">
                  <c:v>29204.40421244231</c:v>
                </c:pt>
                <c:pt idx="9">
                  <c:v>28735.447570276523</c:v>
                </c:pt>
                <c:pt idx="10">
                  <c:v>29407.802584812162</c:v>
                </c:pt>
                <c:pt idx="11">
                  <c:v>29295.186869934292</c:v>
                </c:pt>
                <c:pt idx="12">
                  <c:v>28577.031973761408</c:v>
                </c:pt>
                <c:pt idx="13">
                  <c:v>29096.55466991854</c:v>
                </c:pt>
                <c:pt idx="14">
                  <c:v>28883.560621806188</c:v>
                </c:pt>
                <c:pt idx="15">
                  <c:v>27847.970888505588</c:v>
                </c:pt>
                <c:pt idx="16">
                  <c:v>26967.627389491787</c:v>
                </c:pt>
                <c:pt idx="17">
                  <c:v>26495.028466260614</c:v>
                </c:pt>
                <c:pt idx="18">
                  <c:v>26021.020967797846</c:v>
                </c:pt>
                <c:pt idx="19">
                  <c:v>25477.917662789681</c:v>
                </c:pt>
                <c:pt idx="20">
                  <c:v>25001.17853316804</c:v>
                </c:pt>
                <c:pt idx="21">
                  <c:v>24455.399257197016</c:v>
                </c:pt>
              </c:numCache>
            </c:numRef>
          </c:val>
          <c:smooth val="0"/>
          <c:extLst>
            <c:ext xmlns:c16="http://schemas.microsoft.com/office/drawing/2014/chart" uri="{C3380CC4-5D6E-409C-BE32-E72D297353CC}">
              <c16:uniqueId val="{00000000-4AC5-4C61-8C41-C4F9A8380FB9}"/>
            </c:ext>
          </c:extLst>
        </c:ser>
        <c:ser>
          <c:idx val="1"/>
          <c:order val="1"/>
          <c:tx>
            <c:strRef>
              <c:f>Austria!$P$2</c:f>
              <c:strCache>
                <c:ptCount val="1"/>
                <c:pt idx="0">
                  <c:v>PHEV price</c:v>
                </c:pt>
              </c:strCache>
            </c:strRef>
          </c:tx>
          <c:spPr>
            <a:ln w="15875" cap="rnd">
              <a:solidFill>
                <a:schemeClr val="accent2"/>
              </a:solidFill>
              <a:round/>
            </a:ln>
            <a:effectLst/>
          </c:spPr>
          <c:marker>
            <c:symbol val="none"/>
          </c:marker>
          <c:cat>
            <c:numRef>
              <c:f>Austria!$N$3:$N$24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Austria!$P$3:$P$24</c:f>
              <c:numCache>
                <c:formatCode>0</c:formatCode>
                <c:ptCount val="22"/>
                <c:pt idx="0">
                  <c:v>27012.449163204627</c:v>
                </c:pt>
                <c:pt idx="1">
                  <c:v>28762.166532298244</c:v>
                </c:pt>
                <c:pt idx="2">
                  <c:v>27205.879597376701</c:v>
                </c:pt>
                <c:pt idx="3">
                  <c:v>30092.757559327554</c:v>
                </c:pt>
                <c:pt idx="4">
                  <c:v>29541.902656778773</c:v>
                </c:pt>
                <c:pt idx="5">
                  <c:v>31934.941645743558</c:v>
                </c:pt>
                <c:pt idx="6">
                  <c:v>34063.320234879102</c:v>
                </c:pt>
                <c:pt idx="7">
                  <c:v>34092.894775190842</c:v>
                </c:pt>
                <c:pt idx="8">
                  <c:v>31704.40421244231</c:v>
                </c:pt>
                <c:pt idx="9">
                  <c:v>31184.507131405051</c:v>
                </c:pt>
                <c:pt idx="10">
                  <c:v>31806.959678394182</c:v>
                </c:pt>
                <c:pt idx="11">
                  <c:v>31645.458317408844</c:v>
                </c:pt>
                <c:pt idx="12">
                  <c:v>30879.413877635379</c:v>
                </c:pt>
                <c:pt idx="13">
                  <c:v>31352.022835939282</c:v>
                </c:pt>
                <c:pt idx="14">
                  <c:v>31093.070972531834</c:v>
                </c:pt>
                <c:pt idx="15">
                  <c:v>30012.459868448426</c:v>
                </c:pt>
                <c:pt idx="16">
                  <c:v>29088.01236200632</c:v>
                </c:pt>
                <c:pt idx="17">
                  <c:v>28572.208102344601</c:v>
                </c:pt>
                <c:pt idx="18">
                  <c:v>28055.875626971032</c:v>
                </c:pt>
                <c:pt idx="19">
                  <c:v>27471.309766211689</c:v>
                </c:pt>
                <c:pt idx="20">
                  <c:v>26953.952929153547</c:v>
                </c:pt>
                <c:pt idx="21">
                  <c:v>26368.383579283131</c:v>
                </c:pt>
              </c:numCache>
            </c:numRef>
          </c:val>
          <c:smooth val="0"/>
          <c:extLst>
            <c:ext xmlns:c16="http://schemas.microsoft.com/office/drawing/2014/chart" uri="{C3380CC4-5D6E-409C-BE32-E72D297353CC}">
              <c16:uniqueId val="{00000001-4AC5-4C61-8C41-C4F9A8380FB9}"/>
            </c:ext>
          </c:extLst>
        </c:ser>
        <c:ser>
          <c:idx val="2"/>
          <c:order val="2"/>
          <c:tx>
            <c:strRef>
              <c:f>Austria!$Q$2</c:f>
              <c:strCache>
                <c:ptCount val="1"/>
                <c:pt idx="0">
                  <c:v>FFV price</c:v>
                </c:pt>
              </c:strCache>
            </c:strRef>
          </c:tx>
          <c:spPr>
            <a:ln w="28575" cap="rnd">
              <a:solidFill>
                <a:schemeClr val="tx1"/>
              </a:solidFill>
              <a:round/>
            </a:ln>
            <a:effectLst/>
          </c:spPr>
          <c:marker>
            <c:symbol val="none"/>
          </c:marker>
          <c:cat>
            <c:numRef>
              <c:f>Austria!$N$3:$N$24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Austria!$Q$3:$Q$24</c:f>
              <c:numCache>
                <c:formatCode>0</c:formatCode>
                <c:ptCount val="22"/>
                <c:pt idx="0">
                  <c:v>20809.935012527625</c:v>
                </c:pt>
                <c:pt idx="1">
                  <c:v>21932.386237471084</c:v>
                </c:pt>
                <c:pt idx="2">
                  <c:v>20682.64700083217</c:v>
                </c:pt>
                <c:pt idx="3">
                  <c:v>22372.616099640534</c:v>
                </c:pt>
                <c:pt idx="4">
                  <c:v>21714.207265309669</c:v>
                </c:pt>
                <c:pt idx="5">
                  <c:v>21855.458876866549</c:v>
                </c:pt>
                <c:pt idx="6">
                  <c:v>26115.731451505424</c:v>
                </c:pt>
                <c:pt idx="7">
                  <c:v>26116.002877442952</c:v>
                </c:pt>
                <c:pt idx="8">
                  <c:v>25382.616256197471</c:v>
                </c:pt>
                <c:pt idx="9">
                  <c:v>24438.339550977111</c:v>
                </c:pt>
                <c:pt idx="10">
                  <c:v>24417.039159383276</c:v>
                </c:pt>
                <c:pt idx="11">
                  <c:v>24395.94966275572</c:v>
                </c:pt>
                <c:pt idx="12">
                  <c:v>24375.068973025463</c:v>
                </c:pt>
                <c:pt idx="13">
                  <c:v>24354.395022797489</c:v>
                </c:pt>
                <c:pt idx="14">
                  <c:v>24333.925765146028</c:v>
                </c:pt>
                <c:pt idx="15">
                  <c:v>24313.65917341191</c:v>
                </c:pt>
                <c:pt idx="16">
                  <c:v>24293.59324100189</c:v>
                </c:pt>
                <c:pt idx="17">
                  <c:v>24273.725981189993</c:v>
                </c:pt>
                <c:pt idx="18">
                  <c:v>24254.055426920786</c:v>
                </c:pt>
                <c:pt idx="19">
                  <c:v>24234.579630614637</c:v>
                </c:pt>
                <c:pt idx="20">
                  <c:v>24215.296663974888</c:v>
                </c:pt>
                <c:pt idx="21">
                  <c:v>24196.204617796921</c:v>
                </c:pt>
              </c:numCache>
            </c:numRef>
          </c:val>
          <c:smooth val="0"/>
          <c:extLst>
            <c:ext xmlns:c16="http://schemas.microsoft.com/office/drawing/2014/chart" uri="{C3380CC4-5D6E-409C-BE32-E72D297353CC}">
              <c16:uniqueId val="{00000002-4AC5-4C61-8C41-C4F9A8380FB9}"/>
            </c:ext>
          </c:extLst>
        </c:ser>
        <c:dLbls>
          <c:showLegendKey val="0"/>
          <c:showVal val="0"/>
          <c:showCatName val="0"/>
          <c:showSerName val="0"/>
          <c:showPercent val="0"/>
          <c:showBubbleSize val="0"/>
        </c:dLbls>
        <c:smooth val="0"/>
        <c:axId val="690128312"/>
        <c:axId val="690125032"/>
      </c:lineChart>
      <c:catAx>
        <c:axId val="69012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125032"/>
        <c:crosses val="autoZero"/>
        <c:auto val="1"/>
        <c:lblAlgn val="ctr"/>
        <c:lblOffset val="100"/>
        <c:noMultiLvlLbl val="0"/>
      </c:catAx>
      <c:valAx>
        <c:axId val="690125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128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uptake'!$B$3</c:f>
              <c:strCache>
                <c:ptCount val="1"/>
                <c:pt idx="0">
                  <c:v> EV %sales</c:v>
                </c:pt>
              </c:strCache>
            </c:strRef>
          </c:tx>
          <c:spPr>
            <a:ln w="60325" cap="rnd">
              <a:solidFill>
                <a:schemeClr val="tx1"/>
              </a:solidFill>
              <a:round/>
            </a:ln>
            <a:effectLst/>
          </c:spPr>
          <c:marker>
            <c:symbol val="none"/>
          </c:marker>
          <c:cat>
            <c:numRef>
              <c:f>'Belgian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'Belgian EV uptake'!$B$4:$B$13</c:f>
              <c:numCache>
                <c:formatCode>0.00</c:formatCode>
                <c:ptCount val="10"/>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537F-4319-A86F-E817498E151A}"/>
            </c:ext>
          </c:extLst>
        </c:ser>
        <c:ser>
          <c:idx val="1"/>
          <c:order val="1"/>
          <c:tx>
            <c:strRef>
              <c:f>'Belgian EV uptake'!$AB$3</c:f>
              <c:strCache>
                <c:ptCount val="1"/>
                <c:pt idx="0">
                  <c:v> raw predicted</c:v>
                </c:pt>
              </c:strCache>
            </c:strRef>
          </c:tx>
          <c:spPr>
            <a:ln w="28575" cap="rnd">
              <a:solidFill>
                <a:schemeClr val="accent2"/>
              </a:solidFill>
              <a:round/>
            </a:ln>
            <a:effectLst/>
          </c:spPr>
          <c:marker>
            <c:symbol val="none"/>
          </c:marker>
          <c:cat>
            <c:numRef>
              <c:f>'Belgian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'Belgian EV uptake'!$AB$4:$AB$13</c:f>
              <c:numCache>
                <c:formatCode>0.00</c:formatCode>
                <c:ptCount val="10"/>
                <c:pt idx="0">
                  <c:v>0</c:v>
                </c:pt>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numCache>
            </c:numRef>
          </c:val>
          <c:smooth val="0"/>
          <c:extLst>
            <c:ext xmlns:c16="http://schemas.microsoft.com/office/drawing/2014/chart" uri="{C3380CC4-5D6E-409C-BE32-E72D297353CC}">
              <c16:uniqueId val="{00000001-537F-4319-A86F-E817498E151A}"/>
            </c:ext>
          </c:extLst>
        </c:ser>
        <c:dLbls>
          <c:showLegendKey val="0"/>
          <c:showVal val="0"/>
          <c:showCatName val="0"/>
          <c:showSerName val="0"/>
          <c:showPercent val="0"/>
          <c:showBubbleSize val="0"/>
        </c:dLbls>
        <c:smooth val="0"/>
        <c:axId val="718031976"/>
        <c:axId val="718032304"/>
      </c:lineChart>
      <c:catAx>
        <c:axId val="718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32304"/>
        <c:crosses val="autoZero"/>
        <c:auto val="1"/>
        <c:lblAlgn val="ctr"/>
        <c:lblOffset val="100"/>
        <c:noMultiLvlLbl val="0"/>
      </c:catAx>
      <c:valAx>
        <c:axId val="718032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layout>
            <c:manualLayout>
              <c:xMode val="edge"/>
              <c:yMode val="edge"/>
              <c:x val="1.6655100624566273E-2"/>
              <c:y val="0.289150912587539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31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uptake'!$B$3</c:f>
              <c:strCache>
                <c:ptCount val="1"/>
                <c:pt idx="0">
                  <c:v> EV %sales</c:v>
                </c:pt>
              </c:strCache>
            </c:strRef>
          </c:tx>
          <c:spPr>
            <a:ln w="60325" cap="rnd">
              <a:solidFill>
                <a:schemeClr val="tx1"/>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uptake'!$B$4:$B$25</c:f>
              <c:numCache>
                <c:formatCode>0.00</c:formatCode>
                <c:ptCount val="22"/>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1129-4A64-862C-3727046B45D4}"/>
            </c:ext>
          </c:extLst>
        </c:ser>
        <c:ser>
          <c:idx val="1"/>
          <c:order val="1"/>
          <c:tx>
            <c:strRef>
              <c:f>'Belgian EV uptake'!$AB$3</c:f>
              <c:strCache>
                <c:ptCount val="1"/>
                <c:pt idx="0">
                  <c:v> raw predicted</c:v>
                </c:pt>
              </c:strCache>
            </c:strRef>
          </c:tx>
          <c:spPr>
            <a:ln w="28575" cap="rnd">
              <a:solidFill>
                <a:schemeClr val="accent2"/>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uptake'!$AB$4:$AB$45</c:f>
              <c:numCache>
                <c:formatCode>0.00</c:formatCode>
                <c:ptCount val="42"/>
                <c:pt idx="0">
                  <c:v>0</c:v>
                </c:pt>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pt idx="32">
                  <c:v>64.999980843039268</c:v>
                </c:pt>
                <c:pt idx="33">
                  <c:v>64.999990929807851</c:v>
                </c:pt>
                <c:pt idx="34">
                  <c:v>64.999995705562057</c:v>
                </c:pt>
                <c:pt idx="35">
                  <c:v>64.999997966724834</c:v>
                </c:pt>
                <c:pt idx="36">
                  <c:v>64.999999037311071</c:v>
                </c:pt>
                <c:pt idx="37">
                  <c:v>64.999999544198459</c:v>
                </c:pt>
                <c:pt idx="38">
                  <c:v>64.999999784192951</c:v>
                </c:pt>
                <c:pt idx="39">
                  <c:v>64.999999897822462</c:v>
                </c:pt>
                <c:pt idx="40">
                  <c:v>64.9999999516223</c:v>
                </c:pt>
                <c:pt idx="41">
                  <c:v>64.999999977094745</c:v>
                </c:pt>
              </c:numCache>
            </c:numRef>
          </c:val>
          <c:smooth val="0"/>
          <c:extLst>
            <c:ext xmlns:c16="http://schemas.microsoft.com/office/drawing/2014/chart" uri="{C3380CC4-5D6E-409C-BE32-E72D297353CC}">
              <c16:uniqueId val="{00000001-1129-4A64-862C-3727046B45D4}"/>
            </c:ext>
          </c:extLst>
        </c:ser>
        <c:dLbls>
          <c:showLegendKey val="0"/>
          <c:showVal val="0"/>
          <c:showCatName val="0"/>
          <c:showSerName val="0"/>
          <c:showPercent val="0"/>
          <c:showBubbleSize val="0"/>
        </c:dLbls>
        <c:smooth val="0"/>
        <c:axId val="718031976"/>
        <c:axId val="718032304"/>
      </c:lineChart>
      <c:catAx>
        <c:axId val="718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32304"/>
        <c:crosses val="autoZero"/>
        <c:auto val="1"/>
        <c:lblAlgn val="ctr"/>
        <c:lblOffset val="100"/>
        <c:noMultiLvlLbl val="0"/>
      </c:catAx>
      <c:valAx>
        <c:axId val="718032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layout>
            <c:manualLayout>
              <c:xMode val="edge"/>
              <c:yMode val="edge"/>
              <c:x val="1.2531328320802004E-2"/>
              <c:y val="0.277042708371131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31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uptake'!$AD$3</c:f>
              <c:strCache>
                <c:ptCount val="1"/>
                <c:pt idx="0">
                  <c:v>Linearized Logistic</c:v>
                </c:pt>
              </c:strCache>
            </c:strRef>
          </c:tx>
          <c:spPr>
            <a:ln w="28575" cap="rnd">
              <a:solidFill>
                <a:schemeClr val="tx1"/>
              </a:solidFill>
              <a:round/>
            </a:ln>
            <a:effectLst/>
          </c:spPr>
          <c:marker>
            <c:symbol val="none"/>
          </c:marker>
          <c:cat>
            <c:numRef>
              <c:f>'Belgian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'Belgian EV uptake'!$AD$6:$AD$13</c:f>
              <c:numCache>
                <c:formatCode>General</c:formatCode>
                <c:ptCount val="8"/>
                <c:pt idx="0">
                  <c:v>-7.1627415649879795</c:v>
                </c:pt>
                <c:pt idx="1">
                  <c:v>-5.8472677303140221</c:v>
                </c:pt>
                <c:pt idx="2">
                  <c:v>-5.9600070415630881</c:v>
                </c:pt>
                <c:pt idx="3">
                  <c:v>-5.0390560390498269</c:v>
                </c:pt>
                <c:pt idx="4">
                  <c:v>-4.4368242340247024</c:v>
                </c:pt>
                <c:pt idx="5">
                  <c:v>-3.6685081751947179</c:v>
                </c:pt>
                <c:pt idx="6">
                  <c:v>-3.193892708525254</c:v>
                </c:pt>
                <c:pt idx="7">
                  <c:v>-2.9430933122395326</c:v>
                </c:pt>
              </c:numCache>
            </c:numRef>
          </c:val>
          <c:smooth val="0"/>
          <c:extLst>
            <c:ext xmlns:c16="http://schemas.microsoft.com/office/drawing/2014/chart" uri="{C3380CC4-5D6E-409C-BE32-E72D297353CC}">
              <c16:uniqueId val="{00000000-AE11-4C42-B587-11417686F136}"/>
            </c:ext>
          </c:extLst>
        </c:ser>
        <c:ser>
          <c:idx val="1"/>
          <c:order val="1"/>
          <c:tx>
            <c:strRef>
              <c:f>'Belgian EV uptake'!$AE$3</c:f>
              <c:strCache>
                <c:ptCount val="1"/>
                <c:pt idx="0">
                  <c:v>predicted</c:v>
                </c:pt>
              </c:strCache>
            </c:strRef>
          </c:tx>
          <c:spPr>
            <a:ln w="28575" cap="rnd">
              <a:solidFill>
                <a:schemeClr val="accent2"/>
              </a:solidFill>
              <a:round/>
            </a:ln>
            <a:effectLst/>
          </c:spPr>
          <c:marker>
            <c:symbol val="none"/>
          </c:marker>
          <c:cat>
            <c:numRef>
              <c:f>'Belgian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'Belgian EV uptake'!$AE$6:$AE$13</c:f>
              <c:numCache>
                <c:formatCode>General</c:formatCode>
                <c:ptCount val="8"/>
                <c:pt idx="0">
                  <c:v>-7.3929538139036666</c:v>
                </c:pt>
                <c:pt idx="1">
                  <c:v>-6.6452809734906424</c:v>
                </c:pt>
                <c:pt idx="2">
                  <c:v>-5.8976081330776191</c:v>
                </c:pt>
                <c:pt idx="3">
                  <c:v>-5.1499352926645958</c:v>
                </c:pt>
                <c:pt idx="4">
                  <c:v>-4.4022624522515716</c:v>
                </c:pt>
                <c:pt idx="5">
                  <c:v>-3.6545896118385484</c:v>
                </c:pt>
                <c:pt idx="6">
                  <c:v>-2.9069167714255251</c:v>
                </c:pt>
                <c:pt idx="7">
                  <c:v>-2.1592439310125018</c:v>
                </c:pt>
              </c:numCache>
            </c:numRef>
          </c:val>
          <c:smooth val="0"/>
          <c:extLst>
            <c:ext xmlns:c16="http://schemas.microsoft.com/office/drawing/2014/chart" uri="{C3380CC4-5D6E-409C-BE32-E72D297353CC}">
              <c16:uniqueId val="{00000001-AE11-4C42-B587-11417686F136}"/>
            </c:ext>
          </c:extLst>
        </c:ser>
        <c:dLbls>
          <c:showLegendKey val="0"/>
          <c:showVal val="0"/>
          <c:showCatName val="0"/>
          <c:showSerName val="0"/>
          <c:showPercent val="0"/>
          <c:showBubbleSize val="0"/>
        </c:dLbls>
        <c:smooth val="0"/>
        <c:axId val="588926504"/>
        <c:axId val="588921256"/>
      </c:lineChart>
      <c:catAx>
        <c:axId val="58892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21256"/>
        <c:crosses val="autoZero"/>
        <c:auto val="1"/>
        <c:lblAlgn val="ctr"/>
        <c:lblOffset val="100"/>
        <c:noMultiLvlLbl val="0"/>
      </c:catAx>
      <c:valAx>
        <c:axId val="588921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EV sales percentage</a:t>
                </a:r>
              </a:p>
            </c:rich>
          </c:tx>
          <c:layout>
            <c:manualLayout>
              <c:xMode val="edge"/>
              <c:yMode val="edge"/>
              <c:x val="1.3888888888888888E-2"/>
              <c:y val="0.144513342082239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2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uptake'!$B$3</c:f>
              <c:strCache>
                <c:ptCount val="1"/>
                <c:pt idx="0">
                  <c:v> EV %sales</c:v>
                </c:pt>
              </c:strCache>
            </c:strRef>
          </c:tx>
          <c:spPr>
            <a:ln w="28575" cap="rnd">
              <a:solidFill>
                <a:schemeClr val="tx1"/>
              </a:solidFill>
              <a:round/>
            </a:ln>
            <a:effectLst/>
          </c:spPr>
          <c:marker>
            <c:symbol val="none"/>
          </c:marker>
          <c:cat>
            <c:numRef>
              <c:f>'Belgian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'Belgian EV uptake'!$B$4:$B$35</c:f>
              <c:numCache>
                <c:formatCode>0.00</c:formatCode>
                <c:ptCount val="32"/>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002A-48ED-8932-4B2662939179}"/>
            </c:ext>
          </c:extLst>
        </c:ser>
        <c:ser>
          <c:idx val="1"/>
          <c:order val="1"/>
          <c:tx>
            <c:strRef>
              <c:f>'Belgian EV uptake'!$AB$3</c:f>
              <c:strCache>
                <c:ptCount val="1"/>
                <c:pt idx="0">
                  <c:v> raw predicted</c:v>
                </c:pt>
              </c:strCache>
            </c:strRef>
          </c:tx>
          <c:spPr>
            <a:ln w="28575" cap="rnd">
              <a:solidFill>
                <a:schemeClr val="accent2"/>
              </a:solidFill>
              <a:round/>
            </a:ln>
            <a:effectLst/>
          </c:spPr>
          <c:marker>
            <c:symbol val="none"/>
          </c:marker>
          <c:cat>
            <c:numRef>
              <c:f>'Belgian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'Belgian EV uptake'!$AB$4:$AB$35</c:f>
              <c:numCache>
                <c:formatCode>0.00</c:formatCode>
                <c:ptCount val="32"/>
                <c:pt idx="0">
                  <c:v>0</c:v>
                </c:pt>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1-002A-48ED-8932-4B2662939179}"/>
            </c:ext>
          </c:extLst>
        </c:ser>
        <c:dLbls>
          <c:showLegendKey val="0"/>
          <c:showVal val="0"/>
          <c:showCatName val="0"/>
          <c:showSerName val="0"/>
          <c:showPercent val="0"/>
          <c:showBubbleSize val="0"/>
        </c:dLbls>
        <c:smooth val="0"/>
        <c:axId val="592163312"/>
        <c:axId val="592171184"/>
      </c:lineChart>
      <c:catAx>
        <c:axId val="59216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171184"/>
        <c:crosses val="autoZero"/>
        <c:auto val="1"/>
        <c:lblAlgn val="ctr"/>
        <c:lblOffset val="100"/>
        <c:noMultiLvlLbl val="0"/>
      </c:catAx>
      <c:valAx>
        <c:axId val="592171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16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uptake'!$B$3</c:f>
              <c:strCache>
                <c:ptCount val="1"/>
                <c:pt idx="0">
                  <c:v> EV %sales</c:v>
                </c:pt>
              </c:strCache>
            </c:strRef>
          </c:tx>
          <c:spPr>
            <a:ln w="28575" cap="rnd">
              <a:solidFill>
                <a:schemeClr val="accent1"/>
              </a:solidFill>
              <a:round/>
            </a:ln>
            <a:effectLst/>
          </c:spPr>
          <c:marker>
            <c:symbol val="none"/>
          </c:marker>
          <c:cat>
            <c:numRef>
              <c:f>'Belgian EV uptake'!$A$4:$A$17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'Belgian EV uptake'!$B$4:$B$17</c:f>
              <c:numCache>
                <c:formatCode>0.00</c:formatCode>
                <c:ptCount val="14"/>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8639-4A5A-BAD1-7196218984FF}"/>
            </c:ext>
          </c:extLst>
        </c:ser>
        <c:ser>
          <c:idx val="1"/>
          <c:order val="1"/>
          <c:tx>
            <c:strRef>
              <c:f>'Belgian EV uptake'!$C$3</c:f>
              <c:strCache>
                <c:ptCount val="1"/>
                <c:pt idx="0">
                  <c:v> Predicted Cost Lagged</c:v>
                </c:pt>
              </c:strCache>
            </c:strRef>
          </c:tx>
          <c:spPr>
            <a:ln w="28575" cap="rnd">
              <a:solidFill>
                <a:schemeClr val="accent2"/>
              </a:solidFill>
              <a:round/>
            </a:ln>
            <a:effectLst/>
          </c:spPr>
          <c:marker>
            <c:symbol val="none"/>
          </c:marker>
          <c:cat>
            <c:numRef>
              <c:f>'Belgian EV uptake'!$A$4:$A$17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'Belgian EV uptake'!$C$4:$C$17</c:f>
              <c:numCache>
                <c:formatCode>0.00</c:formatCode>
                <c:ptCount val="14"/>
                <c:pt idx="3">
                  <c:v>8.4399567466143896E-2</c:v>
                </c:pt>
                <c:pt idx="4">
                  <c:v>0.17800153505072761</c:v>
                </c:pt>
                <c:pt idx="5">
                  <c:v>0.40271582726249378</c:v>
                </c:pt>
                <c:pt idx="6">
                  <c:v>0.71369107587336666</c:v>
                </c:pt>
                <c:pt idx="7">
                  <c:v>1.1926559312137441</c:v>
                </c:pt>
                <c:pt idx="8">
                  <c:v>2.0222454368261653</c:v>
                </c:pt>
                <c:pt idx="9">
                  <c:v>2.9105026776402227</c:v>
                </c:pt>
                <c:pt idx="10">
                  <c:v>4.2993095302947566</c:v>
                </c:pt>
                <c:pt idx="11">
                  <c:v>6.1235588751700103</c:v>
                </c:pt>
                <c:pt idx="12">
                  <c:v>8.9369762499681951</c:v>
                </c:pt>
                <c:pt idx="13">
                  <c:v>12.107574473266308</c:v>
                </c:pt>
              </c:numCache>
            </c:numRef>
          </c:val>
          <c:smooth val="0"/>
          <c:extLst>
            <c:ext xmlns:c16="http://schemas.microsoft.com/office/drawing/2014/chart" uri="{C3380CC4-5D6E-409C-BE32-E72D297353CC}">
              <c16:uniqueId val="{00000001-8639-4A5A-BAD1-7196218984FF}"/>
            </c:ext>
          </c:extLst>
        </c:ser>
        <c:ser>
          <c:idx val="2"/>
          <c:order val="2"/>
          <c:tx>
            <c:strRef>
              <c:f>'Belgian EV uptake'!$D$3</c:f>
              <c:strCache>
                <c:ptCount val="1"/>
                <c:pt idx="0">
                  <c:v> raw Predicted Cost Lagged</c:v>
                </c:pt>
              </c:strCache>
            </c:strRef>
          </c:tx>
          <c:spPr>
            <a:ln w="28575" cap="rnd">
              <a:solidFill>
                <a:schemeClr val="accent3"/>
              </a:solidFill>
              <a:round/>
            </a:ln>
            <a:effectLst/>
          </c:spPr>
          <c:marker>
            <c:symbol val="none"/>
          </c:marker>
          <c:cat>
            <c:numRef>
              <c:f>'Belgian EV uptake'!$A$4:$A$17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'Belgian EV uptake'!$D$4:$D$17</c:f>
              <c:numCache>
                <c:formatCode>0.00</c:formatCode>
                <c:ptCount val="14"/>
                <c:pt idx="3" formatCode="0.000">
                  <c:v>8.4399567466143896E-2</c:v>
                </c:pt>
                <c:pt idx="4" formatCode="0.000">
                  <c:v>0.17800153505072761</c:v>
                </c:pt>
                <c:pt idx="5" formatCode="0.000">
                  <c:v>0.40271582726249378</c:v>
                </c:pt>
                <c:pt idx="6" formatCode="0.000">
                  <c:v>0.71369107587336666</c:v>
                </c:pt>
                <c:pt idx="7" formatCode="0.000">
                  <c:v>1.0059459309673224</c:v>
                </c:pt>
                <c:pt idx="8" formatCode="0.000">
                  <c:v>1.6807686578542376</c:v>
                </c:pt>
                <c:pt idx="9" formatCode="0.000">
                  <c:v>2.1601581641113001</c:v>
                </c:pt>
                <c:pt idx="10" formatCode="0.000">
                  <c:v>4.5506633553245992</c:v>
                </c:pt>
                <c:pt idx="11" formatCode="0.000">
                  <c:v>5.1549772799436555</c:v>
                </c:pt>
                <c:pt idx="12" formatCode="0.000">
                  <c:v>7.9499801942399895</c:v>
                </c:pt>
                <c:pt idx="13" formatCode="0.000">
                  <c:v>10.802015382230504</c:v>
                </c:pt>
              </c:numCache>
            </c:numRef>
          </c:val>
          <c:smooth val="0"/>
          <c:extLst>
            <c:ext xmlns:c16="http://schemas.microsoft.com/office/drawing/2014/chart" uri="{C3380CC4-5D6E-409C-BE32-E72D297353CC}">
              <c16:uniqueId val="{00000002-8639-4A5A-BAD1-7196218984FF}"/>
            </c:ext>
          </c:extLst>
        </c:ser>
        <c:dLbls>
          <c:showLegendKey val="0"/>
          <c:showVal val="0"/>
          <c:showCatName val="0"/>
          <c:showSerName val="0"/>
          <c:showPercent val="0"/>
          <c:showBubbleSize val="0"/>
        </c:dLbls>
        <c:smooth val="0"/>
        <c:axId val="606198112"/>
        <c:axId val="606198768"/>
      </c:lineChart>
      <c:catAx>
        <c:axId val="60619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198768"/>
        <c:crosses val="autoZero"/>
        <c:auto val="1"/>
        <c:lblAlgn val="ctr"/>
        <c:lblOffset val="100"/>
        <c:noMultiLvlLbl val="0"/>
      </c:catAx>
      <c:valAx>
        <c:axId val="606198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19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uptake'!$B$3</c:f>
              <c:strCache>
                <c:ptCount val="1"/>
                <c:pt idx="0">
                  <c:v> EV %sales</c:v>
                </c:pt>
              </c:strCache>
            </c:strRef>
          </c:tx>
          <c:spPr>
            <a:ln w="34925" cap="rnd">
              <a:solidFill>
                <a:schemeClr val="tx1"/>
              </a:solidFill>
              <a:round/>
            </a:ln>
            <a:effectLst/>
          </c:spPr>
          <c:marker>
            <c:symbol val="none"/>
          </c:marker>
          <c:cat>
            <c:numRef>
              <c:f>'Belgian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'Belgian EV uptake'!$B$4:$B$13</c:f>
              <c:numCache>
                <c:formatCode>0.00</c:formatCode>
                <c:ptCount val="10"/>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F302-4F5E-98B0-86418171309F}"/>
            </c:ext>
          </c:extLst>
        </c:ser>
        <c:ser>
          <c:idx val="1"/>
          <c:order val="1"/>
          <c:tx>
            <c:strRef>
              <c:f>'Belgian EV uptake'!$C$3</c:f>
              <c:strCache>
                <c:ptCount val="1"/>
                <c:pt idx="0">
                  <c:v> Predicted Cost Lagged</c:v>
                </c:pt>
              </c:strCache>
            </c:strRef>
          </c:tx>
          <c:spPr>
            <a:ln w="28575" cap="rnd">
              <a:solidFill>
                <a:schemeClr val="accent2"/>
              </a:solidFill>
              <a:round/>
            </a:ln>
            <a:effectLst/>
          </c:spPr>
          <c:marker>
            <c:symbol val="none"/>
          </c:marker>
          <c:cat>
            <c:numRef>
              <c:f>'Belgian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'Belgian EV uptake'!$C$4:$C$13</c:f>
              <c:numCache>
                <c:formatCode>0.00</c:formatCode>
                <c:ptCount val="10"/>
                <c:pt idx="3">
                  <c:v>8.4399567466143896E-2</c:v>
                </c:pt>
                <c:pt idx="4">
                  <c:v>0.17800153505072761</c:v>
                </c:pt>
                <c:pt idx="5">
                  <c:v>0.40271582726249378</c:v>
                </c:pt>
                <c:pt idx="6">
                  <c:v>0.71369107587336666</c:v>
                </c:pt>
                <c:pt idx="7">
                  <c:v>1.1926559312137441</c:v>
                </c:pt>
                <c:pt idx="8">
                  <c:v>2.0222454368261653</c:v>
                </c:pt>
                <c:pt idx="9">
                  <c:v>2.9105026776402227</c:v>
                </c:pt>
              </c:numCache>
            </c:numRef>
          </c:val>
          <c:smooth val="0"/>
          <c:extLst>
            <c:ext xmlns:c16="http://schemas.microsoft.com/office/drawing/2014/chart" uri="{C3380CC4-5D6E-409C-BE32-E72D297353CC}">
              <c16:uniqueId val="{00000001-F302-4F5E-98B0-86418171309F}"/>
            </c:ext>
          </c:extLst>
        </c:ser>
        <c:dLbls>
          <c:showLegendKey val="0"/>
          <c:showVal val="0"/>
          <c:showCatName val="0"/>
          <c:showSerName val="0"/>
          <c:showPercent val="0"/>
          <c:showBubbleSize val="0"/>
        </c:dLbls>
        <c:smooth val="0"/>
        <c:axId val="774464544"/>
        <c:axId val="774464872"/>
      </c:lineChart>
      <c:catAx>
        <c:axId val="7744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464872"/>
        <c:crosses val="autoZero"/>
        <c:auto val="1"/>
        <c:lblAlgn val="ctr"/>
        <c:lblOffset val="100"/>
        <c:noMultiLvlLbl val="0"/>
      </c:catAx>
      <c:valAx>
        <c:axId val="77446487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46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88629696028087E-2"/>
          <c:y val="4.1666666666666664E-2"/>
          <c:w val="0.8970940604762756"/>
          <c:h val="0.71845323311858744"/>
        </c:manualLayout>
      </c:layout>
      <c:lineChart>
        <c:grouping val="standard"/>
        <c:varyColors val="0"/>
        <c:ser>
          <c:idx val="0"/>
          <c:order val="0"/>
          <c:tx>
            <c:strRef>
              <c:f>'Belgian EV uptake'!$B$3</c:f>
              <c:strCache>
                <c:ptCount val="1"/>
                <c:pt idx="0">
                  <c:v> EV %sales</c:v>
                </c:pt>
              </c:strCache>
            </c:strRef>
          </c:tx>
          <c:spPr>
            <a:ln w="34925" cap="rnd">
              <a:solidFill>
                <a:schemeClr val="tx1"/>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uptake'!$B$4:$B$35</c:f>
              <c:numCache>
                <c:formatCode>0.00</c:formatCode>
                <c:ptCount val="32"/>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AD3B-4D41-AD20-0FF22C72B43D}"/>
            </c:ext>
          </c:extLst>
        </c:ser>
        <c:ser>
          <c:idx val="1"/>
          <c:order val="1"/>
          <c:tx>
            <c:strRef>
              <c:f>'Belgian EV uptake'!$C$3</c:f>
              <c:strCache>
                <c:ptCount val="1"/>
                <c:pt idx="0">
                  <c:v> Predicted Cost Lagged</c:v>
                </c:pt>
              </c:strCache>
            </c:strRef>
          </c:tx>
          <c:spPr>
            <a:ln w="28575" cap="rnd">
              <a:solidFill>
                <a:schemeClr val="accent2"/>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uptake'!$C$4:$C$45</c:f>
              <c:numCache>
                <c:formatCode>0.00</c:formatCode>
                <c:ptCount val="42"/>
                <c:pt idx="3">
                  <c:v>8.4399567466143896E-2</c:v>
                </c:pt>
                <c:pt idx="4">
                  <c:v>0.17800153505072761</c:v>
                </c:pt>
                <c:pt idx="5">
                  <c:v>0.40271582726249378</c:v>
                </c:pt>
                <c:pt idx="6">
                  <c:v>0.71369107587336666</c:v>
                </c:pt>
                <c:pt idx="7">
                  <c:v>1.1926559312137441</c:v>
                </c:pt>
                <c:pt idx="8">
                  <c:v>2.0222454368261653</c:v>
                </c:pt>
                <c:pt idx="9">
                  <c:v>2.9105026776402227</c:v>
                </c:pt>
                <c:pt idx="10">
                  <c:v>4.2993095302947566</c:v>
                </c:pt>
                <c:pt idx="11">
                  <c:v>6.1235588751700103</c:v>
                </c:pt>
                <c:pt idx="12">
                  <c:v>8.9369762499681951</c:v>
                </c:pt>
                <c:pt idx="13">
                  <c:v>12.107574473266308</c:v>
                </c:pt>
                <c:pt idx="14">
                  <c:v>15.834916959571382</c:v>
                </c:pt>
                <c:pt idx="15">
                  <c:v>20.652276048250862</c:v>
                </c:pt>
                <c:pt idx="16">
                  <c:v>26.679494955090632</c:v>
                </c:pt>
                <c:pt idx="17">
                  <c:v>32.916725584360151</c:v>
                </c:pt>
                <c:pt idx="18">
                  <c:v>39.172877935886966</c:v>
                </c:pt>
                <c:pt idx="19">
                  <c:v>45.309889660480998</c:v>
                </c:pt>
                <c:pt idx="20">
                  <c:v>50.848230517620586</c:v>
                </c:pt>
                <c:pt idx="21">
                  <c:v>55.571869169006327</c:v>
                </c:pt>
                <c:pt idx="22">
                  <c:v>59.176430082922074</c:v>
                </c:pt>
                <c:pt idx="23">
                  <c:v>61.211091022849381</c:v>
                </c:pt>
                <c:pt idx="24">
                  <c:v>62.655238369716763</c:v>
                </c:pt>
                <c:pt idx="25">
                  <c:v>63.620594864692961</c:v>
                </c:pt>
                <c:pt idx="26">
                  <c:v>64.197957405628046</c:v>
                </c:pt>
                <c:pt idx="27">
                  <c:v>64.445121255382659</c:v>
                </c:pt>
                <c:pt idx="28">
                  <c:v>64.614904578951212</c:v>
                </c:pt>
                <c:pt idx="29">
                  <c:v>64.731776026663411</c:v>
                </c:pt>
                <c:pt idx="30">
                  <c:v>64.812481839970701</c:v>
                </c:pt>
                <c:pt idx="31">
                  <c:v>64.868432896549479</c:v>
                </c:pt>
                <c:pt idx="32">
                  <c:v>64.907394628400027</c:v>
                </c:pt>
                <c:pt idx="33">
                  <c:v>64.934655723537105</c:v>
                </c:pt>
                <c:pt idx="34">
                  <c:v>64.953825790065622</c:v>
                </c:pt>
                <c:pt idx="35">
                  <c:v>64.96737599427189</c:v>
                </c:pt>
                <c:pt idx="36">
                  <c:v>64.976951807674297</c:v>
                </c:pt>
                <c:pt idx="37">
                  <c:v>64.98371793629633</c:v>
                </c:pt>
                <c:pt idx="38">
                  <c:v>64.988498275541374</c:v>
                </c:pt>
                <c:pt idx="39">
                  <c:v>64.991875381485059</c:v>
                </c:pt>
                <c:pt idx="40">
                  <c:v>64.994261036094812</c:v>
                </c:pt>
                <c:pt idx="41">
                  <c:v>64.99594624643278</c:v>
                </c:pt>
              </c:numCache>
            </c:numRef>
          </c:val>
          <c:smooth val="0"/>
          <c:extLst>
            <c:ext xmlns:c16="http://schemas.microsoft.com/office/drawing/2014/chart" uri="{C3380CC4-5D6E-409C-BE32-E72D297353CC}">
              <c16:uniqueId val="{00000001-AD3B-4D41-AD20-0FF22C72B43D}"/>
            </c:ext>
          </c:extLst>
        </c:ser>
        <c:ser>
          <c:idx val="2"/>
          <c:order val="2"/>
          <c:tx>
            <c:strRef>
              <c:f>'Belgian EV uptake'!$L$3</c:f>
              <c:strCache>
                <c:ptCount val="1"/>
                <c:pt idx="0">
                  <c:v> Predicted Cost</c:v>
                </c:pt>
              </c:strCache>
            </c:strRef>
          </c:tx>
          <c:spPr>
            <a:ln w="28575" cap="rnd">
              <a:solidFill>
                <a:schemeClr val="accent3"/>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uptake'!$L$4:$L$35</c:f>
              <c:numCache>
                <c:formatCode>0.00</c:formatCode>
                <c:ptCount val="32"/>
                <c:pt idx="3" formatCode="0.000">
                  <c:v>8.4399567466143896E-2</c:v>
                </c:pt>
                <c:pt idx="4" formatCode="0.000">
                  <c:v>0.17800153505072761</c:v>
                </c:pt>
                <c:pt idx="5" formatCode="0.000">
                  <c:v>0.40271582726249378</c:v>
                </c:pt>
                <c:pt idx="6" formatCode="0.000">
                  <c:v>0.71369107587336666</c:v>
                </c:pt>
                <c:pt idx="7" formatCode="0.000">
                  <c:v>1.0059459309673229</c:v>
                </c:pt>
                <c:pt idx="8" formatCode="0.000">
                  <c:v>1.6807686578542378</c:v>
                </c:pt>
                <c:pt idx="9" formatCode="0.000">
                  <c:v>2.1601581641113006</c:v>
                </c:pt>
                <c:pt idx="10" formatCode="0.000">
                  <c:v>4.5506633553245992</c:v>
                </c:pt>
                <c:pt idx="11" formatCode="0.000">
                  <c:v>6.7706310343082832</c:v>
                </c:pt>
                <c:pt idx="12" formatCode="0.000">
                  <c:v>13.214884166924961</c:v>
                </c:pt>
                <c:pt idx="13" formatCode="0.000">
                  <c:v>21.597910699236166</c:v>
                </c:pt>
                <c:pt idx="14" formatCode="0.000">
                  <c:v>31.702384184893013</c:v>
                </c:pt>
                <c:pt idx="15" formatCode="0.000">
                  <c:v>41.580313858856982</c:v>
                </c:pt>
                <c:pt idx="16" formatCode="0.000">
                  <c:v>51.754129457695896</c:v>
                </c:pt>
                <c:pt idx="17" formatCode="0.000">
                  <c:v>57.84872327421035</c:v>
                </c:pt>
                <c:pt idx="18" formatCode="0.000">
                  <c:v>61.728676895393939</c:v>
                </c:pt>
                <c:pt idx="19" formatCode="0.000">
                  <c:v>63.936359520572751</c:v>
                </c:pt>
                <c:pt idx="20" formatCode="0.000">
                  <c:v>64.5038425541225</c:v>
                </c:pt>
                <c:pt idx="21" formatCode="0.000">
                  <c:v>64.779000491253754</c:v>
                </c:pt>
                <c:pt idx="22" formatCode="0.000">
                  <c:v>64.910781373099113</c:v>
                </c:pt>
                <c:pt idx="23" formatCode="0.000">
                  <c:v>64.973517827581304</c:v>
                </c:pt>
                <c:pt idx="24" formatCode="0.000">
                  <c:v>64.987456521831476</c:v>
                </c:pt>
                <c:pt idx="25" formatCode="0.000">
                  <c:v>64.994059944896762</c:v>
                </c:pt>
                <c:pt idx="26" formatCode="0.000">
                  <c:v>64.997187325722763</c:v>
                </c:pt>
                <c:pt idx="27" formatCode="0.000">
                  <c:v>64.99866823439676</c:v>
                </c:pt>
                <c:pt idx="28" formatCode="0.000">
                  <c:v>64.999369440048724</c:v>
                </c:pt>
                <c:pt idx="29" formatCode="0.000">
                  <c:v>64.999701447747753</c:v>
                </c:pt>
                <c:pt idx="30" formatCode="0.000">
                  <c:v>64.999858644688828</c:v>
                </c:pt>
                <c:pt idx="31" formatCode="0.000">
                  <c:v>64.999933072766424</c:v>
                </c:pt>
              </c:numCache>
            </c:numRef>
          </c:val>
          <c:smooth val="0"/>
          <c:extLst>
            <c:ext xmlns:c16="http://schemas.microsoft.com/office/drawing/2014/chart" uri="{C3380CC4-5D6E-409C-BE32-E72D297353CC}">
              <c16:uniqueId val="{00000002-AD3B-4D41-AD20-0FF22C72B43D}"/>
            </c:ext>
          </c:extLst>
        </c:ser>
        <c:ser>
          <c:idx val="3"/>
          <c:order val="3"/>
          <c:tx>
            <c:strRef>
              <c:f>'Belgian EV uptake'!$AB$3</c:f>
              <c:strCache>
                <c:ptCount val="1"/>
                <c:pt idx="0">
                  <c:v> raw predicted</c:v>
                </c:pt>
              </c:strCache>
            </c:strRef>
          </c:tx>
          <c:spPr>
            <a:ln w="28575" cap="rnd">
              <a:solidFill>
                <a:schemeClr val="accent4"/>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uptake'!$AB$4:$AB$45</c:f>
              <c:numCache>
                <c:formatCode>0.00</c:formatCode>
                <c:ptCount val="42"/>
                <c:pt idx="0">
                  <c:v>0</c:v>
                </c:pt>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pt idx="32">
                  <c:v>64.999980843039268</c:v>
                </c:pt>
                <c:pt idx="33">
                  <c:v>64.999990929807851</c:v>
                </c:pt>
                <c:pt idx="34">
                  <c:v>64.999995705562057</c:v>
                </c:pt>
                <c:pt idx="35">
                  <c:v>64.999997966724834</c:v>
                </c:pt>
                <c:pt idx="36">
                  <c:v>64.999999037311071</c:v>
                </c:pt>
                <c:pt idx="37">
                  <c:v>64.999999544198459</c:v>
                </c:pt>
                <c:pt idx="38">
                  <c:v>64.999999784192951</c:v>
                </c:pt>
                <c:pt idx="39">
                  <c:v>64.999999897822462</c:v>
                </c:pt>
                <c:pt idx="40">
                  <c:v>64.9999999516223</c:v>
                </c:pt>
                <c:pt idx="41">
                  <c:v>64.999999977094745</c:v>
                </c:pt>
              </c:numCache>
            </c:numRef>
          </c:val>
          <c:smooth val="0"/>
          <c:extLst>
            <c:ext xmlns:c16="http://schemas.microsoft.com/office/drawing/2014/chart" uri="{C3380CC4-5D6E-409C-BE32-E72D297353CC}">
              <c16:uniqueId val="{00000003-AD3B-4D41-AD20-0FF22C72B43D}"/>
            </c:ext>
          </c:extLst>
        </c:ser>
        <c:dLbls>
          <c:showLegendKey val="0"/>
          <c:showVal val="0"/>
          <c:showCatName val="0"/>
          <c:showSerName val="0"/>
          <c:showPercent val="0"/>
          <c:showBubbleSize val="0"/>
        </c:dLbls>
        <c:smooth val="0"/>
        <c:axId val="745174896"/>
        <c:axId val="745176536"/>
      </c:lineChart>
      <c:catAx>
        <c:axId val="7451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76536"/>
        <c:crosses val="autoZero"/>
        <c:auto val="1"/>
        <c:lblAlgn val="ctr"/>
        <c:lblOffset val="100"/>
        <c:noMultiLvlLbl val="0"/>
      </c:catAx>
      <c:valAx>
        <c:axId val="745176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74896"/>
        <c:crosses val="autoZero"/>
        <c:crossBetween val="between"/>
      </c:valAx>
      <c:spPr>
        <a:noFill/>
        <a:ln>
          <a:noFill/>
        </a:ln>
        <a:effectLst/>
      </c:spPr>
    </c:plotArea>
    <c:legend>
      <c:legendPos val="b"/>
      <c:layout>
        <c:manualLayout>
          <c:xMode val="edge"/>
          <c:yMode val="edge"/>
          <c:x val="4.7068253634499964E-2"/>
          <c:y val="0.8342791099976139"/>
          <c:w val="0.89197462817147866"/>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USA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EIA</c:v>
          </c:tx>
          <c:spPr>
            <a:ln w="28575" cap="rnd">
              <a:solidFill>
                <a:schemeClr val="accent1"/>
              </a:solidFill>
              <a:round/>
            </a:ln>
            <a:effectLst/>
          </c:spPr>
          <c:marker>
            <c:symbol val="none"/>
          </c:marker>
          <c:cat>
            <c:numRef>
              <c:f>'EV %sales'!$AD$46:$AD$56</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'EV %sales'!$AZ$46:$AZ$56</c:f>
              <c:numCache>
                <c:formatCode>0</c:formatCode>
                <c:ptCount val="11"/>
                <c:pt idx="0">
                  <c:v>13144.8</c:v>
                </c:pt>
                <c:pt idx="1">
                  <c:v>12998.3</c:v>
                </c:pt>
                <c:pt idx="2">
                  <c:v>12660</c:v>
                </c:pt>
                <c:pt idx="3">
                  <c:v>10693.4</c:v>
                </c:pt>
                <c:pt idx="4">
                  <c:v>8652</c:v>
                </c:pt>
                <c:pt idx="5">
                  <c:v>9522.3389999999999</c:v>
                </c:pt>
                <c:pt idx="6">
                  <c:v>10540.907999999999</c:v>
                </c:pt>
                <c:pt idx="7">
                  <c:v>12038.475</c:v>
                </c:pt>
                <c:pt idx="8">
                  <c:v>12333.341</c:v>
                </c:pt>
                <c:pt idx="9">
                  <c:v>13002.618999999999</c:v>
                </c:pt>
                <c:pt idx="10">
                  <c:v>13623.689</c:v>
                </c:pt>
              </c:numCache>
            </c:numRef>
          </c:val>
          <c:smooth val="0"/>
          <c:extLst>
            <c:ext xmlns:c16="http://schemas.microsoft.com/office/drawing/2014/chart" uri="{C3380CC4-5D6E-409C-BE32-E72D297353CC}">
              <c16:uniqueId val="{00000000-C2BC-4E53-B9A6-E2AD38D65CCE}"/>
            </c:ext>
          </c:extLst>
        </c:ser>
        <c:ser>
          <c:idx val="1"/>
          <c:order val="1"/>
          <c:tx>
            <c:v>IRF</c:v>
          </c:tx>
          <c:spPr>
            <a:ln w="28575" cap="rnd">
              <a:solidFill>
                <a:schemeClr val="accent2"/>
              </a:solidFill>
              <a:round/>
            </a:ln>
            <a:effectLst/>
          </c:spPr>
          <c:marker>
            <c:symbol val="none"/>
          </c:marker>
          <c:cat>
            <c:numRef>
              <c:f>'EV %sales'!$AD$46:$AD$56</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'EV %sales'!$CC$77:$CC$87</c:f>
              <c:numCache>
                <c:formatCode>0</c:formatCode>
                <c:ptCount val="11"/>
                <c:pt idx="5">
                  <c:v>5635</c:v>
                </c:pt>
                <c:pt idx="6">
                  <c:v>12734</c:v>
                </c:pt>
                <c:pt idx="7">
                  <c:v>14442</c:v>
                </c:pt>
                <c:pt idx="8">
                  <c:v>13115</c:v>
                </c:pt>
                <c:pt idx="9">
                  <c:v>13842</c:v>
                </c:pt>
                <c:pt idx="10">
                  <c:v>14506</c:v>
                </c:pt>
              </c:numCache>
            </c:numRef>
          </c:val>
          <c:smooth val="0"/>
          <c:extLst>
            <c:ext xmlns:c16="http://schemas.microsoft.com/office/drawing/2014/chart" uri="{C3380CC4-5D6E-409C-BE32-E72D297353CC}">
              <c16:uniqueId val="{00000001-C2BC-4E53-B9A6-E2AD38D65CCE}"/>
            </c:ext>
          </c:extLst>
        </c:ser>
        <c:dLbls>
          <c:showLegendKey val="0"/>
          <c:showVal val="0"/>
          <c:showCatName val="0"/>
          <c:showSerName val="0"/>
          <c:showPercent val="0"/>
          <c:showBubbleSize val="0"/>
        </c:dLbls>
        <c:smooth val="0"/>
        <c:axId val="427960864"/>
        <c:axId val="427961520"/>
      </c:lineChart>
      <c:catAx>
        <c:axId val="42796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961520"/>
        <c:crosses val="autoZero"/>
        <c:auto val="1"/>
        <c:lblAlgn val="ctr"/>
        <c:lblOffset val="100"/>
        <c:noMultiLvlLbl val="0"/>
      </c:catAx>
      <c:valAx>
        <c:axId val="427961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96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88629696028087E-2"/>
          <c:y val="4.1666666666666664E-2"/>
          <c:w val="0.8970940604762756"/>
          <c:h val="0.71845323311858744"/>
        </c:manualLayout>
      </c:layout>
      <c:lineChart>
        <c:grouping val="standard"/>
        <c:varyColors val="0"/>
        <c:ser>
          <c:idx val="0"/>
          <c:order val="0"/>
          <c:tx>
            <c:strRef>
              <c:f>'Belgian EV uptake'!$B$3</c:f>
              <c:strCache>
                <c:ptCount val="1"/>
                <c:pt idx="0">
                  <c:v> EV %sales</c:v>
                </c:pt>
              </c:strCache>
            </c:strRef>
          </c:tx>
          <c:spPr>
            <a:ln w="34925" cap="rnd">
              <a:solidFill>
                <a:schemeClr val="tx1"/>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uptake'!$B$4:$B$35</c:f>
              <c:numCache>
                <c:formatCode>0.00</c:formatCode>
                <c:ptCount val="32"/>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pt idx="9">
                  <c:v>3.2541572634408542</c:v>
                </c:pt>
              </c:numCache>
            </c:numRef>
          </c:val>
          <c:smooth val="0"/>
          <c:extLst>
            <c:ext xmlns:c16="http://schemas.microsoft.com/office/drawing/2014/chart" uri="{C3380CC4-5D6E-409C-BE32-E72D297353CC}">
              <c16:uniqueId val="{00000000-1A29-4537-95C1-716077C2676D}"/>
            </c:ext>
          </c:extLst>
        </c:ser>
        <c:ser>
          <c:idx val="2"/>
          <c:order val="1"/>
          <c:tx>
            <c:strRef>
              <c:f>'Belgian EV uptake'!$L$3</c:f>
              <c:strCache>
                <c:ptCount val="1"/>
                <c:pt idx="0">
                  <c:v> Predicted Cost</c:v>
                </c:pt>
              </c:strCache>
            </c:strRef>
          </c:tx>
          <c:spPr>
            <a:ln w="28575" cap="rnd">
              <a:solidFill>
                <a:schemeClr val="accent3"/>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uptake'!$L$4:$L$35</c:f>
              <c:numCache>
                <c:formatCode>0.00</c:formatCode>
                <c:ptCount val="32"/>
                <c:pt idx="3" formatCode="0.000">
                  <c:v>8.4399567466143896E-2</c:v>
                </c:pt>
                <c:pt idx="4" formatCode="0.000">
                  <c:v>0.17800153505072761</c:v>
                </c:pt>
                <c:pt idx="5" formatCode="0.000">
                  <c:v>0.40271582726249378</c:v>
                </c:pt>
                <c:pt idx="6" formatCode="0.000">
                  <c:v>0.71369107587336666</c:v>
                </c:pt>
                <c:pt idx="7" formatCode="0.000">
                  <c:v>1.0059459309673229</c:v>
                </c:pt>
                <c:pt idx="8" formatCode="0.000">
                  <c:v>1.6807686578542378</c:v>
                </c:pt>
                <c:pt idx="9" formatCode="0.000">
                  <c:v>2.1601581641113006</c:v>
                </c:pt>
                <c:pt idx="10" formatCode="0.000">
                  <c:v>4.5506633553245992</c:v>
                </c:pt>
                <c:pt idx="11" formatCode="0.000">
                  <c:v>6.7706310343082832</c:v>
                </c:pt>
                <c:pt idx="12" formatCode="0.000">
                  <c:v>13.214884166924961</c:v>
                </c:pt>
                <c:pt idx="13" formatCode="0.000">
                  <c:v>21.597910699236166</c:v>
                </c:pt>
                <c:pt idx="14" formatCode="0.000">
                  <c:v>31.702384184893013</c:v>
                </c:pt>
                <c:pt idx="15" formatCode="0.000">
                  <c:v>41.580313858856982</c:v>
                </c:pt>
                <c:pt idx="16" formatCode="0.000">
                  <c:v>51.754129457695896</c:v>
                </c:pt>
                <c:pt idx="17" formatCode="0.000">
                  <c:v>57.84872327421035</c:v>
                </c:pt>
                <c:pt idx="18" formatCode="0.000">
                  <c:v>61.728676895393939</c:v>
                </c:pt>
                <c:pt idx="19" formatCode="0.000">
                  <c:v>63.936359520572751</c:v>
                </c:pt>
                <c:pt idx="20" formatCode="0.000">
                  <c:v>64.5038425541225</c:v>
                </c:pt>
                <c:pt idx="21" formatCode="0.000">
                  <c:v>64.779000491253754</c:v>
                </c:pt>
                <c:pt idx="22" formatCode="0.000">
                  <c:v>64.910781373099113</c:v>
                </c:pt>
                <c:pt idx="23" formatCode="0.000">
                  <c:v>64.973517827581304</c:v>
                </c:pt>
                <c:pt idx="24" formatCode="0.000">
                  <c:v>64.987456521831476</c:v>
                </c:pt>
                <c:pt idx="25" formatCode="0.000">
                  <c:v>64.994059944896762</c:v>
                </c:pt>
                <c:pt idx="26" formatCode="0.000">
                  <c:v>64.997187325722763</c:v>
                </c:pt>
                <c:pt idx="27" formatCode="0.000">
                  <c:v>64.99866823439676</c:v>
                </c:pt>
                <c:pt idx="28" formatCode="0.000">
                  <c:v>64.999369440048724</c:v>
                </c:pt>
                <c:pt idx="29" formatCode="0.000">
                  <c:v>64.999701447747753</c:v>
                </c:pt>
                <c:pt idx="30" formatCode="0.000">
                  <c:v>64.999858644688828</c:v>
                </c:pt>
                <c:pt idx="31" formatCode="0.000">
                  <c:v>64.999933072766424</c:v>
                </c:pt>
              </c:numCache>
            </c:numRef>
          </c:val>
          <c:smooth val="0"/>
          <c:extLst>
            <c:ext xmlns:c16="http://schemas.microsoft.com/office/drawing/2014/chart" uri="{C3380CC4-5D6E-409C-BE32-E72D297353CC}">
              <c16:uniqueId val="{00000002-1A29-4537-95C1-716077C2676D}"/>
            </c:ext>
          </c:extLst>
        </c:ser>
        <c:ser>
          <c:idx val="3"/>
          <c:order val="2"/>
          <c:tx>
            <c:strRef>
              <c:f>'Belgian EV uptake'!$AB$3</c:f>
              <c:strCache>
                <c:ptCount val="1"/>
                <c:pt idx="0">
                  <c:v> raw predicted</c:v>
                </c:pt>
              </c:strCache>
            </c:strRef>
          </c:tx>
          <c:spPr>
            <a:ln w="28575" cap="rnd">
              <a:solidFill>
                <a:schemeClr val="accent4"/>
              </a:solidFill>
              <a:round/>
            </a:ln>
            <a:effectLst/>
          </c:spPr>
          <c:marker>
            <c:symbol val="none"/>
          </c:marker>
          <c:cat>
            <c:numRef>
              <c:f>'Belgian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'Belgian EV uptake'!$AB$4:$AB$45</c:f>
              <c:numCache>
                <c:formatCode>0.00</c:formatCode>
                <c:ptCount val="42"/>
                <c:pt idx="0">
                  <c:v>0</c:v>
                </c:pt>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pt idx="32">
                  <c:v>64.999980843039268</c:v>
                </c:pt>
                <c:pt idx="33">
                  <c:v>64.999990929807851</c:v>
                </c:pt>
                <c:pt idx="34">
                  <c:v>64.999995705562057</c:v>
                </c:pt>
                <c:pt idx="35">
                  <c:v>64.999997966724834</c:v>
                </c:pt>
                <c:pt idx="36">
                  <c:v>64.999999037311071</c:v>
                </c:pt>
                <c:pt idx="37">
                  <c:v>64.999999544198459</c:v>
                </c:pt>
                <c:pt idx="38">
                  <c:v>64.999999784192951</c:v>
                </c:pt>
                <c:pt idx="39">
                  <c:v>64.999999897822462</c:v>
                </c:pt>
                <c:pt idx="40">
                  <c:v>64.9999999516223</c:v>
                </c:pt>
                <c:pt idx="41">
                  <c:v>64.999999977094745</c:v>
                </c:pt>
              </c:numCache>
            </c:numRef>
          </c:val>
          <c:smooth val="0"/>
          <c:extLst>
            <c:ext xmlns:c16="http://schemas.microsoft.com/office/drawing/2014/chart" uri="{C3380CC4-5D6E-409C-BE32-E72D297353CC}">
              <c16:uniqueId val="{00000003-1A29-4537-95C1-716077C2676D}"/>
            </c:ext>
          </c:extLst>
        </c:ser>
        <c:dLbls>
          <c:showLegendKey val="0"/>
          <c:showVal val="0"/>
          <c:showCatName val="0"/>
          <c:showSerName val="0"/>
          <c:showPercent val="0"/>
          <c:showBubbleSize val="0"/>
        </c:dLbls>
        <c:smooth val="0"/>
        <c:axId val="745174896"/>
        <c:axId val="745176536"/>
      </c:lineChart>
      <c:catAx>
        <c:axId val="7451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76536"/>
        <c:crosses val="autoZero"/>
        <c:auto val="1"/>
        <c:lblAlgn val="ctr"/>
        <c:lblOffset val="100"/>
        <c:noMultiLvlLbl val="0"/>
      </c:catAx>
      <c:valAx>
        <c:axId val="745176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74896"/>
        <c:crosses val="autoZero"/>
        <c:crossBetween val="between"/>
      </c:valAx>
      <c:spPr>
        <a:noFill/>
        <a:ln>
          <a:noFill/>
        </a:ln>
        <a:effectLst/>
      </c:spPr>
    </c:plotArea>
    <c:legend>
      <c:legendPos val="b"/>
      <c:layout>
        <c:manualLayout>
          <c:xMode val="edge"/>
          <c:yMode val="edge"/>
          <c:x val="4.7068253634499964E-2"/>
          <c:y val="0.8342791099976139"/>
          <c:w val="0.89197462817147866"/>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64958022631274"/>
          <c:y val="4.6082949308755762E-2"/>
          <c:w val="0.81399280387964745"/>
          <c:h val="0.70355600711201427"/>
        </c:manualLayout>
      </c:layout>
      <c:lineChart>
        <c:grouping val="standard"/>
        <c:varyColors val="0"/>
        <c:ser>
          <c:idx val="0"/>
          <c:order val="0"/>
          <c:tx>
            <c:strRef>
              <c:f>'Belgian EV uptake'!$S$3</c:f>
              <c:strCache>
                <c:ptCount val="1"/>
                <c:pt idx="0">
                  <c:v>High</c:v>
                </c:pt>
              </c:strCache>
            </c:strRef>
          </c:tx>
          <c:spPr>
            <a:ln w="28575" cap="rnd">
              <a:solidFill>
                <a:schemeClr val="accent1"/>
              </a:solidFill>
              <a:round/>
            </a:ln>
            <a:effectLst/>
          </c:spPr>
          <c:marker>
            <c:symbol val="none"/>
          </c:marker>
          <c:cat>
            <c:numRef>
              <c:f>'Belgian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uptake'!$S$4:$S$25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1.4229024246185866</c:v>
                </c:pt>
                <c:pt idx="8" formatCode="0.00">
                  <c:v>2.3868023847171655</c:v>
                </c:pt>
                <c:pt idx="9" formatCode="0.00">
                  <c:v>3.6770645499270977</c:v>
                </c:pt>
                <c:pt idx="10" formatCode="0.00">
                  <c:v>5.4095329760054565</c:v>
                </c:pt>
                <c:pt idx="11" formatCode="0.00">
                  <c:v>7.4649380482264487</c:v>
                </c:pt>
                <c:pt idx="12" formatCode="0.00">
                  <c:v>10.585454769700704</c:v>
                </c:pt>
                <c:pt idx="13" formatCode="0.00">
                  <c:v>13.889779116433663</c:v>
                </c:pt>
                <c:pt idx="14" formatCode="0.00">
                  <c:v>17.967418850029812</c:v>
                </c:pt>
                <c:pt idx="15" formatCode="0.00">
                  <c:v>23.465645751443883</c:v>
                </c:pt>
                <c:pt idx="16" formatCode="0.00">
                  <c:v>29.412329919627382</c:v>
                </c:pt>
                <c:pt idx="17" formatCode="0.00">
                  <c:v>35.689073348379175</c:v>
                </c:pt>
                <c:pt idx="18" formatCode="0.00">
                  <c:v>42.087379978338539</c:v>
                </c:pt>
                <c:pt idx="19" formatCode="0.00">
                  <c:v>48.052190562839478</c:v>
                </c:pt>
                <c:pt idx="20" formatCode="0.00">
                  <c:v>53.360869257625531</c:v>
                </c:pt>
                <c:pt idx="21" formatCode="0.00">
                  <c:v>57.638274622801518</c:v>
                </c:pt>
              </c:numCache>
            </c:numRef>
          </c:val>
          <c:smooth val="0"/>
          <c:extLst>
            <c:ext xmlns:c16="http://schemas.microsoft.com/office/drawing/2014/chart" uri="{C3380CC4-5D6E-409C-BE32-E72D297353CC}">
              <c16:uniqueId val="{00000000-BC80-4F1A-9FF6-75F3CE82F379}"/>
            </c:ext>
          </c:extLst>
        </c:ser>
        <c:ser>
          <c:idx val="1"/>
          <c:order val="1"/>
          <c:tx>
            <c:strRef>
              <c:f>'Belgian EV uptake'!$T$3</c:f>
              <c:strCache>
                <c:ptCount val="1"/>
                <c:pt idx="0">
                  <c:v>Medium</c:v>
                </c:pt>
              </c:strCache>
            </c:strRef>
          </c:tx>
          <c:spPr>
            <a:ln w="28575" cap="rnd">
              <a:solidFill>
                <a:schemeClr val="accent2"/>
              </a:solidFill>
              <a:round/>
            </a:ln>
            <a:effectLst/>
          </c:spPr>
          <c:marker>
            <c:symbol val="none"/>
          </c:marker>
          <c:cat>
            <c:numRef>
              <c:f>'Belgian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uptake'!$T$4:$T$25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1.1926559312137441</c:v>
                </c:pt>
                <c:pt idx="8" formatCode="0.00">
                  <c:v>2.0222454368261653</c:v>
                </c:pt>
                <c:pt idx="9" formatCode="0.00">
                  <c:v>2.9105026776402227</c:v>
                </c:pt>
                <c:pt idx="10" formatCode="0.00">
                  <c:v>4.2993095302947566</c:v>
                </c:pt>
                <c:pt idx="11" formatCode="0.00">
                  <c:v>6.1235588751700103</c:v>
                </c:pt>
                <c:pt idx="12" formatCode="0.00">
                  <c:v>8.9369762499681951</c:v>
                </c:pt>
                <c:pt idx="13" formatCode="0.00">
                  <c:v>12.107574473266308</c:v>
                </c:pt>
                <c:pt idx="14" formatCode="0.00">
                  <c:v>15.834916959571382</c:v>
                </c:pt>
                <c:pt idx="15" formatCode="0.00">
                  <c:v>20.652276048250862</c:v>
                </c:pt>
                <c:pt idx="16" formatCode="0.00">
                  <c:v>26.679494955090632</c:v>
                </c:pt>
                <c:pt idx="17" formatCode="0.00">
                  <c:v>32.916725584360151</c:v>
                </c:pt>
                <c:pt idx="18" formatCode="0.00">
                  <c:v>39.172877935886966</c:v>
                </c:pt>
                <c:pt idx="19" formatCode="0.00">
                  <c:v>45.309889660480998</c:v>
                </c:pt>
                <c:pt idx="20" formatCode="0.00">
                  <c:v>50.848230517620586</c:v>
                </c:pt>
                <c:pt idx="21" formatCode="0.00">
                  <c:v>55.571869169006327</c:v>
                </c:pt>
              </c:numCache>
            </c:numRef>
          </c:val>
          <c:smooth val="0"/>
          <c:extLst>
            <c:ext xmlns:c16="http://schemas.microsoft.com/office/drawing/2014/chart" uri="{C3380CC4-5D6E-409C-BE32-E72D297353CC}">
              <c16:uniqueId val="{00000001-BC80-4F1A-9FF6-75F3CE82F379}"/>
            </c:ext>
          </c:extLst>
        </c:ser>
        <c:ser>
          <c:idx val="2"/>
          <c:order val="2"/>
          <c:tx>
            <c:strRef>
              <c:f>'Belgian EV uptake'!$U$3</c:f>
              <c:strCache>
                <c:ptCount val="1"/>
                <c:pt idx="0">
                  <c:v>Low</c:v>
                </c:pt>
              </c:strCache>
            </c:strRef>
          </c:tx>
          <c:spPr>
            <a:ln w="28575" cap="rnd">
              <a:solidFill>
                <a:schemeClr val="accent3"/>
              </a:solidFill>
              <a:round/>
            </a:ln>
            <a:effectLst/>
          </c:spPr>
          <c:marker>
            <c:symbol val="none"/>
          </c:marker>
          <c:cat>
            <c:numRef>
              <c:f>'Belgian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uptake'!$U$4:$U$25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1.0741268113588174</c:v>
                </c:pt>
                <c:pt idx="8" formatCode="0.00">
                  <c:v>1.5940332356606597</c:v>
                </c:pt>
                <c:pt idx="9" formatCode="0.00">
                  <c:v>2.2414918866412723</c:v>
                </c:pt>
                <c:pt idx="10" formatCode="0.00">
                  <c:v>3.1281226440036063</c:v>
                </c:pt>
                <c:pt idx="11" formatCode="0.00">
                  <c:v>4.5749897638403851</c:v>
                </c:pt>
                <c:pt idx="12" formatCode="0.00">
                  <c:v>7.1663577995227739</c:v>
                </c:pt>
                <c:pt idx="13" formatCode="0.00">
                  <c:v>9.7959724057161015</c:v>
                </c:pt>
                <c:pt idx="14" formatCode="0.00">
                  <c:v>13.44283738318336</c:v>
                </c:pt>
                <c:pt idx="15" formatCode="0.00">
                  <c:v>17.858565789067637</c:v>
                </c:pt>
                <c:pt idx="16" formatCode="0.00">
                  <c:v>23.060567431488757</c:v>
                </c:pt>
                <c:pt idx="17" formatCode="0.00">
                  <c:v>28.85928556164048</c:v>
                </c:pt>
                <c:pt idx="18" formatCode="0.00">
                  <c:v>35.33400631937451</c:v>
                </c:pt>
                <c:pt idx="19" formatCode="0.00">
                  <c:v>41.629985340466952</c:v>
                </c:pt>
                <c:pt idx="20" formatCode="0.00">
                  <c:v>47.478288589230381</c:v>
                </c:pt>
                <c:pt idx="21" formatCode="0.00">
                  <c:v>52.30677978245302</c:v>
                </c:pt>
              </c:numCache>
            </c:numRef>
          </c:val>
          <c:smooth val="0"/>
          <c:extLst>
            <c:ext xmlns:c16="http://schemas.microsoft.com/office/drawing/2014/chart" uri="{C3380CC4-5D6E-409C-BE32-E72D297353CC}">
              <c16:uniqueId val="{00000002-BC80-4F1A-9FF6-75F3CE82F379}"/>
            </c:ext>
          </c:extLst>
        </c:ser>
        <c:dLbls>
          <c:showLegendKey val="0"/>
          <c:showVal val="0"/>
          <c:showCatName val="0"/>
          <c:showSerName val="0"/>
          <c:showPercent val="0"/>
          <c:showBubbleSize val="0"/>
        </c:dLbls>
        <c:smooth val="0"/>
        <c:axId val="745307080"/>
        <c:axId val="745301832"/>
      </c:lineChart>
      <c:catAx>
        <c:axId val="74530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01832"/>
        <c:crosses val="autoZero"/>
        <c:auto val="1"/>
        <c:lblAlgn val="ctr"/>
        <c:lblOffset val="100"/>
        <c:noMultiLvlLbl val="0"/>
      </c:catAx>
      <c:valAx>
        <c:axId val="745301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layout>
            <c:manualLayout>
              <c:xMode val="edge"/>
              <c:yMode val="edge"/>
              <c:x val="2.2222222222222223E-2"/>
              <c:y val="0.271380869058034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0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'Belgian EV uptake'!$X$3</c:f>
              <c:strCache>
                <c:ptCount val="1"/>
                <c:pt idx="0">
                  <c:v>High</c:v>
                </c:pt>
              </c:strCache>
            </c:strRef>
          </c:tx>
          <c:spPr>
            <a:ln w="28575" cap="rnd">
              <a:solidFill>
                <a:schemeClr val="accent1"/>
              </a:solidFill>
              <a:round/>
            </a:ln>
            <a:effectLst/>
          </c:spPr>
          <c:marker>
            <c:symbol val="none"/>
          </c:marker>
          <c:cat>
            <c:numRef>
              <c:f>'Belgian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uptake'!$X$4:$X$25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1.0741268113588174</c:v>
                </c:pt>
                <c:pt idx="8" formatCode="0.00">
                  <c:v>1.5940332356606597</c:v>
                </c:pt>
                <c:pt idx="9" formatCode="0.00">
                  <c:v>2.056540835349252</c:v>
                </c:pt>
                <c:pt idx="10" formatCode="0.00">
                  <c:v>2.5678409500703268</c:v>
                </c:pt>
                <c:pt idx="11" formatCode="0.00">
                  <c:v>3.1956639140415417</c:v>
                </c:pt>
                <c:pt idx="12" formatCode="0.00">
                  <c:v>4.1526735767513019</c:v>
                </c:pt>
                <c:pt idx="13" formatCode="0.00">
                  <c:v>5.2005624472757495</c:v>
                </c:pt>
                <c:pt idx="14" formatCode="0.00">
                  <c:v>6.4057536530731891</c:v>
                </c:pt>
                <c:pt idx="15" formatCode="0.00">
                  <c:v>8.0278212120146719</c:v>
                </c:pt>
                <c:pt idx="16" formatCode="0.00">
                  <c:v>10.125440332720615</c:v>
                </c:pt>
                <c:pt idx="17" formatCode="0.00">
                  <c:v>12.776351949483569</c:v>
                </c:pt>
                <c:pt idx="18" formatCode="0.00">
                  <c:v>16.061250990727821</c:v>
                </c:pt>
                <c:pt idx="19" formatCode="0.00">
                  <c:v>20.019704326061248</c:v>
                </c:pt>
                <c:pt idx="20" formatCode="0.00">
                  <c:v>24.56045906679779</c:v>
                </c:pt>
                <c:pt idx="21" formatCode="0.00">
                  <c:v>29.547522379840554</c:v>
                </c:pt>
              </c:numCache>
            </c:numRef>
          </c:val>
          <c:smooth val="0"/>
          <c:extLst>
            <c:ext xmlns:c16="http://schemas.microsoft.com/office/drawing/2014/chart" uri="{C3380CC4-5D6E-409C-BE32-E72D297353CC}">
              <c16:uniqueId val="{00000000-4962-43EB-BAC8-526356D84C60}"/>
            </c:ext>
          </c:extLst>
        </c:ser>
        <c:ser>
          <c:idx val="1"/>
          <c:order val="1"/>
          <c:tx>
            <c:strRef>
              <c:f>'Belgian EV uptake'!$Y$3</c:f>
              <c:strCache>
                <c:ptCount val="1"/>
                <c:pt idx="0">
                  <c:v>Medium</c:v>
                </c:pt>
              </c:strCache>
            </c:strRef>
          </c:tx>
          <c:spPr>
            <a:ln w="28575" cap="rnd">
              <a:solidFill>
                <a:schemeClr val="accent2"/>
              </a:solidFill>
              <a:round/>
            </a:ln>
            <a:effectLst/>
          </c:spPr>
          <c:marker>
            <c:symbol val="none"/>
          </c:marker>
          <c:cat>
            <c:numRef>
              <c:f>'Belgian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uptake'!$Y$4:$Y$25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1.1926559312137441</c:v>
                </c:pt>
                <c:pt idx="8" formatCode="0.00">
                  <c:v>2.0222454368261653</c:v>
                </c:pt>
                <c:pt idx="9" formatCode="0.00">
                  <c:v>2.9105026776402227</c:v>
                </c:pt>
                <c:pt idx="10" formatCode="0.00">
                  <c:v>4.2993095302947566</c:v>
                </c:pt>
                <c:pt idx="11" formatCode="0.00">
                  <c:v>6.1235588751700103</c:v>
                </c:pt>
                <c:pt idx="12" formatCode="0.00">
                  <c:v>8.9369762499681951</c:v>
                </c:pt>
                <c:pt idx="13" formatCode="0.00">
                  <c:v>12.107574473266308</c:v>
                </c:pt>
                <c:pt idx="14" formatCode="0.00">
                  <c:v>15.834916959571382</c:v>
                </c:pt>
                <c:pt idx="15" formatCode="0.00">
                  <c:v>20.652276048250862</c:v>
                </c:pt>
                <c:pt idx="16" formatCode="0.00">
                  <c:v>26.679494955090632</c:v>
                </c:pt>
                <c:pt idx="17" formatCode="0.00">
                  <c:v>32.916725584360151</c:v>
                </c:pt>
                <c:pt idx="18" formatCode="0.00">
                  <c:v>39.172877935886966</c:v>
                </c:pt>
                <c:pt idx="19" formatCode="0.00">
                  <c:v>45.309889660480998</c:v>
                </c:pt>
                <c:pt idx="20" formatCode="0.00">
                  <c:v>50.848230517620586</c:v>
                </c:pt>
                <c:pt idx="21" formatCode="0.00">
                  <c:v>55.571869169006327</c:v>
                </c:pt>
              </c:numCache>
            </c:numRef>
          </c:val>
          <c:smooth val="0"/>
          <c:extLst>
            <c:ext xmlns:c16="http://schemas.microsoft.com/office/drawing/2014/chart" uri="{C3380CC4-5D6E-409C-BE32-E72D297353CC}">
              <c16:uniqueId val="{00000001-4962-43EB-BAC8-526356D84C60}"/>
            </c:ext>
          </c:extLst>
        </c:ser>
        <c:ser>
          <c:idx val="2"/>
          <c:order val="2"/>
          <c:tx>
            <c:strRef>
              <c:f>'Belgian EV uptake'!$Z$3</c:f>
              <c:strCache>
                <c:ptCount val="1"/>
                <c:pt idx="0">
                  <c:v>Low</c:v>
                </c:pt>
              </c:strCache>
            </c:strRef>
          </c:tx>
          <c:spPr>
            <a:ln w="28575" cap="rnd">
              <a:solidFill>
                <a:schemeClr val="accent3"/>
              </a:solidFill>
              <a:round/>
            </a:ln>
            <a:effectLst/>
          </c:spPr>
          <c:marker>
            <c:symbol val="none"/>
          </c:marker>
          <c:cat>
            <c:numRef>
              <c:f>'Belgian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'Belgian EV uptake'!$Z$4:$Z$25</c:f>
              <c:numCache>
                <c:formatCode>General</c:formatCode>
                <c:ptCount val="22"/>
                <c:pt idx="3" formatCode="0.00">
                  <c:v>8.4399567466143896E-2</c:v>
                </c:pt>
                <c:pt idx="4" formatCode="0.00">
                  <c:v>0.17800153505072761</c:v>
                </c:pt>
                <c:pt idx="5" formatCode="0.00">
                  <c:v>0.40271582726249378</c:v>
                </c:pt>
                <c:pt idx="6" formatCode="0.00">
                  <c:v>0.71369107587336666</c:v>
                </c:pt>
                <c:pt idx="7" formatCode="0.00">
                  <c:v>1.4229024246185866</c:v>
                </c:pt>
                <c:pt idx="8" formatCode="0.00">
                  <c:v>2.7608854336835056</c:v>
                </c:pt>
                <c:pt idx="9" formatCode="0.00">
                  <c:v>4.7382588306713345</c:v>
                </c:pt>
                <c:pt idx="10" formatCode="0.00">
                  <c:v>7.4165393149831917</c:v>
                </c:pt>
                <c:pt idx="11" formatCode="0.00">
                  <c:v>10.856968111786975</c:v>
                </c:pt>
                <c:pt idx="12" formatCode="0.00">
                  <c:v>15.846838842093375</c:v>
                </c:pt>
                <c:pt idx="13" formatCode="0.00">
                  <c:v>21.078905184208022</c:v>
                </c:pt>
                <c:pt idx="14" formatCode="0.00">
                  <c:v>27.340837129083376</c:v>
                </c:pt>
                <c:pt idx="15" formatCode="0.00">
                  <c:v>33.92821535607527</c:v>
                </c:pt>
                <c:pt idx="16" formatCode="0.00">
                  <c:v>40.709451868383255</c:v>
                </c:pt>
                <c:pt idx="17" formatCode="0.00">
                  <c:v>47.009617918384542</c:v>
                </c:pt>
                <c:pt idx="18" formatCode="0.00">
                  <c:v>52.617813779663813</c:v>
                </c:pt>
                <c:pt idx="19" formatCode="0.00">
                  <c:v>57.385925409024672</c:v>
                </c:pt>
                <c:pt idx="20" formatCode="0.00">
                  <c:v>61.023667960955422</c:v>
                </c:pt>
                <c:pt idx="21" formatCode="0.00">
                  <c:v>63.027935040330313</c:v>
                </c:pt>
              </c:numCache>
            </c:numRef>
          </c:val>
          <c:smooth val="0"/>
          <c:extLst>
            <c:ext xmlns:c16="http://schemas.microsoft.com/office/drawing/2014/chart" uri="{C3380CC4-5D6E-409C-BE32-E72D297353CC}">
              <c16:uniqueId val="{00000002-4962-43EB-BAC8-526356D84C60}"/>
            </c:ext>
          </c:extLst>
        </c:ser>
        <c:dLbls>
          <c:showLegendKey val="0"/>
          <c:showVal val="0"/>
          <c:showCatName val="0"/>
          <c:showSerName val="0"/>
          <c:showPercent val="0"/>
          <c:showBubbleSize val="0"/>
        </c:dLbls>
        <c:smooth val="0"/>
        <c:axId val="745315280"/>
        <c:axId val="745308064"/>
      </c:lineChart>
      <c:catAx>
        <c:axId val="74531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08064"/>
        <c:crosses val="autoZero"/>
        <c:auto val="1"/>
        <c:lblAlgn val="ctr"/>
        <c:lblOffset val="100"/>
        <c:noMultiLvlLbl val="0"/>
      </c:catAx>
      <c:valAx>
        <c:axId val="74530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layout>
            <c:manualLayout>
              <c:xMode val="edge"/>
              <c:yMode val="edge"/>
              <c:x val="1.9444444444444445E-2"/>
              <c:y val="0.271380869058034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1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Belgium!$O$2</c:f>
              <c:strCache>
                <c:ptCount val="1"/>
                <c:pt idx="0">
                  <c:v>BEV price</c:v>
                </c:pt>
              </c:strCache>
            </c:strRef>
          </c:tx>
          <c:spPr>
            <a:ln w="60325" cap="rnd">
              <a:solidFill>
                <a:schemeClr val="accent1"/>
              </a:solidFill>
              <a:round/>
            </a:ln>
            <a:effectLst/>
          </c:spPr>
          <c:marker>
            <c:symbol val="none"/>
          </c:marker>
          <c:cat>
            <c:numRef>
              <c:f>Belgium!$N$3:$N$24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Belgium!$O$3:$O$24</c:f>
              <c:numCache>
                <c:formatCode>0</c:formatCode>
                <c:ptCount val="22"/>
                <c:pt idx="0">
                  <c:v>16888.946639338224</c:v>
                </c:pt>
                <c:pt idx="1">
                  <c:v>18874.626611742544</c:v>
                </c:pt>
                <c:pt idx="2">
                  <c:v>17649.239012425849</c:v>
                </c:pt>
                <c:pt idx="3">
                  <c:v>20828.271838197747</c:v>
                </c:pt>
                <c:pt idx="4">
                  <c:v>24557.956205695493</c:v>
                </c:pt>
                <c:pt idx="5">
                  <c:v>26990.208679386385</c:v>
                </c:pt>
                <c:pt idx="6">
                  <c:v>29164.873033633958</c:v>
                </c:pt>
                <c:pt idx="7">
                  <c:v>30301.718898317431</c:v>
                </c:pt>
                <c:pt idx="8">
                  <c:v>30469.024247545996</c:v>
                </c:pt>
                <c:pt idx="9">
                  <c:v>30945.084211238609</c:v>
                </c:pt>
                <c:pt idx="10">
                  <c:v>32542.29093544625</c:v>
                </c:pt>
                <c:pt idx="11">
                  <c:v>33319.001362442687</c:v>
                </c:pt>
                <c:pt idx="12">
                  <c:v>32517.600045126095</c:v>
                </c:pt>
                <c:pt idx="13">
                  <c:v>32965.764600014656</c:v>
                </c:pt>
                <c:pt idx="14">
                  <c:v>32676.850326158616</c:v>
                </c:pt>
                <c:pt idx="15">
                  <c:v>31559.996200217578</c:v>
                </c:pt>
                <c:pt idx="16">
                  <c:v>30601.162040061001</c:v>
                </c:pt>
                <c:pt idx="17">
                  <c:v>30054.920183028284</c:v>
                </c:pt>
                <c:pt idx="18">
                  <c:v>29508.67832599557</c:v>
                </c:pt>
                <c:pt idx="19">
                  <c:v>28894.156236833765</c:v>
                </c:pt>
                <c:pt idx="20">
                  <c:v>28347.914379801059</c:v>
                </c:pt>
                <c:pt idx="21">
                  <c:v>27733.392290639254</c:v>
                </c:pt>
              </c:numCache>
            </c:numRef>
          </c:val>
          <c:smooth val="0"/>
          <c:extLst>
            <c:ext xmlns:c16="http://schemas.microsoft.com/office/drawing/2014/chart" uri="{C3380CC4-5D6E-409C-BE32-E72D297353CC}">
              <c16:uniqueId val="{00000000-BEA5-4973-AC88-180FC94D7E58}"/>
            </c:ext>
          </c:extLst>
        </c:ser>
        <c:ser>
          <c:idx val="1"/>
          <c:order val="1"/>
          <c:tx>
            <c:strRef>
              <c:f>Belgium!$P$2</c:f>
              <c:strCache>
                <c:ptCount val="1"/>
                <c:pt idx="0">
                  <c:v>PHEV price</c:v>
                </c:pt>
              </c:strCache>
            </c:strRef>
          </c:tx>
          <c:spPr>
            <a:ln w="15875" cap="rnd">
              <a:solidFill>
                <a:schemeClr val="accent2"/>
              </a:solidFill>
              <a:round/>
            </a:ln>
            <a:effectLst/>
          </c:spPr>
          <c:marker>
            <c:symbol val="none"/>
          </c:marker>
          <c:cat>
            <c:numRef>
              <c:f>Belgium!$N$3:$N$24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Belgium!$P$3:$P$24</c:f>
              <c:numCache>
                <c:formatCode>0</c:formatCode>
                <c:ptCount val="22"/>
                <c:pt idx="0">
                  <c:v>27225.469572897997</c:v>
                </c:pt>
                <c:pt idx="1">
                  <c:v>28989.767920067396</c:v>
                </c:pt>
                <c:pt idx="2">
                  <c:v>27420.511927354841</c:v>
                </c:pt>
                <c:pt idx="3">
                  <c:v>30331.447205655284</c:v>
                </c:pt>
                <c:pt idx="4">
                  <c:v>29776.001845585262</c:v>
                </c:pt>
                <c:pt idx="5">
                  <c:v>32188.982826124753</c:v>
                </c:pt>
                <c:pt idx="6">
                  <c:v>34335.09790350309</c:v>
                </c:pt>
                <c:pt idx="7">
                  <c:v>34364.918898317432</c:v>
                </c:pt>
                <c:pt idx="8">
                  <c:v>33469.024247545996</c:v>
                </c:pt>
                <c:pt idx="9">
                  <c:v>32913.975725316181</c:v>
                </c:pt>
                <c:pt idx="10">
                  <c:v>33511.424383997917</c:v>
                </c:pt>
                <c:pt idx="11">
                  <c:v>33319.001362442687</c:v>
                </c:pt>
                <c:pt idx="12">
                  <c:v>32517.600045126095</c:v>
                </c:pt>
                <c:pt idx="13">
                  <c:v>32965.764600014656</c:v>
                </c:pt>
                <c:pt idx="14">
                  <c:v>32676.850326158616</c:v>
                </c:pt>
                <c:pt idx="15">
                  <c:v>31559.996200217578</c:v>
                </c:pt>
                <c:pt idx="16">
                  <c:v>30601.162040061001</c:v>
                </c:pt>
                <c:pt idx="17">
                  <c:v>30054.920183028284</c:v>
                </c:pt>
                <c:pt idx="18">
                  <c:v>29508.67832599557</c:v>
                </c:pt>
                <c:pt idx="19">
                  <c:v>28894.156236833765</c:v>
                </c:pt>
                <c:pt idx="20">
                  <c:v>28347.914379801059</c:v>
                </c:pt>
                <c:pt idx="21">
                  <c:v>27733.392290639254</c:v>
                </c:pt>
              </c:numCache>
            </c:numRef>
          </c:val>
          <c:smooth val="0"/>
          <c:extLst>
            <c:ext xmlns:c16="http://schemas.microsoft.com/office/drawing/2014/chart" uri="{C3380CC4-5D6E-409C-BE32-E72D297353CC}">
              <c16:uniqueId val="{00000001-BEA5-4973-AC88-180FC94D7E58}"/>
            </c:ext>
          </c:extLst>
        </c:ser>
        <c:ser>
          <c:idx val="2"/>
          <c:order val="2"/>
          <c:tx>
            <c:strRef>
              <c:f>Belgium!$Q$2</c:f>
              <c:strCache>
                <c:ptCount val="1"/>
                <c:pt idx="0">
                  <c:v>FFV price</c:v>
                </c:pt>
              </c:strCache>
            </c:strRef>
          </c:tx>
          <c:spPr>
            <a:ln w="28575" cap="rnd">
              <a:solidFill>
                <a:schemeClr val="tx1"/>
              </a:solidFill>
              <a:round/>
            </a:ln>
            <a:effectLst/>
          </c:spPr>
          <c:marker>
            <c:symbol val="none"/>
          </c:marker>
          <c:cat>
            <c:numRef>
              <c:f>Belgium!$N$3:$N$24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Belgium!$Q$3:$Q$24</c:f>
              <c:numCache>
                <c:formatCode>0</c:formatCode>
                <c:ptCount val="22"/>
                <c:pt idx="0">
                  <c:v>20033.263158333335</c:v>
                </c:pt>
                <c:pt idx="1">
                  <c:v>21113.822072051669</c:v>
                </c:pt>
                <c:pt idx="2">
                  <c:v>19910.725810972042</c:v>
                </c:pt>
                <c:pt idx="3">
                  <c:v>21537.621602116909</c:v>
                </c:pt>
                <c:pt idx="4">
                  <c:v>20918.94171259928</c:v>
                </c:pt>
                <c:pt idx="5">
                  <c:v>21078.103540971446</c:v>
                </c:pt>
                <c:pt idx="6">
                  <c:v>25211.908392685706</c:v>
                </c:pt>
                <c:pt idx="7">
                  <c:v>25234.7711553767</c:v>
                </c:pt>
                <c:pt idx="8">
                  <c:v>24547.918589785266</c:v>
                </c:pt>
                <c:pt idx="9">
                  <c:v>23655.5</c:v>
                </c:pt>
                <c:pt idx="10">
                  <c:v>23655.5</c:v>
                </c:pt>
                <c:pt idx="11">
                  <c:v>23655.5</c:v>
                </c:pt>
                <c:pt idx="12">
                  <c:v>23655.5</c:v>
                </c:pt>
                <c:pt idx="13">
                  <c:v>23655.5</c:v>
                </c:pt>
                <c:pt idx="14">
                  <c:v>23655.5</c:v>
                </c:pt>
                <c:pt idx="15">
                  <c:v>23655.5</c:v>
                </c:pt>
                <c:pt idx="16">
                  <c:v>23655.5</c:v>
                </c:pt>
                <c:pt idx="17">
                  <c:v>23655.5</c:v>
                </c:pt>
                <c:pt idx="18">
                  <c:v>23655.5</c:v>
                </c:pt>
                <c:pt idx="19">
                  <c:v>23655.5</c:v>
                </c:pt>
                <c:pt idx="20">
                  <c:v>23655.5</c:v>
                </c:pt>
                <c:pt idx="21">
                  <c:v>23655.5</c:v>
                </c:pt>
              </c:numCache>
            </c:numRef>
          </c:val>
          <c:smooth val="0"/>
          <c:extLst>
            <c:ext xmlns:c16="http://schemas.microsoft.com/office/drawing/2014/chart" uri="{C3380CC4-5D6E-409C-BE32-E72D297353CC}">
              <c16:uniqueId val="{00000002-BEA5-4973-AC88-180FC94D7E58}"/>
            </c:ext>
          </c:extLst>
        </c:ser>
        <c:dLbls>
          <c:showLegendKey val="0"/>
          <c:showVal val="0"/>
          <c:showCatName val="0"/>
          <c:showSerName val="0"/>
          <c:showPercent val="0"/>
          <c:showBubbleSize val="0"/>
        </c:dLbls>
        <c:smooth val="0"/>
        <c:axId val="689960376"/>
        <c:axId val="689960704"/>
      </c:lineChart>
      <c:catAx>
        <c:axId val="68996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60704"/>
        <c:crosses val="autoZero"/>
        <c:auto val="1"/>
        <c:lblAlgn val="ctr"/>
        <c:lblOffset val="100"/>
        <c:noMultiLvlLbl val="0"/>
      </c:catAx>
      <c:valAx>
        <c:axId val="689960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6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uptake'!$AD$3</c:f>
              <c:strCache>
                <c:ptCount val="1"/>
                <c:pt idx="0">
                  <c:v>Linearized Logistic</c:v>
                </c:pt>
              </c:strCache>
            </c:strRef>
          </c:tx>
          <c:spPr>
            <a:ln w="34925" cap="rnd">
              <a:solidFill>
                <a:schemeClr val="tx1"/>
              </a:solidFill>
              <a:round/>
            </a:ln>
            <a:effectLst/>
          </c:spPr>
          <c:marker>
            <c:symbol val="none"/>
          </c:marker>
          <c:cat>
            <c:numRef>
              <c:f>'British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'British EV uptake'!$AD$6:$AD$13</c:f>
              <c:numCache>
                <c:formatCode>General</c:formatCode>
                <c:ptCount val="8"/>
                <c:pt idx="0">
                  <c:v>-6.9383466928911259</c:v>
                </c:pt>
                <c:pt idx="1">
                  <c:v>-6.1983433822829124</c:v>
                </c:pt>
                <c:pt idx="2">
                  <c:v>-5.970124492575982</c:v>
                </c:pt>
                <c:pt idx="3">
                  <c:v>-4.6840282343966422</c:v>
                </c:pt>
                <c:pt idx="4">
                  <c:v>-4.0490468141048517</c:v>
                </c:pt>
                <c:pt idx="5">
                  <c:v>-3.8872602015395681</c:v>
                </c:pt>
                <c:pt idx="6">
                  <c:v>-3.5822030316860123</c:v>
                </c:pt>
                <c:pt idx="7">
                  <c:v>-3.2526781980721409</c:v>
                </c:pt>
              </c:numCache>
            </c:numRef>
          </c:val>
          <c:smooth val="0"/>
          <c:extLst>
            <c:ext xmlns:c16="http://schemas.microsoft.com/office/drawing/2014/chart" uri="{C3380CC4-5D6E-409C-BE32-E72D297353CC}">
              <c16:uniqueId val="{00000000-C69C-46C3-A9EF-E6A9BBE41A0F}"/>
            </c:ext>
          </c:extLst>
        </c:ser>
        <c:ser>
          <c:idx val="1"/>
          <c:order val="1"/>
          <c:tx>
            <c:strRef>
              <c:f>'British EV uptake'!$AE$3</c:f>
              <c:strCache>
                <c:ptCount val="1"/>
                <c:pt idx="0">
                  <c:v>predicted</c:v>
                </c:pt>
              </c:strCache>
            </c:strRef>
          </c:tx>
          <c:spPr>
            <a:ln w="28575" cap="rnd">
              <a:solidFill>
                <a:schemeClr val="accent2"/>
              </a:solidFill>
              <a:round/>
            </a:ln>
            <a:effectLst/>
          </c:spPr>
          <c:marker>
            <c:symbol val="none"/>
          </c:marker>
          <c:cat>
            <c:numRef>
              <c:f>'British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'British EV uptake'!$AE$6:$AE$13</c:f>
              <c:numCache>
                <c:formatCode>General</c:formatCode>
                <c:ptCount val="8"/>
                <c:pt idx="0">
                  <c:v>-6.9262462299348275</c:v>
                </c:pt>
                <c:pt idx="1">
                  <c:v>-6.2671166921006245</c:v>
                </c:pt>
                <c:pt idx="2">
                  <c:v>-5.917485133366668</c:v>
                </c:pt>
                <c:pt idx="3">
                  <c:v>-4.639359637331971</c:v>
                </c:pt>
                <c:pt idx="4">
                  <c:v>-4.0490468141048517</c:v>
                </c:pt>
                <c:pt idx="5">
                  <c:v>-3.9400965198640581</c:v>
                </c:pt>
                <c:pt idx="6">
                  <c:v>-3.5904649611301012</c:v>
                </c:pt>
                <c:pt idx="7">
                  <c:v>-3.2408334023961443</c:v>
                </c:pt>
              </c:numCache>
            </c:numRef>
          </c:val>
          <c:smooth val="0"/>
          <c:extLst>
            <c:ext xmlns:c16="http://schemas.microsoft.com/office/drawing/2014/chart" uri="{C3380CC4-5D6E-409C-BE32-E72D297353CC}">
              <c16:uniqueId val="{00000000-BD6F-4A80-9991-52F857A5E401}"/>
            </c:ext>
          </c:extLst>
        </c:ser>
        <c:dLbls>
          <c:showLegendKey val="0"/>
          <c:showVal val="0"/>
          <c:showCatName val="0"/>
          <c:showSerName val="0"/>
          <c:showPercent val="0"/>
          <c:showBubbleSize val="0"/>
        </c:dLbls>
        <c:smooth val="0"/>
        <c:axId val="751824064"/>
        <c:axId val="751822424"/>
      </c:lineChart>
      <c:catAx>
        <c:axId val="75182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822424"/>
        <c:crosses val="autoZero"/>
        <c:auto val="1"/>
        <c:lblAlgn val="ctr"/>
        <c:lblOffset val="100"/>
        <c:noMultiLvlLbl val="0"/>
      </c:catAx>
      <c:valAx>
        <c:axId val="751822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a:t>
                </a:r>
              </a:p>
            </c:rich>
          </c:tx>
          <c:layout>
            <c:manualLayout>
              <c:xMode val="edge"/>
              <c:yMode val="edge"/>
              <c:x val="2.2222222222222223E-2"/>
              <c:y val="0.23541927696994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82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uptake'!$B$3</c:f>
              <c:strCache>
                <c:ptCount val="1"/>
                <c:pt idx="0">
                  <c:v>EV %sales</c:v>
                </c:pt>
              </c:strCache>
            </c:strRef>
          </c:tx>
          <c:spPr>
            <a:ln w="44450" cap="rnd">
              <a:solidFill>
                <a:schemeClr val="tx1"/>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uptake'!$B$4:$B$45</c:f>
              <c:numCache>
                <c:formatCode>0.00</c:formatCode>
                <c:ptCount val="42"/>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pt idx="9">
                  <c:v>2.42</c:v>
                </c:pt>
              </c:numCache>
            </c:numRef>
          </c:val>
          <c:smooth val="0"/>
          <c:extLst>
            <c:ext xmlns:c16="http://schemas.microsoft.com/office/drawing/2014/chart" uri="{C3380CC4-5D6E-409C-BE32-E72D297353CC}">
              <c16:uniqueId val="{00000000-B705-4425-9E09-9DC85DDEBFBA}"/>
            </c:ext>
          </c:extLst>
        </c:ser>
        <c:ser>
          <c:idx val="1"/>
          <c:order val="1"/>
          <c:tx>
            <c:strRef>
              <c:f>'British EV uptake'!$C$3</c:f>
              <c:strCache>
                <c:ptCount val="1"/>
                <c:pt idx="0">
                  <c:v>predCostLagged</c:v>
                </c:pt>
              </c:strCache>
            </c:strRef>
          </c:tx>
          <c:spPr>
            <a:ln w="28575" cap="rnd">
              <a:solidFill>
                <a:schemeClr val="accent2"/>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uptake'!$C$4:$C$45</c:f>
              <c:numCache>
                <c:formatCode>0.00</c:formatCode>
                <c:ptCount val="42"/>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4.0264837096282111</c:v>
                </c:pt>
                <c:pt idx="12">
                  <c:v>4.6678633605832385</c:v>
                </c:pt>
                <c:pt idx="13">
                  <c:v>6.0277420639963921</c:v>
                </c:pt>
                <c:pt idx="14">
                  <c:v>7.7213108086701068</c:v>
                </c:pt>
                <c:pt idx="15">
                  <c:v>9.8172621104326403</c:v>
                </c:pt>
                <c:pt idx="16">
                  <c:v>12.38227248314139</c:v>
                </c:pt>
                <c:pt idx="17">
                  <c:v>15.326228918126082</c:v>
                </c:pt>
                <c:pt idx="18">
                  <c:v>18.688647046715996</c:v>
                </c:pt>
                <c:pt idx="19">
                  <c:v>22.338012040843889</c:v>
                </c:pt>
                <c:pt idx="20">
                  <c:v>26.210065115308712</c:v>
                </c:pt>
                <c:pt idx="21">
                  <c:v>30.215984364203909</c:v>
                </c:pt>
                <c:pt idx="22">
                  <c:v>34.239280285492683</c:v>
                </c:pt>
                <c:pt idx="23">
                  <c:v>38.135703199022991</c:v>
                </c:pt>
                <c:pt idx="24">
                  <c:v>41.896705249588628</c:v>
                </c:pt>
                <c:pt idx="25">
                  <c:v>45.412905407599169</c:v>
                </c:pt>
                <c:pt idx="26">
                  <c:v>48.615538716512127</c:v>
                </c:pt>
                <c:pt idx="27">
                  <c:v>51.461128427110211</c:v>
                </c:pt>
                <c:pt idx="28">
                  <c:v>53.932201707087792</c:v>
                </c:pt>
                <c:pt idx="29">
                  <c:v>56.035744993121156</c:v>
                </c:pt>
                <c:pt idx="30">
                  <c:v>57.795731915354104</c:v>
                </c:pt>
                <c:pt idx="31">
                  <c:v>59.247080614259097</c:v>
                </c:pt>
                <c:pt idx="32">
                  <c:v>60.429942344721567</c:v>
                </c:pt>
                <c:pt idx="33">
                  <c:v>61.385171324108633</c:v>
                </c:pt>
                <c:pt idx="34">
                  <c:v>62.151259286574664</c:v>
                </c:pt>
                <c:pt idx="35">
                  <c:v>62.762611653752074</c:v>
                </c:pt>
                <c:pt idx="36">
                  <c:v>63.247528770985959</c:v>
                </c:pt>
                <c:pt idx="37">
                  <c:v>63.630299305224682</c:v>
                </c:pt>
                <c:pt idx="38">
                  <c:v>63.931281572541145</c:v>
                </c:pt>
                <c:pt idx="39">
                  <c:v>64.167235838941167</c:v>
                </c:pt>
                <c:pt idx="40">
                  <c:v>64.351772233130887</c:v>
                </c:pt>
                <c:pt idx="41">
                  <c:v>64.495827163641977</c:v>
                </c:pt>
              </c:numCache>
            </c:numRef>
          </c:val>
          <c:smooth val="0"/>
          <c:extLst>
            <c:ext xmlns:c16="http://schemas.microsoft.com/office/drawing/2014/chart" uri="{C3380CC4-5D6E-409C-BE32-E72D297353CC}">
              <c16:uniqueId val="{00000001-B705-4425-9E09-9DC85DDEBFBA}"/>
            </c:ext>
          </c:extLst>
        </c:ser>
        <c:ser>
          <c:idx val="2"/>
          <c:order val="2"/>
          <c:tx>
            <c:strRef>
              <c:f>'British EV uptake'!$L$3</c:f>
              <c:strCache>
                <c:ptCount val="1"/>
                <c:pt idx="0">
                  <c:v>pred cost</c:v>
                </c:pt>
              </c:strCache>
            </c:strRef>
          </c:tx>
          <c:spPr>
            <a:ln w="28575" cap="rnd">
              <a:solidFill>
                <a:schemeClr val="accent3"/>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uptake'!$L$4:$L$45</c:f>
              <c:numCache>
                <c:formatCode>0.00</c:formatCode>
                <c:ptCount val="42"/>
                <c:pt idx="3" formatCode="0.000">
                  <c:v>0.12311636472094348</c:v>
                </c:pt>
                <c:pt idx="4" formatCode="0.000">
                  <c:v>0.17450773560150143</c:v>
                </c:pt>
                <c:pt idx="5" formatCode="0.000">
                  <c:v>0.17450773560150143</c:v>
                </c:pt>
                <c:pt idx="6" formatCode="0.000">
                  <c:v>1.1141054329537496</c:v>
                </c:pt>
                <c:pt idx="7" formatCode="0.000">
                  <c:v>1.2399004278695112</c:v>
                </c:pt>
                <c:pt idx="8" formatCode="0.000">
                  <c:v>1.2399004278695112</c:v>
                </c:pt>
                <c:pt idx="9" formatCode="0.000">
                  <c:v>1.877602038423948</c:v>
                </c:pt>
                <c:pt idx="10" formatCode="0.000">
                  <c:v>2.5785549548758753</c:v>
                </c:pt>
                <c:pt idx="11" formatCode="0.000">
                  <c:v>3.6367724044072189</c:v>
                </c:pt>
                <c:pt idx="12" formatCode="0.000">
                  <c:v>5.065910336083598</c:v>
                </c:pt>
                <c:pt idx="13" formatCode="0.000">
                  <c:v>7.1026918810367352</c:v>
                </c:pt>
                <c:pt idx="14" formatCode="0.000">
                  <c:v>9.5619240230710751</c:v>
                </c:pt>
                <c:pt idx="15" formatCode="0.000">
                  <c:v>13.693916460310067</c:v>
                </c:pt>
                <c:pt idx="16" formatCode="0.000">
                  <c:v>18.581959284145299</c:v>
                </c:pt>
                <c:pt idx="17" formatCode="0.000">
                  <c:v>24.129666824989091</c:v>
                </c:pt>
                <c:pt idx="18" formatCode="0.000">
                  <c:v>30.152630578055113</c:v>
                </c:pt>
                <c:pt idx="19" formatCode="0.000">
                  <c:v>36.396616200951982</c:v>
                </c:pt>
                <c:pt idx="20" formatCode="0.000">
                  <c:v>41.541109602083608</c:v>
                </c:pt>
                <c:pt idx="21" formatCode="0.000">
                  <c:v>46.259486077365004</c:v>
                </c:pt>
                <c:pt idx="22" formatCode="0.000">
                  <c:v>50.388979402244516</c:v>
                </c:pt>
                <c:pt idx="23" formatCode="0.000">
                  <c:v>53.851770407327749</c:v>
                </c:pt>
                <c:pt idx="24" formatCode="0.000">
                  <c:v>56.648450491071813</c:v>
                </c:pt>
                <c:pt idx="25" formatCode="0.000">
                  <c:v>58.83662542435885</c:v>
                </c:pt>
                <c:pt idx="26" formatCode="0.000">
                  <c:v>60.50504675169649</c:v>
                </c:pt>
                <c:pt idx="27" formatCode="0.000">
                  <c:v>61.751541760666612</c:v>
                </c:pt>
                <c:pt idx="28" formatCode="0.000">
                  <c:v>62.668386141952737</c:v>
                </c:pt>
                <c:pt idx="29" formatCode="0.000">
                  <c:v>63.33490413310917</c:v>
                </c:pt>
                <c:pt idx="30" formatCode="0.000">
                  <c:v>63.81526978793012</c:v>
                </c:pt>
                <c:pt idx="31" formatCode="0.000">
                  <c:v>64.159298216989512</c:v>
                </c:pt>
                <c:pt idx="32" formatCode="0.000">
                  <c:v>64.404565677582681</c:v>
                </c:pt>
                <c:pt idx="33" formatCode="0.000">
                  <c:v>64.578853840990618</c:v>
                </c:pt>
                <c:pt idx="34" formatCode="0.000">
                  <c:v>64.702415633412031</c:v>
                </c:pt>
                <c:pt idx="35" formatCode="0.000">
                  <c:v>64.789869925217488</c:v>
                </c:pt>
                <c:pt idx="36" formatCode="0.000">
                  <c:v>64.851695448675372</c:v>
                </c:pt>
                <c:pt idx="37" formatCode="0.000">
                  <c:v>64.895366455712121</c:v>
                </c:pt>
                <c:pt idx="38" formatCode="0.000">
                  <c:v>64.926195719247374</c:v>
                </c:pt>
                <c:pt idx="39" formatCode="0.000">
                  <c:v>64.947950395037239</c:v>
                </c:pt>
                <c:pt idx="40" formatCode="0.000">
                  <c:v>64.963297082810826</c:v>
                </c:pt>
                <c:pt idx="41" formatCode="0.000">
                  <c:v>64.974121057695939</c:v>
                </c:pt>
              </c:numCache>
            </c:numRef>
          </c:val>
          <c:smooth val="0"/>
          <c:extLst>
            <c:ext xmlns:c16="http://schemas.microsoft.com/office/drawing/2014/chart" uri="{C3380CC4-5D6E-409C-BE32-E72D297353CC}">
              <c16:uniqueId val="{00000002-B705-4425-9E09-9DC85DDEBFBA}"/>
            </c:ext>
          </c:extLst>
        </c:ser>
        <c:ser>
          <c:idx val="3"/>
          <c:order val="3"/>
          <c:tx>
            <c:strRef>
              <c:f>'British EV uptake'!$AB$3</c:f>
              <c:strCache>
                <c:ptCount val="1"/>
                <c:pt idx="0">
                  <c:v>raw prediction</c:v>
                </c:pt>
              </c:strCache>
            </c:strRef>
          </c:tx>
          <c:spPr>
            <a:ln w="28575" cap="rnd">
              <a:solidFill>
                <a:schemeClr val="accent4"/>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uptake'!$AB$4:$AB$45</c:f>
              <c:numCache>
                <c:formatCode>0.00</c:formatCode>
                <c:ptCount val="42"/>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pt idx="32">
                  <c:v>64.469797142522211</c:v>
                </c:pt>
                <c:pt idx="33">
                  <c:v>64.625332953094457</c:v>
                </c:pt>
                <c:pt idx="34">
                  <c:v>64.735429340630006</c:v>
                </c:pt>
                <c:pt idx="35">
                  <c:v>64.813267244797558</c:v>
                </c:pt>
                <c:pt idx="36">
                  <c:v>64.868251486015907</c:v>
                </c:pt>
                <c:pt idx="37">
                  <c:v>64.907068601549511</c:v>
                </c:pt>
                <c:pt idx="38">
                  <c:v>64.934460570383877</c:v>
                </c:pt>
                <c:pt idx="39">
                  <c:v>64.953784375813754</c:v>
                </c:pt>
                <c:pt idx="40">
                  <c:v>64.967413562473823</c:v>
                </c:pt>
                <c:pt idx="41">
                  <c:v>64.977024864965273</c:v>
                </c:pt>
              </c:numCache>
            </c:numRef>
          </c:val>
          <c:smooth val="0"/>
          <c:extLst>
            <c:ext xmlns:c16="http://schemas.microsoft.com/office/drawing/2014/chart" uri="{C3380CC4-5D6E-409C-BE32-E72D297353CC}">
              <c16:uniqueId val="{00000003-B705-4425-9E09-9DC85DDEBFBA}"/>
            </c:ext>
          </c:extLst>
        </c:ser>
        <c:dLbls>
          <c:showLegendKey val="0"/>
          <c:showVal val="0"/>
          <c:showCatName val="0"/>
          <c:showSerName val="0"/>
          <c:showPercent val="0"/>
          <c:showBubbleSize val="0"/>
        </c:dLbls>
        <c:smooth val="0"/>
        <c:axId val="613946304"/>
        <c:axId val="613948600"/>
      </c:lineChart>
      <c:catAx>
        <c:axId val="61394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8600"/>
        <c:crosses val="autoZero"/>
        <c:auto val="1"/>
        <c:lblAlgn val="ctr"/>
        <c:lblOffset val="100"/>
        <c:noMultiLvlLbl val="0"/>
      </c:catAx>
      <c:valAx>
        <c:axId val="613948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uptake'!$B$3</c:f>
              <c:strCache>
                <c:ptCount val="1"/>
                <c:pt idx="0">
                  <c:v>EV %sales</c:v>
                </c:pt>
              </c:strCache>
            </c:strRef>
          </c:tx>
          <c:spPr>
            <a:ln w="38100" cap="rnd">
              <a:solidFill>
                <a:schemeClr val="tx1"/>
              </a:solidFill>
              <a:round/>
            </a:ln>
            <a:effectLst/>
          </c:spPr>
          <c:marker>
            <c:symbol val="none"/>
          </c:marker>
          <c:cat>
            <c:numRef>
              <c:f>'British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'British EV uptake'!$B$4:$B$13</c:f>
              <c:numCache>
                <c:formatCode>0.00</c:formatCode>
                <c:ptCount val="10"/>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pt idx="9">
                  <c:v>2.42</c:v>
                </c:pt>
              </c:numCache>
            </c:numRef>
          </c:val>
          <c:smooth val="0"/>
          <c:extLst>
            <c:ext xmlns:c16="http://schemas.microsoft.com/office/drawing/2014/chart" uri="{C3380CC4-5D6E-409C-BE32-E72D297353CC}">
              <c16:uniqueId val="{00000000-C976-4714-870B-A45734732B91}"/>
            </c:ext>
          </c:extLst>
        </c:ser>
        <c:ser>
          <c:idx val="1"/>
          <c:order val="1"/>
          <c:tx>
            <c:strRef>
              <c:f>'British EV uptake'!$AB$3</c:f>
              <c:strCache>
                <c:ptCount val="1"/>
                <c:pt idx="0">
                  <c:v>raw prediction</c:v>
                </c:pt>
              </c:strCache>
            </c:strRef>
          </c:tx>
          <c:spPr>
            <a:ln w="28575" cap="rnd">
              <a:solidFill>
                <a:schemeClr val="accent2"/>
              </a:solidFill>
              <a:round/>
            </a:ln>
            <a:effectLst/>
          </c:spPr>
          <c:marker>
            <c:symbol val="none"/>
          </c:marker>
          <c:cat>
            <c:numRef>
              <c:f>'British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'British EV uptake'!$AB$4:$AB$13</c:f>
              <c:numCache>
                <c:formatCode>0.00</c:formatCode>
                <c:ptCount val="10"/>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numCache>
            </c:numRef>
          </c:val>
          <c:smooth val="0"/>
          <c:extLst>
            <c:ext xmlns:c16="http://schemas.microsoft.com/office/drawing/2014/chart" uri="{C3380CC4-5D6E-409C-BE32-E72D297353CC}">
              <c16:uniqueId val="{00000001-C976-4714-870B-A45734732B91}"/>
            </c:ext>
          </c:extLst>
        </c:ser>
        <c:dLbls>
          <c:showLegendKey val="0"/>
          <c:showVal val="0"/>
          <c:showCatName val="0"/>
          <c:showSerName val="0"/>
          <c:showPercent val="0"/>
          <c:showBubbleSize val="0"/>
        </c:dLbls>
        <c:smooth val="0"/>
        <c:axId val="839250112"/>
        <c:axId val="839253064"/>
      </c:lineChart>
      <c:catAx>
        <c:axId val="8392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9253064"/>
        <c:crosses val="autoZero"/>
        <c:auto val="1"/>
        <c:lblAlgn val="ctr"/>
        <c:lblOffset val="100"/>
        <c:noMultiLvlLbl val="0"/>
      </c:catAx>
      <c:valAx>
        <c:axId val="839253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sales</a:t>
                </a:r>
              </a:p>
            </c:rich>
          </c:tx>
          <c:layout>
            <c:manualLayout>
              <c:xMode val="edge"/>
              <c:yMode val="edge"/>
              <c:x val="1.9444444444444445E-2"/>
              <c:y val="0.288174759405074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925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uptake'!$B$3</c:f>
              <c:strCache>
                <c:ptCount val="1"/>
                <c:pt idx="0">
                  <c:v>EV %sales</c:v>
                </c:pt>
              </c:strCache>
            </c:strRef>
          </c:tx>
          <c:spPr>
            <a:ln w="44450" cap="rnd">
              <a:solidFill>
                <a:schemeClr val="tx1"/>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uptake'!$B$4:$B$45</c:f>
              <c:numCache>
                <c:formatCode>0.00</c:formatCode>
                <c:ptCount val="42"/>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pt idx="9">
                  <c:v>2.42</c:v>
                </c:pt>
              </c:numCache>
            </c:numRef>
          </c:val>
          <c:smooth val="0"/>
          <c:extLst>
            <c:ext xmlns:c16="http://schemas.microsoft.com/office/drawing/2014/chart" uri="{C3380CC4-5D6E-409C-BE32-E72D297353CC}">
              <c16:uniqueId val="{00000000-72B2-4FBE-9005-237E3F7E89CD}"/>
            </c:ext>
          </c:extLst>
        </c:ser>
        <c:ser>
          <c:idx val="2"/>
          <c:order val="1"/>
          <c:tx>
            <c:strRef>
              <c:f>'British EV uptake'!$L$3</c:f>
              <c:strCache>
                <c:ptCount val="1"/>
                <c:pt idx="0">
                  <c:v>pred cost</c:v>
                </c:pt>
              </c:strCache>
            </c:strRef>
          </c:tx>
          <c:spPr>
            <a:ln w="28575" cap="rnd">
              <a:solidFill>
                <a:schemeClr val="accent3"/>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uptake'!$L$4:$L$45</c:f>
              <c:numCache>
                <c:formatCode>0.00</c:formatCode>
                <c:ptCount val="42"/>
                <c:pt idx="3" formatCode="0.000">
                  <c:v>0.12311636472094348</c:v>
                </c:pt>
                <c:pt idx="4" formatCode="0.000">
                  <c:v>0.17450773560150143</c:v>
                </c:pt>
                <c:pt idx="5" formatCode="0.000">
                  <c:v>0.17450773560150143</c:v>
                </c:pt>
                <c:pt idx="6" formatCode="0.000">
                  <c:v>1.1141054329537496</c:v>
                </c:pt>
                <c:pt idx="7" formatCode="0.000">
                  <c:v>1.2399004278695112</c:v>
                </c:pt>
                <c:pt idx="8" formatCode="0.000">
                  <c:v>1.2399004278695112</c:v>
                </c:pt>
                <c:pt idx="9" formatCode="0.000">
                  <c:v>1.877602038423948</c:v>
                </c:pt>
                <c:pt idx="10" formatCode="0.000">
                  <c:v>2.5785549548758753</c:v>
                </c:pt>
                <c:pt idx="11" formatCode="0.000">
                  <c:v>3.6367724044072189</c:v>
                </c:pt>
                <c:pt idx="12" formatCode="0.000">
                  <c:v>5.065910336083598</c:v>
                </c:pt>
                <c:pt idx="13" formatCode="0.000">
                  <c:v>7.1026918810367352</c:v>
                </c:pt>
                <c:pt idx="14" formatCode="0.000">
                  <c:v>9.5619240230710751</c:v>
                </c:pt>
                <c:pt idx="15" formatCode="0.000">
                  <c:v>13.693916460310067</c:v>
                </c:pt>
                <c:pt idx="16" formatCode="0.000">
                  <c:v>18.581959284145299</c:v>
                </c:pt>
                <c:pt idx="17" formatCode="0.000">
                  <c:v>24.129666824989091</c:v>
                </c:pt>
                <c:pt idx="18" formatCode="0.000">
                  <c:v>30.152630578055113</c:v>
                </c:pt>
                <c:pt idx="19" formatCode="0.000">
                  <c:v>36.396616200951982</c:v>
                </c:pt>
                <c:pt idx="20" formatCode="0.000">
                  <c:v>41.541109602083608</c:v>
                </c:pt>
                <c:pt idx="21" formatCode="0.000">
                  <c:v>46.259486077365004</c:v>
                </c:pt>
                <c:pt idx="22" formatCode="0.000">
                  <c:v>50.388979402244516</c:v>
                </c:pt>
                <c:pt idx="23" formatCode="0.000">
                  <c:v>53.851770407327749</c:v>
                </c:pt>
                <c:pt idx="24" formatCode="0.000">
                  <c:v>56.648450491071813</c:v>
                </c:pt>
                <c:pt idx="25" formatCode="0.000">
                  <c:v>58.83662542435885</c:v>
                </c:pt>
                <c:pt idx="26" formatCode="0.000">
                  <c:v>60.50504675169649</c:v>
                </c:pt>
                <c:pt idx="27" formatCode="0.000">
                  <c:v>61.751541760666612</c:v>
                </c:pt>
                <c:pt idx="28" formatCode="0.000">
                  <c:v>62.668386141952737</c:v>
                </c:pt>
                <c:pt idx="29" formatCode="0.000">
                  <c:v>63.33490413310917</c:v>
                </c:pt>
                <c:pt idx="30" formatCode="0.000">
                  <c:v>63.81526978793012</c:v>
                </c:pt>
                <c:pt idx="31" formatCode="0.000">
                  <c:v>64.159298216989512</c:v>
                </c:pt>
                <c:pt idx="32" formatCode="0.000">
                  <c:v>64.404565677582681</c:v>
                </c:pt>
                <c:pt idx="33" formatCode="0.000">
                  <c:v>64.578853840990618</c:v>
                </c:pt>
                <c:pt idx="34" formatCode="0.000">
                  <c:v>64.702415633412031</c:v>
                </c:pt>
                <c:pt idx="35" formatCode="0.000">
                  <c:v>64.789869925217488</c:v>
                </c:pt>
                <c:pt idx="36" formatCode="0.000">
                  <c:v>64.851695448675372</c:v>
                </c:pt>
                <c:pt idx="37" formatCode="0.000">
                  <c:v>64.895366455712121</c:v>
                </c:pt>
                <c:pt idx="38" formatCode="0.000">
                  <c:v>64.926195719247374</c:v>
                </c:pt>
                <c:pt idx="39" formatCode="0.000">
                  <c:v>64.947950395037239</c:v>
                </c:pt>
                <c:pt idx="40" formatCode="0.000">
                  <c:v>64.963297082810826</c:v>
                </c:pt>
                <c:pt idx="41" formatCode="0.000">
                  <c:v>64.974121057695939</c:v>
                </c:pt>
              </c:numCache>
            </c:numRef>
          </c:val>
          <c:smooth val="0"/>
          <c:extLst>
            <c:ext xmlns:c16="http://schemas.microsoft.com/office/drawing/2014/chart" uri="{C3380CC4-5D6E-409C-BE32-E72D297353CC}">
              <c16:uniqueId val="{00000002-72B2-4FBE-9005-237E3F7E89CD}"/>
            </c:ext>
          </c:extLst>
        </c:ser>
        <c:ser>
          <c:idx val="3"/>
          <c:order val="2"/>
          <c:tx>
            <c:strRef>
              <c:f>'British EV uptake'!$AB$3</c:f>
              <c:strCache>
                <c:ptCount val="1"/>
                <c:pt idx="0">
                  <c:v>raw prediction</c:v>
                </c:pt>
              </c:strCache>
            </c:strRef>
          </c:tx>
          <c:spPr>
            <a:ln w="28575" cap="rnd">
              <a:solidFill>
                <a:schemeClr val="accent4"/>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uptake'!$AB$4:$AB$45</c:f>
              <c:numCache>
                <c:formatCode>0.00</c:formatCode>
                <c:ptCount val="42"/>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pt idx="32">
                  <c:v>64.469797142522211</c:v>
                </c:pt>
                <c:pt idx="33">
                  <c:v>64.625332953094457</c:v>
                </c:pt>
                <c:pt idx="34">
                  <c:v>64.735429340630006</c:v>
                </c:pt>
                <c:pt idx="35">
                  <c:v>64.813267244797558</c:v>
                </c:pt>
                <c:pt idx="36">
                  <c:v>64.868251486015907</c:v>
                </c:pt>
                <c:pt idx="37">
                  <c:v>64.907068601549511</c:v>
                </c:pt>
                <c:pt idx="38">
                  <c:v>64.934460570383877</c:v>
                </c:pt>
                <c:pt idx="39">
                  <c:v>64.953784375813754</c:v>
                </c:pt>
                <c:pt idx="40">
                  <c:v>64.967413562473823</c:v>
                </c:pt>
                <c:pt idx="41">
                  <c:v>64.977024864965273</c:v>
                </c:pt>
              </c:numCache>
            </c:numRef>
          </c:val>
          <c:smooth val="0"/>
          <c:extLst>
            <c:ext xmlns:c16="http://schemas.microsoft.com/office/drawing/2014/chart" uri="{C3380CC4-5D6E-409C-BE32-E72D297353CC}">
              <c16:uniqueId val="{00000003-72B2-4FBE-9005-237E3F7E89CD}"/>
            </c:ext>
          </c:extLst>
        </c:ser>
        <c:dLbls>
          <c:showLegendKey val="0"/>
          <c:showVal val="0"/>
          <c:showCatName val="0"/>
          <c:showSerName val="0"/>
          <c:showPercent val="0"/>
          <c:showBubbleSize val="0"/>
        </c:dLbls>
        <c:smooth val="0"/>
        <c:axId val="613946304"/>
        <c:axId val="613948600"/>
      </c:lineChart>
      <c:catAx>
        <c:axId val="61394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8600"/>
        <c:crosses val="autoZero"/>
        <c:auto val="1"/>
        <c:lblAlgn val="ctr"/>
        <c:lblOffset val="100"/>
        <c:noMultiLvlLbl val="0"/>
      </c:catAx>
      <c:valAx>
        <c:axId val="613948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uptake'!$B$3</c:f>
              <c:strCache>
                <c:ptCount val="1"/>
                <c:pt idx="0">
                  <c:v>EV %sales</c:v>
                </c:pt>
              </c:strCache>
            </c:strRef>
          </c:tx>
          <c:spPr>
            <a:ln w="44450" cap="rnd">
              <a:solidFill>
                <a:schemeClr val="tx1"/>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uptake'!$B$4:$B$45</c:f>
              <c:numCache>
                <c:formatCode>0.00</c:formatCode>
                <c:ptCount val="42"/>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pt idx="9">
                  <c:v>2.42</c:v>
                </c:pt>
              </c:numCache>
            </c:numRef>
          </c:val>
          <c:smooth val="0"/>
          <c:extLst>
            <c:ext xmlns:c16="http://schemas.microsoft.com/office/drawing/2014/chart" uri="{C3380CC4-5D6E-409C-BE32-E72D297353CC}">
              <c16:uniqueId val="{00000000-84DE-4C99-84B8-6A768367CD5F}"/>
            </c:ext>
          </c:extLst>
        </c:ser>
        <c:ser>
          <c:idx val="3"/>
          <c:order val="1"/>
          <c:tx>
            <c:strRef>
              <c:f>'British EV uptake'!$AB$3</c:f>
              <c:strCache>
                <c:ptCount val="1"/>
                <c:pt idx="0">
                  <c:v>raw prediction</c:v>
                </c:pt>
              </c:strCache>
            </c:strRef>
          </c:tx>
          <c:spPr>
            <a:ln w="28575" cap="rnd">
              <a:solidFill>
                <a:schemeClr val="accent4"/>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uptake'!$AB$4:$AB$45</c:f>
              <c:numCache>
                <c:formatCode>0.00</c:formatCode>
                <c:ptCount val="42"/>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pt idx="32">
                  <c:v>64.469797142522211</c:v>
                </c:pt>
                <c:pt idx="33">
                  <c:v>64.625332953094457</c:v>
                </c:pt>
                <c:pt idx="34">
                  <c:v>64.735429340630006</c:v>
                </c:pt>
                <c:pt idx="35">
                  <c:v>64.813267244797558</c:v>
                </c:pt>
                <c:pt idx="36">
                  <c:v>64.868251486015907</c:v>
                </c:pt>
                <c:pt idx="37">
                  <c:v>64.907068601549511</c:v>
                </c:pt>
                <c:pt idx="38">
                  <c:v>64.934460570383877</c:v>
                </c:pt>
                <c:pt idx="39">
                  <c:v>64.953784375813754</c:v>
                </c:pt>
                <c:pt idx="40">
                  <c:v>64.967413562473823</c:v>
                </c:pt>
                <c:pt idx="41">
                  <c:v>64.977024864965273</c:v>
                </c:pt>
              </c:numCache>
            </c:numRef>
          </c:val>
          <c:smooth val="0"/>
          <c:extLst>
            <c:ext xmlns:c16="http://schemas.microsoft.com/office/drawing/2014/chart" uri="{C3380CC4-5D6E-409C-BE32-E72D297353CC}">
              <c16:uniqueId val="{00000003-84DE-4C99-84B8-6A768367CD5F}"/>
            </c:ext>
          </c:extLst>
        </c:ser>
        <c:dLbls>
          <c:showLegendKey val="0"/>
          <c:showVal val="0"/>
          <c:showCatName val="0"/>
          <c:showSerName val="0"/>
          <c:showPercent val="0"/>
          <c:showBubbleSize val="0"/>
        </c:dLbls>
        <c:smooth val="0"/>
        <c:axId val="613946304"/>
        <c:axId val="613948600"/>
      </c:lineChart>
      <c:catAx>
        <c:axId val="61394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8600"/>
        <c:crosses val="autoZero"/>
        <c:auto val="1"/>
        <c:lblAlgn val="ctr"/>
        <c:lblOffset val="100"/>
        <c:noMultiLvlLbl val="0"/>
      </c:catAx>
      <c:valAx>
        <c:axId val="613948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4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uptake'!$S$3</c:f>
              <c:strCache>
                <c:ptCount val="1"/>
                <c:pt idx="0">
                  <c:v>High</c:v>
                </c:pt>
              </c:strCache>
            </c:strRef>
          </c:tx>
          <c:spPr>
            <a:ln w="28575" cap="rnd">
              <a:solidFill>
                <a:schemeClr val="accent1"/>
              </a:solidFill>
              <a:round/>
            </a:ln>
            <a:effectLst/>
          </c:spPr>
          <c:marker>
            <c:symbol val="none"/>
          </c:marker>
          <c:cat>
            <c:numRef>
              <c:f>'British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uptake'!$S$4:$S$25</c:f>
              <c:numCache>
                <c:formatCode>General</c:formatCode>
                <c:ptCount val="22"/>
                <c:pt idx="3" formatCode="0.00">
                  <c:v>0.12311636472094348</c:v>
                </c:pt>
                <c:pt idx="4" formatCode="0.00">
                  <c:v>0.17450773560150143</c:v>
                </c:pt>
                <c:pt idx="5" formatCode="0.00">
                  <c:v>0.62214017193631121</c:v>
                </c:pt>
                <c:pt idx="6" formatCode="0.00">
                  <c:v>1.1141054329537496</c:v>
                </c:pt>
                <c:pt idx="7" formatCode="0.00">
                  <c:v>1.2399004278695112</c:v>
                </c:pt>
                <c:pt idx="8" formatCode="0.00">
                  <c:v>1.7449230058151759</c:v>
                </c:pt>
                <c:pt idx="9" formatCode="0.00">
                  <c:v>2.4477489867286506</c:v>
                </c:pt>
                <c:pt idx="10" formatCode="0.00">
                  <c:v>3.4183633247503673</c:v>
                </c:pt>
                <c:pt idx="11" formatCode="0.00">
                  <c:v>4.0910693514330223</c:v>
                </c:pt>
                <c:pt idx="12" formatCode="0.00">
                  <c:v>5.0033482385824524</c:v>
                </c:pt>
                <c:pt idx="13" formatCode="0.00">
                  <c:v>6.4980718304593745</c:v>
                </c:pt>
                <c:pt idx="14" formatCode="0.00">
                  <c:v>8.3603724179820471</c:v>
                </c:pt>
                <c:pt idx="15" formatCode="0.00">
                  <c:v>10.670355484111964</c:v>
                </c:pt>
                <c:pt idx="16" formatCode="0.00">
                  <c:v>13.489454582363944</c:v>
                </c:pt>
                <c:pt idx="17" formatCode="0.00">
                  <c:v>16.859013093137161</c:v>
                </c:pt>
                <c:pt idx="18" formatCode="0.00">
                  <c:v>20.712798550045154</c:v>
                </c:pt>
                <c:pt idx="19" formatCode="0.00">
                  <c:v>25.020536713540668</c:v>
                </c:pt>
                <c:pt idx="20" formatCode="0.00">
                  <c:v>29.720509686671246</c:v>
                </c:pt>
                <c:pt idx="21" formatCode="0.00">
                  <c:v>34.461644181706482</c:v>
                </c:pt>
              </c:numCache>
            </c:numRef>
          </c:val>
          <c:smooth val="0"/>
          <c:extLst>
            <c:ext xmlns:c16="http://schemas.microsoft.com/office/drawing/2014/chart" uri="{C3380CC4-5D6E-409C-BE32-E72D297353CC}">
              <c16:uniqueId val="{00000000-C189-45DC-AE21-52C5A99E4D2A}"/>
            </c:ext>
          </c:extLst>
        </c:ser>
        <c:ser>
          <c:idx val="1"/>
          <c:order val="1"/>
          <c:tx>
            <c:strRef>
              <c:f>'British EV uptake'!$T$3</c:f>
              <c:strCache>
                <c:ptCount val="1"/>
                <c:pt idx="0">
                  <c:v>Medium</c:v>
                </c:pt>
              </c:strCache>
            </c:strRef>
          </c:tx>
          <c:spPr>
            <a:ln w="28575" cap="rnd">
              <a:solidFill>
                <a:schemeClr val="accent2"/>
              </a:solidFill>
              <a:round/>
            </a:ln>
            <a:effectLst/>
          </c:spPr>
          <c:marker>
            <c:symbol val="none"/>
          </c:marker>
          <c:cat>
            <c:numRef>
              <c:f>'British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uptake'!$T$4:$T$25</c:f>
              <c:numCache>
                <c:formatCode>General</c:formatCode>
                <c:ptCount val="22"/>
                <c:pt idx="3" formatCode="0.00">
                  <c:v>0.12311636472094348</c:v>
                </c:pt>
                <c:pt idx="4" formatCode="0.00">
                  <c:v>0.17450773560150143</c:v>
                </c:pt>
                <c:pt idx="5" formatCode="0.00">
                  <c:v>0.62214017193631121</c:v>
                </c:pt>
                <c:pt idx="6" formatCode="0.00">
                  <c:v>1.1141054329537496</c:v>
                </c:pt>
                <c:pt idx="7" formatCode="0.00">
                  <c:v>1.2399004278695112</c:v>
                </c:pt>
                <c:pt idx="8" formatCode="0.00">
                  <c:v>1.7449230058151759</c:v>
                </c:pt>
                <c:pt idx="9" formatCode="0.00">
                  <c:v>2.4477489867286506</c:v>
                </c:pt>
                <c:pt idx="10" formatCode="0.00">
                  <c:v>3.4183633247503673</c:v>
                </c:pt>
                <c:pt idx="11" formatCode="0.00">
                  <c:v>4.0264837096282111</c:v>
                </c:pt>
                <c:pt idx="12" formatCode="0.00">
                  <c:v>4.6678633605832385</c:v>
                </c:pt>
                <c:pt idx="13" formatCode="0.00">
                  <c:v>6.0277420639963921</c:v>
                </c:pt>
                <c:pt idx="14" formatCode="0.00">
                  <c:v>7.7213108086701068</c:v>
                </c:pt>
                <c:pt idx="15" formatCode="0.00">
                  <c:v>9.8172621104326403</c:v>
                </c:pt>
                <c:pt idx="16" formatCode="0.00">
                  <c:v>12.38227248314139</c:v>
                </c:pt>
                <c:pt idx="17" formatCode="0.00">
                  <c:v>15.326228918126082</c:v>
                </c:pt>
                <c:pt idx="18" formatCode="0.00">
                  <c:v>18.688647046715996</c:v>
                </c:pt>
                <c:pt idx="19" formatCode="0.00">
                  <c:v>22.338012040843889</c:v>
                </c:pt>
                <c:pt idx="20" formatCode="0.00">
                  <c:v>26.210065115308712</c:v>
                </c:pt>
                <c:pt idx="21" formatCode="0.00">
                  <c:v>30.215984364203909</c:v>
                </c:pt>
              </c:numCache>
            </c:numRef>
          </c:val>
          <c:smooth val="0"/>
          <c:extLst>
            <c:ext xmlns:c16="http://schemas.microsoft.com/office/drawing/2014/chart" uri="{C3380CC4-5D6E-409C-BE32-E72D297353CC}">
              <c16:uniqueId val="{00000001-C189-45DC-AE21-52C5A99E4D2A}"/>
            </c:ext>
          </c:extLst>
        </c:ser>
        <c:ser>
          <c:idx val="2"/>
          <c:order val="2"/>
          <c:tx>
            <c:strRef>
              <c:f>'British EV uptake'!$U$3</c:f>
              <c:strCache>
                <c:ptCount val="1"/>
                <c:pt idx="0">
                  <c:v>Low</c:v>
                </c:pt>
              </c:strCache>
            </c:strRef>
          </c:tx>
          <c:spPr>
            <a:ln w="28575" cap="rnd">
              <a:solidFill>
                <a:schemeClr val="accent3"/>
              </a:solidFill>
              <a:round/>
            </a:ln>
            <a:effectLst/>
          </c:spPr>
          <c:marker>
            <c:symbol val="none"/>
          </c:marker>
          <c:cat>
            <c:numRef>
              <c:f>'British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uptake'!$U$4:$U$25</c:f>
              <c:numCache>
                <c:formatCode>General</c:formatCode>
                <c:ptCount val="22"/>
                <c:pt idx="3" formatCode="0.00">
                  <c:v>0.12311636472094348</c:v>
                </c:pt>
                <c:pt idx="4" formatCode="0.00">
                  <c:v>0.17450773560150143</c:v>
                </c:pt>
                <c:pt idx="5" formatCode="0.00">
                  <c:v>0.62214017193631121</c:v>
                </c:pt>
                <c:pt idx="6" formatCode="0.00">
                  <c:v>1.1141054329537496</c:v>
                </c:pt>
                <c:pt idx="7" formatCode="0.00">
                  <c:v>1.2399004278695112</c:v>
                </c:pt>
                <c:pt idx="8" formatCode="0.00">
                  <c:v>1.7449230058151759</c:v>
                </c:pt>
                <c:pt idx="9" formatCode="0.00">
                  <c:v>2.4477489867286506</c:v>
                </c:pt>
                <c:pt idx="10" formatCode="0.00">
                  <c:v>3.4183633247503673</c:v>
                </c:pt>
                <c:pt idx="11" formatCode="0.00">
                  <c:v>3.7745524095479102</c:v>
                </c:pt>
                <c:pt idx="12" formatCode="0.00">
                  <c:v>4.0212808360051566</c:v>
                </c:pt>
                <c:pt idx="13" formatCode="0.00">
                  <c:v>5.2372181919012997</c:v>
                </c:pt>
                <c:pt idx="14" formatCode="0.00">
                  <c:v>6.810985734153836</c:v>
                </c:pt>
                <c:pt idx="15" formatCode="0.00">
                  <c:v>8.7995594817115066</c:v>
                </c:pt>
                <c:pt idx="16" formatCode="0.00">
                  <c:v>11.266501538856565</c:v>
                </c:pt>
                <c:pt idx="17" formatCode="0.00">
                  <c:v>14.205964887052293</c:v>
                </c:pt>
                <c:pt idx="18" formatCode="0.00">
                  <c:v>17.509152785959806</c:v>
                </c:pt>
                <c:pt idx="19" formatCode="0.00">
                  <c:v>21.18102426334158</c:v>
                </c:pt>
                <c:pt idx="20" formatCode="0.00">
                  <c:v>25.034024387564759</c:v>
                </c:pt>
                <c:pt idx="21" formatCode="0.00">
                  <c:v>28.98416048174747</c:v>
                </c:pt>
              </c:numCache>
            </c:numRef>
          </c:val>
          <c:smooth val="0"/>
          <c:extLst>
            <c:ext xmlns:c16="http://schemas.microsoft.com/office/drawing/2014/chart" uri="{C3380CC4-5D6E-409C-BE32-E72D297353CC}">
              <c16:uniqueId val="{00000002-C189-45DC-AE21-52C5A99E4D2A}"/>
            </c:ext>
          </c:extLst>
        </c:ser>
        <c:dLbls>
          <c:showLegendKey val="0"/>
          <c:showVal val="0"/>
          <c:showCatName val="0"/>
          <c:showSerName val="0"/>
          <c:showPercent val="0"/>
          <c:showBubbleSize val="0"/>
        </c:dLbls>
        <c:smooth val="0"/>
        <c:axId val="787374872"/>
        <c:axId val="787375200"/>
      </c:lineChart>
      <c:catAx>
        <c:axId val="78737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75200"/>
        <c:crosses val="autoZero"/>
        <c:auto val="1"/>
        <c:lblAlgn val="ctr"/>
        <c:lblOffset val="100"/>
        <c:noMultiLvlLbl val="0"/>
      </c:catAx>
      <c:valAx>
        <c:axId val="78737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Germany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'EV %sales'!$AM$50</c:f>
              <c:strCache>
                <c:ptCount val="1"/>
                <c:pt idx="0">
                  <c:v>3789.564</c:v>
                </c:pt>
              </c:strCache>
            </c:strRef>
          </c:tx>
          <c:spPr>
            <a:ln w="28575" cap="rnd">
              <a:solidFill>
                <a:schemeClr val="accent2"/>
              </a:solidFill>
              <a:round/>
            </a:ln>
            <a:effectLst/>
          </c:spPr>
          <c:marker>
            <c:symbol val="none"/>
          </c:marker>
          <c:cat>
            <c:numRef>
              <c:f>'EV %sales'!$AA$51:$AA$58</c:f>
              <c:numCache>
                <c:formatCode>General</c:formatCode>
                <c:ptCount val="8"/>
              </c:numCache>
            </c:numRef>
          </c:cat>
          <c:val>
            <c:numRef>
              <c:f>'EV %sales'!$AM$51:$AM$58</c:f>
              <c:numCache>
                <c:formatCode>0.000</c:formatCode>
                <c:ptCount val="8"/>
                <c:pt idx="0">
                  <c:v>2877.79</c:v>
                </c:pt>
                <c:pt idx="1">
                  <c:v>3174</c:v>
                </c:pt>
                <c:pt idx="2">
                  <c:v>3082.3519999999999</c:v>
                </c:pt>
                <c:pt idx="3">
                  <c:v>2952.2570000000001</c:v>
                </c:pt>
                <c:pt idx="4">
                  <c:v>3036.6289999999999</c:v>
                </c:pt>
                <c:pt idx="5">
                  <c:v>3205.9189999999999</c:v>
                </c:pt>
                <c:pt idx="6">
                  <c:v>3351.4690000000001</c:v>
                </c:pt>
                <c:pt idx="7">
                  <c:v>3441.261</c:v>
                </c:pt>
              </c:numCache>
            </c:numRef>
          </c:val>
          <c:smooth val="0"/>
          <c:extLst>
            <c:ext xmlns:c16="http://schemas.microsoft.com/office/drawing/2014/chart" uri="{C3380CC4-5D6E-409C-BE32-E72D297353CC}">
              <c16:uniqueId val="{00000001-4850-480B-A183-5524FEA4C35A}"/>
            </c:ext>
          </c:extLst>
        </c:ser>
        <c:ser>
          <c:idx val="2"/>
          <c:order val="1"/>
          <c:tx>
            <c:strRef>
              <c:f>'EV %sales'!$BP$76</c:f>
              <c:strCache>
                <c:ptCount val="1"/>
                <c:pt idx="0">
                  <c:v>Germany</c:v>
                </c:pt>
              </c:strCache>
            </c:strRef>
          </c:tx>
          <c:spPr>
            <a:ln w="28575" cap="rnd">
              <a:solidFill>
                <a:schemeClr val="accent3"/>
              </a:solidFill>
              <a:round/>
            </a:ln>
            <a:effectLst/>
          </c:spPr>
          <c:marker>
            <c:symbol val="none"/>
          </c:marker>
          <c:val>
            <c:numRef>
              <c:f>'EV %sales'!$BP$82:$BP$89</c:f>
              <c:numCache>
                <c:formatCode>0</c:formatCode>
                <c:ptCount val="8"/>
                <c:pt idx="0">
                  <c:v>2916</c:v>
                </c:pt>
                <c:pt idx="1">
                  <c:v>3174</c:v>
                </c:pt>
                <c:pt idx="2">
                  <c:v>3083</c:v>
                </c:pt>
                <c:pt idx="3">
                  <c:v>2952</c:v>
                </c:pt>
                <c:pt idx="4">
                  <c:v>3037</c:v>
                </c:pt>
                <c:pt idx="5">
                  <c:v>3206</c:v>
                </c:pt>
              </c:numCache>
            </c:numRef>
          </c:val>
          <c:smooth val="0"/>
          <c:extLst>
            <c:ext xmlns:c16="http://schemas.microsoft.com/office/drawing/2014/chart" uri="{C3380CC4-5D6E-409C-BE32-E72D297353CC}">
              <c16:uniqueId val="{00000002-4850-480B-A183-5524FEA4C35A}"/>
            </c:ext>
          </c:extLst>
        </c:ser>
        <c:dLbls>
          <c:showLegendKey val="0"/>
          <c:showVal val="0"/>
          <c:showCatName val="0"/>
          <c:showSerName val="0"/>
          <c:showPercent val="0"/>
          <c:showBubbleSize val="0"/>
        </c:dLbls>
        <c:smooth val="0"/>
        <c:axId val="577981544"/>
        <c:axId val="577977936"/>
      </c:lineChart>
      <c:catAx>
        <c:axId val="57798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977936"/>
        <c:crosses val="autoZero"/>
        <c:auto val="1"/>
        <c:lblAlgn val="ctr"/>
        <c:lblOffset val="100"/>
        <c:noMultiLvlLbl val="0"/>
      </c:catAx>
      <c:valAx>
        <c:axId val="57797793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98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uptake'!$X$3</c:f>
              <c:strCache>
                <c:ptCount val="1"/>
                <c:pt idx="0">
                  <c:v>High</c:v>
                </c:pt>
              </c:strCache>
            </c:strRef>
          </c:tx>
          <c:spPr>
            <a:ln w="28575" cap="rnd">
              <a:solidFill>
                <a:schemeClr val="accent1"/>
              </a:solidFill>
              <a:round/>
            </a:ln>
            <a:effectLst/>
          </c:spPr>
          <c:marker>
            <c:symbol val="none"/>
          </c:marker>
          <c:cat>
            <c:numRef>
              <c:f>'British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uptake'!$X$4:$X$25</c:f>
              <c:numCache>
                <c:formatCode>General</c:formatCode>
                <c:ptCount val="22"/>
                <c:pt idx="3" formatCode="0.0">
                  <c:v>0.12311636472094348</c:v>
                </c:pt>
                <c:pt idx="4" formatCode="0.0">
                  <c:v>0.17450773560150143</c:v>
                </c:pt>
                <c:pt idx="5" formatCode="0.0">
                  <c:v>0.62214017193631121</c:v>
                </c:pt>
                <c:pt idx="6" formatCode="0.0">
                  <c:v>1.1141054329537496</c:v>
                </c:pt>
                <c:pt idx="7" formatCode="0.0">
                  <c:v>1.2399004278695112</c:v>
                </c:pt>
                <c:pt idx="8" formatCode="0.0">
                  <c:v>1.7449230058151759</c:v>
                </c:pt>
                <c:pt idx="9" formatCode="0.0">
                  <c:v>2.4477489867286506</c:v>
                </c:pt>
                <c:pt idx="10" formatCode="0.0">
                  <c:v>3.4183633247503673</c:v>
                </c:pt>
                <c:pt idx="11" formatCode="0.0">
                  <c:v>3.5325405956347429</c:v>
                </c:pt>
                <c:pt idx="12" formatCode="0.0">
                  <c:v>2.8120393667872214</c:v>
                </c:pt>
                <c:pt idx="13" formatCode="0.0">
                  <c:v>3.3211725011489759</c:v>
                </c:pt>
                <c:pt idx="14" formatCode="0.0">
                  <c:v>3.9247440640247988</c:v>
                </c:pt>
                <c:pt idx="15" formatCode="0.0">
                  <c:v>4.6775517046966355</c:v>
                </c:pt>
                <c:pt idx="16" formatCode="0.0">
                  <c:v>5.5906401751669392</c:v>
                </c:pt>
                <c:pt idx="17" formatCode="0.0">
                  <c:v>6.65831771304242</c:v>
                </c:pt>
                <c:pt idx="18" formatCode="0.0">
                  <c:v>7.8861342622984285</c:v>
                </c:pt>
                <c:pt idx="19" formatCode="0.0">
                  <c:v>9.2781887792818072</c:v>
                </c:pt>
                <c:pt idx="20" formatCode="0.0">
                  <c:v>10.815419912991965</c:v>
                </c:pt>
                <c:pt idx="21" formatCode="0.0">
                  <c:v>12.496101231564738</c:v>
                </c:pt>
              </c:numCache>
            </c:numRef>
          </c:val>
          <c:smooth val="0"/>
          <c:extLst>
            <c:ext xmlns:c16="http://schemas.microsoft.com/office/drawing/2014/chart" uri="{C3380CC4-5D6E-409C-BE32-E72D297353CC}">
              <c16:uniqueId val="{00000000-C11D-4F37-82B3-DAC21D63776F}"/>
            </c:ext>
          </c:extLst>
        </c:ser>
        <c:ser>
          <c:idx val="1"/>
          <c:order val="1"/>
          <c:tx>
            <c:strRef>
              <c:f>'British EV uptake'!$Y$3</c:f>
              <c:strCache>
                <c:ptCount val="1"/>
                <c:pt idx="0">
                  <c:v>Medium</c:v>
                </c:pt>
              </c:strCache>
            </c:strRef>
          </c:tx>
          <c:spPr>
            <a:ln w="28575" cap="rnd">
              <a:solidFill>
                <a:schemeClr val="accent2"/>
              </a:solidFill>
              <a:round/>
            </a:ln>
            <a:effectLst/>
          </c:spPr>
          <c:marker>
            <c:symbol val="none"/>
          </c:marker>
          <c:cat>
            <c:numRef>
              <c:f>'British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uptake'!$Y$4:$Y$25</c:f>
              <c:numCache>
                <c:formatCode>General</c:formatCode>
                <c:ptCount val="22"/>
                <c:pt idx="3" formatCode="0.00">
                  <c:v>0.12311636472094348</c:v>
                </c:pt>
                <c:pt idx="4" formatCode="0.00">
                  <c:v>0.17450773560150143</c:v>
                </c:pt>
                <c:pt idx="5" formatCode="0.00">
                  <c:v>0.62214017193631121</c:v>
                </c:pt>
                <c:pt idx="6" formatCode="0.00">
                  <c:v>1.1141054329537496</c:v>
                </c:pt>
                <c:pt idx="7" formatCode="0.00">
                  <c:v>1.2399004278695112</c:v>
                </c:pt>
                <c:pt idx="8" formatCode="0.00">
                  <c:v>1.7449230058151759</c:v>
                </c:pt>
                <c:pt idx="9" formatCode="0.00">
                  <c:v>2.4477489867286506</c:v>
                </c:pt>
                <c:pt idx="10" formatCode="0.00">
                  <c:v>3.4183633247503673</c:v>
                </c:pt>
                <c:pt idx="11" formatCode="0.00">
                  <c:v>4.0264837096282111</c:v>
                </c:pt>
                <c:pt idx="12" formatCode="0.00">
                  <c:v>4.6678633605832385</c:v>
                </c:pt>
                <c:pt idx="13" formatCode="0.00">
                  <c:v>6.0277420639963921</c:v>
                </c:pt>
                <c:pt idx="14" formatCode="0.00">
                  <c:v>7.7213108086701068</c:v>
                </c:pt>
                <c:pt idx="15" formatCode="0.00">
                  <c:v>9.8172621104326403</c:v>
                </c:pt>
                <c:pt idx="16" formatCode="0.00">
                  <c:v>12.38227248314139</c:v>
                </c:pt>
                <c:pt idx="17" formatCode="0.00">
                  <c:v>15.326228918126082</c:v>
                </c:pt>
                <c:pt idx="18" formatCode="0.00">
                  <c:v>18.688647046715996</c:v>
                </c:pt>
                <c:pt idx="19" formatCode="0.00">
                  <c:v>22.338012040843889</c:v>
                </c:pt>
                <c:pt idx="20" formatCode="0.00">
                  <c:v>26.210065115308712</c:v>
                </c:pt>
                <c:pt idx="21" formatCode="0.00">
                  <c:v>30.215984364203909</c:v>
                </c:pt>
              </c:numCache>
            </c:numRef>
          </c:val>
          <c:smooth val="0"/>
          <c:extLst>
            <c:ext xmlns:c16="http://schemas.microsoft.com/office/drawing/2014/chart" uri="{C3380CC4-5D6E-409C-BE32-E72D297353CC}">
              <c16:uniqueId val="{00000001-C11D-4F37-82B3-DAC21D63776F}"/>
            </c:ext>
          </c:extLst>
        </c:ser>
        <c:ser>
          <c:idx val="2"/>
          <c:order val="2"/>
          <c:tx>
            <c:strRef>
              <c:f>'British EV uptake'!$Z$3</c:f>
              <c:strCache>
                <c:ptCount val="1"/>
                <c:pt idx="0">
                  <c:v>Low</c:v>
                </c:pt>
              </c:strCache>
            </c:strRef>
          </c:tx>
          <c:spPr>
            <a:ln w="28575" cap="rnd">
              <a:solidFill>
                <a:schemeClr val="accent3"/>
              </a:solidFill>
              <a:round/>
            </a:ln>
            <a:effectLst/>
          </c:spPr>
          <c:marker>
            <c:symbol val="none"/>
          </c:marker>
          <c:cat>
            <c:numRef>
              <c:f>'British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'British EV uptake'!$Z$4:$Z$25</c:f>
              <c:numCache>
                <c:formatCode>General</c:formatCode>
                <c:ptCount val="22"/>
                <c:pt idx="3" formatCode="0.0">
                  <c:v>0.12311636472094348</c:v>
                </c:pt>
                <c:pt idx="4" formatCode="0.0">
                  <c:v>0.17450773560150143</c:v>
                </c:pt>
                <c:pt idx="5" formatCode="0.0">
                  <c:v>0.62214017193631121</c:v>
                </c:pt>
                <c:pt idx="6" formatCode="0.0">
                  <c:v>1.1141054329537496</c:v>
                </c:pt>
                <c:pt idx="7" formatCode="0.0">
                  <c:v>1.2399004278695112</c:v>
                </c:pt>
                <c:pt idx="8" formatCode="0.0">
                  <c:v>1.7449230058151759</c:v>
                </c:pt>
                <c:pt idx="9" formatCode="0.0">
                  <c:v>2.4477489867286506</c:v>
                </c:pt>
                <c:pt idx="10" formatCode="0.0">
                  <c:v>3.4183633247503673</c:v>
                </c:pt>
                <c:pt idx="11" formatCode="0.0">
                  <c:v>4.49587122341672</c:v>
                </c:pt>
                <c:pt idx="12" formatCode="0.0">
                  <c:v>7.6055089485790131</c:v>
                </c:pt>
                <c:pt idx="13" formatCode="0.0">
                  <c:v>10.601025026205097</c:v>
                </c:pt>
                <c:pt idx="14" formatCode="0.0">
                  <c:v>14.529178033777111</c:v>
                </c:pt>
                <c:pt idx="15" formatCode="0.0">
                  <c:v>19.318161939909846</c:v>
                </c:pt>
                <c:pt idx="16" formatCode="0.0">
                  <c:v>24.803997283274807</c:v>
                </c:pt>
                <c:pt idx="17" formatCode="0.0">
                  <c:v>30.744492346528091</c:v>
                </c:pt>
                <c:pt idx="18" formatCode="0.0">
                  <c:v>36.814835337633042</c:v>
                </c:pt>
                <c:pt idx="19" formatCode="0.0">
                  <c:v>42.649033801542672</c:v>
                </c:pt>
                <c:pt idx="20" formatCode="0.0">
                  <c:v>48.007354461812859</c:v>
                </c:pt>
                <c:pt idx="21" formatCode="0.0">
                  <c:v>52.460836619628232</c:v>
                </c:pt>
              </c:numCache>
            </c:numRef>
          </c:val>
          <c:smooth val="0"/>
          <c:extLst>
            <c:ext xmlns:c16="http://schemas.microsoft.com/office/drawing/2014/chart" uri="{C3380CC4-5D6E-409C-BE32-E72D297353CC}">
              <c16:uniqueId val="{00000002-C11D-4F37-82B3-DAC21D63776F}"/>
            </c:ext>
          </c:extLst>
        </c:ser>
        <c:dLbls>
          <c:showLegendKey val="0"/>
          <c:showVal val="0"/>
          <c:showCatName val="0"/>
          <c:showSerName val="0"/>
          <c:showPercent val="0"/>
          <c:showBubbleSize val="0"/>
        </c:dLbls>
        <c:smooth val="0"/>
        <c:axId val="787290248"/>
        <c:axId val="787293200"/>
      </c:lineChart>
      <c:catAx>
        <c:axId val="78729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293200"/>
        <c:crosses val="autoZero"/>
        <c:auto val="1"/>
        <c:lblAlgn val="ctr"/>
        <c:lblOffset val="100"/>
        <c:noMultiLvlLbl val="0"/>
      </c:catAx>
      <c:valAx>
        <c:axId val="787293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290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'British EV uptake'!$AZ$3</c:f>
              <c:strCache>
                <c:ptCount val="1"/>
                <c:pt idx="0">
                  <c:v>Linearized Logistic</c:v>
                </c:pt>
              </c:strCache>
            </c:strRef>
          </c:tx>
          <c:spPr>
            <a:ln w="47625" cap="rnd">
              <a:solidFill>
                <a:schemeClr val="tx1"/>
              </a:solidFill>
              <a:round/>
            </a:ln>
            <a:effectLst/>
          </c:spPr>
          <c:marker>
            <c:symbol val="none"/>
          </c:marker>
          <c:cat>
            <c:numRef>
              <c:f>'British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'British EV uptake'!$AZ$4:$AZ$13</c:f>
              <c:numCache>
                <c:formatCode>General</c:formatCode>
                <c:ptCount val="10"/>
                <c:pt idx="2">
                  <c:v>-7.3694690065006121</c:v>
                </c:pt>
                <c:pt idx="3">
                  <c:v>-6.6298375237892717</c:v>
                </c:pt>
                <c:pt idx="4">
                  <c:v>-6.4018008826108321</c:v>
                </c:pt>
                <c:pt idx="5">
                  <c:v>-5.1180405292871392</c:v>
                </c:pt>
                <c:pt idx="6">
                  <c:v>-4.4859148246607203</c:v>
                </c:pt>
                <c:pt idx="7">
                  <c:v>-4.3251929998374736</c:v>
                </c:pt>
                <c:pt idx="8">
                  <c:v>-4.0226738919157166</c:v>
                </c:pt>
                <c:pt idx="9">
                  <c:v>-3.6969050142190962</c:v>
                </c:pt>
              </c:numCache>
            </c:numRef>
          </c:val>
          <c:smooth val="0"/>
          <c:extLst>
            <c:ext xmlns:c16="http://schemas.microsoft.com/office/drawing/2014/chart" uri="{C3380CC4-5D6E-409C-BE32-E72D297353CC}">
              <c16:uniqueId val="{00000000-0528-4B84-BE2D-2A0BDED9B447}"/>
            </c:ext>
          </c:extLst>
        </c:ser>
        <c:ser>
          <c:idx val="1"/>
          <c:order val="1"/>
          <c:tx>
            <c:strRef>
              <c:f>'British EV uptake'!$BA$3</c:f>
              <c:strCache>
                <c:ptCount val="1"/>
                <c:pt idx="0">
                  <c:v>predicted</c:v>
                </c:pt>
              </c:strCache>
            </c:strRef>
          </c:tx>
          <c:spPr>
            <a:ln w="28575" cap="rnd">
              <a:solidFill>
                <a:schemeClr val="accent2"/>
              </a:solidFill>
              <a:round/>
            </a:ln>
            <a:effectLst/>
          </c:spPr>
          <c:marker>
            <c:symbol val="none"/>
          </c:marker>
          <c:cat>
            <c:numRef>
              <c:f>'British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'British EV uptake'!$BA$4:$BA$13</c:f>
              <c:numCache>
                <c:formatCode>General</c:formatCode>
                <c:ptCount val="10"/>
                <c:pt idx="2">
                  <c:v>-7.3565749691646101</c:v>
                </c:pt>
                <c:pt idx="3">
                  <c:v>-6.6988769619803659</c:v>
                </c:pt>
                <c:pt idx="4">
                  <c:v>-6.3499534942010749</c:v>
                </c:pt>
                <c:pt idx="5">
                  <c:v>-5.0747064082069286</c:v>
                </c:pt>
                <c:pt idx="6">
                  <c:v>-4.4859148246607203</c:v>
                </c:pt>
                <c:pt idx="7">
                  <c:v>-4.3768594726483459</c:v>
                </c:pt>
                <c:pt idx="8">
                  <c:v>-4.0279360048690549</c:v>
                </c:pt>
                <c:pt idx="9">
                  <c:v>-3.6790125370897631</c:v>
                </c:pt>
              </c:numCache>
            </c:numRef>
          </c:val>
          <c:smooth val="0"/>
          <c:extLst>
            <c:ext xmlns:c16="http://schemas.microsoft.com/office/drawing/2014/chart" uri="{C3380CC4-5D6E-409C-BE32-E72D297353CC}">
              <c16:uniqueId val="{00000001-0528-4B84-BE2D-2A0BDED9B447}"/>
            </c:ext>
          </c:extLst>
        </c:ser>
        <c:dLbls>
          <c:showLegendKey val="0"/>
          <c:showVal val="0"/>
          <c:showCatName val="0"/>
          <c:showSerName val="0"/>
          <c:showPercent val="0"/>
          <c:showBubbleSize val="0"/>
        </c:dLbls>
        <c:smooth val="0"/>
        <c:axId val="635395304"/>
        <c:axId val="635389728"/>
      </c:lineChart>
      <c:catAx>
        <c:axId val="63539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389728"/>
        <c:crosses val="autoZero"/>
        <c:auto val="1"/>
        <c:lblAlgn val="ctr"/>
        <c:lblOffset val="100"/>
        <c:noMultiLvlLbl val="0"/>
      </c:catAx>
      <c:valAx>
        <c:axId val="635389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5395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4838145231846"/>
          <c:y val="4.6296296296296294E-2"/>
          <c:w val="0.83129396325459315"/>
          <c:h val="0.70218358121901425"/>
        </c:manualLayout>
      </c:layout>
      <c:lineChart>
        <c:grouping val="standard"/>
        <c:varyColors val="0"/>
        <c:ser>
          <c:idx val="1"/>
          <c:order val="0"/>
          <c:tx>
            <c:strRef>
              <c:f>'British EV uptake'!$AW$3</c:f>
              <c:strCache>
                <c:ptCount val="1"/>
                <c:pt idx="0">
                  <c:v>65% raw</c:v>
                </c:pt>
              </c:strCache>
            </c:strRef>
          </c:tx>
          <c:spPr>
            <a:ln w="28575" cap="rnd">
              <a:solidFill>
                <a:schemeClr val="accent2"/>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uptake'!$AW$4:$AW$45</c:f>
              <c:numCache>
                <c:formatCode>0.00</c:formatCode>
                <c:ptCount val="42"/>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pt idx="32">
                  <c:v>64.469797142522211</c:v>
                </c:pt>
                <c:pt idx="33">
                  <c:v>64.625332953094457</c:v>
                </c:pt>
                <c:pt idx="34">
                  <c:v>64.735429340630006</c:v>
                </c:pt>
                <c:pt idx="35">
                  <c:v>64.813267244797558</c:v>
                </c:pt>
                <c:pt idx="36">
                  <c:v>64.868251486015907</c:v>
                </c:pt>
                <c:pt idx="37">
                  <c:v>64.907068601549511</c:v>
                </c:pt>
                <c:pt idx="38">
                  <c:v>64.934460570383877</c:v>
                </c:pt>
                <c:pt idx="39">
                  <c:v>64.953784375813754</c:v>
                </c:pt>
                <c:pt idx="40">
                  <c:v>64.967413562473823</c:v>
                </c:pt>
                <c:pt idx="41">
                  <c:v>64.977024864965273</c:v>
                </c:pt>
              </c:numCache>
            </c:numRef>
          </c:val>
          <c:smooth val="0"/>
          <c:extLst>
            <c:ext xmlns:c16="http://schemas.microsoft.com/office/drawing/2014/chart" uri="{C3380CC4-5D6E-409C-BE32-E72D297353CC}">
              <c16:uniqueId val="{00000001-D752-4D4D-8D28-2060EBF6FB0B}"/>
            </c:ext>
          </c:extLst>
        </c:ser>
        <c:ser>
          <c:idx val="0"/>
          <c:order val="1"/>
          <c:tx>
            <c:strRef>
              <c:f>'British EV uptake'!$AV$3</c:f>
              <c:strCache>
                <c:ptCount val="1"/>
                <c:pt idx="0">
                  <c:v>65% lagged</c:v>
                </c:pt>
              </c:strCache>
            </c:strRef>
          </c:tx>
          <c:spPr>
            <a:ln w="28575" cap="rnd">
              <a:solidFill>
                <a:schemeClr val="accent1"/>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uptake'!$AV$4:$AV$45</c:f>
              <c:numCache>
                <c:formatCode>General</c:formatCode>
                <c:ptCount val="42"/>
                <c:pt idx="2" formatCode="0.00">
                  <c:v>6.3746553607401155E-2</c:v>
                </c:pt>
                <c:pt idx="3" formatCode="0.00">
                  <c:v>0.12311636472094348</c:v>
                </c:pt>
                <c:pt idx="4" formatCode="0.00">
                  <c:v>0.17450773560150143</c:v>
                </c:pt>
                <c:pt idx="5" formatCode="0.00">
                  <c:v>0.62214017193631121</c:v>
                </c:pt>
                <c:pt idx="6" formatCode="0.00">
                  <c:v>1.1141054329537496</c:v>
                </c:pt>
                <c:pt idx="7" formatCode="0.00">
                  <c:v>1.2399004278695112</c:v>
                </c:pt>
                <c:pt idx="8" formatCode="0.00">
                  <c:v>1.7449230058151759</c:v>
                </c:pt>
                <c:pt idx="9" formatCode="0.00">
                  <c:v>2.4477489867286506</c:v>
                </c:pt>
                <c:pt idx="10" formatCode="0.00">
                  <c:v>3.4183633247503673</c:v>
                </c:pt>
                <c:pt idx="11" formatCode="0.00">
                  <c:v>4.0264837096282111</c:v>
                </c:pt>
                <c:pt idx="12" formatCode="0.00">
                  <c:v>4.6678633605832385</c:v>
                </c:pt>
                <c:pt idx="13" formatCode="0.00">
                  <c:v>6.0277420639963921</c:v>
                </c:pt>
                <c:pt idx="14" formatCode="0.00">
                  <c:v>7.7213108086701068</c:v>
                </c:pt>
                <c:pt idx="15" formatCode="0.00">
                  <c:v>9.8172621104326403</c:v>
                </c:pt>
                <c:pt idx="16" formatCode="0.00">
                  <c:v>12.38227248314139</c:v>
                </c:pt>
                <c:pt idx="17" formatCode="0.00">
                  <c:v>15.326228918126082</c:v>
                </c:pt>
                <c:pt idx="18" formatCode="0.00">
                  <c:v>18.688647046715996</c:v>
                </c:pt>
                <c:pt idx="19" formatCode="0.00">
                  <c:v>22.338012040843889</c:v>
                </c:pt>
                <c:pt idx="20" formatCode="0.00">
                  <c:v>26.210065115308712</c:v>
                </c:pt>
                <c:pt idx="21" formatCode="0.00">
                  <c:v>30.215984364203909</c:v>
                </c:pt>
                <c:pt idx="22" formatCode="0.00">
                  <c:v>34.239280285492683</c:v>
                </c:pt>
                <c:pt idx="23" formatCode="0.00">
                  <c:v>38.135703199022991</c:v>
                </c:pt>
                <c:pt idx="24" formatCode="0.00">
                  <c:v>41.896705249588628</c:v>
                </c:pt>
                <c:pt idx="25" formatCode="0.00">
                  <c:v>45.412905407599169</c:v>
                </c:pt>
                <c:pt idx="26" formatCode="0.00">
                  <c:v>48.615538716512127</c:v>
                </c:pt>
                <c:pt idx="27" formatCode="0.00">
                  <c:v>51.461128427110211</c:v>
                </c:pt>
                <c:pt idx="28" formatCode="0.00">
                  <c:v>53.932201707087792</c:v>
                </c:pt>
                <c:pt idx="29" formatCode="0.00">
                  <c:v>56.035744993121156</c:v>
                </c:pt>
                <c:pt idx="30" formatCode="0.00">
                  <c:v>57.795731915354104</c:v>
                </c:pt>
                <c:pt idx="31" formatCode="0.00">
                  <c:v>59.247080614259097</c:v>
                </c:pt>
                <c:pt idx="32" formatCode="0.00">
                  <c:v>60.429942344721567</c:v>
                </c:pt>
                <c:pt idx="33" formatCode="0.00">
                  <c:v>61.385171324108633</c:v>
                </c:pt>
                <c:pt idx="34" formatCode="0.00">
                  <c:v>62.151259286574664</c:v>
                </c:pt>
                <c:pt idx="35" formatCode="0.00">
                  <c:v>62.762611653752074</c:v>
                </c:pt>
                <c:pt idx="36" formatCode="0.00">
                  <c:v>63.247528770985959</c:v>
                </c:pt>
                <c:pt idx="37" formatCode="0.00">
                  <c:v>63.630299305224682</c:v>
                </c:pt>
                <c:pt idx="38" formatCode="0.00">
                  <c:v>63.931281572541145</c:v>
                </c:pt>
                <c:pt idx="39" formatCode="0.00">
                  <c:v>64.167235838941167</c:v>
                </c:pt>
                <c:pt idx="40" formatCode="0.00">
                  <c:v>64.351772233130887</c:v>
                </c:pt>
                <c:pt idx="41" formatCode="0.00">
                  <c:v>64.495827163641977</c:v>
                </c:pt>
              </c:numCache>
            </c:numRef>
          </c:val>
          <c:smooth val="0"/>
          <c:extLst>
            <c:ext xmlns:c16="http://schemas.microsoft.com/office/drawing/2014/chart" uri="{C3380CC4-5D6E-409C-BE32-E72D297353CC}">
              <c16:uniqueId val="{00000000-D752-4D4D-8D28-2060EBF6FB0B}"/>
            </c:ext>
          </c:extLst>
        </c:ser>
        <c:ser>
          <c:idx val="2"/>
          <c:order val="2"/>
          <c:tx>
            <c:strRef>
              <c:f>'British EV uptake'!$AX$3</c:f>
              <c:strCache>
                <c:ptCount val="1"/>
                <c:pt idx="0">
                  <c:v>100% raw</c:v>
                </c:pt>
              </c:strCache>
            </c:strRef>
          </c:tx>
          <c:spPr>
            <a:ln w="28575" cap="rnd">
              <a:solidFill>
                <a:schemeClr val="accent3"/>
              </a:solidFill>
              <a:round/>
            </a:ln>
            <a:effectLst/>
          </c:spPr>
          <c:marker>
            <c:symbol val="none"/>
          </c:marker>
          <c:cat>
            <c:numRef>
              <c:f>'British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'British EV uptake'!$AX$4:$AX$45</c:f>
              <c:numCache>
                <c:formatCode>0.00</c:formatCode>
                <c:ptCount val="42"/>
                <c:pt idx="2">
                  <c:v>6.3797392415781723E-2</c:v>
                </c:pt>
                <c:pt idx="3">
                  <c:v>0.12307783579856167</c:v>
                </c:pt>
                <c:pt idx="4">
                  <c:v>0.17437822836534494</c:v>
                </c:pt>
                <c:pt idx="5">
                  <c:v>0.62140659074634519</c:v>
                </c:pt>
                <c:pt idx="6">
                  <c:v>1.1141054329537503</c:v>
                </c:pt>
                <c:pt idx="7">
                  <c:v>1.2408842597397305</c:v>
                </c:pt>
                <c:pt idx="8">
                  <c:v>1.7499371716117686</c:v>
                </c:pt>
                <c:pt idx="9">
                  <c:v>2.4626135824474487</c:v>
                </c:pt>
                <c:pt idx="10">
                  <c:v>3.4553258870467154</c:v>
                </c:pt>
                <c:pt idx="11">
                  <c:v>4.8284037983905188</c:v>
                </c:pt>
                <c:pt idx="12">
                  <c:v>6.7091977702440175</c:v>
                </c:pt>
                <c:pt idx="13">
                  <c:v>9.2513957068101949</c:v>
                </c:pt>
                <c:pt idx="14">
                  <c:v>12.626489572864815</c:v>
                </c:pt>
                <c:pt idx="15">
                  <c:v>17.002194687875161</c:v>
                </c:pt>
                <c:pt idx="16">
                  <c:v>22.503738201570002</c:v>
                </c:pt>
                <c:pt idx="17">
                  <c:v>29.160022948191603</c:v>
                </c:pt>
                <c:pt idx="18">
                  <c:v>36.8489738365638</c:v>
                </c:pt>
                <c:pt idx="19">
                  <c:v>45.269741940674209</c:v>
                </c:pt>
                <c:pt idx="20">
                  <c:v>53.970264066581201</c:v>
                </c:pt>
                <c:pt idx="21">
                  <c:v>62.435371189744593</c:v>
                </c:pt>
                <c:pt idx="22">
                  <c:v>70.203192787319125</c:v>
                </c:pt>
                <c:pt idx="23">
                  <c:v>76.95755368257133</c:v>
                </c:pt>
                <c:pt idx="24">
                  <c:v>82.561160433150633</c:v>
                </c:pt>
                <c:pt idx="25">
                  <c:v>87.031682452907063</c:v>
                </c:pt>
                <c:pt idx="26">
                  <c:v>90.488200798638701</c:v>
                </c:pt>
                <c:pt idx="27">
                  <c:v>93.096511714461798</c:v>
                </c:pt>
                <c:pt idx="28">
                  <c:v>95.02886900321694</c:v>
                </c:pt>
                <c:pt idx="29">
                  <c:v>96.441017170640706</c:v>
                </c:pt>
                <c:pt idx="30">
                  <c:v>97.462727372862219</c:v>
                </c:pt>
                <c:pt idx="31">
                  <c:v>98.196610509410988</c:v>
                </c:pt>
                <c:pt idx="32">
                  <c:v>98.721010170115406</c:v>
                </c:pt>
                <c:pt idx="33">
                  <c:v>99.094328373022464</c:v>
                </c:pt>
                <c:pt idx="34">
                  <c:v>99.359387611158581</c:v>
                </c:pt>
                <c:pt idx="35">
                  <c:v>99.547227481170111</c:v>
                </c:pt>
                <c:pt idx="36">
                  <c:v>99.68016638410289</c:v>
                </c:pt>
                <c:pt idx="37">
                  <c:v>99.774161539840406</c:v>
                </c:pt>
                <c:pt idx="38">
                  <c:v>99.840576858771826</c:v>
                </c:pt>
                <c:pt idx="39">
                  <c:v>99.887482567985899</c:v>
                </c:pt>
                <c:pt idx="40">
                  <c:v>99.920598586419942</c:v>
                </c:pt>
                <c:pt idx="41">
                  <c:v>99.94397339819939</c:v>
                </c:pt>
              </c:numCache>
            </c:numRef>
          </c:val>
          <c:smooth val="0"/>
          <c:extLst>
            <c:ext xmlns:c16="http://schemas.microsoft.com/office/drawing/2014/chart" uri="{C3380CC4-5D6E-409C-BE32-E72D297353CC}">
              <c16:uniqueId val="{00000002-D752-4D4D-8D28-2060EBF6FB0B}"/>
            </c:ext>
          </c:extLst>
        </c:ser>
        <c:dLbls>
          <c:showLegendKey val="0"/>
          <c:showVal val="0"/>
          <c:showCatName val="0"/>
          <c:showSerName val="0"/>
          <c:showPercent val="0"/>
          <c:showBubbleSize val="0"/>
        </c:dLbls>
        <c:smooth val="0"/>
        <c:axId val="708042232"/>
        <c:axId val="708043544"/>
      </c:lineChart>
      <c:catAx>
        <c:axId val="70804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43544"/>
        <c:crosses val="autoZero"/>
        <c:auto val="1"/>
        <c:lblAlgn val="ctr"/>
        <c:lblOffset val="100"/>
        <c:noMultiLvlLbl val="0"/>
      </c:catAx>
      <c:valAx>
        <c:axId val="70804354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4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Britain!$P$2</c:f>
              <c:strCache>
                <c:ptCount val="1"/>
                <c:pt idx="0">
                  <c:v>BEV price</c:v>
                </c:pt>
              </c:strCache>
            </c:strRef>
          </c:tx>
          <c:spPr>
            <a:ln w="60325" cap="rnd">
              <a:solidFill>
                <a:schemeClr val="accent1"/>
              </a:solidFill>
              <a:round/>
            </a:ln>
            <a:effectLst/>
          </c:spPr>
          <c:marker>
            <c:symbol val="none"/>
          </c:marker>
          <c:cat>
            <c:numRef>
              <c:f>Britain!$O$3:$O$24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Britain!$P$3:$P$24</c:f>
              <c:numCache>
                <c:formatCode>0</c:formatCode>
                <c:ptCount val="22"/>
                <c:pt idx="0">
                  <c:v>23045.440014279044</c:v>
                </c:pt>
                <c:pt idx="1">
                  <c:v>24050.409446251124</c:v>
                </c:pt>
                <c:pt idx="2">
                  <c:v>18465.78247646421</c:v>
                </c:pt>
                <c:pt idx="3">
                  <c:v>19242.682907588252</c:v>
                </c:pt>
                <c:pt idx="4">
                  <c:v>19892.824287111252</c:v>
                </c:pt>
                <c:pt idx="5">
                  <c:v>20499.985476030302</c:v>
                </c:pt>
                <c:pt idx="6">
                  <c:v>19721.846308650463</c:v>
                </c:pt>
                <c:pt idx="7">
                  <c:v>22945.387214294511</c:v>
                </c:pt>
                <c:pt idx="8">
                  <c:v>23958.044594682451</c:v>
                </c:pt>
                <c:pt idx="9">
                  <c:v>26180.74130999823</c:v>
                </c:pt>
                <c:pt idx="10">
                  <c:v>26847.919545800371</c:v>
                </c:pt>
                <c:pt idx="11">
                  <c:v>26775.099266882578</c:v>
                </c:pt>
                <c:pt idx="12">
                  <c:v>26131.194261209414</c:v>
                </c:pt>
                <c:pt idx="13">
                  <c:v>26651.032755581437</c:v>
                </c:pt>
                <c:pt idx="14">
                  <c:v>26480.349129214221</c:v>
                </c:pt>
                <c:pt idx="15">
                  <c:v>25534.397124530806</c:v>
                </c:pt>
                <c:pt idx="16">
                  <c:v>24733.53148899704</c:v>
                </c:pt>
                <c:pt idx="17">
                  <c:v>24315.429707414503</c:v>
                </c:pt>
                <c:pt idx="18">
                  <c:v>23895.037520623308</c:v>
                </c:pt>
                <c:pt idx="19">
                  <c:v>23408.679456892536</c:v>
                </c:pt>
                <c:pt idx="20">
                  <c:v>22983.876545046292</c:v>
                </c:pt>
                <c:pt idx="21">
                  <c:v>22493.217852361682</c:v>
                </c:pt>
              </c:numCache>
            </c:numRef>
          </c:val>
          <c:smooth val="0"/>
          <c:extLst>
            <c:ext xmlns:c16="http://schemas.microsoft.com/office/drawing/2014/chart" uri="{C3380CC4-5D6E-409C-BE32-E72D297353CC}">
              <c16:uniqueId val="{00000000-63CE-4F3D-A8FA-ABB31C190F09}"/>
            </c:ext>
          </c:extLst>
        </c:ser>
        <c:ser>
          <c:idx val="1"/>
          <c:order val="1"/>
          <c:tx>
            <c:strRef>
              <c:f>Britain!$Q$2</c:f>
              <c:strCache>
                <c:ptCount val="1"/>
                <c:pt idx="0">
                  <c:v>PHEV price</c:v>
                </c:pt>
              </c:strCache>
            </c:strRef>
          </c:tx>
          <c:spPr>
            <a:ln w="15875" cap="rnd">
              <a:solidFill>
                <a:schemeClr val="accent2"/>
              </a:solidFill>
              <a:round/>
            </a:ln>
            <a:effectLst/>
          </c:spPr>
          <c:marker>
            <c:symbol val="none"/>
          </c:marker>
          <c:cat>
            <c:numRef>
              <c:f>Britain!$O$3:$O$24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Britain!$Q$3:$Q$24</c:f>
              <c:numCache>
                <c:formatCode>0</c:formatCode>
                <c:ptCount val="22"/>
                <c:pt idx="0">
                  <c:v>23045.440014279044</c:v>
                </c:pt>
                <c:pt idx="1">
                  <c:v>24050.409446251124</c:v>
                </c:pt>
                <c:pt idx="2">
                  <c:v>20866.171617136424</c:v>
                </c:pt>
                <c:pt idx="3">
                  <c:v>21760.418409675913</c:v>
                </c:pt>
                <c:pt idx="4">
                  <c:v>22493.193492230574</c:v>
                </c:pt>
                <c:pt idx="5">
                  <c:v>23081.72719055969</c:v>
                </c:pt>
                <c:pt idx="6">
                  <c:v>22215.387305447552</c:v>
                </c:pt>
                <c:pt idx="7">
                  <c:v>25509.387214294511</c:v>
                </c:pt>
                <c:pt idx="8">
                  <c:v>26458.044594682451</c:v>
                </c:pt>
                <c:pt idx="9">
                  <c:v>28130.819313118354</c:v>
                </c:pt>
                <c:pt idx="10">
                  <c:v>28749.321654926855</c:v>
                </c:pt>
                <c:pt idx="11">
                  <c:v>28629.040480929463</c:v>
                </c:pt>
                <c:pt idx="12">
                  <c:v>27938.859251504738</c:v>
                </c:pt>
                <c:pt idx="13">
                  <c:v>28413.576622874072</c:v>
                </c:pt>
                <c:pt idx="14">
                  <c:v>28198.898141785041</c:v>
                </c:pt>
                <c:pt idx="15">
                  <c:v>27210.04943787989</c:v>
                </c:pt>
                <c:pt idx="16">
                  <c:v>26367.357847566742</c:v>
                </c:pt>
                <c:pt idx="17">
                  <c:v>25908.474128796814</c:v>
                </c:pt>
                <c:pt idx="18">
                  <c:v>25448.317962688743</c:v>
                </c:pt>
                <c:pt idx="19">
                  <c:v>24923.188468266791</c:v>
                </c:pt>
                <c:pt idx="20">
                  <c:v>24460.58189935036</c:v>
                </c:pt>
                <c:pt idx="21">
                  <c:v>23933.063166620719</c:v>
                </c:pt>
              </c:numCache>
            </c:numRef>
          </c:val>
          <c:smooth val="0"/>
          <c:extLst>
            <c:ext xmlns:c16="http://schemas.microsoft.com/office/drawing/2014/chart" uri="{C3380CC4-5D6E-409C-BE32-E72D297353CC}">
              <c16:uniqueId val="{00000001-63CE-4F3D-A8FA-ABB31C190F09}"/>
            </c:ext>
          </c:extLst>
        </c:ser>
        <c:ser>
          <c:idx val="2"/>
          <c:order val="2"/>
          <c:tx>
            <c:strRef>
              <c:f>Britain!$R$2</c:f>
              <c:strCache>
                <c:ptCount val="1"/>
                <c:pt idx="0">
                  <c:v>FFV price</c:v>
                </c:pt>
              </c:strCache>
            </c:strRef>
          </c:tx>
          <c:spPr>
            <a:ln w="28575" cap="rnd">
              <a:solidFill>
                <a:schemeClr val="tx1"/>
              </a:solidFill>
              <a:round/>
            </a:ln>
            <a:effectLst/>
          </c:spPr>
          <c:marker>
            <c:symbol val="none"/>
          </c:marker>
          <c:cat>
            <c:numRef>
              <c:f>Britain!$O$3:$O$24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Britain!$R$3:$R$24</c:f>
              <c:numCache>
                <c:formatCode>0</c:formatCode>
                <c:ptCount val="22"/>
                <c:pt idx="0">
                  <c:v>16978.757550000002</c:v>
                </c:pt>
                <c:pt idx="1">
                  <c:v>17518.647242125859</c:v>
                </c:pt>
                <c:pt idx="2">
                  <c:v>17195.051288826966</c:v>
                </c:pt>
                <c:pt idx="3">
                  <c:v>17335.70363242723</c:v>
                </c:pt>
                <c:pt idx="4">
                  <c:v>17659.639772579314</c:v>
                </c:pt>
                <c:pt idx="5">
                  <c:v>16774.905450500552</c:v>
                </c:pt>
                <c:pt idx="6">
                  <c:v>18090.142668958892</c:v>
                </c:pt>
                <c:pt idx="7">
                  <c:v>20602.930197625799</c:v>
                </c:pt>
                <c:pt idx="8">
                  <c:v>21281.167522589876</c:v>
                </c:pt>
                <c:pt idx="9">
                  <c:v>22080.000000000004</c:v>
                </c:pt>
                <c:pt idx="10">
                  <c:v>22080.000000000004</c:v>
                </c:pt>
                <c:pt idx="11">
                  <c:v>22080.000000000004</c:v>
                </c:pt>
                <c:pt idx="12">
                  <c:v>22080.000000000004</c:v>
                </c:pt>
                <c:pt idx="13">
                  <c:v>22080.000000000004</c:v>
                </c:pt>
                <c:pt idx="14">
                  <c:v>22080.000000000004</c:v>
                </c:pt>
                <c:pt idx="15">
                  <c:v>22080.000000000004</c:v>
                </c:pt>
                <c:pt idx="16">
                  <c:v>22080.000000000004</c:v>
                </c:pt>
                <c:pt idx="17">
                  <c:v>22080.000000000004</c:v>
                </c:pt>
                <c:pt idx="18">
                  <c:v>22080.000000000004</c:v>
                </c:pt>
                <c:pt idx="19">
                  <c:v>22080.000000000004</c:v>
                </c:pt>
                <c:pt idx="20">
                  <c:v>22080.000000000004</c:v>
                </c:pt>
                <c:pt idx="21">
                  <c:v>22080.000000000004</c:v>
                </c:pt>
              </c:numCache>
            </c:numRef>
          </c:val>
          <c:smooth val="0"/>
          <c:extLst>
            <c:ext xmlns:c16="http://schemas.microsoft.com/office/drawing/2014/chart" uri="{C3380CC4-5D6E-409C-BE32-E72D297353CC}">
              <c16:uniqueId val="{00000002-63CE-4F3D-A8FA-ABB31C190F09}"/>
            </c:ext>
          </c:extLst>
        </c:ser>
        <c:dLbls>
          <c:showLegendKey val="0"/>
          <c:showVal val="0"/>
          <c:showCatName val="0"/>
          <c:showSerName val="0"/>
          <c:showPercent val="0"/>
          <c:showBubbleSize val="0"/>
        </c:dLbls>
        <c:smooth val="0"/>
        <c:axId val="689945288"/>
        <c:axId val="689953160"/>
      </c:lineChart>
      <c:catAx>
        <c:axId val="689945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53160"/>
        <c:crosses val="autoZero"/>
        <c:auto val="1"/>
        <c:lblAlgn val="ctr"/>
        <c:lblOffset val="100"/>
        <c:noMultiLvlLbl val="0"/>
      </c:catAx>
      <c:valAx>
        <c:axId val="689953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45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uptake'!$B$3</c:f>
              <c:strCache>
                <c:ptCount val="1"/>
                <c:pt idx="0">
                  <c:v>  EV %sales</c:v>
                </c:pt>
              </c:strCache>
            </c:strRef>
          </c:tx>
          <c:spPr>
            <a:ln w="60325" cap="rnd">
              <a:solidFill>
                <a:schemeClr val="tx1"/>
              </a:solidFill>
              <a:round/>
            </a:ln>
            <a:effectLst/>
          </c:spPr>
          <c:marker>
            <c:symbol val="none"/>
          </c:marker>
          <c:cat>
            <c:numRef>
              <c:f>'Canada EV uptake'!$A$7:$A$13</c:f>
              <c:numCache>
                <c:formatCode>General</c:formatCode>
                <c:ptCount val="7"/>
                <c:pt idx="0">
                  <c:v>2012</c:v>
                </c:pt>
                <c:pt idx="1">
                  <c:v>2013</c:v>
                </c:pt>
                <c:pt idx="2">
                  <c:v>2014</c:v>
                </c:pt>
                <c:pt idx="3">
                  <c:v>2015</c:v>
                </c:pt>
                <c:pt idx="4">
                  <c:v>2016</c:v>
                </c:pt>
                <c:pt idx="5">
                  <c:v>2017</c:v>
                </c:pt>
                <c:pt idx="6">
                  <c:v>2018</c:v>
                </c:pt>
              </c:numCache>
            </c:numRef>
          </c:cat>
          <c:val>
            <c:numRef>
              <c:f>'Canada EV uptake'!$B$7:$B$13</c:f>
              <c:numCache>
                <c:formatCode>0.00</c:formatCode>
                <c:ptCount val="7"/>
                <c:pt idx="0">
                  <c:v>0.27595628415300544</c:v>
                </c:pt>
                <c:pt idx="1">
                  <c:v>0.41106719367588934</c:v>
                </c:pt>
                <c:pt idx="2">
                  <c:v>0.62903225806451613</c:v>
                </c:pt>
                <c:pt idx="3">
                  <c:v>0.81369611450384693</c:v>
                </c:pt>
                <c:pt idx="4">
                  <c:v>1.302786412148317</c:v>
                </c:pt>
                <c:pt idx="5">
                  <c:v>2.1226462017393763</c:v>
                </c:pt>
                <c:pt idx="6">
                  <c:v>5.4034855410703155</c:v>
                </c:pt>
              </c:numCache>
            </c:numRef>
          </c:val>
          <c:smooth val="0"/>
          <c:extLst>
            <c:ext xmlns:c16="http://schemas.microsoft.com/office/drawing/2014/chart" uri="{C3380CC4-5D6E-409C-BE32-E72D297353CC}">
              <c16:uniqueId val="{00000000-8281-406C-9489-E34A6262C8E5}"/>
            </c:ext>
          </c:extLst>
        </c:ser>
        <c:ser>
          <c:idx val="1"/>
          <c:order val="1"/>
          <c:tx>
            <c:strRef>
              <c:f>'Canada EV uptake'!$AB$3</c:f>
              <c:strCache>
                <c:ptCount val="1"/>
                <c:pt idx="0">
                  <c:v>  Canadian raw predicted</c:v>
                </c:pt>
              </c:strCache>
            </c:strRef>
          </c:tx>
          <c:spPr>
            <a:ln w="28575" cap="rnd">
              <a:solidFill>
                <a:schemeClr val="accent2"/>
              </a:solidFill>
              <a:round/>
            </a:ln>
            <a:effectLst/>
          </c:spPr>
          <c:marker>
            <c:symbol val="none"/>
          </c:marker>
          <c:cat>
            <c:numRef>
              <c:f>'Canada EV uptake'!$A$7:$A$13</c:f>
              <c:numCache>
                <c:formatCode>General</c:formatCode>
                <c:ptCount val="7"/>
                <c:pt idx="0">
                  <c:v>2012</c:v>
                </c:pt>
                <c:pt idx="1">
                  <c:v>2013</c:v>
                </c:pt>
                <c:pt idx="2">
                  <c:v>2014</c:v>
                </c:pt>
                <c:pt idx="3">
                  <c:v>2015</c:v>
                </c:pt>
                <c:pt idx="4">
                  <c:v>2016</c:v>
                </c:pt>
                <c:pt idx="5">
                  <c:v>2017</c:v>
                </c:pt>
                <c:pt idx="6">
                  <c:v>2018</c:v>
                </c:pt>
              </c:numCache>
            </c:numRef>
          </c:cat>
          <c:val>
            <c:numRef>
              <c:f>'Canada EV uptake'!$AB$7:$AB$13</c:f>
              <c:numCache>
                <c:formatCode>0.00</c:formatCode>
                <c:ptCount val="7"/>
                <c:pt idx="0">
                  <c:v>0.26976839331369129</c:v>
                </c:pt>
                <c:pt idx="1">
                  <c:v>0.4153190615900294</c:v>
                </c:pt>
                <c:pt idx="2">
                  <c:v>0.63862526913926998</c:v>
                </c:pt>
                <c:pt idx="3">
                  <c:v>0.83298342165318717</c:v>
                </c:pt>
                <c:pt idx="4">
                  <c:v>1.2764186108823803</c:v>
                </c:pt>
                <c:pt idx="5">
                  <c:v>2.1109069198989259</c:v>
                </c:pt>
                <c:pt idx="6">
                  <c:v>5.4034855410703129</c:v>
                </c:pt>
              </c:numCache>
            </c:numRef>
          </c:val>
          <c:smooth val="0"/>
          <c:extLst>
            <c:ext xmlns:c16="http://schemas.microsoft.com/office/drawing/2014/chart" uri="{C3380CC4-5D6E-409C-BE32-E72D297353CC}">
              <c16:uniqueId val="{00000001-8281-406C-9489-E34A6262C8E5}"/>
            </c:ext>
          </c:extLst>
        </c:ser>
        <c:dLbls>
          <c:showLegendKey val="0"/>
          <c:showVal val="0"/>
          <c:showCatName val="0"/>
          <c:showSerName val="0"/>
          <c:showPercent val="0"/>
          <c:showBubbleSize val="0"/>
        </c:dLbls>
        <c:smooth val="0"/>
        <c:axId val="777550296"/>
        <c:axId val="777547016"/>
      </c:lineChart>
      <c:catAx>
        <c:axId val="777550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47016"/>
        <c:crosses val="autoZero"/>
        <c:auto val="1"/>
        <c:lblAlgn val="ctr"/>
        <c:lblOffset val="100"/>
        <c:noMultiLvlLbl val="0"/>
      </c:catAx>
      <c:valAx>
        <c:axId val="777547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of new sales</a:t>
                </a:r>
              </a:p>
            </c:rich>
          </c:tx>
          <c:layout>
            <c:manualLayout>
              <c:xMode val="edge"/>
              <c:yMode val="edge"/>
              <c:x val="1.6643550624133148E-2"/>
              <c:y val="0.242711796442111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uptake'!$B$3</c:f>
              <c:strCache>
                <c:ptCount val="1"/>
                <c:pt idx="0">
                  <c:v>  EV %sales</c:v>
                </c:pt>
              </c:strCache>
            </c:strRef>
          </c:tx>
          <c:spPr>
            <a:ln w="60325" cap="rnd">
              <a:solidFill>
                <a:schemeClr val="tx1"/>
              </a:solidFill>
              <a:round/>
            </a:ln>
            <a:effectLst/>
          </c:spPr>
          <c:marker>
            <c:symbol val="none"/>
          </c:marker>
          <c:cat>
            <c:numRef>
              <c:f>'Canada EV uptake'!$A$5:$A$35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'Canada EV uptake'!$B$5:$B$35</c:f>
              <c:numCache>
                <c:formatCode>0.00</c:formatCode>
                <c:ptCount val="31"/>
                <c:pt idx="0">
                  <c:v>0</c:v>
                </c:pt>
                <c:pt idx="1">
                  <c:v>7.5253256150506515E-2</c:v>
                </c:pt>
                <c:pt idx="2">
                  <c:v>0.27595628415300544</c:v>
                </c:pt>
                <c:pt idx="3">
                  <c:v>0.41106719367588934</c:v>
                </c:pt>
                <c:pt idx="4">
                  <c:v>0.62903225806451613</c:v>
                </c:pt>
                <c:pt idx="5">
                  <c:v>0.81369611450384693</c:v>
                </c:pt>
                <c:pt idx="6">
                  <c:v>1.302786412148317</c:v>
                </c:pt>
                <c:pt idx="7">
                  <c:v>2.1226462017393763</c:v>
                </c:pt>
                <c:pt idx="8">
                  <c:v>5.4034855410703155</c:v>
                </c:pt>
              </c:numCache>
            </c:numRef>
          </c:val>
          <c:smooth val="0"/>
          <c:extLst>
            <c:ext xmlns:c16="http://schemas.microsoft.com/office/drawing/2014/chart" uri="{C3380CC4-5D6E-409C-BE32-E72D297353CC}">
              <c16:uniqueId val="{00000000-EE10-406C-ADA8-9B91BD4DCF02}"/>
            </c:ext>
          </c:extLst>
        </c:ser>
        <c:ser>
          <c:idx val="1"/>
          <c:order val="1"/>
          <c:tx>
            <c:strRef>
              <c:f>'Canada EV uptake'!$AB$3</c:f>
              <c:strCache>
                <c:ptCount val="1"/>
                <c:pt idx="0">
                  <c:v>  Canadian raw predicted</c:v>
                </c:pt>
              </c:strCache>
            </c:strRef>
          </c:tx>
          <c:spPr>
            <a:ln w="28575" cap="rnd">
              <a:solidFill>
                <a:schemeClr val="accent2"/>
              </a:solidFill>
              <a:round/>
            </a:ln>
            <a:effectLst/>
          </c:spPr>
          <c:marker>
            <c:symbol val="none"/>
          </c:marker>
          <c:cat>
            <c:numRef>
              <c:f>'Canada EV uptake'!$A$5:$A$35</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'Canada EV uptake'!$AB$5:$AB$35</c:f>
              <c:numCache>
                <c:formatCode>0.00</c:formatCode>
                <c:ptCount val="31"/>
                <c:pt idx="0">
                  <c:v>0.11357973136349601</c:v>
                </c:pt>
                <c:pt idx="1">
                  <c:v>0.1750884089993836</c:v>
                </c:pt>
                <c:pt idx="2">
                  <c:v>0.26976839331369129</c:v>
                </c:pt>
                <c:pt idx="3">
                  <c:v>0.4153190615900294</c:v>
                </c:pt>
                <c:pt idx="4">
                  <c:v>0.63862526913926998</c:v>
                </c:pt>
                <c:pt idx="5">
                  <c:v>0.83298342165318717</c:v>
                </c:pt>
                <c:pt idx="6">
                  <c:v>1.2764186108823803</c:v>
                </c:pt>
                <c:pt idx="7">
                  <c:v>2.1109069198989259</c:v>
                </c:pt>
                <c:pt idx="8">
                  <c:v>5.4034855410703129</c:v>
                </c:pt>
                <c:pt idx="9">
                  <c:v>5.1907636009319509</c:v>
                </c:pt>
                <c:pt idx="10">
                  <c:v>7.6765137034633693</c:v>
                </c:pt>
                <c:pt idx="11">
                  <c:v>11.13109783917723</c:v>
                </c:pt>
                <c:pt idx="12">
                  <c:v>15.714141029929063</c:v>
                </c:pt>
                <c:pt idx="13">
                  <c:v>21.433378729579367</c:v>
                </c:pt>
                <c:pt idx="14">
                  <c:v>28.049514477473753</c:v>
                </c:pt>
                <c:pt idx="15">
                  <c:v>35.064221343803105</c:v>
                </c:pt>
                <c:pt idx="16">
                  <c:v>41.846485993743983</c:v>
                </c:pt>
                <c:pt idx="17">
                  <c:v>47.843973203094116</c:v>
                </c:pt>
                <c:pt idx="18">
                  <c:v>52.742961554175409</c:v>
                </c:pt>
                <c:pt idx="19">
                  <c:v>56.491794590116669</c:v>
                </c:pt>
                <c:pt idx="20">
                  <c:v>59.219700270067449</c:v>
                </c:pt>
                <c:pt idx="21">
                  <c:v>61.132855546813104</c:v>
                </c:pt>
                <c:pt idx="22">
                  <c:v>62.440168733225129</c:v>
                </c:pt>
                <c:pt idx="23">
                  <c:v>63.317698052510366</c:v>
                </c:pt>
                <c:pt idx="24">
                  <c:v>63.899704744056265</c:v>
                </c:pt>
                <c:pt idx="25">
                  <c:v>64.282642457883</c:v>
                </c:pt>
                <c:pt idx="26">
                  <c:v>64.533279110024068</c:v>
                </c:pt>
                <c:pt idx="27">
                  <c:v>64.696759229099783</c:v>
                </c:pt>
                <c:pt idx="28">
                  <c:v>64.80315121019143</c:v>
                </c:pt>
                <c:pt idx="29">
                  <c:v>64.872289264256466</c:v>
                </c:pt>
                <c:pt idx="30">
                  <c:v>64.917175398160026</c:v>
                </c:pt>
              </c:numCache>
            </c:numRef>
          </c:val>
          <c:smooth val="0"/>
          <c:extLst>
            <c:ext xmlns:c16="http://schemas.microsoft.com/office/drawing/2014/chart" uri="{C3380CC4-5D6E-409C-BE32-E72D297353CC}">
              <c16:uniqueId val="{00000001-EE10-406C-ADA8-9B91BD4DCF02}"/>
            </c:ext>
          </c:extLst>
        </c:ser>
        <c:dLbls>
          <c:showLegendKey val="0"/>
          <c:showVal val="0"/>
          <c:showCatName val="0"/>
          <c:showSerName val="0"/>
          <c:showPercent val="0"/>
          <c:showBubbleSize val="0"/>
        </c:dLbls>
        <c:smooth val="0"/>
        <c:axId val="777550296"/>
        <c:axId val="777547016"/>
      </c:lineChart>
      <c:catAx>
        <c:axId val="777550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47016"/>
        <c:crosses val="autoZero"/>
        <c:auto val="1"/>
        <c:lblAlgn val="ctr"/>
        <c:lblOffset val="100"/>
        <c:tickLblSkip val="5"/>
        <c:tickMarkSkip val="5"/>
        <c:noMultiLvlLbl val="0"/>
      </c:catAx>
      <c:valAx>
        <c:axId val="777547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uptake'!$AD$2</c:f>
              <c:strCache>
                <c:ptCount val="1"/>
                <c:pt idx="0">
                  <c:v>  Linearized logistic</c:v>
                </c:pt>
              </c:strCache>
            </c:strRef>
          </c:tx>
          <c:spPr>
            <a:ln w="34925" cap="rnd">
              <a:solidFill>
                <a:schemeClr val="tx1"/>
              </a:solidFill>
              <a:round/>
            </a:ln>
            <a:effectLst/>
          </c:spPr>
          <c:marker>
            <c:symbol val="none"/>
          </c:marker>
          <c:cat>
            <c:numRef>
              <c:f>'Canada EV uptake'!$AK$7:$AK$13</c:f>
              <c:numCache>
                <c:formatCode>General</c:formatCode>
                <c:ptCount val="7"/>
                <c:pt idx="0">
                  <c:v>2012</c:v>
                </c:pt>
                <c:pt idx="1">
                  <c:v>2013</c:v>
                </c:pt>
                <c:pt idx="2">
                  <c:v>2014</c:v>
                </c:pt>
                <c:pt idx="3">
                  <c:v>2015</c:v>
                </c:pt>
                <c:pt idx="4">
                  <c:v>2016</c:v>
                </c:pt>
                <c:pt idx="5">
                  <c:v>2017</c:v>
                </c:pt>
                <c:pt idx="6">
                  <c:v>2018</c:v>
                </c:pt>
              </c:numCache>
            </c:numRef>
          </c:cat>
          <c:val>
            <c:numRef>
              <c:f>'Canada EV uptake'!$AD$7:$AD$13</c:f>
              <c:numCache>
                <c:formatCode>General</c:formatCode>
                <c:ptCount val="7"/>
                <c:pt idx="0">
                  <c:v>-5.4576455675168676</c:v>
                </c:pt>
                <c:pt idx="1">
                  <c:v>-5.0570416669104112</c:v>
                </c:pt>
                <c:pt idx="2">
                  <c:v>-4.6282354589190877</c:v>
                </c:pt>
                <c:pt idx="3">
                  <c:v>-4.3679581592074479</c:v>
                </c:pt>
                <c:pt idx="4">
                  <c:v>-3.8896354542515117</c:v>
                </c:pt>
                <c:pt idx="5">
                  <c:v>-3.3885225451872993</c:v>
                </c:pt>
                <c:pt idx="6">
                  <c:v>-2.4005528742161522</c:v>
                </c:pt>
              </c:numCache>
            </c:numRef>
          </c:val>
          <c:smooth val="0"/>
          <c:extLst>
            <c:ext xmlns:c16="http://schemas.microsoft.com/office/drawing/2014/chart" uri="{C3380CC4-5D6E-409C-BE32-E72D297353CC}">
              <c16:uniqueId val="{00000000-99A6-4DBA-8159-9746D735C466}"/>
            </c:ext>
          </c:extLst>
        </c:ser>
        <c:ser>
          <c:idx val="1"/>
          <c:order val="1"/>
          <c:tx>
            <c:strRef>
              <c:f>'Canada EV uptake'!$AE$3</c:f>
              <c:strCache>
                <c:ptCount val="1"/>
                <c:pt idx="0">
                  <c:v>  predicted</c:v>
                </c:pt>
              </c:strCache>
            </c:strRef>
          </c:tx>
          <c:spPr>
            <a:ln w="28575" cap="rnd">
              <a:solidFill>
                <a:schemeClr val="accent2"/>
              </a:solidFill>
              <a:round/>
            </a:ln>
            <a:effectLst/>
          </c:spPr>
          <c:marker>
            <c:symbol val="none"/>
          </c:marker>
          <c:cat>
            <c:numRef>
              <c:f>'Canada EV uptake'!$AK$7:$AK$13</c:f>
              <c:numCache>
                <c:formatCode>General</c:formatCode>
                <c:ptCount val="7"/>
                <c:pt idx="0">
                  <c:v>2012</c:v>
                </c:pt>
                <c:pt idx="1">
                  <c:v>2013</c:v>
                </c:pt>
                <c:pt idx="2">
                  <c:v>2014</c:v>
                </c:pt>
                <c:pt idx="3">
                  <c:v>2015</c:v>
                </c:pt>
                <c:pt idx="4">
                  <c:v>2016</c:v>
                </c:pt>
                <c:pt idx="5">
                  <c:v>2017</c:v>
                </c:pt>
                <c:pt idx="6">
                  <c:v>2018</c:v>
                </c:pt>
              </c:numCache>
            </c:numRef>
          </c:cat>
          <c:val>
            <c:numRef>
              <c:f>'Canada EV uptake'!$AE$7:$AE$13</c:f>
              <c:numCache>
                <c:formatCode>General</c:formatCode>
                <c:ptCount val="7"/>
                <c:pt idx="0">
                  <c:v>-5.4804198412422247</c:v>
                </c:pt>
                <c:pt idx="1">
                  <c:v>-5.0466854765268003</c:v>
                </c:pt>
                <c:pt idx="2">
                  <c:v>-4.612951111811376</c:v>
                </c:pt>
                <c:pt idx="3">
                  <c:v>-4.3442308572042094</c:v>
                </c:pt>
                <c:pt idx="4">
                  <c:v>-3.9104964924887846</c:v>
                </c:pt>
                <c:pt idx="5">
                  <c:v>-3.3942550727192318</c:v>
                </c:pt>
                <c:pt idx="6">
                  <c:v>-2.4005528742161526</c:v>
                </c:pt>
              </c:numCache>
            </c:numRef>
          </c:val>
          <c:smooth val="0"/>
          <c:extLst>
            <c:ext xmlns:c16="http://schemas.microsoft.com/office/drawing/2014/chart" uri="{C3380CC4-5D6E-409C-BE32-E72D297353CC}">
              <c16:uniqueId val="{00000001-99A6-4DBA-8159-9746D735C466}"/>
            </c:ext>
          </c:extLst>
        </c:ser>
        <c:dLbls>
          <c:showLegendKey val="0"/>
          <c:showVal val="0"/>
          <c:showCatName val="0"/>
          <c:showSerName val="0"/>
          <c:showPercent val="0"/>
          <c:showBubbleSize val="0"/>
        </c:dLbls>
        <c:smooth val="0"/>
        <c:axId val="630946968"/>
        <c:axId val="631022736"/>
      </c:lineChart>
      <c:catAx>
        <c:axId val="630946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022736"/>
        <c:crosses val="autoZero"/>
        <c:auto val="1"/>
        <c:lblAlgn val="ctr"/>
        <c:lblOffset val="100"/>
        <c:noMultiLvlLbl val="0"/>
      </c:catAx>
      <c:valAx>
        <c:axId val="631022736"/>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a:t>
                </a:r>
              </a:p>
            </c:rich>
          </c:tx>
          <c:layout>
            <c:manualLayout>
              <c:xMode val="edge"/>
              <c:yMode val="edge"/>
              <c:x val="2.2222222222222223E-2"/>
              <c:y val="0.199072819385948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46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uptake'!$B$3</c:f>
              <c:strCache>
                <c:ptCount val="1"/>
                <c:pt idx="0">
                  <c:v>  EV %sales</c:v>
                </c:pt>
              </c:strCache>
            </c:strRef>
          </c:tx>
          <c:spPr>
            <a:ln w="50800" cap="rnd">
              <a:solidFill>
                <a:schemeClr val="tx1"/>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uptake'!$B$4:$B$35</c:f>
              <c:numCache>
                <c:formatCode>0.00</c:formatCode>
                <c:ptCount val="32"/>
                <c:pt idx="0">
                  <c:v>0</c:v>
                </c:pt>
                <c:pt idx="1">
                  <c:v>0</c:v>
                </c:pt>
                <c:pt idx="2">
                  <c:v>7.5253256150506515E-2</c:v>
                </c:pt>
                <c:pt idx="3">
                  <c:v>0.27595628415300544</c:v>
                </c:pt>
                <c:pt idx="4">
                  <c:v>0.41106719367588934</c:v>
                </c:pt>
                <c:pt idx="5">
                  <c:v>0.62903225806451613</c:v>
                </c:pt>
                <c:pt idx="6">
                  <c:v>0.81369611450384693</c:v>
                </c:pt>
                <c:pt idx="7">
                  <c:v>1.302786412148317</c:v>
                </c:pt>
                <c:pt idx="8">
                  <c:v>2.1226462017393763</c:v>
                </c:pt>
                <c:pt idx="9">
                  <c:v>5.4034855410703155</c:v>
                </c:pt>
              </c:numCache>
            </c:numRef>
          </c:val>
          <c:smooth val="0"/>
          <c:extLst>
            <c:ext xmlns:c16="http://schemas.microsoft.com/office/drawing/2014/chart" uri="{C3380CC4-5D6E-409C-BE32-E72D297353CC}">
              <c16:uniqueId val="{00000000-09D0-4F60-A055-528682DB629F}"/>
            </c:ext>
          </c:extLst>
        </c:ser>
        <c:ser>
          <c:idx val="1"/>
          <c:order val="1"/>
          <c:tx>
            <c:strRef>
              <c:f>'Canada EV uptake'!$C$3</c:f>
              <c:strCache>
                <c:ptCount val="1"/>
                <c:pt idx="0">
                  <c:v>predCostLagged</c:v>
                </c:pt>
              </c:strCache>
            </c:strRef>
          </c:tx>
          <c:spPr>
            <a:ln w="28575" cap="rnd">
              <a:solidFill>
                <a:schemeClr val="accent2"/>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uptake'!$C$4:$C$45</c:f>
              <c:numCache>
                <c:formatCode>0.00</c:formatCode>
                <c:ptCount val="42"/>
                <c:pt idx="3">
                  <c:v>0.26976839331369129</c:v>
                </c:pt>
                <c:pt idx="4">
                  <c:v>0.4153190615900294</c:v>
                </c:pt>
                <c:pt idx="5">
                  <c:v>0.63862526913926998</c:v>
                </c:pt>
                <c:pt idx="6">
                  <c:v>0.83298342165318717</c:v>
                </c:pt>
                <c:pt idx="7">
                  <c:v>1.2764186108823803</c:v>
                </c:pt>
                <c:pt idx="8">
                  <c:v>2.1109069198989259</c:v>
                </c:pt>
                <c:pt idx="9">
                  <c:v>5.4034855410703129</c:v>
                </c:pt>
                <c:pt idx="10">
                  <c:v>3.5166388613865194</c:v>
                </c:pt>
                <c:pt idx="11">
                  <c:v>4.8401346420411286</c:v>
                </c:pt>
                <c:pt idx="12">
                  <c:v>6.7819588768419212</c:v>
                </c:pt>
                <c:pt idx="13">
                  <c:v>8.9554016993125423</c:v>
                </c:pt>
                <c:pt idx="14">
                  <c:v>11.538905194591692</c:v>
                </c:pt>
                <c:pt idx="15">
                  <c:v>14.73318377422464</c:v>
                </c:pt>
                <c:pt idx="16">
                  <c:v>18.62032881779167</c:v>
                </c:pt>
                <c:pt idx="17">
                  <c:v>22.928622096889296</c:v>
                </c:pt>
                <c:pt idx="18">
                  <c:v>27.665322089276572</c:v>
                </c:pt>
                <c:pt idx="19">
                  <c:v>32.647000337788334</c:v>
                </c:pt>
                <c:pt idx="20">
                  <c:v>37.740478997781011</c:v>
                </c:pt>
                <c:pt idx="21">
                  <c:v>42.580692937590193</c:v>
                </c:pt>
                <c:pt idx="22">
                  <c:v>47.009867346596209</c:v>
                </c:pt>
                <c:pt idx="23">
                  <c:v>50.758278508185988</c:v>
                </c:pt>
                <c:pt idx="24">
                  <c:v>53.985948552210502</c:v>
                </c:pt>
                <c:pt idx="25">
                  <c:v>56.636318021438015</c:v>
                </c:pt>
                <c:pt idx="26">
                  <c:v>58.674109188170284</c:v>
                </c:pt>
                <c:pt idx="27">
                  <c:v>60.081095148379987</c:v>
                </c:pt>
                <c:pt idx="28">
                  <c:v>61.202486867669677</c:v>
                </c:pt>
                <c:pt idx="29">
                  <c:v>62.084966056047946</c:v>
                </c:pt>
                <c:pt idx="30">
                  <c:v>62.772428344001469</c:v>
                </c:pt>
                <c:pt idx="31">
                  <c:v>63.303719333515723</c:v>
                </c:pt>
                <c:pt idx="32">
                  <c:v>63.711781098477203</c:v>
                </c:pt>
                <c:pt idx="33">
                  <c:v>64.0237032128707</c:v>
                </c:pt>
                <c:pt idx="34">
                  <c:v>64.261266322583921</c:v>
                </c:pt>
                <c:pt idx="35">
                  <c:v>64.44169361497849</c:v>
                </c:pt>
                <c:pt idx="36">
                  <c:v>64.578437230149547</c:v>
                </c:pt>
                <c:pt idx="37">
                  <c:v>64.681907697445993</c:v>
                </c:pt>
                <c:pt idx="38">
                  <c:v>64.760106502570267</c:v>
                </c:pt>
                <c:pt idx="39">
                  <c:v>64.819152040143607</c:v>
                </c:pt>
                <c:pt idx="40">
                  <c:v>64.863704828287354</c:v>
                </c:pt>
                <c:pt idx="41">
                  <c:v>64.897100523564987</c:v>
                </c:pt>
              </c:numCache>
            </c:numRef>
          </c:val>
          <c:smooth val="0"/>
          <c:extLst>
            <c:ext xmlns:c16="http://schemas.microsoft.com/office/drawing/2014/chart" uri="{C3380CC4-5D6E-409C-BE32-E72D297353CC}">
              <c16:uniqueId val="{00000001-09D0-4F60-A055-528682DB629F}"/>
            </c:ext>
          </c:extLst>
        </c:ser>
        <c:ser>
          <c:idx val="2"/>
          <c:order val="2"/>
          <c:tx>
            <c:strRef>
              <c:f>'Canada EV uptake'!$L$3</c:f>
              <c:strCache>
                <c:ptCount val="1"/>
                <c:pt idx="0">
                  <c:v>predicted cost</c:v>
                </c:pt>
              </c:strCache>
            </c:strRef>
          </c:tx>
          <c:spPr>
            <a:ln w="28575" cap="rnd">
              <a:solidFill>
                <a:schemeClr val="accent3"/>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uptake'!$L$4:$L$45</c:f>
              <c:numCache>
                <c:formatCode>0.00</c:formatCode>
                <c:ptCount val="42"/>
                <c:pt idx="3" formatCode="0.000">
                  <c:v>0.26976839331369129</c:v>
                </c:pt>
                <c:pt idx="4" formatCode="0.000">
                  <c:v>0.4153190615900294</c:v>
                </c:pt>
                <c:pt idx="5" formatCode="0.000">
                  <c:v>0.4153190615900294</c:v>
                </c:pt>
                <c:pt idx="6" formatCode="0.000">
                  <c:v>0.63862526913926998</c:v>
                </c:pt>
                <c:pt idx="7" formatCode="0.000">
                  <c:v>0.83298342165318717</c:v>
                </c:pt>
                <c:pt idx="8" formatCode="0.000">
                  <c:v>1.2764186108823803</c:v>
                </c:pt>
                <c:pt idx="9" formatCode="0.000">
                  <c:v>2.3469402826807464</c:v>
                </c:pt>
                <c:pt idx="10" formatCode="0.000">
                  <c:v>3.7156463390427832</c:v>
                </c:pt>
                <c:pt idx="11" formatCode="0.000">
                  <c:v>4.9956653575589813</c:v>
                </c:pt>
                <c:pt idx="12" formatCode="0.000">
                  <c:v>7.7163121795650085</c:v>
                </c:pt>
                <c:pt idx="13" formatCode="0.000">
                  <c:v>11.580806541501097</c:v>
                </c:pt>
                <c:pt idx="14" formatCode="0.000">
                  <c:v>16.110012328781785</c:v>
                </c:pt>
                <c:pt idx="15" formatCode="0.000">
                  <c:v>22.944006786837907</c:v>
                </c:pt>
                <c:pt idx="16" formatCode="0.000">
                  <c:v>30.977498686764058</c:v>
                </c:pt>
                <c:pt idx="17" formatCode="0.000">
                  <c:v>38.383262791613319</c:v>
                </c:pt>
                <c:pt idx="18" formatCode="0.000">
                  <c:v>45.394945963720787</c:v>
                </c:pt>
                <c:pt idx="19" formatCode="0.000">
                  <c:v>52.011614177588662</c:v>
                </c:pt>
                <c:pt idx="20" formatCode="0.000">
                  <c:v>56.130350725484881</c:v>
                </c:pt>
                <c:pt idx="21" formatCode="0.000">
                  <c:v>59.225095695368147</c:v>
                </c:pt>
                <c:pt idx="22" formatCode="0.000">
                  <c:v>61.456444333344301</c:v>
                </c:pt>
                <c:pt idx="23" formatCode="0.000">
                  <c:v>63.014613906897566</c:v>
                </c:pt>
                <c:pt idx="24" formatCode="0.000">
                  <c:v>63.694698619539771</c:v>
                </c:pt>
                <c:pt idx="25" formatCode="0.000">
                  <c:v>64.146016718714691</c:v>
                </c:pt>
                <c:pt idx="26" formatCode="0.000">
                  <c:v>64.443107350250898</c:v>
                </c:pt>
                <c:pt idx="27" formatCode="0.000">
                  <c:v>64.637624254290955</c:v>
                </c:pt>
                <c:pt idx="28" formatCode="0.000">
                  <c:v>64.76453084234636</c:v>
                </c:pt>
                <c:pt idx="29" formatCode="0.000">
                  <c:v>64.847134737931498</c:v>
                </c:pt>
                <c:pt idx="30" formatCode="0.000">
                  <c:v>64.900820258428269</c:v>
                </c:pt>
                <c:pt idx="31" formatCode="0.000">
                  <c:v>64.935676791550151</c:v>
                </c:pt>
                <c:pt idx="32" formatCode="0.000">
                  <c:v>64.958293630747136</c:v>
                </c:pt>
                <c:pt idx="33" formatCode="0.000">
                  <c:v>64.972962554562585</c:v>
                </c:pt>
                <c:pt idx="34" formatCode="0.000">
                  <c:v>64.982474008139491</c:v>
                </c:pt>
                <c:pt idx="35" formatCode="0.000">
                  <c:v>64.988640230549507</c:v>
                </c:pt>
                <c:pt idx="36" formatCode="0.000">
                  <c:v>64.992637302549923</c:v>
                </c:pt>
                <c:pt idx="37" formatCode="0.000">
                  <c:v>64.995228095231255</c:v>
                </c:pt>
                <c:pt idx="38" formatCode="0.000">
                  <c:v>64.996907295696758</c:v>
                </c:pt>
                <c:pt idx="39" formatCode="0.000">
                  <c:v>64.997995621546195</c:v>
                </c:pt>
                <c:pt idx="40" formatCode="0.000">
                  <c:v>64.998700974683089</c:v>
                </c:pt>
                <c:pt idx="41" formatCode="0.000">
                  <c:v>64.999158114020616</c:v>
                </c:pt>
              </c:numCache>
            </c:numRef>
          </c:val>
          <c:smooth val="0"/>
          <c:extLst>
            <c:ext xmlns:c16="http://schemas.microsoft.com/office/drawing/2014/chart" uri="{C3380CC4-5D6E-409C-BE32-E72D297353CC}">
              <c16:uniqueId val="{00000002-09D0-4F60-A055-528682DB629F}"/>
            </c:ext>
          </c:extLst>
        </c:ser>
        <c:ser>
          <c:idx val="3"/>
          <c:order val="3"/>
          <c:tx>
            <c:strRef>
              <c:f>'Canada EV uptake'!$AB$3</c:f>
              <c:strCache>
                <c:ptCount val="1"/>
                <c:pt idx="0">
                  <c:v>  Canadian raw predicted</c:v>
                </c:pt>
              </c:strCache>
            </c:strRef>
          </c:tx>
          <c:spPr>
            <a:ln w="28575" cap="rnd">
              <a:solidFill>
                <a:schemeClr val="accent4"/>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uptake'!$AB$4:$AB$45</c:f>
              <c:numCache>
                <c:formatCode>0.00</c:formatCode>
                <c:ptCount val="42"/>
                <c:pt idx="0">
                  <c:v>0</c:v>
                </c:pt>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pt idx="32">
                  <c:v>64.946298587949784</c:v>
                </c:pt>
                <c:pt idx="33">
                  <c:v>64.965186831583651</c:v>
                </c:pt>
                <c:pt idx="34">
                  <c:v>64.97743387580077</c:v>
                </c:pt>
                <c:pt idx="35">
                  <c:v>64.985373460241391</c:v>
                </c:pt>
                <c:pt idx="36">
                  <c:v>64.990520017237287</c:v>
                </c:pt>
                <c:pt idx="37">
                  <c:v>64.99385585583434</c:v>
                </c:pt>
                <c:pt idx="38">
                  <c:v>64.99601794363376</c:v>
                </c:pt>
                <c:pt idx="39">
                  <c:v>64.997419235802866</c:v>
                </c:pt>
                <c:pt idx="40">
                  <c:v>64.998327423648036</c:v>
                </c:pt>
                <c:pt idx="41">
                  <c:v>64.998916019564774</c:v>
                </c:pt>
              </c:numCache>
            </c:numRef>
          </c:val>
          <c:smooth val="0"/>
          <c:extLst>
            <c:ext xmlns:c16="http://schemas.microsoft.com/office/drawing/2014/chart" uri="{C3380CC4-5D6E-409C-BE32-E72D297353CC}">
              <c16:uniqueId val="{00000003-09D0-4F60-A055-528682DB629F}"/>
            </c:ext>
          </c:extLst>
        </c:ser>
        <c:dLbls>
          <c:showLegendKey val="0"/>
          <c:showVal val="0"/>
          <c:showCatName val="0"/>
          <c:showSerName val="0"/>
          <c:showPercent val="0"/>
          <c:showBubbleSize val="0"/>
        </c:dLbls>
        <c:smooth val="0"/>
        <c:axId val="655950784"/>
        <c:axId val="655952424"/>
      </c:lineChart>
      <c:catAx>
        <c:axId val="65595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2424"/>
        <c:crosses val="autoZero"/>
        <c:auto val="1"/>
        <c:lblAlgn val="ctr"/>
        <c:lblOffset val="100"/>
        <c:noMultiLvlLbl val="0"/>
      </c:catAx>
      <c:valAx>
        <c:axId val="655952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6029272382618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0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uptake'!$B$3</c:f>
              <c:strCache>
                <c:ptCount val="1"/>
                <c:pt idx="0">
                  <c:v>  EV %sales</c:v>
                </c:pt>
              </c:strCache>
            </c:strRef>
          </c:tx>
          <c:spPr>
            <a:ln w="50800" cap="rnd">
              <a:solidFill>
                <a:schemeClr val="tx1"/>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uptake'!$B$4:$B$35</c:f>
              <c:numCache>
                <c:formatCode>0.00</c:formatCode>
                <c:ptCount val="32"/>
                <c:pt idx="0">
                  <c:v>0</c:v>
                </c:pt>
                <c:pt idx="1">
                  <c:v>0</c:v>
                </c:pt>
                <c:pt idx="2">
                  <c:v>7.5253256150506515E-2</c:v>
                </c:pt>
                <c:pt idx="3">
                  <c:v>0.27595628415300544</c:v>
                </c:pt>
                <c:pt idx="4">
                  <c:v>0.41106719367588934</c:v>
                </c:pt>
                <c:pt idx="5">
                  <c:v>0.62903225806451613</c:v>
                </c:pt>
                <c:pt idx="6">
                  <c:v>0.81369611450384693</c:v>
                </c:pt>
                <c:pt idx="7">
                  <c:v>1.302786412148317</c:v>
                </c:pt>
                <c:pt idx="8">
                  <c:v>2.1226462017393763</c:v>
                </c:pt>
                <c:pt idx="9">
                  <c:v>5.4034855410703155</c:v>
                </c:pt>
              </c:numCache>
            </c:numRef>
          </c:val>
          <c:smooth val="0"/>
          <c:extLst>
            <c:ext xmlns:c16="http://schemas.microsoft.com/office/drawing/2014/chart" uri="{C3380CC4-5D6E-409C-BE32-E72D297353CC}">
              <c16:uniqueId val="{00000000-1A94-4F62-856B-5F39BC295EB4}"/>
            </c:ext>
          </c:extLst>
        </c:ser>
        <c:ser>
          <c:idx val="3"/>
          <c:order val="1"/>
          <c:tx>
            <c:strRef>
              <c:f>'Canada EV uptake'!$AB$3</c:f>
              <c:strCache>
                <c:ptCount val="1"/>
                <c:pt idx="0">
                  <c:v>  Canadian raw predicted</c:v>
                </c:pt>
              </c:strCache>
            </c:strRef>
          </c:tx>
          <c:spPr>
            <a:ln w="28575" cap="rnd">
              <a:solidFill>
                <a:schemeClr val="accent4"/>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uptake'!$AB$4:$AB$45</c:f>
              <c:numCache>
                <c:formatCode>0.00</c:formatCode>
                <c:ptCount val="42"/>
                <c:pt idx="0">
                  <c:v>0</c:v>
                </c:pt>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pt idx="32">
                  <c:v>64.946298587949784</c:v>
                </c:pt>
                <c:pt idx="33">
                  <c:v>64.965186831583651</c:v>
                </c:pt>
                <c:pt idx="34">
                  <c:v>64.97743387580077</c:v>
                </c:pt>
                <c:pt idx="35">
                  <c:v>64.985373460241391</c:v>
                </c:pt>
                <c:pt idx="36">
                  <c:v>64.990520017237287</c:v>
                </c:pt>
                <c:pt idx="37">
                  <c:v>64.99385585583434</c:v>
                </c:pt>
                <c:pt idx="38">
                  <c:v>64.99601794363376</c:v>
                </c:pt>
                <c:pt idx="39">
                  <c:v>64.997419235802866</c:v>
                </c:pt>
                <c:pt idx="40">
                  <c:v>64.998327423648036</c:v>
                </c:pt>
                <c:pt idx="41">
                  <c:v>64.998916019564774</c:v>
                </c:pt>
              </c:numCache>
            </c:numRef>
          </c:val>
          <c:smooth val="0"/>
          <c:extLst>
            <c:ext xmlns:c16="http://schemas.microsoft.com/office/drawing/2014/chart" uri="{C3380CC4-5D6E-409C-BE32-E72D297353CC}">
              <c16:uniqueId val="{00000003-1A94-4F62-856B-5F39BC295EB4}"/>
            </c:ext>
          </c:extLst>
        </c:ser>
        <c:dLbls>
          <c:showLegendKey val="0"/>
          <c:showVal val="0"/>
          <c:showCatName val="0"/>
          <c:showSerName val="0"/>
          <c:showPercent val="0"/>
          <c:showBubbleSize val="0"/>
        </c:dLbls>
        <c:smooth val="0"/>
        <c:axId val="655950784"/>
        <c:axId val="655952424"/>
      </c:lineChart>
      <c:catAx>
        <c:axId val="65595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2424"/>
        <c:crosses val="autoZero"/>
        <c:auto val="1"/>
        <c:lblAlgn val="ctr"/>
        <c:lblOffset val="100"/>
        <c:noMultiLvlLbl val="0"/>
      </c:catAx>
      <c:valAx>
        <c:axId val="655952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0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uptake'!$B$3</c:f>
              <c:strCache>
                <c:ptCount val="1"/>
                <c:pt idx="0">
                  <c:v>  EV %sales</c:v>
                </c:pt>
              </c:strCache>
            </c:strRef>
          </c:tx>
          <c:spPr>
            <a:ln w="50800" cap="rnd">
              <a:solidFill>
                <a:schemeClr val="tx1"/>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uptake'!$B$4:$B$35</c:f>
              <c:numCache>
                <c:formatCode>0.00</c:formatCode>
                <c:ptCount val="32"/>
                <c:pt idx="0">
                  <c:v>0</c:v>
                </c:pt>
                <c:pt idx="1">
                  <c:v>0</c:v>
                </c:pt>
                <c:pt idx="2">
                  <c:v>7.5253256150506515E-2</c:v>
                </c:pt>
                <c:pt idx="3">
                  <c:v>0.27595628415300544</c:v>
                </c:pt>
                <c:pt idx="4">
                  <c:v>0.41106719367588934</c:v>
                </c:pt>
                <c:pt idx="5">
                  <c:v>0.62903225806451613</c:v>
                </c:pt>
                <c:pt idx="6">
                  <c:v>0.81369611450384693</c:v>
                </c:pt>
                <c:pt idx="7">
                  <c:v>1.302786412148317</c:v>
                </c:pt>
                <c:pt idx="8">
                  <c:v>2.1226462017393763</c:v>
                </c:pt>
                <c:pt idx="9">
                  <c:v>5.4034855410703155</c:v>
                </c:pt>
              </c:numCache>
            </c:numRef>
          </c:val>
          <c:smooth val="0"/>
          <c:extLst>
            <c:ext xmlns:c16="http://schemas.microsoft.com/office/drawing/2014/chart" uri="{C3380CC4-5D6E-409C-BE32-E72D297353CC}">
              <c16:uniqueId val="{00000000-4DF9-474F-B90E-A630B2C4C59E}"/>
            </c:ext>
          </c:extLst>
        </c:ser>
        <c:ser>
          <c:idx val="2"/>
          <c:order val="1"/>
          <c:tx>
            <c:strRef>
              <c:f>'Canada EV uptake'!$L$3</c:f>
              <c:strCache>
                <c:ptCount val="1"/>
                <c:pt idx="0">
                  <c:v>predicted cost</c:v>
                </c:pt>
              </c:strCache>
            </c:strRef>
          </c:tx>
          <c:spPr>
            <a:ln w="28575" cap="rnd">
              <a:solidFill>
                <a:schemeClr val="accent3"/>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uptake'!$L$4:$L$45</c:f>
              <c:numCache>
                <c:formatCode>0.00</c:formatCode>
                <c:ptCount val="42"/>
                <c:pt idx="3" formatCode="0.000">
                  <c:v>0.26976839331369129</c:v>
                </c:pt>
                <c:pt idx="4" formatCode="0.000">
                  <c:v>0.4153190615900294</c:v>
                </c:pt>
                <c:pt idx="5" formatCode="0.000">
                  <c:v>0.4153190615900294</c:v>
                </c:pt>
                <c:pt idx="6" formatCode="0.000">
                  <c:v>0.63862526913926998</c:v>
                </c:pt>
                <c:pt idx="7" formatCode="0.000">
                  <c:v>0.83298342165318717</c:v>
                </c:pt>
                <c:pt idx="8" formatCode="0.000">
                  <c:v>1.2764186108823803</c:v>
                </c:pt>
                <c:pt idx="9" formatCode="0.000">
                  <c:v>2.3469402826807464</c:v>
                </c:pt>
                <c:pt idx="10" formatCode="0.000">
                  <c:v>3.7156463390427832</c:v>
                </c:pt>
                <c:pt idx="11" formatCode="0.000">
                  <c:v>4.9956653575589813</c:v>
                </c:pt>
                <c:pt idx="12" formatCode="0.000">
                  <c:v>7.7163121795650085</c:v>
                </c:pt>
                <c:pt idx="13" formatCode="0.000">
                  <c:v>11.580806541501097</c:v>
                </c:pt>
                <c:pt idx="14" formatCode="0.000">
                  <c:v>16.110012328781785</c:v>
                </c:pt>
                <c:pt idx="15" formatCode="0.000">
                  <c:v>22.944006786837907</c:v>
                </c:pt>
                <c:pt idx="16" formatCode="0.000">
                  <c:v>30.977498686764058</c:v>
                </c:pt>
                <c:pt idx="17" formatCode="0.000">
                  <c:v>38.383262791613319</c:v>
                </c:pt>
                <c:pt idx="18" formatCode="0.000">
                  <c:v>45.394945963720787</c:v>
                </c:pt>
                <c:pt idx="19" formatCode="0.000">
                  <c:v>52.011614177588662</c:v>
                </c:pt>
                <c:pt idx="20" formatCode="0.000">
                  <c:v>56.130350725484881</c:v>
                </c:pt>
                <c:pt idx="21" formatCode="0.000">
                  <c:v>59.225095695368147</c:v>
                </c:pt>
                <c:pt idx="22" formatCode="0.000">
                  <c:v>61.456444333344301</c:v>
                </c:pt>
                <c:pt idx="23" formatCode="0.000">
                  <c:v>63.014613906897566</c:v>
                </c:pt>
                <c:pt idx="24" formatCode="0.000">
                  <c:v>63.694698619539771</c:v>
                </c:pt>
                <c:pt idx="25" formatCode="0.000">
                  <c:v>64.146016718714691</c:v>
                </c:pt>
                <c:pt idx="26" formatCode="0.000">
                  <c:v>64.443107350250898</c:v>
                </c:pt>
                <c:pt idx="27" formatCode="0.000">
                  <c:v>64.637624254290955</c:v>
                </c:pt>
                <c:pt idx="28" formatCode="0.000">
                  <c:v>64.76453084234636</c:v>
                </c:pt>
                <c:pt idx="29" formatCode="0.000">
                  <c:v>64.847134737931498</c:v>
                </c:pt>
                <c:pt idx="30" formatCode="0.000">
                  <c:v>64.900820258428269</c:v>
                </c:pt>
                <c:pt idx="31" formatCode="0.000">
                  <c:v>64.935676791550151</c:v>
                </c:pt>
                <c:pt idx="32" formatCode="0.000">
                  <c:v>64.958293630747136</c:v>
                </c:pt>
                <c:pt idx="33" formatCode="0.000">
                  <c:v>64.972962554562585</c:v>
                </c:pt>
                <c:pt idx="34" formatCode="0.000">
                  <c:v>64.982474008139491</c:v>
                </c:pt>
                <c:pt idx="35" formatCode="0.000">
                  <c:v>64.988640230549507</c:v>
                </c:pt>
                <c:pt idx="36" formatCode="0.000">
                  <c:v>64.992637302549923</c:v>
                </c:pt>
                <c:pt idx="37" formatCode="0.000">
                  <c:v>64.995228095231255</c:v>
                </c:pt>
                <c:pt idx="38" formatCode="0.000">
                  <c:v>64.996907295696758</c:v>
                </c:pt>
                <c:pt idx="39" formatCode="0.000">
                  <c:v>64.997995621546195</c:v>
                </c:pt>
                <c:pt idx="40" formatCode="0.000">
                  <c:v>64.998700974683089</c:v>
                </c:pt>
                <c:pt idx="41" formatCode="0.000">
                  <c:v>64.999158114020616</c:v>
                </c:pt>
              </c:numCache>
            </c:numRef>
          </c:val>
          <c:smooth val="0"/>
          <c:extLst>
            <c:ext xmlns:c16="http://schemas.microsoft.com/office/drawing/2014/chart" uri="{C3380CC4-5D6E-409C-BE32-E72D297353CC}">
              <c16:uniqueId val="{00000002-4DF9-474F-B90E-A630B2C4C59E}"/>
            </c:ext>
          </c:extLst>
        </c:ser>
        <c:ser>
          <c:idx val="3"/>
          <c:order val="2"/>
          <c:tx>
            <c:strRef>
              <c:f>'Canada EV uptake'!$AB$3</c:f>
              <c:strCache>
                <c:ptCount val="1"/>
                <c:pt idx="0">
                  <c:v>  Canadian raw predicted</c:v>
                </c:pt>
              </c:strCache>
            </c:strRef>
          </c:tx>
          <c:spPr>
            <a:ln w="28575" cap="rnd">
              <a:solidFill>
                <a:schemeClr val="accent4"/>
              </a:solidFill>
              <a:round/>
            </a:ln>
            <a:effectLst/>
          </c:spPr>
          <c:marker>
            <c:symbol val="none"/>
          </c:marker>
          <c:cat>
            <c:numRef>
              <c:f>'Canada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'Canada EV uptake'!$AB$4:$AB$45</c:f>
              <c:numCache>
                <c:formatCode>0.00</c:formatCode>
                <c:ptCount val="42"/>
                <c:pt idx="0">
                  <c:v>0</c:v>
                </c:pt>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pt idx="32">
                  <c:v>64.946298587949784</c:v>
                </c:pt>
                <c:pt idx="33">
                  <c:v>64.965186831583651</c:v>
                </c:pt>
                <c:pt idx="34">
                  <c:v>64.97743387580077</c:v>
                </c:pt>
                <c:pt idx="35">
                  <c:v>64.985373460241391</c:v>
                </c:pt>
                <c:pt idx="36">
                  <c:v>64.990520017237287</c:v>
                </c:pt>
                <c:pt idx="37">
                  <c:v>64.99385585583434</c:v>
                </c:pt>
                <c:pt idx="38">
                  <c:v>64.99601794363376</c:v>
                </c:pt>
                <c:pt idx="39">
                  <c:v>64.997419235802866</c:v>
                </c:pt>
                <c:pt idx="40">
                  <c:v>64.998327423648036</c:v>
                </c:pt>
                <c:pt idx="41">
                  <c:v>64.998916019564774</c:v>
                </c:pt>
              </c:numCache>
            </c:numRef>
          </c:val>
          <c:smooth val="0"/>
          <c:extLst>
            <c:ext xmlns:c16="http://schemas.microsoft.com/office/drawing/2014/chart" uri="{C3380CC4-5D6E-409C-BE32-E72D297353CC}">
              <c16:uniqueId val="{00000003-4DF9-474F-B90E-A630B2C4C59E}"/>
            </c:ext>
          </c:extLst>
        </c:ser>
        <c:dLbls>
          <c:showLegendKey val="0"/>
          <c:showVal val="0"/>
          <c:showCatName val="0"/>
          <c:showSerName val="0"/>
          <c:showPercent val="0"/>
          <c:showBubbleSize val="0"/>
        </c:dLbls>
        <c:smooth val="0"/>
        <c:axId val="655950784"/>
        <c:axId val="655952424"/>
      </c:lineChart>
      <c:catAx>
        <c:axId val="65595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2424"/>
        <c:crosses val="autoZero"/>
        <c:auto val="1"/>
        <c:lblAlgn val="ctr"/>
        <c:lblOffset val="100"/>
        <c:noMultiLvlLbl val="0"/>
      </c:catAx>
      <c:valAx>
        <c:axId val="655952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50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Australia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%sales'!$BH$81</c:f>
              <c:strCache>
                <c:ptCount val="1"/>
                <c:pt idx="0">
                  <c:v>729</c:v>
                </c:pt>
              </c:strCache>
            </c:strRef>
          </c:tx>
          <c:spPr>
            <a:ln w="28575" cap="rnd">
              <a:solidFill>
                <a:schemeClr val="accent1"/>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%sales'!$BH$82:$BH$89</c:f>
              <c:numCache>
                <c:formatCode>0</c:formatCode>
                <c:ptCount val="8"/>
                <c:pt idx="0">
                  <c:v>827.40700000000004</c:v>
                </c:pt>
                <c:pt idx="1">
                  <c:v>803.45</c:v>
                </c:pt>
                <c:pt idx="2">
                  <c:v>882.68</c:v>
                </c:pt>
                <c:pt idx="3">
                  <c:v>899.96500000000003</c:v>
                </c:pt>
                <c:pt idx="4">
                  <c:v>883.94899999999996</c:v>
                </c:pt>
                <c:pt idx="5">
                  <c:v>924.154</c:v>
                </c:pt>
                <c:pt idx="6">
                  <c:v>927.28</c:v>
                </c:pt>
                <c:pt idx="7">
                  <c:v>915.65800000000002</c:v>
                </c:pt>
              </c:numCache>
            </c:numRef>
          </c:val>
          <c:smooth val="0"/>
          <c:extLst>
            <c:ext xmlns:c16="http://schemas.microsoft.com/office/drawing/2014/chart" uri="{C3380CC4-5D6E-409C-BE32-E72D297353CC}">
              <c16:uniqueId val="{00000000-A639-4FB3-8D4E-8EFF4F5CE11C}"/>
            </c:ext>
          </c:extLst>
        </c:ser>
        <c:ser>
          <c:idx val="1"/>
          <c:order val="1"/>
          <c:tx>
            <c:strRef>
              <c:f>'EV %sales'!$CH$81</c:f>
              <c:strCache>
                <c:ptCount val="1"/>
                <c:pt idx="0">
                  <c:v>541</c:v>
                </c:pt>
              </c:strCache>
            </c:strRef>
          </c:tx>
          <c:spPr>
            <a:ln w="28575" cap="rnd">
              <a:solidFill>
                <a:schemeClr val="accent2"/>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%sales'!$CH$82:$CH$89</c:f>
              <c:numCache>
                <c:formatCode>0</c:formatCode>
                <c:ptCount val="8"/>
                <c:pt idx="0">
                  <c:v>592.12199999999996</c:v>
                </c:pt>
                <c:pt idx="1">
                  <c:v>559.52200000000005</c:v>
                </c:pt>
                <c:pt idx="2">
                  <c:v>576.85500000000002</c:v>
                </c:pt>
                <c:pt idx="3">
                  <c:v>566.45399999999995</c:v>
                </c:pt>
                <c:pt idx="4">
                  <c:v>531.62800000000004</c:v>
                </c:pt>
                <c:pt idx="5">
                  <c:v>515.68299999999999</c:v>
                </c:pt>
                <c:pt idx="6">
                  <c:v>486.25700000000001</c:v>
                </c:pt>
                <c:pt idx="7">
                  <c:v>450.012</c:v>
                </c:pt>
              </c:numCache>
            </c:numRef>
          </c:val>
          <c:smooth val="0"/>
          <c:extLst>
            <c:ext xmlns:c16="http://schemas.microsoft.com/office/drawing/2014/chart" uri="{C3380CC4-5D6E-409C-BE32-E72D297353CC}">
              <c16:uniqueId val="{00000001-A639-4FB3-8D4E-8EFF4F5CE11C}"/>
            </c:ext>
          </c:extLst>
        </c:ser>
        <c:dLbls>
          <c:showLegendKey val="0"/>
          <c:showVal val="0"/>
          <c:showCatName val="0"/>
          <c:showSerName val="0"/>
          <c:showPercent val="0"/>
          <c:showBubbleSize val="0"/>
        </c:dLbls>
        <c:smooth val="0"/>
        <c:axId val="452005504"/>
        <c:axId val="451973688"/>
      </c:lineChart>
      <c:catAx>
        <c:axId val="45200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973688"/>
        <c:crosses val="autoZero"/>
        <c:auto val="1"/>
        <c:lblAlgn val="ctr"/>
        <c:lblOffset val="100"/>
        <c:noMultiLvlLbl val="0"/>
      </c:catAx>
      <c:valAx>
        <c:axId val="451973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00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uptake'!$S$3</c:f>
              <c:strCache>
                <c:ptCount val="1"/>
                <c:pt idx="0">
                  <c:v>High</c:v>
                </c:pt>
              </c:strCache>
            </c:strRef>
          </c:tx>
          <c:spPr>
            <a:ln w="28575" cap="rnd">
              <a:solidFill>
                <a:schemeClr val="accent1"/>
              </a:solidFill>
              <a:round/>
            </a:ln>
            <a:effectLst/>
          </c:spPr>
          <c:marker>
            <c:symbol val="none"/>
          </c:marker>
          <c:cat>
            <c:numRef>
              <c:f>'Canada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uptake'!$S$4:$S$25</c:f>
              <c:numCache>
                <c:formatCode>General</c:formatCode>
                <c:ptCount val="22"/>
                <c:pt idx="3" formatCode="0.00">
                  <c:v>0.26976839331369129</c:v>
                </c:pt>
                <c:pt idx="4" formatCode="0.00">
                  <c:v>0.4153190615900294</c:v>
                </c:pt>
                <c:pt idx="5" formatCode="0.00">
                  <c:v>0.63862526913926998</c:v>
                </c:pt>
                <c:pt idx="6" formatCode="0.00">
                  <c:v>0.83298342165318717</c:v>
                </c:pt>
                <c:pt idx="7" formatCode="0.00">
                  <c:v>1.2764186108823803</c:v>
                </c:pt>
                <c:pt idx="8" formatCode="0.00">
                  <c:v>2.1109069198989259</c:v>
                </c:pt>
                <c:pt idx="9" formatCode="0.00">
                  <c:v>5.4034855410703129</c:v>
                </c:pt>
                <c:pt idx="10" formatCode="0.00">
                  <c:v>4.20078144745173</c:v>
                </c:pt>
                <c:pt idx="11" formatCode="0.00">
                  <c:v>5.8150273109700432</c:v>
                </c:pt>
                <c:pt idx="12" formatCode="0.00">
                  <c:v>8.1877486644184021</c:v>
                </c:pt>
                <c:pt idx="13" formatCode="0.00">
                  <c:v>10.592104675179069</c:v>
                </c:pt>
                <c:pt idx="14" formatCode="0.00">
                  <c:v>13.572722633787336</c:v>
                </c:pt>
                <c:pt idx="15" formatCode="0.00">
                  <c:v>17.071902937960569</c:v>
                </c:pt>
                <c:pt idx="16" formatCode="0.00">
                  <c:v>21.111133127094273</c:v>
                </c:pt>
                <c:pt idx="17" formatCode="0.00">
                  <c:v>25.611704015140031</c:v>
                </c:pt>
                <c:pt idx="18" formatCode="0.00">
                  <c:v>30.543217175725403</c:v>
                </c:pt>
                <c:pt idx="19" formatCode="0.00">
                  <c:v>35.464273615517129</c:v>
                </c:pt>
                <c:pt idx="20" formatCode="0.00">
                  <c:v>40.23884318204739</c:v>
                </c:pt>
                <c:pt idx="21" formatCode="0.00">
                  <c:v>44.593946753355077</c:v>
                </c:pt>
              </c:numCache>
            </c:numRef>
          </c:val>
          <c:smooth val="0"/>
          <c:extLst>
            <c:ext xmlns:c16="http://schemas.microsoft.com/office/drawing/2014/chart" uri="{C3380CC4-5D6E-409C-BE32-E72D297353CC}">
              <c16:uniqueId val="{00000000-8E06-465F-A11F-C5ED5CB39C68}"/>
            </c:ext>
          </c:extLst>
        </c:ser>
        <c:ser>
          <c:idx val="1"/>
          <c:order val="1"/>
          <c:tx>
            <c:strRef>
              <c:f>'Canada EV uptake'!$T$3</c:f>
              <c:strCache>
                <c:ptCount val="1"/>
                <c:pt idx="0">
                  <c:v>Medium</c:v>
                </c:pt>
              </c:strCache>
            </c:strRef>
          </c:tx>
          <c:spPr>
            <a:ln w="28575" cap="rnd">
              <a:solidFill>
                <a:schemeClr val="accent2"/>
              </a:solidFill>
              <a:round/>
            </a:ln>
            <a:effectLst/>
          </c:spPr>
          <c:marker>
            <c:symbol val="none"/>
          </c:marker>
          <c:cat>
            <c:numRef>
              <c:f>'Canada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uptake'!$T$4:$T$25</c:f>
              <c:numCache>
                <c:formatCode>General</c:formatCode>
                <c:ptCount val="22"/>
                <c:pt idx="3" formatCode="0.00">
                  <c:v>0.26976839331369129</c:v>
                </c:pt>
                <c:pt idx="4" formatCode="0.00">
                  <c:v>0.4153190615900294</c:v>
                </c:pt>
                <c:pt idx="5" formatCode="0.00">
                  <c:v>0.63862526913926998</c:v>
                </c:pt>
                <c:pt idx="6" formatCode="0.00">
                  <c:v>0.83298342165318717</c:v>
                </c:pt>
                <c:pt idx="7" formatCode="0.00">
                  <c:v>1.2764186108823803</c:v>
                </c:pt>
                <c:pt idx="8" formatCode="0.00">
                  <c:v>2.1109069198989259</c:v>
                </c:pt>
                <c:pt idx="9" formatCode="0.00">
                  <c:v>5.4034855410703129</c:v>
                </c:pt>
                <c:pt idx="10" formatCode="0.00">
                  <c:v>3.5166388613865194</c:v>
                </c:pt>
                <c:pt idx="11" formatCode="0.00">
                  <c:v>4.8401346420411286</c:v>
                </c:pt>
                <c:pt idx="12" formatCode="0.00">
                  <c:v>6.7819588768419212</c:v>
                </c:pt>
                <c:pt idx="13" formatCode="0.00">
                  <c:v>8.9554016993125423</c:v>
                </c:pt>
                <c:pt idx="14" formatCode="0.00">
                  <c:v>11.538905194591692</c:v>
                </c:pt>
                <c:pt idx="15" formatCode="0.00">
                  <c:v>14.73318377422464</c:v>
                </c:pt>
                <c:pt idx="16" formatCode="0.00">
                  <c:v>18.62032881779167</c:v>
                </c:pt>
                <c:pt idx="17" formatCode="0.00">
                  <c:v>22.928622096889296</c:v>
                </c:pt>
                <c:pt idx="18" formatCode="0.00">
                  <c:v>27.665322089276572</c:v>
                </c:pt>
                <c:pt idx="19" formatCode="0.00">
                  <c:v>32.647000337788334</c:v>
                </c:pt>
                <c:pt idx="20" formatCode="0.00">
                  <c:v>37.740478997781011</c:v>
                </c:pt>
                <c:pt idx="21" formatCode="0.00">
                  <c:v>42.580692937590193</c:v>
                </c:pt>
              </c:numCache>
            </c:numRef>
          </c:val>
          <c:smooth val="0"/>
          <c:extLst>
            <c:ext xmlns:c16="http://schemas.microsoft.com/office/drawing/2014/chart" uri="{C3380CC4-5D6E-409C-BE32-E72D297353CC}">
              <c16:uniqueId val="{00000001-8E06-465F-A11F-C5ED5CB39C68}"/>
            </c:ext>
          </c:extLst>
        </c:ser>
        <c:ser>
          <c:idx val="2"/>
          <c:order val="2"/>
          <c:tx>
            <c:strRef>
              <c:f>'Canada EV uptake'!$U$3</c:f>
              <c:strCache>
                <c:ptCount val="1"/>
                <c:pt idx="0">
                  <c:v>Low</c:v>
                </c:pt>
              </c:strCache>
            </c:strRef>
          </c:tx>
          <c:spPr>
            <a:ln w="28575" cap="rnd">
              <a:solidFill>
                <a:schemeClr val="accent3"/>
              </a:solidFill>
              <a:round/>
            </a:ln>
            <a:effectLst/>
          </c:spPr>
          <c:marker>
            <c:symbol val="none"/>
          </c:marker>
          <c:cat>
            <c:numRef>
              <c:f>'Canada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uptake'!$U$4:$U$25</c:f>
              <c:numCache>
                <c:formatCode>General</c:formatCode>
                <c:ptCount val="22"/>
                <c:pt idx="3" formatCode="0.00">
                  <c:v>0.26976839331369129</c:v>
                </c:pt>
                <c:pt idx="4" formatCode="0.00">
                  <c:v>0.4153190615900294</c:v>
                </c:pt>
                <c:pt idx="5" formatCode="0.00">
                  <c:v>0.63862526913926998</c:v>
                </c:pt>
                <c:pt idx="6" formatCode="0.00">
                  <c:v>0.83298342165318717</c:v>
                </c:pt>
                <c:pt idx="7" formatCode="0.00">
                  <c:v>1.2764186108823803</c:v>
                </c:pt>
                <c:pt idx="8" formatCode="0.00">
                  <c:v>2.1109069198989259</c:v>
                </c:pt>
                <c:pt idx="9" formatCode="0.00">
                  <c:v>5.4034855410703129</c:v>
                </c:pt>
                <c:pt idx="10" formatCode="0.00">
                  <c:v>3.1081721445927455</c:v>
                </c:pt>
                <c:pt idx="11" formatCode="0.00">
                  <c:v>4.2273533844344113</c:v>
                </c:pt>
                <c:pt idx="12" formatCode="0.00">
                  <c:v>5.9787840771022092</c:v>
                </c:pt>
                <c:pt idx="13" formatCode="0.00">
                  <c:v>7.7767022225197424</c:v>
                </c:pt>
                <c:pt idx="14" formatCode="0.00">
                  <c:v>10.108046478983619</c:v>
                </c:pt>
                <c:pt idx="15" formatCode="0.00">
                  <c:v>12.966505021792452</c:v>
                </c:pt>
                <c:pt idx="16" formatCode="0.00">
                  <c:v>16.405710325774656</c:v>
                </c:pt>
                <c:pt idx="17" formatCode="0.00">
                  <c:v>20.351520423760228</c:v>
                </c:pt>
                <c:pt idx="18" formatCode="0.00">
                  <c:v>24.916159195143528</c:v>
                </c:pt>
                <c:pt idx="19" formatCode="0.00">
                  <c:v>29.6537841443654</c:v>
                </c:pt>
                <c:pt idx="20" formatCode="0.00">
                  <c:v>34.450965595294917</c:v>
                </c:pt>
                <c:pt idx="21" formatCode="0.00">
                  <c:v>39.045338128789645</c:v>
                </c:pt>
              </c:numCache>
            </c:numRef>
          </c:val>
          <c:smooth val="0"/>
          <c:extLst>
            <c:ext xmlns:c16="http://schemas.microsoft.com/office/drawing/2014/chart" uri="{C3380CC4-5D6E-409C-BE32-E72D297353CC}">
              <c16:uniqueId val="{00000002-8E06-465F-A11F-C5ED5CB39C68}"/>
            </c:ext>
          </c:extLst>
        </c:ser>
        <c:dLbls>
          <c:showLegendKey val="0"/>
          <c:showVal val="0"/>
          <c:showCatName val="0"/>
          <c:showSerName val="0"/>
          <c:showPercent val="0"/>
          <c:showBubbleSize val="0"/>
        </c:dLbls>
        <c:smooth val="0"/>
        <c:axId val="787441784"/>
        <c:axId val="787441128"/>
      </c:lineChart>
      <c:catAx>
        <c:axId val="78744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41128"/>
        <c:crosses val="autoZero"/>
        <c:auto val="1"/>
        <c:lblAlgn val="ctr"/>
        <c:lblOffset val="100"/>
        <c:noMultiLvlLbl val="0"/>
      </c:catAx>
      <c:valAx>
        <c:axId val="787441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4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 EV uptake'!$X$3</c:f>
              <c:strCache>
                <c:ptCount val="1"/>
                <c:pt idx="0">
                  <c:v>High</c:v>
                </c:pt>
              </c:strCache>
            </c:strRef>
          </c:tx>
          <c:spPr>
            <a:ln w="28575" cap="rnd">
              <a:solidFill>
                <a:schemeClr val="accent1"/>
              </a:solidFill>
              <a:round/>
            </a:ln>
            <a:effectLst/>
          </c:spPr>
          <c:marker>
            <c:symbol val="none"/>
          </c:marker>
          <c:cat>
            <c:numRef>
              <c:f>'Canada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uptake'!$X$4:$X$25</c:f>
              <c:numCache>
                <c:formatCode>General</c:formatCode>
                <c:ptCount val="22"/>
                <c:pt idx="3" formatCode="0.0">
                  <c:v>0.26976839331369129</c:v>
                </c:pt>
                <c:pt idx="4" formatCode="0.0">
                  <c:v>0.4153190615900294</c:v>
                </c:pt>
                <c:pt idx="5" formatCode="0.0">
                  <c:v>0.63862526913926998</c:v>
                </c:pt>
                <c:pt idx="6" formatCode="0.0">
                  <c:v>0.83298342165318717</c:v>
                </c:pt>
                <c:pt idx="7" formatCode="0.0">
                  <c:v>1.2764186108823803</c:v>
                </c:pt>
                <c:pt idx="8" formatCode="0.0">
                  <c:v>2.1109069198989259</c:v>
                </c:pt>
                <c:pt idx="9" formatCode="0.0">
                  <c:v>5.4034855410703129</c:v>
                </c:pt>
                <c:pt idx="10" formatCode="0.0">
                  <c:v>2.836686388877073</c:v>
                </c:pt>
                <c:pt idx="11" formatCode="0.0">
                  <c:v>3.4990874151187965</c:v>
                </c:pt>
                <c:pt idx="12" formatCode="0.0">
                  <c:v>4.1664424571568066</c:v>
                </c:pt>
                <c:pt idx="13" formatCode="0.0">
                  <c:v>4.9837835457326616</c:v>
                </c:pt>
                <c:pt idx="14" formatCode="0.0">
                  <c:v>5.9570066845389302</c:v>
                </c:pt>
                <c:pt idx="15" formatCode="0.0">
                  <c:v>7.2217494057188967</c:v>
                </c:pt>
                <c:pt idx="16" formatCode="0.0">
                  <c:v>8.8099030842553905</c:v>
                </c:pt>
                <c:pt idx="17" formatCode="0.0">
                  <c:v>10.730548676468574</c:v>
                </c:pt>
                <c:pt idx="18" formatCode="0.0">
                  <c:v>13.049030893359852</c:v>
                </c:pt>
                <c:pt idx="19" formatCode="0.0">
                  <c:v>15.750532097733316</c:v>
                </c:pt>
                <c:pt idx="20" formatCode="0.0">
                  <c:v>18.808840329094295</c:v>
                </c:pt>
                <c:pt idx="21" formatCode="0.0">
                  <c:v>22.207024093723611</c:v>
                </c:pt>
              </c:numCache>
            </c:numRef>
          </c:val>
          <c:smooth val="0"/>
          <c:extLst>
            <c:ext xmlns:c16="http://schemas.microsoft.com/office/drawing/2014/chart" uri="{C3380CC4-5D6E-409C-BE32-E72D297353CC}">
              <c16:uniqueId val="{00000000-3FCE-45F7-A2AF-30CCB6C2C574}"/>
            </c:ext>
          </c:extLst>
        </c:ser>
        <c:ser>
          <c:idx val="1"/>
          <c:order val="1"/>
          <c:tx>
            <c:strRef>
              <c:f>'Canada EV uptake'!$Y$3</c:f>
              <c:strCache>
                <c:ptCount val="1"/>
                <c:pt idx="0">
                  <c:v>Medium</c:v>
                </c:pt>
              </c:strCache>
            </c:strRef>
          </c:tx>
          <c:spPr>
            <a:ln w="28575" cap="rnd">
              <a:solidFill>
                <a:schemeClr val="accent2"/>
              </a:solidFill>
              <a:round/>
            </a:ln>
            <a:effectLst/>
          </c:spPr>
          <c:marker>
            <c:symbol val="none"/>
          </c:marker>
          <c:cat>
            <c:numRef>
              <c:f>'Canada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uptake'!$Y$4:$Y$25</c:f>
              <c:numCache>
                <c:formatCode>General</c:formatCode>
                <c:ptCount val="22"/>
                <c:pt idx="3" formatCode="0.00">
                  <c:v>0.26976839331369129</c:v>
                </c:pt>
                <c:pt idx="4" formatCode="0.00">
                  <c:v>0.4153190615900294</c:v>
                </c:pt>
                <c:pt idx="5" formatCode="0.00">
                  <c:v>0.63862526913926998</c:v>
                </c:pt>
                <c:pt idx="6" formatCode="0.00">
                  <c:v>0.83298342165318717</c:v>
                </c:pt>
                <c:pt idx="7" formatCode="0.00">
                  <c:v>1.2764186108823803</c:v>
                </c:pt>
                <c:pt idx="8" formatCode="0.00">
                  <c:v>2.1109069198989259</c:v>
                </c:pt>
                <c:pt idx="9" formatCode="0.00">
                  <c:v>5.4034855410703129</c:v>
                </c:pt>
                <c:pt idx="10" formatCode="0.00">
                  <c:v>3.5166388613865194</c:v>
                </c:pt>
                <c:pt idx="11" formatCode="0.00">
                  <c:v>4.8401346420411286</c:v>
                </c:pt>
                <c:pt idx="12" formatCode="0.00">
                  <c:v>6.7819588768419212</c:v>
                </c:pt>
                <c:pt idx="13" formatCode="0.00">
                  <c:v>8.9554016993125423</c:v>
                </c:pt>
                <c:pt idx="14" formatCode="0.00">
                  <c:v>11.538905194591692</c:v>
                </c:pt>
                <c:pt idx="15" formatCode="0.00">
                  <c:v>14.73318377422464</c:v>
                </c:pt>
                <c:pt idx="16" formatCode="0.00">
                  <c:v>18.62032881779167</c:v>
                </c:pt>
                <c:pt idx="17" formatCode="0.00">
                  <c:v>22.928622096889296</c:v>
                </c:pt>
                <c:pt idx="18" formatCode="0.00">
                  <c:v>27.665322089276572</c:v>
                </c:pt>
                <c:pt idx="19" formatCode="0.00">
                  <c:v>32.647000337788334</c:v>
                </c:pt>
                <c:pt idx="20" formatCode="0.00">
                  <c:v>37.740478997781011</c:v>
                </c:pt>
                <c:pt idx="21" formatCode="0.00">
                  <c:v>42.580692937590193</c:v>
                </c:pt>
              </c:numCache>
            </c:numRef>
          </c:val>
          <c:smooth val="0"/>
          <c:extLst>
            <c:ext xmlns:c16="http://schemas.microsoft.com/office/drawing/2014/chart" uri="{C3380CC4-5D6E-409C-BE32-E72D297353CC}">
              <c16:uniqueId val="{00000001-3FCE-45F7-A2AF-30CCB6C2C574}"/>
            </c:ext>
          </c:extLst>
        </c:ser>
        <c:ser>
          <c:idx val="2"/>
          <c:order val="2"/>
          <c:tx>
            <c:strRef>
              <c:f>'Canada EV uptake'!$Z$3</c:f>
              <c:strCache>
                <c:ptCount val="1"/>
                <c:pt idx="0">
                  <c:v>Low</c:v>
                </c:pt>
              </c:strCache>
            </c:strRef>
          </c:tx>
          <c:spPr>
            <a:ln w="28575" cap="rnd">
              <a:solidFill>
                <a:schemeClr val="accent3"/>
              </a:solidFill>
              <a:round/>
            </a:ln>
            <a:effectLst/>
          </c:spPr>
          <c:marker>
            <c:symbol val="none"/>
          </c:marker>
          <c:cat>
            <c:numRef>
              <c:f>'Canada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 EV uptake'!$Z$4:$Z$25</c:f>
              <c:numCache>
                <c:formatCode>General</c:formatCode>
                <c:ptCount val="22"/>
                <c:pt idx="3" formatCode="0.0">
                  <c:v>0.26976839331369129</c:v>
                </c:pt>
                <c:pt idx="4" formatCode="0.0">
                  <c:v>0.4153190615900294</c:v>
                </c:pt>
                <c:pt idx="5" formatCode="0.0">
                  <c:v>0.63862526913926998</c:v>
                </c:pt>
                <c:pt idx="6" formatCode="0.0">
                  <c:v>0.83298342165318717</c:v>
                </c:pt>
                <c:pt idx="7" formatCode="0.0">
                  <c:v>1.2764186108823803</c:v>
                </c:pt>
                <c:pt idx="8" formatCode="0.0">
                  <c:v>2.1109069198989259</c:v>
                </c:pt>
                <c:pt idx="9" formatCode="0.0">
                  <c:v>5.4034855410703129</c:v>
                </c:pt>
                <c:pt idx="10" formatCode="0.0">
                  <c:v>5.0680119565142592</c:v>
                </c:pt>
                <c:pt idx="11" formatCode="0.0">
                  <c:v>7.3181049573507213</c:v>
                </c:pt>
                <c:pt idx="12" formatCode="0.0">
                  <c:v>10.690349158571669</c:v>
                </c:pt>
                <c:pt idx="13" formatCode="0.0">
                  <c:v>14.150160885303743</c:v>
                </c:pt>
                <c:pt idx="14" formatCode="0.0">
                  <c:v>18.324549425758669</c:v>
                </c:pt>
                <c:pt idx="15" formatCode="0.0">
                  <c:v>23.107724070919321</c:v>
                </c:pt>
                <c:pt idx="16" formatCode="0.0">
                  <c:v>28.588893697232745</c:v>
                </c:pt>
                <c:pt idx="17" formatCode="0.0">
                  <c:v>34.266296508125741</c:v>
                </c:pt>
                <c:pt idx="18" formatCode="0.0">
                  <c:v>40.011407234990422</c:v>
                </c:pt>
                <c:pt idx="19" formatCode="0.0">
                  <c:v>45.386098871457811</c:v>
                </c:pt>
                <c:pt idx="20" formatCode="0.0">
                  <c:v>50.257016981380318</c:v>
                </c:pt>
                <c:pt idx="21" formatCode="0.0">
                  <c:v>54.24433230615103</c:v>
                </c:pt>
              </c:numCache>
            </c:numRef>
          </c:val>
          <c:smooth val="0"/>
          <c:extLst>
            <c:ext xmlns:c16="http://schemas.microsoft.com/office/drawing/2014/chart" uri="{C3380CC4-5D6E-409C-BE32-E72D297353CC}">
              <c16:uniqueId val="{00000002-3FCE-45F7-A2AF-30CCB6C2C574}"/>
            </c:ext>
          </c:extLst>
        </c:ser>
        <c:dLbls>
          <c:showLegendKey val="0"/>
          <c:showVal val="0"/>
          <c:showCatName val="0"/>
          <c:showSerName val="0"/>
          <c:showPercent val="0"/>
          <c:showBubbleSize val="0"/>
        </c:dLbls>
        <c:smooth val="0"/>
        <c:axId val="787316816"/>
        <c:axId val="787306976"/>
      </c:lineChart>
      <c:catAx>
        <c:axId val="78731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06976"/>
        <c:crosses val="autoZero"/>
        <c:auto val="1"/>
        <c:lblAlgn val="ctr"/>
        <c:lblOffset val="100"/>
        <c:noMultiLvlLbl val="0"/>
      </c:catAx>
      <c:valAx>
        <c:axId val="787306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16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Canada!$O$2</c:f>
              <c:strCache>
                <c:ptCount val="1"/>
                <c:pt idx="0">
                  <c:v>BEV price</c:v>
                </c:pt>
              </c:strCache>
            </c:strRef>
          </c:tx>
          <c:spPr>
            <a:ln w="57150" cap="rnd">
              <a:solidFill>
                <a:schemeClr val="accent1"/>
              </a:solidFill>
              <a:round/>
            </a:ln>
            <a:effectLst/>
          </c:spPr>
          <c:marker>
            <c:symbol val="none"/>
          </c:marker>
          <c:cat>
            <c:numRef>
              <c:f>Canada!$N$3:$N$24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Canada!$O$3:$O$24</c:f>
              <c:numCache>
                <c:formatCode>0</c:formatCode>
                <c:ptCount val="22"/>
                <c:pt idx="0">
                  <c:v>40233.935326119863</c:v>
                </c:pt>
                <c:pt idx="1">
                  <c:v>34986.412240594131</c:v>
                </c:pt>
                <c:pt idx="2">
                  <c:v>33423.934248978207</c:v>
                </c:pt>
                <c:pt idx="3">
                  <c:v>32075.72461466516</c:v>
                </c:pt>
                <c:pt idx="4">
                  <c:v>33698.06796302626</c:v>
                </c:pt>
                <c:pt idx="5">
                  <c:v>39344.241140588601</c:v>
                </c:pt>
                <c:pt idx="6">
                  <c:v>41098.152606716634</c:v>
                </c:pt>
                <c:pt idx="7">
                  <c:v>41701.951618608487</c:v>
                </c:pt>
                <c:pt idx="8">
                  <c:v>40566.372691354823</c:v>
                </c:pt>
                <c:pt idx="9">
                  <c:v>42542.16311070478</c:v>
                </c:pt>
                <c:pt idx="10">
                  <c:v>45210.029852588705</c:v>
                </c:pt>
                <c:pt idx="11">
                  <c:v>44987.808424879026</c:v>
                </c:pt>
                <c:pt idx="12">
                  <c:v>43894.704983524971</c:v>
                </c:pt>
                <c:pt idx="13">
                  <c:v>44585.288586101764</c:v>
                </c:pt>
                <c:pt idx="14">
                  <c:v>44222.069058971923</c:v>
                </c:pt>
                <c:pt idx="15">
                  <c:v>42675.291533533033</c:v>
                </c:pt>
                <c:pt idx="16">
                  <c:v>41353.217051774234</c:v>
                </c:pt>
                <c:pt idx="17">
                  <c:v>40619.470144938772</c:v>
                </c:pt>
                <c:pt idx="18">
                  <c:v>39884.767915835611</c:v>
                </c:pt>
                <c:pt idx="19">
                  <c:v>39051.605792893068</c:v>
                </c:pt>
                <c:pt idx="20">
                  <c:v>38315.051462517047</c:v>
                </c:pt>
                <c:pt idx="21">
                  <c:v>37480.075332451212</c:v>
                </c:pt>
              </c:numCache>
            </c:numRef>
          </c:val>
          <c:smooth val="0"/>
          <c:extLst>
            <c:ext xmlns:c16="http://schemas.microsoft.com/office/drawing/2014/chart" uri="{C3380CC4-5D6E-409C-BE32-E72D297353CC}">
              <c16:uniqueId val="{00000000-BADA-4CC8-98C8-BC4E7A805C1C}"/>
            </c:ext>
          </c:extLst>
        </c:ser>
        <c:ser>
          <c:idx val="1"/>
          <c:order val="1"/>
          <c:tx>
            <c:strRef>
              <c:f>Canada!$P$2</c:f>
              <c:strCache>
                <c:ptCount val="1"/>
                <c:pt idx="0">
                  <c:v>PHEV price</c:v>
                </c:pt>
              </c:strCache>
            </c:strRef>
          </c:tx>
          <c:spPr>
            <a:ln w="15875" cap="rnd">
              <a:solidFill>
                <a:schemeClr val="accent2"/>
              </a:solidFill>
              <a:round/>
            </a:ln>
            <a:effectLst/>
          </c:spPr>
          <c:marker>
            <c:symbol val="none"/>
          </c:marker>
          <c:cat>
            <c:numRef>
              <c:f>Canada!$N$3:$N$24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Canada!$P$3:$P$24</c:f>
              <c:numCache>
                <c:formatCode>0</c:formatCode>
                <c:ptCount val="22"/>
                <c:pt idx="0">
                  <c:v>40233.935326119863</c:v>
                </c:pt>
                <c:pt idx="1">
                  <c:v>35642.89205221802</c:v>
                </c:pt>
                <c:pt idx="2">
                  <c:v>34061.837522241643</c:v>
                </c:pt>
                <c:pt idx="3">
                  <c:v>34409.703891085548</c:v>
                </c:pt>
                <c:pt idx="4">
                  <c:v>36010.351199800985</c:v>
                </c:pt>
                <c:pt idx="5">
                  <c:v>41613.26240208064</c:v>
                </c:pt>
                <c:pt idx="6">
                  <c:v>43341.926053953102</c:v>
                </c:pt>
                <c:pt idx="7">
                  <c:v>44226.090507497378</c:v>
                </c:pt>
                <c:pt idx="8">
                  <c:v>43344.150469132597</c:v>
                </c:pt>
                <c:pt idx="9">
                  <c:v>44827.504279493551</c:v>
                </c:pt>
                <c:pt idx="10">
                  <c:v>46728.900784692618</c:v>
                </c:pt>
                <c:pt idx="11">
                  <c:v>46475.439112542015</c:v>
                </c:pt>
                <c:pt idx="12">
                  <c:v>45351.73797829773</c:v>
                </c:pt>
                <c:pt idx="13">
                  <c:v>46012.353223489386</c:v>
                </c:pt>
                <c:pt idx="14">
                  <c:v>45619.781730262439</c:v>
                </c:pt>
                <c:pt idx="15">
                  <c:v>44044.255952035011</c:v>
                </c:pt>
                <c:pt idx="16">
                  <c:v>42694.024513578326</c:v>
                </c:pt>
                <c:pt idx="17">
                  <c:v>41932.699784315941</c:v>
                </c:pt>
                <c:pt idx="18">
                  <c:v>41170.986955382301</c:v>
                </c:pt>
                <c:pt idx="19">
                  <c:v>40311.36978853136</c:v>
                </c:pt>
                <c:pt idx="20">
                  <c:v>39548.904543455625</c:v>
                </c:pt>
                <c:pt idx="21">
                  <c:v>38688.55043621084</c:v>
                </c:pt>
              </c:numCache>
            </c:numRef>
          </c:val>
          <c:smooth val="0"/>
          <c:extLst>
            <c:ext xmlns:c16="http://schemas.microsoft.com/office/drawing/2014/chart" uri="{C3380CC4-5D6E-409C-BE32-E72D297353CC}">
              <c16:uniqueId val="{00000001-BADA-4CC8-98C8-BC4E7A805C1C}"/>
            </c:ext>
          </c:extLst>
        </c:ser>
        <c:ser>
          <c:idx val="2"/>
          <c:order val="2"/>
          <c:tx>
            <c:strRef>
              <c:f>Canada!$Q$2</c:f>
              <c:strCache>
                <c:ptCount val="1"/>
                <c:pt idx="0">
                  <c:v>FFV price</c:v>
                </c:pt>
              </c:strCache>
            </c:strRef>
          </c:tx>
          <c:spPr>
            <a:ln w="28575" cap="rnd">
              <a:solidFill>
                <a:schemeClr val="tx1"/>
              </a:solidFill>
              <a:round/>
            </a:ln>
            <a:effectLst/>
          </c:spPr>
          <c:marker>
            <c:symbol val="none"/>
          </c:marker>
          <c:cat>
            <c:numRef>
              <c:f>Canada!$N$3:$N$24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Canada!$Q$3:$Q$24</c:f>
              <c:numCache>
                <c:formatCode>0</c:formatCode>
                <c:ptCount val="22"/>
                <c:pt idx="0">
                  <c:v>29709.183466029579</c:v>
                </c:pt>
                <c:pt idx="1">
                  <c:v>26773.930728968222</c:v>
                </c:pt>
                <c:pt idx="2">
                  <c:v>25673.036090358019</c:v>
                </c:pt>
                <c:pt idx="3">
                  <c:v>25954.154598668905</c:v>
                </c:pt>
                <c:pt idx="4">
                  <c:v>26869.606006683731</c:v>
                </c:pt>
                <c:pt idx="5">
                  <c:v>28762.218483500186</c:v>
                </c:pt>
                <c:pt idx="6">
                  <c:v>33464.540400544778</c:v>
                </c:pt>
                <c:pt idx="7">
                  <c:v>34377.338833525762</c:v>
                </c:pt>
                <c:pt idx="8">
                  <c:v>33664.959804112768</c:v>
                </c:pt>
                <c:pt idx="9">
                  <c:v>33787.000000000007</c:v>
                </c:pt>
                <c:pt idx="10">
                  <c:v>33787.000000000007</c:v>
                </c:pt>
                <c:pt idx="11">
                  <c:v>33787.000000000007</c:v>
                </c:pt>
                <c:pt idx="12">
                  <c:v>33787.000000000007</c:v>
                </c:pt>
                <c:pt idx="13">
                  <c:v>33787.000000000007</c:v>
                </c:pt>
                <c:pt idx="14">
                  <c:v>33787.000000000007</c:v>
                </c:pt>
                <c:pt idx="15">
                  <c:v>33787.000000000007</c:v>
                </c:pt>
                <c:pt idx="16">
                  <c:v>33787.000000000007</c:v>
                </c:pt>
                <c:pt idx="17">
                  <c:v>33787.000000000007</c:v>
                </c:pt>
                <c:pt idx="18">
                  <c:v>33787.000000000007</c:v>
                </c:pt>
                <c:pt idx="19">
                  <c:v>33787.000000000007</c:v>
                </c:pt>
                <c:pt idx="20">
                  <c:v>33787.000000000007</c:v>
                </c:pt>
                <c:pt idx="21">
                  <c:v>33787.000000000007</c:v>
                </c:pt>
              </c:numCache>
            </c:numRef>
          </c:val>
          <c:smooth val="0"/>
          <c:extLst>
            <c:ext xmlns:c16="http://schemas.microsoft.com/office/drawing/2014/chart" uri="{C3380CC4-5D6E-409C-BE32-E72D297353CC}">
              <c16:uniqueId val="{00000002-BADA-4CC8-98C8-BC4E7A805C1C}"/>
            </c:ext>
          </c:extLst>
        </c:ser>
        <c:dLbls>
          <c:showLegendKey val="0"/>
          <c:showVal val="0"/>
          <c:showCatName val="0"/>
          <c:showSerName val="0"/>
          <c:showPercent val="0"/>
          <c:showBubbleSize val="0"/>
        </c:dLbls>
        <c:smooth val="0"/>
        <c:axId val="630583024"/>
        <c:axId val="630584992"/>
      </c:lineChart>
      <c:catAx>
        <c:axId val="63058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84992"/>
        <c:crosses val="autoZero"/>
        <c:auto val="1"/>
        <c:lblAlgn val="ctr"/>
        <c:lblOffset val="100"/>
        <c:noMultiLvlLbl val="0"/>
      </c:catAx>
      <c:valAx>
        <c:axId val="63058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8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'China EV uptake'!$B$3</c:f>
              <c:strCache>
                <c:ptCount val="1"/>
                <c:pt idx="0">
                  <c:v>EV %sales</c:v>
                </c:pt>
              </c:strCache>
            </c:strRef>
          </c:tx>
          <c:spPr>
            <a:ln w="28575" cap="rnd">
              <a:solidFill>
                <a:schemeClr val="accent1"/>
              </a:solidFill>
              <a:round/>
            </a:ln>
            <a:effectLst/>
          </c:spPr>
          <c:marker>
            <c:symbol val="none"/>
          </c:marker>
          <c:cat>
            <c:numRef>
              <c:f>'China EV uptake'!$A$4:$A$18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'China EV uptake'!$B$4:$B$18</c:f>
              <c:numCache>
                <c:formatCode>0.00</c:formatCode>
                <c:ptCount val="15"/>
                <c:pt idx="0">
                  <c:v>0</c:v>
                </c:pt>
                <c:pt idx="1">
                  <c:v>1.1397146728301586E-2</c:v>
                </c:pt>
                <c:pt idx="2">
                  <c:v>3.7020810514786423E-2</c:v>
                </c:pt>
                <c:pt idx="3">
                  <c:v>6.4922289986228607E-2</c:v>
                </c:pt>
                <c:pt idx="4">
                  <c:v>8.7542087542087546E-2</c:v>
                </c:pt>
                <c:pt idx="5">
                  <c:v>0.37780761088449427</c:v>
                </c:pt>
                <c:pt idx="6">
                  <c:v>0.97806914115926991</c:v>
                </c:pt>
                <c:pt idx="7">
                  <c:v>1.37</c:v>
                </c:pt>
                <c:pt idx="8">
                  <c:v>2.0999999999999996</c:v>
                </c:pt>
                <c:pt idx="9">
                  <c:v>3.9462287890202599</c:v>
                </c:pt>
              </c:numCache>
            </c:numRef>
          </c:val>
          <c:smooth val="0"/>
          <c:extLst>
            <c:ext xmlns:c16="http://schemas.microsoft.com/office/drawing/2014/chart" uri="{C3380CC4-5D6E-409C-BE32-E72D297353CC}">
              <c16:uniqueId val="{00000000-9C9D-49CE-9937-168FA447508F}"/>
            </c:ext>
          </c:extLst>
        </c:ser>
        <c:ser>
          <c:idx val="1"/>
          <c:order val="1"/>
          <c:tx>
            <c:strRef>
              <c:f>'China EV uptake'!$C$3</c:f>
              <c:strCache>
                <c:ptCount val="1"/>
                <c:pt idx="0">
                  <c:v> Predicted Cost Lagged</c:v>
                </c:pt>
              </c:strCache>
            </c:strRef>
          </c:tx>
          <c:spPr>
            <a:ln w="28575" cap="rnd">
              <a:solidFill>
                <a:schemeClr val="accent2"/>
              </a:solidFill>
              <a:round/>
            </a:ln>
            <a:effectLst/>
          </c:spPr>
          <c:marker>
            <c:symbol val="none"/>
          </c:marker>
          <c:cat>
            <c:numRef>
              <c:f>'China EV uptake'!$A$4:$A$18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'China EV uptake'!$C$4:$C$18</c:f>
              <c:numCache>
                <c:formatCode>0.00</c:formatCode>
                <c:ptCount val="15"/>
                <c:pt idx="3">
                  <c:v>3.8755032033271214E-2</c:v>
                </c:pt>
                <c:pt idx="4">
                  <c:v>8.7551383817578696E-2</c:v>
                </c:pt>
                <c:pt idx="5">
                  <c:v>8.7551383817578696E-2</c:v>
                </c:pt>
                <c:pt idx="6">
                  <c:v>0.98551973616104327</c:v>
                </c:pt>
                <c:pt idx="7">
                  <c:v>1.3415981568072222</c:v>
                </c:pt>
                <c:pt idx="8">
                  <c:v>2.1439166050925254</c:v>
                </c:pt>
                <c:pt idx="9">
                  <c:v>3.9822183298483407</c:v>
                </c:pt>
                <c:pt idx="10">
                  <c:v>6.1024878315413114</c:v>
                </c:pt>
                <c:pt idx="11">
                  <c:v>8.6348881204181804</c:v>
                </c:pt>
                <c:pt idx="12">
                  <c:v>11.405845874630028</c:v>
                </c:pt>
                <c:pt idx="13">
                  <c:v>14.757399435374293</c:v>
                </c:pt>
                <c:pt idx="14">
                  <c:v>18.852198102158244</c:v>
                </c:pt>
              </c:numCache>
            </c:numRef>
          </c:val>
          <c:smooth val="0"/>
          <c:extLst>
            <c:ext xmlns:c16="http://schemas.microsoft.com/office/drawing/2014/chart" uri="{C3380CC4-5D6E-409C-BE32-E72D297353CC}">
              <c16:uniqueId val="{00000001-9C9D-49CE-9937-168FA447508F}"/>
            </c:ext>
          </c:extLst>
        </c:ser>
        <c:ser>
          <c:idx val="2"/>
          <c:order val="2"/>
          <c:tx>
            <c:strRef>
              <c:f>'China EV uptake'!$D$3</c:f>
              <c:strCache>
                <c:ptCount val="1"/>
                <c:pt idx="0">
                  <c:v>rawPredCostLagged</c:v>
                </c:pt>
              </c:strCache>
            </c:strRef>
          </c:tx>
          <c:spPr>
            <a:ln w="28575" cap="rnd">
              <a:solidFill>
                <a:schemeClr val="accent3"/>
              </a:solidFill>
              <a:round/>
            </a:ln>
            <a:effectLst/>
          </c:spPr>
          <c:marker>
            <c:symbol val="none"/>
          </c:marker>
          <c:cat>
            <c:numRef>
              <c:f>'China EV uptake'!$A$4:$A$18</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'China EV uptake'!$D$4:$D$18</c:f>
              <c:numCache>
                <c:formatCode>0.00</c:formatCode>
                <c:ptCount val="15"/>
                <c:pt idx="3" formatCode="0.000">
                  <c:v>3.8755032033271214E-2</c:v>
                </c:pt>
                <c:pt idx="4" formatCode="0.000">
                  <c:v>8.7551383817578696E-2</c:v>
                </c:pt>
                <c:pt idx="5" formatCode="0.000">
                  <c:v>8.7551383817578696E-2</c:v>
                </c:pt>
                <c:pt idx="6" formatCode="0.000">
                  <c:v>0.98551973616104327</c:v>
                </c:pt>
                <c:pt idx="7" formatCode="0.000">
                  <c:v>1.3415981568072222</c:v>
                </c:pt>
                <c:pt idx="8" formatCode="0.000">
                  <c:v>2.1439166050925254</c:v>
                </c:pt>
                <c:pt idx="9" formatCode="0.000">
                  <c:v>3.9822183298483407</c:v>
                </c:pt>
                <c:pt idx="10" formatCode="0.000">
                  <c:v>6.0808030040892351</c:v>
                </c:pt>
                <c:pt idx="11" formatCode="0.000">
                  <c:v>8.2444421606863596</c:v>
                </c:pt>
                <c:pt idx="12" formatCode="0.000">
                  <c:v>10.833967771427337</c:v>
                </c:pt>
                <c:pt idx="13" formatCode="0.000">
                  <c:v>14.033009336039635</c:v>
                </c:pt>
                <c:pt idx="14" formatCode="0.000">
                  <c:v>17.83700710090757</c:v>
                </c:pt>
              </c:numCache>
            </c:numRef>
          </c:val>
          <c:smooth val="0"/>
          <c:extLst>
            <c:ext xmlns:c16="http://schemas.microsoft.com/office/drawing/2014/chart" uri="{C3380CC4-5D6E-409C-BE32-E72D297353CC}">
              <c16:uniqueId val="{00000002-9C9D-49CE-9937-168FA447508F}"/>
            </c:ext>
          </c:extLst>
        </c:ser>
        <c:ser>
          <c:idx val="3"/>
          <c:order val="3"/>
          <c:tx>
            <c:strRef>
              <c:f>'China EV uptake'!$AB$3</c:f>
              <c:strCache>
                <c:ptCount val="1"/>
                <c:pt idx="0">
                  <c:v>raw predicted</c:v>
                </c:pt>
              </c:strCache>
            </c:strRef>
          </c:tx>
          <c:spPr>
            <a:ln w="28575" cap="rnd">
              <a:solidFill>
                <a:schemeClr val="accent4"/>
              </a:solidFill>
              <a:round/>
            </a:ln>
            <a:effectLst/>
          </c:spPr>
          <c:marker>
            <c:symbol val="none"/>
          </c:marker>
          <c:val>
            <c:numRef>
              <c:f>'China EV uptake'!$AB$4:$AB$16</c:f>
              <c:numCache>
                <c:formatCode>0.00</c:formatCode>
                <c:ptCount val="13"/>
                <c:pt idx="0">
                  <c:v>0</c:v>
                </c:pt>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numCache>
            </c:numRef>
          </c:val>
          <c:smooth val="0"/>
          <c:extLst>
            <c:ext xmlns:c16="http://schemas.microsoft.com/office/drawing/2014/chart" uri="{C3380CC4-5D6E-409C-BE32-E72D297353CC}">
              <c16:uniqueId val="{00000004-9C9D-49CE-9937-168FA447508F}"/>
            </c:ext>
          </c:extLst>
        </c:ser>
        <c:ser>
          <c:idx val="4"/>
          <c:order val="4"/>
          <c:tx>
            <c:strRef>
              <c:f>'China EV uptake'!$L$3</c:f>
              <c:strCache>
                <c:ptCount val="1"/>
                <c:pt idx="0">
                  <c:v>predicted cost</c:v>
                </c:pt>
              </c:strCache>
            </c:strRef>
          </c:tx>
          <c:spPr>
            <a:ln w="28575" cap="rnd">
              <a:solidFill>
                <a:schemeClr val="accent5"/>
              </a:solidFill>
              <a:round/>
            </a:ln>
            <a:effectLst/>
          </c:spPr>
          <c:marker>
            <c:symbol val="none"/>
          </c:marker>
          <c:val>
            <c:numRef>
              <c:f>'China EV uptake'!$L$4:$L$18</c:f>
              <c:numCache>
                <c:formatCode>0.00</c:formatCode>
                <c:ptCount val="15"/>
                <c:pt idx="3">
                  <c:v>3.8755032033271214E-2</c:v>
                </c:pt>
                <c:pt idx="4">
                  <c:v>8.7551383817578696E-2</c:v>
                </c:pt>
                <c:pt idx="5">
                  <c:v>8.7551383817578696E-2</c:v>
                </c:pt>
                <c:pt idx="6">
                  <c:v>0.98551973616104327</c:v>
                </c:pt>
                <c:pt idx="7">
                  <c:v>1.3415981568072222</c:v>
                </c:pt>
                <c:pt idx="8">
                  <c:v>2.1439166050925254</c:v>
                </c:pt>
                <c:pt idx="9">
                  <c:v>3.9822183298483407</c:v>
                </c:pt>
                <c:pt idx="10">
                  <c:v>6.0808030040892369</c:v>
                </c:pt>
                <c:pt idx="11">
                  <c:v>9.67262289787889</c:v>
                </c:pt>
                <c:pt idx="12">
                  <c:v>14.33848800297655</c:v>
                </c:pt>
                <c:pt idx="13">
                  <c:v>20.559038977919588</c:v>
                </c:pt>
                <c:pt idx="14">
                  <c:v>27.831451828771133</c:v>
                </c:pt>
              </c:numCache>
            </c:numRef>
          </c:val>
          <c:smooth val="0"/>
          <c:extLst>
            <c:ext xmlns:c16="http://schemas.microsoft.com/office/drawing/2014/chart" uri="{C3380CC4-5D6E-409C-BE32-E72D297353CC}">
              <c16:uniqueId val="{00000005-9C9D-49CE-9937-168FA447508F}"/>
            </c:ext>
          </c:extLst>
        </c:ser>
        <c:dLbls>
          <c:showLegendKey val="0"/>
          <c:showVal val="0"/>
          <c:showCatName val="0"/>
          <c:showSerName val="0"/>
          <c:showPercent val="0"/>
          <c:showBubbleSize val="0"/>
        </c:dLbls>
        <c:smooth val="0"/>
        <c:axId val="655906176"/>
        <c:axId val="655905848"/>
      </c:lineChart>
      <c:catAx>
        <c:axId val="65590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05848"/>
        <c:crosses val="autoZero"/>
        <c:auto val="1"/>
        <c:lblAlgn val="ctr"/>
        <c:lblOffset val="100"/>
        <c:noMultiLvlLbl val="0"/>
      </c:catAx>
      <c:valAx>
        <c:axId val="655905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906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uptake'!$B$3</c:f>
              <c:strCache>
                <c:ptCount val="1"/>
                <c:pt idx="0">
                  <c:v>EV %sales</c:v>
                </c:pt>
              </c:strCache>
            </c:strRef>
          </c:tx>
          <c:spPr>
            <a:ln w="44450" cap="rnd">
              <a:solidFill>
                <a:schemeClr val="tx1"/>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uptake'!$B$4:$B$45</c:f>
              <c:numCache>
                <c:formatCode>0.00</c:formatCode>
                <c:ptCount val="42"/>
                <c:pt idx="0">
                  <c:v>0</c:v>
                </c:pt>
                <c:pt idx="1">
                  <c:v>1.1397146728301586E-2</c:v>
                </c:pt>
                <c:pt idx="2">
                  <c:v>3.7020810514786423E-2</c:v>
                </c:pt>
                <c:pt idx="3">
                  <c:v>6.4922289986228607E-2</c:v>
                </c:pt>
                <c:pt idx="4">
                  <c:v>8.7542087542087546E-2</c:v>
                </c:pt>
                <c:pt idx="5">
                  <c:v>0.37780761088449427</c:v>
                </c:pt>
                <c:pt idx="6">
                  <c:v>0.97806914115926991</c:v>
                </c:pt>
                <c:pt idx="7">
                  <c:v>1.37</c:v>
                </c:pt>
                <c:pt idx="8">
                  <c:v>2.0999999999999996</c:v>
                </c:pt>
                <c:pt idx="9">
                  <c:v>3.9462287890202599</c:v>
                </c:pt>
              </c:numCache>
            </c:numRef>
          </c:val>
          <c:smooth val="0"/>
          <c:extLst>
            <c:ext xmlns:c16="http://schemas.microsoft.com/office/drawing/2014/chart" uri="{C3380CC4-5D6E-409C-BE32-E72D297353CC}">
              <c16:uniqueId val="{00000000-6266-46C2-8B77-5EFE8C55DAE5}"/>
            </c:ext>
          </c:extLst>
        </c:ser>
        <c:ser>
          <c:idx val="4"/>
          <c:order val="1"/>
          <c:tx>
            <c:strRef>
              <c:f>'China EV uptake'!$AB$3</c:f>
              <c:strCache>
                <c:ptCount val="1"/>
                <c:pt idx="0">
                  <c:v>raw predicted</c:v>
                </c:pt>
              </c:strCache>
            </c:strRef>
          </c:tx>
          <c:spPr>
            <a:ln w="28575" cap="rnd">
              <a:solidFill>
                <a:schemeClr val="accent5"/>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uptake'!$AB$4:$AB$45</c:f>
              <c:numCache>
                <c:formatCode>0.00</c:formatCode>
                <c:ptCount val="42"/>
                <c:pt idx="0">
                  <c:v>0</c:v>
                </c:pt>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pt idx="13">
                  <c:v>20.103016074040784</c:v>
                </c:pt>
                <c:pt idx="14">
                  <c:v>27.311543855336645</c:v>
                </c:pt>
                <c:pt idx="15">
                  <c:v>35.084973204563525</c:v>
                </c:pt>
                <c:pt idx="16">
                  <c:v>42.571732694407068</c:v>
                </c:pt>
                <c:pt idx="17">
                  <c:v>49.037279341738675</c:v>
                </c:pt>
                <c:pt idx="18">
                  <c:v>54.1155023268024</c:v>
                </c:pt>
                <c:pt idx="19">
                  <c:v>57.814902817423203</c:v>
                </c:pt>
                <c:pt idx="20">
                  <c:v>60.364658409767081</c:v>
                </c:pt>
                <c:pt idx="21">
                  <c:v>62.055669149850516</c:v>
                </c:pt>
                <c:pt idx="22">
                  <c:v>63.148704515446354</c:v>
                </c:pt>
                <c:pt idx="23">
                  <c:v>63.843530086803234</c:v>
                </c:pt>
                <c:pt idx="24">
                  <c:v>64.280545800679874</c:v>
                </c:pt>
                <c:pt idx="25">
                  <c:v>64.553573430480995</c:v>
                </c:pt>
                <c:pt idx="26">
                  <c:v>64.723434850432866</c:v>
                </c:pt>
                <c:pt idx="27">
                  <c:v>64.828836848000762</c:v>
                </c:pt>
                <c:pt idx="28">
                  <c:v>64.89413469777223</c:v>
                </c:pt>
                <c:pt idx="29">
                  <c:v>64.93454690908419</c:v>
                </c:pt>
                <c:pt idx="30">
                  <c:v>64.959542089396493</c:v>
                </c:pt>
                <c:pt idx="31">
                  <c:v>64.97499580336121</c:v>
                </c:pt>
                <c:pt idx="32">
                  <c:v>64.984548064081295</c:v>
                </c:pt>
                <c:pt idx="33">
                  <c:v>64.990451646251984</c:v>
                </c:pt>
                <c:pt idx="34">
                  <c:v>64.994099904668346</c:v>
                </c:pt>
                <c:pt idx="35">
                  <c:v>64.996354305756</c:v>
                </c:pt>
                <c:pt idx="36">
                  <c:v>64.997747339725379</c:v>
                </c:pt>
                <c:pt idx="37">
                  <c:v>64.998608101388541</c:v>
                </c:pt>
                <c:pt idx="38">
                  <c:v>64.999139962664216</c:v>
                </c:pt>
                <c:pt idx="39">
                  <c:v>64.999468594982304</c:v>
                </c:pt>
                <c:pt idx="40">
                  <c:v>64.999671652920739</c:v>
                </c:pt>
                <c:pt idx="41">
                  <c:v>64.999797119575135</c:v>
                </c:pt>
              </c:numCache>
            </c:numRef>
          </c:val>
          <c:smooth val="0"/>
          <c:extLst>
            <c:ext xmlns:c16="http://schemas.microsoft.com/office/drawing/2014/chart" uri="{C3380CC4-5D6E-409C-BE32-E72D297353CC}">
              <c16:uniqueId val="{00000004-6266-46C2-8B77-5EFE8C55DAE5}"/>
            </c:ext>
          </c:extLst>
        </c:ser>
        <c:dLbls>
          <c:showLegendKey val="0"/>
          <c:showVal val="0"/>
          <c:showCatName val="0"/>
          <c:showSerName val="0"/>
          <c:showPercent val="0"/>
          <c:showBubbleSize val="0"/>
        </c:dLbls>
        <c:smooth val="0"/>
        <c:axId val="607330488"/>
        <c:axId val="607331800"/>
      </c:lineChart>
      <c:catAx>
        <c:axId val="60733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1800"/>
        <c:crosses val="autoZero"/>
        <c:auto val="1"/>
        <c:lblAlgn val="ctr"/>
        <c:lblOffset val="100"/>
        <c:noMultiLvlLbl val="0"/>
      </c:catAx>
      <c:valAx>
        <c:axId val="607331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0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uptake'!$AD$3</c:f>
              <c:strCache>
                <c:ptCount val="1"/>
                <c:pt idx="0">
                  <c:v> Linearized Logistic</c:v>
                </c:pt>
              </c:strCache>
            </c:strRef>
          </c:tx>
          <c:spPr>
            <a:ln w="44450" cap="rnd">
              <a:solidFill>
                <a:schemeClr val="tx1"/>
              </a:solidFill>
              <a:round/>
            </a:ln>
            <a:effectLst/>
          </c:spPr>
          <c:marker>
            <c:symbol val="none"/>
          </c:marker>
          <c:cat>
            <c:numRef>
              <c:f>'China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'China EV uptake'!$AD$6:$AD$13</c:f>
              <c:numCache>
                <c:formatCode>General</c:formatCode>
                <c:ptCount val="8"/>
                <c:pt idx="0">
                  <c:v>-7.4700926348148924</c:v>
                </c:pt>
                <c:pt idx="1">
                  <c:v>-6.907952229283123</c:v>
                </c:pt>
                <c:pt idx="2">
                  <c:v>-6.6086751615779864</c:v>
                </c:pt>
                <c:pt idx="3">
                  <c:v>-5.1419280660726958</c:v>
                </c:pt>
                <c:pt idx="4">
                  <c:v>-4.1814006092955429</c:v>
                </c:pt>
                <c:pt idx="5">
                  <c:v>-3.8382743174046672</c:v>
                </c:pt>
                <c:pt idx="6">
                  <c:v>-3.3996088189770175</c:v>
                </c:pt>
                <c:pt idx="7">
                  <c:v>-2.7389945852419824</c:v>
                </c:pt>
              </c:numCache>
            </c:numRef>
          </c:val>
          <c:smooth val="0"/>
          <c:extLst>
            <c:ext xmlns:c16="http://schemas.microsoft.com/office/drawing/2014/chart" uri="{C3380CC4-5D6E-409C-BE32-E72D297353CC}">
              <c16:uniqueId val="{00000000-6CF6-4C72-9D06-6ED4DEF556A8}"/>
            </c:ext>
          </c:extLst>
        </c:ser>
        <c:ser>
          <c:idx val="1"/>
          <c:order val="1"/>
          <c:tx>
            <c:strRef>
              <c:f>'China EV uptake'!$AE$3</c:f>
              <c:strCache>
                <c:ptCount val="1"/>
                <c:pt idx="0">
                  <c:v>predicted</c:v>
                </c:pt>
              </c:strCache>
            </c:strRef>
          </c:tx>
          <c:spPr>
            <a:ln w="28575" cap="rnd">
              <a:solidFill>
                <a:schemeClr val="accent2"/>
              </a:solidFill>
              <a:round/>
            </a:ln>
            <a:effectLst/>
          </c:spPr>
          <c:marker>
            <c:symbol val="none"/>
          </c:marker>
          <c:cat>
            <c:numRef>
              <c:f>'China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'China EV uptake'!$AE$6:$AE$13</c:f>
              <c:numCache>
                <c:formatCode>General</c:formatCode>
                <c:ptCount val="8"/>
                <c:pt idx="0">
                  <c:v>-7.4242855335076374</c:v>
                </c:pt>
                <c:pt idx="1">
                  <c:v>-6.9428291512466789</c:v>
                </c:pt>
                <c:pt idx="2">
                  <c:v>-6.6085688319334199</c:v>
                </c:pt>
                <c:pt idx="3">
                  <c:v>-5.1703380405123989</c:v>
                </c:pt>
                <c:pt idx="4">
                  <c:v>-4.1736954379344828</c:v>
                </c:pt>
                <c:pt idx="5">
                  <c:v>-3.8596697593213212</c:v>
                </c:pt>
                <c:pt idx="6">
                  <c:v>-3.3782133770603617</c:v>
                </c:pt>
                <c:pt idx="7">
                  <c:v>-2.7293262911516045</c:v>
                </c:pt>
              </c:numCache>
            </c:numRef>
          </c:val>
          <c:smooth val="0"/>
          <c:extLst>
            <c:ext xmlns:c16="http://schemas.microsoft.com/office/drawing/2014/chart" uri="{C3380CC4-5D6E-409C-BE32-E72D297353CC}">
              <c16:uniqueId val="{00000001-6CF6-4C72-9D06-6ED4DEF556A8}"/>
            </c:ext>
          </c:extLst>
        </c:ser>
        <c:dLbls>
          <c:showLegendKey val="0"/>
          <c:showVal val="0"/>
          <c:showCatName val="0"/>
          <c:showSerName val="0"/>
          <c:showPercent val="0"/>
          <c:showBubbleSize val="0"/>
        </c:dLbls>
        <c:smooth val="0"/>
        <c:axId val="774259376"/>
        <c:axId val="774262000"/>
      </c:lineChart>
      <c:catAx>
        <c:axId val="77425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262000"/>
        <c:crosses val="autoZero"/>
        <c:auto val="1"/>
        <c:lblAlgn val="ctr"/>
        <c:lblOffset val="100"/>
        <c:noMultiLvlLbl val="0"/>
      </c:catAx>
      <c:valAx>
        <c:axId val="774262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a:t>
                </a:r>
              </a:p>
            </c:rich>
          </c:tx>
          <c:layout>
            <c:manualLayout>
              <c:xMode val="edge"/>
              <c:yMode val="edge"/>
              <c:x val="1.9444444444444445E-2"/>
              <c:y val="0.168795931758530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25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uptake'!$B$3</c:f>
              <c:strCache>
                <c:ptCount val="1"/>
                <c:pt idx="0">
                  <c:v>EV %sales</c:v>
                </c:pt>
              </c:strCache>
            </c:strRef>
          </c:tx>
          <c:spPr>
            <a:ln w="44450" cap="rnd">
              <a:solidFill>
                <a:schemeClr val="tx1"/>
              </a:solidFill>
              <a:round/>
            </a:ln>
            <a:effectLst/>
          </c:spPr>
          <c:marker>
            <c:symbol val="none"/>
          </c:marker>
          <c:cat>
            <c:numRef>
              <c:f>'China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'China EV uptake'!$B$4:$B$13</c:f>
              <c:numCache>
                <c:formatCode>0.00</c:formatCode>
                <c:ptCount val="10"/>
                <c:pt idx="0">
                  <c:v>0</c:v>
                </c:pt>
                <c:pt idx="1">
                  <c:v>1.1397146728301586E-2</c:v>
                </c:pt>
                <c:pt idx="2">
                  <c:v>3.7020810514786423E-2</c:v>
                </c:pt>
                <c:pt idx="3">
                  <c:v>6.4922289986228607E-2</c:v>
                </c:pt>
                <c:pt idx="4">
                  <c:v>8.7542087542087546E-2</c:v>
                </c:pt>
                <c:pt idx="5">
                  <c:v>0.37780761088449427</c:v>
                </c:pt>
                <c:pt idx="6">
                  <c:v>0.97806914115926991</c:v>
                </c:pt>
                <c:pt idx="7">
                  <c:v>1.37</c:v>
                </c:pt>
                <c:pt idx="8">
                  <c:v>2.0999999999999996</c:v>
                </c:pt>
                <c:pt idx="9">
                  <c:v>3.9462287890202599</c:v>
                </c:pt>
              </c:numCache>
            </c:numRef>
          </c:val>
          <c:smooth val="0"/>
          <c:extLst>
            <c:ext xmlns:c16="http://schemas.microsoft.com/office/drawing/2014/chart" uri="{C3380CC4-5D6E-409C-BE32-E72D297353CC}">
              <c16:uniqueId val="{00000000-635B-46CA-BC7F-6B51EFA97BA9}"/>
            </c:ext>
          </c:extLst>
        </c:ser>
        <c:ser>
          <c:idx val="1"/>
          <c:order val="1"/>
          <c:tx>
            <c:strRef>
              <c:f>'China EV uptake'!$AB$3</c:f>
              <c:strCache>
                <c:ptCount val="1"/>
                <c:pt idx="0">
                  <c:v>raw predicted</c:v>
                </c:pt>
              </c:strCache>
            </c:strRef>
          </c:tx>
          <c:spPr>
            <a:ln w="28575" cap="rnd">
              <a:solidFill>
                <a:schemeClr val="accent2"/>
              </a:solidFill>
              <a:round/>
            </a:ln>
            <a:effectLst/>
          </c:spPr>
          <c:marker>
            <c:symbol val="none"/>
          </c:marker>
          <c:cat>
            <c:numRef>
              <c:f>'China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'China EV uptake'!$AB$4:$AB$13</c:f>
              <c:numCache>
                <c:formatCode>0.00</c:formatCode>
                <c:ptCount val="10"/>
                <c:pt idx="0">
                  <c:v>0</c:v>
                </c:pt>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numCache>
            </c:numRef>
          </c:val>
          <c:smooth val="0"/>
          <c:extLst>
            <c:ext xmlns:c16="http://schemas.microsoft.com/office/drawing/2014/chart" uri="{C3380CC4-5D6E-409C-BE32-E72D297353CC}">
              <c16:uniqueId val="{00000001-635B-46CA-BC7F-6B51EFA97BA9}"/>
            </c:ext>
          </c:extLst>
        </c:ser>
        <c:dLbls>
          <c:showLegendKey val="0"/>
          <c:showVal val="0"/>
          <c:showCatName val="0"/>
          <c:showSerName val="0"/>
          <c:showPercent val="0"/>
          <c:showBubbleSize val="0"/>
        </c:dLbls>
        <c:smooth val="0"/>
        <c:axId val="792338592"/>
        <c:axId val="792337280"/>
      </c:lineChart>
      <c:catAx>
        <c:axId val="79233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337280"/>
        <c:crosses val="autoZero"/>
        <c:auto val="1"/>
        <c:lblAlgn val="ctr"/>
        <c:lblOffset val="100"/>
        <c:noMultiLvlLbl val="0"/>
      </c:catAx>
      <c:valAx>
        <c:axId val="7923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33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uptake'!$B$3</c:f>
              <c:strCache>
                <c:ptCount val="1"/>
                <c:pt idx="0">
                  <c:v>EV %sales</c:v>
                </c:pt>
              </c:strCache>
            </c:strRef>
          </c:tx>
          <c:spPr>
            <a:ln w="44450" cap="rnd">
              <a:solidFill>
                <a:schemeClr val="tx1"/>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uptake'!$B$4:$B$45</c:f>
              <c:numCache>
                <c:formatCode>0.00</c:formatCode>
                <c:ptCount val="42"/>
                <c:pt idx="0">
                  <c:v>0</c:v>
                </c:pt>
                <c:pt idx="1">
                  <c:v>1.1397146728301586E-2</c:v>
                </c:pt>
                <c:pt idx="2">
                  <c:v>3.7020810514786423E-2</c:v>
                </c:pt>
                <c:pt idx="3">
                  <c:v>6.4922289986228607E-2</c:v>
                </c:pt>
                <c:pt idx="4">
                  <c:v>8.7542087542087546E-2</c:v>
                </c:pt>
                <c:pt idx="5">
                  <c:v>0.37780761088449427</c:v>
                </c:pt>
                <c:pt idx="6">
                  <c:v>0.97806914115926991</c:v>
                </c:pt>
                <c:pt idx="7">
                  <c:v>1.37</c:v>
                </c:pt>
                <c:pt idx="8">
                  <c:v>2.0999999999999996</c:v>
                </c:pt>
                <c:pt idx="9">
                  <c:v>3.9462287890202599</c:v>
                </c:pt>
              </c:numCache>
            </c:numRef>
          </c:val>
          <c:smooth val="0"/>
          <c:extLst>
            <c:ext xmlns:c16="http://schemas.microsoft.com/office/drawing/2014/chart" uri="{C3380CC4-5D6E-409C-BE32-E72D297353CC}">
              <c16:uniqueId val="{00000000-1507-4A06-A9A0-8027302E23BE}"/>
            </c:ext>
          </c:extLst>
        </c:ser>
        <c:ser>
          <c:idx val="3"/>
          <c:order val="1"/>
          <c:tx>
            <c:strRef>
              <c:f>'China EV uptake'!$L$3</c:f>
              <c:strCache>
                <c:ptCount val="1"/>
                <c:pt idx="0">
                  <c:v>predicted cost</c:v>
                </c:pt>
              </c:strCache>
            </c:strRef>
          </c:tx>
          <c:spPr>
            <a:ln w="28575" cap="rnd">
              <a:solidFill>
                <a:schemeClr val="accent4"/>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uptake'!$L$4:$L$45</c:f>
              <c:numCache>
                <c:formatCode>0.00</c:formatCode>
                <c:ptCount val="42"/>
                <c:pt idx="3">
                  <c:v>3.8755032033271214E-2</c:v>
                </c:pt>
                <c:pt idx="4">
                  <c:v>8.7551383817578696E-2</c:v>
                </c:pt>
                <c:pt idx="5">
                  <c:v>8.7551383817578696E-2</c:v>
                </c:pt>
                <c:pt idx="6">
                  <c:v>0.98551973616104327</c:v>
                </c:pt>
                <c:pt idx="7">
                  <c:v>1.3415981568072222</c:v>
                </c:pt>
                <c:pt idx="8">
                  <c:v>2.1439166050925254</c:v>
                </c:pt>
                <c:pt idx="9">
                  <c:v>3.9822183298483407</c:v>
                </c:pt>
                <c:pt idx="10">
                  <c:v>6.0808030040892369</c:v>
                </c:pt>
                <c:pt idx="11">
                  <c:v>9.67262289787889</c:v>
                </c:pt>
                <c:pt idx="12">
                  <c:v>14.33848800297655</c:v>
                </c:pt>
                <c:pt idx="13">
                  <c:v>20.559038977919588</c:v>
                </c:pt>
                <c:pt idx="14">
                  <c:v>27.831451828771133</c:v>
                </c:pt>
                <c:pt idx="15">
                  <c:v>35.837353631030091</c:v>
                </c:pt>
                <c:pt idx="16">
                  <c:v>43.379730979706572</c:v>
                </c:pt>
                <c:pt idx="17">
                  <c:v>49.990353890592658</c:v>
                </c:pt>
                <c:pt idx="18">
                  <c:v>55.384493079650056</c:v>
                </c:pt>
                <c:pt idx="19">
                  <c:v>59.638852558129294</c:v>
                </c:pt>
                <c:pt idx="20">
                  <c:v>61.671861252904783</c:v>
                </c:pt>
                <c:pt idx="21">
                  <c:v>63.019595375516339</c:v>
                </c:pt>
                <c:pt idx="22">
                  <c:v>63.891350663649497</c:v>
                </c:pt>
                <c:pt idx="23">
                  <c:v>64.445984203279551</c:v>
                </c:pt>
                <c:pt idx="24">
                  <c:v>64.656105125473346</c:v>
                </c:pt>
                <c:pt idx="25">
                  <c:v>64.786905347154203</c:v>
                </c:pt>
                <c:pt idx="26">
                  <c:v>64.86809907893732</c:v>
                </c:pt>
                <c:pt idx="27">
                  <c:v>64.918411269522977</c:v>
                </c:pt>
                <c:pt idx="28">
                  <c:v>64.949553512739087</c:v>
                </c:pt>
                <c:pt idx="29">
                  <c:v>64.968816902435037</c:v>
                </c:pt>
                <c:pt idx="30">
                  <c:v>64.980727501551868</c:v>
                </c:pt>
                <c:pt idx="31">
                  <c:v>64.98808994482377</c:v>
                </c:pt>
                <c:pt idx="32">
                  <c:v>64.992640252096606</c:v>
                </c:pt>
                <c:pt idx="33">
                  <c:v>64.99545225955805</c:v>
                </c:pt>
                <c:pt idx="34">
                  <c:v>64.997189922840491</c:v>
                </c:pt>
                <c:pt idx="35">
                  <c:v>64.998263660903291</c:v>
                </c:pt>
                <c:pt idx="36">
                  <c:v>64.998927130336227</c:v>
                </c:pt>
                <c:pt idx="37">
                  <c:v>64.999337086306184</c:v>
                </c:pt>
                <c:pt idx="38">
                  <c:v>64.99959039473103</c:v>
                </c:pt>
                <c:pt idx="39">
                  <c:v>64.999746911061749</c:v>
                </c:pt>
                <c:pt idx="40">
                  <c:v>64.999843620353204</c:v>
                </c:pt>
                <c:pt idx="41">
                  <c:v>64.99990337557054</c:v>
                </c:pt>
              </c:numCache>
            </c:numRef>
          </c:val>
          <c:smooth val="0"/>
          <c:extLst>
            <c:ext xmlns:c16="http://schemas.microsoft.com/office/drawing/2014/chart" uri="{C3380CC4-5D6E-409C-BE32-E72D297353CC}">
              <c16:uniqueId val="{00000002-1507-4A06-A9A0-8027302E23BE}"/>
            </c:ext>
          </c:extLst>
        </c:ser>
        <c:ser>
          <c:idx val="4"/>
          <c:order val="2"/>
          <c:tx>
            <c:strRef>
              <c:f>'China EV uptake'!$AB$3</c:f>
              <c:strCache>
                <c:ptCount val="1"/>
                <c:pt idx="0">
                  <c:v>raw predicted</c:v>
                </c:pt>
              </c:strCache>
            </c:strRef>
          </c:tx>
          <c:spPr>
            <a:ln w="28575" cap="rnd">
              <a:solidFill>
                <a:schemeClr val="accent5"/>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uptake'!$AB$4:$AB$45</c:f>
              <c:numCache>
                <c:formatCode>0.00</c:formatCode>
                <c:ptCount val="42"/>
                <c:pt idx="0">
                  <c:v>0</c:v>
                </c:pt>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pt idx="13">
                  <c:v>20.103016074040784</c:v>
                </c:pt>
                <c:pt idx="14">
                  <c:v>27.311543855336645</c:v>
                </c:pt>
                <c:pt idx="15">
                  <c:v>35.084973204563525</c:v>
                </c:pt>
                <c:pt idx="16">
                  <c:v>42.571732694407068</c:v>
                </c:pt>
                <c:pt idx="17">
                  <c:v>49.037279341738675</c:v>
                </c:pt>
                <c:pt idx="18">
                  <c:v>54.1155023268024</c:v>
                </c:pt>
                <c:pt idx="19">
                  <c:v>57.814902817423203</c:v>
                </c:pt>
                <c:pt idx="20">
                  <c:v>60.364658409767081</c:v>
                </c:pt>
                <c:pt idx="21">
                  <c:v>62.055669149850516</c:v>
                </c:pt>
                <c:pt idx="22">
                  <c:v>63.148704515446354</c:v>
                </c:pt>
                <c:pt idx="23">
                  <c:v>63.843530086803234</c:v>
                </c:pt>
                <c:pt idx="24">
                  <c:v>64.280545800679874</c:v>
                </c:pt>
                <c:pt idx="25">
                  <c:v>64.553573430480995</c:v>
                </c:pt>
                <c:pt idx="26">
                  <c:v>64.723434850432866</c:v>
                </c:pt>
                <c:pt idx="27">
                  <c:v>64.828836848000762</c:v>
                </c:pt>
                <c:pt idx="28">
                  <c:v>64.89413469777223</c:v>
                </c:pt>
                <c:pt idx="29">
                  <c:v>64.93454690908419</c:v>
                </c:pt>
                <c:pt idx="30">
                  <c:v>64.959542089396493</c:v>
                </c:pt>
                <c:pt idx="31">
                  <c:v>64.97499580336121</c:v>
                </c:pt>
                <c:pt idx="32">
                  <c:v>64.984548064081295</c:v>
                </c:pt>
                <c:pt idx="33">
                  <c:v>64.990451646251984</c:v>
                </c:pt>
                <c:pt idx="34">
                  <c:v>64.994099904668346</c:v>
                </c:pt>
                <c:pt idx="35">
                  <c:v>64.996354305756</c:v>
                </c:pt>
                <c:pt idx="36">
                  <c:v>64.997747339725379</c:v>
                </c:pt>
                <c:pt idx="37">
                  <c:v>64.998608101388541</c:v>
                </c:pt>
                <c:pt idx="38">
                  <c:v>64.999139962664216</c:v>
                </c:pt>
                <c:pt idx="39">
                  <c:v>64.999468594982304</c:v>
                </c:pt>
                <c:pt idx="40">
                  <c:v>64.999671652920739</c:v>
                </c:pt>
                <c:pt idx="41">
                  <c:v>64.999797119575135</c:v>
                </c:pt>
              </c:numCache>
            </c:numRef>
          </c:val>
          <c:smooth val="0"/>
          <c:extLst>
            <c:ext xmlns:c16="http://schemas.microsoft.com/office/drawing/2014/chart" uri="{C3380CC4-5D6E-409C-BE32-E72D297353CC}">
              <c16:uniqueId val="{00000003-1507-4A06-A9A0-8027302E23BE}"/>
            </c:ext>
          </c:extLst>
        </c:ser>
        <c:dLbls>
          <c:showLegendKey val="0"/>
          <c:showVal val="0"/>
          <c:showCatName val="0"/>
          <c:showSerName val="0"/>
          <c:showPercent val="0"/>
          <c:showBubbleSize val="0"/>
        </c:dLbls>
        <c:smooth val="0"/>
        <c:axId val="607330488"/>
        <c:axId val="607331800"/>
      </c:lineChart>
      <c:catAx>
        <c:axId val="60733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1800"/>
        <c:crosses val="autoZero"/>
        <c:auto val="1"/>
        <c:lblAlgn val="ctr"/>
        <c:lblOffset val="100"/>
        <c:noMultiLvlLbl val="0"/>
      </c:catAx>
      <c:valAx>
        <c:axId val="607331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0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uptake'!$B$3</c:f>
              <c:strCache>
                <c:ptCount val="1"/>
                <c:pt idx="0">
                  <c:v>EV %sales</c:v>
                </c:pt>
              </c:strCache>
            </c:strRef>
          </c:tx>
          <c:spPr>
            <a:ln w="44450" cap="rnd">
              <a:solidFill>
                <a:schemeClr val="tx1"/>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uptake'!$B$4:$B$45</c:f>
              <c:numCache>
                <c:formatCode>0.00</c:formatCode>
                <c:ptCount val="42"/>
                <c:pt idx="0">
                  <c:v>0</c:v>
                </c:pt>
                <c:pt idx="1">
                  <c:v>1.1397146728301586E-2</c:v>
                </c:pt>
                <c:pt idx="2">
                  <c:v>3.7020810514786423E-2</c:v>
                </c:pt>
                <c:pt idx="3">
                  <c:v>6.4922289986228607E-2</c:v>
                </c:pt>
                <c:pt idx="4">
                  <c:v>8.7542087542087546E-2</c:v>
                </c:pt>
                <c:pt idx="5">
                  <c:v>0.37780761088449427</c:v>
                </c:pt>
                <c:pt idx="6">
                  <c:v>0.97806914115926991</c:v>
                </c:pt>
                <c:pt idx="7">
                  <c:v>1.37</c:v>
                </c:pt>
                <c:pt idx="8">
                  <c:v>2.0999999999999996</c:v>
                </c:pt>
                <c:pt idx="9">
                  <c:v>3.9462287890202599</c:v>
                </c:pt>
              </c:numCache>
            </c:numRef>
          </c:val>
          <c:smooth val="0"/>
          <c:extLst>
            <c:ext xmlns:c16="http://schemas.microsoft.com/office/drawing/2014/chart" uri="{C3380CC4-5D6E-409C-BE32-E72D297353CC}">
              <c16:uniqueId val="{00000000-B483-4530-BDCC-C661FA145180}"/>
            </c:ext>
          </c:extLst>
        </c:ser>
        <c:ser>
          <c:idx val="1"/>
          <c:order val="1"/>
          <c:tx>
            <c:strRef>
              <c:f>'China EV uptake'!$C$3</c:f>
              <c:strCache>
                <c:ptCount val="1"/>
                <c:pt idx="0">
                  <c:v> Predicted Cost Lagged</c:v>
                </c:pt>
              </c:strCache>
            </c:strRef>
          </c:tx>
          <c:spPr>
            <a:ln w="28575" cap="rnd">
              <a:solidFill>
                <a:schemeClr val="accent2"/>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uptake'!$C$4:$C$45</c:f>
              <c:numCache>
                <c:formatCode>0.00</c:formatCode>
                <c:ptCount val="42"/>
                <c:pt idx="3">
                  <c:v>3.8755032033271214E-2</c:v>
                </c:pt>
                <c:pt idx="4">
                  <c:v>8.7551383817578696E-2</c:v>
                </c:pt>
                <c:pt idx="5">
                  <c:v>8.7551383817578696E-2</c:v>
                </c:pt>
                <c:pt idx="6">
                  <c:v>0.98551973616104327</c:v>
                </c:pt>
                <c:pt idx="7">
                  <c:v>1.3415981568072222</c:v>
                </c:pt>
                <c:pt idx="8">
                  <c:v>2.1439166050925254</c:v>
                </c:pt>
                <c:pt idx="9">
                  <c:v>3.9822183298483407</c:v>
                </c:pt>
                <c:pt idx="10">
                  <c:v>6.1024878315413114</c:v>
                </c:pt>
                <c:pt idx="11">
                  <c:v>8.6348881204181804</c:v>
                </c:pt>
                <c:pt idx="12">
                  <c:v>11.405845874630028</c:v>
                </c:pt>
                <c:pt idx="13">
                  <c:v>14.757399435374293</c:v>
                </c:pt>
                <c:pt idx="14">
                  <c:v>18.852198102158244</c:v>
                </c:pt>
                <c:pt idx="15">
                  <c:v>23.760830088439658</c:v>
                </c:pt>
                <c:pt idx="16">
                  <c:v>29.477995640258456</c:v>
                </c:pt>
                <c:pt idx="17">
                  <c:v>35.985260366750502</c:v>
                </c:pt>
                <c:pt idx="18">
                  <c:v>42.401460558894172</c:v>
                </c:pt>
                <c:pt idx="19">
                  <c:v>48.360946904840048</c:v>
                </c:pt>
                <c:pt idx="20">
                  <c:v>53.510082101162276</c:v>
                </c:pt>
                <c:pt idx="21">
                  <c:v>57.576138176176222</c:v>
                </c:pt>
                <c:pt idx="22">
                  <c:v>60.235360003673044</c:v>
                </c:pt>
                <c:pt idx="23">
                  <c:v>62.079576288656014</c:v>
                </c:pt>
                <c:pt idx="24">
                  <c:v>63.265725435003688</c:v>
                </c:pt>
                <c:pt idx="25">
                  <c:v>63.970027409325859</c:v>
                </c:pt>
                <c:pt idx="26">
                  <c:v>64.334536445063151</c:v>
                </c:pt>
                <c:pt idx="27">
                  <c:v>64.571354548520972</c:v>
                </c:pt>
                <c:pt idx="28">
                  <c:v>64.724442379232826</c:v>
                </c:pt>
                <c:pt idx="29">
                  <c:v>64.823082031600762</c:v>
                </c:pt>
                <c:pt idx="30">
                  <c:v>64.886505467915768</c:v>
                </c:pt>
                <c:pt idx="31">
                  <c:v>64.927230510028664</c:v>
                </c:pt>
                <c:pt idx="32">
                  <c:v>64.9533579787566</c:v>
                </c:pt>
                <c:pt idx="33">
                  <c:v>64.97011097325182</c:v>
                </c:pt>
                <c:pt idx="34">
                  <c:v>64.980849225886175</c:v>
                </c:pt>
                <c:pt idx="35">
                  <c:v>64.987730619273762</c:v>
                </c:pt>
                <c:pt idx="36">
                  <c:v>64.992139783457077</c:v>
                </c:pt>
                <c:pt idx="37">
                  <c:v>64.994964637265838</c:v>
                </c:pt>
                <c:pt idx="38">
                  <c:v>64.996774351546833</c:v>
                </c:pt>
                <c:pt idx="39">
                  <c:v>64.997933683082792</c:v>
                </c:pt>
                <c:pt idx="40">
                  <c:v>64.998676351247013</c:v>
                </c:pt>
                <c:pt idx="41">
                  <c:v>64.999149920179633</c:v>
                </c:pt>
              </c:numCache>
            </c:numRef>
          </c:val>
          <c:smooth val="0"/>
          <c:extLst>
            <c:ext xmlns:c16="http://schemas.microsoft.com/office/drawing/2014/chart" uri="{C3380CC4-5D6E-409C-BE32-E72D297353CC}">
              <c16:uniqueId val="{00000001-B483-4530-BDCC-C661FA145180}"/>
            </c:ext>
          </c:extLst>
        </c:ser>
        <c:ser>
          <c:idx val="3"/>
          <c:order val="2"/>
          <c:tx>
            <c:strRef>
              <c:f>'China EV uptake'!$L$3</c:f>
              <c:strCache>
                <c:ptCount val="1"/>
                <c:pt idx="0">
                  <c:v>predicted cost</c:v>
                </c:pt>
              </c:strCache>
            </c:strRef>
          </c:tx>
          <c:spPr>
            <a:ln w="28575" cap="rnd">
              <a:solidFill>
                <a:schemeClr val="accent4"/>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uptake'!$L$4:$L$45</c:f>
              <c:numCache>
                <c:formatCode>0.00</c:formatCode>
                <c:ptCount val="42"/>
                <c:pt idx="3">
                  <c:v>3.8755032033271214E-2</c:v>
                </c:pt>
                <c:pt idx="4">
                  <c:v>8.7551383817578696E-2</c:v>
                </c:pt>
                <c:pt idx="5">
                  <c:v>8.7551383817578696E-2</c:v>
                </c:pt>
                <c:pt idx="6">
                  <c:v>0.98551973616104327</c:v>
                </c:pt>
                <c:pt idx="7">
                  <c:v>1.3415981568072222</c:v>
                </c:pt>
                <c:pt idx="8">
                  <c:v>2.1439166050925254</c:v>
                </c:pt>
                <c:pt idx="9">
                  <c:v>3.9822183298483407</c:v>
                </c:pt>
                <c:pt idx="10">
                  <c:v>6.0808030040892369</c:v>
                </c:pt>
                <c:pt idx="11">
                  <c:v>9.67262289787889</c:v>
                </c:pt>
                <c:pt idx="12">
                  <c:v>14.33848800297655</c:v>
                </c:pt>
                <c:pt idx="13">
                  <c:v>20.559038977919588</c:v>
                </c:pt>
                <c:pt idx="14">
                  <c:v>27.831451828771133</c:v>
                </c:pt>
                <c:pt idx="15">
                  <c:v>35.837353631030091</c:v>
                </c:pt>
                <c:pt idx="16">
                  <c:v>43.379730979706572</c:v>
                </c:pt>
                <c:pt idx="17">
                  <c:v>49.990353890592658</c:v>
                </c:pt>
                <c:pt idx="18">
                  <c:v>55.384493079650056</c:v>
                </c:pt>
                <c:pt idx="19">
                  <c:v>59.638852558129294</c:v>
                </c:pt>
                <c:pt idx="20">
                  <c:v>61.671861252904783</c:v>
                </c:pt>
                <c:pt idx="21">
                  <c:v>63.019595375516339</c:v>
                </c:pt>
                <c:pt idx="22">
                  <c:v>63.891350663649497</c:v>
                </c:pt>
                <c:pt idx="23">
                  <c:v>64.445984203279551</c:v>
                </c:pt>
                <c:pt idx="24">
                  <c:v>64.656105125473346</c:v>
                </c:pt>
                <c:pt idx="25">
                  <c:v>64.786905347154203</c:v>
                </c:pt>
                <c:pt idx="26">
                  <c:v>64.86809907893732</c:v>
                </c:pt>
                <c:pt idx="27">
                  <c:v>64.918411269522977</c:v>
                </c:pt>
                <c:pt idx="28">
                  <c:v>64.949553512739087</c:v>
                </c:pt>
                <c:pt idx="29">
                  <c:v>64.968816902435037</c:v>
                </c:pt>
                <c:pt idx="30">
                  <c:v>64.980727501551868</c:v>
                </c:pt>
                <c:pt idx="31">
                  <c:v>64.98808994482377</c:v>
                </c:pt>
                <c:pt idx="32">
                  <c:v>64.992640252096606</c:v>
                </c:pt>
                <c:pt idx="33">
                  <c:v>64.99545225955805</c:v>
                </c:pt>
                <c:pt idx="34">
                  <c:v>64.997189922840491</c:v>
                </c:pt>
                <c:pt idx="35">
                  <c:v>64.998263660903291</c:v>
                </c:pt>
                <c:pt idx="36">
                  <c:v>64.998927130336227</c:v>
                </c:pt>
                <c:pt idx="37">
                  <c:v>64.999337086306184</c:v>
                </c:pt>
                <c:pt idx="38">
                  <c:v>64.99959039473103</c:v>
                </c:pt>
                <c:pt idx="39">
                  <c:v>64.999746911061749</c:v>
                </c:pt>
                <c:pt idx="40">
                  <c:v>64.999843620353204</c:v>
                </c:pt>
                <c:pt idx="41">
                  <c:v>64.99990337557054</c:v>
                </c:pt>
              </c:numCache>
            </c:numRef>
          </c:val>
          <c:smooth val="0"/>
          <c:extLst>
            <c:ext xmlns:c16="http://schemas.microsoft.com/office/drawing/2014/chart" uri="{C3380CC4-5D6E-409C-BE32-E72D297353CC}">
              <c16:uniqueId val="{00000002-B483-4530-BDCC-C661FA145180}"/>
            </c:ext>
          </c:extLst>
        </c:ser>
        <c:ser>
          <c:idx val="4"/>
          <c:order val="3"/>
          <c:tx>
            <c:strRef>
              <c:f>'China EV uptake'!$AB$3</c:f>
              <c:strCache>
                <c:ptCount val="1"/>
                <c:pt idx="0">
                  <c:v>raw predicted</c:v>
                </c:pt>
              </c:strCache>
            </c:strRef>
          </c:tx>
          <c:spPr>
            <a:ln w="28575" cap="rnd">
              <a:solidFill>
                <a:schemeClr val="accent5"/>
              </a:solidFill>
              <a:round/>
            </a:ln>
            <a:effectLst/>
          </c:spPr>
          <c:marker>
            <c:symbol val="none"/>
          </c:marker>
          <c:cat>
            <c:numRef>
              <c:f>'China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'China EV uptake'!$AB$4:$AB$45</c:f>
              <c:numCache>
                <c:formatCode>0.00</c:formatCode>
                <c:ptCount val="42"/>
                <c:pt idx="0">
                  <c:v>0</c:v>
                </c:pt>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pt idx="13">
                  <c:v>20.103016074040784</c:v>
                </c:pt>
                <c:pt idx="14">
                  <c:v>27.311543855336645</c:v>
                </c:pt>
                <c:pt idx="15">
                  <c:v>35.084973204563525</c:v>
                </c:pt>
                <c:pt idx="16">
                  <c:v>42.571732694407068</c:v>
                </c:pt>
                <c:pt idx="17">
                  <c:v>49.037279341738675</c:v>
                </c:pt>
                <c:pt idx="18">
                  <c:v>54.1155023268024</c:v>
                </c:pt>
                <c:pt idx="19">
                  <c:v>57.814902817423203</c:v>
                </c:pt>
                <c:pt idx="20">
                  <c:v>60.364658409767081</c:v>
                </c:pt>
                <c:pt idx="21">
                  <c:v>62.055669149850516</c:v>
                </c:pt>
                <c:pt idx="22">
                  <c:v>63.148704515446354</c:v>
                </c:pt>
                <c:pt idx="23">
                  <c:v>63.843530086803234</c:v>
                </c:pt>
                <c:pt idx="24">
                  <c:v>64.280545800679874</c:v>
                </c:pt>
                <c:pt idx="25">
                  <c:v>64.553573430480995</c:v>
                </c:pt>
                <c:pt idx="26">
                  <c:v>64.723434850432866</c:v>
                </c:pt>
                <c:pt idx="27">
                  <c:v>64.828836848000762</c:v>
                </c:pt>
                <c:pt idx="28">
                  <c:v>64.89413469777223</c:v>
                </c:pt>
                <c:pt idx="29">
                  <c:v>64.93454690908419</c:v>
                </c:pt>
                <c:pt idx="30">
                  <c:v>64.959542089396493</c:v>
                </c:pt>
                <c:pt idx="31">
                  <c:v>64.97499580336121</c:v>
                </c:pt>
                <c:pt idx="32">
                  <c:v>64.984548064081295</c:v>
                </c:pt>
                <c:pt idx="33">
                  <c:v>64.990451646251984</c:v>
                </c:pt>
                <c:pt idx="34">
                  <c:v>64.994099904668346</c:v>
                </c:pt>
                <c:pt idx="35">
                  <c:v>64.996354305756</c:v>
                </c:pt>
                <c:pt idx="36">
                  <c:v>64.997747339725379</c:v>
                </c:pt>
                <c:pt idx="37">
                  <c:v>64.998608101388541</c:v>
                </c:pt>
                <c:pt idx="38">
                  <c:v>64.999139962664216</c:v>
                </c:pt>
                <c:pt idx="39">
                  <c:v>64.999468594982304</c:v>
                </c:pt>
                <c:pt idx="40">
                  <c:v>64.999671652920739</c:v>
                </c:pt>
                <c:pt idx="41">
                  <c:v>64.999797119575135</c:v>
                </c:pt>
              </c:numCache>
            </c:numRef>
          </c:val>
          <c:smooth val="0"/>
          <c:extLst>
            <c:ext xmlns:c16="http://schemas.microsoft.com/office/drawing/2014/chart" uri="{C3380CC4-5D6E-409C-BE32-E72D297353CC}">
              <c16:uniqueId val="{00000003-B483-4530-BDCC-C661FA145180}"/>
            </c:ext>
          </c:extLst>
        </c:ser>
        <c:dLbls>
          <c:showLegendKey val="0"/>
          <c:showVal val="0"/>
          <c:showCatName val="0"/>
          <c:showSerName val="0"/>
          <c:showPercent val="0"/>
          <c:showBubbleSize val="0"/>
        </c:dLbls>
        <c:smooth val="0"/>
        <c:axId val="607330488"/>
        <c:axId val="607331800"/>
      </c:lineChart>
      <c:catAx>
        <c:axId val="60733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1800"/>
        <c:crosses val="autoZero"/>
        <c:auto val="1"/>
        <c:lblAlgn val="ctr"/>
        <c:lblOffset val="100"/>
        <c:noMultiLvlLbl val="0"/>
      </c:catAx>
      <c:valAx>
        <c:axId val="607331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30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uptake'!$S$3</c:f>
              <c:strCache>
                <c:ptCount val="1"/>
                <c:pt idx="0">
                  <c:v>High</c:v>
                </c:pt>
              </c:strCache>
            </c:strRef>
          </c:tx>
          <c:spPr>
            <a:ln w="28575" cap="rnd">
              <a:solidFill>
                <a:schemeClr val="accent1"/>
              </a:solidFill>
              <a:round/>
            </a:ln>
            <a:effectLst/>
          </c:spPr>
          <c:marker>
            <c:symbol val="none"/>
          </c:marker>
          <c:cat>
            <c:numRef>
              <c:f>'China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uptake'!$S$4:$S$25</c:f>
              <c:numCache>
                <c:formatCode>General</c:formatCode>
                <c:ptCount val="22"/>
                <c:pt idx="3" formatCode="0.00">
                  <c:v>3.8755032033271214E-2</c:v>
                </c:pt>
                <c:pt idx="4" formatCode="0.00">
                  <c:v>8.7551383817578696E-2</c:v>
                </c:pt>
                <c:pt idx="5" formatCode="0.00">
                  <c:v>8.7551383817578696E-2</c:v>
                </c:pt>
                <c:pt idx="6" formatCode="0.00">
                  <c:v>0.98551973616104327</c:v>
                </c:pt>
                <c:pt idx="7" formatCode="0.00">
                  <c:v>1.3415981568072222</c:v>
                </c:pt>
                <c:pt idx="8" formatCode="0.00">
                  <c:v>2.1439166050925254</c:v>
                </c:pt>
                <c:pt idx="9" formatCode="0.00">
                  <c:v>3.9822183298483407</c:v>
                </c:pt>
                <c:pt idx="10" formatCode="0.00">
                  <c:v>6.8591800104532448</c:v>
                </c:pt>
                <c:pt idx="11" formatCode="0.00">
                  <c:v>9.9141969174068496</c:v>
                </c:pt>
                <c:pt idx="12" formatCode="0.00">
                  <c:v>13.466737684274957</c:v>
                </c:pt>
                <c:pt idx="13" formatCode="0.00">
                  <c:v>17.569427958674822</c:v>
                </c:pt>
                <c:pt idx="14" formatCode="0.00">
                  <c:v>22.620495655435157</c:v>
                </c:pt>
                <c:pt idx="15" formatCode="0.00">
                  <c:v>28.753201913425794</c:v>
                </c:pt>
                <c:pt idx="16" formatCode="0.00">
                  <c:v>35.176091950613952</c:v>
                </c:pt>
                <c:pt idx="17" formatCode="0.00">
                  <c:v>41.636849104537013</c:v>
                </c:pt>
                <c:pt idx="18" formatCode="0.00">
                  <c:v>47.743358151662619</c:v>
                </c:pt>
                <c:pt idx="19" formatCode="0.00">
                  <c:v>53.082166765331955</c:v>
                </c:pt>
                <c:pt idx="20" formatCode="0.00">
                  <c:v>57.032519822665577</c:v>
                </c:pt>
                <c:pt idx="21" formatCode="0.00">
                  <c:v>59.963800123024271</c:v>
                </c:pt>
              </c:numCache>
            </c:numRef>
          </c:val>
          <c:smooth val="0"/>
          <c:extLst>
            <c:ext xmlns:c16="http://schemas.microsoft.com/office/drawing/2014/chart" uri="{C3380CC4-5D6E-409C-BE32-E72D297353CC}">
              <c16:uniqueId val="{00000000-A1B0-4F54-972F-9ECA867A26B1}"/>
            </c:ext>
          </c:extLst>
        </c:ser>
        <c:ser>
          <c:idx val="1"/>
          <c:order val="1"/>
          <c:tx>
            <c:strRef>
              <c:f>'China EV uptake'!$T$3</c:f>
              <c:strCache>
                <c:ptCount val="1"/>
                <c:pt idx="0">
                  <c:v>Medium</c:v>
                </c:pt>
              </c:strCache>
            </c:strRef>
          </c:tx>
          <c:spPr>
            <a:ln w="28575" cap="rnd">
              <a:solidFill>
                <a:schemeClr val="accent2"/>
              </a:solidFill>
              <a:round/>
            </a:ln>
            <a:effectLst/>
          </c:spPr>
          <c:marker>
            <c:symbol val="none"/>
          </c:marker>
          <c:cat>
            <c:numRef>
              <c:f>'China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uptake'!$T$4:$T$25</c:f>
              <c:numCache>
                <c:formatCode>General</c:formatCode>
                <c:ptCount val="22"/>
                <c:pt idx="3" formatCode="0.00">
                  <c:v>3.8755032033271214E-2</c:v>
                </c:pt>
                <c:pt idx="4" formatCode="0.00">
                  <c:v>8.7551383817578696E-2</c:v>
                </c:pt>
                <c:pt idx="5" formatCode="0.00">
                  <c:v>8.7551383817578696E-2</c:v>
                </c:pt>
                <c:pt idx="6" formatCode="0.00">
                  <c:v>0.98551973616104327</c:v>
                </c:pt>
                <c:pt idx="7" formatCode="0.00">
                  <c:v>1.3415981568072222</c:v>
                </c:pt>
                <c:pt idx="8" formatCode="0.00">
                  <c:v>2.1439166050925254</c:v>
                </c:pt>
                <c:pt idx="9" formatCode="0.00">
                  <c:v>3.9822183298483407</c:v>
                </c:pt>
                <c:pt idx="10" formatCode="0.00">
                  <c:v>6.1024878315413114</c:v>
                </c:pt>
                <c:pt idx="11" formatCode="0.00">
                  <c:v>8.6348881204181804</c:v>
                </c:pt>
                <c:pt idx="12" formatCode="0.00">
                  <c:v>11.405845874630028</c:v>
                </c:pt>
                <c:pt idx="13" formatCode="0.00">
                  <c:v>14.757399435374293</c:v>
                </c:pt>
                <c:pt idx="14" formatCode="0.00">
                  <c:v>18.852198102158244</c:v>
                </c:pt>
                <c:pt idx="15" formatCode="0.00">
                  <c:v>23.760830088439658</c:v>
                </c:pt>
                <c:pt idx="16" formatCode="0.00">
                  <c:v>29.477995640258456</c:v>
                </c:pt>
                <c:pt idx="17" formatCode="0.00">
                  <c:v>35.985260366750502</c:v>
                </c:pt>
                <c:pt idx="18" formatCode="0.00">
                  <c:v>42.401460558894172</c:v>
                </c:pt>
                <c:pt idx="19" formatCode="0.00">
                  <c:v>48.360946904840048</c:v>
                </c:pt>
                <c:pt idx="20" formatCode="0.00">
                  <c:v>53.510082101162276</c:v>
                </c:pt>
                <c:pt idx="21" formatCode="0.00">
                  <c:v>57.576138176176222</c:v>
                </c:pt>
              </c:numCache>
            </c:numRef>
          </c:val>
          <c:smooth val="0"/>
          <c:extLst>
            <c:ext xmlns:c16="http://schemas.microsoft.com/office/drawing/2014/chart" uri="{C3380CC4-5D6E-409C-BE32-E72D297353CC}">
              <c16:uniqueId val="{00000001-A1B0-4F54-972F-9ECA867A26B1}"/>
            </c:ext>
          </c:extLst>
        </c:ser>
        <c:ser>
          <c:idx val="2"/>
          <c:order val="2"/>
          <c:tx>
            <c:strRef>
              <c:f>'China EV uptake'!$U$3</c:f>
              <c:strCache>
                <c:ptCount val="1"/>
                <c:pt idx="0">
                  <c:v>Low</c:v>
                </c:pt>
              </c:strCache>
            </c:strRef>
          </c:tx>
          <c:spPr>
            <a:ln w="28575" cap="rnd">
              <a:solidFill>
                <a:schemeClr val="accent3"/>
              </a:solidFill>
              <a:round/>
            </a:ln>
            <a:effectLst/>
          </c:spPr>
          <c:marker>
            <c:symbol val="none"/>
          </c:marker>
          <c:cat>
            <c:numRef>
              <c:f>'China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uptake'!$U$4:$U$25</c:f>
              <c:numCache>
                <c:formatCode>General</c:formatCode>
                <c:ptCount val="22"/>
                <c:pt idx="3" formatCode="0.00">
                  <c:v>3.8755032033271214E-2</c:v>
                </c:pt>
                <c:pt idx="4" formatCode="0.00">
                  <c:v>8.7551383817578696E-2</c:v>
                </c:pt>
                <c:pt idx="5" formatCode="0.00">
                  <c:v>8.7551383817578696E-2</c:v>
                </c:pt>
                <c:pt idx="6" formatCode="0.00">
                  <c:v>0.98551973616104327</c:v>
                </c:pt>
                <c:pt idx="7" formatCode="0.00">
                  <c:v>1.3415981568072222</c:v>
                </c:pt>
                <c:pt idx="8" formatCode="0.00">
                  <c:v>2.1439166050925254</c:v>
                </c:pt>
                <c:pt idx="9" formatCode="0.00">
                  <c:v>3.9822183298483407</c:v>
                </c:pt>
                <c:pt idx="10" formatCode="0.00">
                  <c:v>5.1526463560894591</c:v>
                </c:pt>
                <c:pt idx="11" formatCode="0.00">
                  <c:v>6.8111100168191001</c:v>
                </c:pt>
                <c:pt idx="12" formatCode="0.00">
                  <c:v>8.8534728018559292</c:v>
                </c:pt>
                <c:pt idx="13" formatCode="0.00">
                  <c:v>11.49092052711995</c:v>
                </c:pt>
                <c:pt idx="14" formatCode="0.00">
                  <c:v>15.095073792202138</c:v>
                </c:pt>
                <c:pt idx="15" formatCode="0.00">
                  <c:v>19.900602949604135</c:v>
                </c:pt>
                <c:pt idx="16" formatCode="0.00">
                  <c:v>25.425380243941852</c:v>
                </c:pt>
                <c:pt idx="17" formatCode="0.00">
                  <c:v>31.68488907342487</c:v>
                </c:pt>
                <c:pt idx="18" formatCode="0.00">
                  <c:v>38.505276369123131</c:v>
                </c:pt>
                <c:pt idx="19" formatCode="0.00">
                  <c:v>44.868330068890472</c:v>
                </c:pt>
                <c:pt idx="20" formatCode="0.00">
                  <c:v>50.288401893981607</c:v>
                </c:pt>
                <c:pt idx="21" formatCode="0.00">
                  <c:v>54.77310029966916</c:v>
                </c:pt>
              </c:numCache>
            </c:numRef>
          </c:val>
          <c:smooth val="0"/>
          <c:extLst>
            <c:ext xmlns:c16="http://schemas.microsoft.com/office/drawing/2014/chart" uri="{C3380CC4-5D6E-409C-BE32-E72D297353CC}">
              <c16:uniqueId val="{00000002-A1B0-4F54-972F-9ECA867A26B1}"/>
            </c:ext>
          </c:extLst>
        </c:ser>
        <c:dLbls>
          <c:showLegendKey val="0"/>
          <c:showVal val="0"/>
          <c:showCatName val="0"/>
          <c:showSerName val="0"/>
          <c:showPercent val="0"/>
          <c:showBubbleSize val="0"/>
        </c:dLbls>
        <c:smooth val="0"/>
        <c:axId val="875214480"/>
        <c:axId val="875214808"/>
      </c:lineChart>
      <c:catAx>
        <c:axId val="87521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214808"/>
        <c:crosses val="autoZero"/>
        <c:auto val="1"/>
        <c:lblAlgn val="ctr"/>
        <c:lblOffset val="100"/>
        <c:noMultiLvlLbl val="0"/>
      </c:catAx>
      <c:valAx>
        <c:axId val="875214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323661052785068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21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France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%sales'!$BO$81</c:f>
              <c:strCache>
                <c:ptCount val="1"/>
              </c:strCache>
            </c:strRef>
          </c:tx>
          <c:spPr>
            <a:ln w="28575" cap="rnd">
              <a:solidFill>
                <a:schemeClr val="accent1"/>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%sales'!$BO$82:$BO$89</c:f>
              <c:numCache>
                <c:formatCode>0</c:formatCode>
                <c:ptCount val="8"/>
                <c:pt idx="0">
                  <c:v>2209</c:v>
                </c:pt>
                <c:pt idx="1">
                  <c:v>2161</c:v>
                </c:pt>
                <c:pt idx="2">
                  <c:v>1857</c:v>
                </c:pt>
                <c:pt idx="3">
                  <c:v>1757</c:v>
                </c:pt>
                <c:pt idx="4">
                  <c:v>1765</c:v>
                </c:pt>
                <c:pt idx="5">
                  <c:v>1886</c:v>
                </c:pt>
                <c:pt idx="6">
                  <c:v>2021.2328767123288</c:v>
                </c:pt>
              </c:numCache>
            </c:numRef>
          </c:val>
          <c:smooth val="0"/>
          <c:extLst>
            <c:ext xmlns:c16="http://schemas.microsoft.com/office/drawing/2014/chart" uri="{C3380CC4-5D6E-409C-BE32-E72D297353CC}">
              <c16:uniqueId val="{00000000-2821-4452-8C75-0309B2CE3CAF}"/>
            </c:ext>
          </c:extLst>
        </c:ser>
        <c:ser>
          <c:idx val="1"/>
          <c:order val="1"/>
          <c:tx>
            <c:strRef>
              <c:f>'EV %sales'!$CK$81</c:f>
              <c:strCache>
                <c:ptCount val="1"/>
                <c:pt idx="0">
                  <c:v>2302</c:v>
                </c:pt>
              </c:strCache>
            </c:strRef>
          </c:tx>
          <c:spPr>
            <a:ln w="28575" cap="rnd">
              <a:solidFill>
                <a:schemeClr val="accent2"/>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%sales'!$CK$82:$CK$89</c:f>
              <c:numCache>
                <c:formatCode>0</c:formatCode>
                <c:ptCount val="8"/>
                <c:pt idx="0">
                  <c:v>2251.6689999999999</c:v>
                </c:pt>
                <c:pt idx="1">
                  <c:v>2204.2289999999998</c:v>
                </c:pt>
                <c:pt idx="2">
                  <c:v>1898.76</c:v>
                </c:pt>
                <c:pt idx="3">
                  <c:v>1790.4559999999999</c:v>
                </c:pt>
                <c:pt idx="4">
                  <c:v>1795.885</c:v>
                </c:pt>
                <c:pt idx="5">
                  <c:v>1917.2260000000001</c:v>
                </c:pt>
                <c:pt idx="6">
                  <c:v>2015.1769999999999</c:v>
                </c:pt>
                <c:pt idx="7">
                  <c:v>2048</c:v>
                </c:pt>
              </c:numCache>
            </c:numRef>
          </c:val>
          <c:smooth val="0"/>
          <c:extLst>
            <c:ext xmlns:c16="http://schemas.microsoft.com/office/drawing/2014/chart" uri="{C3380CC4-5D6E-409C-BE32-E72D297353CC}">
              <c16:uniqueId val="{00000001-2821-4452-8C75-0309B2CE3CAF}"/>
            </c:ext>
          </c:extLst>
        </c:ser>
        <c:dLbls>
          <c:showLegendKey val="0"/>
          <c:showVal val="0"/>
          <c:showCatName val="0"/>
          <c:showSerName val="0"/>
          <c:showPercent val="0"/>
          <c:showBubbleSize val="0"/>
        </c:dLbls>
        <c:smooth val="0"/>
        <c:axId val="447596184"/>
        <c:axId val="447603072"/>
      </c:lineChart>
      <c:catAx>
        <c:axId val="44759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603072"/>
        <c:crosses val="autoZero"/>
        <c:auto val="1"/>
        <c:lblAlgn val="ctr"/>
        <c:lblOffset val="100"/>
        <c:noMultiLvlLbl val="0"/>
      </c:catAx>
      <c:valAx>
        <c:axId val="4476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59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 EV uptake'!$X$3</c:f>
              <c:strCache>
                <c:ptCount val="1"/>
                <c:pt idx="0">
                  <c:v>High</c:v>
                </c:pt>
              </c:strCache>
            </c:strRef>
          </c:tx>
          <c:spPr>
            <a:ln w="28575" cap="rnd">
              <a:solidFill>
                <a:schemeClr val="accent1"/>
              </a:solidFill>
              <a:round/>
            </a:ln>
            <a:effectLst/>
          </c:spPr>
          <c:marker>
            <c:symbol val="none"/>
          </c:marker>
          <c:cat>
            <c:numRef>
              <c:f>'China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uptake'!$X$4:$X$25</c:f>
              <c:numCache>
                <c:formatCode>General</c:formatCode>
                <c:ptCount val="22"/>
                <c:pt idx="3" formatCode="0.0">
                  <c:v>3.8755032033271214E-2</c:v>
                </c:pt>
                <c:pt idx="4" formatCode="0.0">
                  <c:v>8.7551383817578696E-2</c:v>
                </c:pt>
                <c:pt idx="5" formatCode="0.0">
                  <c:v>8.7551383817578696E-2</c:v>
                </c:pt>
                <c:pt idx="6" formatCode="0.0">
                  <c:v>0.98551973616104327</c:v>
                </c:pt>
                <c:pt idx="7" formatCode="0.0">
                  <c:v>1.3415981568072222</c:v>
                </c:pt>
                <c:pt idx="8" formatCode="0.0">
                  <c:v>2.1439166050925254</c:v>
                </c:pt>
                <c:pt idx="9" formatCode="0.0">
                  <c:v>3.9822183298483407</c:v>
                </c:pt>
                <c:pt idx="10" formatCode="0.0">
                  <c:v>4.8915236446165009</c:v>
                </c:pt>
                <c:pt idx="11" formatCode="0.0">
                  <c:v>5.5685458982760521</c:v>
                </c:pt>
                <c:pt idx="12" formatCode="0.0">
                  <c:v>6.4469511141600462</c:v>
                </c:pt>
                <c:pt idx="13" formatCode="0.0">
                  <c:v>7.3813180636636515</c:v>
                </c:pt>
                <c:pt idx="14" formatCode="0.0">
                  <c:v>8.6674956458866816</c:v>
                </c:pt>
                <c:pt idx="15" formatCode="0.0">
                  <c:v>10.334086134410846</c:v>
                </c:pt>
                <c:pt idx="16" formatCode="0.0">
                  <c:v>12.351225146650222</c:v>
                </c:pt>
                <c:pt idx="17" formatCode="0.0">
                  <c:v>14.751854589035924</c:v>
                </c:pt>
                <c:pt idx="18" formatCode="0.0">
                  <c:v>17.581135467615365</c:v>
                </c:pt>
                <c:pt idx="19" formatCode="0.0">
                  <c:v>20.77967119660007</c:v>
                </c:pt>
                <c:pt idx="20" formatCode="0.0">
                  <c:v>24.338947252121045</c:v>
                </c:pt>
                <c:pt idx="21" formatCode="0.0">
                  <c:v>28.209314526981387</c:v>
                </c:pt>
              </c:numCache>
            </c:numRef>
          </c:val>
          <c:smooth val="0"/>
          <c:extLst>
            <c:ext xmlns:c16="http://schemas.microsoft.com/office/drawing/2014/chart" uri="{C3380CC4-5D6E-409C-BE32-E72D297353CC}">
              <c16:uniqueId val="{00000000-F14E-461C-B4A5-0C23C70FD149}"/>
            </c:ext>
          </c:extLst>
        </c:ser>
        <c:ser>
          <c:idx val="1"/>
          <c:order val="1"/>
          <c:tx>
            <c:strRef>
              <c:f>'China EV uptake'!$Y$3</c:f>
              <c:strCache>
                <c:ptCount val="1"/>
                <c:pt idx="0">
                  <c:v>Medium</c:v>
                </c:pt>
              </c:strCache>
            </c:strRef>
          </c:tx>
          <c:spPr>
            <a:ln w="28575" cap="rnd">
              <a:solidFill>
                <a:schemeClr val="accent2"/>
              </a:solidFill>
              <a:round/>
            </a:ln>
            <a:effectLst/>
          </c:spPr>
          <c:marker>
            <c:symbol val="none"/>
          </c:marker>
          <c:cat>
            <c:numRef>
              <c:f>'China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uptake'!$Y$4:$Y$25</c:f>
              <c:numCache>
                <c:formatCode>General</c:formatCode>
                <c:ptCount val="22"/>
                <c:pt idx="3" formatCode="0.00">
                  <c:v>3.8755032033271214E-2</c:v>
                </c:pt>
                <c:pt idx="4" formatCode="0.00">
                  <c:v>8.7551383817578696E-2</c:v>
                </c:pt>
                <c:pt idx="5" formatCode="0.00">
                  <c:v>8.7551383817578696E-2</c:v>
                </c:pt>
                <c:pt idx="6" formatCode="0.00">
                  <c:v>0.98551973616104327</c:v>
                </c:pt>
                <c:pt idx="7" formatCode="0.00">
                  <c:v>1.3415981568072222</c:v>
                </c:pt>
                <c:pt idx="8" formatCode="0.00">
                  <c:v>2.1439166050925254</c:v>
                </c:pt>
                <c:pt idx="9" formatCode="0.00">
                  <c:v>3.9822183298483407</c:v>
                </c:pt>
                <c:pt idx="10" formatCode="0.00">
                  <c:v>6.1024878315413114</c:v>
                </c:pt>
                <c:pt idx="11" formatCode="0.00">
                  <c:v>8.6348881204181804</c:v>
                </c:pt>
                <c:pt idx="12" formatCode="0.00">
                  <c:v>11.405845874630028</c:v>
                </c:pt>
                <c:pt idx="13" formatCode="0.00">
                  <c:v>14.757399435374293</c:v>
                </c:pt>
                <c:pt idx="14" formatCode="0.00">
                  <c:v>18.852198102158244</c:v>
                </c:pt>
                <c:pt idx="15" formatCode="0.00">
                  <c:v>23.760830088439658</c:v>
                </c:pt>
                <c:pt idx="16" formatCode="0.00">
                  <c:v>29.477995640258456</c:v>
                </c:pt>
                <c:pt idx="17" formatCode="0.00">
                  <c:v>35.985260366750502</c:v>
                </c:pt>
                <c:pt idx="18" formatCode="0.00">
                  <c:v>42.401460558894172</c:v>
                </c:pt>
                <c:pt idx="19" formatCode="0.00">
                  <c:v>48.360946904840048</c:v>
                </c:pt>
                <c:pt idx="20" formatCode="0.00">
                  <c:v>53.510082101162276</c:v>
                </c:pt>
                <c:pt idx="21" formatCode="0.00">
                  <c:v>57.576138176176222</c:v>
                </c:pt>
              </c:numCache>
            </c:numRef>
          </c:val>
          <c:smooth val="0"/>
          <c:extLst>
            <c:ext xmlns:c16="http://schemas.microsoft.com/office/drawing/2014/chart" uri="{C3380CC4-5D6E-409C-BE32-E72D297353CC}">
              <c16:uniqueId val="{00000001-F14E-461C-B4A5-0C23C70FD149}"/>
            </c:ext>
          </c:extLst>
        </c:ser>
        <c:ser>
          <c:idx val="2"/>
          <c:order val="2"/>
          <c:tx>
            <c:strRef>
              <c:f>'China EV uptake'!$Z$3</c:f>
              <c:strCache>
                <c:ptCount val="1"/>
                <c:pt idx="0">
                  <c:v>Low</c:v>
                </c:pt>
              </c:strCache>
            </c:strRef>
          </c:tx>
          <c:spPr>
            <a:ln w="28575" cap="rnd">
              <a:solidFill>
                <a:schemeClr val="accent3"/>
              </a:solidFill>
              <a:round/>
            </a:ln>
            <a:effectLst/>
          </c:spPr>
          <c:marker>
            <c:symbol val="none"/>
          </c:marker>
          <c:cat>
            <c:numRef>
              <c:f>'China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 EV uptake'!$Z$4:$Z$25</c:f>
              <c:numCache>
                <c:formatCode>General</c:formatCode>
                <c:ptCount val="22"/>
                <c:pt idx="3" formatCode="0.0">
                  <c:v>3.8755032033271214E-2</c:v>
                </c:pt>
                <c:pt idx="4" formatCode="0.0">
                  <c:v>8.7551383817578696E-2</c:v>
                </c:pt>
                <c:pt idx="5" formatCode="0.0">
                  <c:v>8.7551383817578696E-2</c:v>
                </c:pt>
                <c:pt idx="6" formatCode="0.0">
                  <c:v>0.98551973616104327</c:v>
                </c:pt>
                <c:pt idx="7" formatCode="0.0">
                  <c:v>1.3415981568072222</c:v>
                </c:pt>
                <c:pt idx="8" formatCode="0.0">
                  <c:v>2.1439166050925254</c:v>
                </c:pt>
                <c:pt idx="9" formatCode="0.0">
                  <c:v>3.9822183298483407</c:v>
                </c:pt>
                <c:pt idx="10" formatCode="0.0">
                  <c:v>8.1058017711114942</c:v>
                </c:pt>
                <c:pt idx="11" formatCode="0.0">
                  <c:v>12.749247224772509</c:v>
                </c:pt>
                <c:pt idx="12" formatCode="0.0">
                  <c:v>18.233273067539692</c:v>
                </c:pt>
                <c:pt idx="13" formatCode="0.0">
                  <c:v>24.51641951758976</c:v>
                </c:pt>
                <c:pt idx="14" formatCode="0.0">
                  <c:v>31.8143513953212</c:v>
                </c:pt>
                <c:pt idx="15" formatCode="0.0">
                  <c:v>39.738268359200482</c:v>
                </c:pt>
                <c:pt idx="16" formatCode="0.0">
                  <c:v>47.231563315895997</c:v>
                </c:pt>
                <c:pt idx="17" formatCode="0.0">
                  <c:v>53.447879591290203</c:v>
                </c:pt>
                <c:pt idx="18" formatCode="0.0">
                  <c:v>58.251233034327882</c:v>
                </c:pt>
                <c:pt idx="19" formatCode="0.0">
                  <c:v>61.432382352177434</c:v>
                </c:pt>
                <c:pt idx="20" formatCode="0.0">
                  <c:v>63.155794886049776</c:v>
                </c:pt>
                <c:pt idx="21" formatCode="0.0">
                  <c:v>64.024402737082852</c:v>
                </c:pt>
              </c:numCache>
            </c:numRef>
          </c:val>
          <c:smooth val="0"/>
          <c:extLst>
            <c:ext xmlns:c16="http://schemas.microsoft.com/office/drawing/2014/chart" uri="{C3380CC4-5D6E-409C-BE32-E72D297353CC}">
              <c16:uniqueId val="{00000002-F14E-461C-B4A5-0C23C70FD149}"/>
            </c:ext>
          </c:extLst>
        </c:ser>
        <c:dLbls>
          <c:showLegendKey val="0"/>
          <c:showVal val="0"/>
          <c:showCatName val="0"/>
          <c:showSerName val="0"/>
          <c:showPercent val="0"/>
          <c:showBubbleSize val="0"/>
        </c:dLbls>
        <c:smooth val="0"/>
        <c:axId val="875330920"/>
        <c:axId val="875331576"/>
      </c:lineChart>
      <c:catAx>
        <c:axId val="87533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331576"/>
        <c:crosses val="autoZero"/>
        <c:auto val="1"/>
        <c:lblAlgn val="ctr"/>
        <c:lblOffset val="100"/>
        <c:noMultiLvlLbl val="0"/>
      </c:catAx>
      <c:valAx>
        <c:axId val="875331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332920312044327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33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China!$P$2</c:f>
              <c:strCache>
                <c:ptCount val="1"/>
                <c:pt idx="0">
                  <c:v>BEV price</c:v>
                </c:pt>
              </c:strCache>
            </c:strRef>
          </c:tx>
          <c:spPr>
            <a:ln w="60325" cap="rnd">
              <a:solidFill>
                <a:schemeClr val="accent1"/>
              </a:solidFill>
              <a:round/>
            </a:ln>
            <a:effectLst/>
          </c:spPr>
          <c:marker>
            <c:symbol val="none"/>
          </c:marker>
          <c:cat>
            <c:numRef>
              <c:f>China!$O$3:$O$24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China!$P$3:$P$24</c:f>
              <c:numCache>
                <c:formatCode>0</c:formatCode>
                <c:ptCount val="22"/>
                <c:pt idx="0">
                  <c:v>198899.60723427459</c:v>
                </c:pt>
                <c:pt idx="1">
                  <c:v>201029.32452816062</c:v>
                </c:pt>
                <c:pt idx="2">
                  <c:v>194472.67191177761</c:v>
                </c:pt>
                <c:pt idx="3">
                  <c:v>197048.23934209667</c:v>
                </c:pt>
                <c:pt idx="4">
                  <c:v>172045.54782722949</c:v>
                </c:pt>
                <c:pt idx="5">
                  <c:v>190596.22750313292</c:v>
                </c:pt>
                <c:pt idx="6">
                  <c:v>163478.95500996787</c:v>
                </c:pt>
                <c:pt idx="7">
                  <c:v>175531.24305909476</c:v>
                </c:pt>
                <c:pt idx="8">
                  <c:v>180589.75336149876</c:v>
                </c:pt>
                <c:pt idx="9">
                  <c:v>185343.27589771608</c:v>
                </c:pt>
                <c:pt idx="10">
                  <c:v>190320.36885599038</c:v>
                </c:pt>
                <c:pt idx="11">
                  <c:v>188717.37376733191</c:v>
                </c:pt>
                <c:pt idx="12">
                  <c:v>182041.23717348787</c:v>
                </c:pt>
                <c:pt idx="13">
                  <c:v>185774.70718446039</c:v>
                </c:pt>
                <c:pt idx="14">
                  <c:v>183367.88414275055</c:v>
                </c:pt>
                <c:pt idx="15">
                  <c:v>174063.84315970453</c:v>
                </c:pt>
                <c:pt idx="16">
                  <c:v>166076.19990815222</c:v>
                </c:pt>
                <c:pt idx="17">
                  <c:v>161525.68923138382</c:v>
                </c:pt>
                <c:pt idx="18">
                  <c:v>156975.17855461541</c:v>
                </c:pt>
                <c:pt idx="19">
                  <c:v>151855.85404325093</c:v>
                </c:pt>
                <c:pt idx="20">
                  <c:v>147305.34336648264</c:v>
                </c:pt>
                <c:pt idx="21">
                  <c:v>142186.01885511819</c:v>
                </c:pt>
              </c:numCache>
            </c:numRef>
          </c:val>
          <c:smooth val="0"/>
          <c:extLst>
            <c:ext xmlns:c16="http://schemas.microsoft.com/office/drawing/2014/chart" uri="{C3380CC4-5D6E-409C-BE32-E72D297353CC}">
              <c16:uniqueId val="{00000000-A5E0-4B43-B127-7A14DBD38169}"/>
            </c:ext>
          </c:extLst>
        </c:ser>
        <c:ser>
          <c:idx val="1"/>
          <c:order val="1"/>
          <c:tx>
            <c:strRef>
              <c:f>China!$Q$2</c:f>
              <c:strCache>
                <c:ptCount val="1"/>
                <c:pt idx="0">
                  <c:v>PHEV price</c:v>
                </c:pt>
              </c:strCache>
            </c:strRef>
          </c:tx>
          <c:spPr>
            <a:ln w="19050" cap="rnd">
              <a:solidFill>
                <a:schemeClr val="accent2"/>
              </a:solidFill>
              <a:round/>
            </a:ln>
            <a:effectLst/>
          </c:spPr>
          <c:marker>
            <c:symbol val="none"/>
          </c:marker>
          <c:cat>
            <c:numRef>
              <c:f>China!$O$3:$O$24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China!$Q$3:$Q$24</c:f>
              <c:numCache>
                <c:formatCode>0.0</c:formatCode>
                <c:ptCount val="22"/>
                <c:pt idx="0">
                  <c:v>210609.09402331882</c:v>
                </c:pt>
                <c:pt idx="1">
                  <c:v>212445.4735935402</c:v>
                </c:pt>
                <c:pt idx="2">
                  <c:v>205033.99757666042</c:v>
                </c:pt>
                <c:pt idx="3">
                  <c:v>207166.46636119499</c:v>
                </c:pt>
                <c:pt idx="4">
                  <c:v>206632.14142241271</c:v>
                </c:pt>
                <c:pt idx="5">
                  <c:v>224344.53390060822</c:v>
                </c:pt>
                <c:pt idx="6">
                  <c:v>197623.48027872111</c:v>
                </c:pt>
                <c:pt idx="7">
                  <c:v>211485.28230609477</c:v>
                </c:pt>
                <c:pt idx="8">
                  <c:v>216374.29336149874</c:v>
                </c:pt>
                <c:pt idx="9">
                  <c:v>221383.27589771608</c:v>
                </c:pt>
                <c:pt idx="10">
                  <c:v>226360.36885599038</c:v>
                </c:pt>
                <c:pt idx="11">
                  <c:v>224757.37376733191</c:v>
                </c:pt>
                <c:pt idx="12">
                  <c:v>218081.23717348787</c:v>
                </c:pt>
                <c:pt idx="13">
                  <c:v>221814.70718446039</c:v>
                </c:pt>
                <c:pt idx="14">
                  <c:v>219407.88414275055</c:v>
                </c:pt>
                <c:pt idx="15">
                  <c:v>210103.84315970453</c:v>
                </c:pt>
                <c:pt idx="16">
                  <c:v>202116.19990815222</c:v>
                </c:pt>
                <c:pt idx="17">
                  <c:v>197565.68923138382</c:v>
                </c:pt>
                <c:pt idx="18">
                  <c:v>193015.17855461541</c:v>
                </c:pt>
                <c:pt idx="19">
                  <c:v>187895.85404325093</c:v>
                </c:pt>
                <c:pt idx="20">
                  <c:v>183345.34336648264</c:v>
                </c:pt>
                <c:pt idx="21">
                  <c:v>178226.01885511816</c:v>
                </c:pt>
              </c:numCache>
            </c:numRef>
          </c:val>
          <c:smooth val="0"/>
          <c:extLst>
            <c:ext xmlns:c16="http://schemas.microsoft.com/office/drawing/2014/chart" uri="{C3380CC4-5D6E-409C-BE32-E72D297353CC}">
              <c16:uniqueId val="{00000001-A5E0-4B43-B127-7A14DBD38169}"/>
            </c:ext>
          </c:extLst>
        </c:ser>
        <c:ser>
          <c:idx val="2"/>
          <c:order val="2"/>
          <c:tx>
            <c:strRef>
              <c:f>China!$R$2</c:f>
              <c:strCache>
                <c:ptCount val="1"/>
                <c:pt idx="0">
                  <c:v>FFV price</c:v>
                </c:pt>
              </c:strCache>
            </c:strRef>
          </c:tx>
          <c:spPr>
            <a:ln w="28575" cap="rnd">
              <a:solidFill>
                <a:schemeClr val="tx1"/>
              </a:solidFill>
              <a:round/>
            </a:ln>
            <a:effectLst/>
          </c:spPr>
          <c:marker>
            <c:symbol val="none"/>
          </c:marker>
          <c:cat>
            <c:numRef>
              <c:f>China!$O$3:$O$24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China!$R$3:$R$24</c:f>
              <c:numCache>
                <c:formatCode>0</c:formatCode>
                <c:ptCount val="22"/>
                <c:pt idx="0">
                  <c:v>199533.50999999998</c:v>
                </c:pt>
                <c:pt idx="1">
                  <c:v>197737.09500000003</c:v>
                </c:pt>
                <c:pt idx="2">
                  <c:v>188661.54799999998</c:v>
                </c:pt>
                <c:pt idx="3">
                  <c:v>184388.125</c:v>
                </c:pt>
                <c:pt idx="4">
                  <c:v>180903.37200000006</c:v>
                </c:pt>
                <c:pt idx="5">
                  <c:v>179431.18799999997</c:v>
                </c:pt>
                <c:pt idx="6">
                  <c:v>181931.56400000001</c:v>
                </c:pt>
                <c:pt idx="7">
                  <c:v>194021.58300000004</c:v>
                </c:pt>
                <c:pt idx="8">
                  <c:v>197220.07799999998</c:v>
                </c:pt>
                <c:pt idx="9">
                  <c:v>197064</c:v>
                </c:pt>
                <c:pt idx="10">
                  <c:v>197064</c:v>
                </c:pt>
                <c:pt idx="11">
                  <c:v>197064</c:v>
                </c:pt>
                <c:pt idx="12">
                  <c:v>197064</c:v>
                </c:pt>
                <c:pt idx="13">
                  <c:v>197064</c:v>
                </c:pt>
                <c:pt idx="14">
                  <c:v>197064</c:v>
                </c:pt>
                <c:pt idx="15">
                  <c:v>197064</c:v>
                </c:pt>
                <c:pt idx="16">
                  <c:v>197064</c:v>
                </c:pt>
                <c:pt idx="17">
                  <c:v>197064</c:v>
                </c:pt>
                <c:pt idx="18">
                  <c:v>197064</c:v>
                </c:pt>
                <c:pt idx="19">
                  <c:v>197064</c:v>
                </c:pt>
                <c:pt idx="20">
                  <c:v>197064</c:v>
                </c:pt>
                <c:pt idx="21">
                  <c:v>197064</c:v>
                </c:pt>
              </c:numCache>
            </c:numRef>
          </c:val>
          <c:smooth val="0"/>
          <c:extLst>
            <c:ext xmlns:c16="http://schemas.microsoft.com/office/drawing/2014/chart" uri="{C3380CC4-5D6E-409C-BE32-E72D297353CC}">
              <c16:uniqueId val="{00000002-A5E0-4B43-B127-7A14DBD38169}"/>
            </c:ext>
          </c:extLst>
        </c:ser>
        <c:dLbls>
          <c:showLegendKey val="0"/>
          <c:showVal val="0"/>
          <c:showCatName val="0"/>
          <c:showSerName val="0"/>
          <c:showPercent val="0"/>
          <c:showBubbleSize val="0"/>
        </c:dLbls>
        <c:smooth val="0"/>
        <c:axId val="754076592"/>
        <c:axId val="754080528"/>
      </c:lineChart>
      <c:catAx>
        <c:axId val="75407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80528"/>
        <c:crosses val="autoZero"/>
        <c:auto val="1"/>
        <c:lblAlgn val="ctr"/>
        <c:lblOffset val="100"/>
        <c:noMultiLvlLbl val="0"/>
      </c:catAx>
      <c:valAx>
        <c:axId val="75408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7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China!$S$78</c:f>
              <c:strCache>
                <c:ptCount val="1"/>
                <c:pt idx="0">
                  <c:v>EV/FFV cost</c:v>
                </c:pt>
              </c:strCache>
            </c:strRef>
          </c:tx>
          <c:spPr>
            <a:ln w="28575" cap="rnd">
              <a:solidFill>
                <a:schemeClr val="accent1"/>
              </a:solidFill>
              <a:round/>
            </a:ln>
            <a:effectLst/>
          </c:spPr>
          <c:marker>
            <c:symbol val="none"/>
          </c:marker>
          <c:cat>
            <c:numRef>
              <c:f>China!$Q$79:$Q$87</c:f>
              <c:numCache>
                <c:formatCode>0</c:formatCode>
                <c:ptCount val="9"/>
                <c:pt idx="0">
                  <c:v>2012</c:v>
                </c:pt>
                <c:pt idx="1">
                  <c:v>2013</c:v>
                </c:pt>
                <c:pt idx="2">
                  <c:v>2014</c:v>
                </c:pt>
                <c:pt idx="3">
                  <c:v>2015</c:v>
                </c:pt>
                <c:pt idx="4">
                  <c:v>2016</c:v>
                </c:pt>
                <c:pt idx="5">
                  <c:v>2017</c:v>
                </c:pt>
                <c:pt idx="6">
                  <c:v>2018</c:v>
                </c:pt>
                <c:pt idx="7">
                  <c:v>2019</c:v>
                </c:pt>
                <c:pt idx="8">
                  <c:v>2020</c:v>
                </c:pt>
              </c:numCache>
            </c:numRef>
          </c:cat>
          <c:val>
            <c:numRef>
              <c:f>China!$S$79:$S$87</c:f>
              <c:numCache>
                <c:formatCode>0.00</c:formatCode>
                <c:ptCount val="9"/>
                <c:pt idx="0">
                  <c:v>0.8937126552214657</c:v>
                </c:pt>
                <c:pt idx="1">
                  <c:v>0.80514174901961133</c:v>
                </c:pt>
                <c:pt idx="2">
                  <c:v>0.91299337623271781</c:v>
                </c:pt>
                <c:pt idx="3">
                  <c:v>0.81225064729729146</c:v>
                </c:pt>
                <c:pt idx="4">
                  <c:v>0.82759588402859174</c:v>
                </c:pt>
                <c:pt idx="5">
                  <c:v>0.8431958553565011</c:v>
                </c:pt>
                <c:pt idx="6">
                  <c:v>0.8573637320404125</c:v>
                </c:pt>
                <c:pt idx="7">
                  <c:v>0.88416084496512382</c:v>
                </c:pt>
                <c:pt idx="8">
                  <c:v>0.87786893022843526</c:v>
                </c:pt>
              </c:numCache>
            </c:numRef>
          </c:val>
          <c:smooth val="0"/>
          <c:extLst>
            <c:ext xmlns:c16="http://schemas.microsoft.com/office/drawing/2014/chart" uri="{C3380CC4-5D6E-409C-BE32-E72D297353CC}">
              <c16:uniqueId val="{00000000-79D1-4765-BEA9-46FF566578AD}"/>
            </c:ext>
          </c:extLst>
        </c:ser>
        <c:dLbls>
          <c:showLegendKey val="0"/>
          <c:showVal val="0"/>
          <c:showCatName val="0"/>
          <c:showSerName val="0"/>
          <c:showPercent val="0"/>
          <c:showBubbleSize val="0"/>
        </c:dLbls>
        <c:smooth val="0"/>
        <c:axId val="718706624"/>
        <c:axId val="718706952"/>
      </c:lineChart>
      <c:catAx>
        <c:axId val="7187066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706952"/>
        <c:crosses val="autoZero"/>
        <c:auto val="1"/>
        <c:lblAlgn val="ctr"/>
        <c:lblOffset val="100"/>
        <c:noMultiLvlLbl val="0"/>
      </c:catAx>
      <c:valAx>
        <c:axId val="7187069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70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'Denmark EV uptake'!$BE$14</c:f>
              <c:strCache>
                <c:ptCount val="1"/>
                <c:pt idx="0">
                  <c:v>FFV/EV Cost</c:v>
                </c:pt>
              </c:strCache>
            </c:strRef>
          </c:tx>
          <c:spPr>
            <a:ln w="28575" cap="rnd">
              <a:solidFill>
                <a:schemeClr val="accent1"/>
              </a:solidFill>
              <a:round/>
            </a:ln>
            <a:effectLst/>
          </c:spPr>
          <c:marker>
            <c:symbol val="none"/>
          </c:marker>
          <c:cat>
            <c:numRef>
              <c:f>'Denmark EV uptake'!$BD$16:$BD$21</c:f>
              <c:numCache>
                <c:formatCode>0</c:formatCode>
                <c:ptCount val="6"/>
                <c:pt idx="0">
                  <c:v>2012</c:v>
                </c:pt>
                <c:pt idx="1">
                  <c:v>2013</c:v>
                </c:pt>
                <c:pt idx="2">
                  <c:v>2014</c:v>
                </c:pt>
                <c:pt idx="3">
                  <c:v>2015</c:v>
                </c:pt>
                <c:pt idx="4">
                  <c:v>2016</c:v>
                </c:pt>
                <c:pt idx="5">
                  <c:v>2017</c:v>
                </c:pt>
              </c:numCache>
            </c:numRef>
          </c:cat>
          <c:val>
            <c:numRef>
              <c:f>'Denmark EV uptake'!$BE$16:$BE$21</c:f>
              <c:numCache>
                <c:formatCode>0.00</c:formatCode>
                <c:ptCount val="6"/>
                <c:pt idx="0">
                  <c:v>1.6404447507496023</c:v>
                </c:pt>
                <c:pt idx="1">
                  <c:v>1.6115211305254911</c:v>
                </c:pt>
                <c:pt idx="2">
                  <c:v>1.5606175453975535</c:v>
                </c:pt>
                <c:pt idx="3">
                  <c:v>1.6829572868702138</c:v>
                </c:pt>
                <c:pt idx="4">
                  <c:v>1.2512396906668841</c:v>
                </c:pt>
                <c:pt idx="5">
                  <c:v>1.0852405000692427</c:v>
                </c:pt>
              </c:numCache>
            </c:numRef>
          </c:val>
          <c:smooth val="0"/>
          <c:extLst>
            <c:ext xmlns:c16="http://schemas.microsoft.com/office/drawing/2014/chart" uri="{C3380CC4-5D6E-409C-BE32-E72D297353CC}">
              <c16:uniqueId val="{00000000-C60A-4D8B-AC50-1A2F5C28407C}"/>
            </c:ext>
          </c:extLst>
        </c:ser>
        <c:dLbls>
          <c:showLegendKey val="0"/>
          <c:showVal val="0"/>
          <c:showCatName val="0"/>
          <c:showSerName val="0"/>
          <c:showPercent val="0"/>
          <c:showBubbleSize val="0"/>
        </c:dLbls>
        <c:smooth val="0"/>
        <c:axId val="718660376"/>
        <c:axId val="718663656"/>
      </c:lineChart>
      <c:catAx>
        <c:axId val="718660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663656"/>
        <c:crosses val="autoZero"/>
        <c:auto val="1"/>
        <c:lblAlgn val="ctr"/>
        <c:lblOffset val="100"/>
        <c:noMultiLvlLbl val="0"/>
      </c:catAx>
      <c:valAx>
        <c:axId val="718663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660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'Denmark EV uptake'!$B$12</c:f>
              <c:strCache>
                <c:ptCount val="1"/>
              </c:strCache>
            </c:strRef>
          </c:tx>
          <c:spPr>
            <a:ln w="28575" cap="rnd">
              <a:solidFill>
                <a:schemeClr val="accent1"/>
              </a:solidFill>
              <a:round/>
            </a:ln>
            <a:effectLst/>
          </c:spPr>
          <c:marker>
            <c:symbol val="none"/>
          </c:marker>
          <c:cat>
            <c:numRef>
              <c:f>'Denmark EV uptake'!$A$13:$A$21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'Denmark EV uptake'!$B$13:$B$21</c:f>
              <c:numCache>
                <c:formatCode>0.00</c:formatCode>
                <c:ptCount val="9"/>
                <c:pt idx="0">
                  <c:v>0</c:v>
                </c:pt>
                <c:pt idx="1">
                  <c:v>0</c:v>
                </c:pt>
                <c:pt idx="2">
                  <c:v>0.24410615971013125</c:v>
                </c:pt>
                <c:pt idx="3">
                  <c:v>0.29511134012167489</c:v>
                </c:pt>
                <c:pt idx="4">
                  <c:v>0.28024493848954596</c:v>
                </c:pt>
                <c:pt idx="5">
                  <c:v>0.86371041106903335</c:v>
                </c:pt>
                <c:pt idx="6">
                  <c:v>2.3954983147611491</c:v>
                </c:pt>
                <c:pt idx="7">
                  <c:v>0.84430541986716978</c:v>
                </c:pt>
                <c:pt idx="8">
                  <c:v>0.5914758946523726</c:v>
                </c:pt>
              </c:numCache>
            </c:numRef>
          </c:val>
          <c:smooth val="0"/>
          <c:extLst>
            <c:ext xmlns:c16="http://schemas.microsoft.com/office/drawing/2014/chart" uri="{C3380CC4-5D6E-409C-BE32-E72D297353CC}">
              <c16:uniqueId val="{00000000-ACCF-4112-A655-7582D595E9F6}"/>
            </c:ext>
          </c:extLst>
        </c:ser>
        <c:ser>
          <c:idx val="1"/>
          <c:order val="1"/>
          <c:tx>
            <c:strRef>
              <c:f>'Denmark EV uptake'!$C$12</c:f>
              <c:strCache>
                <c:ptCount val="1"/>
              </c:strCache>
            </c:strRef>
          </c:tx>
          <c:spPr>
            <a:ln w="28575" cap="rnd">
              <a:solidFill>
                <a:schemeClr val="accent2"/>
              </a:solidFill>
              <a:round/>
            </a:ln>
            <a:effectLst/>
          </c:spPr>
          <c:marker>
            <c:symbol val="none"/>
          </c:marker>
          <c:cat>
            <c:numRef>
              <c:f>'Denmark EV uptake'!$A$13:$A$21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'Denmark EV uptake'!$C$13:$C$21</c:f>
              <c:numCache>
                <c:formatCode>0.00</c:formatCode>
                <c:ptCount val="9"/>
                <c:pt idx="0">
                  <c:v>0</c:v>
                </c:pt>
                <c:pt idx="1">
                  <c:v>0</c:v>
                </c:pt>
                <c:pt idx="2">
                  <c:v>0.24410615971013125</c:v>
                </c:pt>
                <c:pt idx="3">
                  <c:v>0.29511134012167489</c:v>
                </c:pt>
                <c:pt idx="4">
                  <c:v>0.28024493848954596</c:v>
                </c:pt>
                <c:pt idx="5">
                  <c:v>0.86371041106903335</c:v>
                </c:pt>
                <c:pt idx="6">
                  <c:v>1.528528514048479</c:v>
                </c:pt>
                <c:pt idx="7">
                  <c:v>0.98591928009966745</c:v>
                </c:pt>
                <c:pt idx="8">
                  <c:v>0.63114805831808063</c:v>
                </c:pt>
              </c:numCache>
            </c:numRef>
          </c:val>
          <c:smooth val="0"/>
          <c:extLst>
            <c:ext xmlns:c16="http://schemas.microsoft.com/office/drawing/2014/chart" uri="{C3380CC4-5D6E-409C-BE32-E72D297353CC}">
              <c16:uniqueId val="{00000001-ACCF-4112-A655-7582D595E9F6}"/>
            </c:ext>
          </c:extLst>
        </c:ser>
        <c:ser>
          <c:idx val="2"/>
          <c:order val="2"/>
          <c:tx>
            <c:strRef>
              <c:f>'Denmark EV uptake'!$F$12</c:f>
              <c:strCache>
                <c:ptCount val="1"/>
              </c:strCache>
            </c:strRef>
          </c:tx>
          <c:spPr>
            <a:ln w="28575" cap="rnd">
              <a:solidFill>
                <a:schemeClr val="accent3"/>
              </a:solidFill>
              <a:round/>
            </a:ln>
            <a:effectLst/>
          </c:spPr>
          <c:marker>
            <c:symbol val="none"/>
          </c:marker>
          <c:cat>
            <c:numRef>
              <c:f>'Denmark EV uptake'!$A$13:$A$21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'Denmark EV uptake'!$F$13:$F$21</c:f>
              <c:numCache>
                <c:formatCode>0.00</c:formatCode>
                <c:ptCount val="9"/>
                <c:pt idx="1">
                  <c:v>0</c:v>
                </c:pt>
                <c:pt idx="2">
                  <c:v>0.2445466806557601</c:v>
                </c:pt>
                <c:pt idx="3">
                  <c:v>0.28414031280549218</c:v>
                </c:pt>
                <c:pt idx="4">
                  <c:v>0.28452453918310588</c:v>
                </c:pt>
                <c:pt idx="5">
                  <c:v>0.93137474819959321</c:v>
                </c:pt>
                <c:pt idx="6">
                  <c:v>1.4479052196409519</c:v>
                </c:pt>
                <c:pt idx="7">
                  <c:v>2.2408785959824278</c:v>
                </c:pt>
                <c:pt idx="8">
                  <c:v>3.4446003282819651</c:v>
                </c:pt>
              </c:numCache>
            </c:numRef>
          </c:val>
          <c:smooth val="0"/>
          <c:extLst>
            <c:ext xmlns:c16="http://schemas.microsoft.com/office/drawing/2014/chart" uri="{C3380CC4-5D6E-409C-BE32-E72D297353CC}">
              <c16:uniqueId val="{00000002-ACCF-4112-A655-7582D595E9F6}"/>
            </c:ext>
          </c:extLst>
        </c:ser>
        <c:dLbls>
          <c:showLegendKey val="0"/>
          <c:showVal val="0"/>
          <c:showCatName val="0"/>
          <c:showSerName val="0"/>
          <c:showPercent val="0"/>
          <c:showBubbleSize val="0"/>
        </c:dLbls>
        <c:smooth val="0"/>
        <c:axId val="745430944"/>
        <c:axId val="745431600"/>
      </c:lineChart>
      <c:catAx>
        <c:axId val="74543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431600"/>
        <c:crosses val="autoZero"/>
        <c:auto val="1"/>
        <c:lblAlgn val="ctr"/>
        <c:lblOffset val="100"/>
        <c:noMultiLvlLbl val="0"/>
      </c:catAx>
      <c:valAx>
        <c:axId val="74543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43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uptake'!$AP$3</c:f>
              <c:strCache>
                <c:ptCount val="1"/>
                <c:pt idx="0">
                  <c:v> Linearized Logistic EV% sales (no peaks)</c:v>
                </c:pt>
              </c:strCache>
            </c:strRef>
          </c:tx>
          <c:spPr>
            <a:ln w="44450" cap="rnd">
              <a:solidFill>
                <a:schemeClr val="tx1"/>
              </a:solidFill>
              <a:round/>
            </a:ln>
            <a:effectLst/>
          </c:spPr>
          <c:marker>
            <c:symbol val="none"/>
          </c:marker>
          <c:cat>
            <c:numRef>
              <c:f>'Denmark EV uptake'!$A$15:$A$19</c:f>
              <c:numCache>
                <c:formatCode>General</c:formatCode>
                <c:ptCount val="5"/>
                <c:pt idx="0">
                  <c:v>2011</c:v>
                </c:pt>
                <c:pt idx="1">
                  <c:v>2012</c:v>
                </c:pt>
                <c:pt idx="2">
                  <c:v>2013</c:v>
                </c:pt>
                <c:pt idx="3">
                  <c:v>2014</c:v>
                </c:pt>
                <c:pt idx="4">
                  <c:v>2015</c:v>
                </c:pt>
              </c:numCache>
            </c:numRef>
          </c:cat>
          <c:val>
            <c:numRef>
              <c:f>'Denmark EV uptake'!$AP$15:$AP$19</c:f>
              <c:numCache>
                <c:formatCode>General</c:formatCode>
                <c:ptCount val="5"/>
                <c:pt idx="0">
                  <c:v>-5.5807767885275315</c:v>
                </c:pt>
                <c:pt idx="1">
                  <c:v>-5.3902393272453386</c:v>
                </c:pt>
                <c:pt idx="2">
                  <c:v>-5.442157766046174</c:v>
                </c:pt>
                <c:pt idx="3">
                  <c:v>-4.3075280826973348</c:v>
                </c:pt>
                <c:pt idx="4">
                  <c:v>-3.7262850199129143</c:v>
                </c:pt>
              </c:numCache>
            </c:numRef>
          </c:val>
          <c:smooth val="0"/>
          <c:extLst>
            <c:ext xmlns:c16="http://schemas.microsoft.com/office/drawing/2014/chart" uri="{C3380CC4-5D6E-409C-BE32-E72D297353CC}">
              <c16:uniqueId val="{00000000-5D47-44E2-8CCB-2128969C6ED8}"/>
            </c:ext>
          </c:extLst>
        </c:ser>
        <c:ser>
          <c:idx val="1"/>
          <c:order val="1"/>
          <c:tx>
            <c:strRef>
              <c:f>'Denmark EV uptake'!$AQ$3</c:f>
              <c:strCache>
                <c:ptCount val="1"/>
                <c:pt idx="0">
                  <c:v> predicted</c:v>
                </c:pt>
              </c:strCache>
            </c:strRef>
          </c:tx>
          <c:spPr>
            <a:ln w="28575" cap="rnd">
              <a:solidFill>
                <a:schemeClr val="accent2"/>
              </a:solidFill>
              <a:round/>
            </a:ln>
            <a:effectLst/>
          </c:spPr>
          <c:marker>
            <c:symbol val="none"/>
          </c:marker>
          <c:cat>
            <c:numRef>
              <c:f>'Denmark EV uptake'!$A$15:$A$19</c:f>
              <c:numCache>
                <c:formatCode>General</c:formatCode>
                <c:ptCount val="5"/>
                <c:pt idx="0">
                  <c:v>2011</c:v>
                </c:pt>
                <c:pt idx="1">
                  <c:v>2012</c:v>
                </c:pt>
                <c:pt idx="2">
                  <c:v>2013</c:v>
                </c:pt>
                <c:pt idx="3">
                  <c:v>2014</c:v>
                </c:pt>
                <c:pt idx="4">
                  <c:v>2015</c:v>
                </c:pt>
              </c:numCache>
            </c:numRef>
          </c:cat>
          <c:val>
            <c:numRef>
              <c:f>'Denmark EV uptake'!$AQ$15:$AQ$19</c:f>
              <c:numCache>
                <c:formatCode>General</c:formatCode>
                <c:ptCount val="5"/>
                <c:pt idx="0">
                  <c:v>-5.5789669835446478</c:v>
                </c:pt>
                <c:pt idx="1">
                  <c:v>-5.428293401662839</c:v>
                </c:pt>
                <c:pt idx="2">
                  <c:v>-5.4269361362791733</c:v>
                </c:pt>
                <c:pt idx="3">
                  <c:v>-4.2310483389103624</c:v>
                </c:pt>
                <c:pt idx="4">
                  <c:v>-3.7817421240322675</c:v>
                </c:pt>
              </c:numCache>
            </c:numRef>
          </c:val>
          <c:smooth val="0"/>
          <c:extLst>
            <c:ext xmlns:c16="http://schemas.microsoft.com/office/drawing/2014/chart" uri="{C3380CC4-5D6E-409C-BE32-E72D297353CC}">
              <c16:uniqueId val="{00000001-5D47-44E2-8CCB-2128969C6ED8}"/>
            </c:ext>
          </c:extLst>
        </c:ser>
        <c:dLbls>
          <c:showLegendKey val="0"/>
          <c:showVal val="0"/>
          <c:showCatName val="0"/>
          <c:showSerName val="0"/>
          <c:showPercent val="0"/>
          <c:showBubbleSize val="0"/>
        </c:dLbls>
        <c:smooth val="0"/>
        <c:axId val="789878544"/>
        <c:axId val="789875264"/>
      </c:lineChart>
      <c:catAx>
        <c:axId val="789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875264"/>
        <c:crosses val="autoZero"/>
        <c:auto val="1"/>
        <c:lblAlgn val="ctr"/>
        <c:lblOffset val="100"/>
        <c:noMultiLvlLbl val="0"/>
      </c:catAx>
      <c:valAx>
        <c:axId val="789875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 (no peaks)</a:t>
                </a:r>
              </a:p>
            </c:rich>
          </c:tx>
          <c:layout>
            <c:manualLayout>
              <c:xMode val="edge"/>
              <c:yMode val="edge"/>
              <c:x val="1.9444444444444445E-2"/>
              <c:y val="0.164166302128900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87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uptake'!$N$3</c:f>
              <c:strCache>
                <c:ptCount val="1"/>
                <c:pt idx="0">
                  <c:v>pred subs</c:v>
                </c:pt>
              </c:strCache>
            </c:strRef>
          </c:tx>
          <c:spPr>
            <a:ln w="28575" cap="rnd">
              <a:solidFill>
                <a:schemeClr val="accent1"/>
              </a:solidFill>
              <a:round/>
            </a:ln>
            <a:effectLst/>
          </c:spPr>
          <c:marker>
            <c:symbol val="none"/>
          </c:marker>
          <c:cat>
            <c:numRef>
              <c:f>'Denmark EV uptake'!$A$4:$A$59</c:f>
              <c:numCache>
                <c:formatCode>General</c:formatCode>
                <c:ptCount val="5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numCache>
            </c:numRef>
          </c:cat>
          <c:val>
            <c:numRef>
              <c:f>'Denmark EV uptake'!$N$4:$N$59</c:f>
              <c:numCache>
                <c:formatCode>General</c:formatCode>
                <c:ptCount val="56"/>
                <c:pt idx="11" formatCode="0.00">
                  <c:v>0.2445466806557601</c:v>
                </c:pt>
                <c:pt idx="12" formatCode="0.00">
                  <c:v>0.28414031280549218</c:v>
                </c:pt>
                <c:pt idx="13" formatCode="0.00">
                  <c:v>0.28452453918310588</c:v>
                </c:pt>
                <c:pt idx="14" formatCode="0.00">
                  <c:v>0.93137474819959321</c:v>
                </c:pt>
                <c:pt idx="15" formatCode="0.00">
                  <c:v>1.4479052196409519</c:v>
                </c:pt>
                <c:pt idx="16" formatCode="0.00">
                  <c:v>2.2408785959824278</c:v>
                </c:pt>
                <c:pt idx="17" formatCode="0.00">
                  <c:v>3.4446003282819651</c:v>
                </c:pt>
                <c:pt idx="18" formatCode="0.00">
                  <c:v>5.2409229437896716</c:v>
                </c:pt>
                <c:pt idx="19" formatCode="0.00">
                  <c:v>7.8544776715370315</c:v>
                </c:pt>
                <c:pt idx="20" formatCode="0.00">
                  <c:v>11.520114188615567</c:v>
                </c:pt>
                <c:pt idx="21" formatCode="0.00">
                  <c:v>16.405363572657308</c:v>
                </c:pt>
                <c:pt idx="22" formatCode="0.00">
                  <c:v>22.491028963670956</c:v>
                </c:pt>
                <c:pt idx="23" formatCode="0.00">
                  <c:v>29.465364095738629</c:v>
                </c:pt>
                <c:pt idx="24" formatCode="0.00">
                  <c:v>36.733532308131018</c:v>
                </c:pt>
                <c:pt idx="25" formatCode="0.00">
                  <c:v>43.595030140274922</c:v>
                </c:pt>
                <c:pt idx="26" formatCode="0.00">
                  <c:v>49.494021669546953</c:v>
                </c:pt>
                <c:pt idx="27" formatCode="0.00">
                  <c:v>54.171130546633584</c:v>
                </c:pt>
                <c:pt idx="28" formatCode="0.00">
                  <c:v>57.647057747672527</c:v>
                </c:pt>
                <c:pt idx="29" formatCode="0.00">
                  <c:v>60.108014285855596</c:v>
                </c:pt>
                <c:pt idx="30" formatCode="0.00">
                  <c:v>61.791160878808874</c:v>
                </c:pt>
                <c:pt idx="31" formatCode="0.00">
                  <c:v>62.915285666542161</c:v>
                </c:pt>
                <c:pt idx="32" formatCode="0.00">
                  <c:v>63.654182671646552</c:v>
                </c:pt>
                <c:pt idx="33" formatCode="0.00">
                  <c:v>64.134789790351192</c:v>
                </c:pt>
                <c:pt idx="34" formatCode="0.00">
                  <c:v>64.445262218655003</c:v>
                </c:pt>
                <c:pt idx="35" formatCode="0.00">
                  <c:v>64.644941359252172</c:v>
                </c:pt>
                <c:pt idx="36" formatCode="0.00">
                  <c:v>64.772998705422452</c:v>
                </c:pt>
                <c:pt idx="37" formatCode="0.00">
                  <c:v>64.854973819569949</c:v>
                </c:pt>
                <c:pt idx="38" formatCode="0.00">
                  <c:v>64.907388259699118</c:v>
                </c:pt>
                <c:pt idx="39" formatCode="0.00">
                  <c:v>64.940876675254501</c:v>
                </c:pt>
                <c:pt idx="40" formatCode="0.00">
                  <c:v>64.962262716471727</c:v>
                </c:pt>
                <c:pt idx="41" formatCode="0.00">
                  <c:v>64.975915885047499</c:v>
                </c:pt>
                <c:pt idx="42" formatCode="0.00">
                  <c:v>64.984630571247081</c:v>
                </c:pt>
                <c:pt idx="43" formatCode="0.00">
                  <c:v>64.990192378784855</c:v>
                </c:pt>
                <c:pt idx="44" formatCode="0.00">
                  <c:v>64.993741702674939</c:v>
                </c:pt>
                <c:pt idx="45" formatCode="0.00">
                  <c:v>64.996006624799861</c:v>
                </c:pt>
                <c:pt idx="46" formatCode="0.00">
                  <c:v>64.997451887703392</c:v>
                </c:pt>
                <c:pt idx="47" formatCode="0.00">
                  <c:v>64.998374101180318</c:v>
                </c:pt>
                <c:pt idx="48" formatCode="0.00">
                  <c:v>64.998962552238936</c:v>
                </c:pt>
                <c:pt idx="49" formatCode="0.00">
                  <c:v>64.999338031175554</c:v>
                </c:pt>
                <c:pt idx="50" formatCode="0.00">
                  <c:v>64.999577615543814</c:v>
                </c:pt>
                <c:pt idx="51" formatCode="0.00">
                  <c:v>64.999730488228096</c:v>
                </c:pt>
                <c:pt idx="52" formatCode="0.00">
                  <c:v>64.99982803218181</c:v>
                </c:pt>
                <c:pt idx="53" formatCode="0.00">
                  <c:v>64.999890272271898</c:v>
                </c:pt>
                <c:pt idx="54" formatCode="0.00">
                  <c:v>64.99992998591091</c:v>
                </c:pt>
                <c:pt idx="55" formatCode="0.00">
                  <c:v>64.999955326045011</c:v>
                </c:pt>
              </c:numCache>
            </c:numRef>
          </c:val>
          <c:smooth val="0"/>
          <c:extLst>
            <c:ext xmlns:c16="http://schemas.microsoft.com/office/drawing/2014/chart" uri="{C3380CC4-5D6E-409C-BE32-E72D297353CC}">
              <c16:uniqueId val="{00000000-992C-499F-AEB3-900A6E32A171}"/>
            </c:ext>
          </c:extLst>
        </c:ser>
        <c:ser>
          <c:idx val="1"/>
          <c:order val="1"/>
          <c:tx>
            <c:strRef>
              <c:f>'Denmark EV uptake'!$O$3</c:f>
              <c:strCache>
                <c:ptCount val="1"/>
                <c:pt idx="0">
                  <c:v>Predicted Cost Lagged</c:v>
                </c:pt>
              </c:strCache>
            </c:strRef>
          </c:tx>
          <c:spPr>
            <a:ln w="28575" cap="rnd">
              <a:solidFill>
                <a:schemeClr val="accent2"/>
              </a:solidFill>
              <a:round/>
            </a:ln>
            <a:effectLst/>
          </c:spPr>
          <c:marker>
            <c:symbol val="none"/>
          </c:marker>
          <c:cat>
            <c:numRef>
              <c:f>'Denmark EV uptake'!$A$4:$A$59</c:f>
              <c:numCache>
                <c:formatCode>General</c:formatCode>
                <c:ptCount val="5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numCache>
            </c:numRef>
          </c:cat>
          <c:val>
            <c:numRef>
              <c:f>'Denmark EV uptake'!$O$4:$O$59</c:f>
              <c:numCache>
                <c:formatCode>General</c:formatCode>
                <c:ptCount val="56"/>
                <c:pt idx="12" formatCode="0.00">
                  <c:v>0.28414031280549218</c:v>
                </c:pt>
                <c:pt idx="13" formatCode="0.00">
                  <c:v>0.28452453918310588</c:v>
                </c:pt>
                <c:pt idx="14" formatCode="0.00">
                  <c:v>0.93137474819959321</c:v>
                </c:pt>
                <c:pt idx="15" formatCode="0.00">
                  <c:v>1.4479052196409519</c:v>
                </c:pt>
                <c:pt idx="16" formatCode="0.00">
                  <c:v>0.93137474819959321</c:v>
                </c:pt>
                <c:pt idx="17" formatCode="0.00">
                  <c:v>0.93137474819959321</c:v>
                </c:pt>
                <c:pt idx="18" formatCode="0.00">
                  <c:v>0.90531080068456726</c:v>
                </c:pt>
                <c:pt idx="19" formatCode="0.00">
                  <c:v>1.1672115702411339</c:v>
                </c:pt>
                <c:pt idx="20" formatCode="0.00">
                  <c:v>1.5146517368990953</c:v>
                </c:pt>
                <c:pt idx="21" formatCode="0.00">
                  <c:v>2.1844642818764251</c:v>
                </c:pt>
                <c:pt idx="22" formatCode="0.00">
                  <c:v>3.0030555808113628</c:v>
                </c:pt>
                <c:pt idx="23" formatCode="0.00">
                  <c:v>4.7578194610155951</c:v>
                </c:pt>
                <c:pt idx="24" formatCode="0.00">
                  <c:v>6.8943043346632562</c:v>
                </c:pt>
                <c:pt idx="25" formatCode="0.00">
                  <c:v>9.4585081823171482</c:v>
                </c:pt>
                <c:pt idx="26" formatCode="0.00">
                  <c:v>12.50206484745504</c:v>
                </c:pt>
                <c:pt idx="27" formatCode="0.00">
                  <c:v>16.107048765331417</c:v>
                </c:pt>
                <c:pt idx="28" formatCode="0.00">
                  <c:v>19.577898337638004</c:v>
                </c:pt>
                <c:pt idx="29" formatCode="0.00">
                  <c:v>23.391281091125158</c:v>
                </c:pt>
                <c:pt idx="30" formatCode="0.00">
                  <c:v>27.491239953220312</c:v>
                </c:pt>
                <c:pt idx="31" formatCode="0.00">
                  <c:v>31.780195571499071</c:v>
                </c:pt>
                <c:pt idx="32" formatCode="0.00">
                  <c:v>36.117949277945051</c:v>
                </c:pt>
                <c:pt idx="33" formatCode="0.00">
                  <c:v>40.341447778454459</c:v>
                </c:pt>
                <c:pt idx="34" formatCode="0.00">
                  <c:v>44.296915049808547</c:v>
                </c:pt>
                <c:pt idx="35" formatCode="0.00">
                  <c:v>47.868210470726417</c:v>
                </c:pt>
                <c:pt idx="36" formatCode="0.00">
                  <c:v>50.990301380283242</c:v>
                </c:pt>
                <c:pt idx="37" formatCode="0.00">
                  <c:v>53.647110975328651</c:v>
                </c:pt>
                <c:pt idx="38" formatCode="0.00">
                  <c:v>55.859777131668501</c:v>
                </c:pt>
                <c:pt idx="39" formatCode="0.00">
                  <c:v>57.672262939623479</c:v>
                </c:pt>
                <c:pt idx="40" formatCode="0.00">
                  <c:v>59.138859288545795</c:v>
                </c:pt>
                <c:pt idx="41" formatCode="0.00">
                  <c:v>60.337020754893324</c:v>
                </c:pt>
                <c:pt idx="42" formatCode="0.00">
                  <c:v>61.306250774179631</c:v>
                </c:pt>
                <c:pt idx="43" formatCode="0.00">
                  <c:v>62.084116607265173</c:v>
                </c:pt>
                <c:pt idx="44" formatCode="0.00">
                  <c:v>62.704488835640994</c:v>
                </c:pt>
                <c:pt idx="45" formatCode="0.00">
                  <c:v>63.196799325115968</c:v>
                </c:pt>
                <c:pt idx="46" formatCode="0.00">
                  <c:v>63.585953421132139</c:v>
                </c:pt>
                <c:pt idx="47" formatCode="0.00">
                  <c:v>63.892618134956123</c:v>
                </c:pt>
                <c:pt idx="48" formatCode="0.00">
                  <c:v>64.133694241287429</c:v>
                </c:pt>
                <c:pt idx="49" formatCode="0.00">
                  <c:v>64.297357626538286</c:v>
                </c:pt>
                <c:pt idx="50" formatCode="0.00">
                  <c:v>64.388604346444779</c:v>
                </c:pt>
                <c:pt idx="51" formatCode="0.00">
                  <c:v>64.407886853215103</c:v>
                </c:pt>
                <c:pt idx="52" formatCode="0.00">
                  <c:v>64.351048509091044</c:v>
                </c:pt>
                <c:pt idx="53" formatCode="0.00">
                  <c:v>64.209117071128745</c:v>
                </c:pt>
                <c:pt idx="54" formatCode="0.00">
                  <c:v>64.036608691539314</c:v>
                </c:pt>
                <c:pt idx="55" formatCode="0.00">
                  <c:v>63.827159873405549</c:v>
                </c:pt>
              </c:numCache>
            </c:numRef>
          </c:val>
          <c:smooth val="0"/>
          <c:extLst>
            <c:ext xmlns:c16="http://schemas.microsoft.com/office/drawing/2014/chart" uri="{C3380CC4-5D6E-409C-BE32-E72D297353CC}">
              <c16:uniqueId val="{00000001-992C-499F-AEB3-900A6E32A171}"/>
            </c:ext>
          </c:extLst>
        </c:ser>
        <c:dLbls>
          <c:showLegendKey val="0"/>
          <c:showVal val="0"/>
          <c:showCatName val="0"/>
          <c:showSerName val="0"/>
          <c:showPercent val="0"/>
          <c:showBubbleSize val="0"/>
        </c:dLbls>
        <c:smooth val="0"/>
        <c:axId val="757071488"/>
        <c:axId val="757072472"/>
      </c:lineChart>
      <c:catAx>
        <c:axId val="75707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072472"/>
        <c:crosses val="autoZero"/>
        <c:auto val="1"/>
        <c:lblAlgn val="ctr"/>
        <c:lblOffset val="100"/>
        <c:noMultiLvlLbl val="0"/>
      </c:catAx>
      <c:valAx>
        <c:axId val="757072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07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uptake'!$C$3</c:f>
              <c:strCache>
                <c:ptCount val="1"/>
                <c:pt idx="0">
                  <c:v>EV %sales (no peaks)</c:v>
                </c:pt>
              </c:strCache>
            </c:strRef>
          </c:tx>
          <c:spPr>
            <a:ln w="34925" cap="rnd">
              <a:solidFill>
                <a:schemeClr val="tx1"/>
              </a:solidFill>
              <a:round/>
            </a:ln>
            <a:effectLst/>
          </c:spPr>
          <c:marker>
            <c:symbol val="none"/>
          </c:marker>
          <c:cat>
            <c:numRef>
              <c:f>'Denmark EV uptake'!$A$15:$A$22</c:f>
              <c:numCache>
                <c:formatCode>General</c:formatCode>
                <c:ptCount val="8"/>
                <c:pt idx="0">
                  <c:v>2011</c:v>
                </c:pt>
                <c:pt idx="1">
                  <c:v>2012</c:v>
                </c:pt>
                <c:pt idx="2">
                  <c:v>2013</c:v>
                </c:pt>
                <c:pt idx="3">
                  <c:v>2014</c:v>
                </c:pt>
                <c:pt idx="4">
                  <c:v>2015</c:v>
                </c:pt>
                <c:pt idx="5">
                  <c:v>2016</c:v>
                </c:pt>
                <c:pt idx="6">
                  <c:v>2017</c:v>
                </c:pt>
                <c:pt idx="7">
                  <c:v>2018</c:v>
                </c:pt>
              </c:numCache>
            </c:numRef>
          </c:cat>
          <c:val>
            <c:numRef>
              <c:f>'Denmark EV uptake'!$C$15:$C$22</c:f>
              <c:numCache>
                <c:formatCode>0.00</c:formatCode>
                <c:ptCount val="8"/>
                <c:pt idx="0">
                  <c:v>0.24410615971013125</c:v>
                </c:pt>
                <c:pt idx="1">
                  <c:v>0.29511134012167489</c:v>
                </c:pt>
                <c:pt idx="2">
                  <c:v>0.28024493848954596</c:v>
                </c:pt>
                <c:pt idx="3">
                  <c:v>0.86371041106903335</c:v>
                </c:pt>
                <c:pt idx="4">
                  <c:v>1.528528514048479</c:v>
                </c:pt>
                <c:pt idx="5">
                  <c:v>0.98591928009966745</c:v>
                </c:pt>
                <c:pt idx="6">
                  <c:v>0.63114805831808063</c:v>
                </c:pt>
                <c:pt idx="7">
                  <c:v>1.0260720272900103</c:v>
                </c:pt>
              </c:numCache>
            </c:numRef>
          </c:val>
          <c:smooth val="0"/>
          <c:extLst>
            <c:ext xmlns:c16="http://schemas.microsoft.com/office/drawing/2014/chart" uri="{C3380CC4-5D6E-409C-BE32-E72D297353CC}">
              <c16:uniqueId val="{00000000-36A0-4564-A403-AEB162E0701C}"/>
            </c:ext>
          </c:extLst>
        </c:ser>
        <c:ser>
          <c:idx val="1"/>
          <c:order val="1"/>
          <c:tx>
            <c:strRef>
              <c:f>'Denmark EV uptake'!$E$3</c:f>
              <c:strCache>
                <c:ptCount val="1"/>
                <c:pt idx="0">
                  <c:v>predicted cost</c:v>
                </c:pt>
              </c:strCache>
            </c:strRef>
          </c:tx>
          <c:spPr>
            <a:ln w="28575" cap="rnd">
              <a:solidFill>
                <a:schemeClr val="accent2"/>
              </a:solidFill>
              <a:round/>
            </a:ln>
            <a:effectLst/>
          </c:spPr>
          <c:marker>
            <c:symbol val="none"/>
          </c:marker>
          <c:cat>
            <c:numRef>
              <c:f>'Denmark EV uptake'!$A$15:$A$22</c:f>
              <c:numCache>
                <c:formatCode>General</c:formatCode>
                <c:ptCount val="8"/>
                <c:pt idx="0">
                  <c:v>2011</c:v>
                </c:pt>
                <c:pt idx="1">
                  <c:v>2012</c:v>
                </c:pt>
                <c:pt idx="2">
                  <c:v>2013</c:v>
                </c:pt>
                <c:pt idx="3">
                  <c:v>2014</c:v>
                </c:pt>
                <c:pt idx="4">
                  <c:v>2015</c:v>
                </c:pt>
                <c:pt idx="5">
                  <c:v>2016</c:v>
                </c:pt>
                <c:pt idx="6">
                  <c:v>2017</c:v>
                </c:pt>
                <c:pt idx="7">
                  <c:v>2018</c:v>
                </c:pt>
              </c:numCache>
            </c:numRef>
          </c:cat>
          <c:val>
            <c:numRef>
              <c:f>'Denmark EV uptake'!$E$15:$E$22</c:f>
              <c:numCache>
                <c:formatCode>0.00</c:formatCode>
                <c:ptCount val="8"/>
                <c:pt idx="0">
                  <c:v>0.2445466806557601</c:v>
                </c:pt>
                <c:pt idx="1">
                  <c:v>0.28414031280549218</c:v>
                </c:pt>
                <c:pt idx="2">
                  <c:v>0.28452453918310588</c:v>
                </c:pt>
                <c:pt idx="3">
                  <c:v>0.93137474819959321</c:v>
                </c:pt>
                <c:pt idx="4">
                  <c:v>1.4479052196409519</c:v>
                </c:pt>
                <c:pt idx="5">
                  <c:v>0.93137474819959321</c:v>
                </c:pt>
                <c:pt idx="6">
                  <c:v>0.93137474819959321</c:v>
                </c:pt>
                <c:pt idx="7">
                  <c:v>0.90531080068456737</c:v>
                </c:pt>
              </c:numCache>
            </c:numRef>
          </c:val>
          <c:smooth val="0"/>
          <c:extLst>
            <c:ext xmlns:c16="http://schemas.microsoft.com/office/drawing/2014/chart" uri="{C3380CC4-5D6E-409C-BE32-E72D297353CC}">
              <c16:uniqueId val="{00000001-36A0-4564-A403-AEB162E0701C}"/>
            </c:ext>
          </c:extLst>
        </c:ser>
        <c:dLbls>
          <c:showLegendKey val="0"/>
          <c:showVal val="0"/>
          <c:showCatName val="0"/>
          <c:showSerName val="0"/>
          <c:showPercent val="0"/>
          <c:showBubbleSize val="0"/>
        </c:dLbls>
        <c:smooth val="0"/>
        <c:axId val="837676952"/>
        <c:axId val="837684168"/>
      </c:lineChart>
      <c:catAx>
        <c:axId val="837676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84168"/>
        <c:crosses val="autoZero"/>
        <c:auto val="1"/>
        <c:lblAlgn val="ctr"/>
        <c:lblOffset val="100"/>
        <c:noMultiLvlLbl val="0"/>
      </c:catAx>
      <c:valAx>
        <c:axId val="837684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76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1426071741032"/>
          <c:y val="5.0925925925925923E-2"/>
          <c:w val="0.83341907261592296"/>
          <c:h val="0.66828518159664108"/>
        </c:manualLayout>
      </c:layout>
      <c:lineChart>
        <c:grouping val="standard"/>
        <c:varyColors val="0"/>
        <c:ser>
          <c:idx val="0"/>
          <c:order val="0"/>
          <c:tx>
            <c:strRef>
              <c:f>'Denmark EV uptake'!$C$3</c:f>
              <c:strCache>
                <c:ptCount val="1"/>
                <c:pt idx="0">
                  <c:v>EV %sales (no peaks)</c:v>
                </c:pt>
              </c:strCache>
            </c:strRef>
          </c:tx>
          <c:spPr>
            <a:ln w="41275" cap="rnd">
              <a:solidFill>
                <a:schemeClr val="tx1"/>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uptake'!$C$4:$C$44</c:f>
              <c:numCache>
                <c:formatCode>General</c:formatCode>
                <c:ptCount val="41"/>
                <c:pt idx="9" formatCode="0.00">
                  <c:v>0</c:v>
                </c:pt>
                <c:pt idx="10" formatCode="0.00">
                  <c:v>0</c:v>
                </c:pt>
                <c:pt idx="11" formatCode="0.00">
                  <c:v>0.24410615971013125</c:v>
                </c:pt>
                <c:pt idx="12" formatCode="0.00">
                  <c:v>0.29511134012167489</c:v>
                </c:pt>
                <c:pt idx="13" formatCode="0.00">
                  <c:v>0.28024493848954596</c:v>
                </c:pt>
                <c:pt idx="14" formatCode="0.00">
                  <c:v>0.86371041106903335</c:v>
                </c:pt>
                <c:pt idx="15" formatCode="0.00">
                  <c:v>1.528528514048479</c:v>
                </c:pt>
                <c:pt idx="16" formatCode="0.00">
                  <c:v>0.98591928009966745</c:v>
                </c:pt>
                <c:pt idx="17" formatCode="0.00">
                  <c:v>0.63114805831808063</c:v>
                </c:pt>
                <c:pt idx="18" formatCode="0.00">
                  <c:v>1.0260720272900103</c:v>
                </c:pt>
                <c:pt idx="20" formatCode="0.00">
                  <c:v>0</c:v>
                </c:pt>
              </c:numCache>
            </c:numRef>
          </c:val>
          <c:smooth val="0"/>
          <c:extLst>
            <c:ext xmlns:c16="http://schemas.microsoft.com/office/drawing/2014/chart" uri="{C3380CC4-5D6E-409C-BE32-E72D297353CC}">
              <c16:uniqueId val="{00000000-4088-4457-9C97-2D3D8D2C9510}"/>
            </c:ext>
          </c:extLst>
        </c:ser>
        <c:ser>
          <c:idx val="1"/>
          <c:order val="1"/>
          <c:tx>
            <c:strRef>
              <c:f>'Denmark EV uptake'!$E$3</c:f>
              <c:strCache>
                <c:ptCount val="1"/>
                <c:pt idx="0">
                  <c:v>predicted cost</c:v>
                </c:pt>
              </c:strCache>
            </c:strRef>
          </c:tx>
          <c:spPr>
            <a:ln w="28575" cap="rnd">
              <a:solidFill>
                <a:schemeClr val="accent2"/>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uptake'!$E$4:$E$54</c:f>
              <c:numCache>
                <c:formatCode>General</c:formatCode>
                <c:ptCount val="51"/>
                <c:pt idx="11" formatCode="0.00">
                  <c:v>0.2445466806557601</c:v>
                </c:pt>
                <c:pt idx="12" formatCode="0.00">
                  <c:v>0.28414031280549218</c:v>
                </c:pt>
                <c:pt idx="13" formatCode="0.00">
                  <c:v>0.28452453918310588</c:v>
                </c:pt>
                <c:pt idx="14" formatCode="0.00">
                  <c:v>0.93137474819959321</c:v>
                </c:pt>
                <c:pt idx="15" formatCode="0.00">
                  <c:v>1.4479052196409519</c:v>
                </c:pt>
                <c:pt idx="16" formatCode="0.00">
                  <c:v>0.93137474819959321</c:v>
                </c:pt>
                <c:pt idx="17" formatCode="0.00">
                  <c:v>0.93137474819959321</c:v>
                </c:pt>
                <c:pt idx="18" formatCode="0.00">
                  <c:v>0.90531080068456737</c:v>
                </c:pt>
                <c:pt idx="19" formatCode="0.00">
                  <c:v>1.1672115702411343</c:v>
                </c:pt>
                <c:pt idx="20" formatCode="0.00">
                  <c:v>1.6698566862576087</c:v>
                </c:pt>
                <c:pt idx="21" formatCode="0.00">
                  <c:v>2.6611363671789219</c:v>
                </c:pt>
                <c:pt idx="22" formatCode="0.00">
                  <c:v>4.0457569518464096</c:v>
                </c:pt>
                <c:pt idx="23" formatCode="0.00">
                  <c:v>7.0372486224496811</c:v>
                </c:pt>
                <c:pt idx="24" formatCode="0.00">
                  <c:v>11.087278695987386</c:v>
                </c:pt>
                <c:pt idx="25" formatCode="0.00">
                  <c:v>16.291431449478718</c:v>
                </c:pt>
                <c:pt idx="26" formatCode="0.00">
                  <c:v>22.589953322346989</c:v>
                </c:pt>
                <c:pt idx="27" formatCode="0.00">
                  <c:v>29.738063816094563</c:v>
                </c:pt>
                <c:pt idx="28" formatCode="0.00">
                  <c:v>36.355795435472501</c:v>
                </c:pt>
                <c:pt idx="29" formatCode="0.00">
                  <c:v>42.691815752065018</c:v>
                </c:pt>
                <c:pt idx="30" formatCode="0.00">
                  <c:v>48.328154482451801</c:v>
                </c:pt>
                <c:pt idx="31" formatCode="0.00">
                  <c:v>53.003050877996714</c:v>
                </c:pt>
                <c:pt idx="32" formatCode="0.00">
                  <c:v>56.642277025703507</c:v>
                </c:pt>
                <c:pt idx="33" formatCode="0.00">
                  <c:v>59.326529825102554</c:v>
                </c:pt>
                <c:pt idx="34" formatCode="0.00">
                  <c:v>61.223140250105146</c:v>
                </c:pt>
                <c:pt idx="35" formatCode="0.00">
                  <c:v>62.520686658640876</c:v>
                </c:pt>
                <c:pt idx="36" formatCode="0.00">
                  <c:v>63.388136245200755</c:v>
                </c:pt>
                <c:pt idx="37" formatCode="0.00">
                  <c:v>63.958892341289413</c:v>
                </c:pt>
                <c:pt idx="38" formatCode="0.00">
                  <c:v>64.330434949065463</c:v>
                </c:pt>
                <c:pt idx="39" formatCode="0.00">
                  <c:v>64.570593178650171</c:v>
                </c:pt>
                <c:pt idx="40" formatCode="0.00">
                  <c:v>64.725112872519745</c:v>
                </c:pt>
                <c:pt idx="41" formatCode="0.00">
                  <c:v>64.824235763839638</c:v>
                </c:pt>
                <c:pt idx="42" formatCode="0.00">
                  <c:v>64.887700035283558</c:v>
                </c:pt>
                <c:pt idx="43" formatCode="0.00">
                  <c:v>64.928283471208559</c:v>
                </c:pt>
                <c:pt idx="44" formatCode="0.00">
                  <c:v>64.954214821543971</c:v>
                </c:pt>
                <c:pt idx="45" formatCode="0.00">
                  <c:v>64.97077564536113</c:v>
                </c:pt>
                <c:pt idx="46" formatCode="0.00">
                  <c:v>64.981348650845206</c:v>
                </c:pt>
                <c:pt idx="47" formatCode="0.00">
                  <c:v>64.988097432510841</c:v>
                </c:pt>
                <c:pt idx="48" formatCode="0.00">
                  <c:v>64.992404633042014</c:v>
                </c:pt>
                <c:pt idx="49" formatCode="0.00">
                  <c:v>64.99496889633329</c:v>
                </c:pt>
                <c:pt idx="50" formatCode="0.00">
                  <c:v>64.996420798116986</c:v>
                </c:pt>
              </c:numCache>
            </c:numRef>
          </c:val>
          <c:smooth val="0"/>
          <c:extLst>
            <c:ext xmlns:c16="http://schemas.microsoft.com/office/drawing/2014/chart" uri="{C3380CC4-5D6E-409C-BE32-E72D297353CC}">
              <c16:uniqueId val="{00000001-4088-4457-9C97-2D3D8D2C9510}"/>
            </c:ext>
          </c:extLst>
        </c:ser>
        <c:ser>
          <c:idx val="2"/>
          <c:order val="2"/>
          <c:tx>
            <c:strRef>
              <c:f>'Denmark EV uptake'!$O$3</c:f>
              <c:strCache>
                <c:ptCount val="1"/>
                <c:pt idx="0">
                  <c:v>Predicted Cost Lagged</c:v>
                </c:pt>
              </c:strCache>
            </c:strRef>
          </c:tx>
          <c:spPr>
            <a:ln w="28575" cap="rnd">
              <a:solidFill>
                <a:schemeClr val="accent3"/>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uptake'!$O$4:$O$54</c:f>
              <c:numCache>
                <c:formatCode>General</c:formatCode>
                <c:ptCount val="51"/>
                <c:pt idx="12" formatCode="0.00">
                  <c:v>0.28414031280549218</c:v>
                </c:pt>
                <c:pt idx="13" formatCode="0.00">
                  <c:v>0.28452453918310588</c:v>
                </c:pt>
                <c:pt idx="14" formatCode="0.00">
                  <c:v>0.93137474819959321</c:v>
                </c:pt>
                <c:pt idx="15" formatCode="0.00">
                  <c:v>1.4479052196409519</c:v>
                </c:pt>
                <c:pt idx="16" formatCode="0.00">
                  <c:v>0.93137474819959321</c:v>
                </c:pt>
                <c:pt idx="17" formatCode="0.00">
                  <c:v>0.93137474819959321</c:v>
                </c:pt>
                <c:pt idx="18" formatCode="0.00">
                  <c:v>0.90531080068456726</c:v>
                </c:pt>
                <c:pt idx="19" formatCode="0.00">
                  <c:v>1.1672115702411339</c:v>
                </c:pt>
                <c:pt idx="20" formatCode="0.00">
                  <c:v>1.5146517368990953</c:v>
                </c:pt>
                <c:pt idx="21" formatCode="0.00">
                  <c:v>2.1844642818764251</c:v>
                </c:pt>
                <c:pt idx="22" formatCode="0.00">
                  <c:v>3.0030555808113628</c:v>
                </c:pt>
                <c:pt idx="23" formatCode="0.00">
                  <c:v>4.7578194610155951</c:v>
                </c:pt>
                <c:pt idx="24" formatCode="0.00">
                  <c:v>6.8943043346632562</c:v>
                </c:pt>
                <c:pt idx="25" formatCode="0.00">
                  <c:v>9.4585081823171482</c:v>
                </c:pt>
                <c:pt idx="26" formatCode="0.00">
                  <c:v>12.50206484745504</c:v>
                </c:pt>
                <c:pt idx="27" formatCode="0.00">
                  <c:v>16.107048765331417</c:v>
                </c:pt>
                <c:pt idx="28" formatCode="0.00">
                  <c:v>19.577898337638004</c:v>
                </c:pt>
                <c:pt idx="29" formatCode="0.00">
                  <c:v>23.391281091125158</c:v>
                </c:pt>
                <c:pt idx="30" formatCode="0.00">
                  <c:v>27.491239953220312</c:v>
                </c:pt>
                <c:pt idx="31" formatCode="0.00">
                  <c:v>31.780195571499071</c:v>
                </c:pt>
                <c:pt idx="32" formatCode="0.00">
                  <c:v>36.117949277945051</c:v>
                </c:pt>
                <c:pt idx="33" formatCode="0.00">
                  <c:v>40.341447778454459</c:v>
                </c:pt>
                <c:pt idx="34" formatCode="0.00">
                  <c:v>44.296915049808547</c:v>
                </c:pt>
                <c:pt idx="35" formatCode="0.00">
                  <c:v>47.868210470726417</c:v>
                </c:pt>
                <c:pt idx="36" formatCode="0.00">
                  <c:v>50.990301380283242</c:v>
                </c:pt>
                <c:pt idx="37" formatCode="0.00">
                  <c:v>53.647110975328651</c:v>
                </c:pt>
                <c:pt idx="38" formatCode="0.00">
                  <c:v>55.859777131668501</c:v>
                </c:pt>
                <c:pt idx="39" formatCode="0.00">
                  <c:v>57.672262939623479</c:v>
                </c:pt>
                <c:pt idx="40" formatCode="0.00">
                  <c:v>59.138859288545795</c:v>
                </c:pt>
                <c:pt idx="41" formatCode="0.00">
                  <c:v>60.337020754893324</c:v>
                </c:pt>
                <c:pt idx="42" formatCode="0.00">
                  <c:v>61.306250774179631</c:v>
                </c:pt>
                <c:pt idx="43" formatCode="0.00">
                  <c:v>62.084116607265173</c:v>
                </c:pt>
                <c:pt idx="44" formatCode="0.00">
                  <c:v>62.704488835640994</c:v>
                </c:pt>
                <c:pt idx="45" formatCode="0.00">
                  <c:v>63.196799325115968</c:v>
                </c:pt>
                <c:pt idx="46" formatCode="0.00">
                  <c:v>63.585953421132139</c:v>
                </c:pt>
                <c:pt idx="47" formatCode="0.00">
                  <c:v>63.892618134956123</c:v>
                </c:pt>
                <c:pt idx="48" formatCode="0.00">
                  <c:v>64.133694241287429</c:v>
                </c:pt>
                <c:pt idx="49" formatCode="0.00">
                  <c:v>64.297357626538286</c:v>
                </c:pt>
                <c:pt idx="50" formatCode="0.00">
                  <c:v>64.388604346444779</c:v>
                </c:pt>
              </c:numCache>
            </c:numRef>
          </c:val>
          <c:smooth val="0"/>
          <c:extLst>
            <c:ext xmlns:c16="http://schemas.microsoft.com/office/drawing/2014/chart" uri="{C3380CC4-5D6E-409C-BE32-E72D297353CC}">
              <c16:uniqueId val="{00000002-4088-4457-9C97-2D3D8D2C9510}"/>
            </c:ext>
          </c:extLst>
        </c:ser>
        <c:ser>
          <c:idx val="3"/>
          <c:order val="3"/>
          <c:tx>
            <c:strRef>
              <c:f>'Denmark EV uptake'!$AN$3</c:f>
              <c:strCache>
                <c:ptCount val="1"/>
                <c:pt idx="0">
                  <c:v>raw predicted</c:v>
                </c:pt>
              </c:strCache>
            </c:strRef>
          </c:tx>
          <c:spPr>
            <a:ln w="28575" cap="rnd">
              <a:solidFill>
                <a:schemeClr val="accent4"/>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uptake'!$AN$4:$AN$54</c:f>
              <c:numCache>
                <c:formatCode>0.00</c:formatCode>
                <c:ptCount val="51"/>
                <c:pt idx="11">
                  <c:v>0.2445466806557601</c:v>
                </c:pt>
                <c:pt idx="12">
                  <c:v>0.28414031280549218</c:v>
                </c:pt>
                <c:pt idx="13">
                  <c:v>0.28452453918310588</c:v>
                </c:pt>
                <c:pt idx="14">
                  <c:v>0.93137474819959321</c:v>
                </c:pt>
                <c:pt idx="15">
                  <c:v>1.4479052196409519</c:v>
                </c:pt>
                <c:pt idx="16">
                  <c:v>2.2408785959824278</c:v>
                </c:pt>
                <c:pt idx="17">
                  <c:v>3.4446003282819651</c:v>
                </c:pt>
                <c:pt idx="18">
                  <c:v>5.2409229437896716</c:v>
                </c:pt>
                <c:pt idx="19">
                  <c:v>7.8544776715370315</c:v>
                </c:pt>
                <c:pt idx="20">
                  <c:v>11.520114188615567</c:v>
                </c:pt>
                <c:pt idx="21">
                  <c:v>16.405363572657308</c:v>
                </c:pt>
                <c:pt idx="22">
                  <c:v>22.491028963670956</c:v>
                </c:pt>
                <c:pt idx="23">
                  <c:v>29.465364095738629</c:v>
                </c:pt>
                <c:pt idx="24">
                  <c:v>36.733532308131018</c:v>
                </c:pt>
                <c:pt idx="25">
                  <c:v>43.595030140274922</c:v>
                </c:pt>
                <c:pt idx="26">
                  <c:v>49.494021669546953</c:v>
                </c:pt>
                <c:pt idx="27">
                  <c:v>54.171130546633584</c:v>
                </c:pt>
                <c:pt idx="28">
                  <c:v>57.647057747672527</c:v>
                </c:pt>
                <c:pt idx="29">
                  <c:v>60.108014285855596</c:v>
                </c:pt>
                <c:pt idx="30">
                  <c:v>61.791160878808874</c:v>
                </c:pt>
                <c:pt idx="31">
                  <c:v>62.915285666542161</c:v>
                </c:pt>
                <c:pt idx="32">
                  <c:v>63.654182671646552</c:v>
                </c:pt>
                <c:pt idx="33">
                  <c:v>64.134789790351192</c:v>
                </c:pt>
                <c:pt idx="34">
                  <c:v>64.445262218655003</c:v>
                </c:pt>
                <c:pt idx="35">
                  <c:v>64.644941359252172</c:v>
                </c:pt>
                <c:pt idx="36">
                  <c:v>64.772998705422452</c:v>
                </c:pt>
                <c:pt idx="37">
                  <c:v>64.854973819569949</c:v>
                </c:pt>
                <c:pt idx="38">
                  <c:v>64.907388259699118</c:v>
                </c:pt>
                <c:pt idx="39">
                  <c:v>64.940876675254501</c:v>
                </c:pt>
                <c:pt idx="40">
                  <c:v>64.962262716471727</c:v>
                </c:pt>
                <c:pt idx="41">
                  <c:v>64.975915885047499</c:v>
                </c:pt>
                <c:pt idx="42">
                  <c:v>64.984630571247081</c:v>
                </c:pt>
                <c:pt idx="43">
                  <c:v>64.990192378784855</c:v>
                </c:pt>
                <c:pt idx="44">
                  <c:v>64.993741702674939</c:v>
                </c:pt>
                <c:pt idx="45">
                  <c:v>64.996006624799861</c:v>
                </c:pt>
                <c:pt idx="46">
                  <c:v>64.997451887703392</c:v>
                </c:pt>
                <c:pt idx="47">
                  <c:v>64.998374101180318</c:v>
                </c:pt>
                <c:pt idx="48">
                  <c:v>64.998962552238936</c:v>
                </c:pt>
                <c:pt idx="49">
                  <c:v>64.999338031175554</c:v>
                </c:pt>
                <c:pt idx="50">
                  <c:v>64.999577615543814</c:v>
                </c:pt>
              </c:numCache>
            </c:numRef>
          </c:val>
          <c:smooth val="0"/>
          <c:extLst>
            <c:ext xmlns:c16="http://schemas.microsoft.com/office/drawing/2014/chart" uri="{C3380CC4-5D6E-409C-BE32-E72D297353CC}">
              <c16:uniqueId val="{00000000-506B-45A2-B139-8A68F8B5BB2B}"/>
            </c:ext>
          </c:extLst>
        </c:ser>
        <c:dLbls>
          <c:showLegendKey val="0"/>
          <c:showVal val="0"/>
          <c:showCatName val="0"/>
          <c:showSerName val="0"/>
          <c:showPercent val="0"/>
          <c:showBubbleSize val="0"/>
        </c:dLbls>
        <c:smooth val="0"/>
        <c:axId val="832116416"/>
        <c:axId val="832118712"/>
      </c:lineChart>
      <c:catAx>
        <c:axId val="83211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8712"/>
        <c:crosses val="autoZero"/>
        <c:auto val="1"/>
        <c:lblAlgn val="ctr"/>
        <c:lblOffset val="100"/>
        <c:noMultiLvlLbl val="0"/>
      </c:catAx>
      <c:valAx>
        <c:axId val="832118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874890638670167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6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uptake'!$C$3</c:f>
              <c:strCache>
                <c:ptCount val="1"/>
                <c:pt idx="0">
                  <c:v>EV %sales (no peaks)</c:v>
                </c:pt>
              </c:strCache>
            </c:strRef>
          </c:tx>
          <c:spPr>
            <a:ln w="34925" cap="rnd">
              <a:solidFill>
                <a:schemeClr val="tx1"/>
              </a:solidFill>
              <a:round/>
            </a:ln>
            <a:effectLst/>
          </c:spPr>
          <c:marker>
            <c:symbol val="none"/>
          </c:marker>
          <c:cat>
            <c:numRef>
              <c:f>'Denmark EV uptake'!$A$13:$A$22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'Denmark EV uptake'!$C$13:$C$22</c:f>
              <c:numCache>
                <c:formatCode>0.00</c:formatCode>
                <c:ptCount val="10"/>
                <c:pt idx="0">
                  <c:v>0</c:v>
                </c:pt>
                <c:pt idx="1">
                  <c:v>0</c:v>
                </c:pt>
                <c:pt idx="2">
                  <c:v>0.24410615971013125</c:v>
                </c:pt>
                <c:pt idx="3">
                  <c:v>0.29511134012167489</c:v>
                </c:pt>
                <c:pt idx="4">
                  <c:v>0.28024493848954596</c:v>
                </c:pt>
                <c:pt idx="5">
                  <c:v>0.86371041106903335</c:v>
                </c:pt>
                <c:pt idx="6">
                  <c:v>1.528528514048479</c:v>
                </c:pt>
                <c:pt idx="7">
                  <c:v>0.98591928009966745</c:v>
                </c:pt>
                <c:pt idx="8">
                  <c:v>0.63114805831808063</c:v>
                </c:pt>
                <c:pt idx="9">
                  <c:v>1.0260720272900103</c:v>
                </c:pt>
              </c:numCache>
            </c:numRef>
          </c:val>
          <c:smooth val="0"/>
          <c:extLst>
            <c:ext xmlns:c16="http://schemas.microsoft.com/office/drawing/2014/chart" uri="{C3380CC4-5D6E-409C-BE32-E72D297353CC}">
              <c16:uniqueId val="{00000000-DFE8-42E5-B77A-93218A6EC6EB}"/>
            </c:ext>
          </c:extLst>
        </c:ser>
        <c:ser>
          <c:idx val="1"/>
          <c:order val="1"/>
          <c:tx>
            <c:strRef>
              <c:f>'Denmark EV uptake'!$AN$3</c:f>
              <c:strCache>
                <c:ptCount val="1"/>
                <c:pt idx="0">
                  <c:v>raw predicted</c:v>
                </c:pt>
              </c:strCache>
            </c:strRef>
          </c:tx>
          <c:spPr>
            <a:ln w="28575" cap="rnd">
              <a:solidFill>
                <a:schemeClr val="accent2"/>
              </a:solidFill>
              <a:round/>
            </a:ln>
            <a:effectLst/>
          </c:spPr>
          <c:marker>
            <c:symbol val="none"/>
          </c:marker>
          <c:cat>
            <c:numRef>
              <c:f>'Denmark EV uptake'!$A$13:$A$22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'Denmark EV uptake'!$AN$13:$AN$22</c:f>
              <c:numCache>
                <c:formatCode>0.00</c:formatCode>
                <c:ptCount val="10"/>
                <c:pt idx="2">
                  <c:v>0.2445466806557601</c:v>
                </c:pt>
                <c:pt idx="3">
                  <c:v>0.28414031280549218</c:v>
                </c:pt>
                <c:pt idx="4">
                  <c:v>0.28452453918310588</c:v>
                </c:pt>
                <c:pt idx="5">
                  <c:v>0.93137474819959321</c:v>
                </c:pt>
                <c:pt idx="6">
                  <c:v>1.4479052196409519</c:v>
                </c:pt>
                <c:pt idx="7">
                  <c:v>2.2408785959824278</c:v>
                </c:pt>
                <c:pt idx="8">
                  <c:v>3.4446003282819651</c:v>
                </c:pt>
                <c:pt idx="9">
                  <c:v>5.2409229437896716</c:v>
                </c:pt>
              </c:numCache>
            </c:numRef>
          </c:val>
          <c:smooth val="0"/>
          <c:extLst>
            <c:ext xmlns:c16="http://schemas.microsoft.com/office/drawing/2014/chart" uri="{C3380CC4-5D6E-409C-BE32-E72D297353CC}">
              <c16:uniqueId val="{00000001-DFE8-42E5-B77A-93218A6EC6EB}"/>
            </c:ext>
          </c:extLst>
        </c:ser>
        <c:dLbls>
          <c:showLegendKey val="0"/>
          <c:showVal val="0"/>
          <c:showCatName val="0"/>
          <c:showSerName val="0"/>
          <c:showPercent val="0"/>
          <c:showBubbleSize val="0"/>
        </c:dLbls>
        <c:smooth val="0"/>
        <c:axId val="638380200"/>
        <c:axId val="638409064"/>
      </c:lineChart>
      <c:catAx>
        <c:axId val="6383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409064"/>
        <c:crosses val="autoZero"/>
        <c:auto val="1"/>
        <c:lblAlgn val="ctr"/>
        <c:lblOffset val="100"/>
        <c:noMultiLvlLbl val="0"/>
      </c:catAx>
      <c:valAx>
        <c:axId val="638409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38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Germany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%sales'!$AM$50</c:f>
              <c:strCache>
                <c:ptCount val="1"/>
                <c:pt idx="0">
                  <c:v>3789.564</c:v>
                </c:pt>
              </c:strCache>
            </c:strRef>
          </c:tx>
          <c:spPr>
            <a:ln w="28575" cap="rnd">
              <a:solidFill>
                <a:schemeClr val="accent1"/>
              </a:solidFill>
              <a:round/>
            </a:ln>
            <a:effectLst/>
          </c:spPr>
          <c:marker>
            <c:symbol val="none"/>
          </c:marker>
          <c:cat>
            <c:numRef>
              <c:f>'EV %sales'!$AD$51:$AD$58</c:f>
              <c:numCache>
                <c:formatCode>General</c:formatCode>
                <c:ptCount val="8"/>
                <c:pt idx="0">
                  <c:v>2010</c:v>
                </c:pt>
                <c:pt idx="1">
                  <c:v>2011</c:v>
                </c:pt>
                <c:pt idx="2">
                  <c:v>2012</c:v>
                </c:pt>
                <c:pt idx="3">
                  <c:v>2013</c:v>
                </c:pt>
                <c:pt idx="4">
                  <c:v>2014</c:v>
                </c:pt>
                <c:pt idx="5">
                  <c:v>2015</c:v>
                </c:pt>
                <c:pt idx="6">
                  <c:v>2016</c:v>
                </c:pt>
                <c:pt idx="7">
                  <c:v>2017</c:v>
                </c:pt>
              </c:numCache>
            </c:numRef>
          </c:cat>
          <c:val>
            <c:numRef>
              <c:f>'EV %sales'!$AM$51:$AM$58</c:f>
              <c:numCache>
                <c:formatCode>0.000</c:formatCode>
                <c:ptCount val="8"/>
                <c:pt idx="0">
                  <c:v>2877.79</c:v>
                </c:pt>
                <c:pt idx="1">
                  <c:v>3174</c:v>
                </c:pt>
                <c:pt idx="2">
                  <c:v>3082.3519999999999</c:v>
                </c:pt>
                <c:pt idx="3">
                  <c:v>2952.2570000000001</c:v>
                </c:pt>
                <c:pt idx="4">
                  <c:v>3036.6289999999999</c:v>
                </c:pt>
                <c:pt idx="5">
                  <c:v>3205.9189999999999</c:v>
                </c:pt>
                <c:pt idx="6">
                  <c:v>3351.4690000000001</c:v>
                </c:pt>
                <c:pt idx="7">
                  <c:v>3441.261</c:v>
                </c:pt>
              </c:numCache>
            </c:numRef>
          </c:val>
          <c:smooth val="0"/>
          <c:extLst>
            <c:ext xmlns:c16="http://schemas.microsoft.com/office/drawing/2014/chart" uri="{C3380CC4-5D6E-409C-BE32-E72D297353CC}">
              <c16:uniqueId val="{00000000-CE56-4749-BB1F-C30E20426083}"/>
            </c:ext>
          </c:extLst>
        </c:ser>
        <c:ser>
          <c:idx val="1"/>
          <c:order val="1"/>
          <c:tx>
            <c:strRef>
              <c:f>'EV %sales'!$CL$81</c:f>
              <c:strCache>
                <c:ptCount val="1"/>
                <c:pt idx="0">
                  <c:v>3807</c:v>
                </c:pt>
              </c:strCache>
            </c:strRef>
          </c:tx>
          <c:spPr>
            <a:ln w="28575" cap="rnd">
              <a:solidFill>
                <a:schemeClr val="accent2"/>
              </a:solidFill>
              <a:round/>
            </a:ln>
            <a:effectLst/>
          </c:spPr>
          <c:marker>
            <c:symbol val="none"/>
          </c:marker>
          <c:cat>
            <c:numRef>
              <c:f>'EV %sales'!$AD$51:$AD$58</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%sales'!$CL$82:$CL$89</c:f>
              <c:numCache>
                <c:formatCode>0</c:formatCode>
                <c:ptCount val="8"/>
                <c:pt idx="0">
                  <c:v>2916.259</c:v>
                </c:pt>
                <c:pt idx="1">
                  <c:v>3173.634</c:v>
                </c:pt>
                <c:pt idx="2">
                  <c:v>3082.5039999999999</c:v>
                </c:pt>
                <c:pt idx="3">
                  <c:v>2952.431</c:v>
                </c:pt>
                <c:pt idx="4">
                  <c:v>3036.7730000000001</c:v>
                </c:pt>
                <c:pt idx="5">
                  <c:v>3206.0419999999999</c:v>
                </c:pt>
                <c:pt idx="6">
                  <c:v>3351.607</c:v>
                </c:pt>
                <c:pt idx="7">
                  <c:v>3705</c:v>
                </c:pt>
              </c:numCache>
            </c:numRef>
          </c:val>
          <c:smooth val="0"/>
          <c:extLst>
            <c:ext xmlns:c16="http://schemas.microsoft.com/office/drawing/2014/chart" uri="{C3380CC4-5D6E-409C-BE32-E72D297353CC}">
              <c16:uniqueId val="{00000001-CE56-4749-BB1F-C30E20426083}"/>
            </c:ext>
          </c:extLst>
        </c:ser>
        <c:dLbls>
          <c:showLegendKey val="0"/>
          <c:showVal val="0"/>
          <c:showCatName val="0"/>
          <c:showSerName val="0"/>
          <c:showPercent val="0"/>
          <c:showBubbleSize val="0"/>
        </c:dLbls>
        <c:smooth val="0"/>
        <c:axId val="449076776"/>
        <c:axId val="449077104"/>
      </c:lineChart>
      <c:catAx>
        <c:axId val="449076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077104"/>
        <c:crosses val="autoZero"/>
        <c:auto val="1"/>
        <c:lblAlgn val="ctr"/>
        <c:lblOffset val="100"/>
        <c:noMultiLvlLbl val="0"/>
      </c:catAx>
      <c:valAx>
        <c:axId val="4490771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076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1426071741032"/>
          <c:y val="5.0925925925925923E-2"/>
          <c:w val="0.83341907261592296"/>
          <c:h val="0.66828518159664108"/>
        </c:manualLayout>
      </c:layout>
      <c:lineChart>
        <c:grouping val="standard"/>
        <c:varyColors val="0"/>
        <c:ser>
          <c:idx val="0"/>
          <c:order val="0"/>
          <c:tx>
            <c:strRef>
              <c:f>'Denmark EV uptake'!$C$3</c:f>
              <c:strCache>
                <c:ptCount val="1"/>
                <c:pt idx="0">
                  <c:v>EV %sales (no peaks)</c:v>
                </c:pt>
              </c:strCache>
            </c:strRef>
          </c:tx>
          <c:spPr>
            <a:ln w="41275" cap="rnd">
              <a:solidFill>
                <a:schemeClr val="tx1"/>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uptake'!$C$4:$C$44</c:f>
              <c:numCache>
                <c:formatCode>General</c:formatCode>
                <c:ptCount val="41"/>
                <c:pt idx="9" formatCode="0.00">
                  <c:v>0</c:v>
                </c:pt>
                <c:pt idx="10" formatCode="0.00">
                  <c:v>0</c:v>
                </c:pt>
                <c:pt idx="11" formatCode="0.00">
                  <c:v>0.24410615971013125</c:v>
                </c:pt>
                <c:pt idx="12" formatCode="0.00">
                  <c:v>0.29511134012167489</c:v>
                </c:pt>
                <c:pt idx="13" formatCode="0.00">
                  <c:v>0.28024493848954596</c:v>
                </c:pt>
                <c:pt idx="14" formatCode="0.00">
                  <c:v>0.86371041106903335</c:v>
                </c:pt>
                <c:pt idx="15" formatCode="0.00">
                  <c:v>1.528528514048479</c:v>
                </c:pt>
                <c:pt idx="16" formatCode="0.00">
                  <c:v>0.98591928009966745</c:v>
                </c:pt>
                <c:pt idx="17" formatCode="0.00">
                  <c:v>0.63114805831808063</c:v>
                </c:pt>
                <c:pt idx="18" formatCode="0.00">
                  <c:v>1.0260720272900103</c:v>
                </c:pt>
                <c:pt idx="20" formatCode="0.00">
                  <c:v>0</c:v>
                </c:pt>
              </c:numCache>
            </c:numRef>
          </c:val>
          <c:smooth val="0"/>
          <c:extLst>
            <c:ext xmlns:c16="http://schemas.microsoft.com/office/drawing/2014/chart" uri="{C3380CC4-5D6E-409C-BE32-E72D297353CC}">
              <c16:uniqueId val="{00000000-0CBA-4D5E-81B0-0F4A4F6266FE}"/>
            </c:ext>
          </c:extLst>
        </c:ser>
        <c:ser>
          <c:idx val="3"/>
          <c:order val="1"/>
          <c:tx>
            <c:strRef>
              <c:f>'Denmark EV uptake'!$AN$3</c:f>
              <c:strCache>
                <c:ptCount val="1"/>
                <c:pt idx="0">
                  <c:v>raw predicted</c:v>
                </c:pt>
              </c:strCache>
            </c:strRef>
          </c:tx>
          <c:spPr>
            <a:ln w="28575" cap="rnd">
              <a:solidFill>
                <a:schemeClr val="accent4"/>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uptake'!$AN$4:$AN$54</c:f>
              <c:numCache>
                <c:formatCode>0.00</c:formatCode>
                <c:ptCount val="51"/>
                <c:pt idx="11">
                  <c:v>0.2445466806557601</c:v>
                </c:pt>
                <c:pt idx="12">
                  <c:v>0.28414031280549218</c:v>
                </c:pt>
                <c:pt idx="13">
                  <c:v>0.28452453918310588</c:v>
                </c:pt>
                <c:pt idx="14">
                  <c:v>0.93137474819959321</c:v>
                </c:pt>
                <c:pt idx="15">
                  <c:v>1.4479052196409519</c:v>
                </c:pt>
                <c:pt idx="16">
                  <c:v>2.2408785959824278</c:v>
                </c:pt>
                <c:pt idx="17">
                  <c:v>3.4446003282819651</c:v>
                </c:pt>
                <c:pt idx="18">
                  <c:v>5.2409229437896716</c:v>
                </c:pt>
                <c:pt idx="19">
                  <c:v>7.8544776715370315</c:v>
                </c:pt>
                <c:pt idx="20">
                  <c:v>11.520114188615567</c:v>
                </c:pt>
                <c:pt idx="21">
                  <c:v>16.405363572657308</c:v>
                </c:pt>
                <c:pt idx="22">
                  <c:v>22.491028963670956</c:v>
                </c:pt>
                <c:pt idx="23">
                  <c:v>29.465364095738629</c:v>
                </c:pt>
                <c:pt idx="24">
                  <c:v>36.733532308131018</c:v>
                </c:pt>
                <c:pt idx="25">
                  <c:v>43.595030140274922</c:v>
                </c:pt>
                <c:pt idx="26">
                  <c:v>49.494021669546953</c:v>
                </c:pt>
                <c:pt idx="27">
                  <c:v>54.171130546633584</c:v>
                </c:pt>
                <c:pt idx="28">
                  <c:v>57.647057747672527</c:v>
                </c:pt>
                <c:pt idx="29">
                  <c:v>60.108014285855596</c:v>
                </c:pt>
                <c:pt idx="30">
                  <c:v>61.791160878808874</c:v>
                </c:pt>
                <c:pt idx="31">
                  <c:v>62.915285666542161</c:v>
                </c:pt>
                <c:pt idx="32">
                  <c:v>63.654182671646552</c:v>
                </c:pt>
                <c:pt idx="33">
                  <c:v>64.134789790351192</c:v>
                </c:pt>
                <c:pt idx="34">
                  <c:v>64.445262218655003</c:v>
                </c:pt>
                <c:pt idx="35">
                  <c:v>64.644941359252172</c:v>
                </c:pt>
                <c:pt idx="36">
                  <c:v>64.772998705422452</c:v>
                </c:pt>
                <c:pt idx="37">
                  <c:v>64.854973819569949</c:v>
                </c:pt>
                <c:pt idx="38">
                  <c:v>64.907388259699118</c:v>
                </c:pt>
                <c:pt idx="39">
                  <c:v>64.940876675254501</c:v>
                </c:pt>
                <c:pt idx="40">
                  <c:v>64.962262716471727</c:v>
                </c:pt>
                <c:pt idx="41">
                  <c:v>64.975915885047499</c:v>
                </c:pt>
                <c:pt idx="42">
                  <c:v>64.984630571247081</c:v>
                </c:pt>
                <c:pt idx="43">
                  <c:v>64.990192378784855</c:v>
                </c:pt>
                <c:pt idx="44">
                  <c:v>64.993741702674939</c:v>
                </c:pt>
                <c:pt idx="45">
                  <c:v>64.996006624799861</c:v>
                </c:pt>
                <c:pt idx="46">
                  <c:v>64.997451887703392</c:v>
                </c:pt>
                <c:pt idx="47">
                  <c:v>64.998374101180318</c:v>
                </c:pt>
                <c:pt idx="48">
                  <c:v>64.998962552238936</c:v>
                </c:pt>
                <c:pt idx="49">
                  <c:v>64.999338031175554</c:v>
                </c:pt>
                <c:pt idx="50">
                  <c:v>64.999577615543814</c:v>
                </c:pt>
              </c:numCache>
            </c:numRef>
          </c:val>
          <c:smooth val="0"/>
          <c:extLst>
            <c:ext xmlns:c16="http://schemas.microsoft.com/office/drawing/2014/chart" uri="{C3380CC4-5D6E-409C-BE32-E72D297353CC}">
              <c16:uniqueId val="{00000003-0CBA-4D5E-81B0-0F4A4F6266FE}"/>
            </c:ext>
          </c:extLst>
        </c:ser>
        <c:dLbls>
          <c:showLegendKey val="0"/>
          <c:showVal val="0"/>
          <c:showCatName val="0"/>
          <c:showSerName val="0"/>
          <c:showPercent val="0"/>
          <c:showBubbleSize val="0"/>
        </c:dLbls>
        <c:smooth val="0"/>
        <c:axId val="832116416"/>
        <c:axId val="832118712"/>
      </c:lineChart>
      <c:catAx>
        <c:axId val="83211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8712"/>
        <c:crosses val="autoZero"/>
        <c:auto val="1"/>
        <c:lblAlgn val="ctr"/>
        <c:lblOffset val="100"/>
        <c:noMultiLvlLbl val="0"/>
      </c:catAx>
      <c:valAx>
        <c:axId val="832118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874890638670167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6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1426071741032"/>
          <c:y val="5.0925925925925923E-2"/>
          <c:w val="0.83341907261592296"/>
          <c:h val="0.66828518159664108"/>
        </c:manualLayout>
      </c:layout>
      <c:lineChart>
        <c:grouping val="standard"/>
        <c:varyColors val="0"/>
        <c:ser>
          <c:idx val="0"/>
          <c:order val="0"/>
          <c:tx>
            <c:strRef>
              <c:f>'Denmark EV uptake'!$C$3</c:f>
              <c:strCache>
                <c:ptCount val="1"/>
                <c:pt idx="0">
                  <c:v>EV %sales (no peaks)</c:v>
                </c:pt>
              </c:strCache>
            </c:strRef>
          </c:tx>
          <c:spPr>
            <a:ln w="41275" cap="rnd">
              <a:solidFill>
                <a:schemeClr val="tx1"/>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uptake'!$C$4:$C$44</c:f>
              <c:numCache>
                <c:formatCode>General</c:formatCode>
                <c:ptCount val="41"/>
                <c:pt idx="9" formatCode="0.00">
                  <c:v>0</c:v>
                </c:pt>
                <c:pt idx="10" formatCode="0.00">
                  <c:v>0</c:v>
                </c:pt>
                <c:pt idx="11" formatCode="0.00">
                  <c:v>0.24410615971013125</c:v>
                </c:pt>
                <c:pt idx="12" formatCode="0.00">
                  <c:v>0.29511134012167489</c:v>
                </c:pt>
                <c:pt idx="13" formatCode="0.00">
                  <c:v>0.28024493848954596</c:v>
                </c:pt>
                <c:pt idx="14" formatCode="0.00">
                  <c:v>0.86371041106903335</c:v>
                </c:pt>
                <c:pt idx="15" formatCode="0.00">
                  <c:v>1.528528514048479</c:v>
                </c:pt>
                <c:pt idx="16" formatCode="0.00">
                  <c:v>0.98591928009966745</c:v>
                </c:pt>
                <c:pt idx="17" formatCode="0.00">
                  <c:v>0.63114805831808063</c:v>
                </c:pt>
                <c:pt idx="18" formatCode="0.00">
                  <c:v>1.0260720272900103</c:v>
                </c:pt>
                <c:pt idx="20" formatCode="0.00">
                  <c:v>0</c:v>
                </c:pt>
              </c:numCache>
            </c:numRef>
          </c:val>
          <c:smooth val="0"/>
          <c:extLst>
            <c:ext xmlns:c16="http://schemas.microsoft.com/office/drawing/2014/chart" uri="{C3380CC4-5D6E-409C-BE32-E72D297353CC}">
              <c16:uniqueId val="{00000000-4219-4D19-9BAF-AA6B0D709FCD}"/>
            </c:ext>
          </c:extLst>
        </c:ser>
        <c:ser>
          <c:idx val="1"/>
          <c:order val="1"/>
          <c:tx>
            <c:strRef>
              <c:f>'Denmark EV uptake'!$E$3</c:f>
              <c:strCache>
                <c:ptCount val="1"/>
                <c:pt idx="0">
                  <c:v>predicted cost</c:v>
                </c:pt>
              </c:strCache>
            </c:strRef>
          </c:tx>
          <c:spPr>
            <a:ln w="28575" cap="rnd">
              <a:solidFill>
                <a:schemeClr val="accent2"/>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uptake'!$E$4:$E$54</c:f>
              <c:numCache>
                <c:formatCode>General</c:formatCode>
                <c:ptCount val="51"/>
                <c:pt idx="11" formatCode="0.00">
                  <c:v>0.2445466806557601</c:v>
                </c:pt>
                <c:pt idx="12" formatCode="0.00">
                  <c:v>0.28414031280549218</c:v>
                </c:pt>
                <c:pt idx="13" formatCode="0.00">
                  <c:v>0.28452453918310588</c:v>
                </c:pt>
                <c:pt idx="14" formatCode="0.00">
                  <c:v>0.93137474819959321</c:v>
                </c:pt>
                <c:pt idx="15" formatCode="0.00">
                  <c:v>1.4479052196409519</c:v>
                </c:pt>
                <c:pt idx="16" formatCode="0.00">
                  <c:v>0.93137474819959321</c:v>
                </c:pt>
                <c:pt idx="17" formatCode="0.00">
                  <c:v>0.93137474819959321</c:v>
                </c:pt>
                <c:pt idx="18" formatCode="0.00">
                  <c:v>0.90531080068456737</c:v>
                </c:pt>
                <c:pt idx="19" formatCode="0.00">
                  <c:v>1.1672115702411343</c:v>
                </c:pt>
                <c:pt idx="20" formatCode="0.00">
                  <c:v>1.6698566862576087</c:v>
                </c:pt>
                <c:pt idx="21" formatCode="0.00">
                  <c:v>2.6611363671789219</c:v>
                </c:pt>
                <c:pt idx="22" formatCode="0.00">
                  <c:v>4.0457569518464096</c:v>
                </c:pt>
                <c:pt idx="23" formatCode="0.00">
                  <c:v>7.0372486224496811</c:v>
                </c:pt>
                <c:pt idx="24" formatCode="0.00">
                  <c:v>11.087278695987386</c:v>
                </c:pt>
                <c:pt idx="25" formatCode="0.00">
                  <c:v>16.291431449478718</c:v>
                </c:pt>
                <c:pt idx="26" formatCode="0.00">
                  <c:v>22.589953322346989</c:v>
                </c:pt>
                <c:pt idx="27" formatCode="0.00">
                  <c:v>29.738063816094563</c:v>
                </c:pt>
                <c:pt idx="28" formatCode="0.00">
                  <c:v>36.355795435472501</c:v>
                </c:pt>
                <c:pt idx="29" formatCode="0.00">
                  <c:v>42.691815752065018</c:v>
                </c:pt>
                <c:pt idx="30" formatCode="0.00">
                  <c:v>48.328154482451801</c:v>
                </c:pt>
                <c:pt idx="31" formatCode="0.00">
                  <c:v>53.003050877996714</c:v>
                </c:pt>
                <c:pt idx="32" formatCode="0.00">
                  <c:v>56.642277025703507</c:v>
                </c:pt>
                <c:pt idx="33" formatCode="0.00">
                  <c:v>59.326529825102554</c:v>
                </c:pt>
                <c:pt idx="34" formatCode="0.00">
                  <c:v>61.223140250105146</c:v>
                </c:pt>
                <c:pt idx="35" formatCode="0.00">
                  <c:v>62.520686658640876</c:v>
                </c:pt>
                <c:pt idx="36" formatCode="0.00">
                  <c:v>63.388136245200755</c:v>
                </c:pt>
                <c:pt idx="37" formatCode="0.00">
                  <c:v>63.958892341289413</c:v>
                </c:pt>
                <c:pt idx="38" formatCode="0.00">
                  <c:v>64.330434949065463</c:v>
                </c:pt>
                <c:pt idx="39" formatCode="0.00">
                  <c:v>64.570593178650171</c:v>
                </c:pt>
                <c:pt idx="40" formatCode="0.00">
                  <c:v>64.725112872519745</c:v>
                </c:pt>
                <c:pt idx="41" formatCode="0.00">
                  <c:v>64.824235763839638</c:v>
                </c:pt>
                <c:pt idx="42" formatCode="0.00">
                  <c:v>64.887700035283558</c:v>
                </c:pt>
                <c:pt idx="43" formatCode="0.00">
                  <c:v>64.928283471208559</c:v>
                </c:pt>
                <c:pt idx="44" formatCode="0.00">
                  <c:v>64.954214821543971</c:v>
                </c:pt>
                <c:pt idx="45" formatCode="0.00">
                  <c:v>64.97077564536113</c:v>
                </c:pt>
                <c:pt idx="46" formatCode="0.00">
                  <c:v>64.981348650845206</c:v>
                </c:pt>
                <c:pt idx="47" formatCode="0.00">
                  <c:v>64.988097432510841</c:v>
                </c:pt>
                <c:pt idx="48" formatCode="0.00">
                  <c:v>64.992404633042014</c:v>
                </c:pt>
                <c:pt idx="49" formatCode="0.00">
                  <c:v>64.99496889633329</c:v>
                </c:pt>
                <c:pt idx="50" formatCode="0.00">
                  <c:v>64.996420798116986</c:v>
                </c:pt>
              </c:numCache>
            </c:numRef>
          </c:val>
          <c:smooth val="0"/>
          <c:extLst>
            <c:ext xmlns:c16="http://schemas.microsoft.com/office/drawing/2014/chart" uri="{C3380CC4-5D6E-409C-BE32-E72D297353CC}">
              <c16:uniqueId val="{00000001-4219-4D19-9BAF-AA6B0D709FCD}"/>
            </c:ext>
          </c:extLst>
        </c:ser>
        <c:ser>
          <c:idx val="3"/>
          <c:order val="2"/>
          <c:tx>
            <c:strRef>
              <c:f>'Denmark EV uptake'!$AN$3</c:f>
              <c:strCache>
                <c:ptCount val="1"/>
                <c:pt idx="0">
                  <c:v>raw predicted</c:v>
                </c:pt>
              </c:strCache>
            </c:strRef>
          </c:tx>
          <c:spPr>
            <a:ln w="28575" cap="rnd">
              <a:solidFill>
                <a:schemeClr val="accent4"/>
              </a:solidFill>
              <a:round/>
            </a:ln>
            <a:effectLst/>
          </c:spPr>
          <c:marker>
            <c:symbol val="none"/>
          </c:marker>
          <c:cat>
            <c:numRef>
              <c:f>'Denmark EV uptake'!$A$4:$A$54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'Denmark EV uptake'!$AN$4:$AN$54</c:f>
              <c:numCache>
                <c:formatCode>0.00</c:formatCode>
                <c:ptCount val="51"/>
                <c:pt idx="11">
                  <c:v>0.2445466806557601</c:v>
                </c:pt>
                <c:pt idx="12">
                  <c:v>0.28414031280549218</c:v>
                </c:pt>
                <c:pt idx="13">
                  <c:v>0.28452453918310588</c:v>
                </c:pt>
                <c:pt idx="14">
                  <c:v>0.93137474819959321</c:v>
                </c:pt>
                <c:pt idx="15">
                  <c:v>1.4479052196409519</c:v>
                </c:pt>
                <c:pt idx="16">
                  <c:v>2.2408785959824278</c:v>
                </c:pt>
                <c:pt idx="17">
                  <c:v>3.4446003282819651</c:v>
                </c:pt>
                <c:pt idx="18">
                  <c:v>5.2409229437896716</c:v>
                </c:pt>
                <c:pt idx="19">
                  <c:v>7.8544776715370315</c:v>
                </c:pt>
                <c:pt idx="20">
                  <c:v>11.520114188615567</c:v>
                </c:pt>
                <c:pt idx="21">
                  <c:v>16.405363572657308</c:v>
                </c:pt>
                <c:pt idx="22">
                  <c:v>22.491028963670956</c:v>
                </c:pt>
                <c:pt idx="23">
                  <c:v>29.465364095738629</c:v>
                </c:pt>
                <c:pt idx="24">
                  <c:v>36.733532308131018</c:v>
                </c:pt>
                <c:pt idx="25">
                  <c:v>43.595030140274922</c:v>
                </c:pt>
                <c:pt idx="26">
                  <c:v>49.494021669546953</c:v>
                </c:pt>
                <c:pt idx="27">
                  <c:v>54.171130546633584</c:v>
                </c:pt>
                <c:pt idx="28">
                  <c:v>57.647057747672527</c:v>
                </c:pt>
                <c:pt idx="29">
                  <c:v>60.108014285855596</c:v>
                </c:pt>
                <c:pt idx="30">
                  <c:v>61.791160878808874</c:v>
                </c:pt>
                <c:pt idx="31">
                  <c:v>62.915285666542161</c:v>
                </c:pt>
                <c:pt idx="32">
                  <c:v>63.654182671646552</c:v>
                </c:pt>
                <c:pt idx="33">
                  <c:v>64.134789790351192</c:v>
                </c:pt>
                <c:pt idx="34">
                  <c:v>64.445262218655003</c:v>
                </c:pt>
                <c:pt idx="35">
                  <c:v>64.644941359252172</c:v>
                </c:pt>
                <c:pt idx="36">
                  <c:v>64.772998705422452</c:v>
                </c:pt>
                <c:pt idx="37">
                  <c:v>64.854973819569949</c:v>
                </c:pt>
                <c:pt idx="38">
                  <c:v>64.907388259699118</c:v>
                </c:pt>
                <c:pt idx="39">
                  <c:v>64.940876675254501</c:v>
                </c:pt>
                <c:pt idx="40">
                  <c:v>64.962262716471727</c:v>
                </c:pt>
                <c:pt idx="41">
                  <c:v>64.975915885047499</c:v>
                </c:pt>
                <c:pt idx="42">
                  <c:v>64.984630571247081</c:v>
                </c:pt>
                <c:pt idx="43">
                  <c:v>64.990192378784855</c:v>
                </c:pt>
                <c:pt idx="44">
                  <c:v>64.993741702674939</c:v>
                </c:pt>
                <c:pt idx="45">
                  <c:v>64.996006624799861</c:v>
                </c:pt>
                <c:pt idx="46">
                  <c:v>64.997451887703392</c:v>
                </c:pt>
                <c:pt idx="47">
                  <c:v>64.998374101180318</c:v>
                </c:pt>
                <c:pt idx="48">
                  <c:v>64.998962552238936</c:v>
                </c:pt>
                <c:pt idx="49">
                  <c:v>64.999338031175554</c:v>
                </c:pt>
                <c:pt idx="50">
                  <c:v>64.999577615543814</c:v>
                </c:pt>
              </c:numCache>
            </c:numRef>
          </c:val>
          <c:smooth val="0"/>
          <c:extLst>
            <c:ext xmlns:c16="http://schemas.microsoft.com/office/drawing/2014/chart" uri="{C3380CC4-5D6E-409C-BE32-E72D297353CC}">
              <c16:uniqueId val="{00000003-4219-4D19-9BAF-AA6B0D709FCD}"/>
            </c:ext>
          </c:extLst>
        </c:ser>
        <c:dLbls>
          <c:showLegendKey val="0"/>
          <c:showVal val="0"/>
          <c:showCatName val="0"/>
          <c:showSerName val="0"/>
          <c:showPercent val="0"/>
          <c:showBubbleSize val="0"/>
        </c:dLbls>
        <c:smooth val="0"/>
        <c:axId val="832116416"/>
        <c:axId val="832118712"/>
      </c:lineChart>
      <c:catAx>
        <c:axId val="83211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8712"/>
        <c:crosses val="autoZero"/>
        <c:auto val="1"/>
        <c:lblAlgn val="ctr"/>
        <c:lblOffset val="100"/>
        <c:noMultiLvlLbl val="0"/>
      </c:catAx>
      <c:valAx>
        <c:axId val="832118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874890638670167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116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uptake'!$AE$15</c:f>
              <c:strCache>
                <c:ptCount val="1"/>
                <c:pt idx="0">
                  <c:v>High</c:v>
                </c:pt>
              </c:strCache>
            </c:strRef>
          </c:tx>
          <c:spPr>
            <a:ln w="28575" cap="rnd">
              <a:solidFill>
                <a:schemeClr val="accent1"/>
              </a:solidFill>
              <a:round/>
            </a:ln>
            <a:effectLst/>
          </c:spPr>
          <c:marker>
            <c:symbol val="none"/>
          </c:marker>
          <c:cat>
            <c:numRef>
              <c:f>'Denmark EV uptake'!$AD$16:$AD$34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uptake'!$AE$16:$AE$34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1.1672115702411339</c:v>
                </c:pt>
                <c:pt idx="8">
                  <c:v>1.5146517368990953</c:v>
                </c:pt>
                <c:pt idx="9">
                  <c:v>2.1844642818764251</c:v>
                </c:pt>
                <c:pt idx="10">
                  <c:v>3.5582660427491568</c:v>
                </c:pt>
                <c:pt idx="11">
                  <c:v>5.2750915640195144</c:v>
                </c:pt>
                <c:pt idx="12">
                  <c:v>7.3881730433726389</c:v>
                </c:pt>
                <c:pt idx="13">
                  <c:v>9.9469414834671834</c:v>
                </c:pt>
                <c:pt idx="14">
                  <c:v>13.008221410361728</c:v>
                </c:pt>
                <c:pt idx="15">
                  <c:v>16.107048765331417</c:v>
                </c:pt>
                <c:pt idx="16">
                  <c:v>19.577898337638004</c:v>
                </c:pt>
                <c:pt idx="17">
                  <c:v>24.111877655391133</c:v>
                </c:pt>
                <c:pt idx="18">
                  <c:v>29.058989314997163</c:v>
                </c:pt>
              </c:numCache>
            </c:numRef>
          </c:val>
          <c:smooth val="0"/>
          <c:extLst>
            <c:ext xmlns:c16="http://schemas.microsoft.com/office/drawing/2014/chart" uri="{C3380CC4-5D6E-409C-BE32-E72D297353CC}">
              <c16:uniqueId val="{00000000-DC4F-48D9-8CDF-1DD62D79F3EA}"/>
            </c:ext>
          </c:extLst>
        </c:ser>
        <c:ser>
          <c:idx val="1"/>
          <c:order val="1"/>
          <c:tx>
            <c:strRef>
              <c:f>'Denmark EV uptake'!$AF$15</c:f>
              <c:strCache>
                <c:ptCount val="1"/>
                <c:pt idx="0">
                  <c:v>Medium</c:v>
                </c:pt>
              </c:strCache>
            </c:strRef>
          </c:tx>
          <c:spPr>
            <a:ln w="28575" cap="rnd">
              <a:solidFill>
                <a:schemeClr val="accent2"/>
              </a:solidFill>
              <a:round/>
            </a:ln>
            <a:effectLst/>
          </c:spPr>
          <c:marker>
            <c:symbol val="none"/>
          </c:marker>
          <c:cat>
            <c:numRef>
              <c:f>'Denmark EV uptake'!$AD$16:$AD$34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uptake'!$AF$16:$AF$34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1.1672115702411339</c:v>
                </c:pt>
                <c:pt idx="8">
                  <c:v>1.5146517368990953</c:v>
                </c:pt>
                <c:pt idx="9">
                  <c:v>2.1844642818764251</c:v>
                </c:pt>
                <c:pt idx="10">
                  <c:v>3.0030555808113628</c:v>
                </c:pt>
                <c:pt idx="11">
                  <c:v>4.7578194610155951</c:v>
                </c:pt>
                <c:pt idx="12">
                  <c:v>6.8943043346632562</c:v>
                </c:pt>
                <c:pt idx="13">
                  <c:v>9.4585081823171482</c:v>
                </c:pt>
                <c:pt idx="14">
                  <c:v>12.50206484745504</c:v>
                </c:pt>
                <c:pt idx="15">
                  <c:v>16.107048765331417</c:v>
                </c:pt>
                <c:pt idx="16">
                  <c:v>19.577898337638004</c:v>
                </c:pt>
                <c:pt idx="17">
                  <c:v>23.391281091125158</c:v>
                </c:pt>
                <c:pt idx="18">
                  <c:v>27.491239953220312</c:v>
                </c:pt>
              </c:numCache>
            </c:numRef>
          </c:val>
          <c:smooth val="0"/>
          <c:extLst>
            <c:ext xmlns:c16="http://schemas.microsoft.com/office/drawing/2014/chart" uri="{C3380CC4-5D6E-409C-BE32-E72D297353CC}">
              <c16:uniqueId val="{00000001-DC4F-48D9-8CDF-1DD62D79F3EA}"/>
            </c:ext>
          </c:extLst>
        </c:ser>
        <c:ser>
          <c:idx val="2"/>
          <c:order val="2"/>
          <c:tx>
            <c:strRef>
              <c:f>'Denmark EV uptake'!$AG$15</c:f>
              <c:strCache>
                <c:ptCount val="1"/>
                <c:pt idx="0">
                  <c:v>Low</c:v>
                </c:pt>
              </c:strCache>
            </c:strRef>
          </c:tx>
          <c:spPr>
            <a:ln w="28575" cap="rnd">
              <a:solidFill>
                <a:schemeClr val="accent3"/>
              </a:solidFill>
              <a:round/>
            </a:ln>
            <a:effectLst/>
          </c:spPr>
          <c:marker>
            <c:symbol val="none"/>
          </c:marker>
          <c:cat>
            <c:numRef>
              <c:f>'Denmark EV uptake'!$AD$16:$AD$34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uptake'!$AG$16:$AG$34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1.1672115702411339</c:v>
                </c:pt>
                <c:pt idx="8">
                  <c:v>1.5146517368990953</c:v>
                </c:pt>
                <c:pt idx="9">
                  <c:v>2.1844642818764251</c:v>
                </c:pt>
                <c:pt idx="10">
                  <c:v>3.0030555808113628</c:v>
                </c:pt>
                <c:pt idx="11">
                  <c:v>4.0749955822122237</c:v>
                </c:pt>
                <c:pt idx="12">
                  <c:v>6.2439600656547682</c:v>
                </c:pt>
                <c:pt idx="13">
                  <c:v>8.8170714802286358</c:v>
                </c:pt>
                <c:pt idx="14">
                  <c:v>11.839525912789025</c:v>
                </c:pt>
                <c:pt idx="15">
                  <c:v>15.38248097237785</c:v>
                </c:pt>
                <c:pt idx="16">
                  <c:v>19.577898337638004</c:v>
                </c:pt>
                <c:pt idx="17">
                  <c:v>23.391281091125158</c:v>
                </c:pt>
                <c:pt idx="18">
                  <c:v>27.491239953220312</c:v>
                </c:pt>
              </c:numCache>
            </c:numRef>
          </c:val>
          <c:smooth val="0"/>
          <c:extLst>
            <c:ext xmlns:c16="http://schemas.microsoft.com/office/drawing/2014/chart" uri="{C3380CC4-5D6E-409C-BE32-E72D297353CC}">
              <c16:uniqueId val="{00000002-DC4F-48D9-8CDF-1DD62D79F3EA}"/>
            </c:ext>
          </c:extLst>
        </c:ser>
        <c:dLbls>
          <c:showLegendKey val="0"/>
          <c:showVal val="0"/>
          <c:showCatName val="0"/>
          <c:showSerName val="0"/>
          <c:showPercent val="0"/>
          <c:showBubbleSize val="0"/>
        </c:dLbls>
        <c:smooth val="0"/>
        <c:axId val="370439200"/>
        <c:axId val="370430016"/>
      </c:lineChart>
      <c:catAx>
        <c:axId val="37043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430016"/>
        <c:crosses val="autoZero"/>
        <c:auto val="1"/>
        <c:lblAlgn val="ctr"/>
        <c:lblOffset val="100"/>
        <c:noMultiLvlLbl val="0"/>
      </c:catAx>
      <c:valAx>
        <c:axId val="370430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43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 EV uptake'!$AJ$15</c:f>
              <c:strCache>
                <c:ptCount val="1"/>
                <c:pt idx="0">
                  <c:v>High</c:v>
                </c:pt>
              </c:strCache>
            </c:strRef>
          </c:tx>
          <c:spPr>
            <a:ln w="28575" cap="rnd">
              <a:solidFill>
                <a:schemeClr val="accent1"/>
              </a:solidFill>
              <a:round/>
            </a:ln>
            <a:effectLst/>
          </c:spPr>
          <c:marker>
            <c:symbol val="none"/>
          </c:marker>
          <c:cat>
            <c:numRef>
              <c:f>'Denmark EV uptake'!$AI$16:$AI$34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uptake'!$AJ$16:$AJ$34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1.1672115702411339</c:v>
                </c:pt>
                <c:pt idx="8">
                  <c:v>1.2958255459140713</c:v>
                </c:pt>
                <c:pt idx="9">
                  <c:v>1.6890191430948163</c:v>
                </c:pt>
                <c:pt idx="10">
                  <c:v>2.159440073848002</c:v>
                </c:pt>
                <c:pt idx="11">
                  <c:v>2.7982253366684748</c:v>
                </c:pt>
                <c:pt idx="12">
                  <c:v>3.6400016011124787</c:v>
                </c:pt>
                <c:pt idx="13">
                  <c:v>4.8539468799914536</c:v>
                </c:pt>
                <c:pt idx="14">
                  <c:v>6.3670455720674477</c:v>
                </c:pt>
                <c:pt idx="15">
                  <c:v>8.2040599403482855</c:v>
                </c:pt>
                <c:pt idx="16">
                  <c:v>11.195456319269333</c:v>
                </c:pt>
                <c:pt idx="17">
                  <c:v>14.611961898046225</c:v>
                </c:pt>
                <c:pt idx="18">
                  <c:v>18.586311946784065</c:v>
                </c:pt>
              </c:numCache>
            </c:numRef>
          </c:val>
          <c:smooth val="0"/>
          <c:extLst>
            <c:ext xmlns:c16="http://schemas.microsoft.com/office/drawing/2014/chart" uri="{C3380CC4-5D6E-409C-BE32-E72D297353CC}">
              <c16:uniqueId val="{00000000-D54F-4388-B9D1-268A6F4F2A59}"/>
            </c:ext>
          </c:extLst>
        </c:ser>
        <c:ser>
          <c:idx val="1"/>
          <c:order val="1"/>
          <c:tx>
            <c:strRef>
              <c:f>'Denmark EV uptake'!$AK$15</c:f>
              <c:strCache>
                <c:ptCount val="1"/>
                <c:pt idx="0">
                  <c:v>Medium</c:v>
                </c:pt>
              </c:strCache>
            </c:strRef>
          </c:tx>
          <c:spPr>
            <a:ln w="28575" cap="rnd">
              <a:solidFill>
                <a:schemeClr val="accent2"/>
              </a:solidFill>
              <a:round/>
            </a:ln>
            <a:effectLst/>
          </c:spPr>
          <c:marker>
            <c:symbol val="none"/>
          </c:marker>
          <c:cat>
            <c:numRef>
              <c:f>'Denmark EV uptake'!$AI$16:$AI$34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uptake'!$AK$16:$AK$34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1.1672115702411339</c:v>
                </c:pt>
                <c:pt idx="8">
                  <c:v>1.5146517368990953</c:v>
                </c:pt>
                <c:pt idx="9">
                  <c:v>2.1844642818764251</c:v>
                </c:pt>
                <c:pt idx="10">
                  <c:v>3.0030555808113628</c:v>
                </c:pt>
                <c:pt idx="11">
                  <c:v>4.7578194610155951</c:v>
                </c:pt>
                <c:pt idx="12">
                  <c:v>6.8943043346632562</c:v>
                </c:pt>
                <c:pt idx="13">
                  <c:v>9.4585081823171482</c:v>
                </c:pt>
                <c:pt idx="14">
                  <c:v>12.50206484745504</c:v>
                </c:pt>
                <c:pt idx="15">
                  <c:v>16.107048765331417</c:v>
                </c:pt>
                <c:pt idx="16">
                  <c:v>19.577898337638004</c:v>
                </c:pt>
                <c:pt idx="17">
                  <c:v>23.391281091125158</c:v>
                </c:pt>
                <c:pt idx="18">
                  <c:v>27.491239953220312</c:v>
                </c:pt>
              </c:numCache>
            </c:numRef>
          </c:val>
          <c:smooth val="0"/>
          <c:extLst>
            <c:ext xmlns:c16="http://schemas.microsoft.com/office/drawing/2014/chart" uri="{C3380CC4-5D6E-409C-BE32-E72D297353CC}">
              <c16:uniqueId val="{00000001-D54F-4388-B9D1-268A6F4F2A59}"/>
            </c:ext>
          </c:extLst>
        </c:ser>
        <c:ser>
          <c:idx val="2"/>
          <c:order val="2"/>
          <c:tx>
            <c:strRef>
              <c:f>'Denmark EV uptake'!$AL$15</c:f>
              <c:strCache>
                <c:ptCount val="1"/>
                <c:pt idx="0">
                  <c:v>Low</c:v>
                </c:pt>
              </c:strCache>
            </c:strRef>
          </c:tx>
          <c:spPr>
            <a:ln w="28575" cap="rnd">
              <a:solidFill>
                <a:schemeClr val="accent3"/>
              </a:solidFill>
              <a:round/>
            </a:ln>
            <a:effectLst/>
          </c:spPr>
          <c:marker>
            <c:symbol val="none"/>
          </c:marker>
          <c:cat>
            <c:numRef>
              <c:f>'Denmark EV uptake'!$AI$16:$AI$34</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'Denmark EV uptake'!$AL$16:$AL$34</c:f>
              <c:numCache>
                <c:formatCode>0.00</c:formatCode>
                <c:ptCount val="19"/>
                <c:pt idx="0">
                  <c:v>0.28414031280549218</c:v>
                </c:pt>
                <c:pt idx="1">
                  <c:v>0.28452453918310588</c:v>
                </c:pt>
                <c:pt idx="2">
                  <c:v>0.93137474819959321</c:v>
                </c:pt>
                <c:pt idx="3">
                  <c:v>1.4479052196409519</c:v>
                </c:pt>
                <c:pt idx="4">
                  <c:v>0.93137474819959321</c:v>
                </c:pt>
                <c:pt idx="5">
                  <c:v>0.93137474819959321</c:v>
                </c:pt>
                <c:pt idx="6">
                  <c:v>0.90531080068456726</c:v>
                </c:pt>
                <c:pt idx="7">
                  <c:v>1.4079559167010423</c:v>
                </c:pt>
                <c:pt idx="8">
                  <c:v>2.0607073766285509</c:v>
                </c:pt>
                <c:pt idx="9">
                  <c:v>3.1161312398822494</c:v>
                </c:pt>
                <c:pt idx="10">
                  <c:v>4.4152465494078328</c:v>
                </c:pt>
                <c:pt idx="11">
                  <c:v>6.9548658368475271</c:v>
                </c:pt>
                <c:pt idx="12">
                  <c:v>9.8138016582628396</c:v>
                </c:pt>
                <c:pt idx="13">
                  <c:v>13.150646296546375</c:v>
                </c:pt>
                <c:pt idx="14">
                  <c:v>17.058881085121477</c:v>
                </c:pt>
                <c:pt idx="15">
                  <c:v>22.634751775403206</c:v>
                </c:pt>
                <c:pt idx="16">
                  <c:v>28.03177619938397</c:v>
                </c:pt>
                <c:pt idx="17">
                  <c:v>34.049897021720618</c:v>
                </c:pt>
                <c:pt idx="18">
                  <c:v>40.625695738716182</c:v>
                </c:pt>
              </c:numCache>
            </c:numRef>
          </c:val>
          <c:smooth val="0"/>
          <c:extLst>
            <c:ext xmlns:c16="http://schemas.microsoft.com/office/drawing/2014/chart" uri="{C3380CC4-5D6E-409C-BE32-E72D297353CC}">
              <c16:uniqueId val="{00000002-D54F-4388-B9D1-268A6F4F2A59}"/>
            </c:ext>
          </c:extLst>
        </c:ser>
        <c:dLbls>
          <c:showLegendKey val="0"/>
          <c:showVal val="0"/>
          <c:showCatName val="0"/>
          <c:showSerName val="0"/>
          <c:showPercent val="0"/>
          <c:showBubbleSize val="0"/>
        </c:dLbls>
        <c:smooth val="0"/>
        <c:axId val="222805904"/>
        <c:axId val="222806232"/>
      </c:lineChart>
      <c:catAx>
        <c:axId val="22280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806232"/>
        <c:crosses val="autoZero"/>
        <c:auto val="1"/>
        <c:lblAlgn val="ctr"/>
        <c:lblOffset val="100"/>
        <c:noMultiLvlLbl val="0"/>
      </c:catAx>
      <c:valAx>
        <c:axId val="22280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1.6666666666666666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80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Denmark!$O$2</c:f>
              <c:strCache>
                <c:ptCount val="1"/>
                <c:pt idx="0">
                  <c:v>BEV price</c:v>
                </c:pt>
              </c:strCache>
            </c:strRef>
          </c:tx>
          <c:spPr>
            <a:ln w="60325" cap="rnd">
              <a:solidFill>
                <a:schemeClr val="accent1"/>
              </a:solidFill>
              <a:round/>
            </a:ln>
            <a:effectLst/>
          </c:spPr>
          <c:marker>
            <c:symbol val="none"/>
          </c:marker>
          <c:cat>
            <c:numRef>
              <c:f>Denmark!$N$3:$N$24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Denmark!$O$3:$O$24</c:f>
              <c:numCache>
                <c:formatCode>0</c:formatCode>
                <c:ptCount val="22"/>
                <c:pt idx="0">
                  <c:v>204100.95397607581</c:v>
                </c:pt>
                <c:pt idx="1">
                  <c:v>216651.94500415513</c:v>
                </c:pt>
                <c:pt idx="2">
                  <c:v>206949.27796794617</c:v>
                </c:pt>
                <c:pt idx="3">
                  <c:v>229362.34973450148</c:v>
                </c:pt>
                <c:pt idx="4">
                  <c:v>224513.56367980185</c:v>
                </c:pt>
                <c:pt idx="5">
                  <c:v>241348.35953563821</c:v>
                </c:pt>
                <c:pt idx="6">
                  <c:v>258024.35423433108</c:v>
                </c:pt>
                <c:pt idx="7">
                  <c:v>329035.26903037704</c:v>
                </c:pt>
                <c:pt idx="8">
                  <c:v>371774.06838648987</c:v>
                </c:pt>
                <c:pt idx="9">
                  <c:v>423612.84468769439</c:v>
                </c:pt>
                <c:pt idx="10">
                  <c:v>429468.81197859324</c:v>
                </c:pt>
                <c:pt idx="11">
                  <c:v>427948.69817194639</c:v>
                </c:pt>
                <c:pt idx="12">
                  <c:v>421617.74464428733</c:v>
                </c:pt>
                <c:pt idx="13">
                  <c:v>425158.17926603701</c:v>
                </c:pt>
                <c:pt idx="14">
                  <c:v>422875.79863883212</c:v>
                </c:pt>
                <c:pt idx="15">
                  <c:v>414052.81392976944</c:v>
                </c:pt>
                <c:pt idx="16">
                  <c:v>406478.16390422522</c:v>
                </c:pt>
                <c:pt idx="17">
                  <c:v>402162.93289946992</c:v>
                </c:pt>
                <c:pt idx="18">
                  <c:v>397847.70189471467</c:v>
                </c:pt>
                <c:pt idx="19">
                  <c:v>392993.06701436493</c:v>
                </c:pt>
                <c:pt idx="20">
                  <c:v>388677.83600960969</c:v>
                </c:pt>
                <c:pt idx="21">
                  <c:v>383823.20112926007</c:v>
                </c:pt>
              </c:numCache>
            </c:numRef>
          </c:val>
          <c:smooth val="0"/>
          <c:extLst>
            <c:ext xmlns:c16="http://schemas.microsoft.com/office/drawing/2014/chart" uri="{C3380CC4-5D6E-409C-BE32-E72D297353CC}">
              <c16:uniqueId val="{00000000-E1F3-46BE-9E90-A6C2AB0ABC88}"/>
            </c:ext>
          </c:extLst>
        </c:ser>
        <c:ser>
          <c:idx val="1"/>
          <c:order val="1"/>
          <c:tx>
            <c:strRef>
              <c:f>Denmark!$P$2</c:f>
              <c:strCache>
                <c:ptCount val="1"/>
                <c:pt idx="0">
                  <c:v>PHEV price</c:v>
                </c:pt>
              </c:strCache>
            </c:strRef>
          </c:tx>
          <c:spPr>
            <a:ln w="15875" cap="rnd">
              <a:solidFill>
                <a:schemeClr val="accent2"/>
              </a:solidFill>
              <a:round/>
            </a:ln>
            <a:effectLst/>
          </c:spPr>
          <c:marker>
            <c:symbol val="none"/>
          </c:marker>
          <c:cat>
            <c:numRef>
              <c:f>Denmark!$N$3:$N$24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Denmark!$P$3:$P$24</c:f>
              <c:numCache>
                <c:formatCode>0</c:formatCode>
                <c:ptCount val="22"/>
                <c:pt idx="0">
                  <c:v>204100.95397607581</c:v>
                </c:pt>
                <c:pt idx="1">
                  <c:v>216651.94500415513</c:v>
                </c:pt>
                <c:pt idx="2">
                  <c:v>206949.27796794617</c:v>
                </c:pt>
                <c:pt idx="3">
                  <c:v>229362.34973450148</c:v>
                </c:pt>
                <c:pt idx="4">
                  <c:v>224513.56367980185</c:v>
                </c:pt>
                <c:pt idx="5">
                  <c:v>241348.35953563821</c:v>
                </c:pt>
                <c:pt idx="6">
                  <c:v>258024.35423433108</c:v>
                </c:pt>
                <c:pt idx="7">
                  <c:v>329035.26903037704</c:v>
                </c:pt>
                <c:pt idx="8">
                  <c:v>371774.06838648987</c:v>
                </c:pt>
                <c:pt idx="9">
                  <c:v>423612.84468769439</c:v>
                </c:pt>
                <c:pt idx="10">
                  <c:v>429468.81197859324</c:v>
                </c:pt>
                <c:pt idx="11">
                  <c:v>427948.69817194639</c:v>
                </c:pt>
                <c:pt idx="12">
                  <c:v>421617.74464428733</c:v>
                </c:pt>
                <c:pt idx="13">
                  <c:v>425158.17926603701</c:v>
                </c:pt>
                <c:pt idx="14">
                  <c:v>422875.79863883212</c:v>
                </c:pt>
                <c:pt idx="15">
                  <c:v>414052.81392976944</c:v>
                </c:pt>
                <c:pt idx="16">
                  <c:v>406478.16390422522</c:v>
                </c:pt>
                <c:pt idx="17">
                  <c:v>402162.93289946992</c:v>
                </c:pt>
                <c:pt idx="18">
                  <c:v>397847.70189471467</c:v>
                </c:pt>
                <c:pt idx="19">
                  <c:v>392993.06701436493</c:v>
                </c:pt>
                <c:pt idx="20">
                  <c:v>388677.83600960969</c:v>
                </c:pt>
                <c:pt idx="21">
                  <c:v>383823.20112926007</c:v>
                </c:pt>
              </c:numCache>
            </c:numRef>
          </c:val>
          <c:smooth val="0"/>
          <c:extLst>
            <c:ext xmlns:c16="http://schemas.microsoft.com/office/drawing/2014/chart" uri="{C3380CC4-5D6E-409C-BE32-E72D297353CC}">
              <c16:uniqueId val="{00000001-E1F3-46BE-9E90-A6C2AB0ABC88}"/>
            </c:ext>
          </c:extLst>
        </c:ser>
        <c:ser>
          <c:idx val="2"/>
          <c:order val="2"/>
          <c:tx>
            <c:strRef>
              <c:f>Denmark!$Q$2</c:f>
              <c:strCache>
                <c:ptCount val="1"/>
                <c:pt idx="0">
                  <c:v>FFV price</c:v>
                </c:pt>
              </c:strCache>
            </c:strRef>
          </c:tx>
          <c:spPr>
            <a:ln w="28575" cap="rnd">
              <a:solidFill>
                <a:schemeClr val="tx1"/>
              </a:solidFill>
              <a:round/>
            </a:ln>
            <a:effectLst/>
          </c:spPr>
          <c:marker>
            <c:symbol val="none"/>
          </c:marker>
          <c:cat>
            <c:numRef>
              <c:f>Denmark!$N$3:$N$24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Denmark!$Q$3:$Q$24</c:f>
              <c:numCache>
                <c:formatCode>0</c:formatCode>
                <c:ptCount val="22"/>
                <c:pt idx="0">
                  <c:v>292065.03049999999</c:v>
                </c:pt>
                <c:pt idx="1">
                  <c:v>310529.21199999994</c:v>
                </c:pt>
                <c:pt idx="2">
                  <c:v>292156.71655000001</c:v>
                </c:pt>
                <c:pt idx="3">
                  <c:v>322674.70239999995</c:v>
                </c:pt>
                <c:pt idx="4">
                  <c:v>310047.70239999995</c:v>
                </c:pt>
                <c:pt idx="5">
                  <c:v>310176.07689999999</c:v>
                </c:pt>
                <c:pt idx="6">
                  <c:v>387889.72005</c:v>
                </c:pt>
                <c:pt idx="7">
                  <c:v>371158.3088</c:v>
                </c:pt>
                <c:pt idx="8">
                  <c:v>362783.71785000002</c:v>
                </c:pt>
                <c:pt idx="9">
                  <c:v>356975</c:v>
                </c:pt>
                <c:pt idx="10">
                  <c:v>356975</c:v>
                </c:pt>
                <c:pt idx="11">
                  <c:v>356975</c:v>
                </c:pt>
                <c:pt idx="12">
                  <c:v>356975</c:v>
                </c:pt>
                <c:pt idx="13">
                  <c:v>356975</c:v>
                </c:pt>
                <c:pt idx="14">
                  <c:v>356975</c:v>
                </c:pt>
                <c:pt idx="15">
                  <c:v>356975</c:v>
                </c:pt>
                <c:pt idx="16">
                  <c:v>356975</c:v>
                </c:pt>
                <c:pt idx="17">
                  <c:v>356975</c:v>
                </c:pt>
                <c:pt idx="18">
                  <c:v>356975</c:v>
                </c:pt>
                <c:pt idx="19">
                  <c:v>356975</c:v>
                </c:pt>
                <c:pt idx="20">
                  <c:v>356975</c:v>
                </c:pt>
                <c:pt idx="21">
                  <c:v>356975</c:v>
                </c:pt>
              </c:numCache>
            </c:numRef>
          </c:val>
          <c:smooth val="0"/>
          <c:extLst>
            <c:ext xmlns:c16="http://schemas.microsoft.com/office/drawing/2014/chart" uri="{C3380CC4-5D6E-409C-BE32-E72D297353CC}">
              <c16:uniqueId val="{00000002-E1F3-46BE-9E90-A6C2AB0ABC88}"/>
            </c:ext>
          </c:extLst>
        </c:ser>
        <c:dLbls>
          <c:showLegendKey val="0"/>
          <c:showVal val="0"/>
          <c:showCatName val="0"/>
          <c:showSerName val="0"/>
          <c:showPercent val="0"/>
          <c:showBubbleSize val="0"/>
        </c:dLbls>
        <c:smooth val="0"/>
        <c:axId val="797261568"/>
        <c:axId val="797266816"/>
      </c:lineChart>
      <c:catAx>
        <c:axId val="79726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266816"/>
        <c:crosses val="autoZero"/>
        <c:auto val="1"/>
        <c:lblAlgn val="ctr"/>
        <c:lblOffset val="100"/>
        <c:noMultiLvlLbl val="0"/>
      </c:catAx>
      <c:valAx>
        <c:axId val="79726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26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uptake'!$AD$3</c:f>
              <c:strCache>
                <c:ptCount val="1"/>
                <c:pt idx="0">
                  <c:v>Linearized Logistic EV% sales</c:v>
                </c:pt>
              </c:strCache>
            </c:strRef>
          </c:tx>
          <c:spPr>
            <a:ln w="34925" cap="rnd">
              <a:solidFill>
                <a:schemeClr val="tx1"/>
              </a:solidFill>
              <a:round/>
            </a:ln>
            <a:effectLst/>
          </c:spPr>
          <c:marker>
            <c:symbol val="none"/>
          </c:marker>
          <c:cat>
            <c:numRef>
              <c:f>'Finland EV uptake'!$A$7:$A$13</c:f>
              <c:numCache>
                <c:formatCode>General</c:formatCode>
                <c:ptCount val="7"/>
                <c:pt idx="0">
                  <c:v>2012</c:v>
                </c:pt>
                <c:pt idx="1">
                  <c:v>2013</c:v>
                </c:pt>
                <c:pt idx="2">
                  <c:v>2014</c:v>
                </c:pt>
                <c:pt idx="3">
                  <c:v>2015</c:v>
                </c:pt>
                <c:pt idx="4">
                  <c:v>2016</c:v>
                </c:pt>
                <c:pt idx="5">
                  <c:v>2017</c:v>
                </c:pt>
                <c:pt idx="6">
                  <c:v>2018</c:v>
                </c:pt>
              </c:numCache>
            </c:numRef>
          </c:cat>
          <c:val>
            <c:numRef>
              <c:f>'Finland EV uptake'!$AD$7:$AD$13</c:f>
              <c:numCache>
                <c:formatCode>General</c:formatCode>
                <c:ptCount val="7"/>
                <c:pt idx="0">
                  <c:v>-5.9992664353087966</c:v>
                </c:pt>
                <c:pt idx="1">
                  <c:v>-5.7287353651487702</c:v>
                </c:pt>
                <c:pt idx="2">
                  <c:v>-4.9707268935598075</c:v>
                </c:pt>
                <c:pt idx="3">
                  <c:v>-4.6699205853628145</c:v>
                </c:pt>
                <c:pt idx="4">
                  <c:v>-3.9723395584058743</c:v>
                </c:pt>
                <c:pt idx="5">
                  <c:v>-3.1871699533647484</c:v>
                </c:pt>
                <c:pt idx="6">
                  <c:v>-2.5866893440979428</c:v>
                </c:pt>
              </c:numCache>
            </c:numRef>
          </c:val>
          <c:smooth val="0"/>
          <c:extLst>
            <c:ext xmlns:c16="http://schemas.microsoft.com/office/drawing/2014/chart" uri="{C3380CC4-5D6E-409C-BE32-E72D297353CC}">
              <c16:uniqueId val="{00000000-E5C9-4C9C-BA30-34EC63D33D7A}"/>
            </c:ext>
          </c:extLst>
        </c:ser>
        <c:ser>
          <c:idx val="1"/>
          <c:order val="1"/>
          <c:tx>
            <c:strRef>
              <c:f>'Finland EV uptake'!$AE$3</c:f>
              <c:strCache>
                <c:ptCount val="1"/>
                <c:pt idx="0">
                  <c:v>predicted</c:v>
                </c:pt>
              </c:strCache>
            </c:strRef>
          </c:tx>
          <c:spPr>
            <a:ln w="28575" cap="rnd">
              <a:solidFill>
                <a:schemeClr val="accent2"/>
              </a:solidFill>
              <a:round/>
            </a:ln>
            <a:effectLst/>
          </c:spPr>
          <c:marker>
            <c:symbol val="none"/>
          </c:marker>
          <c:cat>
            <c:numRef>
              <c:f>'Finland EV uptake'!$A$7:$A$13</c:f>
              <c:numCache>
                <c:formatCode>General</c:formatCode>
                <c:ptCount val="7"/>
                <c:pt idx="0">
                  <c:v>2012</c:v>
                </c:pt>
                <c:pt idx="1">
                  <c:v>2013</c:v>
                </c:pt>
                <c:pt idx="2">
                  <c:v>2014</c:v>
                </c:pt>
                <c:pt idx="3">
                  <c:v>2015</c:v>
                </c:pt>
                <c:pt idx="4">
                  <c:v>2016</c:v>
                </c:pt>
                <c:pt idx="5">
                  <c:v>2017</c:v>
                </c:pt>
                <c:pt idx="6">
                  <c:v>2018</c:v>
                </c:pt>
              </c:numCache>
            </c:numRef>
          </c:cat>
          <c:val>
            <c:numRef>
              <c:f>'Finland EV uptake'!$AE$7:$AE$13</c:f>
              <c:numCache>
                <c:formatCode>General</c:formatCode>
                <c:ptCount val="7"/>
                <c:pt idx="0">
                  <c:v>-6.4002718925882442</c:v>
                </c:pt>
                <c:pt idx="1">
                  <c:v>-5.6999113837656079</c:v>
                </c:pt>
                <c:pt idx="2">
                  <c:v>-4.9995508749429716</c:v>
                </c:pt>
                <c:pt idx="3">
                  <c:v>-4.676797174385726</c:v>
                </c:pt>
                <c:pt idx="4">
                  <c:v>-3.9764366655630896</c:v>
                </c:pt>
                <c:pt idx="5">
                  <c:v>-3.1871699533647488</c:v>
                </c:pt>
                <c:pt idx="6">
                  <c:v>-2.5757156479178169</c:v>
                </c:pt>
              </c:numCache>
            </c:numRef>
          </c:val>
          <c:smooth val="0"/>
          <c:extLst>
            <c:ext xmlns:c16="http://schemas.microsoft.com/office/drawing/2014/chart" uri="{C3380CC4-5D6E-409C-BE32-E72D297353CC}">
              <c16:uniqueId val="{00000001-E5C9-4C9C-BA30-34EC63D33D7A}"/>
            </c:ext>
          </c:extLst>
        </c:ser>
        <c:dLbls>
          <c:showLegendKey val="0"/>
          <c:showVal val="0"/>
          <c:showCatName val="0"/>
          <c:showSerName val="0"/>
          <c:showPercent val="0"/>
          <c:showBubbleSize val="0"/>
        </c:dLbls>
        <c:smooth val="0"/>
        <c:axId val="592204808"/>
        <c:axId val="592206776"/>
      </c:lineChart>
      <c:catAx>
        <c:axId val="592204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206776"/>
        <c:crosses val="autoZero"/>
        <c:auto val="1"/>
        <c:lblAlgn val="ctr"/>
        <c:lblOffset val="100"/>
        <c:noMultiLvlLbl val="0"/>
      </c:catAx>
      <c:valAx>
        <c:axId val="5922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Linearized Logistic %EV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204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uptake'!$B$3</c:f>
              <c:strCache>
                <c:ptCount val="1"/>
                <c:pt idx="0">
                  <c:v>EV %sales</c:v>
                </c:pt>
              </c:strCache>
            </c:strRef>
          </c:tx>
          <c:spPr>
            <a:ln w="28575" cap="rnd">
              <a:solidFill>
                <a:schemeClr val="accent1"/>
              </a:solidFill>
              <a:round/>
            </a:ln>
            <a:effectLst/>
          </c:spPr>
          <c:marker>
            <c:symbol val="none"/>
          </c:marker>
          <c:cat>
            <c:numRef>
              <c:f>'Finland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'Finland EV uptake'!$B$4:$B$15</c:f>
              <c:numCache>
                <c:formatCode>0.00</c:formatCode>
                <c:ptCount val="12"/>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pt idx="9">
                  <c:v>4.55</c:v>
                </c:pt>
              </c:numCache>
            </c:numRef>
          </c:val>
          <c:smooth val="0"/>
          <c:extLst>
            <c:ext xmlns:c16="http://schemas.microsoft.com/office/drawing/2014/chart" uri="{C3380CC4-5D6E-409C-BE32-E72D297353CC}">
              <c16:uniqueId val="{00000000-98C4-493E-99B1-9E139DB7B454}"/>
            </c:ext>
          </c:extLst>
        </c:ser>
        <c:ser>
          <c:idx val="1"/>
          <c:order val="1"/>
          <c:tx>
            <c:strRef>
              <c:f>'Finland EV uptake'!$C$3</c:f>
              <c:strCache>
                <c:ptCount val="1"/>
                <c:pt idx="0">
                  <c:v>Predicted Cost Lagged</c:v>
                </c:pt>
              </c:strCache>
            </c:strRef>
          </c:tx>
          <c:spPr>
            <a:ln w="28575" cap="rnd">
              <a:solidFill>
                <a:schemeClr val="accent2"/>
              </a:solidFill>
              <a:round/>
            </a:ln>
            <a:effectLst/>
          </c:spPr>
          <c:marker>
            <c:symbol val="none"/>
          </c:marker>
          <c:cat>
            <c:numRef>
              <c:f>'Finland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'Finland EV uptake'!$C$4:$C$15</c:f>
              <c:numCache>
                <c:formatCode>0.00</c:formatCode>
                <c:ptCount val="12"/>
                <c:pt idx="3">
                  <c:v>0.10779280678428281</c:v>
                </c:pt>
                <c:pt idx="4">
                  <c:v>0.2167816204415593</c:v>
                </c:pt>
                <c:pt idx="5">
                  <c:v>0.43522943065798925</c:v>
                </c:pt>
                <c:pt idx="6">
                  <c:v>0.59949021570807204</c:v>
                </c:pt>
                <c:pt idx="7">
                  <c:v>1.1964656516070145</c:v>
                </c:pt>
                <c:pt idx="8">
                  <c:v>2.577341331106104</c:v>
                </c:pt>
                <c:pt idx="9">
                  <c:v>4.596654877069545</c:v>
                </c:pt>
                <c:pt idx="10">
                  <c:v>11.215955938669456</c:v>
                </c:pt>
                <c:pt idx="11">
                  <c:v>14.367487649150064</c:v>
                </c:pt>
              </c:numCache>
            </c:numRef>
          </c:val>
          <c:smooth val="0"/>
          <c:extLst>
            <c:ext xmlns:c16="http://schemas.microsoft.com/office/drawing/2014/chart" uri="{C3380CC4-5D6E-409C-BE32-E72D297353CC}">
              <c16:uniqueId val="{00000001-98C4-493E-99B1-9E139DB7B454}"/>
            </c:ext>
          </c:extLst>
        </c:ser>
        <c:ser>
          <c:idx val="2"/>
          <c:order val="2"/>
          <c:tx>
            <c:strRef>
              <c:f>'Finland EV uptake'!$D$3</c:f>
              <c:strCache>
                <c:ptCount val="1"/>
                <c:pt idx="0">
                  <c:v>rawPredCostLagged</c:v>
                </c:pt>
              </c:strCache>
            </c:strRef>
          </c:tx>
          <c:spPr>
            <a:ln w="28575" cap="rnd">
              <a:solidFill>
                <a:schemeClr val="accent3"/>
              </a:solidFill>
              <a:round/>
            </a:ln>
            <a:effectLst/>
          </c:spPr>
          <c:marker>
            <c:symbol val="none"/>
          </c:marker>
          <c:cat>
            <c:numRef>
              <c:f>'Finland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'Finland EV uptake'!$D$4:$D$15</c:f>
              <c:numCache>
                <c:formatCode>0.00</c:formatCode>
                <c:ptCount val="12"/>
                <c:pt idx="3" formatCode="0.000">
                  <c:v>0.10779280678428281</c:v>
                </c:pt>
                <c:pt idx="4" formatCode="0.000">
                  <c:v>0.2167816204415593</c:v>
                </c:pt>
                <c:pt idx="5" formatCode="0.000">
                  <c:v>0.43522943065798925</c:v>
                </c:pt>
                <c:pt idx="6" formatCode="0.000">
                  <c:v>0.59949021570807204</c:v>
                </c:pt>
                <c:pt idx="7" formatCode="0.000">
                  <c:v>1.1964656516070145</c:v>
                </c:pt>
                <c:pt idx="8" formatCode="0.000">
                  <c:v>2.577341331106104</c:v>
                </c:pt>
                <c:pt idx="9" formatCode="0.000">
                  <c:v>4.596654877069545</c:v>
                </c:pt>
                <c:pt idx="10" formatCode="0.000">
                  <c:v>11.215955938669456</c:v>
                </c:pt>
                <c:pt idx="11" formatCode="0.000">
                  <c:v>14.306501239093336</c:v>
                </c:pt>
              </c:numCache>
            </c:numRef>
          </c:val>
          <c:smooth val="0"/>
          <c:extLst>
            <c:ext xmlns:c16="http://schemas.microsoft.com/office/drawing/2014/chart" uri="{C3380CC4-5D6E-409C-BE32-E72D297353CC}">
              <c16:uniqueId val="{00000002-98C4-493E-99B1-9E139DB7B454}"/>
            </c:ext>
          </c:extLst>
        </c:ser>
        <c:dLbls>
          <c:showLegendKey val="0"/>
          <c:showVal val="0"/>
          <c:showCatName val="0"/>
          <c:showSerName val="0"/>
          <c:showPercent val="0"/>
          <c:showBubbleSize val="0"/>
        </c:dLbls>
        <c:smooth val="0"/>
        <c:axId val="662634392"/>
        <c:axId val="662637672"/>
      </c:lineChart>
      <c:catAx>
        <c:axId val="66263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637672"/>
        <c:crosses val="autoZero"/>
        <c:auto val="1"/>
        <c:lblAlgn val="ctr"/>
        <c:lblOffset val="100"/>
        <c:noMultiLvlLbl val="0"/>
      </c:catAx>
      <c:valAx>
        <c:axId val="662637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63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uptake'!$B$3</c:f>
              <c:strCache>
                <c:ptCount val="1"/>
                <c:pt idx="0">
                  <c:v>EV %sales</c:v>
                </c:pt>
              </c:strCache>
            </c:strRef>
          </c:tx>
          <c:spPr>
            <a:ln w="44450" cap="rnd">
              <a:solidFill>
                <a:schemeClr val="tx1"/>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uptake'!$B$4:$B$45</c:f>
              <c:numCache>
                <c:formatCode>0.00</c:formatCode>
                <c:ptCount val="42"/>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pt idx="9">
                  <c:v>4.55</c:v>
                </c:pt>
              </c:numCache>
            </c:numRef>
          </c:val>
          <c:smooth val="0"/>
          <c:extLst>
            <c:ext xmlns:c16="http://schemas.microsoft.com/office/drawing/2014/chart" uri="{C3380CC4-5D6E-409C-BE32-E72D297353CC}">
              <c16:uniqueId val="{00000000-F53E-445E-95CA-14AE76A420F2}"/>
            </c:ext>
          </c:extLst>
        </c:ser>
        <c:ser>
          <c:idx val="1"/>
          <c:order val="1"/>
          <c:tx>
            <c:strRef>
              <c:f>'Finland EV uptake'!$C$3</c:f>
              <c:strCache>
                <c:ptCount val="1"/>
                <c:pt idx="0">
                  <c:v>Predicted Cost Lagged</c:v>
                </c:pt>
              </c:strCache>
            </c:strRef>
          </c:tx>
          <c:spPr>
            <a:ln w="28575" cap="rnd">
              <a:solidFill>
                <a:schemeClr val="accent2"/>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uptake'!$C$4:$C$45</c:f>
              <c:numCache>
                <c:formatCode>0.00</c:formatCode>
                <c:ptCount val="42"/>
                <c:pt idx="3">
                  <c:v>0.10779280678428281</c:v>
                </c:pt>
                <c:pt idx="4">
                  <c:v>0.2167816204415593</c:v>
                </c:pt>
                <c:pt idx="5">
                  <c:v>0.43522943065798925</c:v>
                </c:pt>
                <c:pt idx="6">
                  <c:v>0.59949021570807204</c:v>
                </c:pt>
                <c:pt idx="7">
                  <c:v>1.1964656516070145</c:v>
                </c:pt>
                <c:pt idx="8">
                  <c:v>2.577341331106104</c:v>
                </c:pt>
                <c:pt idx="9">
                  <c:v>4.596654877069545</c:v>
                </c:pt>
                <c:pt idx="10">
                  <c:v>11.215955938669456</c:v>
                </c:pt>
                <c:pt idx="11">
                  <c:v>14.367487649150064</c:v>
                </c:pt>
                <c:pt idx="12">
                  <c:v>18.265617627829446</c:v>
                </c:pt>
                <c:pt idx="13">
                  <c:v>23.220405124882777</c:v>
                </c:pt>
                <c:pt idx="14">
                  <c:v>28.678843507589971</c:v>
                </c:pt>
                <c:pt idx="15">
                  <c:v>34.355952049744346</c:v>
                </c:pt>
                <c:pt idx="16">
                  <c:v>40.113725422452497</c:v>
                </c:pt>
                <c:pt idx="17">
                  <c:v>45.690626869820264</c:v>
                </c:pt>
                <c:pt idx="18">
                  <c:v>50.950363967952946</c:v>
                </c:pt>
                <c:pt idx="19">
                  <c:v>55.526801517277214</c:v>
                </c:pt>
                <c:pt idx="20">
                  <c:v>59.100104228259383</c:v>
                </c:pt>
                <c:pt idx="21">
                  <c:v>61.260752034074862</c:v>
                </c:pt>
                <c:pt idx="22">
                  <c:v>62.784429615521056</c:v>
                </c:pt>
                <c:pt idx="23">
                  <c:v>63.774538942341827</c:v>
                </c:pt>
                <c:pt idx="24">
                  <c:v>64.34160449647699</c:v>
                </c:pt>
                <c:pt idx="25">
                  <c:v>64.580381567450573</c:v>
                </c:pt>
                <c:pt idx="26">
                  <c:v>64.731973395144877</c:v>
                </c:pt>
                <c:pt idx="27">
                  <c:v>64.828261508675723</c:v>
                </c:pt>
                <c:pt idx="28">
                  <c:v>64.889546774269732</c:v>
                </c:pt>
                <c:pt idx="29">
                  <c:v>64.928680060874711</c:v>
                </c:pt>
                <c:pt idx="30">
                  <c:v>64.953764812139156</c:v>
                </c:pt>
                <c:pt idx="31">
                  <c:v>64.969912632556671</c:v>
                </c:pt>
                <c:pt idx="32">
                  <c:v>64.980354168341577</c:v>
                </c:pt>
                <c:pt idx="33">
                  <c:v>64.98713726741488</c:v>
                </c:pt>
                <c:pt idx="34">
                  <c:v>64.991564654638253</c:v>
                </c:pt>
                <c:pt idx="35">
                  <c:v>64.994468334029492</c:v>
                </c:pt>
                <c:pt idx="36">
                  <c:v>64.99637257711403</c:v>
                </c:pt>
                <c:pt idx="37">
                  <c:v>64.997621334746086</c:v>
                </c:pt>
                <c:pt idx="38">
                  <c:v>64.998440218309142</c:v>
                </c:pt>
                <c:pt idx="39">
                  <c:v>64.998977198728355</c:v>
                </c:pt>
                <c:pt idx="40">
                  <c:v>64.999328698510709</c:v>
                </c:pt>
                <c:pt idx="41">
                  <c:v>64.999557552587504</c:v>
                </c:pt>
              </c:numCache>
            </c:numRef>
          </c:val>
          <c:smooth val="0"/>
          <c:extLst>
            <c:ext xmlns:c16="http://schemas.microsoft.com/office/drawing/2014/chart" uri="{C3380CC4-5D6E-409C-BE32-E72D297353CC}">
              <c16:uniqueId val="{00000001-F53E-445E-95CA-14AE76A420F2}"/>
            </c:ext>
          </c:extLst>
        </c:ser>
        <c:ser>
          <c:idx val="3"/>
          <c:order val="2"/>
          <c:tx>
            <c:strRef>
              <c:f>'Finland EV uptake'!$L$3</c:f>
              <c:strCache>
                <c:ptCount val="1"/>
                <c:pt idx="0">
                  <c:v>predicted cost</c:v>
                </c:pt>
              </c:strCache>
            </c:strRef>
          </c:tx>
          <c:spPr>
            <a:ln w="28575" cap="rnd">
              <a:solidFill>
                <a:schemeClr val="accent4"/>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uptake'!$L$4:$L$45</c:f>
              <c:numCache>
                <c:formatCode>0.00</c:formatCode>
                <c:ptCount val="42"/>
                <c:pt idx="3" formatCode="0.000">
                  <c:v>0.10779280678428281</c:v>
                </c:pt>
                <c:pt idx="4" formatCode="0.000">
                  <c:v>0.2167816204415593</c:v>
                </c:pt>
                <c:pt idx="5" formatCode="0.000">
                  <c:v>0.43522943065798925</c:v>
                </c:pt>
                <c:pt idx="6" formatCode="0.000">
                  <c:v>0.59949021570807204</c:v>
                </c:pt>
                <c:pt idx="7" formatCode="0.000">
                  <c:v>1.1964656516070145</c:v>
                </c:pt>
                <c:pt idx="8" formatCode="0.000">
                  <c:v>2.577341331106104</c:v>
                </c:pt>
                <c:pt idx="9" formatCode="0.000">
                  <c:v>4.596654877069545</c:v>
                </c:pt>
                <c:pt idx="10" formatCode="0.000">
                  <c:v>11.215955938669456</c:v>
                </c:pt>
                <c:pt idx="11" formatCode="0.000">
                  <c:v>17.930999285489332</c:v>
                </c:pt>
                <c:pt idx="12" formatCode="0.000">
                  <c:v>26.323317769546026</c:v>
                </c:pt>
                <c:pt idx="13" formatCode="0.000">
                  <c:v>36.439264558787315</c:v>
                </c:pt>
                <c:pt idx="14" formatCode="0.000">
                  <c:v>45.771095577498961</c:v>
                </c:pt>
                <c:pt idx="15" formatCode="0.000">
                  <c:v>53.480001017766384</c:v>
                </c:pt>
                <c:pt idx="16" formatCode="0.000">
                  <c:v>59.096105148865675</c:v>
                </c:pt>
                <c:pt idx="17" formatCode="0.000">
                  <c:v>62.746319780239617</c:v>
                </c:pt>
                <c:pt idx="18" formatCode="0.000">
                  <c:v>63.883411132441708</c:v>
                </c:pt>
                <c:pt idx="19" formatCode="0.000">
                  <c:v>64.474768084721887</c:v>
                </c:pt>
                <c:pt idx="20" formatCode="0.000">
                  <c:v>64.775425698042653</c:v>
                </c:pt>
                <c:pt idx="21" formatCode="0.000">
                  <c:v>64.926487850290883</c:v>
                </c:pt>
                <c:pt idx="22" formatCode="0.000">
                  <c:v>64.963470948855516</c:v>
                </c:pt>
                <c:pt idx="23" formatCode="0.000">
                  <c:v>64.981857575042596</c:v>
                </c:pt>
                <c:pt idx="24" formatCode="0.000">
                  <c:v>64.990991723091398</c:v>
                </c:pt>
                <c:pt idx="25" formatCode="0.000">
                  <c:v>64.995527676658369</c:v>
                </c:pt>
                <c:pt idx="26" formatCode="0.000">
                  <c:v>64.997779772971811</c:v>
                </c:pt>
                <c:pt idx="27" formatCode="0.000">
                  <c:v>64.998897831403752</c:v>
                </c:pt>
                <c:pt idx="28" formatCode="0.000">
                  <c:v>64.999452868201089</c:v>
                </c:pt>
                <c:pt idx="29" formatCode="0.000">
                  <c:v>64.999728398263457</c:v>
                </c:pt>
                <c:pt idx="30" formatCode="0.000">
                  <c:v>64.999865174676387</c:v>
                </c:pt>
                <c:pt idx="31" formatCode="0.000">
                  <c:v>64.999933071733295</c:v>
                </c:pt>
                <c:pt idx="32" formatCode="0.000">
                  <c:v>64.999966776355123</c:v>
                </c:pt>
                <c:pt idx="33" formatCode="0.000">
                  <c:v>64.999983507565361</c:v>
                </c:pt>
                <c:pt idx="34" formatCode="0.000">
                  <c:v>64.999991813049462</c:v>
                </c:pt>
                <c:pt idx="35" formatCode="0.000">
                  <c:v>64.999995935945606</c:v>
                </c:pt>
                <c:pt idx="36" formatCode="0.000">
                  <c:v>64.999997982577639</c:v>
                </c:pt>
                <c:pt idx="37" formatCode="0.000">
                  <c:v>64.999998998538786</c:v>
                </c:pt>
                <c:pt idx="38" formatCode="0.000">
                  <c:v>64.999999502868334</c:v>
                </c:pt>
                <c:pt idx="39" formatCode="0.000">
                  <c:v>64.999999753220692</c:v>
                </c:pt>
                <c:pt idx="40" formatCode="0.000">
                  <c:v>64.999999877497203</c:v>
                </c:pt>
                <c:pt idx="41" formatCode="0.000">
                  <c:v>64.999999939188825</c:v>
                </c:pt>
              </c:numCache>
            </c:numRef>
          </c:val>
          <c:smooth val="0"/>
          <c:extLst>
            <c:ext xmlns:c16="http://schemas.microsoft.com/office/drawing/2014/chart" uri="{C3380CC4-5D6E-409C-BE32-E72D297353CC}">
              <c16:uniqueId val="{00000003-F53E-445E-95CA-14AE76A420F2}"/>
            </c:ext>
          </c:extLst>
        </c:ser>
        <c:ser>
          <c:idx val="4"/>
          <c:order val="3"/>
          <c:tx>
            <c:strRef>
              <c:f>'Finland EV uptake'!$AB$3</c:f>
              <c:strCache>
                <c:ptCount val="1"/>
                <c:pt idx="0">
                  <c:v>raw predicted</c:v>
                </c:pt>
              </c:strCache>
            </c:strRef>
          </c:tx>
          <c:spPr>
            <a:ln w="28575" cap="rnd">
              <a:solidFill>
                <a:schemeClr val="accent5"/>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uptake'!$AB$4:$AB$45</c:f>
              <c:numCache>
                <c:formatCode>0.00</c:formatCode>
                <c:ptCount val="42"/>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pt idx="10">
                  <c:v>8.6400147217897896</c:v>
                </c:pt>
                <c:pt idx="11">
                  <c:v>15.336968936398058</c:v>
                </c:pt>
                <c:pt idx="12">
                  <c:v>24.928799826983788</c:v>
                </c:pt>
                <c:pt idx="13">
                  <c:v>36.15255806520549</c:v>
                </c:pt>
                <c:pt idx="14">
                  <c:v>46.558247297352999</c:v>
                </c:pt>
                <c:pt idx="15">
                  <c:v>54.319355186406916</c:v>
                </c:pt>
                <c:pt idx="16">
                  <c:v>59.219748667996228</c:v>
                </c:pt>
                <c:pt idx="17">
                  <c:v>61.996124029956285</c:v>
                </c:pt>
                <c:pt idx="18">
                  <c:v>63.473327028320881</c:v>
                </c:pt>
                <c:pt idx="19">
                  <c:v>64.233078720701982</c:v>
                </c:pt>
                <c:pt idx="20">
                  <c:v>64.617019845831976</c:v>
                </c:pt>
                <c:pt idx="21">
                  <c:v>64.809320454222686</c:v>
                </c:pt>
                <c:pt idx="22">
                  <c:v>64.905205429006713</c:v>
                </c:pt>
                <c:pt idx="23">
                  <c:v>64.952908791357117</c:v>
                </c:pt>
                <c:pt idx="24">
                  <c:v>64.976615094924767</c:v>
                </c:pt>
                <c:pt idx="25">
                  <c:v>64.988389481943116</c:v>
                </c:pt>
                <c:pt idx="26">
                  <c:v>64.994235947045865</c:v>
                </c:pt>
                <c:pt idx="27">
                  <c:v>64.997138559942073</c:v>
                </c:pt>
                <c:pt idx="28">
                  <c:v>64.998579531601152</c:v>
                </c:pt>
                <c:pt idx="29">
                  <c:v>64.999294862759669</c:v>
                </c:pt>
                <c:pt idx="30">
                  <c:v>64.999649963510308</c:v>
                </c:pt>
                <c:pt idx="31">
                  <c:v>64.999826239205618</c:v>
                </c:pt>
                <c:pt idx="32">
                  <c:v>64.999913743928659</c:v>
                </c:pt>
                <c:pt idx="33">
                  <c:v>64.999957181913061</c:v>
                </c:pt>
                <c:pt idx="34">
                  <c:v>64.99997874482429</c:v>
                </c:pt>
                <c:pt idx="35">
                  <c:v>64.999989448794864</c:v>
                </c:pt>
                <c:pt idx="36">
                  <c:v>64.999994762314728</c:v>
                </c:pt>
                <c:pt idx="37">
                  <c:v>64.999997399979861</c:v>
                </c:pt>
                <c:pt idx="38">
                  <c:v>64.999998709333568</c:v>
                </c:pt>
                <c:pt idx="39">
                  <c:v>64.999999359305022</c:v>
                </c:pt>
                <c:pt idx="40">
                  <c:v>64.999999681954975</c:v>
                </c:pt>
                <c:pt idx="41">
                  <c:v>64.999999842120445</c:v>
                </c:pt>
              </c:numCache>
            </c:numRef>
          </c:val>
          <c:smooth val="0"/>
          <c:extLst>
            <c:ext xmlns:c16="http://schemas.microsoft.com/office/drawing/2014/chart" uri="{C3380CC4-5D6E-409C-BE32-E72D297353CC}">
              <c16:uniqueId val="{00000004-F53E-445E-95CA-14AE76A420F2}"/>
            </c:ext>
          </c:extLst>
        </c:ser>
        <c:dLbls>
          <c:showLegendKey val="0"/>
          <c:showVal val="0"/>
          <c:showCatName val="0"/>
          <c:showSerName val="0"/>
          <c:showPercent val="0"/>
          <c:showBubbleSize val="0"/>
        </c:dLbls>
        <c:smooth val="0"/>
        <c:axId val="637113576"/>
        <c:axId val="637104392"/>
      </c:lineChart>
      <c:catAx>
        <c:axId val="6371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04392"/>
        <c:crosses val="autoZero"/>
        <c:auto val="1"/>
        <c:lblAlgn val="ctr"/>
        <c:lblOffset val="100"/>
        <c:noMultiLvlLbl val="0"/>
      </c:catAx>
      <c:valAx>
        <c:axId val="637104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590031551344904E-2"/>
              <c:y val="0.31664164851733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13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uptake'!$B$3</c:f>
              <c:strCache>
                <c:ptCount val="1"/>
                <c:pt idx="0">
                  <c:v>EV %sales</c:v>
                </c:pt>
              </c:strCache>
            </c:strRef>
          </c:tx>
          <c:spPr>
            <a:ln w="44450" cap="rnd">
              <a:solidFill>
                <a:schemeClr val="tx1"/>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uptake'!$B$4:$B$45</c:f>
              <c:numCache>
                <c:formatCode>0.00</c:formatCode>
                <c:ptCount val="42"/>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pt idx="9">
                  <c:v>4.55</c:v>
                </c:pt>
              </c:numCache>
            </c:numRef>
          </c:val>
          <c:smooth val="0"/>
          <c:extLst>
            <c:ext xmlns:c16="http://schemas.microsoft.com/office/drawing/2014/chart" uri="{C3380CC4-5D6E-409C-BE32-E72D297353CC}">
              <c16:uniqueId val="{00000000-C9F8-4C66-9691-E7137E5653CD}"/>
            </c:ext>
          </c:extLst>
        </c:ser>
        <c:ser>
          <c:idx val="3"/>
          <c:order val="1"/>
          <c:tx>
            <c:strRef>
              <c:f>'Finland EV uptake'!$L$3</c:f>
              <c:strCache>
                <c:ptCount val="1"/>
                <c:pt idx="0">
                  <c:v>predicted cost</c:v>
                </c:pt>
              </c:strCache>
            </c:strRef>
          </c:tx>
          <c:spPr>
            <a:ln w="28575" cap="rnd">
              <a:solidFill>
                <a:schemeClr val="accent4"/>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uptake'!$L$4:$L$45</c:f>
              <c:numCache>
                <c:formatCode>0.00</c:formatCode>
                <c:ptCount val="42"/>
                <c:pt idx="3" formatCode="0.000">
                  <c:v>0.10779280678428281</c:v>
                </c:pt>
                <c:pt idx="4" formatCode="0.000">
                  <c:v>0.2167816204415593</c:v>
                </c:pt>
                <c:pt idx="5" formatCode="0.000">
                  <c:v>0.43522943065798925</c:v>
                </c:pt>
                <c:pt idx="6" formatCode="0.000">
                  <c:v>0.59949021570807204</c:v>
                </c:pt>
                <c:pt idx="7" formatCode="0.000">
                  <c:v>1.1964656516070145</c:v>
                </c:pt>
                <c:pt idx="8" formatCode="0.000">
                  <c:v>2.577341331106104</c:v>
                </c:pt>
                <c:pt idx="9" formatCode="0.000">
                  <c:v>4.596654877069545</c:v>
                </c:pt>
                <c:pt idx="10" formatCode="0.000">
                  <c:v>11.215955938669456</c:v>
                </c:pt>
                <c:pt idx="11" formatCode="0.000">
                  <c:v>17.930999285489332</c:v>
                </c:pt>
                <c:pt idx="12" formatCode="0.000">
                  <c:v>26.323317769546026</c:v>
                </c:pt>
                <c:pt idx="13" formatCode="0.000">
                  <c:v>36.439264558787315</c:v>
                </c:pt>
                <c:pt idx="14" formatCode="0.000">
                  <c:v>45.771095577498961</c:v>
                </c:pt>
                <c:pt idx="15" formatCode="0.000">
                  <c:v>53.480001017766384</c:v>
                </c:pt>
                <c:pt idx="16" formatCode="0.000">
                  <c:v>59.096105148865675</c:v>
                </c:pt>
                <c:pt idx="17" formatCode="0.000">
                  <c:v>62.746319780239617</c:v>
                </c:pt>
                <c:pt idx="18" formatCode="0.000">
                  <c:v>63.883411132441708</c:v>
                </c:pt>
                <c:pt idx="19" formatCode="0.000">
                  <c:v>64.474768084721887</c:v>
                </c:pt>
                <c:pt idx="20" formatCode="0.000">
                  <c:v>64.775425698042653</c:v>
                </c:pt>
                <c:pt idx="21" formatCode="0.000">
                  <c:v>64.926487850290883</c:v>
                </c:pt>
                <c:pt idx="22" formatCode="0.000">
                  <c:v>64.963470948855516</c:v>
                </c:pt>
                <c:pt idx="23" formatCode="0.000">
                  <c:v>64.981857575042596</c:v>
                </c:pt>
                <c:pt idx="24" formatCode="0.000">
                  <c:v>64.990991723091398</c:v>
                </c:pt>
                <c:pt idx="25" formatCode="0.000">
                  <c:v>64.995527676658369</c:v>
                </c:pt>
                <c:pt idx="26" formatCode="0.000">
                  <c:v>64.997779772971811</c:v>
                </c:pt>
                <c:pt idx="27" formatCode="0.000">
                  <c:v>64.998897831403752</c:v>
                </c:pt>
                <c:pt idx="28" formatCode="0.000">
                  <c:v>64.999452868201089</c:v>
                </c:pt>
                <c:pt idx="29" formatCode="0.000">
                  <c:v>64.999728398263457</c:v>
                </c:pt>
                <c:pt idx="30" formatCode="0.000">
                  <c:v>64.999865174676387</c:v>
                </c:pt>
                <c:pt idx="31" formatCode="0.000">
                  <c:v>64.999933071733295</c:v>
                </c:pt>
                <c:pt idx="32" formatCode="0.000">
                  <c:v>64.999966776355123</c:v>
                </c:pt>
                <c:pt idx="33" formatCode="0.000">
                  <c:v>64.999983507565361</c:v>
                </c:pt>
                <c:pt idx="34" formatCode="0.000">
                  <c:v>64.999991813049462</c:v>
                </c:pt>
                <c:pt idx="35" formatCode="0.000">
                  <c:v>64.999995935945606</c:v>
                </c:pt>
                <c:pt idx="36" formatCode="0.000">
                  <c:v>64.999997982577639</c:v>
                </c:pt>
                <c:pt idx="37" formatCode="0.000">
                  <c:v>64.999998998538786</c:v>
                </c:pt>
                <c:pt idx="38" formatCode="0.000">
                  <c:v>64.999999502868334</c:v>
                </c:pt>
                <c:pt idx="39" formatCode="0.000">
                  <c:v>64.999999753220692</c:v>
                </c:pt>
                <c:pt idx="40" formatCode="0.000">
                  <c:v>64.999999877497203</c:v>
                </c:pt>
                <c:pt idx="41" formatCode="0.000">
                  <c:v>64.999999939188825</c:v>
                </c:pt>
              </c:numCache>
            </c:numRef>
          </c:val>
          <c:smooth val="0"/>
          <c:extLst>
            <c:ext xmlns:c16="http://schemas.microsoft.com/office/drawing/2014/chart" uri="{C3380CC4-5D6E-409C-BE32-E72D297353CC}">
              <c16:uniqueId val="{00000002-C9F8-4C66-9691-E7137E5653CD}"/>
            </c:ext>
          </c:extLst>
        </c:ser>
        <c:ser>
          <c:idx val="4"/>
          <c:order val="2"/>
          <c:tx>
            <c:strRef>
              <c:f>'Finland EV uptake'!$AB$3</c:f>
              <c:strCache>
                <c:ptCount val="1"/>
                <c:pt idx="0">
                  <c:v>raw predicted</c:v>
                </c:pt>
              </c:strCache>
            </c:strRef>
          </c:tx>
          <c:spPr>
            <a:ln w="28575" cap="rnd">
              <a:solidFill>
                <a:schemeClr val="accent5"/>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uptake'!$AB$4:$AB$45</c:f>
              <c:numCache>
                <c:formatCode>0.00</c:formatCode>
                <c:ptCount val="42"/>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pt idx="10">
                  <c:v>8.6400147217897896</c:v>
                </c:pt>
                <c:pt idx="11">
                  <c:v>15.336968936398058</c:v>
                </c:pt>
                <c:pt idx="12">
                  <c:v>24.928799826983788</c:v>
                </c:pt>
                <c:pt idx="13">
                  <c:v>36.15255806520549</c:v>
                </c:pt>
                <c:pt idx="14">
                  <c:v>46.558247297352999</c:v>
                </c:pt>
                <c:pt idx="15">
                  <c:v>54.319355186406916</c:v>
                </c:pt>
                <c:pt idx="16">
                  <c:v>59.219748667996228</c:v>
                </c:pt>
                <c:pt idx="17">
                  <c:v>61.996124029956285</c:v>
                </c:pt>
                <c:pt idx="18">
                  <c:v>63.473327028320881</c:v>
                </c:pt>
                <c:pt idx="19">
                  <c:v>64.233078720701982</c:v>
                </c:pt>
                <c:pt idx="20">
                  <c:v>64.617019845831976</c:v>
                </c:pt>
                <c:pt idx="21">
                  <c:v>64.809320454222686</c:v>
                </c:pt>
                <c:pt idx="22">
                  <c:v>64.905205429006713</c:v>
                </c:pt>
                <c:pt idx="23">
                  <c:v>64.952908791357117</c:v>
                </c:pt>
                <c:pt idx="24">
                  <c:v>64.976615094924767</c:v>
                </c:pt>
                <c:pt idx="25">
                  <c:v>64.988389481943116</c:v>
                </c:pt>
                <c:pt idx="26">
                  <c:v>64.994235947045865</c:v>
                </c:pt>
                <c:pt idx="27">
                  <c:v>64.997138559942073</c:v>
                </c:pt>
                <c:pt idx="28">
                  <c:v>64.998579531601152</c:v>
                </c:pt>
                <c:pt idx="29">
                  <c:v>64.999294862759669</c:v>
                </c:pt>
                <c:pt idx="30">
                  <c:v>64.999649963510308</c:v>
                </c:pt>
                <c:pt idx="31">
                  <c:v>64.999826239205618</c:v>
                </c:pt>
                <c:pt idx="32">
                  <c:v>64.999913743928659</c:v>
                </c:pt>
                <c:pt idx="33">
                  <c:v>64.999957181913061</c:v>
                </c:pt>
                <c:pt idx="34">
                  <c:v>64.99997874482429</c:v>
                </c:pt>
                <c:pt idx="35">
                  <c:v>64.999989448794864</c:v>
                </c:pt>
                <c:pt idx="36">
                  <c:v>64.999994762314728</c:v>
                </c:pt>
                <c:pt idx="37">
                  <c:v>64.999997399979861</c:v>
                </c:pt>
                <c:pt idx="38">
                  <c:v>64.999998709333568</c:v>
                </c:pt>
                <c:pt idx="39">
                  <c:v>64.999999359305022</c:v>
                </c:pt>
                <c:pt idx="40">
                  <c:v>64.999999681954975</c:v>
                </c:pt>
                <c:pt idx="41">
                  <c:v>64.999999842120445</c:v>
                </c:pt>
              </c:numCache>
            </c:numRef>
          </c:val>
          <c:smooth val="0"/>
          <c:extLst>
            <c:ext xmlns:c16="http://schemas.microsoft.com/office/drawing/2014/chart" uri="{C3380CC4-5D6E-409C-BE32-E72D297353CC}">
              <c16:uniqueId val="{00000003-C9F8-4C66-9691-E7137E5653CD}"/>
            </c:ext>
          </c:extLst>
        </c:ser>
        <c:dLbls>
          <c:showLegendKey val="0"/>
          <c:showVal val="0"/>
          <c:showCatName val="0"/>
          <c:showSerName val="0"/>
          <c:showPercent val="0"/>
          <c:showBubbleSize val="0"/>
        </c:dLbls>
        <c:smooth val="0"/>
        <c:axId val="637113576"/>
        <c:axId val="637104392"/>
      </c:lineChart>
      <c:catAx>
        <c:axId val="6371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04392"/>
        <c:crosses val="autoZero"/>
        <c:auto val="1"/>
        <c:lblAlgn val="ctr"/>
        <c:lblOffset val="100"/>
        <c:noMultiLvlLbl val="0"/>
      </c:catAx>
      <c:valAx>
        <c:axId val="637104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590031551344904E-2"/>
              <c:y val="0.31664164851733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13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uptake'!$B$3</c:f>
              <c:strCache>
                <c:ptCount val="1"/>
                <c:pt idx="0">
                  <c:v>EV %sales</c:v>
                </c:pt>
              </c:strCache>
            </c:strRef>
          </c:tx>
          <c:spPr>
            <a:ln w="44450" cap="rnd">
              <a:solidFill>
                <a:schemeClr val="tx1"/>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uptake'!$B$4:$B$45</c:f>
              <c:numCache>
                <c:formatCode>0.00</c:formatCode>
                <c:ptCount val="42"/>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pt idx="9">
                  <c:v>4.55</c:v>
                </c:pt>
              </c:numCache>
            </c:numRef>
          </c:val>
          <c:smooth val="0"/>
          <c:extLst>
            <c:ext xmlns:c16="http://schemas.microsoft.com/office/drawing/2014/chart" uri="{C3380CC4-5D6E-409C-BE32-E72D297353CC}">
              <c16:uniqueId val="{00000000-38B6-4978-A4B3-605D89E2E60F}"/>
            </c:ext>
          </c:extLst>
        </c:ser>
        <c:ser>
          <c:idx val="4"/>
          <c:order val="1"/>
          <c:tx>
            <c:strRef>
              <c:f>'Finland EV uptake'!$AB$3</c:f>
              <c:strCache>
                <c:ptCount val="1"/>
                <c:pt idx="0">
                  <c:v>raw predicted</c:v>
                </c:pt>
              </c:strCache>
            </c:strRef>
          </c:tx>
          <c:spPr>
            <a:ln w="28575" cap="rnd">
              <a:solidFill>
                <a:schemeClr val="accent5"/>
              </a:solidFill>
              <a:round/>
            </a:ln>
            <a:effectLst/>
          </c:spPr>
          <c:marker>
            <c:symbol val="none"/>
          </c:marker>
          <c:cat>
            <c:numRef>
              <c:f>'Finland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'Finland EV uptake'!$AB$4:$AB$45</c:f>
              <c:numCache>
                <c:formatCode>0.00</c:formatCode>
                <c:ptCount val="42"/>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pt idx="10">
                  <c:v>8.6400147217897896</c:v>
                </c:pt>
                <c:pt idx="11">
                  <c:v>15.336968936398058</c:v>
                </c:pt>
                <c:pt idx="12">
                  <c:v>24.928799826983788</c:v>
                </c:pt>
                <c:pt idx="13">
                  <c:v>36.15255806520549</c:v>
                </c:pt>
                <c:pt idx="14">
                  <c:v>46.558247297352999</c:v>
                </c:pt>
                <c:pt idx="15">
                  <c:v>54.319355186406916</c:v>
                </c:pt>
                <c:pt idx="16">
                  <c:v>59.219748667996228</c:v>
                </c:pt>
                <c:pt idx="17">
                  <c:v>61.996124029956285</c:v>
                </c:pt>
                <c:pt idx="18">
                  <c:v>63.473327028320881</c:v>
                </c:pt>
                <c:pt idx="19">
                  <c:v>64.233078720701982</c:v>
                </c:pt>
                <c:pt idx="20">
                  <c:v>64.617019845831976</c:v>
                </c:pt>
                <c:pt idx="21">
                  <c:v>64.809320454222686</c:v>
                </c:pt>
                <c:pt idx="22">
                  <c:v>64.905205429006713</c:v>
                </c:pt>
                <c:pt idx="23">
                  <c:v>64.952908791357117</c:v>
                </c:pt>
                <c:pt idx="24">
                  <c:v>64.976615094924767</c:v>
                </c:pt>
                <c:pt idx="25">
                  <c:v>64.988389481943116</c:v>
                </c:pt>
                <c:pt idx="26">
                  <c:v>64.994235947045865</c:v>
                </c:pt>
                <c:pt idx="27">
                  <c:v>64.997138559942073</c:v>
                </c:pt>
                <c:pt idx="28">
                  <c:v>64.998579531601152</c:v>
                </c:pt>
                <c:pt idx="29">
                  <c:v>64.999294862759669</c:v>
                </c:pt>
                <c:pt idx="30">
                  <c:v>64.999649963510308</c:v>
                </c:pt>
                <c:pt idx="31">
                  <c:v>64.999826239205618</c:v>
                </c:pt>
                <c:pt idx="32">
                  <c:v>64.999913743928659</c:v>
                </c:pt>
                <c:pt idx="33">
                  <c:v>64.999957181913061</c:v>
                </c:pt>
                <c:pt idx="34">
                  <c:v>64.99997874482429</c:v>
                </c:pt>
                <c:pt idx="35">
                  <c:v>64.999989448794864</c:v>
                </c:pt>
                <c:pt idx="36">
                  <c:v>64.999994762314728</c:v>
                </c:pt>
                <c:pt idx="37">
                  <c:v>64.999997399979861</c:v>
                </c:pt>
                <c:pt idx="38">
                  <c:v>64.999998709333568</c:v>
                </c:pt>
                <c:pt idx="39">
                  <c:v>64.999999359305022</c:v>
                </c:pt>
                <c:pt idx="40">
                  <c:v>64.999999681954975</c:v>
                </c:pt>
                <c:pt idx="41">
                  <c:v>64.999999842120445</c:v>
                </c:pt>
              </c:numCache>
            </c:numRef>
          </c:val>
          <c:smooth val="0"/>
          <c:extLst>
            <c:ext xmlns:c16="http://schemas.microsoft.com/office/drawing/2014/chart" uri="{C3380CC4-5D6E-409C-BE32-E72D297353CC}">
              <c16:uniqueId val="{00000003-38B6-4978-A4B3-605D89E2E60F}"/>
            </c:ext>
          </c:extLst>
        </c:ser>
        <c:dLbls>
          <c:showLegendKey val="0"/>
          <c:showVal val="0"/>
          <c:showCatName val="0"/>
          <c:showSerName val="0"/>
          <c:showPercent val="0"/>
          <c:showBubbleSize val="0"/>
        </c:dLbls>
        <c:smooth val="0"/>
        <c:axId val="637113576"/>
        <c:axId val="637104392"/>
      </c:lineChart>
      <c:catAx>
        <c:axId val="6371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04392"/>
        <c:crosses val="autoZero"/>
        <c:auto val="1"/>
        <c:lblAlgn val="ctr"/>
        <c:lblOffset val="100"/>
        <c:noMultiLvlLbl val="0"/>
      </c:catAx>
      <c:valAx>
        <c:axId val="637104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590031551344904E-2"/>
              <c:y val="0.31664164851733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113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Netherlands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%sales'!$BV$81</c:f>
              <c:strCache>
                <c:ptCount val="1"/>
              </c:strCache>
            </c:strRef>
          </c:tx>
          <c:spPr>
            <a:ln w="28575" cap="rnd">
              <a:solidFill>
                <a:schemeClr val="accent1"/>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%sales'!$BV$82:$BV$89</c:f>
              <c:numCache>
                <c:formatCode>0</c:formatCode>
                <c:ptCount val="8"/>
                <c:pt idx="0">
                  <c:v>483</c:v>
                </c:pt>
                <c:pt idx="1">
                  <c:v>556</c:v>
                </c:pt>
                <c:pt idx="2">
                  <c:v>502</c:v>
                </c:pt>
                <c:pt idx="3">
                  <c:v>417</c:v>
                </c:pt>
                <c:pt idx="4">
                  <c:v>388</c:v>
                </c:pt>
                <c:pt idx="5">
                  <c:v>449</c:v>
                </c:pt>
                <c:pt idx="6">
                  <c:v>383</c:v>
                </c:pt>
                <c:pt idx="7">
                  <c:v>415</c:v>
                </c:pt>
              </c:numCache>
            </c:numRef>
          </c:val>
          <c:smooth val="0"/>
          <c:extLst>
            <c:ext xmlns:c16="http://schemas.microsoft.com/office/drawing/2014/chart" uri="{C3380CC4-5D6E-409C-BE32-E72D297353CC}">
              <c16:uniqueId val="{00000000-519B-4574-B39A-7EDABEF2FB9F}"/>
            </c:ext>
          </c:extLst>
        </c:ser>
        <c:ser>
          <c:idx val="1"/>
          <c:order val="1"/>
          <c:tx>
            <c:strRef>
              <c:f>'EV %sales'!$CP$81</c:f>
              <c:strCache>
                <c:ptCount val="1"/>
                <c:pt idx="0">
                  <c:v>387</c:v>
                </c:pt>
              </c:strCache>
            </c:strRef>
          </c:tx>
          <c:spPr>
            <a:ln w="28575" cap="rnd">
              <a:solidFill>
                <a:schemeClr val="accent2"/>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%sales'!$CP$82:$CP$89</c:f>
              <c:numCache>
                <c:formatCode>0</c:formatCode>
                <c:ptCount val="8"/>
                <c:pt idx="0">
                  <c:v>482.54500000000002</c:v>
                </c:pt>
                <c:pt idx="1">
                  <c:v>555.798</c:v>
                </c:pt>
                <c:pt idx="2">
                  <c:v>502.49599999999998</c:v>
                </c:pt>
                <c:pt idx="3">
                  <c:v>417.036</c:v>
                </c:pt>
                <c:pt idx="4">
                  <c:v>390.41199999999998</c:v>
                </c:pt>
                <c:pt idx="5">
                  <c:v>452.20699999999999</c:v>
                </c:pt>
                <c:pt idx="6">
                  <c:v>385.048</c:v>
                </c:pt>
                <c:pt idx="7">
                  <c:v>417.69499999999999</c:v>
                </c:pt>
              </c:numCache>
            </c:numRef>
          </c:val>
          <c:smooth val="0"/>
          <c:extLst>
            <c:ext xmlns:c16="http://schemas.microsoft.com/office/drawing/2014/chart" uri="{C3380CC4-5D6E-409C-BE32-E72D297353CC}">
              <c16:uniqueId val="{00000001-519B-4574-B39A-7EDABEF2FB9F}"/>
            </c:ext>
          </c:extLst>
        </c:ser>
        <c:dLbls>
          <c:showLegendKey val="0"/>
          <c:showVal val="0"/>
          <c:showCatName val="0"/>
          <c:showSerName val="0"/>
          <c:showPercent val="0"/>
          <c:showBubbleSize val="0"/>
        </c:dLbls>
        <c:smooth val="0"/>
        <c:axId val="602502904"/>
        <c:axId val="602508808"/>
      </c:lineChart>
      <c:catAx>
        <c:axId val="6025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08808"/>
        <c:crosses val="autoZero"/>
        <c:auto val="1"/>
        <c:lblAlgn val="ctr"/>
        <c:lblOffset val="100"/>
        <c:noMultiLvlLbl val="0"/>
      </c:catAx>
      <c:valAx>
        <c:axId val="60250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0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uptake'!$B$3</c:f>
              <c:strCache>
                <c:ptCount val="1"/>
                <c:pt idx="0">
                  <c:v>EV %sales</c:v>
                </c:pt>
              </c:strCache>
            </c:strRef>
          </c:tx>
          <c:spPr>
            <a:ln w="44450" cap="rnd">
              <a:solidFill>
                <a:schemeClr val="tx1"/>
              </a:solidFill>
              <a:round/>
            </a:ln>
            <a:effectLst/>
          </c:spPr>
          <c:marker>
            <c:symbol val="none"/>
          </c:marker>
          <c:cat>
            <c:numRef>
              <c:f>'Finland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'Finland EV uptake'!$B$4:$B$13</c:f>
              <c:numCache>
                <c:formatCode>0.00</c:formatCode>
                <c:ptCount val="10"/>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pt idx="9">
                  <c:v>4.55</c:v>
                </c:pt>
              </c:numCache>
            </c:numRef>
          </c:val>
          <c:smooth val="0"/>
          <c:extLst>
            <c:ext xmlns:c16="http://schemas.microsoft.com/office/drawing/2014/chart" uri="{C3380CC4-5D6E-409C-BE32-E72D297353CC}">
              <c16:uniqueId val="{00000000-C984-44C5-9C89-3E9B96E22B3B}"/>
            </c:ext>
          </c:extLst>
        </c:ser>
        <c:ser>
          <c:idx val="1"/>
          <c:order val="1"/>
          <c:tx>
            <c:strRef>
              <c:f>'Finland EV uptake'!$AB$3</c:f>
              <c:strCache>
                <c:ptCount val="1"/>
                <c:pt idx="0">
                  <c:v>raw predicted</c:v>
                </c:pt>
              </c:strCache>
            </c:strRef>
          </c:tx>
          <c:spPr>
            <a:ln w="28575" cap="rnd">
              <a:solidFill>
                <a:schemeClr val="accent2"/>
              </a:solidFill>
              <a:round/>
            </a:ln>
            <a:effectLst/>
          </c:spPr>
          <c:marker>
            <c:symbol val="none"/>
          </c:marker>
          <c:cat>
            <c:numRef>
              <c:f>'Finland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'Finland EV uptake'!$AB$4:$AB$13</c:f>
              <c:numCache>
                <c:formatCode>0.00</c:formatCode>
                <c:ptCount val="10"/>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numCache>
            </c:numRef>
          </c:val>
          <c:smooth val="0"/>
          <c:extLst>
            <c:ext xmlns:c16="http://schemas.microsoft.com/office/drawing/2014/chart" uri="{C3380CC4-5D6E-409C-BE32-E72D297353CC}">
              <c16:uniqueId val="{00000001-C984-44C5-9C89-3E9B96E22B3B}"/>
            </c:ext>
          </c:extLst>
        </c:ser>
        <c:dLbls>
          <c:showLegendKey val="0"/>
          <c:showVal val="0"/>
          <c:showCatName val="0"/>
          <c:showSerName val="0"/>
          <c:showPercent val="0"/>
          <c:showBubbleSize val="0"/>
        </c:dLbls>
        <c:smooth val="0"/>
        <c:axId val="792870440"/>
        <c:axId val="792907504"/>
      </c:lineChart>
      <c:catAx>
        <c:axId val="792870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907504"/>
        <c:crosses val="autoZero"/>
        <c:auto val="1"/>
        <c:lblAlgn val="ctr"/>
        <c:lblOffset val="100"/>
        <c:noMultiLvlLbl val="0"/>
      </c:catAx>
      <c:valAx>
        <c:axId val="792907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303417906095071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87044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uptake'!$S$3</c:f>
              <c:strCache>
                <c:ptCount val="1"/>
                <c:pt idx="0">
                  <c:v>High</c:v>
                </c:pt>
              </c:strCache>
            </c:strRef>
          </c:tx>
          <c:spPr>
            <a:ln w="28575" cap="rnd">
              <a:solidFill>
                <a:schemeClr val="accent1"/>
              </a:solidFill>
              <a:round/>
            </a:ln>
            <a:effectLst/>
          </c:spPr>
          <c:marker>
            <c:symbol val="none"/>
          </c:marker>
          <c:cat>
            <c:numRef>
              <c:f>'Finland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uptake'!$S$4:$S$25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13.460707586313797</c:v>
                </c:pt>
                <c:pt idx="11" formatCode="0.00">
                  <c:v>18.072912612435342</c:v>
                </c:pt>
                <c:pt idx="12" formatCode="0.00">
                  <c:v>22.951726861721244</c:v>
                </c:pt>
                <c:pt idx="13" formatCode="0.00">
                  <c:v>28.8625872526164</c:v>
                </c:pt>
                <c:pt idx="14" formatCode="0.00">
                  <c:v>34.342232161520748</c:v>
                </c:pt>
                <c:pt idx="15" formatCode="0.00">
                  <c:v>39.902924171546395</c:v>
                </c:pt>
                <c:pt idx="16" formatCode="0.00">
                  <c:v>45.439910431498561</c:v>
                </c:pt>
                <c:pt idx="17" formatCode="0.00">
                  <c:v>50.447563729767872</c:v>
                </c:pt>
                <c:pt idx="18" formatCode="0.00">
                  <c:v>54.640496485162934</c:v>
                </c:pt>
                <c:pt idx="19" formatCode="0.00">
                  <c:v>58.107649415146675</c:v>
                </c:pt>
                <c:pt idx="20" formatCode="0.00">
                  <c:v>60.751802661253578</c:v>
                </c:pt>
                <c:pt idx="21" formatCode="0.00">
                  <c:v>62.589474684870375</c:v>
                </c:pt>
              </c:numCache>
            </c:numRef>
          </c:val>
          <c:smooth val="0"/>
          <c:extLst>
            <c:ext xmlns:c16="http://schemas.microsoft.com/office/drawing/2014/chart" uri="{C3380CC4-5D6E-409C-BE32-E72D297353CC}">
              <c16:uniqueId val="{00000000-7B5D-4D4F-810F-1F4E1BF7083B}"/>
            </c:ext>
          </c:extLst>
        </c:ser>
        <c:ser>
          <c:idx val="1"/>
          <c:order val="1"/>
          <c:tx>
            <c:strRef>
              <c:f>'Finland EV uptake'!$T$3</c:f>
              <c:strCache>
                <c:ptCount val="1"/>
                <c:pt idx="0">
                  <c:v>Medium</c:v>
                </c:pt>
              </c:strCache>
            </c:strRef>
          </c:tx>
          <c:spPr>
            <a:ln w="28575" cap="rnd">
              <a:solidFill>
                <a:schemeClr val="accent2"/>
              </a:solidFill>
              <a:round/>
            </a:ln>
            <a:effectLst/>
          </c:spPr>
          <c:marker>
            <c:symbol val="none"/>
          </c:marker>
          <c:cat>
            <c:numRef>
              <c:f>'Finland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uptake'!$T$4:$T$25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11.215955938669456</c:v>
                </c:pt>
                <c:pt idx="11" formatCode="0.00">
                  <c:v>14.367487649150064</c:v>
                </c:pt>
                <c:pt idx="12" formatCode="0.00">
                  <c:v>18.265617627829446</c:v>
                </c:pt>
                <c:pt idx="13" formatCode="0.00">
                  <c:v>23.220405124882777</c:v>
                </c:pt>
                <c:pt idx="14" formatCode="0.00">
                  <c:v>28.678843507589971</c:v>
                </c:pt>
                <c:pt idx="15" formatCode="0.00">
                  <c:v>34.355952049744346</c:v>
                </c:pt>
                <c:pt idx="16" formatCode="0.00">
                  <c:v>40.113725422452497</c:v>
                </c:pt>
                <c:pt idx="17" formatCode="0.00">
                  <c:v>45.690626869820264</c:v>
                </c:pt>
                <c:pt idx="18" formatCode="0.00">
                  <c:v>50.950363967952946</c:v>
                </c:pt>
                <c:pt idx="19" formatCode="0.00">
                  <c:v>55.526801517277214</c:v>
                </c:pt>
                <c:pt idx="20" formatCode="0.00">
                  <c:v>59.100104228259383</c:v>
                </c:pt>
                <c:pt idx="21" formatCode="0.00">
                  <c:v>61.260752034074862</c:v>
                </c:pt>
              </c:numCache>
            </c:numRef>
          </c:val>
          <c:smooth val="0"/>
          <c:extLst>
            <c:ext xmlns:c16="http://schemas.microsoft.com/office/drawing/2014/chart" uri="{C3380CC4-5D6E-409C-BE32-E72D297353CC}">
              <c16:uniqueId val="{00000001-7B5D-4D4F-810F-1F4E1BF7083B}"/>
            </c:ext>
          </c:extLst>
        </c:ser>
        <c:ser>
          <c:idx val="2"/>
          <c:order val="2"/>
          <c:tx>
            <c:strRef>
              <c:f>'Finland EV uptake'!$U$3</c:f>
              <c:strCache>
                <c:ptCount val="1"/>
                <c:pt idx="0">
                  <c:v>Low</c:v>
                </c:pt>
              </c:strCache>
            </c:strRef>
          </c:tx>
          <c:spPr>
            <a:ln w="28575" cap="rnd">
              <a:solidFill>
                <a:schemeClr val="accent3"/>
              </a:solidFill>
              <a:round/>
            </a:ln>
            <a:effectLst/>
          </c:spPr>
          <c:marker>
            <c:symbol val="none"/>
          </c:marker>
          <c:cat>
            <c:numRef>
              <c:f>'Finland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uptake'!$U$4:$U$25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11.215955938669456</c:v>
                </c:pt>
                <c:pt idx="11" formatCode="0.00">
                  <c:v>14.367487649150064</c:v>
                </c:pt>
                <c:pt idx="12" formatCode="0.00">
                  <c:v>18.265617627829446</c:v>
                </c:pt>
                <c:pt idx="13" formatCode="0.00">
                  <c:v>23.166805055555276</c:v>
                </c:pt>
                <c:pt idx="14" formatCode="0.00">
                  <c:v>28.507957135528585</c:v>
                </c:pt>
                <c:pt idx="15" formatCode="0.00">
                  <c:v>34.033207956382135</c:v>
                </c:pt>
                <c:pt idx="16" formatCode="0.00">
                  <c:v>39.618875565006441</c:v>
                </c:pt>
                <c:pt idx="17" formatCode="0.00">
                  <c:v>45.012558304392996</c:v>
                </c:pt>
                <c:pt idx="18" formatCode="0.00">
                  <c:v>50.082553143015275</c:v>
                </c:pt>
                <c:pt idx="19" formatCode="0.00">
                  <c:v>54.625518710904331</c:v>
                </c:pt>
                <c:pt idx="20" formatCode="0.00">
                  <c:v>58.227211256451696</c:v>
                </c:pt>
                <c:pt idx="21" formatCode="0.00">
                  <c:v>60.486464548686158</c:v>
                </c:pt>
              </c:numCache>
            </c:numRef>
          </c:val>
          <c:smooth val="0"/>
          <c:extLst>
            <c:ext xmlns:c16="http://schemas.microsoft.com/office/drawing/2014/chart" uri="{C3380CC4-5D6E-409C-BE32-E72D297353CC}">
              <c16:uniqueId val="{00000002-7B5D-4D4F-810F-1F4E1BF7083B}"/>
            </c:ext>
          </c:extLst>
        </c:ser>
        <c:dLbls>
          <c:showLegendKey val="0"/>
          <c:showVal val="0"/>
          <c:showCatName val="0"/>
          <c:showSerName val="0"/>
          <c:showPercent val="0"/>
          <c:showBubbleSize val="0"/>
        </c:dLbls>
        <c:smooth val="0"/>
        <c:axId val="604970240"/>
        <c:axId val="604967944"/>
      </c:lineChart>
      <c:catAx>
        <c:axId val="60497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967944"/>
        <c:crosses val="autoZero"/>
        <c:auto val="1"/>
        <c:lblAlgn val="ctr"/>
        <c:lblOffset val="100"/>
        <c:noMultiLvlLbl val="0"/>
      </c:catAx>
      <c:valAx>
        <c:axId val="604967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888888888888888E-2"/>
              <c:y val="0.281994386118401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97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'Finland EV uptake'!$X$3</c:f>
              <c:strCache>
                <c:ptCount val="1"/>
                <c:pt idx="0">
                  <c:v>High</c:v>
                </c:pt>
              </c:strCache>
            </c:strRef>
          </c:tx>
          <c:spPr>
            <a:ln w="28575" cap="rnd">
              <a:solidFill>
                <a:schemeClr val="accent1"/>
              </a:solidFill>
              <a:round/>
            </a:ln>
            <a:effectLst/>
          </c:spPr>
          <c:marker>
            <c:symbol val="none"/>
          </c:marker>
          <c:cat>
            <c:numRef>
              <c:f>'Finland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uptake'!$X$4:$X$25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11.215955938669456</c:v>
                </c:pt>
                <c:pt idx="11" formatCode="0.00">
                  <c:v>12.592231225825278</c:v>
                </c:pt>
                <c:pt idx="12" formatCode="0.00">
                  <c:v>13.813169276672358</c:v>
                </c:pt>
                <c:pt idx="13" formatCode="0.00">
                  <c:v>16.533159500856382</c:v>
                </c:pt>
                <c:pt idx="14" formatCode="0.00">
                  <c:v>18.933342398574691</c:v>
                </c:pt>
                <c:pt idx="15" formatCode="0.00">
                  <c:v>21.862288349260638</c:v>
                </c:pt>
                <c:pt idx="16" formatCode="0.00">
                  <c:v>25.261126180480328</c:v>
                </c:pt>
                <c:pt idx="17" formatCode="0.00">
                  <c:v>29.064283986853614</c:v>
                </c:pt>
                <c:pt idx="18" formatCode="0.00">
                  <c:v>33.205594436412362</c:v>
                </c:pt>
                <c:pt idx="19" formatCode="0.00">
                  <c:v>37.646022065865608</c:v>
                </c:pt>
                <c:pt idx="20" formatCode="0.00">
                  <c:v>41.994084172489707</c:v>
                </c:pt>
                <c:pt idx="21" formatCode="0.00">
                  <c:v>46.070299872918348</c:v>
                </c:pt>
              </c:numCache>
            </c:numRef>
          </c:val>
          <c:smooth val="0"/>
          <c:extLst>
            <c:ext xmlns:c16="http://schemas.microsoft.com/office/drawing/2014/chart" uri="{C3380CC4-5D6E-409C-BE32-E72D297353CC}">
              <c16:uniqueId val="{00000000-2F14-48B0-AF3F-BFE2B1117EDA}"/>
            </c:ext>
          </c:extLst>
        </c:ser>
        <c:ser>
          <c:idx val="1"/>
          <c:order val="1"/>
          <c:tx>
            <c:strRef>
              <c:f>'Finland EV uptake'!$Y$3</c:f>
              <c:strCache>
                <c:ptCount val="1"/>
                <c:pt idx="0">
                  <c:v>Medium</c:v>
                </c:pt>
              </c:strCache>
            </c:strRef>
          </c:tx>
          <c:spPr>
            <a:ln w="28575" cap="rnd">
              <a:solidFill>
                <a:schemeClr val="accent2"/>
              </a:solidFill>
              <a:round/>
            </a:ln>
            <a:effectLst/>
          </c:spPr>
          <c:marker>
            <c:symbol val="none"/>
          </c:marker>
          <c:cat>
            <c:numRef>
              <c:f>'Finland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uptake'!$Y$4:$Y$25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11.215955938669456</c:v>
                </c:pt>
                <c:pt idx="11" formatCode="0.00">
                  <c:v>14.367487649150064</c:v>
                </c:pt>
                <c:pt idx="12" formatCode="0.00">
                  <c:v>18.265617627829446</c:v>
                </c:pt>
                <c:pt idx="13" formatCode="0.00">
                  <c:v>23.220405124882777</c:v>
                </c:pt>
                <c:pt idx="14" formatCode="0.00">
                  <c:v>28.678843507589971</c:v>
                </c:pt>
                <c:pt idx="15" formatCode="0.00">
                  <c:v>34.355952049744346</c:v>
                </c:pt>
                <c:pt idx="16" formatCode="0.00">
                  <c:v>40.113725422452497</c:v>
                </c:pt>
                <c:pt idx="17" formatCode="0.00">
                  <c:v>45.690626869820264</c:v>
                </c:pt>
                <c:pt idx="18" formatCode="0.00">
                  <c:v>50.950363967952946</c:v>
                </c:pt>
                <c:pt idx="19" formatCode="0.00">
                  <c:v>55.526801517277214</c:v>
                </c:pt>
                <c:pt idx="20" formatCode="0.00">
                  <c:v>59.100104228259383</c:v>
                </c:pt>
                <c:pt idx="21" formatCode="0.00">
                  <c:v>61.260752034074862</c:v>
                </c:pt>
              </c:numCache>
            </c:numRef>
          </c:val>
          <c:smooth val="0"/>
          <c:extLst>
            <c:ext xmlns:c16="http://schemas.microsoft.com/office/drawing/2014/chart" uri="{C3380CC4-5D6E-409C-BE32-E72D297353CC}">
              <c16:uniqueId val="{00000001-2F14-48B0-AF3F-BFE2B1117EDA}"/>
            </c:ext>
          </c:extLst>
        </c:ser>
        <c:ser>
          <c:idx val="2"/>
          <c:order val="2"/>
          <c:tx>
            <c:strRef>
              <c:f>'Finland EV uptake'!$Z$3</c:f>
              <c:strCache>
                <c:ptCount val="1"/>
                <c:pt idx="0">
                  <c:v>Low</c:v>
                </c:pt>
              </c:strCache>
            </c:strRef>
          </c:tx>
          <c:spPr>
            <a:ln w="28575" cap="rnd">
              <a:solidFill>
                <a:schemeClr val="accent3"/>
              </a:solidFill>
              <a:round/>
            </a:ln>
            <a:effectLst/>
          </c:spPr>
          <c:marker>
            <c:symbol val="none"/>
          </c:marker>
          <c:cat>
            <c:numRef>
              <c:f>'Finland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 EV uptake'!$Z$4:$Z$25</c:f>
              <c:numCache>
                <c:formatCode>General</c:formatCode>
                <c:ptCount val="22"/>
                <c:pt idx="3" formatCode="0.00">
                  <c:v>0.10779280678428281</c:v>
                </c:pt>
                <c:pt idx="4" formatCode="0.00">
                  <c:v>0.2167816204415593</c:v>
                </c:pt>
                <c:pt idx="5" formatCode="0.00">
                  <c:v>0.43522943065798925</c:v>
                </c:pt>
                <c:pt idx="6" formatCode="0.00">
                  <c:v>0.59949021570807204</c:v>
                </c:pt>
                <c:pt idx="7" formatCode="0.00">
                  <c:v>1.1964656516070145</c:v>
                </c:pt>
                <c:pt idx="8" formatCode="0.00">
                  <c:v>2.577341331106104</c:v>
                </c:pt>
                <c:pt idx="9" formatCode="0.00">
                  <c:v>4.596654877069545</c:v>
                </c:pt>
                <c:pt idx="10" formatCode="0.00">
                  <c:v>15.379073764430945</c:v>
                </c:pt>
                <c:pt idx="11" formatCode="0.00">
                  <c:v>20.406975178520195</c:v>
                </c:pt>
                <c:pt idx="12" formatCode="0.00">
                  <c:v>26.914911450766901</c:v>
                </c:pt>
                <c:pt idx="13" formatCode="0.00">
                  <c:v>34.514307541611636</c:v>
                </c:pt>
                <c:pt idx="14" formatCode="0.00">
                  <c:v>41.097292413353614</c:v>
                </c:pt>
                <c:pt idx="15" formatCode="0.00">
                  <c:v>47.383198946352927</c:v>
                </c:pt>
                <c:pt idx="16" formatCode="0.00">
                  <c:v>52.878911698934473</c:v>
                </c:pt>
                <c:pt idx="17" formatCode="0.00">
                  <c:v>57.394957780395046</c:v>
                </c:pt>
                <c:pt idx="18" formatCode="0.00">
                  <c:v>60.894496784733391</c:v>
                </c:pt>
                <c:pt idx="19" formatCode="0.00">
                  <c:v>63.185662684796903</c:v>
                </c:pt>
                <c:pt idx="20" formatCode="0.00">
                  <c:v>64.213852335461041</c:v>
                </c:pt>
                <c:pt idx="21" formatCode="0.00">
                  <c:v>64.718844622847541</c:v>
                </c:pt>
              </c:numCache>
            </c:numRef>
          </c:val>
          <c:smooth val="0"/>
          <c:extLst>
            <c:ext xmlns:c16="http://schemas.microsoft.com/office/drawing/2014/chart" uri="{C3380CC4-5D6E-409C-BE32-E72D297353CC}">
              <c16:uniqueId val="{00000002-2F14-48B0-AF3F-BFE2B1117EDA}"/>
            </c:ext>
          </c:extLst>
        </c:ser>
        <c:dLbls>
          <c:showLegendKey val="0"/>
          <c:showVal val="0"/>
          <c:showCatName val="0"/>
          <c:showSerName val="0"/>
          <c:showPercent val="0"/>
          <c:showBubbleSize val="0"/>
        </c:dLbls>
        <c:smooth val="0"/>
        <c:axId val="789025192"/>
        <c:axId val="789025520"/>
      </c:lineChart>
      <c:catAx>
        <c:axId val="78902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025520"/>
        <c:crosses val="autoZero"/>
        <c:auto val="1"/>
        <c:lblAlgn val="ctr"/>
        <c:lblOffset val="100"/>
        <c:noMultiLvlLbl val="0"/>
      </c:catAx>
      <c:valAx>
        <c:axId val="789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02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Finland!$O$2</c:f>
              <c:strCache>
                <c:ptCount val="1"/>
                <c:pt idx="0">
                  <c:v>BEV price</c:v>
                </c:pt>
              </c:strCache>
            </c:strRef>
          </c:tx>
          <c:spPr>
            <a:ln w="60325" cap="rnd">
              <a:solidFill>
                <a:schemeClr val="accent1"/>
              </a:solidFill>
              <a:round/>
            </a:ln>
            <a:effectLst/>
          </c:spPr>
          <c:marker>
            <c:symbol val="none"/>
          </c:marker>
          <c:cat>
            <c:numRef>
              <c:f>Finland!$N$3:$N$24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Finland!$O$3:$O$24</c:f>
              <c:numCache>
                <c:formatCode>0</c:formatCode>
                <c:ptCount val="22"/>
                <c:pt idx="0">
                  <c:v>27612.332348841366</c:v>
                </c:pt>
                <c:pt idx="1">
                  <c:v>29400.588424990714</c:v>
                </c:pt>
                <c:pt idx="2">
                  <c:v>28022.555612943517</c:v>
                </c:pt>
                <c:pt idx="3">
                  <c:v>31049.12227651618</c:v>
                </c:pt>
                <c:pt idx="4">
                  <c:v>30711.692563343648</c:v>
                </c:pt>
                <c:pt idx="5">
                  <c:v>33186.275291072569</c:v>
                </c:pt>
                <c:pt idx="6">
                  <c:v>35431.720796400899</c:v>
                </c:pt>
                <c:pt idx="7">
                  <c:v>35412.505359047755</c:v>
                </c:pt>
                <c:pt idx="8">
                  <c:v>34444.622648532328</c:v>
                </c:pt>
                <c:pt idx="9">
                  <c:v>31840.925134487225</c:v>
                </c:pt>
                <c:pt idx="10">
                  <c:v>32467.964076003176</c:v>
                </c:pt>
                <c:pt idx="11">
                  <c:v>32285.437735654959</c:v>
                </c:pt>
                <c:pt idx="12">
                  <c:v>31478.725276768942</c:v>
                </c:pt>
                <c:pt idx="13">
                  <c:v>31952.451287590902</c:v>
                </c:pt>
                <c:pt idx="14">
                  <c:v>31670.716220186845</c:v>
                </c:pt>
                <c:pt idx="15">
                  <c:v>30540.407099324253</c:v>
                </c:pt>
                <c:pt idx="16">
                  <c:v>29571.929822404905</c:v>
                </c:pt>
                <c:pt idx="17">
                  <c:v>29026.169226486498</c:v>
                </c:pt>
                <c:pt idx="18">
                  <c:v>28480.304230213365</c:v>
                </c:pt>
                <c:pt idx="19">
                  <c:v>27864.362480313015</c:v>
                </c:pt>
                <c:pt idx="20">
                  <c:v>27318.291009066583</c:v>
                </c:pt>
                <c:pt idx="21">
                  <c:v>26702.144321227464</c:v>
                </c:pt>
              </c:numCache>
            </c:numRef>
          </c:val>
          <c:smooth val="0"/>
          <c:extLst>
            <c:ext xmlns:c16="http://schemas.microsoft.com/office/drawing/2014/chart" uri="{C3380CC4-5D6E-409C-BE32-E72D297353CC}">
              <c16:uniqueId val="{00000000-A53C-42E7-A062-9E572CDEF488}"/>
            </c:ext>
          </c:extLst>
        </c:ser>
        <c:ser>
          <c:idx val="1"/>
          <c:order val="1"/>
          <c:tx>
            <c:strRef>
              <c:f>Finland!$P$2</c:f>
              <c:strCache>
                <c:ptCount val="1"/>
                <c:pt idx="0">
                  <c:v>PHEV price</c:v>
                </c:pt>
              </c:strCache>
            </c:strRef>
          </c:tx>
          <c:spPr>
            <a:ln w="15875" cap="rnd">
              <a:solidFill>
                <a:schemeClr val="accent2"/>
              </a:solidFill>
              <a:round/>
            </a:ln>
            <a:effectLst/>
          </c:spPr>
          <c:marker>
            <c:symbol val="none"/>
          </c:marker>
          <c:cat>
            <c:numRef>
              <c:f>Finland!$N$3:$N$24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Finland!$P$3:$P$24</c:f>
              <c:numCache>
                <c:formatCode>0</c:formatCode>
                <c:ptCount val="22"/>
                <c:pt idx="0">
                  <c:v>27612.332348841366</c:v>
                </c:pt>
                <c:pt idx="1">
                  <c:v>29400.588424990714</c:v>
                </c:pt>
                <c:pt idx="2">
                  <c:v>28022.555612943517</c:v>
                </c:pt>
                <c:pt idx="3">
                  <c:v>31049.12227651618</c:v>
                </c:pt>
                <c:pt idx="4">
                  <c:v>30711.692563343648</c:v>
                </c:pt>
                <c:pt idx="5">
                  <c:v>33186.275291072569</c:v>
                </c:pt>
                <c:pt idx="6">
                  <c:v>35431.720796400899</c:v>
                </c:pt>
                <c:pt idx="7">
                  <c:v>35412.505359047755</c:v>
                </c:pt>
                <c:pt idx="8">
                  <c:v>34444.622648532328</c:v>
                </c:pt>
                <c:pt idx="9">
                  <c:v>31840.925134487225</c:v>
                </c:pt>
                <c:pt idx="10">
                  <c:v>32467.964076003176</c:v>
                </c:pt>
                <c:pt idx="11">
                  <c:v>32285.437735654959</c:v>
                </c:pt>
                <c:pt idx="12">
                  <c:v>31478.725276768942</c:v>
                </c:pt>
                <c:pt idx="13">
                  <c:v>31952.451287590902</c:v>
                </c:pt>
                <c:pt idx="14">
                  <c:v>31670.716220186845</c:v>
                </c:pt>
                <c:pt idx="15">
                  <c:v>30540.407099324253</c:v>
                </c:pt>
                <c:pt idx="16">
                  <c:v>29571.929822404905</c:v>
                </c:pt>
                <c:pt idx="17">
                  <c:v>29026.169226486498</c:v>
                </c:pt>
                <c:pt idx="18">
                  <c:v>28480.304230213365</c:v>
                </c:pt>
                <c:pt idx="19">
                  <c:v>27864.362480313015</c:v>
                </c:pt>
                <c:pt idx="20">
                  <c:v>27318.291009066583</c:v>
                </c:pt>
                <c:pt idx="21">
                  <c:v>26702.144321227464</c:v>
                </c:pt>
              </c:numCache>
            </c:numRef>
          </c:val>
          <c:smooth val="0"/>
          <c:extLst>
            <c:ext xmlns:c16="http://schemas.microsoft.com/office/drawing/2014/chart" uri="{C3380CC4-5D6E-409C-BE32-E72D297353CC}">
              <c16:uniqueId val="{00000001-A53C-42E7-A062-9E572CDEF488}"/>
            </c:ext>
          </c:extLst>
        </c:ser>
        <c:ser>
          <c:idx val="2"/>
          <c:order val="2"/>
          <c:tx>
            <c:strRef>
              <c:f>Finland!$Q$2</c:f>
              <c:strCache>
                <c:ptCount val="1"/>
                <c:pt idx="0">
                  <c:v>FFV price</c:v>
                </c:pt>
              </c:strCache>
            </c:strRef>
          </c:tx>
          <c:spPr>
            <a:ln w="28575" cap="rnd">
              <a:solidFill>
                <a:schemeClr val="tx1"/>
              </a:solidFill>
              <a:round/>
            </a:ln>
            <a:effectLst/>
          </c:spPr>
          <c:marker>
            <c:symbol val="none"/>
          </c:marker>
          <c:cat>
            <c:numRef>
              <c:f>Finland!$N$3:$N$24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Finland!$Q$3:$Q$24</c:f>
              <c:numCache>
                <c:formatCode>0</c:formatCode>
                <c:ptCount val="22"/>
                <c:pt idx="0">
                  <c:v>23675.674641666672</c:v>
                </c:pt>
                <c:pt idx="1">
                  <c:v>24952.6988124247</c:v>
                </c:pt>
                <c:pt idx="2">
                  <c:v>23695.409229586563</c:v>
                </c:pt>
                <c:pt idx="3">
                  <c:v>26699.530911715177</c:v>
                </c:pt>
                <c:pt idx="4">
                  <c:v>26105.456186797452</c:v>
                </c:pt>
                <c:pt idx="5">
                  <c:v>26304.079625509821</c:v>
                </c:pt>
                <c:pt idx="6">
                  <c:v>31462.794771037534</c:v>
                </c:pt>
                <c:pt idx="7">
                  <c:v>31491.325987288277</c:v>
                </c:pt>
                <c:pt idx="8">
                  <c:v>30634.179397170039</c:v>
                </c:pt>
                <c:pt idx="9">
                  <c:v>29520.5</c:v>
                </c:pt>
                <c:pt idx="10">
                  <c:v>29520.5</c:v>
                </c:pt>
                <c:pt idx="11">
                  <c:v>29520.5</c:v>
                </c:pt>
                <c:pt idx="12">
                  <c:v>29520.5</c:v>
                </c:pt>
                <c:pt idx="13">
                  <c:v>29520.5</c:v>
                </c:pt>
                <c:pt idx="14">
                  <c:v>29520.5</c:v>
                </c:pt>
                <c:pt idx="15">
                  <c:v>29520.5</c:v>
                </c:pt>
                <c:pt idx="16">
                  <c:v>29520.5</c:v>
                </c:pt>
                <c:pt idx="17">
                  <c:v>29520.5</c:v>
                </c:pt>
                <c:pt idx="18">
                  <c:v>29520.5</c:v>
                </c:pt>
                <c:pt idx="19">
                  <c:v>29520.5</c:v>
                </c:pt>
                <c:pt idx="20">
                  <c:v>29520.5</c:v>
                </c:pt>
                <c:pt idx="21">
                  <c:v>29520.5</c:v>
                </c:pt>
              </c:numCache>
            </c:numRef>
          </c:val>
          <c:smooth val="0"/>
          <c:extLst>
            <c:ext xmlns:c16="http://schemas.microsoft.com/office/drawing/2014/chart" uri="{C3380CC4-5D6E-409C-BE32-E72D297353CC}">
              <c16:uniqueId val="{00000002-A53C-42E7-A062-9E572CDEF488}"/>
            </c:ext>
          </c:extLst>
        </c:ser>
        <c:dLbls>
          <c:showLegendKey val="0"/>
          <c:showVal val="0"/>
          <c:showCatName val="0"/>
          <c:showSerName val="0"/>
          <c:showPercent val="0"/>
          <c:showBubbleSize val="0"/>
        </c:dLbls>
        <c:smooth val="0"/>
        <c:axId val="797059192"/>
        <c:axId val="797052960"/>
      </c:lineChart>
      <c:catAx>
        <c:axId val="79705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052960"/>
        <c:crosses val="autoZero"/>
        <c:auto val="1"/>
        <c:lblAlgn val="ctr"/>
        <c:lblOffset val="100"/>
        <c:noMultiLvlLbl val="0"/>
      </c:catAx>
      <c:valAx>
        <c:axId val="79705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059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'France EV uptake'!$B$3</c:f>
              <c:strCache>
                <c:ptCount val="1"/>
                <c:pt idx="0">
                  <c:v>EV %sales</c:v>
                </c:pt>
              </c:strCache>
            </c:strRef>
          </c:tx>
          <c:spPr>
            <a:ln w="28575" cap="rnd">
              <a:solidFill>
                <a:schemeClr val="accent1"/>
              </a:solidFill>
              <a:round/>
            </a:ln>
            <a:effectLst/>
          </c:spPr>
          <c:marker>
            <c:symbol val="none"/>
          </c:marker>
          <c:cat>
            <c:numRef>
              <c:f>'France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'France EV uptake'!$B$4:$B$16</c:f>
              <c:numCache>
                <c:formatCode>0.00</c:formatCode>
                <c:ptCount val="13"/>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pt idx="9">
                  <c:v>1.9583456908291597</c:v>
                </c:pt>
              </c:numCache>
            </c:numRef>
          </c:val>
          <c:smooth val="0"/>
          <c:extLst>
            <c:ext xmlns:c16="http://schemas.microsoft.com/office/drawing/2014/chart" uri="{C3380CC4-5D6E-409C-BE32-E72D297353CC}">
              <c16:uniqueId val="{00000000-8321-44D3-9DF4-D5CF609A099E}"/>
            </c:ext>
          </c:extLst>
        </c:ser>
        <c:ser>
          <c:idx val="1"/>
          <c:order val="1"/>
          <c:tx>
            <c:strRef>
              <c:f>'France EV uptake'!$C$3</c:f>
              <c:strCache>
                <c:ptCount val="1"/>
                <c:pt idx="0">
                  <c:v>Predicted Cost Lagged</c:v>
                </c:pt>
              </c:strCache>
            </c:strRef>
          </c:tx>
          <c:spPr>
            <a:ln w="28575" cap="rnd">
              <a:solidFill>
                <a:schemeClr val="accent2"/>
              </a:solidFill>
              <a:round/>
            </a:ln>
            <a:effectLst/>
          </c:spPr>
          <c:marker>
            <c:symbol val="none"/>
          </c:marker>
          <c:cat>
            <c:numRef>
              <c:f>'France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'France EV uptake'!$C$4:$C$15</c:f>
              <c:numCache>
                <c:formatCode>0.00</c:formatCode>
                <c:ptCount val="12"/>
                <c:pt idx="3">
                  <c:v>0.3326081919378055</c:v>
                </c:pt>
                <c:pt idx="4">
                  <c:v>0.69582893347782004</c:v>
                </c:pt>
                <c:pt idx="5">
                  <c:v>0.69582893347782004</c:v>
                </c:pt>
                <c:pt idx="6">
                  <c:v>1.2017643024582392</c:v>
                </c:pt>
                <c:pt idx="7">
                  <c:v>1.4468260734570164</c:v>
                </c:pt>
                <c:pt idx="8">
                  <c:v>1.7404971160048122</c:v>
                </c:pt>
                <c:pt idx="9">
                  <c:v>2.0918143794335924</c:v>
                </c:pt>
                <c:pt idx="10">
                  <c:v>2.6482789871426538</c:v>
                </c:pt>
                <c:pt idx="11">
                  <c:v>3.1864034686442451</c:v>
                </c:pt>
              </c:numCache>
            </c:numRef>
          </c:val>
          <c:smooth val="0"/>
          <c:extLst>
            <c:ext xmlns:c16="http://schemas.microsoft.com/office/drawing/2014/chart" uri="{C3380CC4-5D6E-409C-BE32-E72D297353CC}">
              <c16:uniqueId val="{00000001-8321-44D3-9DF4-D5CF609A099E}"/>
            </c:ext>
          </c:extLst>
        </c:ser>
        <c:ser>
          <c:idx val="2"/>
          <c:order val="2"/>
          <c:tx>
            <c:strRef>
              <c:f>'France EV uptake'!$D$3</c:f>
              <c:strCache>
                <c:ptCount val="1"/>
                <c:pt idx="0">
                  <c:v>rawPredCost</c:v>
                </c:pt>
              </c:strCache>
            </c:strRef>
          </c:tx>
          <c:spPr>
            <a:ln w="28575" cap="rnd">
              <a:solidFill>
                <a:schemeClr val="accent3"/>
              </a:solidFill>
              <a:round/>
            </a:ln>
            <a:effectLst/>
          </c:spPr>
          <c:marker>
            <c:symbol val="none"/>
          </c:marker>
          <c:cat>
            <c:numRef>
              <c:f>'France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'France EV uptake'!$D$4:$D$15</c:f>
              <c:numCache>
                <c:formatCode>0.00</c:formatCode>
                <c:ptCount val="12"/>
                <c:pt idx="3" formatCode="0.000">
                  <c:v>0.3326081919378055</c:v>
                </c:pt>
                <c:pt idx="4" formatCode="0.000">
                  <c:v>0.69582893347782004</c:v>
                </c:pt>
                <c:pt idx="5" formatCode="0.000">
                  <c:v>0.69582893347782004</c:v>
                </c:pt>
                <c:pt idx="6" formatCode="0.000">
                  <c:v>1.2017643024582392</c:v>
                </c:pt>
                <c:pt idx="7" formatCode="0.000">
                  <c:v>1.4468260734570164</c:v>
                </c:pt>
                <c:pt idx="8" formatCode="0.000">
                  <c:v>1.7404971160048122</c:v>
                </c:pt>
                <c:pt idx="9" formatCode="0.000">
                  <c:v>2.0918143794335924</c:v>
                </c:pt>
                <c:pt idx="10" formatCode="0.000">
                  <c:v>2.5916144061145125</c:v>
                </c:pt>
                <c:pt idx="11" formatCode="0.000">
                  <c:v>3.1046437433821281</c:v>
                </c:pt>
              </c:numCache>
            </c:numRef>
          </c:val>
          <c:smooth val="0"/>
          <c:extLst>
            <c:ext xmlns:c16="http://schemas.microsoft.com/office/drawing/2014/chart" uri="{C3380CC4-5D6E-409C-BE32-E72D297353CC}">
              <c16:uniqueId val="{00000002-8321-44D3-9DF4-D5CF609A099E}"/>
            </c:ext>
          </c:extLst>
        </c:ser>
        <c:ser>
          <c:idx val="3"/>
          <c:order val="3"/>
          <c:tx>
            <c:strRef>
              <c:f>'France EV uptake'!$L$3</c:f>
              <c:strCache>
                <c:ptCount val="1"/>
                <c:pt idx="0">
                  <c:v>predicted cost</c:v>
                </c:pt>
              </c:strCache>
            </c:strRef>
          </c:tx>
          <c:spPr>
            <a:ln w="28575" cap="rnd">
              <a:solidFill>
                <a:schemeClr val="accent4"/>
              </a:solidFill>
              <a:round/>
            </a:ln>
            <a:effectLst/>
          </c:spPr>
          <c:marker>
            <c:symbol val="none"/>
          </c:marker>
          <c:cat>
            <c:numRef>
              <c:f>'France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'France EV uptake'!$L$4:$L$15</c:f>
              <c:numCache>
                <c:formatCode>0.00</c:formatCode>
                <c:ptCount val="12"/>
                <c:pt idx="3" formatCode="0.000">
                  <c:v>0.3326081919378055</c:v>
                </c:pt>
                <c:pt idx="4" formatCode="0.000">
                  <c:v>0.69582893347782004</c:v>
                </c:pt>
                <c:pt idx="5" formatCode="0.000">
                  <c:v>0.69582893347782004</c:v>
                </c:pt>
                <c:pt idx="6" formatCode="0.000">
                  <c:v>1.2017643024582392</c:v>
                </c:pt>
                <c:pt idx="7" formatCode="0.000">
                  <c:v>1.4468260734570164</c:v>
                </c:pt>
                <c:pt idx="8" formatCode="0.000">
                  <c:v>1.7404971160048122</c:v>
                </c:pt>
                <c:pt idx="9" formatCode="0.000">
                  <c:v>2.0918143794335924</c:v>
                </c:pt>
                <c:pt idx="10" formatCode="0.000">
                  <c:v>2.591614406114513</c:v>
                </c:pt>
                <c:pt idx="11" formatCode="0.000">
                  <c:v>3.1046437433821277</c:v>
                </c:pt>
              </c:numCache>
            </c:numRef>
          </c:val>
          <c:smooth val="0"/>
          <c:extLst>
            <c:ext xmlns:c16="http://schemas.microsoft.com/office/drawing/2014/chart" uri="{C3380CC4-5D6E-409C-BE32-E72D297353CC}">
              <c16:uniqueId val="{00000003-8321-44D3-9DF4-D5CF609A099E}"/>
            </c:ext>
          </c:extLst>
        </c:ser>
        <c:ser>
          <c:idx val="4"/>
          <c:order val="4"/>
          <c:tx>
            <c:strRef>
              <c:f>'France EV uptake'!$AB$3</c:f>
              <c:strCache>
                <c:ptCount val="1"/>
                <c:pt idx="0">
                  <c:v>raw predicted</c:v>
                </c:pt>
              </c:strCache>
            </c:strRef>
          </c:tx>
          <c:spPr>
            <a:ln w="28575" cap="rnd">
              <a:solidFill>
                <a:schemeClr val="accent5"/>
              </a:solidFill>
              <a:round/>
            </a:ln>
            <a:effectLst/>
          </c:spPr>
          <c:marker>
            <c:symbol val="none"/>
          </c:marker>
          <c:cat>
            <c:numRef>
              <c:f>'France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'France EV uptake'!$AB$4:$AB$15</c:f>
              <c:numCache>
                <c:formatCode>0.00</c:formatCode>
                <c:ptCount val="12"/>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numCache>
            </c:numRef>
          </c:val>
          <c:smooth val="0"/>
          <c:extLst>
            <c:ext xmlns:c16="http://schemas.microsoft.com/office/drawing/2014/chart" uri="{C3380CC4-5D6E-409C-BE32-E72D297353CC}">
              <c16:uniqueId val="{00000004-8321-44D3-9DF4-D5CF609A099E}"/>
            </c:ext>
          </c:extLst>
        </c:ser>
        <c:dLbls>
          <c:showLegendKey val="0"/>
          <c:showVal val="0"/>
          <c:showCatName val="0"/>
          <c:showSerName val="0"/>
          <c:showPercent val="0"/>
          <c:showBubbleSize val="0"/>
        </c:dLbls>
        <c:smooth val="0"/>
        <c:axId val="662541568"/>
        <c:axId val="662542224"/>
      </c:lineChart>
      <c:catAx>
        <c:axId val="66254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542224"/>
        <c:crosses val="autoZero"/>
        <c:auto val="1"/>
        <c:lblAlgn val="ctr"/>
        <c:lblOffset val="100"/>
        <c:noMultiLvlLbl val="0"/>
      </c:catAx>
      <c:valAx>
        <c:axId val="662542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54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uptake'!$AD$3</c:f>
              <c:strCache>
                <c:ptCount val="1"/>
                <c:pt idx="0">
                  <c:v>Linearized Logistic</c:v>
                </c:pt>
              </c:strCache>
            </c:strRef>
          </c:tx>
          <c:spPr>
            <a:ln w="44450" cap="rnd">
              <a:solidFill>
                <a:schemeClr val="tx1"/>
              </a:solidFill>
              <a:round/>
            </a:ln>
            <a:effectLst/>
          </c:spPr>
          <c:marker>
            <c:symbol val="none"/>
          </c:marker>
          <c:cat>
            <c:numRef>
              <c:f>'France EV uptake'!$A$7:$A$13</c:f>
              <c:numCache>
                <c:formatCode>General</c:formatCode>
                <c:ptCount val="7"/>
                <c:pt idx="0">
                  <c:v>2012</c:v>
                </c:pt>
                <c:pt idx="1">
                  <c:v>2013</c:v>
                </c:pt>
                <c:pt idx="2">
                  <c:v>2014</c:v>
                </c:pt>
                <c:pt idx="3">
                  <c:v>2015</c:v>
                </c:pt>
                <c:pt idx="4">
                  <c:v>2016</c:v>
                </c:pt>
                <c:pt idx="5">
                  <c:v>2017</c:v>
                </c:pt>
                <c:pt idx="6">
                  <c:v>2018</c:v>
                </c:pt>
              </c:numCache>
            </c:numRef>
          </c:cat>
          <c:val>
            <c:numRef>
              <c:f>'France EV uptake'!$AD$7:$AD$13</c:f>
              <c:numCache>
                <c:formatCode>General</c:formatCode>
                <c:ptCount val="7"/>
                <c:pt idx="0">
                  <c:v>-5.2584605277870722</c:v>
                </c:pt>
                <c:pt idx="1">
                  <c:v>-4.7678467719763473</c:v>
                </c:pt>
                <c:pt idx="2">
                  <c:v>-4.4973084788530455</c:v>
                </c:pt>
                <c:pt idx="3">
                  <c:v>-3.9589807624357869</c:v>
                </c:pt>
                <c:pt idx="4">
                  <c:v>-3.7655419069137483</c:v>
                </c:pt>
                <c:pt idx="5">
                  <c:v>-3.5905482967713769</c:v>
                </c:pt>
                <c:pt idx="6">
                  <c:v>-3.471695605866469</c:v>
                </c:pt>
              </c:numCache>
            </c:numRef>
          </c:val>
          <c:smooth val="0"/>
          <c:extLst>
            <c:ext xmlns:c16="http://schemas.microsoft.com/office/drawing/2014/chart" uri="{C3380CC4-5D6E-409C-BE32-E72D297353CC}">
              <c16:uniqueId val="{00000000-94F8-4315-9CCC-9EC9610CF983}"/>
            </c:ext>
          </c:extLst>
        </c:ser>
        <c:ser>
          <c:idx val="1"/>
          <c:order val="1"/>
          <c:tx>
            <c:strRef>
              <c:f>'France EV uptake'!$AE$3</c:f>
              <c:strCache>
                <c:ptCount val="1"/>
                <c:pt idx="0">
                  <c:v>predicted</c:v>
                </c:pt>
              </c:strCache>
            </c:strRef>
          </c:tx>
          <c:spPr>
            <a:ln w="28575" cap="rnd">
              <a:solidFill>
                <a:schemeClr val="accent2"/>
              </a:solidFill>
              <a:round/>
            </a:ln>
            <a:effectLst/>
          </c:spPr>
          <c:marker>
            <c:symbol val="none"/>
          </c:marker>
          <c:cat>
            <c:numRef>
              <c:f>'France EV uptake'!$A$7:$A$13</c:f>
              <c:numCache>
                <c:formatCode>General</c:formatCode>
                <c:ptCount val="7"/>
                <c:pt idx="0">
                  <c:v>2012</c:v>
                </c:pt>
                <c:pt idx="1">
                  <c:v>2013</c:v>
                </c:pt>
                <c:pt idx="2">
                  <c:v>2014</c:v>
                </c:pt>
                <c:pt idx="3">
                  <c:v>2015</c:v>
                </c:pt>
                <c:pt idx="4">
                  <c:v>2016</c:v>
                </c:pt>
                <c:pt idx="5">
                  <c:v>2017</c:v>
                </c:pt>
                <c:pt idx="6">
                  <c:v>2018</c:v>
                </c:pt>
              </c:numCache>
            </c:numRef>
          </c:cat>
          <c:val>
            <c:numRef>
              <c:f>'France EV uptake'!$AE$7:$AE$13</c:f>
              <c:numCache>
                <c:formatCode>General</c:formatCode>
                <c:ptCount val="7"/>
                <c:pt idx="0">
                  <c:v>-5.2700471663862904</c:v>
                </c:pt>
                <c:pt idx="1">
                  <c:v>-4.7886882446269237</c:v>
                </c:pt>
                <c:pt idx="2">
                  <c:v>-4.5262759320722701</c:v>
                </c:pt>
                <c:pt idx="3">
                  <c:v>-3.9719348072446659</c:v>
                </c:pt>
                <c:pt idx="4">
                  <c:v>-3.7825046977582506</c:v>
                </c:pt>
                <c:pt idx="5">
                  <c:v>-3.5930745882718349</c:v>
                </c:pt>
                <c:pt idx="6">
                  <c:v>-3.4036444787854192</c:v>
                </c:pt>
              </c:numCache>
            </c:numRef>
          </c:val>
          <c:smooth val="0"/>
          <c:extLst>
            <c:ext xmlns:c16="http://schemas.microsoft.com/office/drawing/2014/chart" uri="{C3380CC4-5D6E-409C-BE32-E72D297353CC}">
              <c16:uniqueId val="{00000001-94F8-4315-9CCC-9EC9610CF983}"/>
            </c:ext>
          </c:extLst>
        </c:ser>
        <c:dLbls>
          <c:showLegendKey val="0"/>
          <c:showVal val="0"/>
          <c:showCatName val="0"/>
          <c:showSerName val="0"/>
          <c:showPercent val="0"/>
          <c:showBubbleSize val="0"/>
        </c:dLbls>
        <c:smooth val="0"/>
        <c:axId val="780661416"/>
        <c:axId val="780657152"/>
      </c:lineChart>
      <c:catAx>
        <c:axId val="780661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657152"/>
        <c:crosses val="autoZero"/>
        <c:auto val="1"/>
        <c:lblAlgn val="ctr"/>
        <c:lblOffset val="100"/>
        <c:noMultiLvlLbl val="0"/>
      </c:catAx>
      <c:valAx>
        <c:axId val="78065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661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uptake'!$B$3</c:f>
              <c:strCache>
                <c:ptCount val="1"/>
                <c:pt idx="0">
                  <c:v>EV %sales</c:v>
                </c:pt>
              </c:strCache>
            </c:strRef>
          </c:tx>
          <c:spPr>
            <a:ln w="41275" cap="rnd">
              <a:solidFill>
                <a:schemeClr val="tx1"/>
              </a:solidFill>
              <a:round/>
            </a:ln>
            <a:effectLst/>
          </c:spPr>
          <c:marker>
            <c:symbol val="none"/>
          </c:marker>
          <c:cat>
            <c:numRef>
              <c:f>'France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'France EV uptake'!$B$4:$B$13</c:f>
              <c:numCache>
                <c:formatCode>0.00</c:formatCode>
                <c:ptCount val="10"/>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pt idx="9">
                  <c:v>1.9583456908291597</c:v>
                </c:pt>
              </c:numCache>
            </c:numRef>
          </c:val>
          <c:smooth val="0"/>
          <c:extLst>
            <c:ext xmlns:c16="http://schemas.microsoft.com/office/drawing/2014/chart" uri="{C3380CC4-5D6E-409C-BE32-E72D297353CC}">
              <c16:uniqueId val="{00000000-CBF2-46D2-8F98-63E727D5B25C}"/>
            </c:ext>
          </c:extLst>
        </c:ser>
        <c:ser>
          <c:idx val="1"/>
          <c:order val="1"/>
          <c:tx>
            <c:strRef>
              <c:f>'France EV uptake'!$AB$3</c:f>
              <c:strCache>
                <c:ptCount val="1"/>
                <c:pt idx="0">
                  <c:v>raw predicted</c:v>
                </c:pt>
              </c:strCache>
            </c:strRef>
          </c:tx>
          <c:spPr>
            <a:ln w="28575" cap="rnd">
              <a:solidFill>
                <a:schemeClr val="accent2"/>
              </a:solidFill>
              <a:round/>
            </a:ln>
            <a:effectLst/>
          </c:spPr>
          <c:marker>
            <c:symbol val="none"/>
          </c:marker>
          <c:cat>
            <c:numRef>
              <c:f>'France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'France EV uptake'!$AB$4:$AB$13</c:f>
              <c:numCache>
                <c:formatCode>0.00</c:formatCode>
                <c:ptCount val="10"/>
                <c:pt idx="3">
                  <c:v>0.3326081919378055</c:v>
                </c:pt>
                <c:pt idx="4">
                  <c:v>0.53655302059368892</c:v>
                </c:pt>
                <c:pt idx="5">
                  <c:v>0.69582893347782004</c:v>
                </c:pt>
                <c:pt idx="6">
                  <c:v>1.2017643024582392</c:v>
                </c:pt>
                <c:pt idx="7">
                  <c:v>1.4468260734570164</c:v>
                </c:pt>
                <c:pt idx="8">
                  <c:v>1.7404971160048122</c:v>
                </c:pt>
                <c:pt idx="9">
                  <c:v>2.0918143794335924</c:v>
                </c:pt>
              </c:numCache>
            </c:numRef>
          </c:val>
          <c:smooth val="0"/>
          <c:extLst>
            <c:ext xmlns:c16="http://schemas.microsoft.com/office/drawing/2014/chart" uri="{C3380CC4-5D6E-409C-BE32-E72D297353CC}">
              <c16:uniqueId val="{00000001-CBF2-46D2-8F98-63E727D5B25C}"/>
            </c:ext>
          </c:extLst>
        </c:ser>
        <c:dLbls>
          <c:showLegendKey val="0"/>
          <c:showVal val="0"/>
          <c:showCatName val="0"/>
          <c:showSerName val="0"/>
          <c:showPercent val="0"/>
          <c:showBubbleSize val="0"/>
        </c:dLbls>
        <c:smooth val="0"/>
        <c:axId val="780510536"/>
        <c:axId val="780510864"/>
      </c:lineChart>
      <c:catAx>
        <c:axId val="78051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0864"/>
        <c:crosses val="autoZero"/>
        <c:auto val="1"/>
        <c:lblAlgn val="ctr"/>
        <c:lblOffset val="100"/>
        <c:noMultiLvlLbl val="0"/>
      </c:catAx>
      <c:valAx>
        <c:axId val="780510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uptake'!$B$3</c:f>
              <c:strCache>
                <c:ptCount val="1"/>
                <c:pt idx="0">
                  <c:v>EV %sales</c:v>
                </c:pt>
              </c:strCache>
            </c:strRef>
          </c:tx>
          <c:spPr>
            <a:ln w="44450" cap="rnd">
              <a:solidFill>
                <a:schemeClr val="tx1"/>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uptake'!$B$4:$B$45</c:f>
              <c:numCache>
                <c:formatCode>0.00</c:formatCode>
                <c:ptCount val="42"/>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pt idx="9">
                  <c:v>1.9583456908291597</c:v>
                </c:pt>
              </c:numCache>
            </c:numRef>
          </c:val>
          <c:smooth val="0"/>
          <c:extLst>
            <c:ext xmlns:c16="http://schemas.microsoft.com/office/drawing/2014/chart" uri="{C3380CC4-5D6E-409C-BE32-E72D297353CC}">
              <c16:uniqueId val="{00000000-3C6F-4450-ABBF-23B6B6A616D5}"/>
            </c:ext>
          </c:extLst>
        </c:ser>
        <c:ser>
          <c:idx val="1"/>
          <c:order val="1"/>
          <c:tx>
            <c:strRef>
              <c:f>'France EV uptake'!$C$3</c:f>
              <c:strCache>
                <c:ptCount val="1"/>
                <c:pt idx="0">
                  <c:v>Predicted Cost Lagged</c:v>
                </c:pt>
              </c:strCache>
            </c:strRef>
          </c:tx>
          <c:spPr>
            <a:ln w="28575" cap="rnd">
              <a:solidFill>
                <a:schemeClr val="accent2"/>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uptake'!$C$4:$C$45</c:f>
              <c:numCache>
                <c:formatCode>0.00</c:formatCode>
                <c:ptCount val="42"/>
                <c:pt idx="3">
                  <c:v>0.3326081919378055</c:v>
                </c:pt>
                <c:pt idx="4">
                  <c:v>0.69582893347782004</c:v>
                </c:pt>
                <c:pt idx="5">
                  <c:v>0.69582893347782004</c:v>
                </c:pt>
                <c:pt idx="6">
                  <c:v>1.2017643024582392</c:v>
                </c:pt>
                <c:pt idx="7">
                  <c:v>1.4468260734570164</c:v>
                </c:pt>
                <c:pt idx="8">
                  <c:v>1.7404971160048122</c:v>
                </c:pt>
                <c:pt idx="9">
                  <c:v>2.0918143794335924</c:v>
                </c:pt>
                <c:pt idx="10">
                  <c:v>2.6482789871426538</c:v>
                </c:pt>
                <c:pt idx="11">
                  <c:v>3.1864034686442451</c:v>
                </c:pt>
                <c:pt idx="12">
                  <c:v>4.0424320446843387</c:v>
                </c:pt>
                <c:pt idx="13">
                  <c:v>4.9321054966629498</c:v>
                </c:pt>
                <c:pt idx="14">
                  <c:v>5.9952762265435036</c:v>
                </c:pt>
                <c:pt idx="15">
                  <c:v>7.3320712920762068</c:v>
                </c:pt>
                <c:pt idx="16">
                  <c:v>8.9330173444295422</c:v>
                </c:pt>
                <c:pt idx="17">
                  <c:v>10.818405824689448</c:v>
                </c:pt>
                <c:pt idx="18">
                  <c:v>12.966963972449891</c:v>
                </c:pt>
                <c:pt idx="19">
                  <c:v>15.383470471544754</c:v>
                </c:pt>
                <c:pt idx="20">
                  <c:v>17.996910699785918</c:v>
                </c:pt>
                <c:pt idx="21">
                  <c:v>20.78936319492934</c:v>
                </c:pt>
                <c:pt idx="22">
                  <c:v>23.66581068891168</c:v>
                </c:pt>
                <c:pt idx="23">
                  <c:v>26.621898157075655</c:v>
                </c:pt>
                <c:pt idx="24">
                  <c:v>29.61414897588477</c:v>
                </c:pt>
                <c:pt idx="25">
                  <c:v>32.594153893074015</c:v>
                </c:pt>
                <c:pt idx="26">
                  <c:v>35.510982866616487</c:v>
                </c:pt>
                <c:pt idx="27">
                  <c:v>38.381911029483774</c:v>
                </c:pt>
                <c:pt idx="28">
                  <c:v>41.16505370153498</c:v>
                </c:pt>
                <c:pt idx="29">
                  <c:v>43.823306734211542</c:v>
                </c:pt>
                <c:pt idx="30">
                  <c:v>46.326056199379593</c:v>
                </c:pt>
                <c:pt idx="31">
                  <c:v>48.650245743011297</c:v>
                </c:pt>
                <c:pt idx="32">
                  <c:v>50.780757448971997</c:v>
                </c:pt>
                <c:pt idx="33">
                  <c:v>52.710155969948644</c:v>
                </c:pt>
                <c:pt idx="34">
                  <c:v>54.437918764591011</c:v>
                </c:pt>
                <c:pt idx="35">
                  <c:v>55.969317204847243</c:v>
                </c:pt>
                <c:pt idx="36">
                  <c:v>57.314122213374979</c:v>
                </c:pt>
                <c:pt idx="37">
                  <c:v>58.485289478647907</c:v>
                </c:pt>
                <c:pt idx="38">
                  <c:v>59.497743153981332</c:v>
                </c:pt>
                <c:pt idx="39">
                  <c:v>60.367334202978675</c:v>
                </c:pt>
                <c:pt idx="40">
                  <c:v>61.101715411497786</c:v>
                </c:pt>
                <c:pt idx="41">
                  <c:v>61.70939168660324</c:v>
                </c:pt>
              </c:numCache>
            </c:numRef>
          </c:val>
          <c:smooth val="0"/>
          <c:extLst>
            <c:ext xmlns:c16="http://schemas.microsoft.com/office/drawing/2014/chart" uri="{C3380CC4-5D6E-409C-BE32-E72D297353CC}">
              <c16:uniqueId val="{00000001-3C6F-4450-ABBF-23B6B6A616D5}"/>
            </c:ext>
          </c:extLst>
        </c:ser>
        <c:ser>
          <c:idx val="2"/>
          <c:order val="2"/>
          <c:tx>
            <c:strRef>
              <c:f>'France EV uptake'!$L$3</c:f>
              <c:strCache>
                <c:ptCount val="1"/>
                <c:pt idx="0">
                  <c:v>predicted cost</c:v>
                </c:pt>
              </c:strCache>
            </c:strRef>
          </c:tx>
          <c:spPr>
            <a:ln w="28575" cap="rnd">
              <a:solidFill>
                <a:schemeClr val="accent3"/>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uptake'!$L$4:$L$45</c:f>
              <c:numCache>
                <c:formatCode>0.00</c:formatCode>
                <c:ptCount val="42"/>
                <c:pt idx="3" formatCode="0.000">
                  <c:v>0.3326081919378055</c:v>
                </c:pt>
                <c:pt idx="4" formatCode="0.000">
                  <c:v>0.69582893347782004</c:v>
                </c:pt>
                <c:pt idx="5" formatCode="0.000">
                  <c:v>0.69582893347782004</c:v>
                </c:pt>
                <c:pt idx="6" formatCode="0.000">
                  <c:v>1.2017643024582392</c:v>
                </c:pt>
                <c:pt idx="7" formatCode="0.000">
                  <c:v>1.4468260734570164</c:v>
                </c:pt>
                <c:pt idx="8" formatCode="0.000">
                  <c:v>1.7404971160048122</c:v>
                </c:pt>
                <c:pt idx="9" formatCode="0.000">
                  <c:v>2.0918143794335924</c:v>
                </c:pt>
                <c:pt idx="10" formatCode="0.000">
                  <c:v>2.591614406114513</c:v>
                </c:pt>
                <c:pt idx="11" formatCode="0.000">
                  <c:v>3.1046437433821277</c:v>
                </c:pt>
                <c:pt idx="12" formatCode="0.000">
                  <c:v>3.7128252907782242</c:v>
                </c:pt>
                <c:pt idx="13" formatCode="0.000">
                  <c:v>4.4311195235127698</c:v>
                </c:pt>
                <c:pt idx="14" formatCode="0.000">
                  <c:v>5.537819277909362</c:v>
                </c:pt>
                <c:pt idx="15" formatCode="0.000">
                  <c:v>6.8271876916597876</c:v>
                </c:pt>
                <c:pt idx="16" formatCode="0.000">
                  <c:v>8.3195285432838642</c:v>
                </c:pt>
                <c:pt idx="17" formatCode="0.000">
                  <c:v>10.033809515278387</c:v>
                </c:pt>
                <c:pt idx="18" formatCode="0.000">
                  <c:v>12.462209202111055</c:v>
                </c:pt>
                <c:pt idx="19" formatCode="0.000">
                  <c:v>14.919447657251567</c:v>
                </c:pt>
                <c:pt idx="20" formatCode="0.000">
                  <c:v>17.628838885332108</c:v>
                </c:pt>
                <c:pt idx="21" formatCode="0.000">
                  <c:v>20.577726312232471</c:v>
                </c:pt>
                <c:pt idx="22" formatCode="0.000">
                  <c:v>23.742733185323829</c:v>
                </c:pt>
                <c:pt idx="23" formatCode="0.000">
                  <c:v>26.613610140972003</c:v>
                </c:pt>
                <c:pt idx="24" formatCode="0.000">
                  <c:v>29.580976981282355</c:v>
                </c:pt>
                <c:pt idx="25" formatCode="0.000">
                  <c:v>32.597341659987421</c:v>
                </c:pt>
                <c:pt idx="26" formatCode="0.000">
                  <c:v>35.61205993439939</c:v>
                </c:pt>
                <c:pt idx="27" formatCode="0.000">
                  <c:v>38.574594616995952</c:v>
                </c:pt>
                <c:pt idx="28" formatCode="0.000">
                  <c:v>41.437760732557166</c:v>
                </c:pt>
                <c:pt idx="29" formatCode="0.000">
                  <c:v>44.160536000121155</c:v>
                </c:pt>
                <c:pt idx="30" formatCode="0.000">
                  <c:v>46.710107281043015</c:v>
                </c:pt>
                <c:pt idx="31" formatCode="0.000">
                  <c:v>49.062975685640779</c:v>
                </c:pt>
                <c:pt idx="32" formatCode="0.000">
                  <c:v>51.205112888723363</c:v>
                </c:pt>
                <c:pt idx="33" formatCode="0.000">
                  <c:v>53.131306190575721</c:v>
                </c:pt>
                <c:pt idx="34" formatCode="0.000">
                  <c:v>54.843921422417928</c:v>
                </c:pt>
                <c:pt idx="35" formatCode="0.000">
                  <c:v>56.351342674282009</c:v>
                </c:pt>
                <c:pt idx="36" formatCode="0.000">
                  <c:v>57.666325646957738</c:v>
                </c:pt>
                <c:pt idx="37" formatCode="0.000">
                  <c:v>58.804446843539537</c:v>
                </c:pt>
                <c:pt idx="38" formatCode="0.000">
                  <c:v>59.782764767434386</c:v>
                </c:pt>
                <c:pt idx="39" formatCode="0.000">
                  <c:v>60.618747948417557</c:v>
                </c:pt>
                <c:pt idx="40" formatCode="0.000">
                  <c:v>61.329477047486215</c:v>
                </c:pt>
                <c:pt idx="41" formatCode="0.000">
                  <c:v>61.931097149751871</c:v>
                </c:pt>
              </c:numCache>
            </c:numRef>
          </c:val>
          <c:smooth val="0"/>
          <c:extLst>
            <c:ext xmlns:c16="http://schemas.microsoft.com/office/drawing/2014/chart" uri="{C3380CC4-5D6E-409C-BE32-E72D297353CC}">
              <c16:uniqueId val="{00000002-3C6F-4450-ABBF-23B6B6A616D5}"/>
            </c:ext>
          </c:extLst>
        </c:ser>
        <c:ser>
          <c:idx val="3"/>
          <c:order val="3"/>
          <c:tx>
            <c:strRef>
              <c:f>'France EV uptake'!$AB$3</c:f>
              <c:strCache>
                <c:ptCount val="1"/>
                <c:pt idx="0">
                  <c:v>raw predicted</c:v>
                </c:pt>
              </c:strCache>
            </c:strRef>
          </c:tx>
          <c:spPr>
            <a:ln w="28575" cap="rnd">
              <a:solidFill>
                <a:schemeClr val="accent4"/>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uptake'!$AB$4:$AB$45</c:f>
              <c:numCache>
                <c:formatCode>0.00</c:formatCode>
                <c:ptCount val="42"/>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pt idx="12">
                  <c:v>3.6038168475970256</c:v>
                </c:pt>
                <c:pt idx="13">
                  <c:v>4.3056438023428854</c:v>
                </c:pt>
                <c:pt idx="14">
                  <c:v>5.1327221164140759</c:v>
                </c:pt>
                <c:pt idx="15">
                  <c:v>6.1027007251192567</c:v>
                </c:pt>
                <c:pt idx="16">
                  <c:v>7.2338362019303668</c:v>
                </c:pt>
                <c:pt idx="17">
                  <c:v>8.5442128980735639</c:v>
                </c:pt>
                <c:pt idx="18">
                  <c:v>10.050658916349153</c:v>
                </c:pt>
                <c:pt idx="19">
                  <c:v>11.767348060463275</c:v>
                </c:pt>
                <c:pt idx="20">
                  <c:v>13.704126976386682</c:v>
                </c:pt>
                <c:pt idx="21">
                  <c:v>15.864676460614854</c:v>
                </c:pt>
                <c:pt idx="22">
                  <c:v>18.2446991592826</c:v>
                </c:pt>
                <c:pt idx="23">
                  <c:v>20.830405173776125</c:v>
                </c:pt>
                <c:pt idx="24">
                  <c:v>23.597615056751863</c:v>
                </c:pt>
                <c:pt idx="25">
                  <c:v>26.511785194965093</c:v>
                </c:pt>
                <c:pt idx="26">
                  <c:v>29.529161341843466</c:v>
                </c:pt>
                <c:pt idx="27">
                  <c:v>32.599083937523453</c:v>
                </c:pt>
                <c:pt idx="28">
                  <c:v>35.667239375327917</c:v>
                </c:pt>
                <c:pt idx="29">
                  <c:v>38.679438450277175</c:v>
                </c:pt>
                <c:pt idx="30">
                  <c:v>41.585376567024952</c:v>
                </c:pt>
                <c:pt idx="31">
                  <c:v>44.34183475482628</c:v>
                </c:pt>
                <c:pt idx="32">
                  <c:v>46.914914515329514</c:v>
                </c:pt>
                <c:pt idx="33">
                  <c:v>49.281115713147834</c:v>
                </c:pt>
                <c:pt idx="34">
                  <c:v>51.427294854886505</c:v>
                </c:pt>
                <c:pt idx="35">
                  <c:v>53.349718590013772</c:v>
                </c:pt>
                <c:pt idx="36">
                  <c:v>55.052520770239184</c:v>
                </c:pt>
                <c:pt idx="37">
                  <c:v>56.545881024591303</c:v>
                </c:pt>
                <c:pt idx="38">
                  <c:v>57.844191872358913</c:v>
                </c:pt>
                <c:pt idx="39">
                  <c:v>58.964401114206858</c:v>
                </c:pt>
                <c:pt idx="40">
                  <c:v>59.924633453392424</c:v>
                </c:pt>
                <c:pt idx="41">
                  <c:v>60.743126753148196</c:v>
                </c:pt>
              </c:numCache>
            </c:numRef>
          </c:val>
          <c:smooth val="0"/>
          <c:extLst>
            <c:ext xmlns:c16="http://schemas.microsoft.com/office/drawing/2014/chart" uri="{C3380CC4-5D6E-409C-BE32-E72D297353CC}">
              <c16:uniqueId val="{00000003-3C6F-4450-ABBF-23B6B6A616D5}"/>
            </c:ext>
          </c:extLst>
        </c:ser>
        <c:dLbls>
          <c:showLegendKey val="0"/>
          <c:showVal val="0"/>
          <c:showCatName val="0"/>
          <c:showSerName val="0"/>
          <c:showPercent val="0"/>
          <c:showBubbleSize val="0"/>
        </c:dLbls>
        <c:smooth val="0"/>
        <c:axId val="780513488"/>
        <c:axId val="780510208"/>
      </c:lineChart>
      <c:catAx>
        <c:axId val="78051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0208"/>
        <c:crosses val="autoZero"/>
        <c:auto val="1"/>
        <c:lblAlgn val="ctr"/>
        <c:lblOffset val="100"/>
        <c:noMultiLvlLbl val="0"/>
      </c:catAx>
      <c:valAx>
        <c:axId val="780510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5209122439623078E-2"/>
              <c:y val="0.310775911594741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uptake'!$B$3</c:f>
              <c:strCache>
                <c:ptCount val="1"/>
                <c:pt idx="0">
                  <c:v>EV %sales</c:v>
                </c:pt>
              </c:strCache>
            </c:strRef>
          </c:tx>
          <c:spPr>
            <a:ln w="44450" cap="rnd">
              <a:solidFill>
                <a:schemeClr val="tx1"/>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uptake'!$B$4:$B$45</c:f>
              <c:numCache>
                <c:formatCode>0.00</c:formatCode>
                <c:ptCount val="42"/>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pt idx="9">
                  <c:v>1.9583456908291597</c:v>
                </c:pt>
              </c:numCache>
            </c:numRef>
          </c:val>
          <c:smooth val="0"/>
          <c:extLst>
            <c:ext xmlns:c16="http://schemas.microsoft.com/office/drawing/2014/chart" uri="{C3380CC4-5D6E-409C-BE32-E72D297353CC}">
              <c16:uniqueId val="{00000000-A493-4156-8328-65262505817F}"/>
            </c:ext>
          </c:extLst>
        </c:ser>
        <c:ser>
          <c:idx val="3"/>
          <c:order val="1"/>
          <c:tx>
            <c:strRef>
              <c:f>'France EV uptake'!$AB$3</c:f>
              <c:strCache>
                <c:ptCount val="1"/>
                <c:pt idx="0">
                  <c:v>raw predicted</c:v>
                </c:pt>
              </c:strCache>
            </c:strRef>
          </c:tx>
          <c:spPr>
            <a:ln w="28575" cap="rnd">
              <a:solidFill>
                <a:schemeClr val="accent4"/>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uptake'!$AB$4:$AB$45</c:f>
              <c:numCache>
                <c:formatCode>0.00</c:formatCode>
                <c:ptCount val="42"/>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pt idx="12">
                  <c:v>3.6038168475970256</c:v>
                </c:pt>
                <c:pt idx="13">
                  <c:v>4.3056438023428854</c:v>
                </c:pt>
                <c:pt idx="14">
                  <c:v>5.1327221164140759</c:v>
                </c:pt>
                <c:pt idx="15">
                  <c:v>6.1027007251192567</c:v>
                </c:pt>
                <c:pt idx="16">
                  <c:v>7.2338362019303668</c:v>
                </c:pt>
                <c:pt idx="17">
                  <c:v>8.5442128980735639</c:v>
                </c:pt>
                <c:pt idx="18">
                  <c:v>10.050658916349153</c:v>
                </c:pt>
                <c:pt idx="19">
                  <c:v>11.767348060463275</c:v>
                </c:pt>
                <c:pt idx="20">
                  <c:v>13.704126976386682</c:v>
                </c:pt>
                <c:pt idx="21">
                  <c:v>15.864676460614854</c:v>
                </c:pt>
                <c:pt idx="22">
                  <c:v>18.2446991592826</c:v>
                </c:pt>
                <c:pt idx="23">
                  <c:v>20.830405173776125</c:v>
                </c:pt>
                <c:pt idx="24">
                  <c:v>23.597615056751863</c:v>
                </c:pt>
                <c:pt idx="25">
                  <c:v>26.511785194965093</c:v>
                </c:pt>
                <c:pt idx="26">
                  <c:v>29.529161341843466</c:v>
                </c:pt>
                <c:pt idx="27">
                  <c:v>32.599083937523453</c:v>
                </c:pt>
                <c:pt idx="28">
                  <c:v>35.667239375327917</c:v>
                </c:pt>
                <c:pt idx="29">
                  <c:v>38.679438450277175</c:v>
                </c:pt>
                <c:pt idx="30">
                  <c:v>41.585376567024952</c:v>
                </c:pt>
                <c:pt idx="31">
                  <c:v>44.34183475482628</c:v>
                </c:pt>
                <c:pt idx="32">
                  <c:v>46.914914515329514</c:v>
                </c:pt>
                <c:pt idx="33">
                  <c:v>49.281115713147834</c:v>
                </c:pt>
                <c:pt idx="34">
                  <c:v>51.427294854886505</c:v>
                </c:pt>
                <c:pt idx="35">
                  <c:v>53.349718590013772</c:v>
                </c:pt>
                <c:pt idx="36">
                  <c:v>55.052520770239184</c:v>
                </c:pt>
                <c:pt idx="37">
                  <c:v>56.545881024591303</c:v>
                </c:pt>
                <c:pt idx="38">
                  <c:v>57.844191872358913</c:v>
                </c:pt>
                <c:pt idx="39">
                  <c:v>58.964401114206858</c:v>
                </c:pt>
                <c:pt idx="40">
                  <c:v>59.924633453392424</c:v>
                </c:pt>
                <c:pt idx="41">
                  <c:v>60.743126753148196</c:v>
                </c:pt>
              </c:numCache>
            </c:numRef>
          </c:val>
          <c:smooth val="0"/>
          <c:extLst>
            <c:ext xmlns:c16="http://schemas.microsoft.com/office/drawing/2014/chart" uri="{C3380CC4-5D6E-409C-BE32-E72D297353CC}">
              <c16:uniqueId val="{00000003-A493-4156-8328-65262505817F}"/>
            </c:ext>
          </c:extLst>
        </c:ser>
        <c:dLbls>
          <c:showLegendKey val="0"/>
          <c:showVal val="0"/>
          <c:showCatName val="0"/>
          <c:showSerName val="0"/>
          <c:showPercent val="0"/>
          <c:showBubbleSize val="0"/>
        </c:dLbls>
        <c:smooth val="0"/>
        <c:axId val="780513488"/>
        <c:axId val="780510208"/>
      </c:lineChart>
      <c:catAx>
        <c:axId val="78051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0208"/>
        <c:crosses val="autoZero"/>
        <c:auto val="1"/>
        <c:lblAlgn val="ctr"/>
        <c:lblOffset val="100"/>
        <c:noMultiLvlLbl val="0"/>
      </c:catAx>
      <c:valAx>
        <c:axId val="780510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5209122439623078E-2"/>
              <c:y val="0.310775911594741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uptake'!$B$3</c:f>
              <c:strCache>
                <c:ptCount val="1"/>
                <c:pt idx="0">
                  <c:v>EV %sales</c:v>
                </c:pt>
              </c:strCache>
            </c:strRef>
          </c:tx>
          <c:spPr>
            <a:ln w="44450" cap="rnd">
              <a:solidFill>
                <a:schemeClr val="tx1"/>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uptake'!$B$4:$B$45</c:f>
              <c:numCache>
                <c:formatCode>0.00</c:formatCode>
                <c:ptCount val="42"/>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pt idx="9">
                  <c:v>1.9583456908291597</c:v>
                </c:pt>
              </c:numCache>
            </c:numRef>
          </c:val>
          <c:smooth val="0"/>
          <c:extLst>
            <c:ext xmlns:c16="http://schemas.microsoft.com/office/drawing/2014/chart" uri="{C3380CC4-5D6E-409C-BE32-E72D297353CC}">
              <c16:uniqueId val="{00000000-E49B-46B9-813C-3D9DBDA78E60}"/>
            </c:ext>
          </c:extLst>
        </c:ser>
        <c:ser>
          <c:idx val="2"/>
          <c:order val="1"/>
          <c:tx>
            <c:strRef>
              <c:f>'France EV uptake'!$L$3</c:f>
              <c:strCache>
                <c:ptCount val="1"/>
                <c:pt idx="0">
                  <c:v>predicted cost</c:v>
                </c:pt>
              </c:strCache>
            </c:strRef>
          </c:tx>
          <c:spPr>
            <a:ln w="28575" cap="rnd">
              <a:solidFill>
                <a:schemeClr val="accent3"/>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uptake'!$L$4:$L$45</c:f>
              <c:numCache>
                <c:formatCode>0.00</c:formatCode>
                <c:ptCount val="42"/>
                <c:pt idx="3" formatCode="0.000">
                  <c:v>0.3326081919378055</c:v>
                </c:pt>
                <c:pt idx="4" formatCode="0.000">
                  <c:v>0.69582893347782004</c:v>
                </c:pt>
                <c:pt idx="5" formatCode="0.000">
                  <c:v>0.69582893347782004</c:v>
                </c:pt>
                <c:pt idx="6" formatCode="0.000">
                  <c:v>1.2017643024582392</c:v>
                </c:pt>
                <c:pt idx="7" formatCode="0.000">
                  <c:v>1.4468260734570164</c:v>
                </c:pt>
                <c:pt idx="8" formatCode="0.000">
                  <c:v>1.7404971160048122</c:v>
                </c:pt>
                <c:pt idx="9" formatCode="0.000">
                  <c:v>2.0918143794335924</c:v>
                </c:pt>
                <c:pt idx="10" formatCode="0.000">
                  <c:v>2.591614406114513</c:v>
                </c:pt>
                <c:pt idx="11" formatCode="0.000">
                  <c:v>3.1046437433821277</c:v>
                </c:pt>
                <c:pt idx="12" formatCode="0.000">
                  <c:v>3.7128252907782242</c:v>
                </c:pt>
                <c:pt idx="13" formatCode="0.000">
                  <c:v>4.4311195235127698</c:v>
                </c:pt>
                <c:pt idx="14" formatCode="0.000">
                  <c:v>5.537819277909362</c:v>
                </c:pt>
                <c:pt idx="15" formatCode="0.000">
                  <c:v>6.8271876916597876</c:v>
                </c:pt>
                <c:pt idx="16" formatCode="0.000">
                  <c:v>8.3195285432838642</c:v>
                </c:pt>
                <c:pt idx="17" formatCode="0.000">
                  <c:v>10.033809515278387</c:v>
                </c:pt>
                <c:pt idx="18" formatCode="0.000">
                  <c:v>12.462209202111055</c:v>
                </c:pt>
                <c:pt idx="19" formatCode="0.000">
                  <c:v>14.919447657251567</c:v>
                </c:pt>
                <c:pt idx="20" formatCode="0.000">
                  <c:v>17.628838885332108</c:v>
                </c:pt>
                <c:pt idx="21" formatCode="0.000">
                  <c:v>20.577726312232471</c:v>
                </c:pt>
                <c:pt idx="22" formatCode="0.000">
                  <c:v>23.742733185323829</c:v>
                </c:pt>
                <c:pt idx="23" formatCode="0.000">
                  <c:v>26.613610140972003</c:v>
                </c:pt>
                <c:pt idx="24" formatCode="0.000">
                  <c:v>29.580976981282355</c:v>
                </c:pt>
                <c:pt idx="25" formatCode="0.000">
                  <c:v>32.597341659987421</c:v>
                </c:pt>
                <c:pt idx="26" formatCode="0.000">
                  <c:v>35.61205993439939</c:v>
                </c:pt>
                <c:pt idx="27" formatCode="0.000">
                  <c:v>38.574594616995952</c:v>
                </c:pt>
                <c:pt idx="28" formatCode="0.000">
                  <c:v>41.437760732557166</c:v>
                </c:pt>
                <c:pt idx="29" formatCode="0.000">
                  <c:v>44.160536000121155</c:v>
                </c:pt>
                <c:pt idx="30" formatCode="0.000">
                  <c:v>46.710107281043015</c:v>
                </c:pt>
                <c:pt idx="31" formatCode="0.000">
                  <c:v>49.062975685640779</c:v>
                </c:pt>
                <c:pt idx="32" formatCode="0.000">
                  <c:v>51.205112888723363</c:v>
                </c:pt>
                <c:pt idx="33" formatCode="0.000">
                  <c:v>53.131306190575721</c:v>
                </c:pt>
                <c:pt idx="34" formatCode="0.000">
                  <c:v>54.843921422417928</c:v>
                </c:pt>
                <c:pt idx="35" formatCode="0.000">
                  <c:v>56.351342674282009</c:v>
                </c:pt>
                <c:pt idx="36" formatCode="0.000">
                  <c:v>57.666325646957738</c:v>
                </c:pt>
                <c:pt idx="37" formatCode="0.000">
                  <c:v>58.804446843539537</c:v>
                </c:pt>
                <c:pt idx="38" formatCode="0.000">
                  <c:v>59.782764767434386</c:v>
                </c:pt>
                <c:pt idx="39" formatCode="0.000">
                  <c:v>60.618747948417557</c:v>
                </c:pt>
                <c:pt idx="40" formatCode="0.000">
                  <c:v>61.329477047486215</c:v>
                </c:pt>
                <c:pt idx="41" formatCode="0.000">
                  <c:v>61.931097149751871</c:v>
                </c:pt>
              </c:numCache>
            </c:numRef>
          </c:val>
          <c:smooth val="0"/>
          <c:extLst>
            <c:ext xmlns:c16="http://schemas.microsoft.com/office/drawing/2014/chart" uri="{C3380CC4-5D6E-409C-BE32-E72D297353CC}">
              <c16:uniqueId val="{00000002-E49B-46B9-813C-3D9DBDA78E60}"/>
            </c:ext>
          </c:extLst>
        </c:ser>
        <c:ser>
          <c:idx val="3"/>
          <c:order val="2"/>
          <c:tx>
            <c:strRef>
              <c:f>'France EV uptake'!$AB$3</c:f>
              <c:strCache>
                <c:ptCount val="1"/>
                <c:pt idx="0">
                  <c:v>raw predicted</c:v>
                </c:pt>
              </c:strCache>
            </c:strRef>
          </c:tx>
          <c:spPr>
            <a:ln w="28575" cap="rnd">
              <a:solidFill>
                <a:schemeClr val="accent4"/>
              </a:solidFill>
              <a:round/>
            </a:ln>
            <a:effectLst/>
          </c:spPr>
          <c:marker>
            <c:symbol val="none"/>
          </c:marker>
          <c:cat>
            <c:numRef>
              <c:f>'France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'France EV uptake'!$AB$4:$AB$45</c:f>
              <c:numCache>
                <c:formatCode>0.00</c:formatCode>
                <c:ptCount val="42"/>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pt idx="12">
                  <c:v>3.6038168475970256</c:v>
                </c:pt>
                <c:pt idx="13">
                  <c:v>4.3056438023428854</c:v>
                </c:pt>
                <c:pt idx="14">
                  <c:v>5.1327221164140759</c:v>
                </c:pt>
                <c:pt idx="15">
                  <c:v>6.1027007251192567</c:v>
                </c:pt>
                <c:pt idx="16">
                  <c:v>7.2338362019303668</c:v>
                </c:pt>
                <c:pt idx="17">
                  <c:v>8.5442128980735639</c:v>
                </c:pt>
                <c:pt idx="18">
                  <c:v>10.050658916349153</c:v>
                </c:pt>
                <c:pt idx="19">
                  <c:v>11.767348060463275</c:v>
                </c:pt>
                <c:pt idx="20">
                  <c:v>13.704126976386682</c:v>
                </c:pt>
                <c:pt idx="21">
                  <c:v>15.864676460614854</c:v>
                </c:pt>
                <c:pt idx="22">
                  <c:v>18.2446991592826</c:v>
                </c:pt>
                <c:pt idx="23">
                  <c:v>20.830405173776125</c:v>
                </c:pt>
                <c:pt idx="24">
                  <c:v>23.597615056751863</c:v>
                </c:pt>
                <c:pt idx="25">
                  <c:v>26.511785194965093</c:v>
                </c:pt>
                <c:pt idx="26">
                  <c:v>29.529161341843466</c:v>
                </c:pt>
                <c:pt idx="27">
                  <c:v>32.599083937523453</c:v>
                </c:pt>
                <c:pt idx="28">
                  <c:v>35.667239375327917</c:v>
                </c:pt>
                <c:pt idx="29">
                  <c:v>38.679438450277175</c:v>
                </c:pt>
                <c:pt idx="30">
                  <c:v>41.585376567024952</c:v>
                </c:pt>
                <c:pt idx="31">
                  <c:v>44.34183475482628</c:v>
                </c:pt>
                <c:pt idx="32">
                  <c:v>46.914914515329514</c:v>
                </c:pt>
                <c:pt idx="33">
                  <c:v>49.281115713147834</c:v>
                </c:pt>
                <c:pt idx="34">
                  <c:v>51.427294854886505</c:v>
                </c:pt>
                <c:pt idx="35">
                  <c:v>53.349718590013772</c:v>
                </c:pt>
                <c:pt idx="36">
                  <c:v>55.052520770239184</c:v>
                </c:pt>
                <c:pt idx="37">
                  <c:v>56.545881024591303</c:v>
                </c:pt>
                <c:pt idx="38">
                  <c:v>57.844191872358913</c:v>
                </c:pt>
                <c:pt idx="39">
                  <c:v>58.964401114206858</c:v>
                </c:pt>
                <c:pt idx="40">
                  <c:v>59.924633453392424</c:v>
                </c:pt>
                <c:pt idx="41">
                  <c:v>60.743126753148196</c:v>
                </c:pt>
              </c:numCache>
            </c:numRef>
          </c:val>
          <c:smooth val="0"/>
          <c:extLst>
            <c:ext xmlns:c16="http://schemas.microsoft.com/office/drawing/2014/chart" uri="{C3380CC4-5D6E-409C-BE32-E72D297353CC}">
              <c16:uniqueId val="{00000003-E49B-46B9-813C-3D9DBDA78E60}"/>
            </c:ext>
          </c:extLst>
        </c:ser>
        <c:dLbls>
          <c:showLegendKey val="0"/>
          <c:showVal val="0"/>
          <c:showCatName val="0"/>
          <c:showSerName val="0"/>
          <c:showPercent val="0"/>
          <c:showBubbleSize val="0"/>
        </c:dLbls>
        <c:smooth val="0"/>
        <c:axId val="780513488"/>
        <c:axId val="780510208"/>
      </c:lineChart>
      <c:catAx>
        <c:axId val="78051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0208"/>
        <c:crosses val="autoZero"/>
        <c:auto val="1"/>
        <c:lblAlgn val="ctr"/>
        <c:lblOffset val="100"/>
        <c:noMultiLvlLbl val="0"/>
      </c:catAx>
      <c:valAx>
        <c:axId val="780510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5209122439623078E-2"/>
              <c:y val="0.310775911594741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51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'Australia EV uptake'!$B$3</c:f>
              <c:strCache>
                <c:ptCount val="1"/>
                <c:pt idx="0">
                  <c:v> EV %sales</c:v>
                </c:pt>
              </c:strCache>
            </c:strRef>
          </c:tx>
          <c:spPr>
            <a:ln w="38100" cap="rnd">
              <a:solidFill>
                <a:schemeClr val="tx1"/>
              </a:solidFill>
              <a:round/>
            </a:ln>
            <a:effectLst/>
          </c:spPr>
          <c:marker>
            <c:symbol val="none"/>
          </c:marker>
          <c:cat>
            <c:numRef>
              <c:f>'Australia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'Australia EV uptake'!$B$4:$B$13</c:f>
              <c:numCache>
                <c:formatCode>0.00</c:formatCode>
                <c:ptCount val="10"/>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pt idx="9">
                  <c:v>0.33725864927910965</c:v>
                </c:pt>
              </c:numCache>
            </c:numRef>
          </c:val>
          <c:smooth val="0"/>
          <c:extLst>
            <c:ext xmlns:c16="http://schemas.microsoft.com/office/drawing/2014/chart" uri="{C3380CC4-5D6E-409C-BE32-E72D297353CC}">
              <c16:uniqueId val="{00000000-DECF-4850-BA43-0F4C54C48BFA}"/>
            </c:ext>
          </c:extLst>
        </c:ser>
        <c:ser>
          <c:idx val="1"/>
          <c:order val="1"/>
          <c:tx>
            <c:strRef>
              <c:f>'Australia EV uptake'!$C$3</c:f>
              <c:strCache>
                <c:ptCount val="1"/>
                <c:pt idx="0">
                  <c:v> predicted</c:v>
                </c:pt>
              </c:strCache>
            </c:strRef>
          </c:tx>
          <c:spPr>
            <a:ln w="28575" cap="rnd">
              <a:solidFill>
                <a:schemeClr val="accent2"/>
              </a:solidFill>
              <a:round/>
            </a:ln>
            <a:effectLst/>
          </c:spPr>
          <c:marker>
            <c:symbol val="none"/>
          </c:marker>
          <c:cat>
            <c:numRef>
              <c:f>'Australia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'Australia EV uptake'!$C$4:$C$13</c:f>
              <c:numCache>
                <c:formatCode>0.00</c:formatCode>
                <c:ptCount val="10"/>
                <c:pt idx="0">
                  <c:v>0</c:v>
                </c:pt>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numCache>
            </c:numRef>
          </c:val>
          <c:smooth val="0"/>
          <c:extLst>
            <c:ext xmlns:c16="http://schemas.microsoft.com/office/drawing/2014/chart" uri="{C3380CC4-5D6E-409C-BE32-E72D297353CC}">
              <c16:uniqueId val="{00000001-DECF-4850-BA43-0F4C54C48BFA}"/>
            </c:ext>
          </c:extLst>
        </c:ser>
        <c:dLbls>
          <c:showLegendKey val="0"/>
          <c:showVal val="0"/>
          <c:showCatName val="0"/>
          <c:showSerName val="0"/>
          <c:showPercent val="0"/>
          <c:showBubbleSize val="0"/>
        </c:dLbls>
        <c:smooth val="0"/>
        <c:axId val="667391568"/>
        <c:axId val="667398128"/>
      </c:lineChart>
      <c:catAx>
        <c:axId val="6673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398128"/>
        <c:crosses val="autoZero"/>
        <c:auto val="1"/>
        <c:lblAlgn val="ctr"/>
        <c:lblOffset val="100"/>
        <c:noMultiLvlLbl val="0"/>
      </c:catAx>
      <c:valAx>
        <c:axId val="667398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Evs as % of passenger vehicle sales</a:t>
                </a:r>
              </a:p>
            </c:rich>
          </c:tx>
          <c:layout>
            <c:manualLayout>
              <c:xMode val="edge"/>
              <c:yMode val="edge"/>
              <c:x val="1.9444444444444445E-2"/>
              <c:y val="0.120836978710994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39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Norway</a:t>
            </a:r>
          </a:p>
        </c:rich>
      </c:tx>
      <c:layout>
        <c:manualLayout>
          <c:xMode val="edge"/>
          <c:yMode val="edge"/>
          <c:x val="0.4011596675415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%sales'!$AU$47</c:f>
              <c:strCache>
                <c:ptCount val="1"/>
                <c:pt idx="0">
                  <c:v>109</c:v>
                </c:pt>
              </c:strCache>
            </c:strRef>
          </c:tx>
          <c:spPr>
            <a:ln w="28575" cap="rnd">
              <a:solidFill>
                <a:schemeClr val="accent1"/>
              </a:solidFill>
              <a:round/>
            </a:ln>
            <a:effectLst/>
          </c:spPr>
          <c:marker>
            <c:symbol val="none"/>
          </c:marker>
          <c:cat>
            <c:numRef>
              <c:f>'EV %sales'!$AD$48:$AD$58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'EV %sales'!$AU$48:$AU$58</c:f>
              <c:numCache>
                <c:formatCode>0</c:formatCode>
                <c:ptCount val="11"/>
                <c:pt idx="0">
                  <c:v>129.19499999999999</c:v>
                </c:pt>
                <c:pt idx="1">
                  <c:v>110.517</c:v>
                </c:pt>
                <c:pt idx="2">
                  <c:v>98.674999999999997</c:v>
                </c:pt>
                <c:pt idx="3">
                  <c:v>127.754</c:v>
                </c:pt>
                <c:pt idx="4">
                  <c:v>138.345</c:v>
                </c:pt>
                <c:pt idx="5">
                  <c:v>127.967</c:v>
                </c:pt>
                <c:pt idx="6">
                  <c:v>142.15100000000001</c:v>
                </c:pt>
                <c:pt idx="7">
                  <c:v>144.202</c:v>
                </c:pt>
                <c:pt idx="8">
                  <c:v>150.68600000000001</c:v>
                </c:pt>
                <c:pt idx="9">
                  <c:v>154.60300000000001</c:v>
                </c:pt>
                <c:pt idx="10">
                  <c:v>158.65</c:v>
                </c:pt>
              </c:numCache>
            </c:numRef>
          </c:val>
          <c:smooth val="0"/>
          <c:extLst>
            <c:ext xmlns:c16="http://schemas.microsoft.com/office/drawing/2014/chart" uri="{C3380CC4-5D6E-409C-BE32-E72D297353CC}">
              <c16:uniqueId val="{00000000-A6D2-4463-AEB4-4B260862BDCB}"/>
            </c:ext>
          </c:extLst>
        </c:ser>
        <c:ser>
          <c:idx val="1"/>
          <c:order val="1"/>
          <c:tx>
            <c:strRef>
              <c:f>'EV %sales'!$CR$78</c:f>
              <c:strCache>
                <c:ptCount val="1"/>
                <c:pt idx="0">
                  <c:v>109</c:v>
                </c:pt>
              </c:strCache>
            </c:strRef>
          </c:tx>
          <c:spPr>
            <a:ln w="28575" cap="rnd">
              <a:solidFill>
                <a:schemeClr val="accent2"/>
              </a:solidFill>
              <a:round/>
            </a:ln>
            <a:effectLst/>
          </c:spPr>
          <c:marker>
            <c:symbol val="none"/>
          </c:marker>
          <c:cat>
            <c:numRef>
              <c:f>'EV %sales'!$AD$48:$AD$58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'EV %sales'!$CR$79:$CR$89</c:f>
              <c:numCache>
                <c:formatCode>0</c:formatCode>
                <c:ptCount val="11"/>
                <c:pt idx="0">
                  <c:v>129.19499999999999</c:v>
                </c:pt>
                <c:pt idx="1">
                  <c:v>110.517</c:v>
                </c:pt>
                <c:pt idx="2">
                  <c:v>98.674999999999997</c:v>
                </c:pt>
                <c:pt idx="3">
                  <c:v>127.754</c:v>
                </c:pt>
                <c:pt idx="4">
                  <c:v>138.345</c:v>
                </c:pt>
                <c:pt idx="5">
                  <c:v>127.967</c:v>
                </c:pt>
                <c:pt idx="6">
                  <c:v>142.15100000000001</c:v>
                </c:pt>
                <c:pt idx="7">
                  <c:v>144.202</c:v>
                </c:pt>
                <c:pt idx="8">
                  <c:v>150.68600000000001</c:v>
                </c:pt>
                <c:pt idx="9">
                  <c:v>154.60300000000001</c:v>
                </c:pt>
                <c:pt idx="10">
                  <c:v>158.65</c:v>
                </c:pt>
              </c:numCache>
            </c:numRef>
          </c:val>
          <c:smooth val="0"/>
          <c:extLst>
            <c:ext xmlns:c16="http://schemas.microsoft.com/office/drawing/2014/chart" uri="{C3380CC4-5D6E-409C-BE32-E72D297353CC}">
              <c16:uniqueId val="{00000001-A6D2-4463-AEB4-4B260862BDCB}"/>
            </c:ext>
          </c:extLst>
        </c:ser>
        <c:dLbls>
          <c:showLegendKey val="0"/>
          <c:showVal val="0"/>
          <c:showCatName val="0"/>
          <c:showSerName val="0"/>
          <c:showPercent val="0"/>
          <c:showBubbleSize val="0"/>
        </c:dLbls>
        <c:smooth val="0"/>
        <c:axId val="449052832"/>
        <c:axId val="449057096"/>
      </c:lineChart>
      <c:catAx>
        <c:axId val="44905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057096"/>
        <c:crosses val="autoZero"/>
        <c:auto val="1"/>
        <c:lblAlgn val="ctr"/>
        <c:lblOffset val="100"/>
        <c:noMultiLvlLbl val="0"/>
      </c:catAx>
      <c:valAx>
        <c:axId val="449057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05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uptake'!$S$3</c:f>
              <c:strCache>
                <c:ptCount val="1"/>
                <c:pt idx="0">
                  <c:v>High</c:v>
                </c:pt>
              </c:strCache>
            </c:strRef>
          </c:tx>
          <c:spPr>
            <a:ln w="28575" cap="rnd">
              <a:solidFill>
                <a:schemeClr val="accent1"/>
              </a:solidFill>
              <a:round/>
            </a:ln>
            <a:effectLst/>
          </c:spPr>
          <c:marker>
            <c:symbol val="none"/>
          </c:marker>
          <c:cat>
            <c:numRef>
              <c:f>'France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uptake'!$S$4:$S$25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2.6482789871426538</c:v>
                </c:pt>
                <c:pt idx="11" formatCode="0.00">
                  <c:v>3.2316488877166889</c:v>
                </c:pt>
                <c:pt idx="12" formatCode="0.00">
                  <c:v>4.1393865141252908</c:v>
                </c:pt>
                <c:pt idx="13" formatCode="0.00">
                  <c:v>5.1167146630391747</c:v>
                </c:pt>
                <c:pt idx="14" formatCode="0.00">
                  <c:v>6.3292700751186617</c:v>
                </c:pt>
                <c:pt idx="15" formatCode="0.00">
                  <c:v>7.7831316663699823</c:v>
                </c:pt>
                <c:pt idx="16" formatCode="0.00">
                  <c:v>9.5011442444419334</c:v>
                </c:pt>
                <c:pt idx="17" formatCode="0.00">
                  <c:v>11.471281093940137</c:v>
                </c:pt>
                <c:pt idx="18" formatCode="0.00">
                  <c:v>13.649251070483926</c:v>
                </c:pt>
                <c:pt idx="19" formatCode="0.00">
                  <c:v>16.033439413098471</c:v>
                </c:pt>
                <c:pt idx="20" formatCode="0.00">
                  <c:v>18.55922494440436</c:v>
                </c:pt>
                <c:pt idx="21" formatCode="0.00">
                  <c:v>21.202292757348854</c:v>
                </c:pt>
              </c:numCache>
            </c:numRef>
          </c:val>
          <c:smooth val="0"/>
          <c:extLst>
            <c:ext xmlns:c16="http://schemas.microsoft.com/office/drawing/2014/chart" uri="{C3380CC4-5D6E-409C-BE32-E72D297353CC}">
              <c16:uniqueId val="{00000000-ACE2-476B-A60C-99E627B6DEA1}"/>
            </c:ext>
          </c:extLst>
        </c:ser>
        <c:ser>
          <c:idx val="1"/>
          <c:order val="1"/>
          <c:tx>
            <c:strRef>
              <c:f>'France EV uptake'!$T$3</c:f>
              <c:strCache>
                <c:ptCount val="1"/>
                <c:pt idx="0">
                  <c:v>Medium</c:v>
                </c:pt>
              </c:strCache>
            </c:strRef>
          </c:tx>
          <c:spPr>
            <a:ln w="28575" cap="rnd">
              <a:solidFill>
                <a:schemeClr val="accent2"/>
              </a:solidFill>
              <a:round/>
            </a:ln>
            <a:effectLst/>
          </c:spPr>
          <c:marker>
            <c:symbol val="none"/>
          </c:marker>
          <c:cat>
            <c:numRef>
              <c:f>'France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uptake'!$T$4:$T$25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2.6482789871426538</c:v>
                </c:pt>
                <c:pt idx="11" formatCode="0.00">
                  <c:v>3.1864034686442451</c:v>
                </c:pt>
                <c:pt idx="12" formatCode="0.00">
                  <c:v>4.0424320446843387</c:v>
                </c:pt>
                <c:pt idx="13" formatCode="0.00">
                  <c:v>4.9321054966629498</c:v>
                </c:pt>
                <c:pt idx="14" formatCode="0.00">
                  <c:v>5.9952762265435036</c:v>
                </c:pt>
                <c:pt idx="15" formatCode="0.00">
                  <c:v>7.3320712920762068</c:v>
                </c:pt>
                <c:pt idx="16" formatCode="0.00">
                  <c:v>8.9330173444295422</c:v>
                </c:pt>
                <c:pt idx="17" formatCode="0.00">
                  <c:v>10.818405824689448</c:v>
                </c:pt>
                <c:pt idx="18" formatCode="0.00">
                  <c:v>12.966963972449891</c:v>
                </c:pt>
                <c:pt idx="19" formatCode="0.00">
                  <c:v>15.383470471544754</c:v>
                </c:pt>
                <c:pt idx="20" formatCode="0.00">
                  <c:v>17.996910699785918</c:v>
                </c:pt>
                <c:pt idx="21" formatCode="0.00">
                  <c:v>20.78936319492934</c:v>
                </c:pt>
              </c:numCache>
            </c:numRef>
          </c:val>
          <c:smooth val="0"/>
          <c:extLst>
            <c:ext xmlns:c16="http://schemas.microsoft.com/office/drawing/2014/chart" uri="{C3380CC4-5D6E-409C-BE32-E72D297353CC}">
              <c16:uniqueId val="{00000001-ACE2-476B-A60C-99E627B6DEA1}"/>
            </c:ext>
          </c:extLst>
        </c:ser>
        <c:ser>
          <c:idx val="2"/>
          <c:order val="2"/>
          <c:tx>
            <c:strRef>
              <c:f>'France EV uptake'!$U$3</c:f>
              <c:strCache>
                <c:ptCount val="1"/>
                <c:pt idx="0">
                  <c:v>Low</c:v>
                </c:pt>
              </c:strCache>
            </c:strRef>
          </c:tx>
          <c:spPr>
            <a:ln w="28575" cap="rnd">
              <a:solidFill>
                <a:schemeClr val="accent3"/>
              </a:solidFill>
              <a:round/>
            </a:ln>
            <a:effectLst/>
          </c:spPr>
          <c:marker>
            <c:symbol val="none"/>
          </c:marker>
          <c:cat>
            <c:numRef>
              <c:f>'France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uptake'!$U$4:$U$25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2.6482789871426538</c:v>
                </c:pt>
                <c:pt idx="11" formatCode="0.00">
                  <c:v>3.1864034686442451</c:v>
                </c:pt>
                <c:pt idx="12" formatCode="0.00">
                  <c:v>4.0424320446843387</c:v>
                </c:pt>
                <c:pt idx="13" formatCode="0.00">
                  <c:v>4.9321054966629498</c:v>
                </c:pt>
                <c:pt idx="14" formatCode="0.00">
                  <c:v>5.9952762265435036</c:v>
                </c:pt>
                <c:pt idx="15" formatCode="0.00">
                  <c:v>7.2640706435428424</c:v>
                </c:pt>
                <c:pt idx="16" formatCode="0.00">
                  <c:v>8.7970160473628134</c:v>
                </c:pt>
                <c:pt idx="17" formatCode="0.00">
                  <c:v>10.614403879089354</c:v>
                </c:pt>
                <c:pt idx="18" formatCode="0.00">
                  <c:v>12.694961378316433</c:v>
                </c:pt>
                <c:pt idx="19" formatCode="0.00">
                  <c:v>15.043467228877931</c:v>
                </c:pt>
                <c:pt idx="20" formatCode="0.00">
                  <c:v>17.656907457119097</c:v>
                </c:pt>
                <c:pt idx="21" formatCode="0.00">
                  <c:v>20.449359952262519</c:v>
                </c:pt>
              </c:numCache>
            </c:numRef>
          </c:val>
          <c:smooth val="0"/>
          <c:extLst>
            <c:ext xmlns:c16="http://schemas.microsoft.com/office/drawing/2014/chart" uri="{C3380CC4-5D6E-409C-BE32-E72D297353CC}">
              <c16:uniqueId val="{00000002-ACE2-476B-A60C-99E627B6DEA1}"/>
            </c:ext>
          </c:extLst>
        </c:ser>
        <c:dLbls>
          <c:showLegendKey val="0"/>
          <c:showVal val="0"/>
          <c:showCatName val="0"/>
          <c:showSerName val="0"/>
          <c:showPercent val="0"/>
          <c:showBubbleSize val="0"/>
        </c:dLbls>
        <c:smooth val="0"/>
        <c:axId val="752996488"/>
        <c:axId val="752996816"/>
      </c:lineChart>
      <c:catAx>
        <c:axId val="75299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996816"/>
        <c:crosses val="autoZero"/>
        <c:auto val="1"/>
        <c:lblAlgn val="ctr"/>
        <c:lblOffset val="100"/>
        <c:noMultiLvlLbl val="0"/>
      </c:catAx>
      <c:valAx>
        <c:axId val="752996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99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 EV uptake'!$X$3</c:f>
              <c:strCache>
                <c:ptCount val="1"/>
                <c:pt idx="0">
                  <c:v>High</c:v>
                </c:pt>
              </c:strCache>
            </c:strRef>
          </c:tx>
          <c:spPr>
            <a:ln w="28575" cap="rnd">
              <a:solidFill>
                <a:schemeClr val="accent1"/>
              </a:solidFill>
              <a:round/>
            </a:ln>
            <a:effectLst/>
          </c:spPr>
          <c:marker>
            <c:symbol val="none"/>
          </c:marker>
          <c:cat>
            <c:numRef>
              <c:f>'France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uptake'!$X$4:$X$25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2.3495363238306917</c:v>
                </c:pt>
                <c:pt idx="11" formatCode="0.00">
                  <c:v>2.7159288805955391</c:v>
                </c:pt>
                <c:pt idx="12" formatCode="0.00">
                  <c:v>3.2865395833246924</c:v>
                </c:pt>
                <c:pt idx="13" formatCode="0.00">
                  <c:v>3.8624886373808729</c:v>
                </c:pt>
                <c:pt idx="14" formatCode="0.00">
                  <c:v>4.5944332458230805</c:v>
                </c:pt>
                <c:pt idx="15" formatCode="0.00">
                  <c:v>5.4627008889069169</c:v>
                </c:pt>
                <c:pt idx="16" formatCode="0.00">
                  <c:v>6.5049520686508675</c:v>
                </c:pt>
                <c:pt idx="17" formatCode="0.00">
                  <c:v>7.7069156061577884</c:v>
                </c:pt>
                <c:pt idx="18" formatCode="0.00">
                  <c:v>9.0834224321657491</c:v>
                </c:pt>
                <c:pt idx="19" formatCode="0.00">
                  <c:v>10.647261377647627</c:v>
                </c:pt>
                <c:pt idx="20" formatCode="0.00">
                  <c:v>12.407953778724139</c:v>
                </c:pt>
                <c:pt idx="21" formatCode="0.00">
                  <c:v>14.3503837840814</c:v>
                </c:pt>
              </c:numCache>
            </c:numRef>
          </c:val>
          <c:smooth val="0"/>
          <c:extLst>
            <c:ext xmlns:c16="http://schemas.microsoft.com/office/drawing/2014/chart" uri="{C3380CC4-5D6E-409C-BE32-E72D297353CC}">
              <c16:uniqueId val="{00000000-6EC2-443A-A237-45758E8AE508}"/>
            </c:ext>
          </c:extLst>
        </c:ser>
        <c:ser>
          <c:idx val="1"/>
          <c:order val="1"/>
          <c:tx>
            <c:strRef>
              <c:f>'France EV uptake'!$Y$3</c:f>
              <c:strCache>
                <c:ptCount val="1"/>
                <c:pt idx="0">
                  <c:v>Medium</c:v>
                </c:pt>
              </c:strCache>
            </c:strRef>
          </c:tx>
          <c:spPr>
            <a:ln w="28575" cap="rnd">
              <a:solidFill>
                <a:schemeClr val="accent2"/>
              </a:solidFill>
              <a:round/>
            </a:ln>
            <a:effectLst/>
          </c:spPr>
          <c:marker>
            <c:symbol val="none"/>
          </c:marker>
          <c:cat>
            <c:numRef>
              <c:f>'France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uptake'!$Y$4:$Y$25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2.6482789871426538</c:v>
                </c:pt>
                <c:pt idx="11" formatCode="0.00">
                  <c:v>3.1864034686442451</c:v>
                </c:pt>
                <c:pt idx="12" formatCode="0.00">
                  <c:v>4.0424320446843387</c:v>
                </c:pt>
                <c:pt idx="13" formatCode="0.00">
                  <c:v>4.9321054966629498</c:v>
                </c:pt>
                <c:pt idx="14" formatCode="0.00">
                  <c:v>5.9952762265435036</c:v>
                </c:pt>
                <c:pt idx="15" formatCode="0.00">
                  <c:v>7.3320712920762068</c:v>
                </c:pt>
                <c:pt idx="16" formatCode="0.00">
                  <c:v>8.9330173444295422</c:v>
                </c:pt>
                <c:pt idx="17" formatCode="0.00">
                  <c:v>10.818405824689448</c:v>
                </c:pt>
                <c:pt idx="18" formatCode="0.00">
                  <c:v>12.966963972449891</c:v>
                </c:pt>
                <c:pt idx="19" formatCode="0.00">
                  <c:v>15.383470471544754</c:v>
                </c:pt>
                <c:pt idx="20" formatCode="0.00">
                  <c:v>17.996910699785918</c:v>
                </c:pt>
                <c:pt idx="21" formatCode="0.00">
                  <c:v>20.78936319492934</c:v>
                </c:pt>
              </c:numCache>
            </c:numRef>
          </c:val>
          <c:smooth val="0"/>
          <c:extLst>
            <c:ext xmlns:c16="http://schemas.microsoft.com/office/drawing/2014/chart" uri="{C3380CC4-5D6E-409C-BE32-E72D297353CC}">
              <c16:uniqueId val="{00000001-6EC2-443A-A237-45758E8AE508}"/>
            </c:ext>
          </c:extLst>
        </c:ser>
        <c:ser>
          <c:idx val="2"/>
          <c:order val="2"/>
          <c:tx>
            <c:strRef>
              <c:f>'France EV uptake'!$Z$3</c:f>
              <c:strCache>
                <c:ptCount val="1"/>
                <c:pt idx="0">
                  <c:v>Low</c:v>
                </c:pt>
              </c:strCache>
            </c:strRef>
          </c:tx>
          <c:spPr>
            <a:ln w="28575" cap="rnd">
              <a:solidFill>
                <a:schemeClr val="accent3"/>
              </a:solidFill>
              <a:round/>
            </a:ln>
            <a:effectLst/>
          </c:spPr>
          <c:marker>
            <c:symbol val="none"/>
          </c:marker>
          <c:cat>
            <c:numRef>
              <c:f>'France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 EV uptake'!$Z$4:$Z$25</c:f>
              <c:numCache>
                <c:formatCode>General</c:formatCode>
                <c:ptCount val="22"/>
                <c:pt idx="3" formatCode="0.00">
                  <c:v>0.3326081919378055</c:v>
                </c:pt>
                <c:pt idx="4" formatCode="0.00">
                  <c:v>0.69582893347782004</c:v>
                </c:pt>
                <c:pt idx="5" formatCode="0.00">
                  <c:v>0.69582893347782004</c:v>
                </c:pt>
                <c:pt idx="6" formatCode="0.00">
                  <c:v>1.2017643024582392</c:v>
                </c:pt>
                <c:pt idx="7" formatCode="0.00">
                  <c:v>1.4468260734570164</c:v>
                </c:pt>
                <c:pt idx="8" formatCode="0.00">
                  <c:v>1.7404971160048122</c:v>
                </c:pt>
                <c:pt idx="9" formatCode="0.00">
                  <c:v>2.0918143794335924</c:v>
                </c:pt>
                <c:pt idx="10" formatCode="0.00">
                  <c:v>2.8827090502585038</c:v>
                </c:pt>
                <c:pt idx="11" formatCode="0.00">
                  <c:v>3.6636947928516008</c:v>
                </c:pt>
                <c:pt idx="12" formatCode="0.00">
                  <c:v>4.998810832965205</c:v>
                </c:pt>
                <c:pt idx="13" formatCode="0.00">
                  <c:v>6.3998151586500205</c:v>
                </c:pt>
                <c:pt idx="14" formatCode="0.00">
                  <c:v>8.097840681011844</c:v>
                </c:pt>
                <c:pt idx="15" formatCode="0.00">
                  <c:v>10.212304697558876</c:v>
                </c:pt>
                <c:pt idx="16" formatCode="0.00">
                  <c:v>12.687334184359717</c:v>
                </c:pt>
                <c:pt idx="17" formatCode="0.00">
                  <c:v>15.529848631860839</c:v>
                </c:pt>
                <c:pt idx="18" formatCode="0.00">
                  <c:v>18.619960401695462</c:v>
                </c:pt>
                <c:pt idx="19" formatCode="0.00">
                  <c:v>21.951516460171725</c:v>
                </c:pt>
                <c:pt idx="20" formatCode="0.00">
                  <c:v>25.339118642339166</c:v>
                </c:pt>
                <c:pt idx="21" formatCode="0.00">
                  <c:v>28.761466665681951</c:v>
                </c:pt>
              </c:numCache>
            </c:numRef>
          </c:val>
          <c:smooth val="0"/>
          <c:extLst>
            <c:ext xmlns:c16="http://schemas.microsoft.com/office/drawing/2014/chart" uri="{C3380CC4-5D6E-409C-BE32-E72D297353CC}">
              <c16:uniqueId val="{00000002-6EC2-443A-A237-45758E8AE508}"/>
            </c:ext>
          </c:extLst>
        </c:ser>
        <c:dLbls>
          <c:showLegendKey val="0"/>
          <c:showVal val="0"/>
          <c:showCatName val="0"/>
          <c:showSerName val="0"/>
          <c:showPercent val="0"/>
          <c:showBubbleSize val="0"/>
        </c:dLbls>
        <c:smooth val="0"/>
        <c:axId val="785125192"/>
        <c:axId val="785124864"/>
      </c:lineChart>
      <c:catAx>
        <c:axId val="78512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24864"/>
        <c:crosses val="autoZero"/>
        <c:auto val="1"/>
        <c:lblAlgn val="ctr"/>
        <c:lblOffset val="100"/>
        <c:noMultiLvlLbl val="0"/>
      </c:catAx>
      <c:valAx>
        <c:axId val="78512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2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France!$P$2</c:f>
              <c:strCache>
                <c:ptCount val="1"/>
                <c:pt idx="0">
                  <c:v>BEV price</c:v>
                </c:pt>
              </c:strCache>
            </c:strRef>
          </c:tx>
          <c:spPr>
            <a:ln w="60325" cap="rnd">
              <a:solidFill>
                <a:schemeClr val="accent1"/>
              </a:solidFill>
              <a:round/>
            </a:ln>
            <a:effectLst/>
          </c:spPr>
          <c:marker>
            <c:symbol val="none"/>
          </c:marker>
          <c:cat>
            <c:numRef>
              <c:f>France!$O$3:$O$24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France!$P$3:$P$24</c:f>
              <c:numCache>
                <c:formatCode>0</c:formatCode>
                <c:ptCount val="22"/>
                <c:pt idx="0">
                  <c:v>21540.410736725793</c:v>
                </c:pt>
                <c:pt idx="1">
                  <c:v>23879.659741529795</c:v>
                </c:pt>
                <c:pt idx="2">
                  <c:v>22950.007507408973</c:v>
                </c:pt>
                <c:pt idx="3">
                  <c:v>26313.893072466679</c:v>
                </c:pt>
                <c:pt idx="4">
                  <c:v>23633.477804349437</c:v>
                </c:pt>
                <c:pt idx="5">
                  <c:v>26791.932204333607</c:v>
                </c:pt>
                <c:pt idx="6">
                  <c:v>28395.062111009578</c:v>
                </c:pt>
                <c:pt idx="7">
                  <c:v>28186.670996424124</c:v>
                </c:pt>
                <c:pt idx="8">
                  <c:v>27977.870933714708</c:v>
                </c:pt>
                <c:pt idx="9">
                  <c:v>27495.211389304168</c:v>
                </c:pt>
                <c:pt idx="10">
                  <c:v>28163.081554826156</c:v>
                </c:pt>
                <c:pt idx="11">
                  <c:v>28027.407040611859</c:v>
                </c:pt>
                <c:pt idx="12">
                  <c:v>27272.077497488794</c:v>
                </c:pt>
                <c:pt idx="13">
                  <c:v>27786.363060634114</c:v>
                </c:pt>
                <c:pt idx="14">
                  <c:v>27550.788091996612</c:v>
                </c:pt>
                <c:pt idx="15">
                  <c:v>26472.995835676804</c:v>
                </c:pt>
                <c:pt idx="16">
                  <c:v>25555.249006360005</c:v>
                </c:pt>
                <c:pt idx="17">
                  <c:v>25056.333727355479</c:v>
                </c:pt>
                <c:pt idx="18">
                  <c:v>24556.843905837581</c:v>
                </c:pt>
                <c:pt idx="19">
                  <c:v>23987.376568255153</c:v>
                </c:pt>
                <c:pt idx="20">
                  <c:v>23486.755174362093</c:v>
                </c:pt>
                <c:pt idx="21">
                  <c:v>22916.167800775333</c:v>
                </c:pt>
              </c:numCache>
            </c:numRef>
          </c:val>
          <c:smooth val="0"/>
          <c:extLst>
            <c:ext xmlns:c16="http://schemas.microsoft.com/office/drawing/2014/chart" uri="{C3380CC4-5D6E-409C-BE32-E72D297353CC}">
              <c16:uniqueId val="{00000000-A0E0-4BB0-89A4-A6F0694A2B9B}"/>
            </c:ext>
          </c:extLst>
        </c:ser>
        <c:ser>
          <c:idx val="1"/>
          <c:order val="1"/>
          <c:tx>
            <c:strRef>
              <c:f>France!$Q$2</c:f>
              <c:strCache>
                <c:ptCount val="1"/>
                <c:pt idx="0">
                  <c:v>PHEV price</c:v>
                </c:pt>
              </c:strCache>
            </c:strRef>
          </c:tx>
          <c:spPr>
            <a:ln w="28575" cap="rnd">
              <a:solidFill>
                <a:schemeClr val="accent2"/>
              </a:solidFill>
              <a:round/>
            </a:ln>
            <a:effectLst/>
          </c:spPr>
          <c:marker>
            <c:symbol val="none"/>
          </c:marker>
          <c:cat>
            <c:numRef>
              <c:f>France!$O$3:$O$24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France!$Q$3:$Q$24</c:f>
              <c:numCache>
                <c:formatCode>0</c:formatCode>
                <c:ptCount val="22"/>
                <c:pt idx="0">
                  <c:v>23710.503109435245</c:v>
                </c:pt>
                <c:pt idx="1">
                  <c:v>26017.057642362925</c:v>
                </c:pt>
                <c:pt idx="2">
                  <c:v>25043.084809363892</c:v>
                </c:pt>
                <c:pt idx="3">
                  <c:v>28366.8214713456</c:v>
                </c:pt>
                <c:pt idx="4">
                  <c:v>27704.17979138712</c:v>
                </c:pt>
                <c:pt idx="5">
                  <c:v>30133.297390536103</c:v>
                </c:pt>
                <c:pt idx="6">
                  <c:v>31735.164338440813</c:v>
                </c:pt>
                <c:pt idx="7">
                  <c:v>33541.260996424127</c:v>
                </c:pt>
                <c:pt idx="8">
                  <c:v>32977.870933714708</c:v>
                </c:pt>
                <c:pt idx="9">
                  <c:v>32444.236431370879</c:v>
                </c:pt>
                <c:pt idx="10">
                  <c:v>33061.651328226842</c:v>
                </c:pt>
                <c:pt idx="11">
                  <c:v>32876.03593638607</c:v>
                </c:pt>
                <c:pt idx="12">
                  <c:v>32071.274662463762</c:v>
                </c:pt>
                <c:pt idx="13">
                  <c:v>32536.632450889454</c:v>
                </c:pt>
                <c:pt idx="14">
                  <c:v>32252.628525783941</c:v>
                </c:pt>
                <c:pt idx="15">
                  <c:v>31126.901045799867</c:v>
                </c:pt>
                <c:pt idx="16">
                  <c:v>30161.707692020762</c:v>
                </c:pt>
                <c:pt idx="17">
                  <c:v>29615.829605471637</c:v>
                </c:pt>
                <c:pt idx="18">
                  <c:v>29069.855761836945</c:v>
                </c:pt>
                <c:pt idx="19">
                  <c:v>28454.378306352122</c:v>
                </c:pt>
                <c:pt idx="20">
                  <c:v>27908.215867321578</c:v>
                </c:pt>
                <c:pt idx="21">
                  <c:v>27292.551739169361</c:v>
                </c:pt>
              </c:numCache>
            </c:numRef>
          </c:val>
          <c:smooth val="0"/>
          <c:extLst>
            <c:ext xmlns:c16="http://schemas.microsoft.com/office/drawing/2014/chart" uri="{C3380CC4-5D6E-409C-BE32-E72D297353CC}">
              <c16:uniqueId val="{00000001-A0E0-4BB0-89A4-A6F0694A2B9B}"/>
            </c:ext>
          </c:extLst>
        </c:ser>
        <c:ser>
          <c:idx val="2"/>
          <c:order val="2"/>
          <c:tx>
            <c:strRef>
              <c:f>France!$R$2</c:f>
              <c:strCache>
                <c:ptCount val="1"/>
                <c:pt idx="0">
                  <c:v>FFV price</c:v>
                </c:pt>
              </c:strCache>
            </c:strRef>
          </c:tx>
          <c:spPr>
            <a:ln w="28575" cap="rnd">
              <a:solidFill>
                <a:schemeClr val="tx1"/>
              </a:solidFill>
              <a:round/>
            </a:ln>
            <a:effectLst/>
          </c:spPr>
          <c:marker>
            <c:symbol val="none"/>
          </c:marker>
          <c:cat>
            <c:numRef>
              <c:f>France!$O$3:$O$24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France!$R$3:$R$24</c:f>
              <c:numCache>
                <c:formatCode>0</c:formatCode>
                <c:ptCount val="22"/>
                <c:pt idx="0">
                  <c:v>19831.319183269236</c:v>
                </c:pt>
                <c:pt idx="1">
                  <c:v>21292.751778436344</c:v>
                </c:pt>
                <c:pt idx="2">
                  <c:v>20495.07058442714</c:v>
                </c:pt>
                <c:pt idx="3">
                  <c:v>22368.93129101978</c:v>
                </c:pt>
                <c:pt idx="4">
                  <c:v>21643.567747660527</c:v>
                </c:pt>
                <c:pt idx="5">
                  <c:v>21751.417825691937</c:v>
                </c:pt>
                <c:pt idx="6">
                  <c:v>25546.576030105181</c:v>
                </c:pt>
                <c:pt idx="7">
                  <c:v>25377.863430591831</c:v>
                </c:pt>
                <c:pt idx="8">
                  <c:v>24938.034382514612</c:v>
                </c:pt>
                <c:pt idx="9">
                  <c:v>24046.5</c:v>
                </c:pt>
                <c:pt idx="10">
                  <c:v>24046.5</c:v>
                </c:pt>
                <c:pt idx="11">
                  <c:v>24046.5</c:v>
                </c:pt>
                <c:pt idx="12">
                  <c:v>24046.5</c:v>
                </c:pt>
                <c:pt idx="13">
                  <c:v>24046.5</c:v>
                </c:pt>
                <c:pt idx="14">
                  <c:v>24046.5</c:v>
                </c:pt>
                <c:pt idx="15">
                  <c:v>24046.5</c:v>
                </c:pt>
                <c:pt idx="16">
                  <c:v>24046.5</c:v>
                </c:pt>
                <c:pt idx="17">
                  <c:v>24046.5</c:v>
                </c:pt>
                <c:pt idx="18">
                  <c:v>24046.5</c:v>
                </c:pt>
                <c:pt idx="19">
                  <c:v>24046.5</c:v>
                </c:pt>
                <c:pt idx="20">
                  <c:v>24046.5</c:v>
                </c:pt>
                <c:pt idx="21">
                  <c:v>24046.5</c:v>
                </c:pt>
              </c:numCache>
            </c:numRef>
          </c:val>
          <c:smooth val="0"/>
          <c:extLst>
            <c:ext xmlns:c16="http://schemas.microsoft.com/office/drawing/2014/chart" uri="{C3380CC4-5D6E-409C-BE32-E72D297353CC}">
              <c16:uniqueId val="{00000002-A0E0-4BB0-89A4-A6F0694A2B9B}"/>
            </c:ext>
          </c:extLst>
        </c:ser>
        <c:dLbls>
          <c:showLegendKey val="0"/>
          <c:showVal val="0"/>
          <c:showCatName val="0"/>
          <c:showSerName val="0"/>
          <c:showPercent val="0"/>
          <c:showBubbleSize val="0"/>
        </c:dLbls>
        <c:smooth val="0"/>
        <c:axId val="630552192"/>
        <c:axId val="630556128"/>
      </c:lineChart>
      <c:catAx>
        <c:axId val="63055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56128"/>
        <c:crosses val="autoZero"/>
        <c:auto val="1"/>
        <c:lblAlgn val="ctr"/>
        <c:lblOffset val="100"/>
        <c:noMultiLvlLbl val="0"/>
      </c:catAx>
      <c:valAx>
        <c:axId val="630556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5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uptake'!$AD$3</c:f>
              <c:strCache>
                <c:ptCount val="1"/>
                <c:pt idx="0">
                  <c:v>Linearized Logistic</c:v>
                </c:pt>
              </c:strCache>
            </c:strRef>
          </c:tx>
          <c:spPr>
            <a:ln w="41275" cap="rnd">
              <a:solidFill>
                <a:schemeClr val="tx1"/>
              </a:solidFill>
              <a:round/>
            </a:ln>
            <a:effectLst/>
          </c:spPr>
          <c:marker>
            <c:symbol val="none"/>
          </c:marker>
          <c:cat>
            <c:numRef>
              <c:f>'Germany EV uptake'!$A$7:$A$13</c:f>
              <c:numCache>
                <c:formatCode>General</c:formatCode>
                <c:ptCount val="7"/>
                <c:pt idx="0">
                  <c:v>2012</c:v>
                </c:pt>
                <c:pt idx="1">
                  <c:v>2013</c:v>
                </c:pt>
                <c:pt idx="2">
                  <c:v>2014</c:v>
                </c:pt>
                <c:pt idx="3">
                  <c:v>2015</c:v>
                </c:pt>
                <c:pt idx="4">
                  <c:v>2016</c:v>
                </c:pt>
                <c:pt idx="5">
                  <c:v>2017</c:v>
                </c:pt>
                <c:pt idx="6">
                  <c:v>2018</c:v>
                </c:pt>
              </c:numCache>
            </c:numRef>
          </c:cat>
          <c:val>
            <c:numRef>
              <c:f>'Germany EV uptake'!$AD$7:$AD$13</c:f>
              <c:numCache>
                <c:formatCode>General</c:formatCode>
                <c:ptCount val="7"/>
                <c:pt idx="0">
                  <c:v>-6.3860691120257984</c:v>
                </c:pt>
                <c:pt idx="1">
                  <c:v>-5.6200646578368545</c:v>
                </c:pt>
                <c:pt idx="2">
                  <c:v>-5.0364982850739404</c:v>
                </c:pt>
                <c:pt idx="3">
                  <c:v>-4.487059161555738</c:v>
                </c:pt>
                <c:pt idx="4">
                  <c:v>-4.4494587953567359</c:v>
                </c:pt>
                <c:pt idx="5">
                  <c:v>-3.6900369865021472</c:v>
                </c:pt>
                <c:pt idx="6">
                  <c:v>-3.2781105335303646</c:v>
                </c:pt>
              </c:numCache>
            </c:numRef>
          </c:val>
          <c:smooth val="0"/>
          <c:extLst>
            <c:ext xmlns:c16="http://schemas.microsoft.com/office/drawing/2014/chart" uri="{C3380CC4-5D6E-409C-BE32-E72D297353CC}">
              <c16:uniqueId val="{00000000-C5E9-42A7-A4CD-8E0F85EBE4E9}"/>
            </c:ext>
          </c:extLst>
        </c:ser>
        <c:ser>
          <c:idx val="1"/>
          <c:order val="1"/>
          <c:tx>
            <c:strRef>
              <c:f>'Germany EV uptake'!$AE$3</c:f>
              <c:strCache>
                <c:ptCount val="1"/>
                <c:pt idx="0">
                  <c:v>predicted</c:v>
                </c:pt>
              </c:strCache>
            </c:strRef>
          </c:tx>
          <c:spPr>
            <a:ln w="28575" cap="rnd">
              <a:solidFill>
                <a:schemeClr val="accent2"/>
              </a:solidFill>
              <a:round/>
            </a:ln>
            <a:effectLst/>
          </c:spPr>
          <c:marker>
            <c:symbol val="none"/>
          </c:marker>
          <c:cat>
            <c:numRef>
              <c:f>'Germany EV uptake'!$A$7:$A$13</c:f>
              <c:numCache>
                <c:formatCode>General</c:formatCode>
                <c:ptCount val="7"/>
                <c:pt idx="0">
                  <c:v>2012</c:v>
                </c:pt>
                <c:pt idx="1">
                  <c:v>2013</c:v>
                </c:pt>
                <c:pt idx="2">
                  <c:v>2014</c:v>
                </c:pt>
                <c:pt idx="3">
                  <c:v>2015</c:v>
                </c:pt>
                <c:pt idx="4">
                  <c:v>2016</c:v>
                </c:pt>
                <c:pt idx="5">
                  <c:v>2017</c:v>
                </c:pt>
                <c:pt idx="6">
                  <c:v>2018</c:v>
                </c:pt>
              </c:numCache>
            </c:numRef>
          </c:cat>
          <c:val>
            <c:numRef>
              <c:f>'Germany EV uptake'!$AE$7:$AE$13</c:f>
              <c:numCache>
                <c:formatCode>General</c:formatCode>
                <c:ptCount val="7"/>
                <c:pt idx="0">
                  <c:v>-6.3113292563787802</c:v>
                </c:pt>
                <c:pt idx="1">
                  <c:v>-5.6920582882083144</c:v>
                </c:pt>
                <c:pt idx="2">
                  <c:v>-5.0727873200378495</c:v>
                </c:pt>
                <c:pt idx="3">
                  <c:v>-4.4535163518673846</c:v>
                </c:pt>
                <c:pt idx="4">
                  <c:v>-4.4714304309738457</c:v>
                </c:pt>
                <c:pt idx="5">
                  <c:v>-3.6876920962737518</c:v>
                </c:pt>
                <c:pt idx="6">
                  <c:v>-3.2328884946329159</c:v>
                </c:pt>
              </c:numCache>
            </c:numRef>
          </c:val>
          <c:smooth val="0"/>
          <c:extLst>
            <c:ext xmlns:c16="http://schemas.microsoft.com/office/drawing/2014/chart" uri="{C3380CC4-5D6E-409C-BE32-E72D297353CC}">
              <c16:uniqueId val="{00000001-C5E9-42A7-A4CD-8E0F85EBE4E9}"/>
            </c:ext>
          </c:extLst>
        </c:ser>
        <c:dLbls>
          <c:showLegendKey val="0"/>
          <c:showVal val="0"/>
          <c:showCatName val="0"/>
          <c:showSerName val="0"/>
          <c:showPercent val="0"/>
          <c:showBubbleSize val="0"/>
        </c:dLbls>
        <c:smooth val="0"/>
        <c:axId val="767904584"/>
        <c:axId val="767907536"/>
      </c:lineChart>
      <c:catAx>
        <c:axId val="76790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907536"/>
        <c:crosses val="autoZero"/>
        <c:auto val="1"/>
        <c:lblAlgn val="ctr"/>
        <c:lblOffset val="100"/>
        <c:noMultiLvlLbl val="0"/>
      </c:catAx>
      <c:valAx>
        <c:axId val="767907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904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'Germany EV uptake'!$B$3</c:f>
              <c:strCache>
                <c:ptCount val="1"/>
                <c:pt idx="0">
                  <c:v> EV %sales</c:v>
                </c:pt>
              </c:strCache>
            </c:strRef>
          </c:tx>
          <c:spPr>
            <a:ln w="47625" cap="rnd">
              <a:solidFill>
                <a:schemeClr val="tx1"/>
              </a:solidFill>
              <a:round/>
            </a:ln>
            <a:effectLst/>
          </c:spPr>
          <c:marker>
            <c:symbol val="none"/>
          </c:marker>
          <c:cat>
            <c:numRef>
              <c:f>'Germany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'Germany EV uptake'!$B$4:$B$18</c:f>
              <c:numCache>
                <c:formatCode>0.00</c:formatCode>
                <c:ptCount val="15"/>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pt idx="9">
                  <c:v>2.3614375580722506</c:v>
                </c:pt>
              </c:numCache>
            </c:numRef>
          </c:val>
          <c:smooth val="0"/>
          <c:extLst>
            <c:ext xmlns:c16="http://schemas.microsoft.com/office/drawing/2014/chart" uri="{C3380CC4-5D6E-409C-BE32-E72D297353CC}">
              <c16:uniqueId val="{00000000-F279-4D4F-8722-178AB274F00D}"/>
            </c:ext>
          </c:extLst>
        </c:ser>
        <c:ser>
          <c:idx val="1"/>
          <c:order val="1"/>
          <c:tx>
            <c:strRef>
              <c:f>'Germany EV uptake'!$C$3</c:f>
              <c:strCache>
                <c:ptCount val="1"/>
                <c:pt idx="0">
                  <c:v>Predicted Cost Lagged</c:v>
                </c:pt>
              </c:strCache>
            </c:strRef>
          </c:tx>
          <c:spPr>
            <a:ln w="28575" cap="rnd">
              <a:solidFill>
                <a:schemeClr val="accent2"/>
              </a:solidFill>
              <a:round/>
            </a:ln>
            <a:effectLst/>
          </c:spPr>
          <c:marker>
            <c:symbol val="none"/>
          </c:marker>
          <c:cat>
            <c:numRef>
              <c:f>'Germany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'Germany EV uptake'!$C$4:$C$15</c:f>
              <c:numCache>
                <c:formatCode>0.00</c:formatCode>
                <c:ptCount val="12"/>
                <c:pt idx="3">
                  <c:v>6.346987523992427E-2</c:v>
                </c:pt>
                <c:pt idx="4">
                  <c:v>0.40468534472849599</c:v>
                </c:pt>
                <c:pt idx="5">
                  <c:v>0.40468534472849599</c:v>
                </c:pt>
                <c:pt idx="6">
                  <c:v>0.74774037060532272</c:v>
                </c:pt>
                <c:pt idx="7">
                  <c:v>0.73461459756398872</c:v>
                </c:pt>
                <c:pt idx="8">
                  <c:v>1.5872033755904482</c:v>
                </c:pt>
                <c:pt idx="9">
                  <c:v>2.4665326913069379</c:v>
                </c:pt>
                <c:pt idx="10">
                  <c:v>4.2857980085890945</c:v>
                </c:pt>
                <c:pt idx="11">
                  <c:v>6.3965483267176513</c:v>
                </c:pt>
              </c:numCache>
            </c:numRef>
          </c:val>
          <c:smooth val="0"/>
          <c:extLst>
            <c:ext xmlns:c16="http://schemas.microsoft.com/office/drawing/2014/chart" uri="{C3380CC4-5D6E-409C-BE32-E72D297353CC}">
              <c16:uniqueId val="{00000001-F279-4D4F-8722-178AB274F00D}"/>
            </c:ext>
          </c:extLst>
        </c:ser>
        <c:ser>
          <c:idx val="2"/>
          <c:order val="2"/>
          <c:tx>
            <c:strRef>
              <c:f>'Germany EV uptake'!$D$3</c:f>
              <c:strCache>
                <c:ptCount val="1"/>
                <c:pt idx="0">
                  <c:v>rawPredCostLagged</c:v>
                </c:pt>
              </c:strCache>
            </c:strRef>
          </c:tx>
          <c:spPr>
            <a:ln w="28575" cap="rnd">
              <a:solidFill>
                <a:schemeClr val="accent3"/>
              </a:solidFill>
              <a:round/>
            </a:ln>
            <a:effectLst/>
          </c:spPr>
          <c:marker>
            <c:symbol val="none"/>
          </c:marker>
          <c:cat>
            <c:numRef>
              <c:f>'Germany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'Germany EV uptake'!$D$4:$D$15</c:f>
              <c:numCache>
                <c:formatCode>0.00</c:formatCode>
                <c:ptCount val="12"/>
                <c:pt idx="3" formatCode="0.000">
                  <c:v>6.346987523992427E-2</c:v>
                </c:pt>
                <c:pt idx="4" formatCode="0.000">
                  <c:v>0.40468534472849599</c:v>
                </c:pt>
                <c:pt idx="5" formatCode="0.000">
                  <c:v>0.40468534472849599</c:v>
                </c:pt>
                <c:pt idx="6" formatCode="0.000">
                  <c:v>0.74774037060532272</c:v>
                </c:pt>
                <c:pt idx="7" formatCode="0.000">
                  <c:v>0.73461459756398872</c:v>
                </c:pt>
                <c:pt idx="8" formatCode="0.000">
                  <c:v>1.5872033755904482</c:v>
                </c:pt>
                <c:pt idx="9" formatCode="0.000">
                  <c:v>2.4665326913069379</c:v>
                </c:pt>
                <c:pt idx="10" formatCode="0.000">
                  <c:v>4.4373644231824514</c:v>
                </c:pt>
                <c:pt idx="11" formatCode="0.000">
                  <c:v>5.9534969112778962</c:v>
                </c:pt>
              </c:numCache>
            </c:numRef>
          </c:val>
          <c:smooth val="0"/>
          <c:extLst>
            <c:ext xmlns:c16="http://schemas.microsoft.com/office/drawing/2014/chart" uri="{C3380CC4-5D6E-409C-BE32-E72D297353CC}">
              <c16:uniqueId val="{00000002-F279-4D4F-8722-178AB274F00D}"/>
            </c:ext>
          </c:extLst>
        </c:ser>
        <c:ser>
          <c:idx val="3"/>
          <c:order val="3"/>
          <c:tx>
            <c:strRef>
              <c:f>'Germany EV uptake'!$L$3</c:f>
              <c:strCache>
                <c:ptCount val="1"/>
                <c:pt idx="0">
                  <c:v>Predicted Cost</c:v>
                </c:pt>
              </c:strCache>
            </c:strRef>
          </c:tx>
          <c:spPr>
            <a:ln w="28575" cap="rnd">
              <a:solidFill>
                <a:schemeClr val="accent4"/>
              </a:solidFill>
              <a:round/>
            </a:ln>
            <a:effectLst/>
          </c:spPr>
          <c:marker>
            <c:symbol val="none"/>
          </c:marker>
          <c:cat>
            <c:numRef>
              <c:f>'Germany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'Germany EV uptake'!$L$4:$L$15</c:f>
              <c:numCache>
                <c:formatCode>0.00</c:formatCode>
                <c:ptCount val="12"/>
                <c:pt idx="3" formatCode="0.000">
                  <c:v>6.346987523992427E-2</c:v>
                </c:pt>
                <c:pt idx="4" formatCode="0.000">
                  <c:v>0.40468534472849599</c:v>
                </c:pt>
                <c:pt idx="5" formatCode="0.000">
                  <c:v>0.40468534472849599</c:v>
                </c:pt>
                <c:pt idx="6" formatCode="0.000">
                  <c:v>0.74774037060532272</c:v>
                </c:pt>
                <c:pt idx="7" formatCode="0.000">
                  <c:v>0.73461459756398872</c:v>
                </c:pt>
                <c:pt idx="8" formatCode="0.000">
                  <c:v>1.5872033755904482</c:v>
                </c:pt>
                <c:pt idx="9" formatCode="0.000">
                  <c:v>2.4665326913069379</c:v>
                </c:pt>
                <c:pt idx="10" formatCode="0.000">
                  <c:v>4.4373644231824505</c:v>
                </c:pt>
                <c:pt idx="11" formatCode="0.000">
                  <c:v>7.7868554505897851</c:v>
                </c:pt>
              </c:numCache>
            </c:numRef>
          </c:val>
          <c:smooth val="0"/>
          <c:extLst>
            <c:ext xmlns:c16="http://schemas.microsoft.com/office/drawing/2014/chart" uri="{C3380CC4-5D6E-409C-BE32-E72D297353CC}">
              <c16:uniqueId val="{00000003-F279-4D4F-8722-178AB274F00D}"/>
            </c:ext>
          </c:extLst>
        </c:ser>
        <c:dLbls>
          <c:showLegendKey val="0"/>
          <c:showVal val="0"/>
          <c:showCatName val="0"/>
          <c:showSerName val="0"/>
          <c:showPercent val="0"/>
          <c:showBubbleSize val="0"/>
        </c:dLbls>
        <c:smooth val="0"/>
        <c:axId val="706525552"/>
        <c:axId val="706527520"/>
      </c:lineChart>
      <c:catAx>
        <c:axId val="70652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527520"/>
        <c:crosses val="autoZero"/>
        <c:auto val="1"/>
        <c:lblAlgn val="ctr"/>
        <c:lblOffset val="100"/>
        <c:noMultiLvlLbl val="0"/>
      </c:catAx>
      <c:valAx>
        <c:axId val="70652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52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uptake'!$B$3</c:f>
              <c:strCache>
                <c:ptCount val="1"/>
                <c:pt idx="0">
                  <c:v> EV %sales</c:v>
                </c:pt>
              </c:strCache>
            </c:strRef>
          </c:tx>
          <c:spPr>
            <a:ln w="47625" cap="rnd">
              <a:solidFill>
                <a:schemeClr val="tx1"/>
              </a:solidFill>
              <a:round/>
            </a:ln>
            <a:effectLst/>
          </c:spPr>
          <c:marker>
            <c:symbol val="none"/>
          </c:marker>
          <c:cat>
            <c:numRef>
              <c:f>'Germany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'Germany EV uptake'!$B$4:$B$13</c:f>
              <c:numCache>
                <c:formatCode>0.00</c:formatCode>
                <c:ptCount val="10"/>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pt idx="9">
                  <c:v>2.3614375580722506</c:v>
                </c:pt>
              </c:numCache>
            </c:numRef>
          </c:val>
          <c:smooth val="0"/>
          <c:extLst>
            <c:ext xmlns:c16="http://schemas.microsoft.com/office/drawing/2014/chart" uri="{C3380CC4-5D6E-409C-BE32-E72D297353CC}">
              <c16:uniqueId val="{00000000-4F99-4BAD-9A0A-7465639DD8EA}"/>
            </c:ext>
          </c:extLst>
        </c:ser>
        <c:ser>
          <c:idx val="1"/>
          <c:order val="1"/>
          <c:tx>
            <c:strRef>
              <c:f>'Germany EV uptake'!$AB$3</c:f>
              <c:strCache>
                <c:ptCount val="1"/>
                <c:pt idx="0">
                  <c:v>raw predicted</c:v>
                </c:pt>
              </c:strCache>
            </c:strRef>
          </c:tx>
          <c:spPr>
            <a:ln w="28575" cap="rnd">
              <a:solidFill>
                <a:schemeClr val="accent2"/>
              </a:solidFill>
              <a:round/>
            </a:ln>
            <a:effectLst/>
          </c:spPr>
          <c:marker>
            <c:symbol val="none"/>
          </c:marker>
          <c:cat>
            <c:numRef>
              <c:f>'Germany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'Germany EV uptake'!$AB$4:$AB$13</c:f>
              <c:numCache>
                <c:formatCode>0.00</c:formatCode>
                <c:ptCount val="10"/>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numCache>
            </c:numRef>
          </c:val>
          <c:smooth val="0"/>
          <c:extLst>
            <c:ext xmlns:c16="http://schemas.microsoft.com/office/drawing/2014/chart" uri="{C3380CC4-5D6E-409C-BE32-E72D297353CC}">
              <c16:uniqueId val="{00000001-4F99-4BAD-9A0A-7465639DD8EA}"/>
            </c:ext>
          </c:extLst>
        </c:ser>
        <c:dLbls>
          <c:showLegendKey val="0"/>
          <c:showVal val="0"/>
          <c:showCatName val="0"/>
          <c:showSerName val="0"/>
          <c:showPercent val="0"/>
          <c:showBubbleSize val="0"/>
        </c:dLbls>
        <c:smooth val="0"/>
        <c:axId val="810906544"/>
        <c:axId val="810909496"/>
      </c:lineChart>
      <c:catAx>
        <c:axId val="81090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909496"/>
        <c:crosses val="autoZero"/>
        <c:auto val="1"/>
        <c:lblAlgn val="ctr"/>
        <c:lblOffset val="100"/>
        <c:noMultiLvlLbl val="0"/>
      </c:catAx>
      <c:valAx>
        <c:axId val="810909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89529017206182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90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uptake'!$S$3</c:f>
              <c:strCache>
                <c:ptCount val="1"/>
                <c:pt idx="0">
                  <c:v>High</c:v>
                </c:pt>
              </c:strCache>
            </c:strRef>
          </c:tx>
          <c:spPr>
            <a:ln w="28575" cap="rnd">
              <a:solidFill>
                <a:schemeClr val="accent1"/>
              </a:solidFill>
              <a:round/>
            </a:ln>
            <a:effectLst/>
          </c:spPr>
          <c:marker>
            <c:symbol val="none"/>
          </c:marker>
          <c:cat>
            <c:numRef>
              <c:f>'Germany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uptake'!$S$4:$S$25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4.2857980085890945</c:v>
                </c:pt>
                <c:pt idx="11" formatCode="0.00">
                  <c:v>6.6188713150714591</c:v>
                </c:pt>
                <c:pt idx="12" formatCode="0.00">
                  <c:v>9.5730575257944697</c:v>
                </c:pt>
                <c:pt idx="13" formatCode="0.00">
                  <c:v>12.487931159700109</c:v>
                </c:pt>
                <c:pt idx="14" formatCode="0.00">
                  <c:v>16.159146279223727</c:v>
                </c:pt>
                <c:pt idx="15" formatCode="0.00">
                  <c:v>20.352597720827013</c:v>
                </c:pt>
                <c:pt idx="16" formatCode="0.00">
                  <c:v>25.126428312132621</c:v>
                </c:pt>
                <c:pt idx="17" formatCode="0.00">
                  <c:v>30.206272404111047</c:v>
                </c:pt>
                <c:pt idx="18" formatCode="0.00">
                  <c:v>35.900471373939567</c:v>
                </c:pt>
                <c:pt idx="19" formatCode="0.00">
                  <c:v>41.501939606471026</c:v>
                </c:pt>
                <c:pt idx="20" formatCode="0.00">
                  <c:v>46.77286972305852</c:v>
                </c:pt>
                <c:pt idx="21" formatCode="0.00">
                  <c:v>51.212614342285221</c:v>
                </c:pt>
              </c:numCache>
            </c:numRef>
          </c:val>
          <c:smooth val="0"/>
          <c:extLst>
            <c:ext xmlns:c16="http://schemas.microsoft.com/office/drawing/2014/chart" uri="{C3380CC4-5D6E-409C-BE32-E72D297353CC}">
              <c16:uniqueId val="{00000000-B19E-4FF5-883B-8EF16F805678}"/>
            </c:ext>
          </c:extLst>
        </c:ser>
        <c:ser>
          <c:idx val="1"/>
          <c:order val="1"/>
          <c:tx>
            <c:strRef>
              <c:f>'Germany EV uptake'!$T$3</c:f>
              <c:strCache>
                <c:ptCount val="1"/>
                <c:pt idx="0">
                  <c:v>Medium</c:v>
                </c:pt>
              </c:strCache>
            </c:strRef>
          </c:tx>
          <c:spPr>
            <a:ln w="28575" cap="rnd">
              <a:solidFill>
                <a:schemeClr val="accent2"/>
              </a:solidFill>
              <a:round/>
            </a:ln>
            <a:effectLst/>
          </c:spPr>
          <c:marker>
            <c:symbol val="none"/>
          </c:marker>
          <c:cat>
            <c:numRef>
              <c:f>'Germany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uptake'!$T$4:$T$25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4.2857980085890945</c:v>
                </c:pt>
                <c:pt idx="11" formatCode="0.00">
                  <c:v>6.3965483267176513</c:v>
                </c:pt>
                <c:pt idx="12" formatCode="0.00">
                  <c:v>9.0282834753518948</c:v>
                </c:pt>
                <c:pt idx="13" formatCode="0.00">
                  <c:v>11.62524357232658</c:v>
                </c:pt>
                <c:pt idx="14" formatCode="0.00">
                  <c:v>14.633056848848486</c:v>
                </c:pt>
                <c:pt idx="15" formatCode="0.00">
                  <c:v>18.534462224743553</c:v>
                </c:pt>
                <c:pt idx="16" formatCode="0.00">
                  <c:v>22.839043393520146</c:v>
                </c:pt>
                <c:pt idx="17" formatCode="0.00">
                  <c:v>27.385803410641039</c:v>
                </c:pt>
                <c:pt idx="18" formatCode="0.00">
                  <c:v>32.279020304359399</c:v>
                </c:pt>
                <c:pt idx="19" formatCode="0.00">
                  <c:v>37.472066512159685</c:v>
                </c:pt>
                <c:pt idx="20" formatCode="0.00">
                  <c:v>42.873198148679599</c:v>
                </c:pt>
                <c:pt idx="21" formatCode="0.00">
                  <c:v>47.811686522248429</c:v>
                </c:pt>
              </c:numCache>
            </c:numRef>
          </c:val>
          <c:smooth val="0"/>
          <c:extLst>
            <c:ext xmlns:c16="http://schemas.microsoft.com/office/drawing/2014/chart" uri="{C3380CC4-5D6E-409C-BE32-E72D297353CC}">
              <c16:uniqueId val="{00000001-B19E-4FF5-883B-8EF16F805678}"/>
            </c:ext>
          </c:extLst>
        </c:ser>
        <c:ser>
          <c:idx val="2"/>
          <c:order val="2"/>
          <c:tx>
            <c:strRef>
              <c:f>'Germany EV uptake'!$U$3</c:f>
              <c:strCache>
                <c:ptCount val="1"/>
                <c:pt idx="0">
                  <c:v>Low</c:v>
                </c:pt>
              </c:strCache>
            </c:strRef>
          </c:tx>
          <c:spPr>
            <a:ln w="28575" cap="rnd">
              <a:solidFill>
                <a:schemeClr val="accent3"/>
              </a:solidFill>
              <a:round/>
            </a:ln>
            <a:effectLst/>
          </c:spPr>
          <c:marker>
            <c:symbol val="none"/>
          </c:marker>
          <c:cat>
            <c:numRef>
              <c:f>'Germany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uptake'!$U$4:$U$25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3.9316422143818328</c:v>
                </c:pt>
                <c:pt idx="11" formatCode="0.00">
                  <c:v>5.3967517374567278</c:v>
                </c:pt>
                <c:pt idx="12" formatCode="0.00">
                  <c:v>8.0465875966315785</c:v>
                </c:pt>
                <c:pt idx="13" formatCode="0.00">
                  <c:v>10.438270508944154</c:v>
                </c:pt>
                <c:pt idx="14" formatCode="0.00">
                  <c:v>13.392996076981936</c:v>
                </c:pt>
                <c:pt idx="15" formatCode="0.00">
                  <c:v>16.997721686159476</c:v>
                </c:pt>
                <c:pt idx="16" formatCode="0.00">
                  <c:v>21.167058277688785</c:v>
                </c:pt>
                <c:pt idx="17" formatCode="0.00">
                  <c:v>25.504830331576009</c:v>
                </c:pt>
                <c:pt idx="18" formatCode="0.00">
                  <c:v>30.092367707822046</c:v>
                </c:pt>
                <c:pt idx="19" formatCode="0.00">
                  <c:v>34.808012923736747</c:v>
                </c:pt>
                <c:pt idx="20" formatCode="0.00">
                  <c:v>39.523495575358801</c:v>
                </c:pt>
                <c:pt idx="21" formatCode="0.00">
                  <c:v>44.047390611418123</c:v>
                </c:pt>
              </c:numCache>
            </c:numRef>
          </c:val>
          <c:smooth val="0"/>
          <c:extLst>
            <c:ext xmlns:c16="http://schemas.microsoft.com/office/drawing/2014/chart" uri="{C3380CC4-5D6E-409C-BE32-E72D297353CC}">
              <c16:uniqueId val="{00000002-B19E-4FF5-883B-8EF16F805678}"/>
            </c:ext>
          </c:extLst>
        </c:ser>
        <c:dLbls>
          <c:showLegendKey val="0"/>
          <c:showVal val="0"/>
          <c:showCatName val="0"/>
          <c:showSerName val="0"/>
          <c:showPercent val="0"/>
          <c:showBubbleSize val="0"/>
        </c:dLbls>
        <c:smooth val="0"/>
        <c:axId val="780475440"/>
        <c:axId val="780478064"/>
      </c:lineChart>
      <c:catAx>
        <c:axId val="78047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478064"/>
        <c:crosses val="autoZero"/>
        <c:auto val="1"/>
        <c:lblAlgn val="ctr"/>
        <c:lblOffset val="100"/>
        <c:noMultiLvlLbl val="0"/>
      </c:catAx>
      <c:valAx>
        <c:axId val="78047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47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uptake'!$X$3</c:f>
              <c:strCache>
                <c:ptCount val="1"/>
                <c:pt idx="0">
                  <c:v>High</c:v>
                </c:pt>
              </c:strCache>
            </c:strRef>
          </c:tx>
          <c:spPr>
            <a:ln w="28575" cap="rnd">
              <a:solidFill>
                <a:schemeClr val="accent1"/>
              </a:solidFill>
              <a:round/>
            </a:ln>
            <a:effectLst/>
          </c:spPr>
          <c:marker>
            <c:symbol val="none"/>
          </c:marker>
          <c:cat>
            <c:numRef>
              <c:f>'Germany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uptake'!$X$4:$X$25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2.7598524295483116</c:v>
                </c:pt>
                <c:pt idx="11" formatCode="0.00">
                  <c:v>3.8058882256695035</c:v>
                </c:pt>
                <c:pt idx="12" formatCode="0.00">
                  <c:v>5.1678213989321904</c:v>
                </c:pt>
                <c:pt idx="13" formatCode="0.00">
                  <c:v>6.3727033081873703</c:v>
                </c:pt>
                <c:pt idx="14" formatCode="0.00">
                  <c:v>7.9816903808613375</c:v>
                </c:pt>
                <c:pt idx="15" formatCode="0.00">
                  <c:v>9.7876393359841103</c:v>
                </c:pt>
                <c:pt idx="16" formatCode="0.00">
                  <c:v>11.811441484121014</c:v>
                </c:pt>
                <c:pt idx="17" formatCode="0.00">
                  <c:v>14.018203126811004</c:v>
                </c:pt>
                <c:pt idx="18" formatCode="0.00">
                  <c:v>16.485958406341044</c:v>
                </c:pt>
                <c:pt idx="19" formatCode="0.00">
                  <c:v>19.242309073151343</c:v>
                </c:pt>
                <c:pt idx="20" formatCode="0.00">
                  <c:v>22.291204729267154</c:v>
                </c:pt>
                <c:pt idx="21" formatCode="0.00">
                  <c:v>25.441453059378002</c:v>
                </c:pt>
              </c:numCache>
            </c:numRef>
          </c:val>
          <c:smooth val="0"/>
          <c:extLst>
            <c:ext xmlns:c16="http://schemas.microsoft.com/office/drawing/2014/chart" uri="{C3380CC4-5D6E-409C-BE32-E72D297353CC}">
              <c16:uniqueId val="{00000000-CE21-459C-949F-40954E711E3A}"/>
            </c:ext>
          </c:extLst>
        </c:ser>
        <c:ser>
          <c:idx val="1"/>
          <c:order val="1"/>
          <c:tx>
            <c:strRef>
              <c:f>'Germany EV uptake'!$Y$3</c:f>
              <c:strCache>
                <c:ptCount val="1"/>
                <c:pt idx="0">
                  <c:v>Medium</c:v>
                </c:pt>
              </c:strCache>
            </c:strRef>
          </c:tx>
          <c:spPr>
            <a:ln w="28575" cap="rnd">
              <a:solidFill>
                <a:schemeClr val="accent2"/>
              </a:solidFill>
              <a:round/>
            </a:ln>
            <a:effectLst/>
          </c:spPr>
          <c:marker>
            <c:symbol val="none"/>
          </c:marker>
          <c:cat>
            <c:numRef>
              <c:f>'Germany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uptake'!$Y$4:$Y$25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4.2857980085890945</c:v>
                </c:pt>
                <c:pt idx="11" formatCode="0.00">
                  <c:v>6.3965483267176513</c:v>
                </c:pt>
                <c:pt idx="12" formatCode="0.00">
                  <c:v>9.0282834753518948</c:v>
                </c:pt>
                <c:pt idx="13" formatCode="0.00">
                  <c:v>11.62524357232658</c:v>
                </c:pt>
                <c:pt idx="14" formatCode="0.00">
                  <c:v>14.633056848848486</c:v>
                </c:pt>
                <c:pt idx="15" formatCode="0.00">
                  <c:v>18.534462224743553</c:v>
                </c:pt>
                <c:pt idx="16" formatCode="0.00">
                  <c:v>22.839043393520146</c:v>
                </c:pt>
                <c:pt idx="17" formatCode="0.00">
                  <c:v>27.385803410641039</c:v>
                </c:pt>
                <c:pt idx="18" formatCode="0.00">
                  <c:v>32.279020304359399</c:v>
                </c:pt>
                <c:pt idx="19" formatCode="0.00">
                  <c:v>37.472066512159685</c:v>
                </c:pt>
                <c:pt idx="20" formatCode="0.00">
                  <c:v>42.873198148679599</c:v>
                </c:pt>
                <c:pt idx="21" formatCode="0.00">
                  <c:v>47.811686522248429</c:v>
                </c:pt>
              </c:numCache>
            </c:numRef>
          </c:val>
          <c:smooth val="0"/>
          <c:extLst>
            <c:ext xmlns:c16="http://schemas.microsoft.com/office/drawing/2014/chart" uri="{C3380CC4-5D6E-409C-BE32-E72D297353CC}">
              <c16:uniqueId val="{00000001-CE21-459C-949F-40954E711E3A}"/>
            </c:ext>
          </c:extLst>
        </c:ser>
        <c:ser>
          <c:idx val="2"/>
          <c:order val="2"/>
          <c:tx>
            <c:strRef>
              <c:f>'Germany EV uptake'!$Z$3</c:f>
              <c:strCache>
                <c:ptCount val="1"/>
                <c:pt idx="0">
                  <c:v>Low</c:v>
                </c:pt>
              </c:strCache>
            </c:strRef>
          </c:tx>
          <c:spPr>
            <a:ln w="28575" cap="rnd">
              <a:solidFill>
                <a:schemeClr val="accent3"/>
              </a:solidFill>
              <a:round/>
            </a:ln>
            <a:effectLst/>
          </c:spPr>
          <c:marker>
            <c:symbol val="none"/>
          </c:marker>
          <c:cat>
            <c:numRef>
              <c:f>'Germany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 EV uptake'!$Z$4:$Z$25</c:f>
              <c:numCache>
                <c:formatCode>General</c:formatCode>
                <c:ptCount val="22"/>
                <c:pt idx="3" formatCode="0.00">
                  <c:v>6.346987523992427E-2</c:v>
                </c:pt>
                <c:pt idx="4" formatCode="0.00">
                  <c:v>0.40468534472849599</c:v>
                </c:pt>
                <c:pt idx="5" formatCode="0.00">
                  <c:v>0.40468534472849599</c:v>
                </c:pt>
                <c:pt idx="6" formatCode="0.00">
                  <c:v>0.74774037060532272</c:v>
                </c:pt>
                <c:pt idx="7" formatCode="0.00">
                  <c:v>0.73461459756398872</c:v>
                </c:pt>
                <c:pt idx="8" formatCode="0.00">
                  <c:v>1.5872033755904482</c:v>
                </c:pt>
                <c:pt idx="9" formatCode="0.00">
                  <c:v>2.4665326913069379</c:v>
                </c:pt>
                <c:pt idx="10" formatCode="0.00">
                  <c:v>4.2857980085890945</c:v>
                </c:pt>
                <c:pt idx="11" formatCode="0.00">
                  <c:v>8.6731326981820498</c:v>
                </c:pt>
                <c:pt idx="12" formatCode="0.00">
                  <c:v>13.664838426774764</c:v>
                </c:pt>
                <c:pt idx="13" formatCode="0.00">
                  <c:v>18.863925911999551</c:v>
                </c:pt>
                <c:pt idx="14" formatCode="0.00">
                  <c:v>25.541460388492737</c:v>
                </c:pt>
                <c:pt idx="15" formatCode="0.00">
                  <c:v>33.08464588086678</c:v>
                </c:pt>
                <c:pt idx="16" formatCode="0.00">
                  <c:v>40.034999968065797</c:v>
                </c:pt>
                <c:pt idx="17" formatCode="0.00">
                  <c:v>46.685436612564544</c:v>
                </c:pt>
                <c:pt idx="18" formatCode="0.00">
                  <c:v>52.620526722704241</c:v>
                </c:pt>
                <c:pt idx="19" formatCode="0.00">
                  <c:v>57.661855100559379</c:v>
                </c:pt>
                <c:pt idx="20" formatCode="0.00">
                  <c:v>61.380880895328104</c:v>
                </c:pt>
                <c:pt idx="21" formatCode="0.00">
                  <c:v>63.346940780008381</c:v>
                </c:pt>
              </c:numCache>
            </c:numRef>
          </c:val>
          <c:smooth val="0"/>
          <c:extLst>
            <c:ext xmlns:c16="http://schemas.microsoft.com/office/drawing/2014/chart" uri="{C3380CC4-5D6E-409C-BE32-E72D297353CC}">
              <c16:uniqueId val="{00000002-CE21-459C-949F-40954E711E3A}"/>
            </c:ext>
          </c:extLst>
        </c:ser>
        <c:dLbls>
          <c:showLegendKey val="0"/>
          <c:showVal val="0"/>
          <c:showCatName val="0"/>
          <c:showSerName val="0"/>
          <c:showPercent val="0"/>
          <c:showBubbleSize val="0"/>
        </c:dLbls>
        <c:smooth val="0"/>
        <c:axId val="739122920"/>
        <c:axId val="739123904"/>
      </c:lineChart>
      <c:catAx>
        <c:axId val="739122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123904"/>
        <c:crosses val="autoZero"/>
        <c:auto val="1"/>
        <c:lblAlgn val="ctr"/>
        <c:lblOffset val="100"/>
        <c:noMultiLvlLbl val="0"/>
      </c:catAx>
      <c:valAx>
        <c:axId val="739123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12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uptake'!$B$3</c:f>
              <c:strCache>
                <c:ptCount val="1"/>
                <c:pt idx="0">
                  <c:v> EV %sales</c:v>
                </c:pt>
              </c:strCache>
            </c:strRef>
          </c:tx>
          <c:spPr>
            <a:ln w="44450" cap="rnd">
              <a:solidFill>
                <a:schemeClr val="tx1"/>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uptake'!$B$4:$B$45</c:f>
              <c:numCache>
                <c:formatCode>0.00</c:formatCode>
                <c:ptCount val="42"/>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pt idx="9">
                  <c:v>2.3614375580722506</c:v>
                </c:pt>
              </c:numCache>
            </c:numRef>
          </c:val>
          <c:smooth val="0"/>
          <c:extLst>
            <c:ext xmlns:c16="http://schemas.microsoft.com/office/drawing/2014/chart" uri="{C3380CC4-5D6E-409C-BE32-E72D297353CC}">
              <c16:uniqueId val="{00000000-0BF4-4204-8105-96B6A86A178E}"/>
            </c:ext>
          </c:extLst>
        </c:ser>
        <c:ser>
          <c:idx val="3"/>
          <c:order val="1"/>
          <c:tx>
            <c:strRef>
              <c:f>'Germany EV uptake'!$AB$3</c:f>
              <c:strCache>
                <c:ptCount val="1"/>
                <c:pt idx="0">
                  <c:v>raw predicted</c:v>
                </c:pt>
              </c:strCache>
            </c:strRef>
          </c:tx>
          <c:spPr>
            <a:ln w="28575" cap="rnd">
              <a:solidFill>
                <a:schemeClr val="accent4"/>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uptake'!$AB$4:$AB$45</c:f>
              <c:numCache>
                <c:formatCode>0.00</c:formatCode>
                <c:ptCount val="42"/>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pt idx="10">
                  <c:v>4.4373644231824505</c:v>
                </c:pt>
                <c:pt idx="11">
                  <c:v>7.7868554505897851</c:v>
                </c:pt>
                <c:pt idx="12">
                  <c:v>13.117067998248489</c:v>
                </c:pt>
                <c:pt idx="13">
                  <c:v>20.771258326627883</c:v>
                </c:pt>
                <c:pt idx="14">
                  <c:v>30.284768316160477</c:v>
                </c:pt>
                <c:pt idx="15">
                  <c:v>40.195612796933077</c:v>
                </c:pt>
                <c:pt idx="16">
                  <c:v>48.791353526737112</c:v>
                </c:pt>
                <c:pt idx="17">
                  <c:v>55.139080005240515</c:v>
                </c:pt>
                <c:pt idx="18">
                  <c:v>59.291711169072009</c:v>
                </c:pt>
                <c:pt idx="19">
                  <c:v>61.797165159989525</c:v>
                </c:pt>
                <c:pt idx="20">
                  <c:v>63.235660781813245</c:v>
                </c:pt>
                <c:pt idx="21">
                  <c:v>64.038138020406834</c:v>
                </c:pt>
                <c:pt idx="22">
                  <c:v>64.478632546612985</c:v>
                </c:pt>
                <c:pt idx="23">
                  <c:v>64.71828554099875</c:v>
                </c:pt>
                <c:pt idx="24">
                  <c:v>64.84803869476076</c:v>
                </c:pt>
                <c:pt idx="25">
                  <c:v>64.918105253848566</c:v>
                </c:pt>
                <c:pt idx="26">
                  <c:v>64.955887389291988</c:v>
                </c:pt>
                <c:pt idx="27">
                  <c:v>64.976245117461644</c:v>
                </c:pt>
                <c:pt idx="28">
                  <c:v>64.987209715550918</c:v>
                </c:pt>
                <c:pt idx="29">
                  <c:v>64.993113894164921</c:v>
                </c:pt>
                <c:pt idx="30">
                  <c:v>64.996292774785871</c:v>
                </c:pt>
                <c:pt idx="31">
                  <c:v>64.998004211842257</c:v>
                </c:pt>
                <c:pt idx="32">
                  <c:v>64.998925578641064</c:v>
                </c:pt>
                <c:pt idx="33">
                  <c:v>64.999421595073755</c:v>
                </c:pt>
                <c:pt idx="34">
                  <c:v>64.999688622087319</c:v>
                </c:pt>
                <c:pt idx="35">
                  <c:v>64.999832373452875</c:v>
                </c:pt>
                <c:pt idx="36">
                  <c:v>64.999909760360424</c:v>
                </c:pt>
                <c:pt idx="37">
                  <c:v>64.999951420653758</c:v>
                </c:pt>
                <c:pt idx="38">
                  <c:v>64.999973847943153</c:v>
                </c:pt>
                <c:pt idx="39">
                  <c:v>64.999985921383853</c:v>
                </c:pt>
                <c:pt idx="40">
                  <c:v>64.999992420962656</c:v>
                </c:pt>
                <c:pt idx="41">
                  <c:v>64.999995919925368</c:v>
                </c:pt>
              </c:numCache>
            </c:numRef>
          </c:val>
          <c:smooth val="0"/>
          <c:extLst>
            <c:ext xmlns:c16="http://schemas.microsoft.com/office/drawing/2014/chart" uri="{C3380CC4-5D6E-409C-BE32-E72D297353CC}">
              <c16:uniqueId val="{00000003-0BF4-4204-8105-96B6A86A178E}"/>
            </c:ext>
          </c:extLst>
        </c:ser>
        <c:dLbls>
          <c:showLegendKey val="0"/>
          <c:showVal val="0"/>
          <c:showCatName val="0"/>
          <c:showSerName val="0"/>
          <c:showPercent val="0"/>
          <c:showBubbleSize val="0"/>
        </c:dLbls>
        <c:smooth val="0"/>
        <c:axId val="716635488"/>
        <c:axId val="716627616"/>
      </c:lineChart>
      <c:catAx>
        <c:axId val="71663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27616"/>
        <c:crosses val="autoZero"/>
        <c:auto val="1"/>
        <c:lblAlgn val="ctr"/>
        <c:lblOffset val="100"/>
        <c:noMultiLvlLbl val="0"/>
      </c:catAx>
      <c:valAx>
        <c:axId val="716627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3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uptake'!$B$3</c:f>
              <c:strCache>
                <c:ptCount val="1"/>
                <c:pt idx="0">
                  <c:v> EV %sales</c:v>
                </c:pt>
              </c:strCache>
            </c:strRef>
          </c:tx>
          <c:spPr>
            <a:ln w="44450" cap="rnd">
              <a:solidFill>
                <a:schemeClr val="tx1"/>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uptake'!$B$4:$B$45</c:f>
              <c:numCache>
                <c:formatCode>0.00</c:formatCode>
                <c:ptCount val="42"/>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pt idx="9">
                  <c:v>2.3614375580722506</c:v>
                </c:pt>
              </c:numCache>
            </c:numRef>
          </c:val>
          <c:smooth val="0"/>
          <c:extLst>
            <c:ext xmlns:c16="http://schemas.microsoft.com/office/drawing/2014/chart" uri="{C3380CC4-5D6E-409C-BE32-E72D297353CC}">
              <c16:uniqueId val="{00000000-F332-41B5-9159-A2802B99F86D}"/>
            </c:ext>
          </c:extLst>
        </c:ser>
        <c:ser>
          <c:idx val="2"/>
          <c:order val="1"/>
          <c:tx>
            <c:strRef>
              <c:f>'Germany EV uptake'!$L$3</c:f>
              <c:strCache>
                <c:ptCount val="1"/>
                <c:pt idx="0">
                  <c:v>Predicted Cost</c:v>
                </c:pt>
              </c:strCache>
            </c:strRef>
          </c:tx>
          <c:spPr>
            <a:ln w="28575" cap="rnd">
              <a:solidFill>
                <a:schemeClr val="accent3"/>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uptake'!$L$4:$L$45</c:f>
              <c:numCache>
                <c:formatCode>0.00</c:formatCode>
                <c:ptCount val="42"/>
                <c:pt idx="3" formatCode="0.000">
                  <c:v>6.346987523992427E-2</c:v>
                </c:pt>
                <c:pt idx="4" formatCode="0.000">
                  <c:v>0.40468534472849599</c:v>
                </c:pt>
                <c:pt idx="5" formatCode="0.000">
                  <c:v>0.40468534472849599</c:v>
                </c:pt>
                <c:pt idx="6" formatCode="0.000">
                  <c:v>0.74774037060532272</c:v>
                </c:pt>
                <c:pt idx="7" formatCode="0.000">
                  <c:v>0.73461459756398872</c:v>
                </c:pt>
                <c:pt idx="8" formatCode="0.000">
                  <c:v>1.5872033755904482</c:v>
                </c:pt>
                <c:pt idx="9" formatCode="0.000">
                  <c:v>2.4665326913069379</c:v>
                </c:pt>
                <c:pt idx="10" formatCode="0.000">
                  <c:v>4.4373644231824505</c:v>
                </c:pt>
                <c:pt idx="11" formatCode="0.000">
                  <c:v>7.7868554505897851</c:v>
                </c:pt>
                <c:pt idx="12" formatCode="0.000">
                  <c:v>13.117067998248489</c:v>
                </c:pt>
                <c:pt idx="13" formatCode="0.000">
                  <c:v>22.431112577711943</c:v>
                </c:pt>
                <c:pt idx="14" formatCode="0.000">
                  <c:v>31.901557488642091</c:v>
                </c:pt>
                <c:pt idx="15" formatCode="0.000">
                  <c:v>41.136486122806794</c:v>
                </c:pt>
                <c:pt idx="16" formatCode="0.000">
                  <c:v>49.341667489479121</c:v>
                </c:pt>
                <c:pt idx="17" formatCode="0.000">
                  <c:v>55.931845982609673</c:v>
                </c:pt>
                <c:pt idx="18" formatCode="0.000">
                  <c:v>60.700351027304428</c:v>
                </c:pt>
                <c:pt idx="19" formatCode="0.000">
                  <c:v>62.616192134456071</c:v>
                </c:pt>
                <c:pt idx="20" formatCode="0.000">
                  <c:v>63.727457639593823</c:v>
                </c:pt>
                <c:pt idx="21" formatCode="0.000">
                  <c:v>64.351645658365641</c:v>
                </c:pt>
                <c:pt idx="22" formatCode="0.000">
                  <c:v>64.695690979861382</c:v>
                </c:pt>
                <c:pt idx="23" formatCode="0.000">
                  <c:v>64.883312399272342</c:v>
                </c:pt>
                <c:pt idx="24" formatCode="0.000">
                  <c:v>64.937097234182787</c:v>
                </c:pt>
                <c:pt idx="25" formatCode="0.000">
                  <c:v>64.966112274063605</c:v>
                </c:pt>
                <c:pt idx="26" formatCode="0.000">
                  <c:v>64.981749778251086</c:v>
                </c:pt>
                <c:pt idx="27" formatCode="0.000">
                  <c:v>64.990173142761137</c:v>
                </c:pt>
                <c:pt idx="28" formatCode="0.000">
                  <c:v>64.994709234997003</c:v>
                </c:pt>
                <c:pt idx="29" formatCode="0.000">
                  <c:v>64.997151610901568</c:v>
                </c:pt>
                <c:pt idx="30" formatCode="0.000">
                  <c:v>64.998466556486051</c:v>
                </c:pt>
                <c:pt idx="31" formatCode="0.000">
                  <c:v>64.999174476219451</c:v>
                </c:pt>
                <c:pt idx="32" formatCode="0.000">
                  <c:v>64.99955558592309</c:v>
                </c:pt>
                <c:pt idx="33" formatCode="0.000">
                  <c:v>64.999760754325635</c:v>
                </c:pt>
                <c:pt idx="34" formatCode="0.000">
                  <c:v>64.999871204899506</c:v>
                </c:pt>
                <c:pt idx="35" formatCode="0.000">
                  <c:v>64.999930664758807</c:v>
                </c:pt>
                <c:pt idx="36" formatCode="0.000">
                  <c:v>64.999962674260772</c:v>
                </c:pt>
                <c:pt idx="37" formatCode="0.000">
                  <c:v>64.999979906173763</c:v>
                </c:pt>
                <c:pt idx="38" formatCode="0.000">
                  <c:v>64.999989182752159</c:v>
                </c:pt>
                <c:pt idx="39" formatCode="0.000">
                  <c:v>64.99999417667712</c:v>
                </c:pt>
                <c:pt idx="40" formatCode="0.000">
                  <c:v>64.99999686509102</c:v>
                </c:pt>
                <c:pt idx="41" formatCode="0.000">
                  <c:v>64.999998312363203</c:v>
                </c:pt>
              </c:numCache>
            </c:numRef>
          </c:val>
          <c:smooth val="0"/>
          <c:extLst>
            <c:ext xmlns:c16="http://schemas.microsoft.com/office/drawing/2014/chart" uri="{C3380CC4-5D6E-409C-BE32-E72D297353CC}">
              <c16:uniqueId val="{00000002-F332-41B5-9159-A2802B99F86D}"/>
            </c:ext>
          </c:extLst>
        </c:ser>
        <c:ser>
          <c:idx val="3"/>
          <c:order val="2"/>
          <c:tx>
            <c:strRef>
              <c:f>'Germany EV uptake'!$AB$3</c:f>
              <c:strCache>
                <c:ptCount val="1"/>
                <c:pt idx="0">
                  <c:v>raw predicted</c:v>
                </c:pt>
              </c:strCache>
            </c:strRef>
          </c:tx>
          <c:spPr>
            <a:ln w="28575" cap="rnd">
              <a:solidFill>
                <a:schemeClr val="accent4"/>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uptake'!$AB$4:$AB$45</c:f>
              <c:numCache>
                <c:formatCode>0.00</c:formatCode>
                <c:ptCount val="42"/>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pt idx="10">
                  <c:v>4.4373644231824505</c:v>
                </c:pt>
                <c:pt idx="11">
                  <c:v>7.7868554505897851</c:v>
                </c:pt>
                <c:pt idx="12">
                  <c:v>13.117067998248489</c:v>
                </c:pt>
                <c:pt idx="13">
                  <c:v>20.771258326627883</c:v>
                </c:pt>
                <c:pt idx="14">
                  <c:v>30.284768316160477</c:v>
                </c:pt>
                <c:pt idx="15">
                  <c:v>40.195612796933077</c:v>
                </c:pt>
                <c:pt idx="16">
                  <c:v>48.791353526737112</c:v>
                </c:pt>
                <c:pt idx="17">
                  <c:v>55.139080005240515</c:v>
                </c:pt>
                <c:pt idx="18">
                  <c:v>59.291711169072009</c:v>
                </c:pt>
                <c:pt idx="19">
                  <c:v>61.797165159989525</c:v>
                </c:pt>
                <c:pt idx="20">
                  <c:v>63.235660781813245</c:v>
                </c:pt>
                <c:pt idx="21">
                  <c:v>64.038138020406834</c:v>
                </c:pt>
                <c:pt idx="22">
                  <c:v>64.478632546612985</c:v>
                </c:pt>
                <c:pt idx="23">
                  <c:v>64.71828554099875</c:v>
                </c:pt>
                <c:pt idx="24">
                  <c:v>64.84803869476076</c:v>
                </c:pt>
                <c:pt idx="25">
                  <c:v>64.918105253848566</c:v>
                </c:pt>
                <c:pt idx="26">
                  <c:v>64.955887389291988</c:v>
                </c:pt>
                <c:pt idx="27">
                  <c:v>64.976245117461644</c:v>
                </c:pt>
                <c:pt idx="28">
                  <c:v>64.987209715550918</c:v>
                </c:pt>
                <c:pt idx="29">
                  <c:v>64.993113894164921</c:v>
                </c:pt>
                <c:pt idx="30">
                  <c:v>64.996292774785871</c:v>
                </c:pt>
                <c:pt idx="31">
                  <c:v>64.998004211842257</c:v>
                </c:pt>
                <c:pt idx="32">
                  <c:v>64.998925578641064</c:v>
                </c:pt>
                <c:pt idx="33">
                  <c:v>64.999421595073755</c:v>
                </c:pt>
                <c:pt idx="34">
                  <c:v>64.999688622087319</c:v>
                </c:pt>
                <c:pt idx="35">
                  <c:v>64.999832373452875</c:v>
                </c:pt>
                <c:pt idx="36">
                  <c:v>64.999909760360424</c:v>
                </c:pt>
                <c:pt idx="37">
                  <c:v>64.999951420653758</c:v>
                </c:pt>
                <c:pt idx="38">
                  <c:v>64.999973847943153</c:v>
                </c:pt>
                <c:pt idx="39">
                  <c:v>64.999985921383853</c:v>
                </c:pt>
                <c:pt idx="40">
                  <c:v>64.999992420962656</c:v>
                </c:pt>
                <c:pt idx="41">
                  <c:v>64.999995919925368</c:v>
                </c:pt>
              </c:numCache>
            </c:numRef>
          </c:val>
          <c:smooth val="0"/>
          <c:extLst>
            <c:ext xmlns:c16="http://schemas.microsoft.com/office/drawing/2014/chart" uri="{C3380CC4-5D6E-409C-BE32-E72D297353CC}">
              <c16:uniqueId val="{00000003-F332-41B5-9159-A2802B99F86D}"/>
            </c:ext>
          </c:extLst>
        </c:ser>
        <c:dLbls>
          <c:showLegendKey val="0"/>
          <c:showVal val="0"/>
          <c:showCatName val="0"/>
          <c:showSerName val="0"/>
          <c:showPercent val="0"/>
          <c:showBubbleSize val="0"/>
        </c:dLbls>
        <c:smooth val="0"/>
        <c:axId val="716635488"/>
        <c:axId val="716627616"/>
      </c:lineChart>
      <c:catAx>
        <c:axId val="71663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27616"/>
        <c:crosses val="autoZero"/>
        <c:auto val="1"/>
        <c:lblAlgn val="ctr"/>
        <c:lblOffset val="100"/>
        <c:noMultiLvlLbl val="0"/>
      </c:catAx>
      <c:valAx>
        <c:axId val="716627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3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'EV %sales'!$CG$77:$CG$89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%sales'!$CU$77:$CU$89</c:f>
              <c:numCache>
                <c:formatCode>0</c:formatCode>
                <c:ptCount val="13"/>
                <c:pt idx="0">
                  <c:v>7660.4</c:v>
                </c:pt>
                <c:pt idx="1">
                  <c:v>7761.3</c:v>
                </c:pt>
                <c:pt idx="2">
                  <c:v>7562.1</c:v>
                </c:pt>
                <c:pt idx="3">
                  <c:v>6769.2</c:v>
                </c:pt>
                <c:pt idx="4">
                  <c:v>5401.5</c:v>
                </c:pt>
                <c:pt idx="5">
                  <c:v>6136.6</c:v>
                </c:pt>
                <c:pt idx="6">
                  <c:v>6089.7079999999996</c:v>
                </c:pt>
                <c:pt idx="7">
                  <c:v>7244.4390000000003</c:v>
                </c:pt>
                <c:pt idx="8">
                  <c:v>7585.3410000000003</c:v>
                </c:pt>
                <c:pt idx="9">
                  <c:v>7687.6189999999997</c:v>
                </c:pt>
                <c:pt idx="10">
                  <c:v>7523.6890000000003</c:v>
                </c:pt>
                <c:pt idx="11">
                  <c:v>6869.7719999999999</c:v>
                </c:pt>
                <c:pt idx="12">
                  <c:v>6073.5330000000004</c:v>
                </c:pt>
              </c:numCache>
            </c:numRef>
          </c:val>
          <c:smooth val="0"/>
          <c:extLst>
            <c:ext xmlns:c15="http://schemas.microsoft.com/office/drawing/2012/chart" uri="{02D57815-91ED-43cb-92C2-25804820EDAC}">
              <c15:filteredSeriesTitle>
                <c15:tx>
                  <c:strRef>
                    <c:extLst>
                      <c:ext uri="{02D57815-91ED-43cb-92C2-25804820EDAC}">
                        <c15:formulaRef>
                          <c15:sqref>'EV %sales'!#REF!</c15:sqref>
                        </c15:formulaRef>
                      </c:ext>
                    </c:extLst>
                    <c:strCache>
                      <c:ptCount val="1"/>
                    </c:strCache>
                  </c:strRef>
                </c15:tx>
              </c15:filteredSeriesTitle>
            </c:ext>
            <c:ext xmlns:c16="http://schemas.microsoft.com/office/drawing/2014/chart" uri="{C3380CC4-5D6E-409C-BE32-E72D297353CC}">
              <c16:uniqueId val="{00000000-858B-46B3-9C89-EC177CA70980}"/>
            </c:ext>
          </c:extLst>
        </c:ser>
        <c:ser>
          <c:idx val="1"/>
          <c:order val="1"/>
          <c:spPr>
            <a:ln w="28575" cap="rnd">
              <a:solidFill>
                <a:schemeClr val="accent2"/>
              </a:solidFill>
              <a:round/>
            </a:ln>
            <a:effectLst/>
          </c:spPr>
          <c:marker>
            <c:symbol val="none"/>
          </c:marker>
          <c:cat>
            <c:numRef>
              <c:f>'EV %sales'!$CG$77:$CG$89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%sales'!$CY$77:$CY$89</c:f>
              <c:numCache>
                <c:formatCode>0</c:formatCode>
                <c:ptCount val="13"/>
                <c:pt idx="0">
                  <c:v>7436</c:v>
                </c:pt>
                <c:pt idx="1">
                  <c:v>7939</c:v>
                </c:pt>
                <c:pt idx="2">
                  <c:v>7603</c:v>
                </c:pt>
                <c:pt idx="3">
                  <c:v>5148</c:v>
                </c:pt>
                <c:pt idx="4">
                  <c:v>5800</c:v>
                </c:pt>
                <c:pt idx="5">
                  <c:v>5928</c:v>
                </c:pt>
                <c:pt idx="6">
                  <c:v>6283</c:v>
                </c:pt>
                <c:pt idx="7">
                  <c:v>7524</c:v>
                </c:pt>
                <c:pt idx="8">
                  <c:v>7507</c:v>
                </c:pt>
                <c:pt idx="9">
                  <c:v>7826</c:v>
                </c:pt>
                <c:pt idx="10">
                  <c:v>7127</c:v>
                </c:pt>
                <c:pt idx="11">
                  <c:v>6836</c:v>
                </c:pt>
                <c:pt idx="12">
                  <c:v>5824</c:v>
                </c:pt>
              </c:numCache>
            </c:numRef>
          </c:val>
          <c:smooth val="0"/>
          <c:extLst>
            <c:ext xmlns:c15="http://schemas.microsoft.com/office/drawing/2012/chart" uri="{02D57815-91ED-43cb-92C2-25804820EDAC}">
              <c15:filteredSeriesTitle>
                <c15:tx>
                  <c:strRef>
                    <c:extLst>
                      <c:ext uri="{02D57815-91ED-43cb-92C2-25804820EDAC}">
                        <c15:formulaRef>
                          <c15:sqref>'EV %sales'!#REF!</c15:sqref>
                        </c15:formulaRef>
                      </c:ext>
                    </c:extLst>
                    <c:strCache>
                      <c:ptCount val="1"/>
                    </c:strCache>
                  </c:strRef>
                </c15:tx>
              </c15:filteredSeriesTitle>
            </c:ext>
            <c:ext xmlns:c16="http://schemas.microsoft.com/office/drawing/2014/chart" uri="{C3380CC4-5D6E-409C-BE32-E72D297353CC}">
              <c16:uniqueId val="{00000001-858B-46B3-9C89-EC177CA70980}"/>
            </c:ext>
          </c:extLst>
        </c:ser>
        <c:dLbls>
          <c:showLegendKey val="0"/>
          <c:showVal val="0"/>
          <c:showCatName val="0"/>
          <c:showSerName val="0"/>
          <c:showPercent val="0"/>
          <c:showBubbleSize val="0"/>
        </c:dLbls>
        <c:smooth val="0"/>
        <c:axId val="671181424"/>
        <c:axId val="671185032"/>
      </c:lineChart>
      <c:catAx>
        <c:axId val="67118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185032"/>
        <c:crosses val="autoZero"/>
        <c:auto val="1"/>
        <c:lblAlgn val="ctr"/>
        <c:lblOffset val="100"/>
        <c:noMultiLvlLbl val="0"/>
      </c:catAx>
      <c:valAx>
        <c:axId val="671185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18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 EV uptake'!$B$3</c:f>
              <c:strCache>
                <c:ptCount val="1"/>
                <c:pt idx="0">
                  <c:v> EV %sales</c:v>
                </c:pt>
              </c:strCache>
            </c:strRef>
          </c:tx>
          <c:spPr>
            <a:ln w="44450" cap="rnd">
              <a:solidFill>
                <a:schemeClr val="tx1"/>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uptake'!$B$4:$B$45</c:f>
              <c:numCache>
                <c:formatCode>0.00</c:formatCode>
                <c:ptCount val="42"/>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pt idx="9">
                  <c:v>2.3614375580722506</c:v>
                </c:pt>
              </c:numCache>
            </c:numRef>
          </c:val>
          <c:smooth val="0"/>
          <c:extLst>
            <c:ext xmlns:c16="http://schemas.microsoft.com/office/drawing/2014/chart" uri="{C3380CC4-5D6E-409C-BE32-E72D297353CC}">
              <c16:uniqueId val="{00000000-8043-4B7D-B359-E945DC186DE5}"/>
            </c:ext>
          </c:extLst>
        </c:ser>
        <c:ser>
          <c:idx val="1"/>
          <c:order val="1"/>
          <c:tx>
            <c:strRef>
              <c:f>'Germany EV uptake'!$C$3</c:f>
              <c:strCache>
                <c:ptCount val="1"/>
                <c:pt idx="0">
                  <c:v>Predicted Cost Lagged</c:v>
                </c:pt>
              </c:strCache>
            </c:strRef>
          </c:tx>
          <c:spPr>
            <a:ln w="28575" cap="rnd">
              <a:solidFill>
                <a:schemeClr val="accent2"/>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uptake'!$C$4:$C$45</c:f>
              <c:numCache>
                <c:formatCode>0.00</c:formatCode>
                <c:ptCount val="42"/>
                <c:pt idx="3">
                  <c:v>6.346987523992427E-2</c:v>
                </c:pt>
                <c:pt idx="4">
                  <c:v>0.40468534472849599</c:v>
                </c:pt>
                <c:pt idx="5">
                  <c:v>0.40468534472849599</c:v>
                </c:pt>
                <c:pt idx="6">
                  <c:v>0.74774037060532272</c:v>
                </c:pt>
                <c:pt idx="7">
                  <c:v>0.73461459756398872</c:v>
                </c:pt>
                <c:pt idx="8">
                  <c:v>1.5872033755904482</c:v>
                </c:pt>
                <c:pt idx="9">
                  <c:v>2.4665326913069379</c:v>
                </c:pt>
                <c:pt idx="10">
                  <c:v>4.2857980085890945</c:v>
                </c:pt>
                <c:pt idx="11">
                  <c:v>6.3965483267176513</c:v>
                </c:pt>
                <c:pt idx="12">
                  <c:v>9.0282834753518948</c:v>
                </c:pt>
                <c:pt idx="13">
                  <c:v>11.62524357232658</c:v>
                </c:pt>
                <c:pt idx="14">
                  <c:v>14.633056848848486</c:v>
                </c:pt>
                <c:pt idx="15">
                  <c:v>18.534462224743553</c:v>
                </c:pt>
                <c:pt idx="16">
                  <c:v>22.839043393520146</c:v>
                </c:pt>
                <c:pt idx="17">
                  <c:v>27.385803410641039</c:v>
                </c:pt>
                <c:pt idx="18">
                  <c:v>32.279020304359399</c:v>
                </c:pt>
                <c:pt idx="19">
                  <c:v>37.472066512159685</c:v>
                </c:pt>
                <c:pt idx="20">
                  <c:v>42.873198148679599</c:v>
                </c:pt>
                <c:pt idx="21">
                  <c:v>47.811686522248429</c:v>
                </c:pt>
                <c:pt idx="22">
                  <c:v>51.814082722476925</c:v>
                </c:pt>
                <c:pt idx="23">
                  <c:v>55.270760789028323</c:v>
                </c:pt>
                <c:pt idx="24">
                  <c:v>58.099140083468527</c:v>
                </c:pt>
                <c:pt idx="25">
                  <c:v>60.245447499995393</c:v>
                </c:pt>
                <c:pt idx="26">
                  <c:v>61.721967468788776</c:v>
                </c:pt>
                <c:pt idx="27">
                  <c:v>62.524367834205222</c:v>
                </c:pt>
                <c:pt idx="28">
                  <c:v>63.127970905709084</c:v>
                </c:pt>
                <c:pt idx="29">
                  <c:v>63.581291004702464</c:v>
                </c:pt>
                <c:pt idx="30">
                  <c:v>63.921949390789045</c:v>
                </c:pt>
                <c:pt idx="31">
                  <c:v>64.178528452075398</c:v>
                </c:pt>
                <c:pt idx="32">
                  <c:v>64.372461844428173</c:v>
                </c:pt>
                <c:pt idx="33">
                  <c:v>64.51969723503025</c:v>
                </c:pt>
                <c:pt idx="34">
                  <c:v>64.63205187542529</c:v>
                </c:pt>
                <c:pt idx="35">
                  <c:v>64.718269853721509</c:v>
                </c:pt>
                <c:pt idx="36">
                  <c:v>64.784370796121877</c:v>
                </c:pt>
                <c:pt idx="37">
                  <c:v>64.835013041277492</c:v>
                </c:pt>
                <c:pt idx="38">
                  <c:v>64.873790991487027</c:v>
                </c:pt>
                <c:pt idx="39">
                  <c:v>64.903471952219789</c:v>
                </c:pt>
                <c:pt idx="40">
                  <c:v>64.926040211215508</c:v>
                </c:pt>
                <c:pt idx="41">
                  <c:v>64.942899486631774</c:v>
                </c:pt>
              </c:numCache>
            </c:numRef>
          </c:val>
          <c:smooth val="0"/>
          <c:extLst>
            <c:ext xmlns:c16="http://schemas.microsoft.com/office/drawing/2014/chart" uri="{C3380CC4-5D6E-409C-BE32-E72D297353CC}">
              <c16:uniqueId val="{00000001-8043-4B7D-B359-E945DC186DE5}"/>
            </c:ext>
          </c:extLst>
        </c:ser>
        <c:ser>
          <c:idx val="2"/>
          <c:order val="2"/>
          <c:tx>
            <c:strRef>
              <c:f>'Germany EV uptake'!$L$3</c:f>
              <c:strCache>
                <c:ptCount val="1"/>
                <c:pt idx="0">
                  <c:v>Predicted Cost</c:v>
                </c:pt>
              </c:strCache>
            </c:strRef>
          </c:tx>
          <c:spPr>
            <a:ln w="28575" cap="rnd">
              <a:solidFill>
                <a:schemeClr val="accent3"/>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uptake'!$L$4:$L$45</c:f>
              <c:numCache>
                <c:formatCode>0.00</c:formatCode>
                <c:ptCount val="42"/>
                <c:pt idx="3" formatCode="0.000">
                  <c:v>6.346987523992427E-2</c:v>
                </c:pt>
                <c:pt idx="4" formatCode="0.000">
                  <c:v>0.40468534472849599</c:v>
                </c:pt>
                <c:pt idx="5" formatCode="0.000">
                  <c:v>0.40468534472849599</c:v>
                </c:pt>
                <c:pt idx="6" formatCode="0.000">
                  <c:v>0.74774037060532272</c:v>
                </c:pt>
                <c:pt idx="7" formatCode="0.000">
                  <c:v>0.73461459756398872</c:v>
                </c:pt>
                <c:pt idx="8" formatCode="0.000">
                  <c:v>1.5872033755904482</c:v>
                </c:pt>
                <c:pt idx="9" formatCode="0.000">
                  <c:v>2.4665326913069379</c:v>
                </c:pt>
                <c:pt idx="10" formatCode="0.000">
                  <c:v>4.4373644231824505</c:v>
                </c:pt>
                <c:pt idx="11" formatCode="0.000">
                  <c:v>7.7868554505897851</c:v>
                </c:pt>
                <c:pt idx="12" formatCode="0.000">
                  <c:v>13.117067998248489</c:v>
                </c:pt>
                <c:pt idx="13" formatCode="0.000">
                  <c:v>22.431112577711943</c:v>
                </c:pt>
                <c:pt idx="14" formatCode="0.000">
                  <c:v>31.901557488642091</c:v>
                </c:pt>
                <c:pt idx="15" formatCode="0.000">
                  <c:v>41.136486122806794</c:v>
                </c:pt>
                <c:pt idx="16" formatCode="0.000">
                  <c:v>49.341667489479121</c:v>
                </c:pt>
                <c:pt idx="17" formatCode="0.000">
                  <c:v>55.931845982609673</c:v>
                </c:pt>
                <c:pt idx="18" formatCode="0.000">
                  <c:v>60.700351027304428</c:v>
                </c:pt>
                <c:pt idx="19" formatCode="0.000">
                  <c:v>62.616192134456071</c:v>
                </c:pt>
                <c:pt idx="20" formatCode="0.000">
                  <c:v>63.727457639593823</c:v>
                </c:pt>
                <c:pt idx="21" formatCode="0.000">
                  <c:v>64.351645658365641</c:v>
                </c:pt>
                <c:pt idx="22" formatCode="0.000">
                  <c:v>64.695690979861382</c:v>
                </c:pt>
                <c:pt idx="23" formatCode="0.000">
                  <c:v>64.883312399272342</c:v>
                </c:pt>
                <c:pt idx="24" formatCode="0.000">
                  <c:v>64.937097234182787</c:v>
                </c:pt>
                <c:pt idx="25" formatCode="0.000">
                  <c:v>64.966112274063605</c:v>
                </c:pt>
                <c:pt idx="26" formatCode="0.000">
                  <c:v>64.981749778251086</c:v>
                </c:pt>
                <c:pt idx="27" formatCode="0.000">
                  <c:v>64.990173142761137</c:v>
                </c:pt>
                <c:pt idx="28" formatCode="0.000">
                  <c:v>64.994709234997003</c:v>
                </c:pt>
                <c:pt idx="29" formatCode="0.000">
                  <c:v>64.997151610901568</c:v>
                </c:pt>
                <c:pt idx="30" formatCode="0.000">
                  <c:v>64.998466556486051</c:v>
                </c:pt>
                <c:pt idx="31" formatCode="0.000">
                  <c:v>64.999174476219451</c:v>
                </c:pt>
                <c:pt idx="32" formatCode="0.000">
                  <c:v>64.99955558592309</c:v>
                </c:pt>
                <c:pt idx="33" formatCode="0.000">
                  <c:v>64.999760754325635</c:v>
                </c:pt>
                <c:pt idx="34" formatCode="0.000">
                  <c:v>64.999871204899506</c:v>
                </c:pt>
                <c:pt idx="35" formatCode="0.000">
                  <c:v>64.999930664758807</c:v>
                </c:pt>
                <c:pt idx="36" formatCode="0.000">
                  <c:v>64.999962674260772</c:v>
                </c:pt>
                <c:pt idx="37" formatCode="0.000">
                  <c:v>64.999979906173763</c:v>
                </c:pt>
                <c:pt idx="38" formatCode="0.000">
                  <c:v>64.999989182752159</c:v>
                </c:pt>
                <c:pt idx="39" formatCode="0.000">
                  <c:v>64.99999417667712</c:v>
                </c:pt>
                <c:pt idx="40" formatCode="0.000">
                  <c:v>64.99999686509102</c:v>
                </c:pt>
                <c:pt idx="41" formatCode="0.000">
                  <c:v>64.999998312363203</c:v>
                </c:pt>
              </c:numCache>
            </c:numRef>
          </c:val>
          <c:smooth val="0"/>
          <c:extLst>
            <c:ext xmlns:c16="http://schemas.microsoft.com/office/drawing/2014/chart" uri="{C3380CC4-5D6E-409C-BE32-E72D297353CC}">
              <c16:uniqueId val="{00000002-8043-4B7D-B359-E945DC186DE5}"/>
            </c:ext>
          </c:extLst>
        </c:ser>
        <c:ser>
          <c:idx val="3"/>
          <c:order val="3"/>
          <c:tx>
            <c:strRef>
              <c:f>'Germany EV uptake'!$AB$3</c:f>
              <c:strCache>
                <c:ptCount val="1"/>
                <c:pt idx="0">
                  <c:v>raw predicted</c:v>
                </c:pt>
              </c:strCache>
            </c:strRef>
          </c:tx>
          <c:spPr>
            <a:ln w="28575" cap="rnd">
              <a:solidFill>
                <a:schemeClr val="accent4"/>
              </a:solidFill>
              <a:round/>
            </a:ln>
            <a:effectLst/>
          </c:spPr>
          <c:marker>
            <c:symbol val="none"/>
          </c:marker>
          <c:cat>
            <c:numRef>
              <c:f>'Germany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'Germany EV uptake'!$AB$4:$AB$45</c:f>
              <c:numCache>
                <c:formatCode>0.00</c:formatCode>
                <c:ptCount val="42"/>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pt idx="10">
                  <c:v>4.4373644231824505</c:v>
                </c:pt>
                <c:pt idx="11">
                  <c:v>7.7868554505897851</c:v>
                </c:pt>
                <c:pt idx="12">
                  <c:v>13.117067998248489</c:v>
                </c:pt>
                <c:pt idx="13">
                  <c:v>20.771258326627883</c:v>
                </c:pt>
                <c:pt idx="14">
                  <c:v>30.284768316160477</c:v>
                </c:pt>
                <c:pt idx="15">
                  <c:v>40.195612796933077</c:v>
                </c:pt>
                <c:pt idx="16">
                  <c:v>48.791353526737112</c:v>
                </c:pt>
                <c:pt idx="17">
                  <c:v>55.139080005240515</c:v>
                </c:pt>
                <c:pt idx="18">
                  <c:v>59.291711169072009</c:v>
                </c:pt>
                <c:pt idx="19">
                  <c:v>61.797165159989525</c:v>
                </c:pt>
                <c:pt idx="20">
                  <c:v>63.235660781813245</c:v>
                </c:pt>
                <c:pt idx="21">
                  <c:v>64.038138020406834</c:v>
                </c:pt>
                <c:pt idx="22">
                  <c:v>64.478632546612985</c:v>
                </c:pt>
                <c:pt idx="23">
                  <c:v>64.71828554099875</c:v>
                </c:pt>
                <c:pt idx="24">
                  <c:v>64.84803869476076</c:v>
                </c:pt>
                <c:pt idx="25">
                  <c:v>64.918105253848566</c:v>
                </c:pt>
                <c:pt idx="26">
                  <c:v>64.955887389291988</c:v>
                </c:pt>
                <c:pt idx="27">
                  <c:v>64.976245117461644</c:v>
                </c:pt>
                <c:pt idx="28">
                  <c:v>64.987209715550918</c:v>
                </c:pt>
                <c:pt idx="29">
                  <c:v>64.993113894164921</c:v>
                </c:pt>
                <c:pt idx="30">
                  <c:v>64.996292774785871</c:v>
                </c:pt>
                <c:pt idx="31">
                  <c:v>64.998004211842257</c:v>
                </c:pt>
                <c:pt idx="32">
                  <c:v>64.998925578641064</c:v>
                </c:pt>
                <c:pt idx="33">
                  <c:v>64.999421595073755</c:v>
                </c:pt>
                <c:pt idx="34">
                  <c:v>64.999688622087319</c:v>
                </c:pt>
                <c:pt idx="35">
                  <c:v>64.999832373452875</c:v>
                </c:pt>
                <c:pt idx="36">
                  <c:v>64.999909760360424</c:v>
                </c:pt>
                <c:pt idx="37">
                  <c:v>64.999951420653758</c:v>
                </c:pt>
                <c:pt idx="38">
                  <c:v>64.999973847943153</c:v>
                </c:pt>
                <c:pt idx="39">
                  <c:v>64.999985921383853</c:v>
                </c:pt>
                <c:pt idx="40">
                  <c:v>64.999992420962656</c:v>
                </c:pt>
                <c:pt idx="41">
                  <c:v>64.999995919925368</c:v>
                </c:pt>
              </c:numCache>
            </c:numRef>
          </c:val>
          <c:smooth val="0"/>
          <c:extLst>
            <c:ext xmlns:c16="http://schemas.microsoft.com/office/drawing/2014/chart" uri="{C3380CC4-5D6E-409C-BE32-E72D297353CC}">
              <c16:uniqueId val="{00000003-8043-4B7D-B359-E945DC186DE5}"/>
            </c:ext>
          </c:extLst>
        </c:ser>
        <c:dLbls>
          <c:showLegendKey val="0"/>
          <c:showVal val="0"/>
          <c:showCatName val="0"/>
          <c:showSerName val="0"/>
          <c:showPercent val="0"/>
          <c:showBubbleSize val="0"/>
        </c:dLbls>
        <c:smooth val="0"/>
        <c:axId val="716635488"/>
        <c:axId val="716627616"/>
      </c:lineChart>
      <c:catAx>
        <c:axId val="71663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27616"/>
        <c:crosses val="autoZero"/>
        <c:auto val="1"/>
        <c:lblAlgn val="ctr"/>
        <c:lblOffset val="100"/>
        <c:noMultiLvlLbl val="0"/>
      </c:catAx>
      <c:valAx>
        <c:axId val="716627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63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Germany!$Q$2</c:f>
              <c:strCache>
                <c:ptCount val="1"/>
                <c:pt idx="0">
                  <c:v>BEV price</c:v>
                </c:pt>
              </c:strCache>
            </c:strRef>
          </c:tx>
          <c:spPr>
            <a:ln w="60325" cap="rnd">
              <a:solidFill>
                <a:schemeClr val="accent1"/>
              </a:solidFill>
              <a:round/>
            </a:ln>
            <a:effectLst/>
          </c:spPr>
          <c:marker>
            <c:symbol val="none"/>
          </c:marker>
          <c:cat>
            <c:numRef>
              <c:f>Germany!$P$3:$P$24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Germany!$Q$3:$Q$24</c:f>
              <c:numCache>
                <c:formatCode>0</c:formatCode>
                <c:ptCount val="22"/>
                <c:pt idx="0">
                  <c:v>27044.380743608912</c:v>
                </c:pt>
                <c:pt idx="1">
                  <c:v>29265.178870486016</c:v>
                </c:pt>
                <c:pt idx="2">
                  <c:v>28145.903682950651</c:v>
                </c:pt>
                <c:pt idx="3">
                  <c:v>31611.95514228618</c:v>
                </c:pt>
                <c:pt idx="4">
                  <c:v>25674.354887065183</c:v>
                </c:pt>
                <c:pt idx="5">
                  <c:v>27989.801886406531</c:v>
                </c:pt>
                <c:pt idx="6">
                  <c:v>30089.526234543147</c:v>
                </c:pt>
                <c:pt idx="7">
                  <c:v>29743.867678563533</c:v>
                </c:pt>
                <c:pt idx="8">
                  <c:v>29216.68191602976</c:v>
                </c:pt>
                <c:pt idx="9">
                  <c:v>28750.969463226436</c:v>
                </c:pt>
                <c:pt idx="10">
                  <c:v>29429.000377659482</c:v>
                </c:pt>
                <c:pt idx="11">
                  <c:v>29309.338040079903</c:v>
                </c:pt>
                <c:pt idx="12">
                  <c:v>28574.392947123662</c:v>
                </c:pt>
                <c:pt idx="13">
                  <c:v>29098.090883026085</c:v>
                </c:pt>
                <c:pt idx="14">
                  <c:v>28877.389970773733</c:v>
                </c:pt>
                <c:pt idx="15">
                  <c:v>27820.699279094475</c:v>
                </c:pt>
                <c:pt idx="16">
                  <c:v>26922.147704405903</c:v>
                </c:pt>
                <c:pt idx="17">
                  <c:v>26438.431784792992</c:v>
                </c:pt>
                <c:pt idx="18">
                  <c:v>25953.569313388238</c:v>
                </c:pt>
                <c:pt idx="19">
                  <c:v>25398.735367431382</c:v>
                </c:pt>
                <c:pt idx="20">
                  <c:v>24911.638283508673</c:v>
                </c:pt>
                <c:pt idx="21">
                  <c:v>24354.60794231105</c:v>
                </c:pt>
              </c:numCache>
            </c:numRef>
          </c:val>
          <c:smooth val="0"/>
          <c:extLst>
            <c:ext xmlns:c16="http://schemas.microsoft.com/office/drawing/2014/chart" uri="{C3380CC4-5D6E-409C-BE32-E72D297353CC}">
              <c16:uniqueId val="{00000000-4313-4E25-9886-6D4421DF01EB}"/>
            </c:ext>
          </c:extLst>
        </c:ser>
        <c:ser>
          <c:idx val="1"/>
          <c:order val="1"/>
          <c:tx>
            <c:strRef>
              <c:f>Germany!$R$2</c:f>
              <c:strCache>
                <c:ptCount val="1"/>
                <c:pt idx="0">
                  <c:v>PHEV price</c:v>
                </c:pt>
              </c:strCache>
            </c:strRef>
          </c:tx>
          <c:spPr>
            <a:ln w="15875" cap="rnd">
              <a:solidFill>
                <a:schemeClr val="accent2"/>
              </a:solidFill>
              <a:round/>
            </a:ln>
            <a:effectLst/>
          </c:spPr>
          <c:marker>
            <c:symbol val="none"/>
          </c:marker>
          <c:cat>
            <c:numRef>
              <c:f>Germany!$P$3:$P$24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Germany!$R$3:$R$24</c:f>
              <c:numCache>
                <c:formatCode>0</c:formatCode>
                <c:ptCount val="22"/>
                <c:pt idx="0">
                  <c:v>27044.380743608912</c:v>
                </c:pt>
                <c:pt idx="1">
                  <c:v>29265.178870486016</c:v>
                </c:pt>
                <c:pt idx="2">
                  <c:v>28145.903682950651</c:v>
                </c:pt>
                <c:pt idx="3">
                  <c:v>31611.95514228618</c:v>
                </c:pt>
                <c:pt idx="4">
                  <c:v>28259.370955318773</c:v>
                </c:pt>
                <c:pt idx="5">
                  <c:v>30551.587412408502</c:v>
                </c:pt>
                <c:pt idx="6">
                  <c:v>32389.741264707289</c:v>
                </c:pt>
                <c:pt idx="7">
                  <c:v>32033.017678563534</c:v>
                </c:pt>
                <c:pt idx="8">
                  <c:v>31466.68191602976</c:v>
                </c:pt>
                <c:pt idx="9">
                  <c:v>30962.48902288832</c:v>
                </c:pt>
                <c:pt idx="10">
                  <c:v>31602.697605555968</c:v>
                </c:pt>
                <c:pt idx="11">
                  <c:v>31445.859789535851</c:v>
                </c:pt>
                <c:pt idx="12">
                  <c:v>30674.375008708044</c:v>
                </c:pt>
                <c:pt idx="13">
                  <c:v>31162.158173751835</c:v>
                </c:pt>
                <c:pt idx="14">
                  <c:v>30906.156720061874</c:v>
                </c:pt>
                <c:pt idx="15">
                  <c:v>29814.769211557752</c:v>
                </c:pt>
                <c:pt idx="16">
                  <c:v>28882.114219506431</c:v>
                </c:pt>
                <c:pt idx="17">
                  <c:v>28364.878133427286</c:v>
                </c:pt>
                <c:pt idx="18">
                  <c:v>27847.068771452214</c:v>
                </c:pt>
                <c:pt idx="19">
                  <c:v>27259.851406417012</c:v>
                </c:pt>
                <c:pt idx="20">
                  <c:v>26740.92473818297</c:v>
                </c:pt>
                <c:pt idx="21">
                  <c:v>26152.609175527381</c:v>
                </c:pt>
              </c:numCache>
            </c:numRef>
          </c:val>
          <c:smooth val="0"/>
          <c:extLst>
            <c:ext xmlns:c16="http://schemas.microsoft.com/office/drawing/2014/chart" uri="{C3380CC4-5D6E-409C-BE32-E72D297353CC}">
              <c16:uniqueId val="{00000001-4313-4E25-9886-6D4421DF01EB}"/>
            </c:ext>
          </c:extLst>
        </c:ser>
        <c:ser>
          <c:idx val="2"/>
          <c:order val="2"/>
          <c:tx>
            <c:strRef>
              <c:f>Germany!$S$2</c:f>
              <c:strCache>
                <c:ptCount val="1"/>
                <c:pt idx="0">
                  <c:v>FFV price</c:v>
                </c:pt>
              </c:strCache>
            </c:strRef>
          </c:tx>
          <c:spPr>
            <a:ln w="28575" cap="rnd">
              <a:solidFill>
                <a:schemeClr val="tx1"/>
              </a:solidFill>
              <a:round/>
            </a:ln>
            <a:effectLst/>
          </c:spPr>
          <c:marker>
            <c:symbol val="none"/>
          </c:marker>
          <c:cat>
            <c:numRef>
              <c:f>Germany!$P$3:$P$24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Germany!$S$3:$S$24</c:f>
              <c:numCache>
                <c:formatCode>0</c:formatCode>
                <c:ptCount val="22"/>
                <c:pt idx="0">
                  <c:v>19892.516928204626</c:v>
                </c:pt>
                <c:pt idx="1">
                  <c:v>21324.970467372612</c:v>
                </c:pt>
                <c:pt idx="2">
                  <c:v>20466.859490262166</c:v>
                </c:pt>
                <c:pt idx="3">
                  <c:v>22492.528577563193</c:v>
                </c:pt>
                <c:pt idx="4">
                  <c:v>21707.951308332271</c:v>
                </c:pt>
                <c:pt idx="5">
                  <c:v>21711.969359148392</c:v>
                </c:pt>
                <c:pt idx="6">
                  <c:v>25483.966492734766</c:v>
                </c:pt>
                <c:pt idx="7">
                  <c:v>25201.995220232046</c:v>
                </c:pt>
                <c:pt idx="8">
                  <c:v>24737.789468956151</c:v>
                </c:pt>
                <c:pt idx="9">
                  <c:v>23851</c:v>
                </c:pt>
                <c:pt idx="10">
                  <c:v>23851</c:v>
                </c:pt>
                <c:pt idx="11">
                  <c:v>23851</c:v>
                </c:pt>
                <c:pt idx="12">
                  <c:v>23851</c:v>
                </c:pt>
                <c:pt idx="13">
                  <c:v>23851</c:v>
                </c:pt>
                <c:pt idx="14">
                  <c:v>23851</c:v>
                </c:pt>
                <c:pt idx="15">
                  <c:v>23851</c:v>
                </c:pt>
                <c:pt idx="16">
                  <c:v>23851</c:v>
                </c:pt>
                <c:pt idx="17">
                  <c:v>23851</c:v>
                </c:pt>
                <c:pt idx="18">
                  <c:v>23851</c:v>
                </c:pt>
                <c:pt idx="19">
                  <c:v>23851</c:v>
                </c:pt>
                <c:pt idx="20">
                  <c:v>23851</c:v>
                </c:pt>
                <c:pt idx="21">
                  <c:v>23851</c:v>
                </c:pt>
              </c:numCache>
            </c:numRef>
          </c:val>
          <c:smooth val="0"/>
          <c:extLst>
            <c:ext xmlns:c16="http://schemas.microsoft.com/office/drawing/2014/chart" uri="{C3380CC4-5D6E-409C-BE32-E72D297353CC}">
              <c16:uniqueId val="{00000002-4313-4E25-9886-6D4421DF01EB}"/>
            </c:ext>
          </c:extLst>
        </c:ser>
        <c:dLbls>
          <c:showLegendKey val="0"/>
          <c:showVal val="0"/>
          <c:showCatName val="0"/>
          <c:showSerName val="0"/>
          <c:showPercent val="0"/>
          <c:showBubbleSize val="0"/>
        </c:dLbls>
        <c:smooth val="0"/>
        <c:axId val="636802776"/>
        <c:axId val="636803104"/>
      </c:lineChart>
      <c:catAx>
        <c:axId val="63680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803104"/>
        <c:crosses val="autoZero"/>
        <c:auto val="1"/>
        <c:lblAlgn val="ctr"/>
        <c:lblOffset val="100"/>
        <c:noMultiLvlLbl val="0"/>
      </c:catAx>
      <c:valAx>
        <c:axId val="63680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802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uptake'!$AD$3</c:f>
              <c:strCache>
                <c:ptCount val="1"/>
                <c:pt idx="0">
                  <c:v>Linearized Logistic</c:v>
                </c:pt>
              </c:strCache>
            </c:strRef>
          </c:tx>
          <c:spPr>
            <a:ln w="38100" cap="rnd">
              <a:solidFill>
                <a:schemeClr val="tx1"/>
              </a:solidFill>
              <a:round/>
            </a:ln>
            <a:effectLst/>
          </c:spPr>
          <c:marker>
            <c:symbol val="none"/>
          </c:marker>
          <c:cat>
            <c:numRef>
              <c:f>'India EV uptake'!$A$7:$A$13</c:f>
              <c:numCache>
                <c:formatCode>General</c:formatCode>
                <c:ptCount val="7"/>
                <c:pt idx="0">
                  <c:v>2012</c:v>
                </c:pt>
                <c:pt idx="1">
                  <c:v>2013</c:v>
                </c:pt>
                <c:pt idx="2">
                  <c:v>2014</c:v>
                </c:pt>
                <c:pt idx="3">
                  <c:v>2015</c:v>
                </c:pt>
                <c:pt idx="4">
                  <c:v>2016</c:v>
                </c:pt>
                <c:pt idx="5">
                  <c:v>2017</c:v>
                </c:pt>
                <c:pt idx="6">
                  <c:v>2018</c:v>
                </c:pt>
              </c:numCache>
            </c:numRef>
          </c:cat>
          <c:val>
            <c:numRef>
              <c:f>'India EV uptake'!$AD$7:$AD$13</c:f>
              <c:numCache>
                <c:formatCode>General</c:formatCode>
                <c:ptCount val="7"/>
                <c:pt idx="0">
                  <c:v>-6.3724438567502419</c:v>
                </c:pt>
                <c:pt idx="1">
                  <c:v>-6.2100381482791676</c:v>
                </c:pt>
                <c:pt idx="2">
                  <c:v>-6.0333559695862577</c:v>
                </c:pt>
                <c:pt idx="3">
                  <c:v>-5.8334113347605721</c:v>
                </c:pt>
                <c:pt idx="4">
                  <c:v>-5.6021733855559077</c:v>
                </c:pt>
                <c:pt idx="5">
                  <c:v>-5.4321518569463629</c:v>
                </c:pt>
                <c:pt idx="6">
                  <c:v>-5.1173618862992374</c:v>
                </c:pt>
              </c:numCache>
            </c:numRef>
          </c:val>
          <c:smooth val="0"/>
          <c:extLst>
            <c:ext xmlns:c16="http://schemas.microsoft.com/office/drawing/2014/chart" uri="{C3380CC4-5D6E-409C-BE32-E72D297353CC}">
              <c16:uniqueId val="{00000000-66FE-46D8-B6D1-FE0025A0E2B0}"/>
            </c:ext>
          </c:extLst>
        </c:ser>
        <c:ser>
          <c:idx val="1"/>
          <c:order val="1"/>
          <c:tx>
            <c:strRef>
              <c:f>'India EV uptake'!$AE$3</c:f>
              <c:strCache>
                <c:ptCount val="1"/>
                <c:pt idx="0">
                  <c:v>predicted</c:v>
                </c:pt>
              </c:strCache>
            </c:strRef>
          </c:tx>
          <c:spPr>
            <a:ln w="28575" cap="rnd">
              <a:solidFill>
                <a:schemeClr val="accent2"/>
              </a:solidFill>
              <a:round/>
            </a:ln>
            <a:effectLst/>
          </c:spPr>
          <c:marker>
            <c:symbol val="none"/>
          </c:marker>
          <c:cat>
            <c:numRef>
              <c:f>'India EV uptake'!$A$7:$A$13</c:f>
              <c:numCache>
                <c:formatCode>General</c:formatCode>
                <c:ptCount val="7"/>
                <c:pt idx="0">
                  <c:v>2012</c:v>
                </c:pt>
                <c:pt idx="1">
                  <c:v>2013</c:v>
                </c:pt>
                <c:pt idx="2">
                  <c:v>2014</c:v>
                </c:pt>
                <c:pt idx="3">
                  <c:v>2015</c:v>
                </c:pt>
                <c:pt idx="4">
                  <c:v>2016</c:v>
                </c:pt>
                <c:pt idx="5">
                  <c:v>2017</c:v>
                </c:pt>
                <c:pt idx="6">
                  <c:v>2018</c:v>
                </c:pt>
              </c:numCache>
            </c:numRef>
          </c:cat>
          <c:val>
            <c:numRef>
              <c:f>'India EV uptake'!$AE$7:$AE$13</c:f>
              <c:numCache>
                <c:formatCode>General</c:formatCode>
                <c:ptCount val="7"/>
                <c:pt idx="0">
                  <c:v>-6.3942861578379571</c:v>
                </c:pt>
                <c:pt idx="1">
                  <c:v>-6.2021433314946748</c:v>
                </c:pt>
                <c:pt idx="2">
                  <c:v>-6.0100005051513934</c:v>
                </c:pt>
                <c:pt idx="3">
                  <c:v>-5.817857678808112</c:v>
                </c:pt>
                <c:pt idx="4">
                  <c:v>-5.6257148524648297</c:v>
                </c:pt>
                <c:pt idx="5">
                  <c:v>-5.4335720261215474</c:v>
                </c:pt>
                <c:pt idx="6">
                  <c:v>-5.241429199778266</c:v>
                </c:pt>
              </c:numCache>
            </c:numRef>
          </c:val>
          <c:smooth val="0"/>
          <c:extLst>
            <c:ext xmlns:c16="http://schemas.microsoft.com/office/drawing/2014/chart" uri="{C3380CC4-5D6E-409C-BE32-E72D297353CC}">
              <c16:uniqueId val="{00000001-66FE-46D8-B6D1-FE0025A0E2B0}"/>
            </c:ext>
          </c:extLst>
        </c:ser>
        <c:dLbls>
          <c:showLegendKey val="0"/>
          <c:showVal val="0"/>
          <c:showCatName val="0"/>
          <c:showSerName val="0"/>
          <c:showPercent val="0"/>
          <c:showBubbleSize val="0"/>
        </c:dLbls>
        <c:smooth val="0"/>
        <c:axId val="768151568"/>
        <c:axId val="768147632"/>
      </c:lineChart>
      <c:catAx>
        <c:axId val="76815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47632"/>
        <c:crosses val="autoZero"/>
        <c:auto val="1"/>
        <c:lblAlgn val="ctr"/>
        <c:lblOffset val="100"/>
        <c:noMultiLvlLbl val="0"/>
      </c:catAx>
      <c:valAx>
        <c:axId val="768147632"/>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5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uptake'!$B$3</c:f>
              <c:strCache>
                <c:ptCount val="1"/>
                <c:pt idx="0">
                  <c:v>EV %sales</c:v>
                </c:pt>
              </c:strCache>
            </c:strRef>
          </c:tx>
          <c:spPr>
            <a:ln w="47625" cap="rnd">
              <a:solidFill>
                <a:schemeClr val="tx1"/>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uptake'!$B$4:$B$45</c:f>
              <c:numCache>
                <c:formatCode>0.00</c:formatCode>
                <c:ptCount val="42"/>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pt idx="9">
                  <c:v>0.38714787769313308</c:v>
                </c:pt>
              </c:numCache>
            </c:numRef>
          </c:val>
          <c:smooth val="0"/>
          <c:extLst>
            <c:ext xmlns:c16="http://schemas.microsoft.com/office/drawing/2014/chart" uri="{C3380CC4-5D6E-409C-BE32-E72D297353CC}">
              <c16:uniqueId val="{00000000-E7E6-4B5F-8DE7-0F9BAB6A41B0}"/>
            </c:ext>
          </c:extLst>
        </c:ser>
        <c:ser>
          <c:idx val="3"/>
          <c:order val="1"/>
          <c:tx>
            <c:strRef>
              <c:f>'India EV uptake'!$AB$3</c:f>
              <c:strCache>
                <c:ptCount val="1"/>
                <c:pt idx="0">
                  <c:v>raw predicted</c:v>
                </c:pt>
              </c:strCache>
            </c:strRef>
          </c:tx>
          <c:spPr>
            <a:ln w="28575" cap="rnd">
              <a:solidFill>
                <a:schemeClr val="accent4"/>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uptake'!$AB$4:$AB$45</c:f>
              <c:numCache>
                <c:formatCode>0.00</c:formatCode>
                <c:ptCount val="42"/>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pt idx="10">
                  <c:v>0.41424713827539777</c:v>
                </c:pt>
                <c:pt idx="11">
                  <c:v>0.50132590511767838</c:v>
                </c:pt>
                <c:pt idx="12">
                  <c:v>0.60653756944353054</c:v>
                </c:pt>
                <c:pt idx="13">
                  <c:v>0.7335785364504962</c:v>
                </c:pt>
                <c:pt idx="14">
                  <c:v>0.88686210956113698</c:v>
                </c:pt>
                <c:pt idx="15">
                  <c:v>1.0716406896356336</c:v>
                </c:pt>
                <c:pt idx="16">
                  <c:v>1.2941409573841982</c:v>
                </c:pt>
                <c:pt idx="17">
                  <c:v>1.5617094795796753</c:v>
                </c:pt>
                <c:pt idx="18">
                  <c:v>1.8829636772975846</c:v>
                </c:pt>
                <c:pt idx="19">
                  <c:v>2.2679395050816198</c:v>
                </c:pt>
                <c:pt idx="20">
                  <c:v>2.7282222524337612</c:v>
                </c:pt>
                <c:pt idx="21">
                  <c:v>3.2770403898495579</c:v>
                </c:pt>
                <c:pt idx="22">
                  <c:v>3.9292943115095809</c:v>
                </c:pt>
                <c:pt idx="23">
                  <c:v>4.7014825110803562</c:v>
                </c:pt>
                <c:pt idx="24">
                  <c:v>5.6114781425235627</c:v>
                </c:pt>
                <c:pt idx="25">
                  <c:v>6.6781010294633321</c:v>
                </c:pt>
                <c:pt idx="26">
                  <c:v>7.9204272879143121</c:v>
                </c:pt>
                <c:pt idx="27">
                  <c:v>9.3567855877488721</c:v>
                </c:pt>
                <c:pt idx="28">
                  <c:v>11.003411575932741</c:v>
                </c:pt>
                <c:pt idx="29">
                  <c:v>12.872775785252154</c:v>
                </c:pt>
                <c:pt idx="30">
                  <c:v>14.971668268591911</c:v>
                </c:pt>
                <c:pt idx="31">
                  <c:v>17.299211315914775</c:v>
                </c:pt>
                <c:pt idx="32">
                  <c:v>19.845065285633876</c:v>
                </c:pt>
                <c:pt idx="33">
                  <c:v>22.588164801922829</c:v>
                </c:pt>
                <c:pt idx="34">
                  <c:v>25.496338019613471</c:v>
                </c:pt>
                <c:pt idx="35">
                  <c:v>28.527088659682786</c:v>
                </c:pt>
                <c:pt idx="36">
                  <c:v>31.629648714721533</c:v>
                </c:pt>
                <c:pt idx="37">
                  <c:v>34.748165271152757</c:v>
                </c:pt>
                <c:pt idx="38">
                  <c:v>37.825631560112548</c:v>
                </c:pt>
                <c:pt idx="39">
                  <c:v>40.80799164496986</c:v>
                </c:pt>
                <c:pt idx="40">
                  <c:v>43.647804525488773</c:v>
                </c:pt>
                <c:pt idx="41">
                  <c:v>46.306963082988986</c:v>
                </c:pt>
              </c:numCache>
            </c:numRef>
          </c:val>
          <c:smooth val="0"/>
          <c:extLst>
            <c:ext xmlns:c16="http://schemas.microsoft.com/office/drawing/2014/chart" uri="{C3380CC4-5D6E-409C-BE32-E72D297353CC}">
              <c16:uniqueId val="{00000003-E7E6-4B5F-8DE7-0F9BAB6A41B0}"/>
            </c:ext>
          </c:extLst>
        </c:ser>
        <c:dLbls>
          <c:showLegendKey val="0"/>
          <c:showVal val="0"/>
          <c:showCatName val="0"/>
          <c:showSerName val="0"/>
          <c:showPercent val="0"/>
          <c:showBubbleSize val="0"/>
        </c:dLbls>
        <c:smooth val="0"/>
        <c:axId val="706480288"/>
        <c:axId val="706476024"/>
      </c:lineChart>
      <c:catAx>
        <c:axId val="70648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76024"/>
        <c:crosses val="autoZero"/>
        <c:auto val="1"/>
        <c:lblAlgn val="ctr"/>
        <c:lblOffset val="100"/>
        <c:noMultiLvlLbl val="0"/>
      </c:catAx>
      <c:valAx>
        <c:axId val="706476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559902200488997E-2"/>
              <c:y val="0.31313804524434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8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uptake'!$B$3</c:f>
              <c:strCache>
                <c:ptCount val="1"/>
                <c:pt idx="0">
                  <c:v>EV %sales</c:v>
                </c:pt>
              </c:strCache>
            </c:strRef>
          </c:tx>
          <c:spPr>
            <a:ln w="38100" cap="rnd">
              <a:solidFill>
                <a:schemeClr val="tx1"/>
              </a:solidFill>
              <a:round/>
            </a:ln>
            <a:effectLst/>
          </c:spPr>
          <c:marker>
            <c:symbol val="none"/>
          </c:marker>
          <c:cat>
            <c:numRef>
              <c:f>'India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'India EV uptake'!$B$4:$B$13</c:f>
              <c:numCache>
                <c:formatCode>0.00</c:formatCode>
                <c:ptCount val="10"/>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pt idx="9">
                  <c:v>0.38714787769313308</c:v>
                </c:pt>
              </c:numCache>
            </c:numRef>
          </c:val>
          <c:smooth val="0"/>
          <c:extLst>
            <c:ext xmlns:c16="http://schemas.microsoft.com/office/drawing/2014/chart" uri="{C3380CC4-5D6E-409C-BE32-E72D297353CC}">
              <c16:uniqueId val="{00000000-905A-4DAC-88D8-0419E3D19B67}"/>
            </c:ext>
          </c:extLst>
        </c:ser>
        <c:ser>
          <c:idx val="1"/>
          <c:order val="1"/>
          <c:tx>
            <c:strRef>
              <c:f>'India EV uptake'!$AB$3</c:f>
              <c:strCache>
                <c:ptCount val="1"/>
                <c:pt idx="0">
                  <c:v>raw predicted</c:v>
                </c:pt>
              </c:strCache>
            </c:strRef>
          </c:tx>
          <c:spPr>
            <a:ln w="28575" cap="rnd">
              <a:solidFill>
                <a:schemeClr val="accent2"/>
              </a:solidFill>
              <a:round/>
            </a:ln>
            <a:effectLst/>
          </c:spPr>
          <c:marker>
            <c:symbol val="none"/>
          </c:marker>
          <c:cat>
            <c:numRef>
              <c:f>'India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'India EV uptake'!$AB$4:$AB$13</c:f>
              <c:numCache>
                <c:formatCode>0.00</c:formatCode>
                <c:ptCount val="10"/>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numCache>
            </c:numRef>
          </c:val>
          <c:smooth val="0"/>
          <c:extLst>
            <c:ext xmlns:c16="http://schemas.microsoft.com/office/drawing/2014/chart" uri="{C3380CC4-5D6E-409C-BE32-E72D297353CC}">
              <c16:uniqueId val="{00000001-905A-4DAC-88D8-0419E3D19B67}"/>
            </c:ext>
          </c:extLst>
        </c:ser>
        <c:dLbls>
          <c:showLegendKey val="0"/>
          <c:showVal val="0"/>
          <c:showCatName val="0"/>
          <c:showSerName val="0"/>
          <c:showPercent val="0"/>
          <c:showBubbleSize val="0"/>
        </c:dLbls>
        <c:smooth val="0"/>
        <c:axId val="707901872"/>
        <c:axId val="707907448"/>
      </c:lineChart>
      <c:catAx>
        <c:axId val="70790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907448"/>
        <c:crosses val="autoZero"/>
        <c:auto val="1"/>
        <c:lblAlgn val="ctr"/>
        <c:lblOffset val="100"/>
        <c:noMultiLvlLbl val="0"/>
      </c:catAx>
      <c:valAx>
        <c:axId val="707907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9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uptake'!$B$3</c:f>
              <c:strCache>
                <c:ptCount val="1"/>
                <c:pt idx="0">
                  <c:v>EV %sales</c:v>
                </c:pt>
              </c:strCache>
            </c:strRef>
          </c:tx>
          <c:spPr>
            <a:ln w="47625" cap="rnd">
              <a:solidFill>
                <a:schemeClr val="tx1"/>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uptake'!$B$4:$B$45</c:f>
              <c:numCache>
                <c:formatCode>0.00</c:formatCode>
                <c:ptCount val="42"/>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pt idx="9">
                  <c:v>0.38714787769313308</c:v>
                </c:pt>
              </c:numCache>
            </c:numRef>
          </c:val>
          <c:smooth val="0"/>
          <c:extLst>
            <c:ext xmlns:c16="http://schemas.microsoft.com/office/drawing/2014/chart" uri="{C3380CC4-5D6E-409C-BE32-E72D297353CC}">
              <c16:uniqueId val="{00000000-98C4-46AC-A75D-39BEEA92681D}"/>
            </c:ext>
          </c:extLst>
        </c:ser>
        <c:ser>
          <c:idx val="2"/>
          <c:order val="1"/>
          <c:tx>
            <c:strRef>
              <c:f>'India EV uptake'!$L$3</c:f>
              <c:strCache>
                <c:ptCount val="1"/>
                <c:pt idx="0">
                  <c:v>Predicted Cost</c:v>
                </c:pt>
              </c:strCache>
            </c:strRef>
          </c:tx>
          <c:spPr>
            <a:ln w="28575" cap="rnd">
              <a:solidFill>
                <a:schemeClr val="accent3"/>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uptake'!$L$4:$L$45</c:f>
              <c:numCache>
                <c:formatCode>0.00</c:formatCode>
                <c:ptCount val="42"/>
                <c:pt idx="3" formatCode="0.000">
                  <c:v>0.15912514420898602</c:v>
                </c:pt>
                <c:pt idx="4" formatCode="0.000">
                  <c:v>0.10843888120676225</c:v>
                </c:pt>
                <c:pt idx="5" formatCode="0.000">
                  <c:v>0.13136453644471022</c:v>
                </c:pt>
                <c:pt idx="6" formatCode="0.000">
                  <c:v>0.1927348314807267</c:v>
                </c:pt>
                <c:pt idx="7" formatCode="0.000">
                  <c:v>0.23341784865421891</c:v>
                </c:pt>
                <c:pt idx="8" formatCode="0.000">
                  <c:v>0.28265089943372285</c:v>
                </c:pt>
                <c:pt idx="9" formatCode="0.000">
                  <c:v>0.3547710451366316</c:v>
                </c:pt>
                <c:pt idx="10" formatCode="0.000">
                  <c:v>0.42939498929449388</c:v>
                </c:pt>
                <c:pt idx="11" formatCode="0.000">
                  <c:v>0.51958051669784855</c:v>
                </c:pt>
                <c:pt idx="12" formatCode="0.000">
                  <c:v>0.62851025176964792</c:v>
                </c:pt>
                <c:pt idx="13" formatCode="0.000">
                  <c:v>0.75998896204169508</c:v>
                </c:pt>
                <c:pt idx="14" formatCode="0.000">
                  <c:v>0.97206567693409451</c:v>
                </c:pt>
                <c:pt idx="15" formatCode="0.000">
                  <c:v>1.2273508985049053</c:v>
                </c:pt>
                <c:pt idx="16" formatCode="0.000">
                  <c:v>1.5342230922311302</c:v>
                </c:pt>
                <c:pt idx="17" formatCode="0.000">
                  <c:v>1.9024951208056549</c:v>
                </c:pt>
                <c:pt idx="18" formatCode="0.000">
                  <c:v>2.4740258451804444</c:v>
                </c:pt>
                <c:pt idx="19" formatCode="0.000">
                  <c:v>3.1019804514805807</c:v>
                </c:pt>
                <c:pt idx="20" formatCode="0.000">
                  <c:v>3.8476833445257759</c:v>
                </c:pt>
                <c:pt idx="21" formatCode="0.000">
                  <c:v>4.7297156494021184</c:v>
                </c:pt>
                <c:pt idx="22" formatCode="0.000">
                  <c:v>5.7681566564982285</c:v>
                </c:pt>
                <c:pt idx="23" formatCode="0.000">
                  <c:v>6.8536549117460863</c:v>
                </c:pt>
                <c:pt idx="24" formatCode="0.000">
                  <c:v>8.1140407247165633</c:v>
                </c:pt>
                <c:pt idx="25" formatCode="0.000">
                  <c:v>9.5663002532622823</c:v>
                </c:pt>
                <c:pt idx="26" formatCode="0.000">
                  <c:v>11.225013701087999</c:v>
                </c:pt>
                <c:pt idx="27" formatCode="0.000">
                  <c:v>13.10077050668809</c:v>
                </c:pt>
                <c:pt idx="28" formatCode="0.000">
                  <c:v>15.198426446265092</c:v>
                </c:pt>
                <c:pt idx="29" formatCode="0.000">
                  <c:v>17.515377091463108</c:v>
                </c:pt>
                <c:pt idx="30" formatCode="0.000">
                  <c:v>20.040089538335373</c:v>
                </c:pt>
                <c:pt idx="31" formatCode="0.000">
                  <c:v>22.751173616553551</c:v>
                </c:pt>
                <c:pt idx="32" formatCode="0.000">
                  <c:v>25.617261096314898</c:v>
                </c:pt>
                <c:pt idx="33" formatCode="0.000">
                  <c:v>28.597881093418675</c:v>
                </c:pt>
                <c:pt idx="34" formatCode="0.000">
                  <c:v>31.645374445056621</c:v>
                </c:pt>
                <c:pt idx="35" formatCode="0.000">
                  <c:v>34.707705170127895</c:v>
                </c:pt>
                <c:pt idx="36" formatCode="0.000">
                  <c:v>37.731848343289094</c:v>
                </c:pt>
                <c:pt idx="37" formatCode="0.000">
                  <c:v>40.667311216942586</c:v>
                </c:pt>
                <c:pt idx="38" formatCode="0.000">
                  <c:v>43.469315353591767</c:v>
                </c:pt>
                <c:pt idx="39" formatCode="0.000">
                  <c:v>46.101240948005184</c:v>
                </c:pt>
                <c:pt idx="40" formatCode="0.000">
                  <c:v>48.536087709355897</c:v>
                </c:pt>
                <c:pt idx="41" formatCode="0.000">
                  <c:v>50.756894373358513</c:v>
                </c:pt>
              </c:numCache>
            </c:numRef>
          </c:val>
          <c:smooth val="0"/>
          <c:extLst>
            <c:ext xmlns:c16="http://schemas.microsoft.com/office/drawing/2014/chart" uri="{C3380CC4-5D6E-409C-BE32-E72D297353CC}">
              <c16:uniqueId val="{00000002-98C4-46AC-A75D-39BEEA92681D}"/>
            </c:ext>
          </c:extLst>
        </c:ser>
        <c:ser>
          <c:idx val="3"/>
          <c:order val="2"/>
          <c:tx>
            <c:strRef>
              <c:f>'India EV uptake'!$AB$3</c:f>
              <c:strCache>
                <c:ptCount val="1"/>
                <c:pt idx="0">
                  <c:v>raw predicted</c:v>
                </c:pt>
              </c:strCache>
            </c:strRef>
          </c:tx>
          <c:spPr>
            <a:ln w="28575" cap="rnd">
              <a:solidFill>
                <a:schemeClr val="accent4"/>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uptake'!$AB$4:$AB$45</c:f>
              <c:numCache>
                <c:formatCode>0.00</c:formatCode>
                <c:ptCount val="42"/>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pt idx="10">
                  <c:v>0.41424713827539777</c:v>
                </c:pt>
                <c:pt idx="11">
                  <c:v>0.50132590511767838</c:v>
                </c:pt>
                <c:pt idx="12">
                  <c:v>0.60653756944353054</c:v>
                </c:pt>
                <c:pt idx="13">
                  <c:v>0.7335785364504962</c:v>
                </c:pt>
                <c:pt idx="14">
                  <c:v>0.88686210956113698</c:v>
                </c:pt>
                <c:pt idx="15">
                  <c:v>1.0716406896356336</c:v>
                </c:pt>
                <c:pt idx="16">
                  <c:v>1.2941409573841982</c:v>
                </c:pt>
                <c:pt idx="17">
                  <c:v>1.5617094795796753</c:v>
                </c:pt>
                <c:pt idx="18">
                  <c:v>1.8829636772975846</c:v>
                </c:pt>
                <c:pt idx="19">
                  <c:v>2.2679395050816198</c:v>
                </c:pt>
                <c:pt idx="20">
                  <c:v>2.7282222524337612</c:v>
                </c:pt>
                <c:pt idx="21">
                  <c:v>3.2770403898495579</c:v>
                </c:pt>
                <c:pt idx="22">
                  <c:v>3.9292943115095809</c:v>
                </c:pt>
                <c:pt idx="23">
                  <c:v>4.7014825110803562</c:v>
                </c:pt>
                <c:pt idx="24">
                  <c:v>5.6114781425235627</c:v>
                </c:pt>
                <c:pt idx="25">
                  <c:v>6.6781010294633321</c:v>
                </c:pt>
                <c:pt idx="26">
                  <c:v>7.9204272879143121</c:v>
                </c:pt>
                <c:pt idx="27">
                  <c:v>9.3567855877488721</c:v>
                </c:pt>
                <c:pt idx="28">
                  <c:v>11.003411575932741</c:v>
                </c:pt>
                <c:pt idx="29">
                  <c:v>12.872775785252154</c:v>
                </c:pt>
                <c:pt idx="30">
                  <c:v>14.971668268591911</c:v>
                </c:pt>
                <c:pt idx="31">
                  <c:v>17.299211315914775</c:v>
                </c:pt>
                <c:pt idx="32">
                  <c:v>19.845065285633876</c:v>
                </c:pt>
                <c:pt idx="33">
                  <c:v>22.588164801922829</c:v>
                </c:pt>
                <c:pt idx="34">
                  <c:v>25.496338019613471</c:v>
                </c:pt>
                <c:pt idx="35">
                  <c:v>28.527088659682786</c:v>
                </c:pt>
                <c:pt idx="36">
                  <c:v>31.629648714721533</c:v>
                </c:pt>
                <c:pt idx="37">
                  <c:v>34.748165271152757</c:v>
                </c:pt>
                <c:pt idx="38">
                  <c:v>37.825631560112548</c:v>
                </c:pt>
                <c:pt idx="39">
                  <c:v>40.80799164496986</c:v>
                </c:pt>
                <c:pt idx="40">
                  <c:v>43.647804525488773</c:v>
                </c:pt>
                <c:pt idx="41">
                  <c:v>46.306963082988986</c:v>
                </c:pt>
              </c:numCache>
            </c:numRef>
          </c:val>
          <c:smooth val="0"/>
          <c:extLst>
            <c:ext xmlns:c16="http://schemas.microsoft.com/office/drawing/2014/chart" uri="{C3380CC4-5D6E-409C-BE32-E72D297353CC}">
              <c16:uniqueId val="{00000003-98C4-46AC-A75D-39BEEA92681D}"/>
            </c:ext>
          </c:extLst>
        </c:ser>
        <c:dLbls>
          <c:showLegendKey val="0"/>
          <c:showVal val="0"/>
          <c:showCatName val="0"/>
          <c:showSerName val="0"/>
          <c:showPercent val="0"/>
          <c:showBubbleSize val="0"/>
        </c:dLbls>
        <c:smooth val="0"/>
        <c:axId val="706480288"/>
        <c:axId val="706476024"/>
      </c:lineChart>
      <c:catAx>
        <c:axId val="70648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76024"/>
        <c:crosses val="autoZero"/>
        <c:auto val="1"/>
        <c:lblAlgn val="ctr"/>
        <c:lblOffset val="100"/>
        <c:noMultiLvlLbl val="0"/>
      </c:catAx>
      <c:valAx>
        <c:axId val="706476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559902200488997E-2"/>
              <c:y val="0.31313804524434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8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uptake'!$B$3</c:f>
              <c:strCache>
                <c:ptCount val="1"/>
                <c:pt idx="0">
                  <c:v>EV %sales</c:v>
                </c:pt>
              </c:strCache>
            </c:strRef>
          </c:tx>
          <c:spPr>
            <a:ln w="47625" cap="rnd">
              <a:solidFill>
                <a:schemeClr val="tx1"/>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uptake'!$B$4:$B$45</c:f>
              <c:numCache>
                <c:formatCode>0.00</c:formatCode>
                <c:ptCount val="42"/>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pt idx="9">
                  <c:v>0.38714787769313308</c:v>
                </c:pt>
              </c:numCache>
            </c:numRef>
          </c:val>
          <c:smooth val="0"/>
          <c:extLst>
            <c:ext xmlns:c16="http://schemas.microsoft.com/office/drawing/2014/chart" uri="{C3380CC4-5D6E-409C-BE32-E72D297353CC}">
              <c16:uniqueId val="{00000000-1EEA-4EAE-A7CF-988115C74A46}"/>
            </c:ext>
          </c:extLst>
        </c:ser>
        <c:ser>
          <c:idx val="1"/>
          <c:order val="1"/>
          <c:tx>
            <c:strRef>
              <c:f>'India EV uptake'!$C$3</c:f>
              <c:strCache>
                <c:ptCount val="1"/>
                <c:pt idx="0">
                  <c:v>Predicted Cost Lagged</c:v>
                </c:pt>
              </c:strCache>
            </c:strRef>
          </c:tx>
          <c:spPr>
            <a:ln w="28575" cap="rnd">
              <a:solidFill>
                <a:schemeClr val="accent2"/>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uptake'!$C$4:$C$45</c:f>
              <c:numCache>
                <c:formatCode>0.00</c:formatCode>
                <c:ptCount val="42"/>
                <c:pt idx="3">
                  <c:v>0.15912514420898602</c:v>
                </c:pt>
                <c:pt idx="4">
                  <c:v>0.10843888120676225</c:v>
                </c:pt>
                <c:pt idx="5">
                  <c:v>0.13136453644471022</c:v>
                </c:pt>
                <c:pt idx="6">
                  <c:v>0.1927348314807267</c:v>
                </c:pt>
                <c:pt idx="7">
                  <c:v>0.23341784865421891</c:v>
                </c:pt>
                <c:pt idx="8">
                  <c:v>0.28265089943372285</c:v>
                </c:pt>
                <c:pt idx="9">
                  <c:v>0.36396305984338306</c:v>
                </c:pt>
                <c:pt idx="10">
                  <c:v>0.44298154046646898</c:v>
                </c:pt>
                <c:pt idx="11">
                  <c:v>0.5384491529880634</c:v>
                </c:pt>
                <c:pt idx="12">
                  <c:v>0.69880890576847388</c:v>
                </c:pt>
                <c:pt idx="13">
                  <c:v>0.86730205535340221</c:v>
                </c:pt>
                <c:pt idx="14">
                  <c:v>1.0777449312835681</c:v>
                </c:pt>
                <c:pt idx="15">
                  <c:v>1.3569514067810817</c:v>
                </c:pt>
                <c:pt idx="16">
                  <c:v>1.7103042924540723</c:v>
                </c:pt>
                <c:pt idx="17">
                  <c:v>2.151403489951798</c:v>
                </c:pt>
                <c:pt idx="18">
                  <c:v>2.6882106288758019</c:v>
                </c:pt>
                <c:pt idx="19">
                  <c:v>3.3368971657319908</c:v>
                </c:pt>
                <c:pt idx="20">
                  <c:v>4.0968159970912694</c:v>
                </c:pt>
                <c:pt idx="21">
                  <c:v>4.9841796547928281</c:v>
                </c:pt>
                <c:pt idx="22">
                  <c:v>5.9973617130902346</c:v>
                </c:pt>
                <c:pt idx="23">
                  <c:v>7.1577950344627235</c:v>
                </c:pt>
                <c:pt idx="24">
                  <c:v>8.4796646290573392</c:v>
                </c:pt>
                <c:pt idx="25">
                  <c:v>9.9751947428949048</c:v>
                </c:pt>
                <c:pt idx="26">
                  <c:v>11.653369090747033</c:v>
                </c:pt>
                <c:pt idx="27">
                  <c:v>13.537145465974074</c:v>
                </c:pt>
                <c:pt idx="28">
                  <c:v>15.628164450522215</c:v>
                </c:pt>
                <c:pt idx="29">
                  <c:v>17.921158856672587</c:v>
                </c:pt>
                <c:pt idx="30">
                  <c:v>20.402997055576975</c:v>
                </c:pt>
                <c:pt idx="31">
                  <c:v>23.052226189629614</c:v>
                </c:pt>
                <c:pt idx="32">
                  <c:v>25.839266007324305</c:v>
                </c:pt>
                <c:pt idx="33">
                  <c:v>28.727333329013732</c:v>
                </c:pt>
                <c:pt idx="34">
                  <c:v>31.674079283100475</c:v>
                </c:pt>
                <c:pt idx="35">
                  <c:v>34.633813816963077</c:v>
                </c:pt>
                <c:pt idx="36">
                  <c:v>37.56009665291883</c:v>
                </c:pt>
                <c:pt idx="37">
                  <c:v>40.408411883767009</c:v>
                </c:pt>
                <c:pt idx="38">
                  <c:v>43.138629016381564</c:v>
                </c:pt>
                <c:pt idx="39">
                  <c:v>45.716989829919676</c:v>
                </c:pt>
                <c:pt idx="40">
                  <c:v>48.078914749756805</c:v>
                </c:pt>
                <c:pt idx="41">
                  <c:v>50.173441716457447</c:v>
                </c:pt>
              </c:numCache>
            </c:numRef>
          </c:val>
          <c:smooth val="0"/>
          <c:extLst>
            <c:ext xmlns:c16="http://schemas.microsoft.com/office/drawing/2014/chart" uri="{C3380CC4-5D6E-409C-BE32-E72D297353CC}">
              <c16:uniqueId val="{00000001-1EEA-4EAE-A7CF-988115C74A46}"/>
            </c:ext>
          </c:extLst>
        </c:ser>
        <c:ser>
          <c:idx val="2"/>
          <c:order val="2"/>
          <c:tx>
            <c:strRef>
              <c:f>'India EV uptake'!$L$3</c:f>
              <c:strCache>
                <c:ptCount val="1"/>
                <c:pt idx="0">
                  <c:v>Predicted Cost</c:v>
                </c:pt>
              </c:strCache>
            </c:strRef>
          </c:tx>
          <c:spPr>
            <a:ln w="28575" cap="rnd">
              <a:solidFill>
                <a:schemeClr val="accent3"/>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uptake'!$L$4:$L$45</c:f>
              <c:numCache>
                <c:formatCode>0.00</c:formatCode>
                <c:ptCount val="42"/>
                <c:pt idx="3" formatCode="0.000">
                  <c:v>0.15912514420898602</c:v>
                </c:pt>
                <c:pt idx="4" formatCode="0.000">
                  <c:v>0.10843888120676225</c:v>
                </c:pt>
                <c:pt idx="5" formatCode="0.000">
                  <c:v>0.13136453644471022</c:v>
                </c:pt>
                <c:pt idx="6" formatCode="0.000">
                  <c:v>0.1927348314807267</c:v>
                </c:pt>
                <c:pt idx="7" formatCode="0.000">
                  <c:v>0.23341784865421891</c:v>
                </c:pt>
                <c:pt idx="8" formatCode="0.000">
                  <c:v>0.28265089943372285</c:v>
                </c:pt>
                <c:pt idx="9" formatCode="0.000">
                  <c:v>0.3547710451366316</c:v>
                </c:pt>
                <c:pt idx="10" formatCode="0.000">
                  <c:v>0.42939498929449388</c:v>
                </c:pt>
                <c:pt idx="11" formatCode="0.000">
                  <c:v>0.51958051669784855</c:v>
                </c:pt>
                <c:pt idx="12" formatCode="0.000">
                  <c:v>0.62851025176964792</c:v>
                </c:pt>
                <c:pt idx="13" formatCode="0.000">
                  <c:v>0.75998896204169508</c:v>
                </c:pt>
                <c:pt idx="14" formatCode="0.000">
                  <c:v>0.97206567693409451</c:v>
                </c:pt>
                <c:pt idx="15" formatCode="0.000">
                  <c:v>1.2273508985049053</c:v>
                </c:pt>
                <c:pt idx="16" formatCode="0.000">
                  <c:v>1.5342230922311302</c:v>
                </c:pt>
                <c:pt idx="17" formatCode="0.000">
                  <c:v>1.9024951208056549</c:v>
                </c:pt>
                <c:pt idx="18" formatCode="0.000">
                  <c:v>2.4740258451804444</c:v>
                </c:pt>
                <c:pt idx="19" formatCode="0.000">
                  <c:v>3.1019804514805807</c:v>
                </c:pt>
                <c:pt idx="20" formatCode="0.000">
                  <c:v>3.8476833445257759</c:v>
                </c:pt>
                <c:pt idx="21" formatCode="0.000">
                  <c:v>4.7297156494021184</c:v>
                </c:pt>
                <c:pt idx="22" formatCode="0.000">
                  <c:v>5.7681566564982285</c:v>
                </c:pt>
                <c:pt idx="23" formatCode="0.000">
                  <c:v>6.8536549117460863</c:v>
                </c:pt>
                <c:pt idx="24" formatCode="0.000">
                  <c:v>8.1140407247165633</c:v>
                </c:pt>
                <c:pt idx="25" formatCode="0.000">
                  <c:v>9.5663002532622823</c:v>
                </c:pt>
                <c:pt idx="26" formatCode="0.000">
                  <c:v>11.225013701087999</c:v>
                </c:pt>
                <c:pt idx="27" formatCode="0.000">
                  <c:v>13.10077050668809</c:v>
                </c:pt>
                <c:pt idx="28" formatCode="0.000">
                  <c:v>15.198426446265092</c:v>
                </c:pt>
                <c:pt idx="29" formatCode="0.000">
                  <c:v>17.515377091463108</c:v>
                </c:pt>
                <c:pt idx="30" formatCode="0.000">
                  <c:v>20.040089538335373</c:v>
                </c:pt>
                <c:pt idx="31" formatCode="0.000">
                  <c:v>22.751173616553551</c:v>
                </c:pt>
                <c:pt idx="32" formatCode="0.000">
                  <c:v>25.617261096314898</c:v>
                </c:pt>
                <c:pt idx="33" formatCode="0.000">
                  <c:v>28.597881093418675</c:v>
                </c:pt>
                <c:pt idx="34" formatCode="0.000">
                  <c:v>31.645374445056621</c:v>
                </c:pt>
                <c:pt idx="35" formatCode="0.000">
                  <c:v>34.707705170127895</c:v>
                </c:pt>
                <c:pt idx="36" formatCode="0.000">
                  <c:v>37.731848343289094</c:v>
                </c:pt>
                <c:pt idx="37" formatCode="0.000">
                  <c:v>40.667311216942586</c:v>
                </c:pt>
                <c:pt idx="38" formatCode="0.000">
                  <c:v>43.469315353591767</c:v>
                </c:pt>
                <c:pt idx="39" formatCode="0.000">
                  <c:v>46.101240948005184</c:v>
                </c:pt>
                <c:pt idx="40" formatCode="0.000">
                  <c:v>48.536087709355897</c:v>
                </c:pt>
                <c:pt idx="41" formatCode="0.000">
                  <c:v>50.756894373358513</c:v>
                </c:pt>
              </c:numCache>
            </c:numRef>
          </c:val>
          <c:smooth val="0"/>
          <c:extLst>
            <c:ext xmlns:c16="http://schemas.microsoft.com/office/drawing/2014/chart" uri="{C3380CC4-5D6E-409C-BE32-E72D297353CC}">
              <c16:uniqueId val="{00000002-1EEA-4EAE-A7CF-988115C74A46}"/>
            </c:ext>
          </c:extLst>
        </c:ser>
        <c:ser>
          <c:idx val="3"/>
          <c:order val="3"/>
          <c:tx>
            <c:strRef>
              <c:f>'India EV uptake'!$AB$3</c:f>
              <c:strCache>
                <c:ptCount val="1"/>
                <c:pt idx="0">
                  <c:v>raw predicted</c:v>
                </c:pt>
              </c:strCache>
            </c:strRef>
          </c:tx>
          <c:spPr>
            <a:ln w="28575" cap="rnd">
              <a:solidFill>
                <a:schemeClr val="accent4"/>
              </a:solidFill>
              <a:round/>
            </a:ln>
            <a:effectLst/>
          </c:spPr>
          <c:marker>
            <c:symbol val="none"/>
          </c:marker>
          <c:cat>
            <c:numRef>
              <c:f>'India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'India EV uptake'!$AB$4:$AB$45</c:f>
              <c:numCache>
                <c:formatCode>0.00</c:formatCode>
                <c:ptCount val="42"/>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pt idx="10">
                  <c:v>0.41424713827539777</c:v>
                </c:pt>
                <c:pt idx="11">
                  <c:v>0.50132590511767838</c:v>
                </c:pt>
                <c:pt idx="12">
                  <c:v>0.60653756944353054</c:v>
                </c:pt>
                <c:pt idx="13">
                  <c:v>0.7335785364504962</c:v>
                </c:pt>
                <c:pt idx="14">
                  <c:v>0.88686210956113698</c:v>
                </c:pt>
                <c:pt idx="15">
                  <c:v>1.0716406896356336</c:v>
                </c:pt>
                <c:pt idx="16">
                  <c:v>1.2941409573841982</c:v>
                </c:pt>
                <c:pt idx="17">
                  <c:v>1.5617094795796753</c:v>
                </c:pt>
                <c:pt idx="18">
                  <c:v>1.8829636772975846</c:v>
                </c:pt>
                <c:pt idx="19">
                  <c:v>2.2679395050816198</c:v>
                </c:pt>
                <c:pt idx="20">
                  <c:v>2.7282222524337612</c:v>
                </c:pt>
                <c:pt idx="21">
                  <c:v>3.2770403898495579</c:v>
                </c:pt>
                <c:pt idx="22">
                  <c:v>3.9292943115095809</c:v>
                </c:pt>
                <c:pt idx="23">
                  <c:v>4.7014825110803562</c:v>
                </c:pt>
                <c:pt idx="24">
                  <c:v>5.6114781425235627</c:v>
                </c:pt>
                <c:pt idx="25">
                  <c:v>6.6781010294633321</c:v>
                </c:pt>
                <c:pt idx="26">
                  <c:v>7.9204272879143121</c:v>
                </c:pt>
                <c:pt idx="27">
                  <c:v>9.3567855877488721</c:v>
                </c:pt>
                <c:pt idx="28">
                  <c:v>11.003411575932741</c:v>
                </c:pt>
                <c:pt idx="29">
                  <c:v>12.872775785252154</c:v>
                </c:pt>
                <c:pt idx="30">
                  <c:v>14.971668268591911</c:v>
                </c:pt>
                <c:pt idx="31">
                  <c:v>17.299211315914775</c:v>
                </c:pt>
                <c:pt idx="32">
                  <c:v>19.845065285633876</c:v>
                </c:pt>
                <c:pt idx="33">
                  <c:v>22.588164801922829</c:v>
                </c:pt>
                <c:pt idx="34">
                  <c:v>25.496338019613471</c:v>
                </c:pt>
                <c:pt idx="35">
                  <c:v>28.527088659682786</c:v>
                </c:pt>
                <c:pt idx="36">
                  <c:v>31.629648714721533</c:v>
                </c:pt>
                <c:pt idx="37">
                  <c:v>34.748165271152757</c:v>
                </c:pt>
                <c:pt idx="38">
                  <c:v>37.825631560112548</c:v>
                </c:pt>
                <c:pt idx="39">
                  <c:v>40.80799164496986</c:v>
                </c:pt>
                <c:pt idx="40">
                  <c:v>43.647804525488773</c:v>
                </c:pt>
                <c:pt idx="41">
                  <c:v>46.306963082988986</c:v>
                </c:pt>
              </c:numCache>
            </c:numRef>
          </c:val>
          <c:smooth val="0"/>
          <c:extLst>
            <c:ext xmlns:c16="http://schemas.microsoft.com/office/drawing/2014/chart" uri="{C3380CC4-5D6E-409C-BE32-E72D297353CC}">
              <c16:uniqueId val="{00000003-1EEA-4EAE-A7CF-988115C74A46}"/>
            </c:ext>
          </c:extLst>
        </c:ser>
        <c:dLbls>
          <c:showLegendKey val="0"/>
          <c:showVal val="0"/>
          <c:showCatName val="0"/>
          <c:showSerName val="0"/>
          <c:showPercent val="0"/>
          <c:showBubbleSize val="0"/>
        </c:dLbls>
        <c:smooth val="0"/>
        <c:axId val="706480288"/>
        <c:axId val="706476024"/>
      </c:lineChart>
      <c:catAx>
        <c:axId val="70648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76024"/>
        <c:crosses val="autoZero"/>
        <c:auto val="1"/>
        <c:lblAlgn val="ctr"/>
        <c:lblOffset val="100"/>
        <c:noMultiLvlLbl val="0"/>
      </c:catAx>
      <c:valAx>
        <c:axId val="706476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559902200488997E-2"/>
              <c:y val="0.31313804524434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8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uptake'!$S$3</c:f>
              <c:strCache>
                <c:ptCount val="1"/>
                <c:pt idx="0">
                  <c:v>High</c:v>
                </c:pt>
              </c:strCache>
            </c:strRef>
          </c:tx>
          <c:spPr>
            <a:ln w="28575" cap="rnd">
              <a:solidFill>
                <a:schemeClr val="accent1"/>
              </a:solidFill>
              <a:round/>
            </a:ln>
            <a:effectLst/>
          </c:spPr>
          <c:marker>
            <c:symbol val="none"/>
          </c:marker>
          <c:cat>
            <c:numRef>
              <c:f>'India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uptake'!$S$4:$S$25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0.36396305984338306</c:v>
                </c:pt>
                <c:pt idx="10" formatCode="0.00">
                  <c:v>0.44298154046646898</c:v>
                </c:pt>
                <c:pt idx="11" formatCode="0.00">
                  <c:v>0.54734916369800601</c:v>
                </c:pt>
                <c:pt idx="12" formatCode="0.00">
                  <c:v>0.71788035728977928</c:v>
                </c:pt>
                <c:pt idx="13" formatCode="0.00">
                  <c:v>0.90588159302044213</c:v>
                </c:pt>
                <c:pt idx="14" formatCode="0.00">
                  <c:v>1.1515130733082224</c:v>
                </c:pt>
                <c:pt idx="15" formatCode="0.00">
                  <c:v>1.4595510026562484</c:v>
                </c:pt>
                <c:pt idx="16" formatCode="0.00">
                  <c:v>1.8417353421797515</c:v>
                </c:pt>
                <c:pt idx="17" formatCode="0.00">
                  <c:v>2.3053088430208883</c:v>
                </c:pt>
                <c:pt idx="18" formatCode="0.00">
                  <c:v>2.8514393496496697</c:v>
                </c:pt>
                <c:pt idx="19" formatCode="0.00">
                  <c:v>3.4937687359987568</c:v>
                </c:pt>
                <c:pt idx="20" formatCode="0.00">
                  <c:v>4.2341794812123013</c:v>
                </c:pt>
                <c:pt idx="21" formatCode="0.00">
                  <c:v>5.0863545345562455</c:v>
                </c:pt>
              </c:numCache>
            </c:numRef>
          </c:val>
          <c:smooth val="0"/>
          <c:extLst>
            <c:ext xmlns:c16="http://schemas.microsoft.com/office/drawing/2014/chart" uri="{C3380CC4-5D6E-409C-BE32-E72D297353CC}">
              <c16:uniqueId val="{00000000-82FC-4875-9441-733287199B09}"/>
            </c:ext>
          </c:extLst>
        </c:ser>
        <c:ser>
          <c:idx val="1"/>
          <c:order val="1"/>
          <c:tx>
            <c:strRef>
              <c:f>'India EV uptake'!$T$3</c:f>
              <c:strCache>
                <c:ptCount val="1"/>
                <c:pt idx="0">
                  <c:v>Medium</c:v>
                </c:pt>
              </c:strCache>
            </c:strRef>
          </c:tx>
          <c:spPr>
            <a:ln w="28575" cap="rnd">
              <a:solidFill>
                <a:schemeClr val="accent2"/>
              </a:solidFill>
              <a:round/>
            </a:ln>
            <a:effectLst/>
          </c:spPr>
          <c:marker>
            <c:symbol val="none"/>
          </c:marker>
          <c:cat>
            <c:numRef>
              <c:f>'India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uptake'!$T$4:$T$25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0.36396305984338306</c:v>
                </c:pt>
                <c:pt idx="10" formatCode="0.00">
                  <c:v>0.44298154046646898</c:v>
                </c:pt>
                <c:pt idx="11" formatCode="0.00">
                  <c:v>0.5384491529880634</c:v>
                </c:pt>
                <c:pt idx="12" formatCode="0.00">
                  <c:v>0.69880890576847388</c:v>
                </c:pt>
                <c:pt idx="13" formatCode="0.00">
                  <c:v>0.86730205535340221</c:v>
                </c:pt>
                <c:pt idx="14" formatCode="0.00">
                  <c:v>1.0777449312835681</c:v>
                </c:pt>
                <c:pt idx="15" formatCode="0.00">
                  <c:v>1.3569514067810817</c:v>
                </c:pt>
                <c:pt idx="16" formatCode="0.00">
                  <c:v>1.7103042924540723</c:v>
                </c:pt>
                <c:pt idx="17" formatCode="0.00">
                  <c:v>2.151403489951798</c:v>
                </c:pt>
                <c:pt idx="18" formatCode="0.00">
                  <c:v>2.6882106288758019</c:v>
                </c:pt>
                <c:pt idx="19" formatCode="0.00">
                  <c:v>3.3368971657319908</c:v>
                </c:pt>
                <c:pt idx="20" formatCode="0.00">
                  <c:v>4.0968159970912694</c:v>
                </c:pt>
                <c:pt idx="21" formatCode="0.00">
                  <c:v>4.9841796547928281</c:v>
                </c:pt>
              </c:numCache>
            </c:numRef>
          </c:val>
          <c:smooth val="0"/>
          <c:extLst>
            <c:ext xmlns:c16="http://schemas.microsoft.com/office/drawing/2014/chart" uri="{C3380CC4-5D6E-409C-BE32-E72D297353CC}">
              <c16:uniqueId val="{00000001-82FC-4875-9441-733287199B09}"/>
            </c:ext>
          </c:extLst>
        </c:ser>
        <c:ser>
          <c:idx val="2"/>
          <c:order val="2"/>
          <c:tx>
            <c:strRef>
              <c:f>'India EV uptake'!$U$3</c:f>
              <c:strCache>
                <c:ptCount val="1"/>
                <c:pt idx="0">
                  <c:v>Low</c:v>
                </c:pt>
              </c:strCache>
            </c:strRef>
          </c:tx>
          <c:spPr>
            <a:ln w="28575" cap="rnd">
              <a:solidFill>
                <a:schemeClr val="accent3"/>
              </a:solidFill>
              <a:round/>
            </a:ln>
            <a:effectLst/>
          </c:spPr>
          <c:marker>
            <c:symbol val="none"/>
          </c:marker>
          <c:cat>
            <c:numRef>
              <c:f>'India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uptake'!$U$4:$U$25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0.33978792465323998</c:v>
                </c:pt>
                <c:pt idx="10" formatCode="0.00">
                  <c:v>0.40736026775942563</c:v>
                </c:pt>
                <c:pt idx="11" formatCode="0.00">
                  <c:v>0.49426309092705029</c:v>
                </c:pt>
                <c:pt idx="12" formatCode="0.00">
                  <c:v>0.6446983191990393</c:v>
                </c:pt>
                <c:pt idx="13" formatCode="0.00">
                  <c:v>0.81009272446168368</c:v>
                </c:pt>
                <c:pt idx="14" formatCode="0.00">
                  <c:v>1.0174368560695657</c:v>
                </c:pt>
                <c:pt idx="15" formatCode="0.00">
                  <c:v>1.2785385028261369</c:v>
                </c:pt>
                <c:pt idx="16" formatCode="0.00">
                  <c:v>1.6214313746780553</c:v>
                </c:pt>
                <c:pt idx="17" formatCode="0.00">
                  <c:v>2.0500124525240442</c:v>
                </c:pt>
                <c:pt idx="18" formatCode="0.00">
                  <c:v>2.5794583219492599</c:v>
                </c:pt>
                <c:pt idx="19" formatCode="0.00">
                  <c:v>3.2207835893066599</c:v>
                </c:pt>
                <c:pt idx="20" formatCode="0.00">
                  <c:v>3.9883472355858109</c:v>
                </c:pt>
                <c:pt idx="21" formatCode="0.00">
                  <c:v>4.8833557082072403</c:v>
                </c:pt>
              </c:numCache>
            </c:numRef>
          </c:val>
          <c:smooth val="0"/>
          <c:extLst>
            <c:ext xmlns:c16="http://schemas.microsoft.com/office/drawing/2014/chart" uri="{C3380CC4-5D6E-409C-BE32-E72D297353CC}">
              <c16:uniqueId val="{00000002-82FC-4875-9441-733287199B09}"/>
            </c:ext>
          </c:extLst>
        </c:ser>
        <c:dLbls>
          <c:showLegendKey val="0"/>
          <c:showVal val="0"/>
          <c:showCatName val="0"/>
          <c:showSerName val="0"/>
          <c:showPercent val="0"/>
          <c:showBubbleSize val="0"/>
        </c:dLbls>
        <c:smooth val="0"/>
        <c:axId val="654452144"/>
        <c:axId val="654451816"/>
      </c:lineChart>
      <c:catAx>
        <c:axId val="6544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51816"/>
        <c:crosses val="autoZero"/>
        <c:auto val="1"/>
        <c:lblAlgn val="ctr"/>
        <c:lblOffset val="100"/>
        <c:noMultiLvlLbl val="0"/>
      </c:catAx>
      <c:valAx>
        <c:axId val="654451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5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 EV uptake'!$X$3</c:f>
              <c:strCache>
                <c:ptCount val="1"/>
                <c:pt idx="0">
                  <c:v>High</c:v>
                </c:pt>
              </c:strCache>
            </c:strRef>
          </c:tx>
          <c:spPr>
            <a:ln w="28575" cap="rnd">
              <a:solidFill>
                <a:schemeClr val="accent1"/>
              </a:solidFill>
              <a:round/>
            </a:ln>
            <a:effectLst/>
          </c:spPr>
          <c:marker>
            <c:symbol val="none"/>
          </c:marker>
          <c:cat>
            <c:numRef>
              <c:f>'India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uptake'!$X$4:$X$25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0.32716252493413767</c:v>
                </c:pt>
                <c:pt idx="10" formatCode="0.00">
                  <c:v>0.37510495328955085</c:v>
                </c:pt>
                <c:pt idx="11" formatCode="0.00">
                  <c:v>0.42885537557899756</c:v>
                </c:pt>
                <c:pt idx="12" formatCode="0.00">
                  <c:v>0.52408619009347124</c:v>
                </c:pt>
                <c:pt idx="13" formatCode="0.00">
                  <c:v>0.62845374659992592</c:v>
                </c:pt>
                <c:pt idx="14" formatCode="0.00">
                  <c:v>0.76163610457468334</c:v>
                </c:pt>
                <c:pt idx="15" formatCode="0.00">
                  <c:v>0.93240949006221696</c:v>
                </c:pt>
                <c:pt idx="16" formatCode="0.00">
                  <c:v>1.1429616591942284</c:v>
                </c:pt>
                <c:pt idx="17" formatCode="0.00">
                  <c:v>1.3989862377610121</c:v>
                </c:pt>
                <c:pt idx="18" formatCode="0.00">
                  <c:v>1.7038734243440714</c:v>
                </c:pt>
                <c:pt idx="19" formatCode="0.00">
                  <c:v>2.066637861827596</c:v>
                </c:pt>
                <c:pt idx="20" formatCode="0.00">
                  <c:v>2.4946353011105464</c:v>
                </c:pt>
                <c:pt idx="21" formatCode="0.00">
                  <c:v>2.9990171023699412</c:v>
                </c:pt>
              </c:numCache>
            </c:numRef>
          </c:val>
          <c:smooth val="0"/>
          <c:extLst>
            <c:ext xmlns:c16="http://schemas.microsoft.com/office/drawing/2014/chart" uri="{C3380CC4-5D6E-409C-BE32-E72D297353CC}">
              <c16:uniqueId val="{00000000-9B15-47BE-A5DD-127675EB9EB7}"/>
            </c:ext>
          </c:extLst>
        </c:ser>
        <c:ser>
          <c:idx val="1"/>
          <c:order val="1"/>
          <c:tx>
            <c:strRef>
              <c:f>'India EV uptake'!$Y$3</c:f>
              <c:strCache>
                <c:ptCount val="1"/>
                <c:pt idx="0">
                  <c:v>Medium</c:v>
                </c:pt>
              </c:strCache>
            </c:strRef>
          </c:tx>
          <c:spPr>
            <a:ln w="28575" cap="rnd">
              <a:solidFill>
                <a:schemeClr val="accent2"/>
              </a:solidFill>
              <a:round/>
            </a:ln>
            <a:effectLst/>
          </c:spPr>
          <c:marker>
            <c:symbol val="none"/>
          </c:marker>
          <c:cat>
            <c:numRef>
              <c:f>'India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uptake'!$Y$4:$Y$25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0.36396305984338306</c:v>
                </c:pt>
                <c:pt idx="10" formatCode="0.00">
                  <c:v>0.44298154046646898</c:v>
                </c:pt>
                <c:pt idx="11" formatCode="0.00">
                  <c:v>0.5384491529880634</c:v>
                </c:pt>
                <c:pt idx="12" formatCode="0.00">
                  <c:v>0.69880890576847388</c:v>
                </c:pt>
                <c:pt idx="13" formatCode="0.00">
                  <c:v>0.86730205535340221</c:v>
                </c:pt>
                <c:pt idx="14" formatCode="0.00">
                  <c:v>1.0777449312835681</c:v>
                </c:pt>
                <c:pt idx="15" formatCode="0.00">
                  <c:v>1.3569514067810817</c:v>
                </c:pt>
                <c:pt idx="16" formatCode="0.00">
                  <c:v>1.7103042924540723</c:v>
                </c:pt>
                <c:pt idx="17" formatCode="0.00">
                  <c:v>2.151403489951798</c:v>
                </c:pt>
                <c:pt idx="18" formatCode="0.00">
                  <c:v>2.6882106288758019</c:v>
                </c:pt>
                <c:pt idx="19" formatCode="0.00">
                  <c:v>3.3368971657319908</c:v>
                </c:pt>
                <c:pt idx="20" formatCode="0.00">
                  <c:v>4.0968159970912694</c:v>
                </c:pt>
                <c:pt idx="21" formatCode="0.00">
                  <c:v>4.9841796547928281</c:v>
                </c:pt>
              </c:numCache>
            </c:numRef>
          </c:val>
          <c:smooth val="0"/>
          <c:extLst>
            <c:ext xmlns:c16="http://schemas.microsoft.com/office/drawing/2014/chart" uri="{C3380CC4-5D6E-409C-BE32-E72D297353CC}">
              <c16:uniqueId val="{00000001-9B15-47BE-A5DD-127675EB9EB7}"/>
            </c:ext>
          </c:extLst>
        </c:ser>
        <c:ser>
          <c:idx val="2"/>
          <c:order val="2"/>
          <c:tx>
            <c:strRef>
              <c:f>'India EV uptake'!$Z$3</c:f>
              <c:strCache>
                <c:ptCount val="1"/>
                <c:pt idx="0">
                  <c:v>Low</c:v>
                </c:pt>
              </c:strCache>
            </c:strRef>
          </c:tx>
          <c:spPr>
            <a:ln w="28575" cap="rnd">
              <a:solidFill>
                <a:schemeClr val="accent3"/>
              </a:solidFill>
              <a:round/>
            </a:ln>
            <a:effectLst/>
          </c:spPr>
          <c:marker>
            <c:symbol val="none"/>
          </c:marker>
          <c:cat>
            <c:numRef>
              <c:f>'India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 EV uptake'!$Z$4:$Z$25</c:f>
              <c:numCache>
                <c:formatCode>General</c:formatCode>
                <c:ptCount val="22"/>
                <c:pt idx="3" formatCode="0.00">
                  <c:v>0.15912514420898602</c:v>
                </c:pt>
                <c:pt idx="4" formatCode="0.00">
                  <c:v>0.10843888120676225</c:v>
                </c:pt>
                <c:pt idx="5" formatCode="0.00">
                  <c:v>0.13136453644471022</c:v>
                </c:pt>
                <c:pt idx="6" formatCode="0.00">
                  <c:v>0.1927348314807267</c:v>
                </c:pt>
                <c:pt idx="7" formatCode="0.00">
                  <c:v>0.23341784865421891</c:v>
                </c:pt>
                <c:pt idx="8" formatCode="0.00">
                  <c:v>0.28265089943372285</c:v>
                </c:pt>
                <c:pt idx="9" formatCode="0.00">
                  <c:v>0.38025768012836608</c:v>
                </c:pt>
                <c:pt idx="10" formatCode="0.00">
                  <c:v>0.4867802962690787</c:v>
                </c:pt>
                <c:pt idx="11" formatCode="0.00">
                  <c:v>0.62935479590606158</c:v>
                </c:pt>
                <c:pt idx="12" formatCode="0.00">
                  <c:v>0.89191356542140177</c:v>
                </c:pt>
                <c:pt idx="13" formatCode="0.00">
                  <c:v>1.1778407448587067</c:v>
                </c:pt>
                <c:pt idx="14" formatCode="0.00">
                  <c:v>1.546830234750294</c:v>
                </c:pt>
                <c:pt idx="15" formatCode="0.00">
                  <c:v>2.0447391629206311</c:v>
                </c:pt>
                <c:pt idx="16" formatCode="0.00">
                  <c:v>2.676949812795272</c:v>
                </c:pt>
                <c:pt idx="17" formatCode="0.00">
                  <c:v>3.4657633482130796</c:v>
                </c:pt>
                <c:pt idx="18" formatCode="0.00">
                  <c:v>4.4062198454725792</c:v>
                </c:pt>
                <c:pt idx="19" formatCode="0.00">
                  <c:v>5.5231520443946085</c:v>
                </c:pt>
                <c:pt idx="20" formatCode="0.00">
                  <c:v>6.7901166729503561</c:v>
                </c:pt>
                <c:pt idx="21" formatCode="0.00">
                  <c:v>8.2276939436290828</c:v>
                </c:pt>
              </c:numCache>
            </c:numRef>
          </c:val>
          <c:smooth val="0"/>
          <c:extLst>
            <c:ext xmlns:c16="http://schemas.microsoft.com/office/drawing/2014/chart" uri="{C3380CC4-5D6E-409C-BE32-E72D297353CC}">
              <c16:uniqueId val="{00000002-9B15-47BE-A5DD-127675EB9EB7}"/>
            </c:ext>
          </c:extLst>
        </c:ser>
        <c:dLbls>
          <c:showLegendKey val="0"/>
          <c:showVal val="0"/>
          <c:showCatName val="0"/>
          <c:showSerName val="0"/>
          <c:showPercent val="0"/>
          <c:showBubbleSize val="0"/>
        </c:dLbls>
        <c:smooth val="0"/>
        <c:axId val="369524688"/>
        <c:axId val="369524360"/>
      </c:lineChart>
      <c:catAx>
        <c:axId val="36952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524360"/>
        <c:crosses val="autoZero"/>
        <c:auto val="1"/>
        <c:lblAlgn val="ctr"/>
        <c:lblOffset val="100"/>
        <c:noMultiLvlLbl val="0"/>
      </c:catAx>
      <c:valAx>
        <c:axId val="369524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524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India!$O$2</c:f>
              <c:strCache>
                <c:ptCount val="1"/>
                <c:pt idx="0">
                  <c:v>BEV price</c:v>
                </c:pt>
              </c:strCache>
            </c:strRef>
          </c:tx>
          <c:spPr>
            <a:ln w="66675" cap="rnd">
              <a:solidFill>
                <a:schemeClr val="accent1"/>
              </a:solidFill>
              <a:round/>
            </a:ln>
            <a:effectLst/>
          </c:spPr>
          <c:marker>
            <c:symbol val="none"/>
          </c:marker>
          <c:cat>
            <c:numRef>
              <c:f>India!$N$3:$N$24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India!$O$3:$O$24</c:f>
              <c:numCache>
                <c:formatCode>0</c:formatCode>
                <c:ptCount val="22"/>
                <c:pt idx="0">
                  <c:v>1766493.9963058305</c:v>
                </c:pt>
                <c:pt idx="1">
                  <c:v>1411576.0750938365</c:v>
                </c:pt>
                <c:pt idx="2">
                  <c:v>1445634.6305375793</c:v>
                </c:pt>
                <c:pt idx="3">
                  <c:v>1691874.0197418598</c:v>
                </c:pt>
                <c:pt idx="4">
                  <c:v>2299738.3444620376</c:v>
                </c:pt>
                <c:pt idx="5">
                  <c:v>2402593.091663376</c:v>
                </c:pt>
                <c:pt idx="6">
                  <c:v>2345300.4299529907</c:v>
                </c:pt>
                <c:pt idx="7">
                  <c:v>2512346.9352733344</c:v>
                </c:pt>
                <c:pt idx="8">
                  <c:v>2435970.4406134151</c:v>
                </c:pt>
                <c:pt idx="9">
                  <c:v>2489904.5361726456</c:v>
                </c:pt>
                <c:pt idx="10">
                  <c:v>2541412.9905669009</c:v>
                </c:pt>
                <c:pt idx="11">
                  <c:v>2529437.9684069557</c:v>
                </c:pt>
                <c:pt idx="12">
                  <c:v>2468500.5270247036</c:v>
                </c:pt>
                <c:pt idx="13">
                  <c:v>2507774.1493567256</c:v>
                </c:pt>
                <c:pt idx="14">
                  <c:v>2487807.7268979973</c:v>
                </c:pt>
                <c:pt idx="15">
                  <c:v>2401310.4745865134</c:v>
                </c:pt>
                <c:pt idx="16">
                  <c:v>2327419.9123960575</c:v>
                </c:pt>
                <c:pt idx="17">
                  <c:v>2286570.5130988108</c:v>
                </c:pt>
                <c:pt idx="18">
                  <c:v>2245648.3902597497</c:v>
                </c:pt>
                <c:pt idx="19">
                  <c:v>2199174.9673251514</c:v>
                </c:pt>
                <c:pt idx="20">
                  <c:v>2158112.6549443668</c:v>
                </c:pt>
                <c:pt idx="21">
                  <c:v>2111502.4483804144</c:v>
                </c:pt>
              </c:numCache>
            </c:numRef>
          </c:val>
          <c:smooth val="0"/>
          <c:extLst>
            <c:ext xmlns:c16="http://schemas.microsoft.com/office/drawing/2014/chart" uri="{C3380CC4-5D6E-409C-BE32-E72D297353CC}">
              <c16:uniqueId val="{00000000-10C3-4F9C-BE53-EF3A7690B718}"/>
            </c:ext>
          </c:extLst>
        </c:ser>
        <c:ser>
          <c:idx val="1"/>
          <c:order val="1"/>
          <c:tx>
            <c:strRef>
              <c:f>India!$P$2</c:f>
              <c:strCache>
                <c:ptCount val="1"/>
                <c:pt idx="0">
                  <c:v>PHEV price</c:v>
                </c:pt>
              </c:strCache>
            </c:strRef>
          </c:tx>
          <c:spPr>
            <a:ln w="15875" cap="rnd">
              <a:solidFill>
                <a:schemeClr val="accent2"/>
              </a:solidFill>
              <a:round/>
            </a:ln>
            <a:effectLst/>
          </c:spPr>
          <c:marker>
            <c:symbol val="none"/>
          </c:marker>
          <c:cat>
            <c:numRef>
              <c:f>India!$N$3:$N$24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India!$P$3:$P$24</c:f>
              <c:numCache>
                <c:formatCode>0</c:formatCode>
                <c:ptCount val="22"/>
                <c:pt idx="0">
                  <c:v>1766493.9963058305</c:v>
                </c:pt>
                <c:pt idx="1">
                  <c:v>1411576.0750938365</c:v>
                </c:pt>
                <c:pt idx="2">
                  <c:v>1445634.6305375791</c:v>
                </c:pt>
                <c:pt idx="3">
                  <c:v>1691874.0197418598</c:v>
                </c:pt>
                <c:pt idx="4">
                  <c:v>2299738.3444620376</c:v>
                </c:pt>
                <c:pt idx="5">
                  <c:v>2402593.091663376</c:v>
                </c:pt>
                <c:pt idx="6">
                  <c:v>2345300.4299529907</c:v>
                </c:pt>
                <c:pt idx="7">
                  <c:v>2512346.9352733344</c:v>
                </c:pt>
                <c:pt idx="8">
                  <c:v>2435970.4406134151</c:v>
                </c:pt>
                <c:pt idx="9">
                  <c:v>2489904.5361726456</c:v>
                </c:pt>
                <c:pt idx="10">
                  <c:v>2541412.9905669009</c:v>
                </c:pt>
                <c:pt idx="11">
                  <c:v>2529437.9684069557</c:v>
                </c:pt>
                <c:pt idx="12">
                  <c:v>2468500.5270247036</c:v>
                </c:pt>
                <c:pt idx="13">
                  <c:v>2507774.1493567256</c:v>
                </c:pt>
                <c:pt idx="14">
                  <c:v>2487807.7268979973</c:v>
                </c:pt>
                <c:pt idx="15">
                  <c:v>2401310.4745865134</c:v>
                </c:pt>
                <c:pt idx="16">
                  <c:v>2327419.9123960575</c:v>
                </c:pt>
                <c:pt idx="17">
                  <c:v>2286570.5130988108</c:v>
                </c:pt>
                <c:pt idx="18">
                  <c:v>2245648.3902597497</c:v>
                </c:pt>
                <c:pt idx="19">
                  <c:v>2199174.9673251514</c:v>
                </c:pt>
                <c:pt idx="20">
                  <c:v>2158112.6549443668</c:v>
                </c:pt>
                <c:pt idx="21">
                  <c:v>2111502.4483804144</c:v>
                </c:pt>
              </c:numCache>
            </c:numRef>
          </c:val>
          <c:smooth val="0"/>
          <c:extLst>
            <c:ext xmlns:c16="http://schemas.microsoft.com/office/drawing/2014/chart" uri="{C3380CC4-5D6E-409C-BE32-E72D297353CC}">
              <c16:uniqueId val="{00000001-10C3-4F9C-BE53-EF3A7690B718}"/>
            </c:ext>
          </c:extLst>
        </c:ser>
        <c:ser>
          <c:idx val="2"/>
          <c:order val="2"/>
          <c:tx>
            <c:strRef>
              <c:f>India!$Q$2</c:f>
              <c:strCache>
                <c:ptCount val="1"/>
                <c:pt idx="0">
                  <c:v>FFV price</c:v>
                </c:pt>
              </c:strCache>
            </c:strRef>
          </c:tx>
          <c:spPr>
            <a:ln w="28575" cap="rnd">
              <a:solidFill>
                <a:schemeClr val="tx1"/>
              </a:solidFill>
              <a:round/>
            </a:ln>
            <a:effectLst/>
          </c:spPr>
          <c:marker>
            <c:symbol val="none"/>
          </c:marker>
          <c:cat>
            <c:numRef>
              <c:f>India!$N$3:$N$24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India!$Q$3:$Q$24</c:f>
              <c:numCache>
                <c:formatCode>0</c:formatCode>
                <c:ptCount val="22"/>
                <c:pt idx="0">
                  <c:v>1297289.9483999999</c:v>
                </c:pt>
                <c:pt idx="1">
                  <c:v>1225310.4387000001</c:v>
                </c:pt>
                <c:pt idx="2">
                  <c:v>1250205.4662000001</c:v>
                </c:pt>
                <c:pt idx="3">
                  <c:v>1432619.5862999998</c:v>
                </c:pt>
                <c:pt idx="4">
                  <c:v>1615011.24</c:v>
                </c:pt>
                <c:pt idx="5">
                  <c:v>1683470.2800000003</c:v>
                </c:pt>
                <c:pt idx="6">
                  <c:v>1843084.875</c:v>
                </c:pt>
                <c:pt idx="7">
                  <c:v>1961661.8120000002</c:v>
                </c:pt>
                <c:pt idx="8">
                  <c:v>1900574.939</c:v>
                </c:pt>
                <c:pt idx="9">
                  <c:v>1898650</c:v>
                </c:pt>
                <c:pt idx="10">
                  <c:v>1898650</c:v>
                </c:pt>
                <c:pt idx="11">
                  <c:v>1898650</c:v>
                </c:pt>
                <c:pt idx="12">
                  <c:v>1898650</c:v>
                </c:pt>
                <c:pt idx="13">
                  <c:v>1898650</c:v>
                </c:pt>
                <c:pt idx="14">
                  <c:v>1898650</c:v>
                </c:pt>
                <c:pt idx="15">
                  <c:v>1898650</c:v>
                </c:pt>
                <c:pt idx="16">
                  <c:v>1898650</c:v>
                </c:pt>
                <c:pt idx="17">
                  <c:v>1898650</c:v>
                </c:pt>
                <c:pt idx="18">
                  <c:v>1898650</c:v>
                </c:pt>
                <c:pt idx="19">
                  <c:v>1898650</c:v>
                </c:pt>
                <c:pt idx="20">
                  <c:v>1898650</c:v>
                </c:pt>
                <c:pt idx="21">
                  <c:v>1898650</c:v>
                </c:pt>
              </c:numCache>
            </c:numRef>
          </c:val>
          <c:smooth val="0"/>
          <c:extLst>
            <c:ext xmlns:c16="http://schemas.microsoft.com/office/drawing/2014/chart" uri="{C3380CC4-5D6E-409C-BE32-E72D297353CC}">
              <c16:uniqueId val="{00000002-10C3-4F9C-BE53-EF3A7690B718}"/>
            </c:ext>
          </c:extLst>
        </c:ser>
        <c:dLbls>
          <c:showLegendKey val="0"/>
          <c:showVal val="0"/>
          <c:showCatName val="0"/>
          <c:showSerName val="0"/>
          <c:showPercent val="0"/>
          <c:showBubbleSize val="0"/>
        </c:dLbls>
        <c:smooth val="0"/>
        <c:axId val="574676920"/>
        <c:axId val="574678560"/>
      </c:lineChart>
      <c:catAx>
        <c:axId val="57467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78560"/>
        <c:crosses val="autoZero"/>
        <c:auto val="1"/>
        <c:lblAlgn val="ctr"/>
        <c:lblOffset val="100"/>
        <c:noMultiLvlLbl val="0"/>
      </c:catAx>
      <c:valAx>
        <c:axId val="574678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76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'EV %sales'!$CU$77:$CU$89</c:f>
              <c:numCache>
                <c:formatCode>0</c:formatCode>
                <c:ptCount val="13"/>
                <c:pt idx="0">
                  <c:v>7660.4</c:v>
                </c:pt>
                <c:pt idx="1">
                  <c:v>7761.3</c:v>
                </c:pt>
                <c:pt idx="2">
                  <c:v>7562.1</c:v>
                </c:pt>
                <c:pt idx="3">
                  <c:v>6769.2</c:v>
                </c:pt>
                <c:pt idx="4">
                  <c:v>5401.5</c:v>
                </c:pt>
                <c:pt idx="5">
                  <c:v>6136.6</c:v>
                </c:pt>
                <c:pt idx="6">
                  <c:v>6089.7079999999996</c:v>
                </c:pt>
                <c:pt idx="7">
                  <c:v>7244.4390000000003</c:v>
                </c:pt>
                <c:pt idx="8">
                  <c:v>7585.3410000000003</c:v>
                </c:pt>
                <c:pt idx="9">
                  <c:v>7687.6189999999997</c:v>
                </c:pt>
                <c:pt idx="10">
                  <c:v>7523.6890000000003</c:v>
                </c:pt>
                <c:pt idx="11">
                  <c:v>6869.7719999999999</c:v>
                </c:pt>
                <c:pt idx="12">
                  <c:v>6073.5330000000004</c:v>
                </c:pt>
              </c:numCache>
            </c:numRef>
          </c:val>
          <c:smooth val="0"/>
          <c:extLst>
            <c:ext xmlns:c16="http://schemas.microsoft.com/office/drawing/2014/chart" uri="{C3380CC4-5D6E-409C-BE32-E72D297353CC}">
              <c16:uniqueId val="{00000000-E58C-40AF-B722-D62494D2D9D4}"/>
            </c:ext>
          </c:extLst>
        </c:ser>
        <c:ser>
          <c:idx val="1"/>
          <c:order val="1"/>
          <c:spPr>
            <a:ln w="28575" cap="rnd">
              <a:solidFill>
                <a:schemeClr val="accent2"/>
              </a:solidFill>
              <a:round/>
            </a:ln>
            <a:effectLst/>
          </c:spPr>
          <c:marker>
            <c:symbol val="none"/>
          </c:marker>
          <c:val>
            <c:numRef>
              <c:f>'EV %sales'!$CY$77:$CY$89</c:f>
              <c:numCache>
                <c:formatCode>0</c:formatCode>
                <c:ptCount val="13"/>
                <c:pt idx="0">
                  <c:v>7436</c:v>
                </c:pt>
                <c:pt idx="1">
                  <c:v>7939</c:v>
                </c:pt>
                <c:pt idx="2">
                  <c:v>7603</c:v>
                </c:pt>
                <c:pt idx="3">
                  <c:v>5148</c:v>
                </c:pt>
                <c:pt idx="4">
                  <c:v>5800</c:v>
                </c:pt>
                <c:pt idx="5">
                  <c:v>5928</c:v>
                </c:pt>
                <c:pt idx="6">
                  <c:v>6283</c:v>
                </c:pt>
                <c:pt idx="7">
                  <c:v>7524</c:v>
                </c:pt>
                <c:pt idx="8">
                  <c:v>7507</c:v>
                </c:pt>
                <c:pt idx="9">
                  <c:v>7826</c:v>
                </c:pt>
                <c:pt idx="10">
                  <c:v>7127</c:v>
                </c:pt>
                <c:pt idx="11">
                  <c:v>6836</c:v>
                </c:pt>
                <c:pt idx="12">
                  <c:v>5824</c:v>
                </c:pt>
              </c:numCache>
            </c:numRef>
          </c:val>
          <c:smooth val="0"/>
          <c:extLst>
            <c:ext xmlns:c16="http://schemas.microsoft.com/office/drawing/2014/chart" uri="{C3380CC4-5D6E-409C-BE32-E72D297353CC}">
              <c16:uniqueId val="{00000001-E58C-40AF-B722-D62494D2D9D4}"/>
            </c:ext>
          </c:extLst>
        </c:ser>
        <c:dLbls>
          <c:showLegendKey val="0"/>
          <c:showVal val="0"/>
          <c:showCatName val="0"/>
          <c:showSerName val="0"/>
          <c:showPercent val="0"/>
          <c:showBubbleSize val="0"/>
        </c:dLbls>
        <c:smooth val="0"/>
        <c:axId val="795574040"/>
        <c:axId val="795572072"/>
      </c:lineChart>
      <c:catAx>
        <c:axId val="795574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572072"/>
        <c:crosses val="autoZero"/>
        <c:auto val="1"/>
        <c:lblAlgn val="ctr"/>
        <c:lblOffset val="100"/>
        <c:noMultiLvlLbl val="0"/>
      </c:catAx>
      <c:valAx>
        <c:axId val="795572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574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'India data'!$Q$23</c:f>
              <c:strCache>
                <c:ptCount val="1"/>
                <c:pt idx="0">
                  <c:v>Car Sales</c:v>
                </c:pt>
              </c:strCache>
            </c:strRef>
          </c:tx>
          <c:spPr>
            <a:ln w="28575" cap="rnd">
              <a:solidFill>
                <a:schemeClr val="accent1"/>
              </a:solidFill>
              <a:round/>
            </a:ln>
            <a:effectLst/>
          </c:spPr>
          <c:marker>
            <c:symbol val="none"/>
          </c:marker>
          <c:cat>
            <c:numRef>
              <c:f>'India data'!$P$24:$P$30</c:f>
              <c:numCache>
                <c:formatCode>General</c:formatCode>
                <c:ptCount val="7"/>
                <c:pt idx="0">
                  <c:v>2011</c:v>
                </c:pt>
                <c:pt idx="1">
                  <c:v>2012</c:v>
                </c:pt>
                <c:pt idx="2">
                  <c:v>2013</c:v>
                </c:pt>
                <c:pt idx="3">
                  <c:v>2014</c:v>
                </c:pt>
                <c:pt idx="4">
                  <c:v>2015</c:v>
                </c:pt>
                <c:pt idx="5">
                  <c:v>2016</c:v>
                </c:pt>
                <c:pt idx="6">
                  <c:v>2017</c:v>
                </c:pt>
              </c:numCache>
            </c:numRef>
          </c:cat>
          <c:val>
            <c:numRef>
              <c:f>'India data'!$Q$24:$Q$30</c:f>
              <c:numCache>
                <c:formatCode>General</c:formatCode>
                <c:ptCount val="7"/>
                <c:pt idx="0">
                  <c:v>2514</c:v>
                </c:pt>
                <c:pt idx="1">
                  <c:v>2761</c:v>
                </c:pt>
                <c:pt idx="2">
                  <c:v>2277</c:v>
                </c:pt>
                <c:pt idx="3">
                  <c:v>2393</c:v>
                </c:pt>
              </c:numCache>
            </c:numRef>
          </c:val>
          <c:smooth val="0"/>
          <c:extLst>
            <c:ext xmlns:c16="http://schemas.microsoft.com/office/drawing/2014/chart" uri="{C3380CC4-5D6E-409C-BE32-E72D297353CC}">
              <c16:uniqueId val="{00000000-E0A7-40BA-873E-0048CC21C8D5}"/>
            </c:ext>
          </c:extLst>
        </c:ser>
        <c:ser>
          <c:idx val="1"/>
          <c:order val="1"/>
          <c:tx>
            <c:strRef>
              <c:f>'India data'!$R$23</c:f>
              <c:strCache>
                <c:ptCount val="1"/>
                <c:pt idx="0">
                  <c:v>Car Sales</c:v>
                </c:pt>
              </c:strCache>
            </c:strRef>
          </c:tx>
          <c:spPr>
            <a:ln w="28575" cap="rnd">
              <a:solidFill>
                <a:schemeClr val="accent2"/>
              </a:solidFill>
              <a:round/>
            </a:ln>
            <a:effectLst/>
          </c:spPr>
          <c:marker>
            <c:symbol val="none"/>
          </c:marker>
          <c:cat>
            <c:numRef>
              <c:f>'India data'!$P$24:$P$30</c:f>
              <c:numCache>
                <c:formatCode>General</c:formatCode>
                <c:ptCount val="7"/>
                <c:pt idx="0">
                  <c:v>2011</c:v>
                </c:pt>
                <c:pt idx="1">
                  <c:v>2012</c:v>
                </c:pt>
                <c:pt idx="2">
                  <c:v>2013</c:v>
                </c:pt>
                <c:pt idx="3">
                  <c:v>2014</c:v>
                </c:pt>
                <c:pt idx="4">
                  <c:v>2015</c:v>
                </c:pt>
                <c:pt idx="5">
                  <c:v>2016</c:v>
                </c:pt>
                <c:pt idx="6">
                  <c:v>2017</c:v>
                </c:pt>
              </c:numCache>
            </c:numRef>
          </c:cat>
          <c:val>
            <c:numRef>
              <c:f>'India data'!$R$24:$R$30</c:f>
              <c:numCache>
                <c:formatCode>0</c:formatCode>
                <c:ptCount val="7"/>
                <c:pt idx="1">
                  <c:v>2652.1234178088962</c:v>
                </c:pt>
                <c:pt idx="2">
                  <c:v>2473.9957255680001</c:v>
                </c:pt>
                <c:pt idx="3">
                  <c:v>2491.4357760000003</c:v>
                </c:pt>
                <c:pt idx="4">
                  <c:v>2702.2080000000001</c:v>
                </c:pt>
                <c:pt idx="5">
                  <c:v>2905.6</c:v>
                </c:pt>
                <c:pt idx="6" formatCode="General">
                  <c:v>3200</c:v>
                </c:pt>
              </c:numCache>
            </c:numRef>
          </c:val>
          <c:smooth val="0"/>
          <c:extLst>
            <c:ext xmlns:c16="http://schemas.microsoft.com/office/drawing/2014/chart" uri="{C3380CC4-5D6E-409C-BE32-E72D297353CC}">
              <c16:uniqueId val="{00000001-E0A7-40BA-873E-0048CC21C8D5}"/>
            </c:ext>
          </c:extLst>
        </c:ser>
        <c:ser>
          <c:idx val="2"/>
          <c:order val="2"/>
          <c:tx>
            <c:strRef>
              <c:f>'India data'!$T$23</c:f>
              <c:strCache>
                <c:ptCount val="1"/>
                <c:pt idx="0">
                  <c:v>Car Sales</c:v>
                </c:pt>
              </c:strCache>
            </c:strRef>
          </c:tx>
          <c:spPr>
            <a:ln w="28575" cap="rnd">
              <a:solidFill>
                <a:schemeClr val="accent3"/>
              </a:solidFill>
              <a:round/>
            </a:ln>
            <a:effectLst/>
          </c:spPr>
          <c:marker>
            <c:symbol val="none"/>
          </c:marker>
          <c:val>
            <c:numRef>
              <c:f>'India data'!$T$24:$T$30</c:f>
              <c:numCache>
                <c:formatCode>General</c:formatCode>
                <c:ptCount val="7"/>
                <c:pt idx="2">
                  <c:v>2578</c:v>
                </c:pt>
                <c:pt idx="3">
                  <c:v>2573</c:v>
                </c:pt>
                <c:pt idx="4">
                  <c:v>2727</c:v>
                </c:pt>
                <c:pt idx="5">
                  <c:v>2830</c:v>
                </c:pt>
                <c:pt idx="6">
                  <c:v>2950</c:v>
                </c:pt>
              </c:numCache>
            </c:numRef>
          </c:val>
          <c:smooth val="0"/>
          <c:extLst>
            <c:ext xmlns:c16="http://schemas.microsoft.com/office/drawing/2014/chart" uri="{C3380CC4-5D6E-409C-BE32-E72D297353CC}">
              <c16:uniqueId val="{00000000-5B19-447D-A4EA-89D305706A5D}"/>
            </c:ext>
          </c:extLst>
        </c:ser>
        <c:dLbls>
          <c:showLegendKey val="0"/>
          <c:showVal val="0"/>
          <c:showCatName val="0"/>
          <c:showSerName val="0"/>
          <c:showPercent val="0"/>
          <c:showBubbleSize val="0"/>
        </c:dLbls>
        <c:smooth val="0"/>
        <c:axId val="728908224"/>
        <c:axId val="728899040"/>
      </c:lineChart>
      <c:catAx>
        <c:axId val="72890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899040"/>
        <c:crosses val="autoZero"/>
        <c:auto val="1"/>
        <c:lblAlgn val="ctr"/>
        <c:lblOffset val="100"/>
        <c:noMultiLvlLbl val="0"/>
      </c:catAx>
      <c:valAx>
        <c:axId val="728899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908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BEV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'India data'!$M$33</c:f>
              <c:strCache>
                <c:ptCount val="1"/>
                <c:pt idx="0">
                  <c:v>IRF</c:v>
                </c:pt>
              </c:strCache>
            </c:strRef>
          </c:tx>
          <c:spPr>
            <a:ln w="28575" cap="rnd">
              <a:solidFill>
                <a:schemeClr val="accent1"/>
              </a:solidFill>
              <a:round/>
            </a:ln>
            <a:effectLst/>
          </c:spPr>
          <c:marker>
            <c:symbol val="none"/>
          </c:marker>
          <c:cat>
            <c:numRef>
              <c:f>'India data'!$L$34:$L$46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data'!$M$34:$M$46</c:f>
              <c:numCache>
                <c:formatCode>0.000</c:formatCode>
                <c:ptCount val="13"/>
                <c:pt idx="3">
                  <c:v>0.37</c:v>
                </c:pt>
                <c:pt idx="4">
                  <c:v>0.16</c:v>
                </c:pt>
                <c:pt idx="5">
                  <c:v>0.35</c:v>
                </c:pt>
                <c:pt idx="6">
                  <c:v>0.45</c:v>
                </c:pt>
                <c:pt idx="7">
                  <c:v>1.43</c:v>
                </c:pt>
                <c:pt idx="8">
                  <c:v>0.19</c:v>
                </c:pt>
                <c:pt idx="9">
                  <c:v>0.41</c:v>
                </c:pt>
                <c:pt idx="10">
                  <c:v>1</c:v>
                </c:pt>
                <c:pt idx="11">
                  <c:v>0.45</c:v>
                </c:pt>
              </c:numCache>
            </c:numRef>
          </c:val>
          <c:smooth val="0"/>
          <c:extLst>
            <c:ext xmlns:c16="http://schemas.microsoft.com/office/drawing/2014/chart" uri="{C3380CC4-5D6E-409C-BE32-E72D297353CC}">
              <c16:uniqueId val="{00000000-A05A-43C3-8934-502D876D6BE4}"/>
            </c:ext>
          </c:extLst>
        </c:ser>
        <c:ser>
          <c:idx val="1"/>
          <c:order val="1"/>
          <c:tx>
            <c:strRef>
              <c:f>'India data'!$N$33</c:f>
              <c:strCache>
                <c:ptCount val="1"/>
                <c:pt idx="0">
                  <c:v>innovas</c:v>
                </c:pt>
              </c:strCache>
            </c:strRef>
          </c:tx>
          <c:spPr>
            <a:ln w="28575" cap="rnd">
              <a:solidFill>
                <a:schemeClr val="accent2"/>
              </a:solidFill>
              <a:round/>
            </a:ln>
            <a:effectLst/>
          </c:spPr>
          <c:marker>
            <c:symbol val="none"/>
          </c:marker>
          <c:cat>
            <c:numRef>
              <c:f>'India data'!$L$34:$L$46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data'!$N$34:$N$46</c:f>
              <c:numCache>
                <c:formatCode>0.000</c:formatCode>
                <c:ptCount val="13"/>
                <c:pt idx="0">
                  <c:v>9.9000000000000005E-2</c:v>
                </c:pt>
                <c:pt idx="1">
                  <c:v>0.123</c:v>
                </c:pt>
                <c:pt idx="2">
                  <c:v>0.13500000000000001</c:v>
                </c:pt>
                <c:pt idx="3">
                  <c:v>0.19500000000000001</c:v>
                </c:pt>
                <c:pt idx="4">
                  <c:v>0.33900000000000002</c:v>
                </c:pt>
                <c:pt idx="5">
                  <c:v>0.23</c:v>
                </c:pt>
                <c:pt idx="6">
                  <c:v>0.36899999999999999</c:v>
                </c:pt>
                <c:pt idx="7">
                  <c:v>0.3</c:v>
                </c:pt>
                <c:pt idx="8">
                  <c:v>0.41</c:v>
                </c:pt>
                <c:pt idx="9">
                  <c:v>0.2</c:v>
                </c:pt>
                <c:pt idx="10">
                  <c:v>0.4</c:v>
                </c:pt>
                <c:pt idx="11">
                  <c:v>2</c:v>
                </c:pt>
                <c:pt idx="12">
                  <c:v>2</c:v>
                </c:pt>
              </c:numCache>
            </c:numRef>
          </c:val>
          <c:smooth val="0"/>
          <c:extLst>
            <c:ext xmlns:c16="http://schemas.microsoft.com/office/drawing/2014/chart" uri="{C3380CC4-5D6E-409C-BE32-E72D297353CC}">
              <c16:uniqueId val="{00000001-A05A-43C3-8934-502D876D6BE4}"/>
            </c:ext>
          </c:extLst>
        </c:ser>
        <c:ser>
          <c:idx val="2"/>
          <c:order val="2"/>
          <c:tx>
            <c:strRef>
              <c:f>'India data'!$O$33</c:f>
              <c:strCache>
                <c:ptCount val="1"/>
                <c:pt idx="0">
                  <c:v>bnef</c:v>
                </c:pt>
              </c:strCache>
            </c:strRef>
          </c:tx>
          <c:spPr>
            <a:ln w="28575" cap="rnd">
              <a:solidFill>
                <a:schemeClr val="accent3"/>
              </a:solidFill>
              <a:round/>
            </a:ln>
            <a:effectLst/>
          </c:spPr>
          <c:marker>
            <c:symbol val="none"/>
          </c:marker>
          <c:cat>
            <c:numRef>
              <c:f>'India data'!$L$34:$L$46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data'!$O$34:$O$46</c:f>
              <c:numCache>
                <c:formatCode>0.000</c:formatCode>
                <c:ptCount val="13"/>
                <c:pt idx="6">
                  <c:v>0.45</c:v>
                </c:pt>
                <c:pt idx="7">
                  <c:v>0.14299999999999999</c:v>
                </c:pt>
                <c:pt idx="8">
                  <c:v>0.38</c:v>
                </c:pt>
                <c:pt idx="9">
                  <c:v>0.89</c:v>
                </c:pt>
                <c:pt idx="10">
                  <c:v>0.65</c:v>
                </c:pt>
                <c:pt idx="11">
                  <c:v>1.05</c:v>
                </c:pt>
                <c:pt idx="12">
                  <c:v>2</c:v>
                </c:pt>
              </c:numCache>
            </c:numRef>
          </c:val>
          <c:smooth val="0"/>
          <c:extLst>
            <c:ext xmlns:c16="http://schemas.microsoft.com/office/drawing/2014/chart" uri="{C3380CC4-5D6E-409C-BE32-E72D297353CC}">
              <c16:uniqueId val="{00000002-A05A-43C3-8934-502D876D6BE4}"/>
            </c:ext>
          </c:extLst>
        </c:ser>
        <c:ser>
          <c:idx val="3"/>
          <c:order val="3"/>
          <c:tx>
            <c:strRef>
              <c:f>'India data'!$P$33</c:f>
              <c:strCache>
                <c:ptCount val="1"/>
                <c:pt idx="0">
                  <c:v>watev2buy</c:v>
                </c:pt>
              </c:strCache>
            </c:strRef>
          </c:tx>
          <c:spPr>
            <a:ln w="28575" cap="rnd">
              <a:solidFill>
                <a:schemeClr val="accent4"/>
              </a:solidFill>
              <a:round/>
            </a:ln>
            <a:effectLst/>
          </c:spPr>
          <c:marker>
            <c:symbol val="none"/>
          </c:marker>
          <c:cat>
            <c:numRef>
              <c:f>'India data'!$L$34:$L$46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data'!$P$34:$P$46</c:f>
              <c:numCache>
                <c:formatCode>0.000</c:formatCode>
                <c:ptCount val="13"/>
                <c:pt idx="5">
                  <c:v>0.28999999999999998</c:v>
                </c:pt>
                <c:pt idx="6">
                  <c:v>0.40949999999999998</c:v>
                </c:pt>
                <c:pt idx="7">
                  <c:v>0.3</c:v>
                </c:pt>
                <c:pt idx="8">
                  <c:v>0.19</c:v>
                </c:pt>
                <c:pt idx="9">
                  <c:v>0.66</c:v>
                </c:pt>
                <c:pt idx="10">
                  <c:v>1.66</c:v>
                </c:pt>
              </c:numCache>
            </c:numRef>
          </c:val>
          <c:smooth val="0"/>
          <c:extLst>
            <c:ext xmlns:c16="http://schemas.microsoft.com/office/drawing/2014/chart" uri="{C3380CC4-5D6E-409C-BE32-E72D297353CC}">
              <c16:uniqueId val="{00000003-A05A-43C3-8934-502D876D6BE4}"/>
            </c:ext>
          </c:extLst>
        </c:ser>
        <c:ser>
          <c:idx val="4"/>
          <c:order val="4"/>
          <c:tx>
            <c:strRef>
              <c:f>'India data'!$Q$33</c:f>
              <c:strCache>
                <c:ptCount val="1"/>
                <c:pt idx="0">
                  <c:v>BEV estimate</c:v>
                </c:pt>
              </c:strCache>
            </c:strRef>
          </c:tx>
          <c:spPr>
            <a:ln w="28575" cap="rnd">
              <a:solidFill>
                <a:schemeClr val="tx1"/>
              </a:solidFill>
              <a:round/>
            </a:ln>
            <a:effectLst/>
          </c:spPr>
          <c:marker>
            <c:symbol val="none"/>
          </c:marker>
          <c:cat>
            <c:numRef>
              <c:f>'India data'!$L$34:$L$46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data'!$Q$34:$Q$46</c:f>
              <c:numCache>
                <c:formatCode>0.000</c:formatCode>
                <c:ptCount val="13"/>
                <c:pt idx="0">
                  <c:v>9.9000000000000005E-2</c:v>
                </c:pt>
                <c:pt idx="1">
                  <c:v>0.123</c:v>
                </c:pt>
                <c:pt idx="2">
                  <c:v>0.13500000000000001</c:v>
                </c:pt>
                <c:pt idx="3">
                  <c:v>0.19500000000000001</c:v>
                </c:pt>
                <c:pt idx="4">
                  <c:v>0.2495</c:v>
                </c:pt>
                <c:pt idx="5">
                  <c:v>0.28999999999999998</c:v>
                </c:pt>
                <c:pt idx="6">
                  <c:v>0.40949999999999998</c:v>
                </c:pt>
                <c:pt idx="7">
                  <c:v>0.3</c:v>
                </c:pt>
                <c:pt idx="8">
                  <c:v>0.41</c:v>
                </c:pt>
                <c:pt idx="9">
                  <c:v>0.65</c:v>
                </c:pt>
                <c:pt idx="10">
                  <c:v>0.82499999999999996</c:v>
                </c:pt>
                <c:pt idx="11" formatCode="0.00">
                  <c:v>1.4125000000000001</c:v>
                </c:pt>
                <c:pt idx="12">
                  <c:v>2</c:v>
                </c:pt>
              </c:numCache>
            </c:numRef>
          </c:val>
          <c:smooth val="0"/>
          <c:extLst>
            <c:ext xmlns:c16="http://schemas.microsoft.com/office/drawing/2014/chart" uri="{C3380CC4-5D6E-409C-BE32-E72D297353CC}">
              <c16:uniqueId val="{00000004-A05A-43C3-8934-502D876D6BE4}"/>
            </c:ext>
          </c:extLst>
        </c:ser>
        <c:dLbls>
          <c:showLegendKey val="0"/>
          <c:showVal val="0"/>
          <c:showCatName val="0"/>
          <c:showSerName val="0"/>
          <c:showPercent val="0"/>
          <c:showBubbleSize val="0"/>
        </c:dLbls>
        <c:smooth val="0"/>
        <c:axId val="728915440"/>
        <c:axId val="728910848"/>
      </c:lineChart>
      <c:catAx>
        <c:axId val="72891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910848"/>
        <c:crosses val="autoZero"/>
        <c:auto val="1"/>
        <c:lblAlgn val="ctr"/>
        <c:lblOffset val="100"/>
        <c:noMultiLvlLbl val="0"/>
      </c:catAx>
      <c:valAx>
        <c:axId val="728910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91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PHEV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'India data'!$U$33</c:f>
              <c:strCache>
                <c:ptCount val="1"/>
                <c:pt idx="0">
                  <c:v>watev2buy</c:v>
                </c:pt>
              </c:strCache>
            </c:strRef>
          </c:tx>
          <c:spPr>
            <a:ln w="28575" cap="rnd">
              <a:solidFill>
                <a:schemeClr val="tx1"/>
              </a:solidFill>
              <a:round/>
            </a:ln>
            <a:effectLst/>
          </c:spPr>
          <c:marker>
            <c:symbol val="none"/>
          </c:marker>
          <c:cat>
            <c:numRef>
              <c:f>'India data'!$S$34:$S$46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data'!$U$34:$U$46</c:f>
              <c:numCache>
                <c:formatCode>General</c:formatCode>
                <c:ptCount val="13"/>
                <c:pt idx="0">
                  <c:v>0</c:v>
                </c:pt>
                <c:pt idx="1">
                  <c:v>0</c:v>
                </c:pt>
                <c:pt idx="2">
                  <c:v>0</c:v>
                </c:pt>
                <c:pt idx="3">
                  <c:v>0</c:v>
                </c:pt>
                <c:pt idx="4">
                  <c:v>0.44</c:v>
                </c:pt>
                <c:pt idx="5">
                  <c:v>0.88</c:v>
                </c:pt>
                <c:pt idx="6">
                  <c:v>1.33</c:v>
                </c:pt>
                <c:pt idx="7">
                  <c:v>2.76</c:v>
                </c:pt>
                <c:pt idx="8">
                  <c:v>2.95</c:v>
                </c:pt>
                <c:pt idx="9">
                  <c:v>3.35</c:v>
                </c:pt>
                <c:pt idx="10">
                  <c:v>4.3499999999999996</c:v>
                </c:pt>
                <c:pt idx="11">
                  <c:v>5.35</c:v>
                </c:pt>
                <c:pt idx="12">
                  <c:v>6.35</c:v>
                </c:pt>
              </c:numCache>
            </c:numRef>
          </c:val>
          <c:smooth val="0"/>
          <c:extLst>
            <c:ext xmlns:c16="http://schemas.microsoft.com/office/drawing/2014/chart" uri="{C3380CC4-5D6E-409C-BE32-E72D297353CC}">
              <c16:uniqueId val="{00000001-A45F-4C7A-A3C7-6234F431B9B6}"/>
            </c:ext>
          </c:extLst>
        </c:ser>
        <c:dLbls>
          <c:showLegendKey val="0"/>
          <c:showVal val="0"/>
          <c:showCatName val="0"/>
          <c:showSerName val="0"/>
          <c:showPercent val="0"/>
          <c:showBubbleSize val="0"/>
        </c:dLbls>
        <c:smooth val="0"/>
        <c:axId val="647102336"/>
        <c:axId val="647098400"/>
      </c:lineChart>
      <c:catAx>
        <c:axId val="64710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098400"/>
        <c:crosses val="autoZero"/>
        <c:auto val="1"/>
        <c:lblAlgn val="ctr"/>
        <c:lblOffset val="100"/>
        <c:noMultiLvlLbl val="0"/>
      </c:catAx>
      <c:valAx>
        <c:axId val="647098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10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'India data'!$X$33</c:f>
              <c:strCache>
                <c:ptCount val="1"/>
                <c:pt idx="0">
                  <c:v>PEVs</c:v>
                </c:pt>
              </c:strCache>
            </c:strRef>
          </c:tx>
          <c:spPr>
            <a:ln w="28575" cap="rnd">
              <a:solidFill>
                <a:schemeClr val="tx1"/>
              </a:solidFill>
              <a:round/>
            </a:ln>
            <a:effectLst/>
          </c:spPr>
          <c:marker>
            <c:symbol val="none"/>
          </c:marker>
          <c:cat>
            <c:numRef>
              <c:f>'India data'!$W$34:$W$46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data'!$X$34:$X$46</c:f>
              <c:numCache>
                <c:formatCode>0.000</c:formatCode>
                <c:ptCount val="13"/>
                <c:pt idx="0">
                  <c:v>9.9000000000000005E-2</c:v>
                </c:pt>
                <c:pt idx="1">
                  <c:v>0.123</c:v>
                </c:pt>
                <c:pt idx="2">
                  <c:v>0.13500000000000001</c:v>
                </c:pt>
                <c:pt idx="3">
                  <c:v>0.19500000000000001</c:v>
                </c:pt>
                <c:pt idx="4">
                  <c:v>0.6895</c:v>
                </c:pt>
                <c:pt idx="5">
                  <c:v>1.17</c:v>
                </c:pt>
                <c:pt idx="6">
                  <c:v>1.7395</c:v>
                </c:pt>
                <c:pt idx="7">
                  <c:v>3.0599999999999996</c:v>
                </c:pt>
                <c:pt idx="8">
                  <c:v>3.3600000000000003</c:v>
                </c:pt>
                <c:pt idx="9">
                  <c:v>4</c:v>
                </c:pt>
                <c:pt idx="10">
                  <c:v>5.1749999999999998</c:v>
                </c:pt>
                <c:pt idx="11">
                  <c:v>6.7624999999999993</c:v>
                </c:pt>
                <c:pt idx="12">
                  <c:v>8.35</c:v>
                </c:pt>
              </c:numCache>
            </c:numRef>
          </c:val>
          <c:smooth val="0"/>
          <c:extLst>
            <c:ext xmlns:c16="http://schemas.microsoft.com/office/drawing/2014/chart" uri="{C3380CC4-5D6E-409C-BE32-E72D297353CC}">
              <c16:uniqueId val="{00000000-7C4C-4563-B5F9-DAD210607A55}"/>
            </c:ext>
          </c:extLst>
        </c:ser>
        <c:ser>
          <c:idx val="1"/>
          <c:order val="1"/>
          <c:tx>
            <c:strRef>
              <c:f>'India data'!$Y$33</c:f>
              <c:strCache>
                <c:ptCount val="1"/>
                <c:pt idx="0">
                  <c:v>watev2buy</c:v>
                </c:pt>
              </c:strCache>
            </c:strRef>
          </c:tx>
          <c:spPr>
            <a:ln w="28575" cap="rnd">
              <a:solidFill>
                <a:schemeClr val="accent2"/>
              </a:solidFill>
              <a:round/>
            </a:ln>
            <a:effectLst/>
          </c:spPr>
          <c:marker>
            <c:symbol val="none"/>
          </c:marker>
          <c:cat>
            <c:numRef>
              <c:f>'India data'!$W$34:$W$46</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'India data'!$Y$34:$Y$45</c:f>
              <c:numCache>
                <c:formatCode>General</c:formatCode>
                <c:ptCount val="12"/>
                <c:pt idx="5" formatCode="0.000">
                  <c:v>1.17</c:v>
                </c:pt>
                <c:pt idx="6" formatCode="0.000">
                  <c:v>1.7395</c:v>
                </c:pt>
                <c:pt idx="7" formatCode="0.000">
                  <c:v>3.0599999999999996</c:v>
                </c:pt>
                <c:pt idx="8" formatCode="0.000">
                  <c:v>3.14</c:v>
                </c:pt>
                <c:pt idx="9" formatCode="0.000">
                  <c:v>4.01</c:v>
                </c:pt>
                <c:pt idx="10" formatCode="0.000">
                  <c:v>6.01</c:v>
                </c:pt>
              </c:numCache>
            </c:numRef>
          </c:val>
          <c:smooth val="0"/>
          <c:extLst>
            <c:ext xmlns:c16="http://schemas.microsoft.com/office/drawing/2014/chart" uri="{C3380CC4-5D6E-409C-BE32-E72D297353CC}">
              <c16:uniqueId val="{00000001-7C4C-4563-B5F9-DAD210607A55}"/>
            </c:ext>
          </c:extLst>
        </c:ser>
        <c:dLbls>
          <c:showLegendKey val="0"/>
          <c:showVal val="0"/>
          <c:showCatName val="0"/>
          <c:showSerName val="0"/>
          <c:showPercent val="0"/>
          <c:showBubbleSize val="0"/>
        </c:dLbls>
        <c:smooth val="0"/>
        <c:axId val="647130872"/>
        <c:axId val="647051168"/>
      </c:lineChart>
      <c:catAx>
        <c:axId val="64713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051168"/>
        <c:crosses val="autoZero"/>
        <c:auto val="1"/>
        <c:lblAlgn val="ctr"/>
        <c:lblOffset val="100"/>
        <c:noMultiLvlLbl val="0"/>
      </c:catAx>
      <c:valAx>
        <c:axId val="64705116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130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'Ireland EV uptake'!$B$3</c:f>
              <c:strCache>
                <c:ptCount val="1"/>
                <c:pt idx="0">
                  <c:v> EV %sales</c:v>
                </c:pt>
              </c:strCache>
            </c:strRef>
          </c:tx>
          <c:spPr>
            <a:ln w="28575" cap="rnd">
              <a:solidFill>
                <a:schemeClr val="accent1"/>
              </a:solidFill>
              <a:round/>
            </a:ln>
            <a:effectLst/>
          </c:spPr>
          <c:marker>
            <c:symbol val="none"/>
          </c:marker>
          <c:cat>
            <c:numRef>
              <c:f>'Ireland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'Ireland EV uptake'!$B$4:$B$15</c:f>
              <c:numCache>
                <c:formatCode>0.00</c:formatCode>
                <c:ptCount val="12"/>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80A7-46F6-9ECB-C23C9D5F9725}"/>
            </c:ext>
          </c:extLst>
        </c:ser>
        <c:ser>
          <c:idx val="1"/>
          <c:order val="1"/>
          <c:tx>
            <c:strRef>
              <c:f>'Ireland EV uptake'!$C$3</c:f>
              <c:strCache>
                <c:ptCount val="1"/>
                <c:pt idx="0">
                  <c:v>Predicted Cost Lagged</c:v>
                </c:pt>
              </c:strCache>
            </c:strRef>
          </c:tx>
          <c:spPr>
            <a:ln w="28575" cap="rnd">
              <a:solidFill>
                <a:schemeClr val="accent2"/>
              </a:solidFill>
              <a:round/>
            </a:ln>
            <a:effectLst/>
          </c:spPr>
          <c:marker>
            <c:symbol val="none"/>
          </c:marker>
          <c:cat>
            <c:numRef>
              <c:f>'Ireland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'Ireland EV uptake'!$C$4:$C$15</c:f>
              <c:numCache>
                <c:formatCode>0.00</c:formatCode>
                <c:ptCount val="12"/>
                <c:pt idx="3">
                  <c:v>9.3060869482101627E-2</c:v>
                </c:pt>
                <c:pt idx="4">
                  <c:v>0.14236726087496704</c:v>
                </c:pt>
                <c:pt idx="5">
                  <c:v>0.21771000690284034</c:v>
                </c:pt>
                <c:pt idx="6">
                  <c:v>0.33272064189834066</c:v>
                </c:pt>
                <c:pt idx="7">
                  <c:v>0.50801200951831016</c:v>
                </c:pt>
                <c:pt idx="8">
                  <c:v>0.77454818827191763</c:v>
                </c:pt>
                <c:pt idx="9">
                  <c:v>1.4826241933696944</c:v>
                </c:pt>
                <c:pt idx="10">
                  <c:v>2.824179396802704</c:v>
                </c:pt>
                <c:pt idx="11">
                  <c:v>3.9273759317622585</c:v>
                </c:pt>
              </c:numCache>
            </c:numRef>
          </c:val>
          <c:smooth val="0"/>
          <c:extLst>
            <c:ext xmlns:c16="http://schemas.microsoft.com/office/drawing/2014/chart" uri="{C3380CC4-5D6E-409C-BE32-E72D297353CC}">
              <c16:uniqueId val="{00000001-80A7-46F6-9ECB-C23C9D5F9725}"/>
            </c:ext>
          </c:extLst>
        </c:ser>
        <c:ser>
          <c:idx val="2"/>
          <c:order val="2"/>
          <c:tx>
            <c:strRef>
              <c:f>'Ireland EV uptake'!$L$3</c:f>
              <c:strCache>
                <c:ptCount val="1"/>
                <c:pt idx="0">
                  <c:v>Predicted Cost</c:v>
                </c:pt>
              </c:strCache>
            </c:strRef>
          </c:tx>
          <c:spPr>
            <a:ln w="28575" cap="rnd">
              <a:solidFill>
                <a:schemeClr val="accent3"/>
              </a:solidFill>
              <a:round/>
            </a:ln>
            <a:effectLst/>
          </c:spPr>
          <c:marker>
            <c:symbol val="none"/>
          </c:marker>
          <c:cat>
            <c:numRef>
              <c:f>'Ireland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'Ireland EV uptake'!$L$4:$L$15</c:f>
              <c:numCache>
                <c:formatCode>0.00</c:formatCode>
                <c:ptCount val="12"/>
                <c:pt idx="3" formatCode="0.000">
                  <c:v>0.14236726087496704</c:v>
                </c:pt>
                <c:pt idx="4" formatCode="0.000">
                  <c:v>0.21771000690284034</c:v>
                </c:pt>
                <c:pt idx="5" formatCode="0.000">
                  <c:v>0.14236726087496704</c:v>
                </c:pt>
                <c:pt idx="6" formatCode="0.000">
                  <c:v>0.33272064189834066</c:v>
                </c:pt>
                <c:pt idx="7" formatCode="0.000">
                  <c:v>0.50801200951831016</c:v>
                </c:pt>
                <c:pt idx="8" formatCode="0.000">
                  <c:v>0.77454818827191763</c:v>
                </c:pt>
                <c:pt idx="9" formatCode="0.000">
                  <c:v>1.7868769257937176</c:v>
                </c:pt>
                <c:pt idx="10" formatCode="0.000">
                  <c:v>2.874743241626148</c:v>
                </c:pt>
                <c:pt idx="11" formatCode="0.000">
                  <c:v>4.46737354844731</c:v>
                </c:pt>
              </c:numCache>
            </c:numRef>
          </c:val>
          <c:smooth val="0"/>
          <c:extLst>
            <c:ext xmlns:c16="http://schemas.microsoft.com/office/drawing/2014/chart" uri="{C3380CC4-5D6E-409C-BE32-E72D297353CC}">
              <c16:uniqueId val="{00000002-80A7-46F6-9ECB-C23C9D5F9725}"/>
            </c:ext>
          </c:extLst>
        </c:ser>
        <c:ser>
          <c:idx val="3"/>
          <c:order val="3"/>
          <c:tx>
            <c:strRef>
              <c:f>'Ireland EV uptake'!$AB$3</c:f>
              <c:strCache>
                <c:ptCount val="1"/>
                <c:pt idx="0">
                  <c:v>predicted raw</c:v>
                </c:pt>
              </c:strCache>
            </c:strRef>
          </c:tx>
          <c:spPr>
            <a:ln w="28575" cap="rnd">
              <a:solidFill>
                <a:schemeClr val="accent4"/>
              </a:solidFill>
              <a:round/>
            </a:ln>
            <a:effectLst/>
          </c:spPr>
          <c:marker>
            <c:symbol val="none"/>
          </c:marker>
          <c:cat>
            <c:numRef>
              <c:f>'Ireland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'Ireland EV uptake'!$AB$4:$AB$15</c:f>
              <c:numCache>
                <c:formatCode>0.00</c:formatCode>
                <c:ptCount val="1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numCache>
            </c:numRef>
          </c:val>
          <c:smooth val="0"/>
          <c:extLst>
            <c:ext xmlns:c16="http://schemas.microsoft.com/office/drawing/2014/chart" uri="{C3380CC4-5D6E-409C-BE32-E72D297353CC}">
              <c16:uniqueId val="{00000003-80A7-46F6-9ECB-C23C9D5F9725}"/>
            </c:ext>
          </c:extLst>
        </c:ser>
        <c:dLbls>
          <c:showLegendKey val="0"/>
          <c:showVal val="0"/>
          <c:showCatName val="0"/>
          <c:showSerName val="0"/>
          <c:showPercent val="0"/>
          <c:showBubbleSize val="0"/>
        </c:dLbls>
        <c:smooth val="0"/>
        <c:axId val="706522272"/>
        <c:axId val="706524240"/>
      </c:lineChart>
      <c:catAx>
        <c:axId val="70652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524240"/>
        <c:crosses val="autoZero"/>
        <c:auto val="1"/>
        <c:lblAlgn val="ctr"/>
        <c:lblOffset val="100"/>
        <c:noMultiLvlLbl val="0"/>
      </c:catAx>
      <c:valAx>
        <c:axId val="706524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522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'Ireland EV uptake'!$B$3</c:f>
              <c:strCache>
                <c:ptCount val="1"/>
                <c:pt idx="0">
                  <c:v> EV %sales</c:v>
                </c:pt>
              </c:strCache>
            </c:strRef>
          </c:tx>
          <c:spPr>
            <a:ln w="28575" cap="rnd">
              <a:solidFill>
                <a:schemeClr val="accent1"/>
              </a:solidFill>
              <a:round/>
            </a:ln>
            <a:effectLst/>
          </c:spPr>
          <c:marker>
            <c:symbol val="none"/>
          </c:marker>
          <c:cat>
            <c:numRef>
              <c:f>'Ireland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'Ireland EV uptake'!$B$4:$B$13</c:f>
              <c:numCache>
                <c:formatCode>0.00</c:formatCode>
                <c:ptCount val="10"/>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A754-4D6B-9A25-6DC1B5A63887}"/>
            </c:ext>
          </c:extLst>
        </c:ser>
        <c:ser>
          <c:idx val="1"/>
          <c:order val="1"/>
          <c:tx>
            <c:strRef>
              <c:f>'Ireland EV uptake'!$C$3</c:f>
              <c:strCache>
                <c:ptCount val="1"/>
                <c:pt idx="0">
                  <c:v>Predicted Cost Lagged</c:v>
                </c:pt>
              </c:strCache>
            </c:strRef>
          </c:tx>
          <c:spPr>
            <a:ln w="28575" cap="rnd">
              <a:solidFill>
                <a:schemeClr val="accent2"/>
              </a:solidFill>
              <a:round/>
            </a:ln>
            <a:effectLst/>
          </c:spPr>
          <c:marker>
            <c:symbol val="none"/>
          </c:marker>
          <c:cat>
            <c:numRef>
              <c:f>'Ireland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'Ireland EV uptake'!$C$4:$C$13</c:f>
              <c:numCache>
                <c:formatCode>0.00</c:formatCode>
                <c:ptCount val="10"/>
                <c:pt idx="3">
                  <c:v>9.3060869482101627E-2</c:v>
                </c:pt>
                <c:pt idx="4">
                  <c:v>0.14236726087496704</c:v>
                </c:pt>
                <c:pt idx="5">
                  <c:v>0.21771000690284034</c:v>
                </c:pt>
                <c:pt idx="6">
                  <c:v>0.33272064189834066</c:v>
                </c:pt>
                <c:pt idx="7">
                  <c:v>0.50801200951831016</c:v>
                </c:pt>
                <c:pt idx="8">
                  <c:v>0.77454818827191763</c:v>
                </c:pt>
                <c:pt idx="9">
                  <c:v>1.4826241933696944</c:v>
                </c:pt>
              </c:numCache>
            </c:numRef>
          </c:val>
          <c:smooth val="0"/>
          <c:extLst>
            <c:ext xmlns:c16="http://schemas.microsoft.com/office/drawing/2014/chart" uri="{C3380CC4-5D6E-409C-BE32-E72D297353CC}">
              <c16:uniqueId val="{00000001-A754-4D6B-9A25-6DC1B5A63887}"/>
            </c:ext>
          </c:extLst>
        </c:ser>
        <c:dLbls>
          <c:showLegendKey val="0"/>
          <c:showVal val="0"/>
          <c:showCatName val="0"/>
          <c:showSerName val="0"/>
          <c:showPercent val="0"/>
          <c:showBubbleSize val="0"/>
        </c:dLbls>
        <c:smooth val="0"/>
        <c:axId val="832851168"/>
        <c:axId val="832849856"/>
      </c:lineChart>
      <c:catAx>
        <c:axId val="83285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849856"/>
        <c:crosses val="autoZero"/>
        <c:auto val="1"/>
        <c:lblAlgn val="ctr"/>
        <c:lblOffset val="100"/>
        <c:noMultiLvlLbl val="0"/>
      </c:catAx>
      <c:valAx>
        <c:axId val="83284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85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uptake'!$AD$3</c:f>
              <c:strCache>
                <c:ptCount val="1"/>
                <c:pt idx="0">
                  <c:v>Linearized Logistic</c:v>
                </c:pt>
              </c:strCache>
            </c:strRef>
          </c:tx>
          <c:spPr>
            <a:ln w="34925" cap="rnd">
              <a:solidFill>
                <a:schemeClr val="tx1"/>
              </a:solidFill>
              <a:round/>
            </a:ln>
            <a:effectLst/>
          </c:spPr>
          <c:marker>
            <c:symbol val="none"/>
          </c:marker>
          <c:cat>
            <c:numRef>
              <c:f>'Ireland EV uptake'!$A$7:$A$13</c:f>
              <c:numCache>
                <c:formatCode>General</c:formatCode>
                <c:ptCount val="7"/>
                <c:pt idx="0">
                  <c:v>2012</c:v>
                </c:pt>
                <c:pt idx="1">
                  <c:v>2013</c:v>
                </c:pt>
                <c:pt idx="2">
                  <c:v>2014</c:v>
                </c:pt>
                <c:pt idx="3">
                  <c:v>2015</c:v>
                </c:pt>
                <c:pt idx="4">
                  <c:v>2016</c:v>
                </c:pt>
                <c:pt idx="5">
                  <c:v>2017</c:v>
                </c:pt>
                <c:pt idx="6">
                  <c:v>2018</c:v>
                </c:pt>
              </c:numCache>
            </c:numRef>
          </c:cat>
          <c:val>
            <c:numRef>
              <c:f>'Ireland EV uptake'!$AD$7:$AD$13</c:f>
              <c:numCache>
                <c:formatCode>General</c:formatCode>
                <c:ptCount val="7"/>
                <c:pt idx="0">
                  <c:v>-5.9155367130367535</c:v>
                </c:pt>
                <c:pt idx="1">
                  <c:v>-6.9348642743852116</c:v>
                </c:pt>
                <c:pt idx="2">
                  <c:v>-5.4917090697511926</c:v>
                </c:pt>
                <c:pt idx="3">
                  <c:v>-4.9717897043738315</c:v>
                </c:pt>
                <c:pt idx="4">
                  <c:v>-4.9207211574486642</c:v>
                </c:pt>
                <c:pt idx="5">
                  <c:v>-4.48922525428691</c:v>
                </c:pt>
                <c:pt idx="6">
                  <c:v>-3.7944672166765017</c:v>
                </c:pt>
              </c:numCache>
            </c:numRef>
          </c:val>
          <c:smooth val="0"/>
          <c:extLst>
            <c:ext xmlns:c16="http://schemas.microsoft.com/office/drawing/2014/chart" uri="{C3380CC4-5D6E-409C-BE32-E72D297353CC}">
              <c16:uniqueId val="{00000000-6610-4733-BCA4-6AFA0CEB46B7}"/>
            </c:ext>
          </c:extLst>
        </c:ser>
        <c:ser>
          <c:idx val="1"/>
          <c:order val="1"/>
          <c:tx>
            <c:strRef>
              <c:f>'Ireland EV uptake'!$AE$3</c:f>
              <c:strCache>
                <c:ptCount val="1"/>
                <c:pt idx="0">
                  <c:v>predicted</c:v>
                </c:pt>
              </c:strCache>
            </c:strRef>
          </c:tx>
          <c:spPr>
            <a:ln w="28575" cap="rnd">
              <a:solidFill>
                <a:schemeClr val="accent2"/>
              </a:solidFill>
              <a:round/>
            </a:ln>
            <a:effectLst/>
          </c:spPr>
          <c:marker>
            <c:symbol val="none"/>
          </c:marker>
          <c:cat>
            <c:numRef>
              <c:f>'Ireland EV uptake'!$A$7:$A$13</c:f>
              <c:numCache>
                <c:formatCode>General</c:formatCode>
                <c:ptCount val="7"/>
                <c:pt idx="0">
                  <c:v>2012</c:v>
                </c:pt>
                <c:pt idx="1">
                  <c:v>2013</c:v>
                </c:pt>
                <c:pt idx="2">
                  <c:v>2014</c:v>
                </c:pt>
                <c:pt idx="3">
                  <c:v>2015</c:v>
                </c:pt>
                <c:pt idx="4">
                  <c:v>2016</c:v>
                </c:pt>
                <c:pt idx="5">
                  <c:v>2017</c:v>
                </c:pt>
                <c:pt idx="6">
                  <c:v>2018</c:v>
                </c:pt>
              </c:numCache>
            </c:numRef>
          </c:cat>
          <c:val>
            <c:numRef>
              <c:f>'Ireland EV uptake'!$AE$7:$AE$13</c:f>
              <c:numCache>
                <c:formatCode>General</c:formatCode>
                <c:ptCount val="7"/>
                <c:pt idx="0">
                  <c:v>-6.5474560277087051</c:v>
                </c:pt>
                <c:pt idx="1">
                  <c:v>-6.1215398182273582</c:v>
                </c:pt>
                <c:pt idx="2">
                  <c:v>-5.6956236087460113</c:v>
                </c:pt>
                <c:pt idx="3">
                  <c:v>-5.2697073992646635</c:v>
                </c:pt>
                <c:pt idx="4">
                  <c:v>-4.8437911897833157</c:v>
                </c:pt>
                <c:pt idx="5">
                  <c:v>-4.4178749803019688</c:v>
                </c:pt>
                <c:pt idx="6">
                  <c:v>-3.9919587708206214</c:v>
                </c:pt>
              </c:numCache>
            </c:numRef>
          </c:val>
          <c:smooth val="0"/>
          <c:extLst>
            <c:ext xmlns:c16="http://schemas.microsoft.com/office/drawing/2014/chart" uri="{C3380CC4-5D6E-409C-BE32-E72D297353CC}">
              <c16:uniqueId val="{00000001-6610-4733-BCA4-6AFA0CEB46B7}"/>
            </c:ext>
          </c:extLst>
        </c:ser>
        <c:dLbls>
          <c:showLegendKey val="0"/>
          <c:showVal val="0"/>
          <c:showCatName val="0"/>
          <c:showSerName val="0"/>
          <c:showPercent val="0"/>
          <c:showBubbleSize val="0"/>
        </c:dLbls>
        <c:smooth val="0"/>
        <c:axId val="654448208"/>
        <c:axId val="654455424"/>
      </c:lineChart>
      <c:catAx>
        <c:axId val="65444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55424"/>
        <c:crosses val="autoZero"/>
        <c:auto val="1"/>
        <c:lblAlgn val="ctr"/>
        <c:lblOffset val="100"/>
        <c:noMultiLvlLbl val="0"/>
      </c:catAx>
      <c:valAx>
        <c:axId val="654455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4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uptake'!$B$3</c:f>
              <c:strCache>
                <c:ptCount val="1"/>
                <c:pt idx="0">
                  <c:v> EV %sales</c:v>
                </c:pt>
              </c:strCache>
            </c:strRef>
          </c:tx>
          <c:spPr>
            <a:ln w="34925" cap="rnd">
              <a:solidFill>
                <a:schemeClr val="tx1"/>
              </a:solidFill>
              <a:round/>
            </a:ln>
            <a:effectLst/>
          </c:spPr>
          <c:marker>
            <c:symbol val="none"/>
          </c:marker>
          <c:cat>
            <c:numRef>
              <c:f>'Ireland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'Ireland EV uptake'!$B$4:$B$13</c:f>
              <c:numCache>
                <c:formatCode>0.00</c:formatCode>
                <c:ptCount val="10"/>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2297-4BEE-AF6A-86C73F1CA888}"/>
            </c:ext>
          </c:extLst>
        </c:ser>
        <c:ser>
          <c:idx val="1"/>
          <c:order val="1"/>
          <c:tx>
            <c:strRef>
              <c:f>'Ireland EV uptake'!$AB$3</c:f>
              <c:strCache>
                <c:ptCount val="1"/>
                <c:pt idx="0">
                  <c:v>predicted raw</c:v>
                </c:pt>
              </c:strCache>
            </c:strRef>
          </c:tx>
          <c:spPr>
            <a:ln w="28575" cap="rnd">
              <a:solidFill>
                <a:schemeClr val="accent2"/>
              </a:solidFill>
              <a:round/>
            </a:ln>
            <a:effectLst/>
          </c:spPr>
          <c:marker>
            <c:symbol val="none"/>
          </c:marker>
          <c:cat>
            <c:numRef>
              <c:f>'Ireland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'Ireland EV uptake'!$AB$4:$AB$13</c:f>
              <c:numCache>
                <c:formatCode>0.00</c:formatCode>
                <c:ptCount val="10"/>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numCache>
            </c:numRef>
          </c:val>
          <c:smooth val="0"/>
          <c:extLst>
            <c:ext xmlns:c16="http://schemas.microsoft.com/office/drawing/2014/chart" uri="{C3380CC4-5D6E-409C-BE32-E72D297353CC}">
              <c16:uniqueId val="{00000001-2297-4BEE-AF6A-86C73F1CA888}"/>
            </c:ext>
          </c:extLst>
        </c:ser>
        <c:dLbls>
          <c:showLegendKey val="0"/>
          <c:showVal val="0"/>
          <c:showCatName val="0"/>
          <c:showSerName val="0"/>
          <c:showPercent val="0"/>
          <c:showBubbleSize val="0"/>
        </c:dLbls>
        <c:smooth val="0"/>
        <c:axId val="719875784"/>
        <c:axId val="719874800"/>
      </c:lineChart>
      <c:catAx>
        <c:axId val="71987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874800"/>
        <c:crosses val="autoZero"/>
        <c:auto val="1"/>
        <c:lblAlgn val="ctr"/>
        <c:lblOffset val="100"/>
        <c:noMultiLvlLbl val="0"/>
      </c:catAx>
      <c:valAx>
        <c:axId val="719874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875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uptake'!$S$3</c:f>
              <c:strCache>
                <c:ptCount val="1"/>
                <c:pt idx="0">
                  <c:v>High</c:v>
                </c:pt>
              </c:strCache>
            </c:strRef>
          </c:tx>
          <c:spPr>
            <a:ln w="28575" cap="rnd">
              <a:solidFill>
                <a:schemeClr val="accent1"/>
              </a:solidFill>
              <a:round/>
            </a:ln>
            <a:effectLst/>
          </c:spPr>
          <c:marker>
            <c:symbol val="none"/>
          </c:marker>
          <c:cat>
            <c:numRef>
              <c:f>'Ireland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uptake'!$S$4:$S$25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2.9565180699943356</c:v>
                </c:pt>
                <c:pt idx="11" formatCode="0.00">
                  <c:v>4.1109857787438244</c:v>
                </c:pt>
                <c:pt idx="12" formatCode="0.00">
                  <c:v>6.0132537423517096</c:v>
                </c:pt>
                <c:pt idx="13" formatCode="0.00">
                  <c:v>8.0968058871888449</c:v>
                </c:pt>
                <c:pt idx="14" formatCode="0.00">
                  <c:v>10.69738134529614</c:v>
                </c:pt>
                <c:pt idx="15" formatCode="0.00">
                  <c:v>14.123610654349177</c:v>
                </c:pt>
                <c:pt idx="16" formatCode="0.00">
                  <c:v>18.279077065589025</c:v>
                </c:pt>
                <c:pt idx="17" formatCode="0.00">
                  <c:v>23.182591204738795</c:v>
                </c:pt>
                <c:pt idx="18" formatCode="0.00">
                  <c:v>28.654331870172058</c:v>
                </c:pt>
                <c:pt idx="19" formatCode="0.00">
                  <c:v>34.522034882611671</c:v>
                </c:pt>
                <c:pt idx="20" formatCode="0.00">
                  <c:v>40.278732752865778</c:v>
                </c:pt>
                <c:pt idx="21" formatCode="0.00">
                  <c:v>45.684734611147114</c:v>
                </c:pt>
              </c:numCache>
            </c:numRef>
          </c:val>
          <c:smooth val="0"/>
          <c:extLst>
            <c:ext xmlns:c16="http://schemas.microsoft.com/office/drawing/2014/chart" uri="{C3380CC4-5D6E-409C-BE32-E72D297353CC}">
              <c16:uniqueId val="{00000000-1D00-4B66-9E4A-4CFE11BBE127}"/>
            </c:ext>
          </c:extLst>
        </c:ser>
        <c:ser>
          <c:idx val="1"/>
          <c:order val="1"/>
          <c:tx>
            <c:strRef>
              <c:f>'Ireland EV uptake'!$T$3</c:f>
              <c:strCache>
                <c:ptCount val="1"/>
                <c:pt idx="0">
                  <c:v>Medium</c:v>
                </c:pt>
              </c:strCache>
            </c:strRef>
          </c:tx>
          <c:spPr>
            <a:ln w="28575" cap="rnd">
              <a:solidFill>
                <a:schemeClr val="accent2"/>
              </a:solidFill>
              <a:round/>
            </a:ln>
            <a:effectLst/>
          </c:spPr>
          <c:marker>
            <c:symbol val="none"/>
          </c:marker>
          <c:cat>
            <c:numRef>
              <c:f>'Ireland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uptake'!$T$4:$T$25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2.824179396802704</c:v>
                </c:pt>
                <c:pt idx="11" formatCode="0.00">
                  <c:v>3.9273759317622585</c:v>
                </c:pt>
                <c:pt idx="12" formatCode="0.00">
                  <c:v>5.7087109217509404</c:v>
                </c:pt>
                <c:pt idx="13" formatCode="0.00">
                  <c:v>7.6349336512067856</c:v>
                </c:pt>
                <c:pt idx="14" formatCode="0.00">
                  <c:v>10.047581927165023</c:v>
                </c:pt>
                <c:pt idx="15" formatCode="0.00">
                  <c:v>13.124338124799181</c:v>
                </c:pt>
                <c:pt idx="16" formatCode="0.00">
                  <c:v>16.872079181313538</c:v>
                </c:pt>
                <c:pt idx="17" formatCode="0.00">
                  <c:v>21.314274226264978</c:v>
                </c:pt>
                <c:pt idx="18" formatCode="0.00">
                  <c:v>26.331705442305974</c:v>
                </c:pt>
                <c:pt idx="19" formatCode="0.00">
                  <c:v>31.791769224284813</c:v>
                </c:pt>
                <c:pt idx="20" formatCode="0.00">
                  <c:v>37.493858571420454</c:v>
                </c:pt>
                <c:pt idx="21" formatCode="0.00">
                  <c:v>42.9438536085827</c:v>
                </c:pt>
              </c:numCache>
            </c:numRef>
          </c:val>
          <c:smooth val="0"/>
          <c:extLst>
            <c:ext xmlns:c16="http://schemas.microsoft.com/office/drawing/2014/chart" uri="{C3380CC4-5D6E-409C-BE32-E72D297353CC}">
              <c16:uniqueId val="{00000001-1D00-4B66-9E4A-4CFE11BBE127}"/>
            </c:ext>
          </c:extLst>
        </c:ser>
        <c:ser>
          <c:idx val="2"/>
          <c:order val="2"/>
          <c:tx>
            <c:strRef>
              <c:f>'Ireland EV uptake'!$U$3</c:f>
              <c:strCache>
                <c:ptCount val="1"/>
                <c:pt idx="0">
                  <c:v>Low</c:v>
                </c:pt>
              </c:strCache>
            </c:strRef>
          </c:tx>
          <c:spPr>
            <a:ln w="28575" cap="rnd">
              <a:solidFill>
                <a:schemeClr val="accent3"/>
              </a:solidFill>
              <a:round/>
            </a:ln>
            <a:effectLst/>
          </c:spPr>
          <c:marker>
            <c:symbol val="none"/>
          </c:marker>
          <c:cat>
            <c:numRef>
              <c:f>'Ireland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uptake'!$U$4:$U$25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2.6623730250938307</c:v>
                </c:pt>
                <c:pt idx="11" formatCode="0.00">
                  <c:v>3.6973850382776403</c:v>
                </c:pt>
                <c:pt idx="12" formatCode="0.00">
                  <c:v>5.1926942443630795</c:v>
                </c:pt>
                <c:pt idx="13" formatCode="0.00">
                  <c:v>6.8855976474022951</c:v>
                </c:pt>
                <c:pt idx="14" formatCode="0.00">
                  <c:v>9.041335599161199</c:v>
                </c:pt>
                <c:pt idx="15" formatCode="0.00">
                  <c:v>11.779344003150044</c:v>
                </c:pt>
                <c:pt idx="16" formatCode="0.00">
                  <c:v>15.252446376471227</c:v>
                </c:pt>
                <c:pt idx="17" formatCode="0.00">
                  <c:v>19.295266077424706</c:v>
                </c:pt>
                <c:pt idx="18" formatCode="0.00">
                  <c:v>23.898080254532374</c:v>
                </c:pt>
                <c:pt idx="19" formatCode="0.00">
                  <c:v>28.851491582067492</c:v>
                </c:pt>
                <c:pt idx="20" formatCode="0.00">
                  <c:v>33.983033142286999</c:v>
                </c:pt>
                <c:pt idx="21" formatCode="0.00">
                  <c:v>39.082807870851603</c:v>
                </c:pt>
              </c:numCache>
            </c:numRef>
          </c:val>
          <c:smooth val="0"/>
          <c:extLst>
            <c:ext xmlns:c16="http://schemas.microsoft.com/office/drawing/2014/chart" uri="{C3380CC4-5D6E-409C-BE32-E72D297353CC}">
              <c16:uniqueId val="{00000002-1D00-4B66-9E4A-4CFE11BBE127}"/>
            </c:ext>
          </c:extLst>
        </c:ser>
        <c:dLbls>
          <c:showLegendKey val="0"/>
          <c:showVal val="0"/>
          <c:showCatName val="0"/>
          <c:showSerName val="0"/>
          <c:showPercent val="0"/>
          <c:showBubbleSize val="0"/>
        </c:dLbls>
        <c:smooth val="0"/>
        <c:axId val="812337704"/>
        <c:axId val="812346888"/>
      </c:lineChart>
      <c:catAx>
        <c:axId val="81233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346888"/>
        <c:crosses val="autoZero"/>
        <c:auto val="1"/>
        <c:lblAlgn val="ctr"/>
        <c:lblOffset val="100"/>
        <c:noMultiLvlLbl val="0"/>
      </c:catAx>
      <c:valAx>
        <c:axId val="812346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EV%sales</a:t>
                </a:r>
              </a:p>
            </c:rich>
          </c:tx>
          <c:layout>
            <c:manualLayout>
              <c:xMode val="edge"/>
              <c:yMode val="edge"/>
              <c:x val="1.3888888888888888E-2"/>
              <c:y val="0.296485126859142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337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uptake'!$X$3</c:f>
              <c:strCache>
                <c:ptCount val="1"/>
                <c:pt idx="0">
                  <c:v>High</c:v>
                </c:pt>
              </c:strCache>
            </c:strRef>
          </c:tx>
          <c:spPr>
            <a:ln w="28575" cap="rnd">
              <a:solidFill>
                <a:schemeClr val="accent1"/>
              </a:solidFill>
              <a:round/>
            </a:ln>
            <a:effectLst/>
          </c:spPr>
          <c:marker>
            <c:symbol val="none"/>
          </c:marker>
          <c:cat>
            <c:numRef>
              <c:f>'Ireland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uptake'!$X$4:$X$25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1.9361740133953522</c:v>
                </c:pt>
                <c:pt idx="11" formatCode="0.00">
                  <c:v>2.3615623932977963</c:v>
                </c:pt>
                <c:pt idx="12" formatCode="0.00">
                  <c:v>2.9453966279085142</c:v>
                </c:pt>
                <c:pt idx="13" formatCode="0.00">
                  <c:v>3.5885179185917981</c:v>
                </c:pt>
                <c:pt idx="14" formatCode="0.00">
                  <c:v>4.3909131415309206</c:v>
                </c:pt>
                <c:pt idx="15" formatCode="0.00">
                  <c:v>5.4323489210908038</c:v>
                </c:pt>
                <c:pt idx="16" formatCode="0.00">
                  <c:v>6.6898757945917584</c:v>
                </c:pt>
                <c:pt idx="17" formatCode="0.00">
                  <c:v>8.1688227561905435</c:v>
                </c:pt>
                <c:pt idx="18" formatCode="0.00">
                  <c:v>9.8223980869991045</c:v>
                </c:pt>
                <c:pt idx="19" formatCode="0.00">
                  <c:v>11.679911974111564</c:v>
                </c:pt>
                <c:pt idx="20" formatCode="0.00">
                  <c:v>13.74524898774979</c:v>
                </c:pt>
                <c:pt idx="21" formatCode="0.00">
                  <c:v>16.032150691842652</c:v>
                </c:pt>
              </c:numCache>
            </c:numRef>
          </c:val>
          <c:smooth val="0"/>
          <c:extLst>
            <c:ext xmlns:c16="http://schemas.microsoft.com/office/drawing/2014/chart" uri="{C3380CC4-5D6E-409C-BE32-E72D297353CC}">
              <c16:uniqueId val="{00000000-50E7-4621-8453-D0BC0D7F50F1}"/>
            </c:ext>
          </c:extLst>
        </c:ser>
        <c:ser>
          <c:idx val="1"/>
          <c:order val="1"/>
          <c:tx>
            <c:strRef>
              <c:f>'Ireland EV uptake'!$Y$3</c:f>
              <c:strCache>
                <c:ptCount val="1"/>
                <c:pt idx="0">
                  <c:v>Medium</c:v>
                </c:pt>
              </c:strCache>
            </c:strRef>
          </c:tx>
          <c:spPr>
            <a:ln w="28575" cap="rnd">
              <a:solidFill>
                <a:schemeClr val="accent2"/>
              </a:solidFill>
              <a:round/>
            </a:ln>
            <a:effectLst/>
          </c:spPr>
          <c:marker>
            <c:symbol val="none"/>
          </c:marker>
          <c:cat>
            <c:numRef>
              <c:f>'Ireland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uptake'!$Y$4:$Y$25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2.824179396802704</c:v>
                </c:pt>
                <c:pt idx="11" formatCode="0.00">
                  <c:v>3.9273759317622585</c:v>
                </c:pt>
                <c:pt idx="12" formatCode="0.00">
                  <c:v>5.7087109217509404</c:v>
                </c:pt>
                <c:pt idx="13" formatCode="0.00">
                  <c:v>7.6349336512067856</c:v>
                </c:pt>
                <c:pt idx="14" formatCode="0.00">
                  <c:v>10.047581927165023</c:v>
                </c:pt>
                <c:pt idx="15" formatCode="0.00">
                  <c:v>13.124338124799181</c:v>
                </c:pt>
                <c:pt idx="16" formatCode="0.00">
                  <c:v>16.872079181313538</c:v>
                </c:pt>
                <c:pt idx="17" formatCode="0.00">
                  <c:v>21.314274226264978</c:v>
                </c:pt>
                <c:pt idx="18" formatCode="0.00">
                  <c:v>26.331705442305974</c:v>
                </c:pt>
                <c:pt idx="19" formatCode="0.00">
                  <c:v>31.791769224284813</c:v>
                </c:pt>
                <c:pt idx="20" formatCode="0.00">
                  <c:v>37.493858571420454</c:v>
                </c:pt>
                <c:pt idx="21" formatCode="0.00">
                  <c:v>42.9438536085827</c:v>
                </c:pt>
              </c:numCache>
            </c:numRef>
          </c:val>
          <c:smooth val="0"/>
          <c:extLst>
            <c:ext xmlns:c16="http://schemas.microsoft.com/office/drawing/2014/chart" uri="{C3380CC4-5D6E-409C-BE32-E72D297353CC}">
              <c16:uniqueId val="{00000001-50E7-4621-8453-D0BC0D7F50F1}"/>
            </c:ext>
          </c:extLst>
        </c:ser>
        <c:ser>
          <c:idx val="2"/>
          <c:order val="2"/>
          <c:tx>
            <c:strRef>
              <c:f>'Ireland EV uptake'!$Z$3</c:f>
              <c:strCache>
                <c:ptCount val="1"/>
                <c:pt idx="0">
                  <c:v>Low</c:v>
                </c:pt>
              </c:strCache>
            </c:strRef>
          </c:tx>
          <c:spPr>
            <a:ln w="28575" cap="rnd">
              <a:solidFill>
                <a:schemeClr val="accent3"/>
              </a:solidFill>
              <a:round/>
            </a:ln>
            <a:effectLst/>
          </c:spPr>
          <c:marker>
            <c:symbol val="none"/>
          </c:marker>
          <c:cat>
            <c:numRef>
              <c:f>'Ireland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 EV uptake'!$Z$4:$Z$25</c:f>
              <c:numCache>
                <c:formatCode>General</c:formatCode>
                <c:ptCount val="22"/>
                <c:pt idx="3" formatCode="0.00">
                  <c:v>9.3060869482101627E-2</c:v>
                </c:pt>
                <c:pt idx="4" formatCode="0.00">
                  <c:v>0.14236726087496704</c:v>
                </c:pt>
                <c:pt idx="5" formatCode="0.00">
                  <c:v>0.21771000690284034</c:v>
                </c:pt>
                <c:pt idx="6" formatCode="0.00">
                  <c:v>0.33272064189834066</c:v>
                </c:pt>
                <c:pt idx="7" formatCode="0.00">
                  <c:v>0.50801200951831016</c:v>
                </c:pt>
                <c:pt idx="8" formatCode="0.00">
                  <c:v>0.77454818827191763</c:v>
                </c:pt>
                <c:pt idx="9" formatCode="0.00">
                  <c:v>1.4826241933696944</c:v>
                </c:pt>
                <c:pt idx="10" formatCode="0.00">
                  <c:v>3.7570122432343198</c:v>
                </c:pt>
                <c:pt idx="11" formatCode="0.00">
                  <c:v>5.8313033496577029</c:v>
                </c:pt>
                <c:pt idx="12" formatCode="0.00">
                  <c:v>9.9844121604441849</c:v>
                </c:pt>
                <c:pt idx="13" formatCode="0.00">
                  <c:v>14.277631570036419</c:v>
                </c:pt>
                <c:pt idx="14" formatCode="0.00">
                  <c:v>19.636199620402845</c:v>
                </c:pt>
                <c:pt idx="15" formatCode="0.00">
                  <c:v>25.853844790664727</c:v>
                </c:pt>
                <c:pt idx="16" formatCode="0.00">
                  <c:v>32.521993619788894</c:v>
                </c:pt>
                <c:pt idx="17" formatCode="0.00">
                  <c:v>39.241835948601853</c:v>
                </c:pt>
                <c:pt idx="18" formatCode="0.00">
                  <c:v>45.571913036813548</c:v>
                </c:pt>
                <c:pt idx="19" formatCode="0.00">
                  <c:v>51.140986247289831</c:v>
                </c:pt>
                <c:pt idx="20" formatCode="0.00">
                  <c:v>55.699855218056932</c:v>
                </c:pt>
                <c:pt idx="21" formatCode="0.00">
                  <c:v>58.994281032855113</c:v>
                </c:pt>
              </c:numCache>
            </c:numRef>
          </c:val>
          <c:smooth val="0"/>
          <c:extLst>
            <c:ext xmlns:c16="http://schemas.microsoft.com/office/drawing/2014/chart" uri="{C3380CC4-5D6E-409C-BE32-E72D297353CC}">
              <c16:uniqueId val="{00000002-50E7-4621-8453-D0BC0D7F50F1}"/>
            </c:ext>
          </c:extLst>
        </c:ser>
        <c:dLbls>
          <c:showLegendKey val="0"/>
          <c:showVal val="0"/>
          <c:showCatName val="0"/>
          <c:showSerName val="0"/>
          <c:showPercent val="0"/>
          <c:showBubbleSize val="0"/>
        </c:dLbls>
        <c:smooth val="0"/>
        <c:axId val="612562608"/>
        <c:axId val="612566216"/>
      </c:lineChart>
      <c:catAx>
        <c:axId val="61256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566216"/>
        <c:crosses val="autoZero"/>
        <c:auto val="1"/>
        <c:lblAlgn val="ctr"/>
        <c:lblOffset val="100"/>
        <c:noMultiLvlLbl val="0"/>
      </c:catAx>
      <c:valAx>
        <c:axId val="612566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562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Norway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%sales'!$AU$47</c:f>
              <c:strCache>
                <c:ptCount val="1"/>
                <c:pt idx="0">
                  <c:v>109</c:v>
                </c:pt>
              </c:strCache>
            </c:strRef>
          </c:tx>
          <c:spPr>
            <a:ln w="28575" cap="rnd">
              <a:solidFill>
                <a:schemeClr val="accent1"/>
              </a:solidFill>
              <a:round/>
            </a:ln>
            <a:effectLst/>
          </c:spPr>
          <c:marker>
            <c:symbol val="none"/>
          </c:marker>
          <c:cat>
            <c:numRef>
              <c:f>'EV %sales'!$AD$48:$AD$58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'EV %sales'!$AU$48:$AU$58</c:f>
              <c:numCache>
                <c:formatCode>0</c:formatCode>
                <c:ptCount val="11"/>
                <c:pt idx="0">
                  <c:v>129.19499999999999</c:v>
                </c:pt>
                <c:pt idx="1">
                  <c:v>110.517</c:v>
                </c:pt>
                <c:pt idx="2">
                  <c:v>98.674999999999997</c:v>
                </c:pt>
                <c:pt idx="3">
                  <c:v>127.754</c:v>
                </c:pt>
                <c:pt idx="4">
                  <c:v>138.345</c:v>
                </c:pt>
                <c:pt idx="5">
                  <c:v>127.967</c:v>
                </c:pt>
                <c:pt idx="6">
                  <c:v>142.15100000000001</c:v>
                </c:pt>
                <c:pt idx="7">
                  <c:v>144.202</c:v>
                </c:pt>
                <c:pt idx="8">
                  <c:v>150.68600000000001</c:v>
                </c:pt>
                <c:pt idx="9">
                  <c:v>154.60300000000001</c:v>
                </c:pt>
                <c:pt idx="10">
                  <c:v>158.65</c:v>
                </c:pt>
              </c:numCache>
            </c:numRef>
          </c:val>
          <c:smooth val="0"/>
          <c:extLst>
            <c:ext xmlns:c16="http://schemas.microsoft.com/office/drawing/2014/chart" uri="{C3380CC4-5D6E-409C-BE32-E72D297353CC}">
              <c16:uniqueId val="{00000000-F3AB-44AF-BB11-71C08EC86B95}"/>
            </c:ext>
          </c:extLst>
        </c:ser>
        <c:ser>
          <c:idx val="1"/>
          <c:order val="1"/>
          <c:tx>
            <c:strRef>
              <c:f>'EV %sales'!$BX$78</c:f>
              <c:strCache>
                <c:ptCount val="1"/>
              </c:strCache>
            </c:strRef>
          </c:tx>
          <c:spPr>
            <a:ln w="28575" cap="rnd">
              <a:solidFill>
                <a:schemeClr val="accent2"/>
              </a:solidFill>
              <a:round/>
            </a:ln>
            <a:effectLst/>
          </c:spPr>
          <c:marker>
            <c:symbol val="none"/>
          </c:marker>
          <c:cat>
            <c:numRef>
              <c:f>'EV %sales'!$AD$48:$AD$58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'EV %sales'!$BX$79:$BX$89</c:f>
              <c:numCache>
                <c:formatCode>0</c:formatCode>
                <c:ptCount val="11"/>
                <c:pt idx="3">
                  <c:v>159</c:v>
                </c:pt>
                <c:pt idx="4">
                  <c:v>169</c:v>
                </c:pt>
                <c:pt idx="5">
                  <c:v>172</c:v>
                </c:pt>
                <c:pt idx="6">
                  <c:v>176</c:v>
                </c:pt>
                <c:pt idx="7">
                  <c:v>172</c:v>
                </c:pt>
                <c:pt idx="8">
                  <c:v>176</c:v>
                </c:pt>
              </c:numCache>
            </c:numRef>
          </c:val>
          <c:smooth val="0"/>
          <c:extLst>
            <c:ext xmlns:c16="http://schemas.microsoft.com/office/drawing/2014/chart" uri="{C3380CC4-5D6E-409C-BE32-E72D297353CC}">
              <c16:uniqueId val="{00000001-F3AB-44AF-BB11-71C08EC86B95}"/>
            </c:ext>
          </c:extLst>
        </c:ser>
        <c:dLbls>
          <c:showLegendKey val="0"/>
          <c:showVal val="0"/>
          <c:showCatName val="0"/>
          <c:showSerName val="0"/>
          <c:showPercent val="0"/>
          <c:showBubbleSize val="0"/>
        </c:dLbls>
        <c:smooth val="0"/>
        <c:axId val="721395504"/>
        <c:axId val="721395832"/>
      </c:lineChart>
      <c:catAx>
        <c:axId val="7213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395832"/>
        <c:crosses val="autoZero"/>
        <c:auto val="1"/>
        <c:lblAlgn val="ctr"/>
        <c:lblOffset val="100"/>
        <c:noMultiLvlLbl val="0"/>
      </c:catAx>
      <c:valAx>
        <c:axId val="721395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3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uptake'!$B$3</c:f>
              <c:strCache>
                <c:ptCount val="1"/>
                <c:pt idx="0">
                  <c:v> EV %sales</c:v>
                </c:pt>
              </c:strCache>
            </c:strRef>
          </c:tx>
          <c:spPr>
            <a:ln w="44450" cap="rnd">
              <a:solidFill>
                <a:schemeClr val="tx1"/>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uptake'!$B$4:$B$45</c:f>
              <c:numCache>
                <c:formatCode>0.00</c:formatCode>
                <c:ptCount val="42"/>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A908-4264-88AE-1BED2084349F}"/>
            </c:ext>
          </c:extLst>
        </c:ser>
        <c:ser>
          <c:idx val="3"/>
          <c:order val="1"/>
          <c:tx>
            <c:strRef>
              <c:f>'Ireland EV uptake'!$AB$3</c:f>
              <c:strCache>
                <c:ptCount val="1"/>
                <c:pt idx="0">
                  <c:v>predicted raw</c:v>
                </c:pt>
              </c:strCache>
            </c:strRef>
          </c:tx>
          <c:spPr>
            <a:ln w="28575" cap="rnd">
              <a:solidFill>
                <a:schemeClr val="accent4"/>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uptake'!$AB$4:$AB$45</c:f>
              <c:numCache>
                <c:formatCode>0.00</c:formatCode>
                <c:ptCount val="4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pt idx="12">
                  <c:v>4.0391024160345372</c:v>
                </c:pt>
                <c:pt idx="13">
                  <c:v>5.9863117522368512</c:v>
                </c:pt>
                <c:pt idx="14">
                  <c:v>8.7376997223777266</c:v>
                </c:pt>
                <c:pt idx="15">
                  <c:v>12.486103600758348</c:v>
                </c:pt>
                <c:pt idx="16">
                  <c:v>17.346754578607644</c:v>
                </c:pt>
                <c:pt idx="17">
                  <c:v>23.261428838728147</c:v>
                </c:pt>
                <c:pt idx="18">
                  <c:v>29.926315888739872</c:v>
                </c:pt>
                <c:pt idx="19">
                  <c:v>36.816402784108064</c:v>
                </c:pt>
                <c:pt idx="20">
                  <c:v>43.33293398469911</c:v>
                </c:pt>
                <c:pt idx="21">
                  <c:v>48.997637836341092</c:v>
                </c:pt>
                <c:pt idx="22">
                  <c:v>53.571923644377804</c:v>
                </c:pt>
                <c:pt idx="23">
                  <c:v>57.050781563780149</c:v>
                </c:pt>
                <c:pt idx="24">
                  <c:v>59.577814845498921</c:v>
                </c:pt>
                <c:pt idx="25">
                  <c:v>61.352867201183777</c:v>
                </c:pt>
                <c:pt idx="26">
                  <c:v>62.570519514439546</c:v>
                </c:pt>
                <c:pt idx="27">
                  <c:v>63.392292447343138</c:v>
                </c:pt>
                <c:pt idx="28">
                  <c:v>63.940805689229563</c:v>
                </c:pt>
                <c:pt idx="29">
                  <c:v>64.304232664706845</c:v>
                </c:pt>
                <c:pt idx="30">
                  <c:v>64.543851455922123</c:v>
                </c:pt>
                <c:pt idx="31">
                  <c:v>64.701330025578272</c:v>
                </c:pt>
                <c:pt idx="32">
                  <c:v>64.804606023392921</c:v>
                </c:pt>
                <c:pt idx="33">
                  <c:v>64.872241107336905</c:v>
                </c:pt>
                <c:pt idx="34">
                  <c:v>64.916494661894205</c:v>
                </c:pt>
                <c:pt idx="35">
                  <c:v>64.945432415318209</c:v>
                </c:pt>
                <c:pt idx="36">
                  <c:v>64.964347651703662</c:v>
                </c:pt>
                <c:pt idx="37">
                  <c:v>64.976708486679954</c:v>
                </c:pt>
                <c:pt idx="38">
                  <c:v>64.984784766395137</c:v>
                </c:pt>
                <c:pt idx="39">
                  <c:v>64.990061042692432</c:v>
                </c:pt>
                <c:pt idx="40">
                  <c:v>64.993507816329725</c:v>
                </c:pt>
                <c:pt idx="41">
                  <c:v>64.995759346548255</c:v>
                </c:pt>
              </c:numCache>
            </c:numRef>
          </c:val>
          <c:smooth val="0"/>
          <c:extLst>
            <c:ext xmlns:c16="http://schemas.microsoft.com/office/drawing/2014/chart" uri="{C3380CC4-5D6E-409C-BE32-E72D297353CC}">
              <c16:uniqueId val="{00000003-A908-4264-88AE-1BED2084349F}"/>
            </c:ext>
          </c:extLst>
        </c:ser>
        <c:dLbls>
          <c:showLegendKey val="0"/>
          <c:showVal val="0"/>
          <c:showCatName val="0"/>
          <c:showSerName val="0"/>
          <c:showPercent val="0"/>
          <c:showBubbleSize val="0"/>
        </c:dLbls>
        <c:smooth val="0"/>
        <c:axId val="733153544"/>
        <c:axId val="733158136"/>
      </c:lineChart>
      <c:catAx>
        <c:axId val="73315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8136"/>
        <c:crosses val="autoZero"/>
        <c:auto val="1"/>
        <c:lblAlgn val="ctr"/>
        <c:lblOffset val="100"/>
        <c:noMultiLvlLbl val="0"/>
      </c:catAx>
      <c:valAx>
        <c:axId val="73315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1994386118401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3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uptake'!$B$3</c:f>
              <c:strCache>
                <c:ptCount val="1"/>
                <c:pt idx="0">
                  <c:v> EV %sales</c:v>
                </c:pt>
              </c:strCache>
            </c:strRef>
          </c:tx>
          <c:spPr>
            <a:ln w="44450" cap="rnd">
              <a:solidFill>
                <a:schemeClr val="tx1"/>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uptake'!$B$4:$B$45</c:f>
              <c:numCache>
                <c:formatCode>0.00</c:formatCode>
                <c:ptCount val="42"/>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0E95-4126-9CAB-B78E31F5C770}"/>
            </c:ext>
          </c:extLst>
        </c:ser>
        <c:ser>
          <c:idx val="2"/>
          <c:order val="1"/>
          <c:tx>
            <c:strRef>
              <c:f>'Ireland EV uptake'!$L$3</c:f>
              <c:strCache>
                <c:ptCount val="1"/>
                <c:pt idx="0">
                  <c:v>Predicted Cost</c:v>
                </c:pt>
              </c:strCache>
            </c:strRef>
          </c:tx>
          <c:spPr>
            <a:ln w="28575" cap="rnd">
              <a:solidFill>
                <a:schemeClr val="accent3"/>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uptake'!$L$4:$L$45</c:f>
              <c:numCache>
                <c:formatCode>0.00</c:formatCode>
                <c:ptCount val="42"/>
                <c:pt idx="3" formatCode="0.000">
                  <c:v>0.14236726087496704</c:v>
                </c:pt>
                <c:pt idx="4" formatCode="0.000">
                  <c:v>0.21771000690284034</c:v>
                </c:pt>
                <c:pt idx="5" formatCode="0.000">
                  <c:v>0.14236726087496704</c:v>
                </c:pt>
                <c:pt idx="6" formatCode="0.000">
                  <c:v>0.33272064189834066</c:v>
                </c:pt>
                <c:pt idx="7" formatCode="0.000">
                  <c:v>0.50801200951831016</c:v>
                </c:pt>
                <c:pt idx="8" formatCode="0.000">
                  <c:v>0.77454818827191763</c:v>
                </c:pt>
                <c:pt idx="9" formatCode="0.000">
                  <c:v>1.7868769257937176</c:v>
                </c:pt>
                <c:pt idx="10" formatCode="0.000">
                  <c:v>2.874743241626148</c:v>
                </c:pt>
                <c:pt idx="11" formatCode="0.000">
                  <c:v>4.46737354844731</c:v>
                </c:pt>
                <c:pt idx="12" formatCode="0.000">
                  <c:v>6.607218883440237</c:v>
                </c:pt>
                <c:pt idx="13" formatCode="0.000">
                  <c:v>9.719194414003022</c:v>
                </c:pt>
                <c:pt idx="14" formatCode="0.000">
                  <c:v>14.896637108544088</c:v>
                </c:pt>
                <c:pt idx="15" formatCode="0.000">
                  <c:v>21.062655314918331</c:v>
                </c:pt>
                <c:pt idx="16" formatCode="0.000">
                  <c:v>27.981702167382604</c:v>
                </c:pt>
                <c:pt idx="17" formatCode="0.000">
                  <c:v>35.284009014499155</c:v>
                </c:pt>
                <c:pt idx="18" formatCode="0.000">
                  <c:v>42.529042827653186</c:v>
                </c:pt>
                <c:pt idx="19" formatCode="0.000">
                  <c:v>48.459342619005</c:v>
                </c:pt>
                <c:pt idx="20" formatCode="0.000">
                  <c:v>53.366635502420138</c:v>
                </c:pt>
                <c:pt idx="21" formatCode="0.000">
                  <c:v>57.214152608368224</c:v>
                </c:pt>
                <c:pt idx="22" formatCode="0.000">
                  <c:v>60.093083530568641</c:v>
                </c:pt>
                <c:pt idx="23" formatCode="0.000">
                  <c:v>62.166859939538995</c:v>
                </c:pt>
                <c:pt idx="24" formatCode="0.000">
                  <c:v>63.112143503380572</c:v>
                </c:pt>
                <c:pt idx="25" formatCode="0.000">
                  <c:v>63.750340354328252</c:v>
                </c:pt>
                <c:pt idx="26" formatCode="0.000">
                  <c:v>64.176502456555994</c:v>
                </c:pt>
                <c:pt idx="27" formatCode="0.000">
                  <c:v>64.458965171765954</c:v>
                </c:pt>
                <c:pt idx="28" formatCode="0.000">
                  <c:v>64.645252255387419</c:v>
                </c:pt>
                <c:pt idx="29" formatCode="0.000">
                  <c:v>64.767704654824882</c:v>
                </c:pt>
                <c:pt idx="30" formatCode="0.000">
                  <c:v>64.848020846704088</c:v>
                </c:pt>
                <c:pt idx="31" formatCode="0.000">
                  <c:v>64.900624371929169</c:v>
                </c:pt>
                <c:pt idx="32" formatCode="0.000">
                  <c:v>64.935044864586587</c:v>
                </c:pt>
                <c:pt idx="33" formatCode="0.000">
                  <c:v>64.957553596398242</c:v>
                </c:pt>
                <c:pt idx="34" formatCode="0.000">
                  <c:v>64.972266872557881</c:v>
                </c:pt>
                <c:pt idx="35" formatCode="0.000">
                  <c:v>64.981881952760176</c:v>
                </c:pt>
                <c:pt idx="36" formatCode="0.000">
                  <c:v>64.988164291729106</c:v>
                </c:pt>
                <c:pt idx="37" formatCode="0.000">
                  <c:v>64.992268607427846</c:v>
                </c:pt>
                <c:pt idx="38" formatCode="0.000">
                  <c:v>64.99494980054213</c:v>
                </c:pt>
                <c:pt idx="39" formatCode="0.000">
                  <c:v>64.996701237414669</c:v>
                </c:pt>
                <c:pt idx="40" formatCode="0.000">
                  <c:v>64.997845293195581</c:v>
                </c:pt>
                <c:pt idx="41" formatCode="0.000">
                  <c:v>64.998592586298372</c:v>
                </c:pt>
              </c:numCache>
            </c:numRef>
          </c:val>
          <c:smooth val="0"/>
          <c:extLst>
            <c:ext xmlns:c16="http://schemas.microsoft.com/office/drawing/2014/chart" uri="{C3380CC4-5D6E-409C-BE32-E72D297353CC}">
              <c16:uniqueId val="{00000002-0E95-4126-9CAB-B78E31F5C770}"/>
            </c:ext>
          </c:extLst>
        </c:ser>
        <c:ser>
          <c:idx val="3"/>
          <c:order val="2"/>
          <c:tx>
            <c:strRef>
              <c:f>'Ireland EV uptake'!$AB$3</c:f>
              <c:strCache>
                <c:ptCount val="1"/>
                <c:pt idx="0">
                  <c:v>predicted raw</c:v>
                </c:pt>
              </c:strCache>
            </c:strRef>
          </c:tx>
          <c:spPr>
            <a:ln w="28575" cap="rnd">
              <a:solidFill>
                <a:schemeClr val="accent4"/>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uptake'!$AB$4:$AB$45</c:f>
              <c:numCache>
                <c:formatCode>0.00</c:formatCode>
                <c:ptCount val="4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pt idx="12">
                  <c:v>4.0391024160345372</c:v>
                </c:pt>
                <c:pt idx="13">
                  <c:v>5.9863117522368512</c:v>
                </c:pt>
                <c:pt idx="14">
                  <c:v>8.7376997223777266</c:v>
                </c:pt>
                <c:pt idx="15">
                  <c:v>12.486103600758348</c:v>
                </c:pt>
                <c:pt idx="16">
                  <c:v>17.346754578607644</c:v>
                </c:pt>
                <c:pt idx="17">
                  <c:v>23.261428838728147</c:v>
                </c:pt>
                <c:pt idx="18">
                  <c:v>29.926315888739872</c:v>
                </c:pt>
                <c:pt idx="19">
                  <c:v>36.816402784108064</c:v>
                </c:pt>
                <c:pt idx="20">
                  <c:v>43.33293398469911</c:v>
                </c:pt>
                <c:pt idx="21">
                  <c:v>48.997637836341092</c:v>
                </c:pt>
                <c:pt idx="22">
                  <c:v>53.571923644377804</c:v>
                </c:pt>
                <c:pt idx="23">
                  <c:v>57.050781563780149</c:v>
                </c:pt>
                <c:pt idx="24">
                  <c:v>59.577814845498921</c:v>
                </c:pt>
                <c:pt idx="25">
                  <c:v>61.352867201183777</c:v>
                </c:pt>
                <c:pt idx="26">
                  <c:v>62.570519514439546</c:v>
                </c:pt>
                <c:pt idx="27">
                  <c:v>63.392292447343138</c:v>
                </c:pt>
                <c:pt idx="28">
                  <c:v>63.940805689229563</c:v>
                </c:pt>
                <c:pt idx="29">
                  <c:v>64.304232664706845</c:v>
                </c:pt>
                <c:pt idx="30">
                  <c:v>64.543851455922123</c:v>
                </c:pt>
                <c:pt idx="31">
                  <c:v>64.701330025578272</c:v>
                </c:pt>
                <c:pt idx="32">
                  <c:v>64.804606023392921</c:v>
                </c:pt>
                <c:pt idx="33">
                  <c:v>64.872241107336905</c:v>
                </c:pt>
                <c:pt idx="34">
                  <c:v>64.916494661894205</c:v>
                </c:pt>
                <c:pt idx="35">
                  <c:v>64.945432415318209</c:v>
                </c:pt>
                <c:pt idx="36">
                  <c:v>64.964347651703662</c:v>
                </c:pt>
                <c:pt idx="37">
                  <c:v>64.976708486679954</c:v>
                </c:pt>
                <c:pt idx="38">
                  <c:v>64.984784766395137</c:v>
                </c:pt>
                <c:pt idx="39">
                  <c:v>64.990061042692432</c:v>
                </c:pt>
                <c:pt idx="40">
                  <c:v>64.993507816329725</c:v>
                </c:pt>
                <c:pt idx="41">
                  <c:v>64.995759346548255</c:v>
                </c:pt>
              </c:numCache>
            </c:numRef>
          </c:val>
          <c:smooth val="0"/>
          <c:extLst>
            <c:ext xmlns:c16="http://schemas.microsoft.com/office/drawing/2014/chart" uri="{C3380CC4-5D6E-409C-BE32-E72D297353CC}">
              <c16:uniqueId val="{00000003-0E95-4126-9CAB-B78E31F5C770}"/>
            </c:ext>
          </c:extLst>
        </c:ser>
        <c:dLbls>
          <c:showLegendKey val="0"/>
          <c:showVal val="0"/>
          <c:showCatName val="0"/>
          <c:showSerName val="0"/>
          <c:showPercent val="0"/>
          <c:showBubbleSize val="0"/>
        </c:dLbls>
        <c:smooth val="0"/>
        <c:axId val="733153544"/>
        <c:axId val="733158136"/>
      </c:lineChart>
      <c:catAx>
        <c:axId val="73315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8136"/>
        <c:crosses val="autoZero"/>
        <c:auto val="1"/>
        <c:lblAlgn val="ctr"/>
        <c:lblOffset val="100"/>
        <c:noMultiLvlLbl val="0"/>
      </c:catAx>
      <c:valAx>
        <c:axId val="73315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1994386118401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3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 EV uptake'!$B$3</c:f>
              <c:strCache>
                <c:ptCount val="1"/>
                <c:pt idx="0">
                  <c:v> EV %sales</c:v>
                </c:pt>
              </c:strCache>
            </c:strRef>
          </c:tx>
          <c:spPr>
            <a:ln w="44450" cap="rnd">
              <a:solidFill>
                <a:schemeClr val="tx1"/>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uptake'!$B$4:$B$45</c:f>
              <c:numCache>
                <c:formatCode>0.00</c:formatCode>
                <c:ptCount val="42"/>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pt idx="9">
                  <c:v>1.43</c:v>
                </c:pt>
              </c:numCache>
            </c:numRef>
          </c:val>
          <c:smooth val="0"/>
          <c:extLst>
            <c:ext xmlns:c16="http://schemas.microsoft.com/office/drawing/2014/chart" uri="{C3380CC4-5D6E-409C-BE32-E72D297353CC}">
              <c16:uniqueId val="{00000000-A277-4EDD-AD0E-7391F7B68923}"/>
            </c:ext>
          </c:extLst>
        </c:ser>
        <c:ser>
          <c:idx val="1"/>
          <c:order val="1"/>
          <c:tx>
            <c:strRef>
              <c:f>'Ireland EV uptake'!$C$3</c:f>
              <c:strCache>
                <c:ptCount val="1"/>
                <c:pt idx="0">
                  <c:v>Predicted Cost Lagged</c:v>
                </c:pt>
              </c:strCache>
            </c:strRef>
          </c:tx>
          <c:spPr>
            <a:ln w="28575" cap="rnd">
              <a:solidFill>
                <a:schemeClr val="accent2"/>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uptake'!$C$4:$C$45</c:f>
              <c:numCache>
                <c:formatCode>0.00</c:formatCode>
                <c:ptCount val="42"/>
                <c:pt idx="3">
                  <c:v>9.3060869482101627E-2</c:v>
                </c:pt>
                <c:pt idx="4">
                  <c:v>0.14236726087496704</c:v>
                </c:pt>
                <c:pt idx="5">
                  <c:v>0.21771000690284034</c:v>
                </c:pt>
                <c:pt idx="6">
                  <c:v>0.33272064189834066</c:v>
                </c:pt>
                <c:pt idx="7">
                  <c:v>0.50801200951831016</c:v>
                </c:pt>
                <c:pt idx="8">
                  <c:v>0.77454818827191763</c:v>
                </c:pt>
                <c:pt idx="9">
                  <c:v>1.4826241933696944</c:v>
                </c:pt>
                <c:pt idx="10">
                  <c:v>2.824179396802704</c:v>
                </c:pt>
                <c:pt idx="11">
                  <c:v>3.9273759317622585</c:v>
                </c:pt>
                <c:pt idx="12">
                  <c:v>5.7087109217509404</c:v>
                </c:pt>
                <c:pt idx="13">
                  <c:v>7.6349336512067856</c:v>
                </c:pt>
                <c:pt idx="14">
                  <c:v>10.047581927165023</c:v>
                </c:pt>
                <c:pt idx="15">
                  <c:v>13.124338124799181</c:v>
                </c:pt>
                <c:pt idx="16">
                  <c:v>16.872079181313538</c:v>
                </c:pt>
                <c:pt idx="17">
                  <c:v>21.314274226264978</c:v>
                </c:pt>
                <c:pt idx="18">
                  <c:v>26.331705442305974</c:v>
                </c:pt>
                <c:pt idx="19">
                  <c:v>31.791769224284813</c:v>
                </c:pt>
                <c:pt idx="20">
                  <c:v>37.493858571420454</c:v>
                </c:pt>
                <c:pt idx="21">
                  <c:v>42.9438536085827</c:v>
                </c:pt>
                <c:pt idx="22">
                  <c:v>47.890879896237649</c:v>
                </c:pt>
                <c:pt idx="23">
                  <c:v>52.223716629287729</c:v>
                </c:pt>
                <c:pt idx="24">
                  <c:v>55.815327901090924</c:v>
                </c:pt>
                <c:pt idx="25">
                  <c:v>58.595976614611679</c:v>
                </c:pt>
                <c:pt idx="26">
                  <c:v>60.591507987325812</c:v>
                </c:pt>
                <c:pt idx="27">
                  <c:v>61.877024011109384</c:v>
                </c:pt>
                <c:pt idx="28">
                  <c:v>62.809233286577488</c:v>
                </c:pt>
                <c:pt idx="29">
                  <c:v>63.47418935072568</c:v>
                </c:pt>
                <c:pt idx="30">
                  <c:v>63.942793977739818</c:v>
                </c:pt>
                <c:pt idx="31">
                  <c:v>64.270157592789019</c:v>
                </c:pt>
                <c:pt idx="32">
                  <c:v>64.497442351791207</c:v>
                </c:pt>
                <c:pt idx="33">
                  <c:v>64.654562189917868</c:v>
                </c:pt>
                <c:pt idx="34">
                  <c:v>64.762851707793317</c:v>
                </c:pt>
                <c:pt idx="35">
                  <c:v>64.837331782267526</c:v>
                </c:pt>
                <c:pt idx="36">
                  <c:v>64.888485029599806</c:v>
                </c:pt>
                <c:pt idx="37">
                  <c:v>64.923582863050328</c:v>
                </c:pt>
                <c:pt idx="38">
                  <c:v>64.947648394916612</c:v>
                </c:pt>
                <c:pt idx="39">
                  <c:v>64.96409411252408</c:v>
                </c:pt>
                <c:pt idx="40">
                  <c:v>64.975261715533478</c:v>
                </c:pt>
                <c:pt idx="41">
                  <c:v>64.982754198133208</c:v>
                </c:pt>
              </c:numCache>
            </c:numRef>
          </c:val>
          <c:smooth val="0"/>
          <c:extLst>
            <c:ext xmlns:c16="http://schemas.microsoft.com/office/drawing/2014/chart" uri="{C3380CC4-5D6E-409C-BE32-E72D297353CC}">
              <c16:uniqueId val="{00000001-A277-4EDD-AD0E-7391F7B68923}"/>
            </c:ext>
          </c:extLst>
        </c:ser>
        <c:ser>
          <c:idx val="2"/>
          <c:order val="2"/>
          <c:tx>
            <c:strRef>
              <c:f>'Ireland EV uptake'!$L$3</c:f>
              <c:strCache>
                <c:ptCount val="1"/>
                <c:pt idx="0">
                  <c:v>Predicted Cost</c:v>
                </c:pt>
              </c:strCache>
            </c:strRef>
          </c:tx>
          <c:spPr>
            <a:ln w="28575" cap="rnd">
              <a:solidFill>
                <a:schemeClr val="accent3"/>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uptake'!$L$4:$L$45</c:f>
              <c:numCache>
                <c:formatCode>0.00</c:formatCode>
                <c:ptCount val="42"/>
                <c:pt idx="3" formatCode="0.000">
                  <c:v>0.14236726087496704</c:v>
                </c:pt>
                <c:pt idx="4" formatCode="0.000">
                  <c:v>0.21771000690284034</c:v>
                </c:pt>
                <c:pt idx="5" formatCode="0.000">
                  <c:v>0.14236726087496704</c:v>
                </c:pt>
                <c:pt idx="6" formatCode="0.000">
                  <c:v>0.33272064189834066</c:v>
                </c:pt>
                <c:pt idx="7" formatCode="0.000">
                  <c:v>0.50801200951831016</c:v>
                </c:pt>
                <c:pt idx="8" formatCode="0.000">
                  <c:v>0.77454818827191763</c:v>
                </c:pt>
                <c:pt idx="9" formatCode="0.000">
                  <c:v>1.7868769257937176</c:v>
                </c:pt>
                <c:pt idx="10" formatCode="0.000">
                  <c:v>2.874743241626148</c:v>
                </c:pt>
                <c:pt idx="11" formatCode="0.000">
                  <c:v>4.46737354844731</c:v>
                </c:pt>
                <c:pt idx="12" formatCode="0.000">
                  <c:v>6.607218883440237</c:v>
                </c:pt>
                <c:pt idx="13" formatCode="0.000">
                  <c:v>9.719194414003022</c:v>
                </c:pt>
                <c:pt idx="14" formatCode="0.000">
                  <c:v>14.896637108544088</c:v>
                </c:pt>
                <c:pt idx="15" formatCode="0.000">
                  <c:v>21.062655314918331</c:v>
                </c:pt>
                <c:pt idx="16" formatCode="0.000">
                  <c:v>27.981702167382604</c:v>
                </c:pt>
                <c:pt idx="17" formatCode="0.000">
                  <c:v>35.284009014499155</c:v>
                </c:pt>
                <c:pt idx="18" formatCode="0.000">
                  <c:v>42.529042827653186</c:v>
                </c:pt>
                <c:pt idx="19" formatCode="0.000">
                  <c:v>48.459342619005</c:v>
                </c:pt>
                <c:pt idx="20" formatCode="0.000">
                  <c:v>53.366635502420138</c:v>
                </c:pt>
                <c:pt idx="21" formatCode="0.000">
                  <c:v>57.214152608368224</c:v>
                </c:pt>
                <c:pt idx="22" formatCode="0.000">
                  <c:v>60.093083530568641</c:v>
                </c:pt>
                <c:pt idx="23" formatCode="0.000">
                  <c:v>62.166859939538995</c:v>
                </c:pt>
                <c:pt idx="24" formatCode="0.000">
                  <c:v>63.112143503380572</c:v>
                </c:pt>
                <c:pt idx="25" formatCode="0.000">
                  <c:v>63.750340354328252</c:v>
                </c:pt>
                <c:pt idx="26" formatCode="0.000">
                  <c:v>64.176502456555994</c:v>
                </c:pt>
                <c:pt idx="27" formatCode="0.000">
                  <c:v>64.458965171765954</c:v>
                </c:pt>
                <c:pt idx="28" formatCode="0.000">
                  <c:v>64.645252255387419</c:v>
                </c:pt>
                <c:pt idx="29" formatCode="0.000">
                  <c:v>64.767704654824882</c:v>
                </c:pt>
                <c:pt idx="30" formatCode="0.000">
                  <c:v>64.848020846704088</c:v>
                </c:pt>
                <c:pt idx="31" formatCode="0.000">
                  <c:v>64.900624371929169</c:v>
                </c:pt>
                <c:pt idx="32" formatCode="0.000">
                  <c:v>64.935044864586587</c:v>
                </c:pt>
                <c:pt idx="33" formatCode="0.000">
                  <c:v>64.957553596398242</c:v>
                </c:pt>
                <c:pt idx="34" formatCode="0.000">
                  <c:v>64.972266872557881</c:v>
                </c:pt>
                <c:pt idx="35" formatCode="0.000">
                  <c:v>64.981881952760176</c:v>
                </c:pt>
                <c:pt idx="36" formatCode="0.000">
                  <c:v>64.988164291729106</c:v>
                </c:pt>
                <c:pt idx="37" formatCode="0.000">
                  <c:v>64.992268607427846</c:v>
                </c:pt>
                <c:pt idx="38" formatCode="0.000">
                  <c:v>64.99494980054213</c:v>
                </c:pt>
                <c:pt idx="39" formatCode="0.000">
                  <c:v>64.996701237414669</c:v>
                </c:pt>
                <c:pt idx="40" formatCode="0.000">
                  <c:v>64.997845293195581</c:v>
                </c:pt>
                <c:pt idx="41" formatCode="0.000">
                  <c:v>64.998592586298372</c:v>
                </c:pt>
              </c:numCache>
            </c:numRef>
          </c:val>
          <c:smooth val="0"/>
          <c:extLst>
            <c:ext xmlns:c16="http://schemas.microsoft.com/office/drawing/2014/chart" uri="{C3380CC4-5D6E-409C-BE32-E72D297353CC}">
              <c16:uniqueId val="{00000002-A277-4EDD-AD0E-7391F7B68923}"/>
            </c:ext>
          </c:extLst>
        </c:ser>
        <c:ser>
          <c:idx val="3"/>
          <c:order val="3"/>
          <c:tx>
            <c:strRef>
              <c:f>'Ireland EV uptake'!$AB$3</c:f>
              <c:strCache>
                <c:ptCount val="1"/>
                <c:pt idx="0">
                  <c:v>predicted raw</c:v>
                </c:pt>
              </c:strCache>
            </c:strRef>
          </c:tx>
          <c:spPr>
            <a:ln w="28575" cap="rnd">
              <a:solidFill>
                <a:schemeClr val="accent4"/>
              </a:solidFill>
              <a:round/>
            </a:ln>
            <a:effectLst/>
          </c:spPr>
          <c:marker>
            <c:symbol val="none"/>
          </c:marker>
          <c:cat>
            <c:numRef>
              <c:f>'Ireland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'Ireland EV uptake'!$AB$4:$AB$45</c:f>
              <c:numCache>
                <c:formatCode>0.00</c:formatCode>
                <c:ptCount val="4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pt idx="12">
                  <c:v>4.0391024160345372</c:v>
                </c:pt>
                <c:pt idx="13">
                  <c:v>5.9863117522368512</c:v>
                </c:pt>
                <c:pt idx="14">
                  <c:v>8.7376997223777266</c:v>
                </c:pt>
                <c:pt idx="15">
                  <c:v>12.486103600758348</c:v>
                </c:pt>
                <c:pt idx="16">
                  <c:v>17.346754578607644</c:v>
                </c:pt>
                <c:pt idx="17">
                  <c:v>23.261428838728147</c:v>
                </c:pt>
                <c:pt idx="18">
                  <c:v>29.926315888739872</c:v>
                </c:pt>
                <c:pt idx="19">
                  <c:v>36.816402784108064</c:v>
                </c:pt>
                <c:pt idx="20">
                  <c:v>43.33293398469911</c:v>
                </c:pt>
                <c:pt idx="21">
                  <c:v>48.997637836341092</c:v>
                </c:pt>
                <c:pt idx="22">
                  <c:v>53.571923644377804</c:v>
                </c:pt>
                <c:pt idx="23">
                  <c:v>57.050781563780149</c:v>
                </c:pt>
                <c:pt idx="24">
                  <c:v>59.577814845498921</c:v>
                </c:pt>
                <c:pt idx="25">
                  <c:v>61.352867201183777</c:v>
                </c:pt>
                <c:pt idx="26">
                  <c:v>62.570519514439546</c:v>
                </c:pt>
                <c:pt idx="27">
                  <c:v>63.392292447343138</c:v>
                </c:pt>
                <c:pt idx="28">
                  <c:v>63.940805689229563</c:v>
                </c:pt>
                <c:pt idx="29">
                  <c:v>64.304232664706845</c:v>
                </c:pt>
                <c:pt idx="30">
                  <c:v>64.543851455922123</c:v>
                </c:pt>
                <c:pt idx="31">
                  <c:v>64.701330025578272</c:v>
                </c:pt>
                <c:pt idx="32">
                  <c:v>64.804606023392921</c:v>
                </c:pt>
                <c:pt idx="33">
                  <c:v>64.872241107336905</c:v>
                </c:pt>
                <c:pt idx="34">
                  <c:v>64.916494661894205</c:v>
                </c:pt>
                <c:pt idx="35">
                  <c:v>64.945432415318209</c:v>
                </c:pt>
                <c:pt idx="36">
                  <c:v>64.964347651703662</c:v>
                </c:pt>
                <c:pt idx="37">
                  <c:v>64.976708486679954</c:v>
                </c:pt>
                <c:pt idx="38">
                  <c:v>64.984784766395137</c:v>
                </c:pt>
                <c:pt idx="39">
                  <c:v>64.990061042692432</c:v>
                </c:pt>
                <c:pt idx="40">
                  <c:v>64.993507816329725</c:v>
                </c:pt>
                <c:pt idx="41">
                  <c:v>64.995759346548255</c:v>
                </c:pt>
              </c:numCache>
            </c:numRef>
          </c:val>
          <c:smooth val="0"/>
          <c:extLst>
            <c:ext xmlns:c16="http://schemas.microsoft.com/office/drawing/2014/chart" uri="{C3380CC4-5D6E-409C-BE32-E72D297353CC}">
              <c16:uniqueId val="{00000003-A277-4EDD-AD0E-7391F7B68923}"/>
            </c:ext>
          </c:extLst>
        </c:ser>
        <c:dLbls>
          <c:showLegendKey val="0"/>
          <c:showVal val="0"/>
          <c:showCatName val="0"/>
          <c:showSerName val="0"/>
          <c:showPercent val="0"/>
          <c:showBubbleSize val="0"/>
        </c:dLbls>
        <c:smooth val="0"/>
        <c:axId val="733153544"/>
        <c:axId val="733158136"/>
      </c:lineChart>
      <c:catAx>
        <c:axId val="73315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8136"/>
        <c:crosses val="autoZero"/>
        <c:auto val="1"/>
        <c:lblAlgn val="ctr"/>
        <c:lblOffset val="100"/>
        <c:noMultiLvlLbl val="0"/>
      </c:catAx>
      <c:valAx>
        <c:axId val="73315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1994386118401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53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Ireland!$P$2</c:f>
              <c:strCache>
                <c:ptCount val="1"/>
                <c:pt idx="0">
                  <c:v>BEV price</c:v>
                </c:pt>
              </c:strCache>
            </c:strRef>
          </c:tx>
          <c:spPr>
            <a:ln w="60325" cap="rnd">
              <a:solidFill>
                <a:schemeClr val="accent1"/>
              </a:solidFill>
              <a:round/>
            </a:ln>
            <a:effectLst/>
          </c:spPr>
          <c:marker>
            <c:symbol val="none"/>
          </c:marker>
          <c:cat>
            <c:numRef>
              <c:f>Ireland!$O$3:$O$24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Ireland!$P$3:$P$24</c:f>
              <c:numCache>
                <c:formatCode>0</c:formatCode>
                <c:ptCount val="22"/>
                <c:pt idx="0">
                  <c:v>27330.089308557417</c:v>
                </c:pt>
                <c:pt idx="1">
                  <c:v>29408.100976247442</c:v>
                </c:pt>
                <c:pt idx="2">
                  <c:v>27032.991327843552</c:v>
                </c:pt>
                <c:pt idx="3">
                  <c:v>26097.080754460316</c:v>
                </c:pt>
                <c:pt idx="4">
                  <c:v>25471.105278656429</c:v>
                </c:pt>
                <c:pt idx="5">
                  <c:v>28443.388269219144</c:v>
                </c:pt>
                <c:pt idx="6">
                  <c:v>31037.054956350883</c:v>
                </c:pt>
                <c:pt idx="7">
                  <c:v>31073.530222735368</c:v>
                </c:pt>
                <c:pt idx="8">
                  <c:v>30013.765195345513</c:v>
                </c:pt>
                <c:pt idx="9">
                  <c:v>27276.917920689808</c:v>
                </c:pt>
                <c:pt idx="10">
                  <c:v>27996.749701829554</c:v>
                </c:pt>
                <c:pt idx="11">
                  <c:v>27810.722478064828</c:v>
                </c:pt>
                <c:pt idx="12">
                  <c:v>26926.266045770448</c:v>
                </c:pt>
                <c:pt idx="13">
                  <c:v>27474.562647980918</c:v>
                </c:pt>
                <c:pt idx="14">
                  <c:v>27177.538695291638</c:v>
                </c:pt>
                <c:pt idx="15">
                  <c:v>25931.004772726617</c:v>
                </c:pt>
                <c:pt idx="16">
                  <c:v>24865.555693045259</c:v>
                </c:pt>
                <c:pt idx="17">
                  <c:v>24273.108474916935</c:v>
                </c:pt>
                <c:pt idx="18">
                  <c:v>23680.546302093113</c:v>
                </c:pt>
                <c:pt idx="19">
                  <c:v>23009.573016922572</c:v>
                </c:pt>
                <c:pt idx="20">
                  <c:v>22416.782101952649</c:v>
                </c:pt>
                <c:pt idx="21">
                  <c:v>21745.580849723989</c:v>
                </c:pt>
              </c:numCache>
            </c:numRef>
          </c:val>
          <c:smooth val="0"/>
          <c:extLst>
            <c:ext xmlns:c16="http://schemas.microsoft.com/office/drawing/2014/chart" uri="{C3380CC4-5D6E-409C-BE32-E72D297353CC}">
              <c16:uniqueId val="{00000000-19D0-45E3-8334-45D4BD3D9DE4}"/>
            </c:ext>
          </c:extLst>
        </c:ser>
        <c:ser>
          <c:idx val="1"/>
          <c:order val="1"/>
          <c:tx>
            <c:strRef>
              <c:f>Ireland!$Q$2</c:f>
              <c:strCache>
                <c:ptCount val="1"/>
                <c:pt idx="0">
                  <c:v>PHEV price</c:v>
                </c:pt>
              </c:strCache>
            </c:strRef>
          </c:tx>
          <c:spPr>
            <a:ln w="15875" cap="rnd">
              <a:solidFill>
                <a:schemeClr val="accent2"/>
              </a:solidFill>
              <a:round/>
            </a:ln>
            <a:effectLst/>
          </c:spPr>
          <c:marker>
            <c:symbol val="none"/>
          </c:marker>
          <c:cat>
            <c:numRef>
              <c:f>Ireland!$O$3:$O$24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Ireland!$Q$3:$Q$24</c:f>
              <c:numCache>
                <c:formatCode>0</c:formatCode>
                <c:ptCount val="22"/>
                <c:pt idx="0">
                  <c:v>32535.003284505292</c:v>
                </c:pt>
                <c:pt idx="1">
                  <c:v>34662.732510213507</c:v>
                </c:pt>
                <c:pt idx="2">
                  <c:v>29350.975164394185</c:v>
                </c:pt>
                <c:pt idx="3">
                  <c:v>32722.984527922348</c:v>
                </c:pt>
                <c:pt idx="4">
                  <c:v>32148.784361211234</c:v>
                </c:pt>
                <c:pt idx="5">
                  <c:v>34597.908791762246</c:v>
                </c:pt>
                <c:pt idx="6">
                  <c:v>31768.113240751074</c:v>
                </c:pt>
                <c:pt idx="7">
                  <c:v>31798.427144570611</c:v>
                </c:pt>
                <c:pt idx="8">
                  <c:v>30898.264317753368</c:v>
                </c:pt>
                <c:pt idx="9">
                  <c:v>28189.822585097685</c:v>
                </c:pt>
                <c:pt idx="10">
                  <c:v>28770.185035743016</c:v>
                </c:pt>
                <c:pt idx="11">
                  <c:v>28597.765778159875</c:v>
                </c:pt>
                <c:pt idx="12">
                  <c:v>27844.955586517965</c:v>
                </c:pt>
                <c:pt idx="13">
                  <c:v>28282.939498784745</c:v>
                </c:pt>
                <c:pt idx="14">
                  <c:v>28018.453449634297</c:v>
                </c:pt>
                <c:pt idx="15">
                  <c:v>26964.907384260627</c:v>
                </c:pt>
                <c:pt idx="16">
                  <c:v>26061.917059434392</c:v>
                </c:pt>
                <c:pt idx="17">
                  <c:v>25552.088984821316</c:v>
                </c:pt>
                <c:pt idx="18">
                  <c:v>25042.224524183723</c:v>
                </c:pt>
                <c:pt idx="19">
                  <c:v>24467.253021745597</c:v>
                </c:pt>
                <c:pt idx="20">
                  <c:v>23957.316158521062</c:v>
                </c:pt>
                <c:pt idx="21">
                  <c:v>23382.272498830644</c:v>
                </c:pt>
              </c:numCache>
            </c:numRef>
          </c:val>
          <c:smooth val="0"/>
          <c:extLst>
            <c:ext xmlns:c16="http://schemas.microsoft.com/office/drawing/2014/chart" uri="{C3380CC4-5D6E-409C-BE32-E72D297353CC}">
              <c16:uniqueId val="{00000001-19D0-45E3-8334-45D4BD3D9DE4}"/>
            </c:ext>
          </c:extLst>
        </c:ser>
        <c:ser>
          <c:idx val="2"/>
          <c:order val="2"/>
          <c:tx>
            <c:strRef>
              <c:f>Ireland!$R$2</c:f>
              <c:strCache>
                <c:ptCount val="1"/>
                <c:pt idx="0">
                  <c:v>FFV price</c:v>
                </c:pt>
              </c:strCache>
            </c:strRef>
          </c:tx>
          <c:spPr>
            <a:ln w="28575" cap="rnd">
              <a:solidFill>
                <a:schemeClr val="tx1"/>
              </a:solidFill>
              <a:round/>
            </a:ln>
            <a:effectLst/>
          </c:spPr>
          <c:marker>
            <c:symbol val="none"/>
          </c:marker>
          <c:cat>
            <c:numRef>
              <c:f>Ireland!$O$3:$O$24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Ireland!$R$3:$R$24</c:f>
              <c:numCache>
                <c:formatCode>0</c:formatCode>
                <c:ptCount val="22"/>
                <c:pt idx="0">
                  <c:v>24159.949804791671</c:v>
                </c:pt>
                <c:pt idx="1">
                  <c:v>25463.094924497025</c:v>
                </c:pt>
                <c:pt idx="2">
                  <c:v>24012.1707765793</c:v>
                </c:pt>
                <c:pt idx="3">
                  <c:v>26343.537166225644</c:v>
                </c:pt>
                <c:pt idx="4">
                  <c:v>25586.804739377636</c:v>
                </c:pt>
                <c:pt idx="5">
                  <c:v>25781.482017055983</c:v>
                </c:pt>
                <c:pt idx="6">
                  <c:v>30837.706133202348</c:v>
                </c:pt>
                <c:pt idx="7">
                  <c:v>30865.670504097121</c:v>
                </c:pt>
                <c:pt idx="8">
                  <c:v>30025.553316431564</c:v>
                </c:pt>
                <c:pt idx="9">
                  <c:v>28934</c:v>
                </c:pt>
                <c:pt idx="10">
                  <c:v>28934</c:v>
                </c:pt>
                <c:pt idx="11">
                  <c:v>28934</c:v>
                </c:pt>
                <c:pt idx="12">
                  <c:v>28934</c:v>
                </c:pt>
                <c:pt idx="13">
                  <c:v>28934</c:v>
                </c:pt>
                <c:pt idx="14">
                  <c:v>28934</c:v>
                </c:pt>
                <c:pt idx="15">
                  <c:v>28934</c:v>
                </c:pt>
                <c:pt idx="16">
                  <c:v>28934</c:v>
                </c:pt>
                <c:pt idx="17">
                  <c:v>28934</c:v>
                </c:pt>
                <c:pt idx="18">
                  <c:v>28934</c:v>
                </c:pt>
                <c:pt idx="19">
                  <c:v>28934</c:v>
                </c:pt>
                <c:pt idx="20">
                  <c:v>28934</c:v>
                </c:pt>
                <c:pt idx="21">
                  <c:v>28934</c:v>
                </c:pt>
              </c:numCache>
            </c:numRef>
          </c:val>
          <c:smooth val="0"/>
          <c:extLst>
            <c:ext xmlns:c16="http://schemas.microsoft.com/office/drawing/2014/chart" uri="{C3380CC4-5D6E-409C-BE32-E72D297353CC}">
              <c16:uniqueId val="{00000002-19D0-45E3-8334-45D4BD3D9DE4}"/>
            </c:ext>
          </c:extLst>
        </c:ser>
        <c:dLbls>
          <c:showLegendKey val="0"/>
          <c:showVal val="0"/>
          <c:showCatName val="0"/>
          <c:showSerName val="0"/>
          <c:showPercent val="0"/>
          <c:showBubbleSize val="0"/>
        </c:dLbls>
        <c:smooth val="0"/>
        <c:axId val="636905440"/>
        <c:axId val="636915608"/>
      </c:lineChart>
      <c:catAx>
        <c:axId val="63690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915608"/>
        <c:crosses val="autoZero"/>
        <c:auto val="1"/>
        <c:lblAlgn val="ctr"/>
        <c:lblOffset val="100"/>
        <c:noMultiLvlLbl val="0"/>
      </c:catAx>
      <c:valAx>
        <c:axId val="636915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90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8648293963254"/>
          <c:y val="0.12541666666666668"/>
          <c:w val="0.84655796150481188"/>
          <c:h val="0.66128062117235342"/>
        </c:manualLayout>
      </c:layout>
      <c:lineChart>
        <c:grouping val="standard"/>
        <c:varyColors val="0"/>
        <c:ser>
          <c:idx val="0"/>
          <c:order val="0"/>
          <c:tx>
            <c:strRef>
              <c:f>Ireland!$AS$2</c:f>
              <c:strCache>
                <c:ptCount val="1"/>
                <c:pt idx="0">
                  <c:v>BEV %sales</c:v>
                </c:pt>
              </c:strCache>
            </c:strRef>
          </c:tx>
          <c:spPr>
            <a:ln w="28575" cap="rnd">
              <a:solidFill>
                <a:schemeClr val="accent1"/>
              </a:solidFill>
              <a:round/>
            </a:ln>
            <a:effectLst/>
          </c:spPr>
          <c:marker>
            <c:symbol val="none"/>
          </c:marker>
          <c:cat>
            <c:numRef>
              <c:f>Ireland!$AR$3:$AR$11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Ireland!$AS$3:$AS$11</c:f>
              <c:numCache>
                <c:formatCode>General</c:formatCode>
                <c:ptCount val="9"/>
                <c:pt idx="0">
                  <c:v>0</c:v>
                </c:pt>
                <c:pt idx="1">
                  <c:v>1.7999999999999999E-2</c:v>
                </c:pt>
                <c:pt idx="2">
                  <c:v>4.5999999999999999E-2</c:v>
                </c:pt>
                <c:pt idx="3">
                  <c:v>0.13900000000000001</c:v>
                </c:pt>
                <c:pt idx="4">
                  <c:v>4.7E-2</c:v>
                </c:pt>
                <c:pt idx="5">
                  <c:v>0.222</c:v>
                </c:pt>
                <c:pt idx="6">
                  <c:v>0.46</c:v>
                </c:pt>
                <c:pt idx="7">
                  <c:v>0.39200000000000002</c:v>
                </c:pt>
                <c:pt idx="8">
                  <c:v>0.622</c:v>
                </c:pt>
              </c:numCache>
            </c:numRef>
          </c:val>
          <c:smooth val="0"/>
          <c:extLst>
            <c:ext xmlns:c16="http://schemas.microsoft.com/office/drawing/2014/chart" uri="{C3380CC4-5D6E-409C-BE32-E72D297353CC}">
              <c16:uniqueId val="{00000000-DD69-407B-9E0D-910AB0F07F67}"/>
            </c:ext>
          </c:extLst>
        </c:ser>
        <c:ser>
          <c:idx val="1"/>
          <c:order val="1"/>
          <c:tx>
            <c:strRef>
              <c:f>Ireland!$AT$2</c:f>
              <c:strCache>
                <c:ptCount val="1"/>
                <c:pt idx="0">
                  <c:v>PHEV %sales</c:v>
                </c:pt>
              </c:strCache>
            </c:strRef>
          </c:tx>
          <c:spPr>
            <a:ln w="28575" cap="rnd">
              <a:solidFill>
                <a:schemeClr val="accent2"/>
              </a:solidFill>
              <a:round/>
            </a:ln>
            <a:effectLst/>
          </c:spPr>
          <c:marker>
            <c:symbol val="none"/>
          </c:marker>
          <c:cat>
            <c:numRef>
              <c:f>Ireland!$AR$3:$AR$11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Ireland!$AT$3:$AT$11</c:f>
              <c:numCache>
                <c:formatCode>General</c:formatCode>
                <c:ptCount val="9"/>
                <c:pt idx="0">
                  <c:v>0</c:v>
                </c:pt>
                <c:pt idx="1">
                  <c:v>0</c:v>
                </c:pt>
                <c:pt idx="2">
                  <c:v>0</c:v>
                </c:pt>
                <c:pt idx="3">
                  <c:v>0</c:v>
                </c:pt>
                <c:pt idx="4">
                  <c:v>0</c:v>
                </c:pt>
                <c:pt idx="5">
                  <c:v>3.5000000000000003E-2</c:v>
                </c:pt>
                <c:pt idx="6">
                  <c:v>9.9000000000000005E-2</c:v>
                </c:pt>
                <c:pt idx="7">
                  <c:v>0.29799999999999999</c:v>
                </c:pt>
                <c:pt idx="8">
                  <c:v>0.32600000000000001</c:v>
                </c:pt>
              </c:numCache>
            </c:numRef>
          </c:val>
          <c:smooth val="0"/>
          <c:extLst>
            <c:ext xmlns:c16="http://schemas.microsoft.com/office/drawing/2014/chart" uri="{C3380CC4-5D6E-409C-BE32-E72D297353CC}">
              <c16:uniqueId val="{00000001-DD69-407B-9E0D-910AB0F07F67}"/>
            </c:ext>
          </c:extLst>
        </c:ser>
        <c:dLbls>
          <c:showLegendKey val="0"/>
          <c:showVal val="0"/>
          <c:showCatName val="0"/>
          <c:showSerName val="0"/>
          <c:showPercent val="0"/>
          <c:showBubbleSize val="0"/>
        </c:dLbls>
        <c:smooth val="0"/>
        <c:axId val="677767048"/>
        <c:axId val="677774264"/>
      </c:lineChart>
      <c:catAx>
        <c:axId val="67776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774264"/>
        <c:crosses val="autoZero"/>
        <c:auto val="1"/>
        <c:lblAlgn val="ctr"/>
        <c:lblOffset val="100"/>
        <c:noMultiLvlLbl val="0"/>
      </c:catAx>
      <c:valAx>
        <c:axId val="677774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767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uptake'!$AD$3</c:f>
              <c:strCache>
                <c:ptCount val="1"/>
                <c:pt idx="0">
                  <c:v>Linearized Logistic</c:v>
                </c:pt>
              </c:strCache>
            </c:strRef>
          </c:tx>
          <c:spPr>
            <a:ln w="50800" cap="rnd">
              <a:solidFill>
                <a:schemeClr val="tx1"/>
              </a:solidFill>
              <a:round/>
            </a:ln>
            <a:effectLst/>
          </c:spPr>
          <c:marker>
            <c:symbol val="none"/>
          </c:marker>
          <c:cat>
            <c:numRef>
              <c:f>'Italy EV uptake'!$A$7:$A$13</c:f>
              <c:numCache>
                <c:formatCode>General</c:formatCode>
                <c:ptCount val="7"/>
                <c:pt idx="0">
                  <c:v>2012</c:v>
                </c:pt>
                <c:pt idx="1">
                  <c:v>2013</c:v>
                </c:pt>
                <c:pt idx="2">
                  <c:v>2014</c:v>
                </c:pt>
                <c:pt idx="3">
                  <c:v>2015</c:v>
                </c:pt>
                <c:pt idx="4">
                  <c:v>2016</c:v>
                </c:pt>
                <c:pt idx="5">
                  <c:v>2017</c:v>
                </c:pt>
                <c:pt idx="6">
                  <c:v>2018</c:v>
                </c:pt>
              </c:numCache>
            </c:numRef>
          </c:cat>
          <c:val>
            <c:numRef>
              <c:f>'Italy EV uptake'!$AD$7:$AD$13</c:f>
              <c:numCache>
                <c:formatCode>General</c:formatCode>
                <c:ptCount val="7"/>
                <c:pt idx="0">
                  <c:v>-7.2376319188822489</c:v>
                </c:pt>
                <c:pt idx="1">
                  <c:v>-6.675212139340772</c:v>
                </c:pt>
                <c:pt idx="2">
                  <c:v>-6.3714014371945211</c:v>
                </c:pt>
                <c:pt idx="3">
                  <c:v>-6.0834001238821926</c:v>
                </c:pt>
                <c:pt idx="4">
                  <c:v>-6.0467209923211849</c:v>
                </c:pt>
                <c:pt idx="5">
                  <c:v>-5.5764827536274888</c:v>
                </c:pt>
                <c:pt idx="6">
                  <c:v>-4.913542613930729</c:v>
                </c:pt>
              </c:numCache>
            </c:numRef>
          </c:val>
          <c:smooth val="0"/>
          <c:extLst>
            <c:ext xmlns:c16="http://schemas.microsoft.com/office/drawing/2014/chart" uri="{C3380CC4-5D6E-409C-BE32-E72D297353CC}">
              <c16:uniqueId val="{00000000-C205-4B34-8365-08F35567AE49}"/>
            </c:ext>
          </c:extLst>
        </c:ser>
        <c:ser>
          <c:idx val="1"/>
          <c:order val="1"/>
          <c:tx>
            <c:strRef>
              <c:f>'Italy EV uptake'!$AF$3</c:f>
              <c:strCache>
                <c:ptCount val="1"/>
                <c:pt idx="0">
                  <c:v>predicted</c:v>
                </c:pt>
              </c:strCache>
            </c:strRef>
          </c:tx>
          <c:spPr>
            <a:ln w="28575" cap="rnd">
              <a:solidFill>
                <a:schemeClr val="accent2"/>
              </a:solidFill>
              <a:round/>
            </a:ln>
            <a:effectLst/>
          </c:spPr>
          <c:marker>
            <c:symbol val="none"/>
          </c:marker>
          <c:cat>
            <c:numRef>
              <c:f>'Italy EV uptake'!$A$7:$A$13</c:f>
              <c:numCache>
                <c:formatCode>General</c:formatCode>
                <c:ptCount val="7"/>
                <c:pt idx="0">
                  <c:v>2012</c:v>
                </c:pt>
                <c:pt idx="1">
                  <c:v>2013</c:v>
                </c:pt>
                <c:pt idx="2">
                  <c:v>2014</c:v>
                </c:pt>
                <c:pt idx="3">
                  <c:v>2015</c:v>
                </c:pt>
                <c:pt idx="4">
                  <c:v>2016</c:v>
                </c:pt>
                <c:pt idx="5">
                  <c:v>2017</c:v>
                </c:pt>
                <c:pt idx="6">
                  <c:v>2018</c:v>
                </c:pt>
              </c:numCache>
            </c:numRef>
          </c:cat>
          <c:val>
            <c:numRef>
              <c:f>'Italy EV uptake'!$AF$7:$AF$13</c:f>
              <c:numCache>
                <c:formatCode>General</c:formatCode>
                <c:ptCount val="7"/>
                <c:pt idx="0">
                  <c:v>-7.239086395040899</c:v>
                </c:pt>
                <c:pt idx="1">
                  <c:v>-6.6731660150877596</c:v>
                </c:pt>
                <c:pt idx="2">
                  <c:v>-6.375493685700544</c:v>
                </c:pt>
                <c:pt idx="3">
                  <c:v>-6.0778213563133292</c:v>
                </c:pt>
                <c:pt idx="4">
                  <c:v>-6.0495276018146686</c:v>
                </c:pt>
                <c:pt idx="5">
                  <c:v>-5.5727406076361792</c:v>
                </c:pt>
                <c:pt idx="6">
                  <c:v>-4.9165563175857585</c:v>
                </c:pt>
              </c:numCache>
            </c:numRef>
          </c:val>
          <c:smooth val="0"/>
          <c:extLst>
            <c:ext xmlns:c16="http://schemas.microsoft.com/office/drawing/2014/chart" uri="{C3380CC4-5D6E-409C-BE32-E72D297353CC}">
              <c16:uniqueId val="{00000001-C205-4B34-8365-08F35567AE49}"/>
            </c:ext>
          </c:extLst>
        </c:ser>
        <c:dLbls>
          <c:showLegendKey val="0"/>
          <c:showVal val="0"/>
          <c:showCatName val="0"/>
          <c:showSerName val="0"/>
          <c:showPercent val="0"/>
          <c:showBubbleSize val="0"/>
        </c:dLbls>
        <c:smooth val="0"/>
        <c:axId val="719903336"/>
        <c:axId val="719903664"/>
      </c:lineChart>
      <c:catAx>
        <c:axId val="71990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903664"/>
        <c:crosses val="autoZero"/>
        <c:auto val="1"/>
        <c:lblAlgn val="ctr"/>
        <c:lblOffset val="100"/>
        <c:noMultiLvlLbl val="0"/>
      </c:catAx>
      <c:valAx>
        <c:axId val="71990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90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uptake'!$B$3</c:f>
              <c:strCache>
                <c:ptCount val="1"/>
                <c:pt idx="0">
                  <c:v> EV %sales</c:v>
                </c:pt>
              </c:strCache>
            </c:strRef>
          </c:tx>
          <c:spPr>
            <a:ln w="41275" cap="rnd">
              <a:solidFill>
                <a:schemeClr val="tx1"/>
              </a:solidFill>
              <a:round/>
            </a:ln>
            <a:effectLst/>
          </c:spPr>
          <c:marker>
            <c:symbol val="none"/>
          </c:marker>
          <c:cat>
            <c:numRef>
              <c:f>'Italy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'Italy EV uptake'!$B$4:$B$13</c:f>
              <c:numCache>
                <c:formatCode>0.00</c:formatCode>
                <c:ptCount val="10"/>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pt idx="9">
                  <c:v>0.4740346269995428</c:v>
                </c:pt>
              </c:numCache>
            </c:numRef>
          </c:val>
          <c:smooth val="0"/>
          <c:extLst>
            <c:ext xmlns:c16="http://schemas.microsoft.com/office/drawing/2014/chart" uri="{C3380CC4-5D6E-409C-BE32-E72D297353CC}">
              <c16:uniqueId val="{00000000-90F5-4292-A57A-9EE3C9868106}"/>
            </c:ext>
          </c:extLst>
        </c:ser>
        <c:ser>
          <c:idx val="1"/>
          <c:order val="1"/>
          <c:tx>
            <c:strRef>
              <c:f>'Italy EV uptake'!$AB$3</c:f>
              <c:strCache>
                <c:ptCount val="1"/>
                <c:pt idx="0">
                  <c:v>predicted raw</c:v>
                </c:pt>
              </c:strCache>
            </c:strRef>
          </c:tx>
          <c:spPr>
            <a:ln w="28575" cap="rnd">
              <a:solidFill>
                <a:schemeClr val="accent2"/>
              </a:solidFill>
              <a:round/>
            </a:ln>
            <a:effectLst/>
          </c:spPr>
          <c:marker>
            <c:symbol val="none"/>
          </c:marker>
          <c:cat>
            <c:numRef>
              <c:f>'Italy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'Italy EV uptake'!$AB$4:$AB$13</c:f>
              <c:numCache>
                <c:formatCode>0.00</c:formatCode>
                <c:ptCount val="10"/>
                <c:pt idx="2">
                  <c:v>3.1673501110891733E-2</c:v>
                </c:pt>
                <c:pt idx="3">
                  <c:v>4.6634398966126429E-2</c:v>
                </c:pt>
                <c:pt idx="4">
                  <c:v>8.2081523558712705E-2</c:v>
                </c:pt>
                <c:pt idx="5">
                  <c:v>0.11049248750991837</c:v>
                </c:pt>
                <c:pt idx="6">
                  <c:v>0.14871484058186824</c:v>
                </c:pt>
                <c:pt idx="7">
                  <c:v>0.15297258907354042</c:v>
                </c:pt>
                <c:pt idx="8">
                  <c:v>0.24606828814625634</c:v>
                </c:pt>
                <c:pt idx="9">
                  <c:v>0.47261854943019649</c:v>
                </c:pt>
              </c:numCache>
            </c:numRef>
          </c:val>
          <c:smooth val="0"/>
          <c:extLst>
            <c:ext xmlns:c16="http://schemas.microsoft.com/office/drawing/2014/chart" uri="{C3380CC4-5D6E-409C-BE32-E72D297353CC}">
              <c16:uniqueId val="{00000001-90F5-4292-A57A-9EE3C9868106}"/>
            </c:ext>
          </c:extLst>
        </c:ser>
        <c:dLbls>
          <c:showLegendKey val="0"/>
          <c:showVal val="0"/>
          <c:showCatName val="0"/>
          <c:showSerName val="0"/>
          <c:showPercent val="0"/>
          <c:showBubbleSize val="0"/>
        </c:dLbls>
        <c:smooth val="0"/>
        <c:axId val="780650920"/>
        <c:axId val="780651576"/>
      </c:lineChart>
      <c:catAx>
        <c:axId val="78065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651576"/>
        <c:crosses val="autoZero"/>
        <c:auto val="1"/>
        <c:lblAlgn val="ctr"/>
        <c:lblOffset val="100"/>
        <c:noMultiLvlLbl val="0"/>
      </c:catAx>
      <c:valAx>
        <c:axId val="780651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65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uptake'!$S$3</c:f>
              <c:strCache>
                <c:ptCount val="1"/>
                <c:pt idx="0">
                  <c:v>High</c:v>
                </c:pt>
              </c:strCache>
            </c:strRef>
          </c:tx>
          <c:spPr>
            <a:ln w="28575" cap="rnd">
              <a:solidFill>
                <a:schemeClr val="accent1"/>
              </a:solidFill>
              <a:round/>
            </a:ln>
            <a:effectLst/>
          </c:spPr>
          <c:marker>
            <c:symbol val="none"/>
          </c:marker>
          <c:cat>
            <c:numRef>
              <c:f>'Italy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uptake'!$S$4:$S$25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0.79885183226478085</c:v>
                </c:pt>
                <c:pt idx="11" formatCode="0.00">
                  <c:v>1.1705750641834984</c:v>
                </c:pt>
                <c:pt idx="12" formatCode="0.00">
                  <c:v>1.8351390902458644</c:v>
                </c:pt>
                <c:pt idx="13" formatCode="0.00">
                  <c:v>2.6052942556042704</c:v>
                </c:pt>
                <c:pt idx="14" formatCode="0.00">
                  <c:v>3.6476182369304837</c:v>
                </c:pt>
                <c:pt idx="15" formatCode="0.00">
                  <c:v>4.9773666132654331</c:v>
                </c:pt>
                <c:pt idx="16" formatCode="0.00">
                  <c:v>6.6334390524030784</c:v>
                </c:pt>
                <c:pt idx="17" formatCode="0.00">
                  <c:v>8.6216755045692448</c:v>
                </c:pt>
                <c:pt idx="18" formatCode="0.00">
                  <c:v>10.868911844840039</c:v>
                </c:pt>
                <c:pt idx="19" formatCode="0.00">
                  <c:v>13.378923334739776</c:v>
                </c:pt>
                <c:pt idx="20" formatCode="0.00">
                  <c:v>16.057775356386252</c:v>
                </c:pt>
                <c:pt idx="21" formatCode="0.00">
                  <c:v>18.884026679256493</c:v>
                </c:pt>
              </c:numCache>
            </c:numRef>
          </c:val>
          <c:smooth val="0"/>
          <c:extLst>
            <c:ext xmlns:c16="http://schemas.microsoft.com/office/drawing/2014/chart" uri="{C3380CC4-5D6E-409C-BE32-E72D297353CC}">
              <c16:uniqueId val="{00000000-73EF-4A8D-BAB9-3F82ECA46813}"/>
            </c:ext>
          </c:extLst>
        </c:ser>
        <c:ser>
          <c:idx val="1"/>
          <c:order val="1"/>
          <c:tx>
            <c:strRef>
              <c:f>'Italy EV uptake'!$T$3</c:f>
              <c:strCache>
                <c:ptCount val="1"/>
                <c:pt idx="0">
                  <c:v>Medium</c:v>
                </c:pt>
              </c:strCache>
            </c:strRef>
          </c:tx>
          <c:spPr>
            <a:ln w="28575" cap="rnd">
              <a:solidFill>
                <a:schemeClr val="accent2"/>
              </a:solidFill>
              <a:round/>
            </a:ln>
            <a:effectLst/>
          </c:spPr>
          <c:marker>
            <c:symbol val="none"/>
          </c:marker>
          <c:cat>
            <c:numRef>
              <c:f>'Italy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uptake'!$T$4:$T$25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0.79885183226478085</c:v>
                </c:pt>
                <c:pt idx="11" formatCode="0.00">
                  <c:v>1.1131383963990709</c:v>
                </c:pt>
                <c:pt idx="12" formatCode="0.00">
                  <c:v>1.7220737046054655</c:v>
                </c:pt>
                <c:pt idx="13" formatCode="0.00">
                  <c:v>2.3699569093357091</c:v>
                </c:pt>
                <c:pt idx="14" formatCode="0.00">
                  <c:v>3.2917415337684437</c:v>
                </c:pt>
                <c:pt idx="15" formatCode="0.00">
                  <c:v>4.5309701300095435</c:v>
                </c:pt>
                <c:pt idx="16" formatCode="0.00">
                  <c:v>6.0900009554144026</c:v>
                </c:pt>
                <c:pt idx="17" formatCode="0.00">
                  <c:v>8.0091841501325991</c:v>
                </c:pt>
                <c:pt idx="18" formatCode="0.00">
                  <c:v>10.293885746311389</c:v>
                </c:pt>
                <c:pt idx="19" formatCode="0.00">
                  <c:v>12.838471174668937</c:v>
                </c:pt>
                <c:pt idx="20" formatCode="0.00">
                  <c:v>15.639595156943576</c:v>
                </c:pt>
                <c:pt idx="21" formatCode="0.00">
                  <c:v>18.586385836707301</c:v>
                </c:pt>
              </c:numCache>
            </c:numRef>
          </c:val>
          <c:smooth val="0"/>
          <c:extLst>
            <c:ext xmlns:c16="http://schemas.microsoft.com/office/drawing/2014/chart" uri="{C3380CC4-5D6E-409C-BE32-E72D297353CC}">
              <c16:uniqueId val="{00000001-73EF-4A8D-BAB9-3F82ECA46813}"/>
            </c:ext>
          </c:extLst>
        </c:ser>
        <c:ser>
          <c:idx val="2"/>
          <c:order val="2"/>
          <c:tx>
            <c:strRef>
              <c:f>'Italy EV uptake'!$U$3</c:f>
              <c:strCache>
                <c:ptCount val="1"/>
                <c:pt idx="0">
                  <c:v>Low</c:v>
                </c:pt>
              </c:strCache>
            </c:strRef>
          </c:tx>
          <c:spPr>
            <a:ln w="28575" cap="rnd">
              <a:solidFill>
                <a:schemeClr val="accent3"/>
              </a:solidFill>
              <a:round/>
            </a:ln>
            <a:effectLst/>
          </c:spPr>
          <c:marker>
            <c:symbol val="none"/>
          </c:marker>
          <c:cat>
            <c:numRef>
              <c:f>'Italy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uptake'!$U$4:$U$25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0.76587285013852147</c:v>
                </c:pt>
                <c:pt idx="11" formatCode="0.00">
                  <c:v>1.0801594142728115</c:v>
                </c:pt>
                <c:pt idx="12" formatCode="0.00">
                  <c:v>1.6985172888009945</c:v>
                </c:pt>
                <c:pt idx="13" formatCode="0.00">
                  <c:v>2.3527152499978912</c:v>
                </c:pt>
                <c:pt idx="14" formatCode="0.00">
                  <c:v>3.1836225119838621</c:v>
                </c:pt>
                <c:pt idx="15" formatCode="0.00">
                  <c:v>4.3289662334288517</c:v>
                </c:pt>
                <c:pt idx="16" formatCode="0.00">
                  <c:v>5.7869527042521787</c:v>
                </c:pt>
                <c:pt idx="17" formatCode="0.00">
                  <c:v>7.5864559752823526</c:v>
                </c:pt>
                <c:pt idx="18" formatCode="0.00">
                  <c:v>9.7277231663552008</c:v>
                </c:pt>
                <c:pt idx="19" formatCode="0.00">
                  <c:v>12.272308594712749</c:v>
                </c:pt>
                <c:pt idx="20" formatCode="0.00">
                  <c:v>15.073432576987388</c:v>
                </c:pt>
                <c:pt idx="21" formatCode="0.00">
                  <c:v>18.117415375664525</c:v>
                </c:pt>
              </c:numCache>
            </c:numRef>
          </c:val>
          <c:smooth val="0"/>
          <c:extLst>
            <c:ext xmlns:c16="http://schemas.microsoft.com/office/drawing/2014/chart" uri="{C3380CC4-5D6E-409C-BE32-E72D297353CC}">
              <c16:uniqueId val="{00000002-73EF-4A8D-BAB9-3F82ECA46813}"/>
            </c:ext>
          </c:extLst>
        </c:ser>
        <c:dLbls>
          <c:showLegendKey val="0"/>
          <c:showVal val="0"/>
          <c:showCatName val="0"/>
          <c:showSerName val="0"/>
          <c:showPercent val="0"/>
          <c:showBubbleSize val="0"/>
        </c:dLbls>
        <c:smooth val="0"/>
        <c:axId val="598045472"/>
        <c:axId val="598046128"/>
      </c:lineChart>
      <c:catAx>
        <c:axId val="59804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046128"/>
        <c:crosses val="autoZero"/>
        <c:auto val="1"/>
        <c:lblAlgn val="ctr"/>
        <c:lblOffset val="100"/>
        <c:noMultiLvlLbl val="0"/>
      </c:catAx>
      <c:valAx>
        <c:axId val="59804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1111111111111112E-2"/>
              <c:y val="0.277364756488772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uptake'!$X$3</c:f>
              <c:strCache>
                <c:ptCount val="1"/>
                <c:pt idx="0">
                  <c:v>High</c:v>
                </c:pt>
              </c:strCache>
            </c:strRef>
          </c:tx>
          <c:spPr>
            <a:ln w="28575" cap="rnd">
              <a:solidFill>
                <a:schemeClr val="accent1"/>
              </a:solidFill>
              <a:round/>
            </a:ln>
            <a:effectLst/>
          </c:spPr>
          <c:marker>
            <c:symbol val="none"/>
          </c:marker>
          <c:cat>
            <c:numRef>
              <c:f>'Italy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uptake'!$X$4:$X$25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0.56529738592188694</c:v>
                </c:pt>
                <c:pt idx="11" formatCode="0.00">
                  <c:v>0.74586402017508002</c:v>
                </c:pt>
                <c:pt idx="12" formatCode="0.00">
                  <c:v>1.0397797320911304</c:v>
                </c:pt>
                <c:pt idx="13" formatCode="0.00">
                  <c:v>1.3540311958460041</c:v>
                </c:pt>
                <c:pt idx="14" formatCode="0.00">
                  <c:v>1.756493520574905</c:v>
                </c:pt>
                <c:pt idx="15" formatCode="0.00">
                  <c:v>2.25766255222617</c:v>
                </c:pt>
                <c:pt idx="16" formatCode="0.00">
                  <c:v>2.8912249855426873</c:v>
                </c:pt>
                <c:pt idx="17" formatCode="0.00">
                  <c:v>3.6502918763854528</c:v>
                </c:pt>
                <c:pt idx="18" formatCode="0.00">
                  <c:v>4.5482815180144884</c:v>
                </c:pt>
                <c:pt idx="19" formatCode="0.00">
                  <c:v>5.5971454235506508</c:v>
                </c:pt>
                <c:pt idx="20" formatCode="0.00">
                  <c:v>6.8074980679937296</c:v>
                </c:pt>
                <c:pt idx="21" formatCode="0.00">
                  <c:v>8.1791140992587756</c:v>
                </c:pt>
              </c:numCache>
            </c:numRef>
          </c:val>
          <c:smooth val="0"/>
          <c:extLst>
            <c:ext xmlns:c16="http://schemas.microsoft.com/office/drawing/2014/chart" uri="{C3380CC4-5D6E-409C-BE32-E72D297353CC}">
              <c16:uniqueId val="{00000000-5158-4D01-8373-F9BA2598ACF7}"/>
            </c:ext>
          </c:extLst>
        </c:ser>
        <c:ser>
          <c:idx val="1"/>
          <c:order val="1"/>
          <c:tx>
            <c:strRef>
              <c:f>'Italy EV uptake'!$Y$3</c:f>
              <c:strCache>
                <c:ptCount val="1"/>
                <c:pt idx="0">
                  <c:v>Medium</c:v>
                </c:pt>
              </c:strCache>
            </c:strRef>
          </c:tx>
          <c:spPr>
            <a:ln w="28575" cap="rnd">
              <a:solidFill>
                <a:schemeClr val="accent2"/>
              </a:solidFill>
              <a:round/>
            </a:ln>
            <a:effectLst/>
          </c:spPr>
          <c:marker>
            <c:symbol val="none"/>
          </c:marker>
          <c:cat>
            <c:numRef>
              <c:f>'Italy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uptake'!$Y$4:$Y$25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0.79885183226478085</c:v>
                </c:pt>
                <c:pt idx="11" formatCode="0.00">
                  <c:v>1.1131383963990709</c:v>
                </c:pt>
                <c:pt idx="12" formatCode="0.00">
                  <c:v>1.7220737046054655</c:v>
                </c:pt>
                <c:pt idx="13" formatCode="0.00">
                  <c:v>2.3699569093357091</c:v>
                </c:pt>
                <c:pt idx="14" formatCode="0.00">
                  <c:v>3.2917415337684437</c:v>
                </c:pt>
                <c:pt idx="15" formatCode="0.00">
                  <c:v>4.5309701300095435</c:v>
                </c:pt>
                <c:pt idx="16" formatCode="0.00">
                  <c:v>6.0900009554144026</c:v>
                </c:pt>
                <c:pt idx="17" formatCode="0.00">
                  <c:v>8.0091841501325991</c:v>
                </c:pt>
                <c:pt idx="18" formatCode="0.00">
                  <c:v>10.293885746311389</c:v>
                </c:pt>
                <c:pt idx="19" formatCode="0.00">
                  <c:v>12.838471174668937</c:v>
                </c:pt>
                <c:pt idx="20" formatCode="0.00">
                  <c:v>15.639595156943576</c:v>
                </c:pt>
                <c:pt idx="21" formatCode="0.00">
                  <c:v>18.586385836707301</c:v>
                </c:pt>
              </c:numCache>
            </c:numRef>
          </c:val>
          <c:smooth val="0"/>
          <c:extLst>
            <c:ext xmlns:c16="http://schemas.microsoft.com/office/drawing/2014/chart" uri="{C3380CC4-5D6E-409C-BE32-E72D297353CC}">
              <c16:uniqueId val="{00000001-5158-4D01-8373-F9BA2598ACF7}"/>
            </c:ext>
          </c:extLst>
        </c:ser>
        <c:ser>
          <c:idx val="2"/>
          <c:order val="2"/>
          <c:tx>
            <c:strRef>
              <c:f>'Italy EV uptake'!$Z$3</c:f>
              <c:strCache>
                <c:ptCount val="1"/>
                <c:pt idx="0">
                  <c:v>Low</c:v>
                </c:pt>
              </c:strCache>
            </c:strRef>
          </c:tx>
          <c:spPr>
            <a:ln w="28575" cap="rnd">
              <a:solidFill>
                <a:schemeClr val="accent3"/>
              </a:solidFill>
              <a:round/>
            </a:ln>
            <a:effectLst/>
          </c:spPr>
          <c:marker>
            <c:symbol val="none"/>
          </c:marker>
          <c:cat>
            <c:numRef>
              <c:f>'Italy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 EV uptake'!$Z$4:$Z$25</c:f>
              <c:numCache>
                <c:formatCode>General</c:formatCode>
                <c:ptCount val="22"/>
                <c:pt idx="3" formatCode="0.00">
                  <c:v>4.6634398966126429E-2</c:v>
                </c:pt>
                <c:pt idx="4" formatCode="0.00">
                  <c:v>8.2081523558712705E-2</c:v>
                </c:pt>
                <c:pt idx="5" formatCode="0.00">
                  <c:v>0.11049248750991837</c:v>
                </c:pt>
                <c:pt idx="6" formatCode="0.00">
                  <c:v>0.14871484058186824</c:v>
                </c:pt>
                <c:pt idx="7" formatCode="0.00">
                  <c:v>0.15297258907354042</c:v>
                </c:pt>
                <c:pt idx="8" formatCode="0.00">
                  <c:v>0.24606828814625634</c:v>
                </c:pt>
                <c:pt idx="9" formatCode="0.00">
                  <c:v>0.47261854943019649</c:v>
                </c:pt>
                <c:pt idx="10" formatCode="0.00">
                  <c:v>1.0496527845170713</c:v>
                </c:pt>
                <c:pt idx="11" formatCode="0.00">
                  <c:v>1.649395980130191</c:v>
                </c:pt>
                <c:pt idx="12" formatCode="0.00">
                  <c:v>2.9374834049020508</c:v>
                </c:pt>
                <c:pt idx="13" formatCode="0.00">
                  <c:v>4.3669050105077645</c:v>
                </c:pt>
                <c:pt idx="14" formatCode="0.00">
                  <c:v>6.2753922685576953</c:v>
                </c:pt>
                <c:pt idx="15" formatCode="0.00">
                  <c:v>8.8984218985579702</c:v>
                </c:pt>
                <c:pt idx="16" formatCode="0.00">
                  <c:v>12.250239195641225</c:v>
                </c:pt>
                <c:pt idx="17" formatCode="0.00">
                  <c:v>16.48412232323955</c:v>
                </c:pt>
                <c:pt idx="18" formatCode="0.00">
                  <c:v>21.394231942120889</c:v>
                </c:pt>
                <c:pt idx="19" formatCode="0.00">
                  <c:v>26.95086700312461</c:v>
                </c:pt>
                <c:pt idx="20" formatCode="0.00">
                  <c:v>32.637645255189668</c:v>
                </c:pt>
                <c:pt idx="21" formatCode="0.00">
                  <c:v>38.291977364079045</c:v>
                </c:pt>
              </c:numCache>
            </c:numRef>
          </c:val>
          <c:smooth val="0"/>
          <c:extLst>
            <c:ext xmlns:c16="http://schemas.microsoft.com/office/drawing/2014/chart" uri="{C3380CC4-5D6E-409C-BE32-E72D297353CC}">
              <c16:uniqueId val="{00000002-5158-4D01-8373-F9BA2598ACF7}"/>
            </c:ext>
          </c:extLst>
        </c:ser>
        <c:dLbls>
          <c:showLegendKey val="0"/>
          <c:showVal val="0"/>
          <c:showCatName val="0"/>
          <c:showSerName val="0"/>
          <c:showPercent val="0"/>
          <c:showBubbleSize val="0"/>
        </c:dLbls>
        <c:smooth val="0"/>
        <c:axId val="586369368"/>
        <c:axId val="586376912"/>
      </c:lineChart>
      <c:catAx>
        <c:axId val="58636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376912"/>
        <c:crosses val="autoZero"/>
        <c:auto val="1"/>
        <c:lblAlgn val="ctr"/>
        <c:lblOffset val="100"/>
        <c:noMultiLvlLbl val="0"/>
      </c:catAx>
      <c:valAx>
        <c:axId val="586376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36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uptake'!$B$3</c:f>
              <c:strCache>
                <c:ptCount val="1"/>
                <c:pt idx="0">
                  <c:v> EV %sales</c:v>
                </c:pt>
              </c:strCache>
            </c:strRef>
          </c:tx>
          <c:spPr>
            <a:ln w="57150" cap="rnd">
              <a:solidFill>
                <a:schemeClr val="tx1"/>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uptake'!$B$4:$B$45</c:f>
              <c:numCache>
                <c:formatCode>0.00</c:formatCode>
                <c:ptCount val="42"/>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pt idx="9">
                  <c:v>0.4740346269995428</c:v>
                </c:pt>
              </c:numCache>
            </c:numRef>
          </c:val>
          <c:smooth val="0"/>
          <c:extLst>
            <c:ext xmlns:c16="http://schemas.microsoft.com/office/drawing/2014/chart" uri="{C3380CC4-5D6E-409C-BE32-E72D297353CC}">
              <c16:uniqueId val="{00000000-0324-4BC7-9E13-EE3F0BDC3077}"/>
            </c:ext>
          </c:extLst>
        </c:ser>
        <c:ser>
          <c:idx val="3"/>
          <c:order val="1"/>
          <c:tx>
            <c:strRef>
              <c:f>'Italy EV uptake'!$AB$3</c:f>
              <c:strCache>
                <c:ptCount val="1"/>
                <c:pt idx="0">
                  <c:v>predicted raw</c:v>
                </c:pt>
              </c:strCache>
            </c:strRef>
          </c:tx>
          <c:spPr>
            <a:ln w="28575" cap="rnd">
              <a:solidFill>
                <a:schemeClr val="accent4"/>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uptake'!$AB$4:$AB$45</c:f>
              <c:numCache>
                <c:formatCode>0.00</c:formatCode>
                <c:ptCount val="42"/>
                <c:pt idx="2">
                  <c:v>3.1673501110891733E-2</c:v>
                </c:pt>
                <c:pt idx="3">
                  <c:v>4.6634398966126429E-2</c:v>
                </c:pt>
                <c:pt idx="4">
                  <c:v>8.2081523558712705E-2</c:v>
                </c:pt>
                <c:pt idx="5">
                  <c:v>0.11049248750991837</c:v>
                </c:pt>
                <c:pt idx="6">
                  <c:v>0.14871484058186824</c:v>
                </c:pt>
                <c:pt idx="7">
                  <c:v>0.15297258907354042</c:v>
                </c:pt>
                <c:pt idx="8">
                  <c:v>0.24606828814625634</c:v>
                </c:pt>
                <c:pt idx="9">
                  <c:v>0.47261854943019649</c:v>
                </c:pt>
                <c:pt idx="10">
                  <c:v>0.69363502576303426</c:v>
                </c:pt>
                <c:pt idx="11">
                  <c:v>1.0163801931175711</c:v>
                </c:pt>
                <c:pt idx="12">
                  <c:v>1.485827405631815</c:v>
                </c:pt>
                <c:pt idx="13">
                  <c:v>2.164767594639474</c:v>
                </c:pt>
                <c:pt idx="14">
                  <c:v>3.1386148509074898</c:v>
                </c:pt>
                <c:pt idx="15">
                  <c:v>4.5190517009811133</c:v>
                </c:pt>
                <c:pt idx="16">
                  <c:v>6.4433974625468542</c:v>
                </c:pt>
                <c:pt idx="17">
                  <c:v>9.0643752569605045</c:v>
                </c:pt>
                <c:pt idx="18">
                  <c:v>12.523473405238571</c:v>
                </c:pt>
                <c:pt idx="19">
                  <c:v>16.903698286910249</c:v>
                </c:pt>
                <c:pt idx="20">
                  <c:v>22.168747485891053</c:v>
                </c:pt>
                <c:pt idx="21">
                  <c:v>28.115088703950246</c:v>
                </c:pt>
                <c:pt idx="22">
                  <c:v>34.376284275425931</c:v>
                </c:pt>
                <c:pt idx="23">
                  <c:v>40.500788806984481</c:v>
                </c:pt>
                <c:pt idx="24">
                  <c:v>46.074760835613823</c:v>
                </c:pt>
                <c:pt idx="25">
                  <c:v>50.824431532284635</c:v>
                </c:pt>
                <c:pt idx="26">
                  <c:v>54.649850966082099</c:v>
                </c:pt>
                <c:pt idx="27">
                  <c:v>57.593383144374307</c:v>
                </c:pt>
                <c:pt idx="28">
                  <c:v>59.77975278287154</c:v>
                </c:pt>
                <c:pt idx="29">
                  <c:v>61.361498328668745</c:v>
                </c:pt>
                <c:pt idx="30">
                  <c:v>62.484142134015258</c:v>
                </c:pt>
                <c:pt idx="31">
                  <c:v>63.270164051956705</c:v>
                </c:pt>
                <c:pt idx="32">
                  <c:v>63.815267723868956</c:v>
                </c:pt>
                <c:pt idx="33">
                  <c:v>64.190795940668991</c:v>
                </c:pt>
                <c:pt idx="34">
                  <c:v>64.448320856161956</c:v>
                </c:pt>
                <c:pt idx="35">
                  <c:v>64.624369416601994</c:v>
                </c:pt>
                <c:pt idx="36">
                  <c:v>64.744461162732719</c:v>
                </c:pt>
                <c:pt idx="37">
                  <c:v>64.826261950877139</c:v>
                </c:pt>
                <c:pt idx="38">
                  <c:v>64.881925162732273</c:v>
                </c:pt>
                <c:pt idx="39">
                  <c:v>64.919776738784535</c:v>
                </c:pt>
                <c:pt idx="40">
                  <c:v>64.945504322518516</c:v>
                </c:pt>
                <c:pt idx="41">
                  <c:v>64.962985779562317</c:v>
                </c:pt>
              </c:numCache>
            </c:numRef>
          </c:val>
          <c:smooth val="0"/>
          <c:extLst>
            <c:ext xmlns:c16="http://schemas.microsoft.com/office/drawing/2014/chart" uri="{C3380CC4-5D6E-409C-BE32-E72D297353CC}">
              <c16:uniqueId val="{00000003-0324-4BC7-9E13-EE3F0BDC3077}"/>
            </c:ext>
          </c:extLst>
        </c:ser>
        <c:dLbls>
          <c:showLegendKey val="0"/>
          <c:showVal val="0"/>
          <c:showCatName val="0"/>
          <c:showSerName val="0"/>
          <c:showPercent val="0"/>
          <c:showBubbleSize val="0"/>
        </c:dLbls>
        <c:smooth val="0"/>
        <c:axId val="222657976"/>
        <c:axId val="222662896"/>
      </c:lineChart>
      <c:catAx>
        <c:axId val="2226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62896"/>
        <c:crosses val="autoZero"/>
        <c:auto val="1"/>
        <c:lblAlgn val="ctr"/>
        <c:lblOffset val="100"/>
        <c:noMultiLvlLbl val="0"/>
      </c:catAx>
      <c:valAx>
        <c:axId val="22266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77364756488772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57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Canada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%sales'!$BK$81</c:f>
              <c:strCache>
                <c:ptCount val="1"/>
                <c:pt idx="0">
                  <c:v>748</c:v>
                </c:pt>
              </c:strCache>
            </c:strRef>
          </c:tx>
          <c:spPr>
            <a:ln w="28575" cap="rnd">
              <a:solidFill>
                <a:schemeClr val="accent1"/>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%sales'!$BK$82:$BK$89</c:f>
              <c:numCache>
                <c:formatCode>0</c:formatCode>
                <c:ptCount val="8"/>
                <c:pt idx="0">
                  <c:v>710</c:v>
                </c:pt>
                <c:pt idx="1">
                  <c:v>691</c:v>
                </c:pt>
                <c:pt idx="2">
                  <c:v>732</c:v>
                </c:pt>
                <c:pt idx="3">
                  <c:v>759</c:v>
                </c:pt>
                <c:pt idx="4">
                  <c:v>806</c:v>
                </c:pt>
                <c:pt idx="5">
                  <c:v>855.35617977528091</c:v>
                </c:pt>
                <c:pt idx="6">
                  <c:v>888.8640449438202</c:v>
                </c:pt>
                <c:pt idx="7">
                  <c:v>934.14494382022474</c:v>
                </c:pt>
              </c:numCache>
            </c:numRef>
          </c:val>
          <c:smooth val="0"/>
          <c:extLst>
            <c:ext xmlns:c16="http://schemas.microsoft.com/office/drawing/2014/chart" uri="{C3380CC4-5D6E-409C-BE32-E72D297353CC}">
              <c16:uniqueId val="{00000000-870D-4318-A9F9-E82F9B24BC40}"/>
            </c:ext>
          </c:extLst>
        </c:ser>
        <c:ser>
          <c:idx val="1"/>
          <c:order val="1"/>
          <c:tx>
            <c:strRef>
              <c:f>'EV %sales'!$CI$81</c:f>
              <c:strCache>
                <c:ptCount val="1"/>
                <c:pt idx="0">
                  <c:v>748</c:v>
                </c:pt>
              </c:strCache>
            </c:strRef>
          </c:tx>
          <c:spPr>
            <a:ln w="28575" cap="rnd">
              <a:solidFill>
                <a:schemeClr val="accent2"/>
              </a:solidFill>
              <a:round/>
            </a:ln>
            <a:effectLst/>
          </c:spPr>
          <c:marker>
            <c:symbol val="none"/>
          </c:marker>
          <c:cat>
            <c:numRef>
              <c:f>'EV %sales'!$BG$82:$BG$89</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%sales'!$CI$82:$CI$89</c:f>
              <c:numCache>
                <c:formatCode>0</c:formatCode>
                <c:ptCount val="8"/>
                <c:pt idx="0">
                  <c:v>710.21400000000006</c:v>
                </c:pt>
                <c:pt idx="1">
                  <c:v>691.07899999999995</c:v>
                </c:pt>
                <c:pt idx="2">
                  <c:v>759.024</c:v>
                </c:pt>
                <c:pt idx="3">
                  <c:v>461.37799999999999</c:v>
                </c:pt>
                <c:pt idx="4">
                  <c:v>756.79300000000001</c:v>
                </c:pt>
                <c:pt idx="5">
                  <c:v>713.05799999999999</c:v>
                </c:pt>
                <c:pt idx="6">
                  <c:v>661.11</c:v>
                </c:pt>
                <c:pt idx="7">
                  <c:v>646.96</c:v>
                </c:pt>
              </c:numCache>
            </c:numRef>
          </c:val>
          <c:smooth val="0"/>
          <c:extLst>
            <c:ext xmlns:c16="http://schemas.microsoft.com/office/drawing/2014/chart" uri="{C3380CC4-5D6E-409C-BE32-E72D297353CC}">
              <c16:uniqueId val="{00000001-870D-4318-A9F9-E82F9B24BC40}"/>
            </c:ext>
          </c:extLst>
        </c:ser>
        <c:dLbls>
          <c:showLegendKey val="0"/>
          <c:showVal val="0"/>
          <c:showCatName val="0"/>
          <c:showSerName val="0"/>
          <c:showPercent val="0"/>
          <c:showBubbleSize val="0"/>
        </c:dLbls>
        <c:smooth val="0"/>
        <c:axId val="451982872"/>
        <c:axId val="451975328"/>
      </c:lineChart>
      <c:catAx>
        <c:axId val="4519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975328"/>
        <c:crosses val="autoZero"/>
        <c:auto val="1"/>
        <c:lblAlgn val="ctr"/>
        <c:lblOffset val="100"/>
        <c:noMultiLvlLbl val="0"/>
      </c:catAx>
      <c:valAx>
        <c:axId val="45197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982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uptake'!$B$3</c:f>
              <c:strCache>
                <c:ptCount val="1"/>
                <c:pt idx="0">
                  <c:v> EV %sales</c:v>
                </c:pt>
              </c:strCache>
            </c:strRef>
          </c:tx>
          <c:spPr>
            <a:ln w="57150" cap="rnd">
              <a:solidFill>
                <a:schemeClr val="tx1"/>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uptake'!$B$4:$B$45</c:f>
              <c:numCache>
                <c:formatCode>0.00</c:formatCode>
                <c:ptCount val="42"/>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pt idx="9">
                  <c:v>0.4740346269995428</c:v>
                </c:pt>
              </c:numCache>
            </c:numRef>
          </c:val>
          <c:smooth val="0"/>
          <c:extLst>
            <c:ext xmlns:c16="http://schemas.microsoft.com/office/drawing/2014/chart" uri="{C3380CC4-5D6E-409C-BE32-E72D297353CC}">
              <c16:uniqueId val="{00000000-E3D1-4627-BC30-82FCADDF3E5C}"/>
            </c:ext>
          </c:extLst>
        </c:ser>
        <c:ser>
          <c:idx val="2"/>
          <c:order val="1"/>
          <c:tx>
            <c:strRef>
              <c:f>'Italy EV uptake'!$L$3</c:f>
              <c:strCache>
                <c:ptCount val="1"/>
                <c:pt idx="0">
                  <c:v>Predicted Cost</c:v>
                </c:pt>
              </c:strCache>
            </c:strRef>
          </c:tx>
          <c:spPr>
            <a:ln w="28575" cap="rnd">
              <a:solidFill>
                <a:schemeClr val="accent3"/>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uptake'!$L$4:$L$45</c:f>
              <c:numCache>
                <c:formatCode>0.00</c:formatCode>
                <c:ptCount val="42"/>
                <c:pt idx="3" formatCode="0.000">
                  <c:v>3.1673501110891733E-2</c:v>
                </c:pt>
                <c:pt idx="4" formatCode="0.000">
                  <c:v>4.6634398966126429E-2</c:v>
                </c:pt>
                <c:pt idx="5" formatCode="0.000">
                  <c:v>0.11049248750991837</c:v>
                </c:pt>
                <c:pt idx="6" formatCode="0.000">
                  <c:v>0.14871484058186824</c:v>
                </c:pt>
                <c:pt idx="7" formatCode="0.000">
                  <c:v>0.15297258907354042</c:v>
                </c:pt>
                <c:pt idx="8" formatCode="0.000">
                  <c:v>0.24606828814625634</c:v>
                </c:pt>
                <c:pt idx="9" formatCode="0.000">
                  <c:v>0.51633492910611978</c:v>
                </c:pt>
                <c:pt idx="10" formatCode="0.000">
                  <c:v>0.78290589241777453</c:v>
                </c:pt>
                <c:pt idx="11" formatCode="0.000">
                  <c:v>1.1666457537164181</c:v>
                </c:pt>
                <c:pt idx="12" formatCode="0.000">
                  <c:v>1.699845014011877</c:v>
                </c:pt>
                <c:pt idx="13" formatCode="0.000">
                  <c:v>2.464928349055493</c:v>
                </c:pt>
                <c:pt idx="14" formatCode="0.000">
                  <c:v>4.0745273618240789</c:v>
                </c:pt>
                <c:pt idx="15" formatCode="0.000">
                  <c:v>6.2820565617454305</c:v>
                </c:pt>
                <c:pt idx="16" formatCode="0.000">
                  <c:v>9.2298427001995851</c:v>
                </c:pt>
                <c:pt idx="17" formatCode="0.000">
                  <c:v>14.225137470808136</c:v>
                </c:pt>
                <c:pt idx="18" formatCode="0.000">
                  <c:v>20.196583985697099</c:v>
                </c:pt>
                <c:pt idx="19" formatCode="0.000">
                  <c:v>26.483866695701899</c:v>
                </c:pt>
                <c:pt idx="20" formatCode="0.000">
                  <c:v>33.194124181776949</c:v>
                </c:pt>
                <c:pt idx="21" formatCode="0.000">
                  <c:v>39.978270830851827</c:v>
                </c:pt>
                <c:pt idx="22" formatCode="0.000">
                  <c:v>45.285223283278199</c:v>
                </c:pt>
                <c:pt idx="23" formatCode="0.000">
                  <c:v>49.928643057067873</c:v>
                </c:pt>
                <c:pt idx="24" formatCode="0.000">
                  <c:v>53.784435852245281</c:v>
                </c:pt>
                <c:pt idx="25" formatCode="0.000">
                  <c:v>56.841783350856268</c:v>
                </c:pt>
                <c:pt idx="26" formatCode="0.000">
                  <c:v>59.173725471202388</c:v>
                </c:pt>
                <c:pt idx="27" formatCode="0.000">
                  <c:v>60.897788088377311</c:v>
                </c:pt>
                <c:pt idx="28" formatCode="0.000">
                  <c:v>62.142165004276237</c:v>
                </c:pt>
                <c:pt idx="29" formatCode="0.000">
                  <c:v>63.02437363583573</c:v>
                </c:pt>
                <c:pt idx="30" formatCode="0.000">
                  <c:v>63.641738141334372</c:v>
                </c:pt>
                <c:pt idx="31" formatCode="0.000">
                  <c:v>64.069783597851725</c:v>
                </c:pt>
                <c:pt idx="32" formatCode="0.000">
                  <c:v>64.364643020006923</c:v>
                </c:pt>
                <c:pt idx="33" formatCode="0.000">
                  <c:v>64.566841865408563</c:v>
                </c:pt>
                <c:pt idx="34" formatCode="0.000">
                  <c:v>64.705067709821222</c:v>
                </c:pt>
                <c:pt idx="35" formatCode="0.000">
                  <c:v>64.799358886345743</c:v>
                </c:pt>
                <c:pt idx="36" formatCode="0.000">
                  <c:v>64.863585867529039</c:v>
                </c:pt>
                <c:pt idx="37" formatCode="0.000">
                  <c:v>64.907290790894962</c:v>
                </c:pt>
                <c:pt idx="38" formatCode="0.000">
                  <c:v>64.937010720400394</c:v>
                </c:pt>
                <c:pt idx="39" formatCode="0.000">
                  <c:v>64.957211312707543</c:v>
                </c:pt>
                <c:pt idx="40" formatCode="0.000">
                  <c:v>64.970937302566171</c:v>
                </c:pt>
                <c:pt idx="41" formatCode="0.000">
                  <c:v>64.980261904049115</c:v>
                </c:pt>
              </c:numCache>
            </c:numRef>
          </c:val>
          <c:smooth val="0"/>
          <c:extLst>
            <c:ext xmlns:c16="http://schemas.microsoft.com/office/drawing/2014/chart" uri="{C3380CC4-5D6E-409C-BE32-E72D297353CC}">
              <c16:uniqueId val="{00000002-E3D1-4627-BC30-82FCADDF3E5C}"/>
            </c:ext>
          </c:extLst>
        </c:ser>
        <c:ser>
          <c:idx val="3"/>
          <c:order val="2"/>
          <c:tx>
            <c:strRef>
              <c:f>'Italy EV uptake'!$AB$3</c:f>
              <c:strCache>
                <c:ptCount val="1"/>
                <c:pt idx="0">
                  <c:v>predicted raw</c:v>
                </c:pt>
              </c:strCache>
            </c:strRef>
          </c:tx>
          <c:spPr>
            <a:ln w="28575" cap="rnd">
              <a:solidFill>
                <a:schemeClr val="accent4"/>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uptake'!$AB$4:$AB$45</c:f>
              <c:numCache>
                <c:formatCode>0.00</c:formatCode>
                <c:ptCount val="42"/>
                <c:pt idx="2">
                  <c:v>3.1673501110891733E-2</c:v>
                </c:pt>
                <c:pt idx="3">
                  <c:v>4.6634398966126429E-2</c:v>
                </c:pt>
                <c:pt idx="4">
                  <c:v>8.2081523558712705E-2</c:v>
                </c:pt>
                <c:pt idx="5">
                  <c:v>0.11049248750991837</c:v>
                </c:pt>
                <c:pt idx="6">
                  <c:v>0.14871484058186824</c:v>
                </c:pt>
                <c:pt idx="7">
                  <c:v>0.15297258907354042</c:v>
                </c:pt>
                <c:pt idx="8">
                  <c:v>0.24606828814625634</c:v>
                </c:pt>
                <c:pt idx="9">
                  <c:v>0.47261854943019649</c:v>
                </c:pt>
                <c:pt idx="10">
                  <c:v>0.69363502576303426</c:v>
                </c:pt>
                <c:pt idx="11">
                  <c:v>1.0163801931175711</c:v>
                </c:pt>
                <c:pt idx="12">
                  <c:v>1.485827405631815</c:v>
                </c:pt>
                <c:pt idx="13">
                  <c:v>2.164767594639474</c:v>
                </c:pt>
                <c:pt idx="14">
                  <c:v>3.1386148509074898</c:v>
                </c:pt>
                <c:pt idx="15">
                  <c:v>4.5190517009811133</c:v>
                </c:pt>
                <c:pt idx="16">
                  <c:v>6.4433974625468542</c:v>
                </c:pt>
                <c:pt idx="17">
                  <c:v>9.0643752569605045</c:v>
                </c:pt>
                <c:pt idx="18">
                  <c:v>12.523473405238571</c:v>
                </c:pt>
                <c:pt idx="19">
                  <c:v>16.903698286910249</c:v>
                </c:pt>
                <c:pt idx="20">
                  <c:v>22.168747485891053</c:v>
                </c:pt>
                <c:pt idx="21">
                  <c:v>28.115088703950246</c:v>
                </c:pt>
                <c:pt idx="22">
                  <c:v>34.376284275425931</c:v>
                </c:pt>
                <c:pt idx="23">
                  <c:v>40.500788806984481</c:v>
                </c:pt>
                <c:pt idx="24">
                  <c:v>46.074760835613823</c:v>
                </c:pt>
                <c:pt idx="25">
                  <c:v>50.824431532284635</c:v>
                </c:pt>
                <c:pt idx="26">
                  <c:v>54.649850966082099</c:v>
                </c:pt>
                <c:pt idx="27">
                  <c:v>57.593383144374307</c:v>
                </c:pt>
                <c:pt idx="28">
                  <c:v>59.77975278287154</c:v>
                </c:pt>
                <c:pt idx="29">
                  <c:v>61.361498328668745</c:v>
                </c:pt>
                <c:pt idx="30">
                  <c:v>62.484142134015258</c:v>
                </c:pt>
                <c:pt idx="31">
                  <c:v>63.270164051956705</c:v>
                </c:pt>
                <c:pt idx="32">
                  <c:v>63.815267723868956</c:v>
                </c:pt>
                <c:pt idx="33">
                  <c:v>64.190795940668991</c:v>
                </c:pt>
                <c:pt idx="34">
                  <c:v>64.448320856161956</c:v>
                </c:pt>
                <c:pt idx="35">
                  <c:v>64.624369416601994</c:v>
                </c:pt>
                <c:pt idx="36">
                  <c:v>64.744461162732719</c:v>
                </c:pt>
                <c:pt idx="37">
                  <c:v>64.826261950877139</c:v>
                </c:pt>
                <c:pt idx="38">
                  <c:v>64.881925162732273</c:v>
                </c:pt>
                <c:pt idx="39">
                  <c:v>64.919776738784535</c:v>
                </c:pt>
                <c:pt idx="40">
                  <c:v>64.945504322518516</c:v>
                </c:pt>
                <c:pt idx="41">
                  <c:v>64.962985779562317</c:v>
                </c:pt>
              </c:numCache>
            </c:numRef>
          </c:val>
          <c:smooth val="0"/>
          <c:extLst>
            <c:ext xmlns:c16="http://schemas.microsoft.com/office/drawing/2014/chart" uri="{C3380CC4-5D6E-409C-BE32-E72D297353CC}">
              <c16:uniqueId val="{00000003-E3D1-4627-BC30-82FCADDF3E5C}"/>
            </c:ext>
          </c:extLst>
        </c:ser>
        <c:dLbls>
          <c:showLegendKey val="0"/>
          <c:showVal val="0"/>
          <c:showCatName val="0"/>
          <c:showSerName val="0"/>
          <c:showPercent val="0"/>
          <c:showBubbleSize val="0"/>
        </c:dLbls>
        <c:smooth val="0"/>
        <c:axId val="222657976"/>
        <c:axId val="222662896"/>
      </c:lineChart>
      <c:catAx>
        <c:axId val="2226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62896"/>
        <c:crosses val="autoZero"/>
        <c:auto val="1"/>
        <c:lblAlgn val="ctr"/>
        <c:lblOffset val="100"/>
        <c:noMultiLvlLbl val="0"/>
      </c:catAx>
      <c:valAx>
        <c:axId val="22266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77364756488772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57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 EV uptake'!$B$3</c:f>
              <c:strCache>
                <c:ptCount val="1"/>
                <c:pt idx="0">
                  <c:v> EV %sales</c:v>
                </c:pt>
              </c:strCache>
            </c:strRef>
          </c:tx>
          <c:spPr>
            <a:ln w="57150" cap="rnd">
              <a:solidFill>
                <a:schemeClr val="tx1"/>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uptake'!$B$4:$B$45</c:f>
              <c:numCache>
                <c:formatCode>0.00</c:formatCode>
                <c:ptCount val="42"/>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pt idx="9">
                  <c:v>0.4740346269995428</c:v>
                </c:pt>
              </c:numCache>
            </c:numRef>
          </c:val>
          <c:smooth val="0"/>
          <c:extLst>
            <c:ext xmlns:c16="http://schemas.microsoft.com/office/drawing/2014/chart" uri="{C3380CC4-5D6E-409C-BE32-E72D297353CC}">
              <c16:uniqueId val="{00000000-69CC-48F1-BBD3-127224229861}"/>
            </c:ext>
          </c:extLst>
        </c:ser>
        <c:ser>
          <c:idx val="1"/>
          <c:order val="1"/>
          <c:tx>
            <c:strRef>
              <c:f>'Italy EV uptake'!$C$3</c:f>
              <c:strCache>
                <c:ptCount val="1"/>
                <c:pt idx="0">
                  <c:v>Predicted Cost Lagged</c:v>
                </c:pt>
              </c:strCache>
            </c:strRef>
          </c:tx>
          <c:spPr>
            <a:ln w="28575" cap="rnd">
              <a:solidFill>
                <a:schemeClr val="accent2"/>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uptake'!$C$4:$C$45</c:f>
              <c:numCache>
                <c:formatCode>0.00</c:formatCode>
                <c:ptCount val="42"/>
                <c:pt idx="3">
                  <c:v>4.6634398966126429E-2</c:v>
                </c:pt>
                <c:pt idx="4">
                  <c:v>8.2081523558712705E-2</c:v>
                </c:pt>
                <c:pt idx="5">
                  <c:v>0.11049248750991837</c:v>
                </c:pt>
                <c:pt idx="6">
                  <c:v>0.14871484058186824</c:v>
                </c:pt>
                <c:pt idx="7">
                  <c:v>0.15297258907354042</c:v>
                </c:pt>
                <c:pt idx="8">
                  <c:v>0.24606828814625634</c:v>
                </c:pt>
                <c:pt idx="9">
                  <c:v>0.47261854943019649</c:v>
                </c:pt>
                <c:pt idx="10">
                  <c:v>0.79885183226478085</c:v>
                </c:pt>
                <c:pt idx="11">
                  <c:v>1.1131383963990709</c:v>
                </c:pt>
                <c:pt idx="12">
                  <c:v>1.7220737046054655</c:v>
                </c:pt>
                <c:pt idx="13">
                  <c:v>2.3699569093357091</c:v>
                </c:pt>
                <c:pt idx="14">
                  <c:v>3.2917415337684437</c:v>
                </c:pt>
                <c:pt idx="15">
                  <c:v>4.5309701300095435</c:v>
                </c:pt>
                <c:pt idx="16">
                  <c:v>6.0900009554144026</c:v>
                </c:pt>
                <c:pt idx="17">
                  <c:v>8.0091841501325991</c:v>
                </c:pt>
                <c:pt idx="18">
                  <c:v>10.293885746311389</c:v>
                </c:pt>
                <c:pt idx="19">
                  <c:v>12.838471174668937</c:v>
                </c:pt>
                <c:pt idx="20">
                  <c:v>15.639595156943576</c:v>
                </c:pt>
                <c:pt idx="21">
                  <c:v>18.586385836707301</c:v>
                </c:pt>
                <c:pt idx="22">
                  <c:v>21.644637668562154</c:v>
                </c:pt>
                <c:pt idx="23">
                  <c:v>24.803517653624453</c:v>
                </c:pt>
                <c:pt idx="24">
                  <c:v>27.998858376571174</c:v>
                </c:pt>
                <c:pt idx="25">
                  <c:v>31.138291268627935</c:v>
                </c:pt>
                <c:pt idx="26">
                  <c:v>34.274158691978428</c:v>
                </c:pt>
                <c:pt idx="27">
                  <c:v>37.347456716300776</c:v>
                </c:pt>
                <c:pt idx="28">
                  <c:v>40.30282601774848</c:v>
                </c:pt>
                <c:pt idx="29">
                  <c:v>43.101068426274978</c:v>
                </c:pt>
                <c:pt idx="30">
                  <c:v>45.711996159636143</c:v>
                </c:pt>
                <c:pt idx="31">
                  <c:v>48.116011769222844</c:v>
                </c:pt>
                <c:pt idx="32">
                  <c:v>50.304092836827785</c:v>
                </c:pt>
                <c:pt idx="33">
                  <c:v>52.276532122181713</c:v>
                </c:pt>
                <c:pt idx="34">
                  <c:v>54.04096418043077</c:v>
                </c:pt>
                <c:pt idx="35">
                  <c:v>55.610181748818093</c:v>
                </c:pt>
                <c:pt idx="36">
                  <c:v>56.99213821844905</c:v>
                </c:pt>
                <c:pt idx="37">
                  <c:v>58.198662431203907</c:v>
                </c:pt>
                <c:pt idx="38">
                  <c:v>59.244042680617497</c:v>
                </c:pt>
                <c:pt idx="39">
                  <c:v>60.143827237769933</c:v>
                </c:pt>
                <c:pt idx="40">
                  <c:v>60.902140147650108</c:v>
                </c:pt>
                <c:pt idx="41">
                  <c:v>61.519184029919494</c:v>
                </c:pt>
              </c:numCache>
            </c:numRef>
          </c:val>
          <c:smooth val="0"/>
          <c:extLst>
            <c:ext xmlns:c16="http://schemas.microsoft.com/office/drawing/2014/chart" uri="{C3380CC4-5D6E-409C-BE32-E72D297353CC}">
              <c16:uniqueId val="{00000001-69CC-48F1-BBD3-127224229861}"/>
            </c:ext>
          </c:extLst>
        </c:ser>
        <c:ser>
          <c:idx val="2"/>
          <c:order val="2"/>
          <c:tx>
            <c:strRef>
              <c:f>'Italy EV uptake'!$L$3</c:f>
              <c:strCache>
                <c:ptCount val="1"/>
                <c:pt idx="0">
                  <c:v>Predicted Cost</c:v>
                </c:pt>
              </c:strCache>
            </c:strRef>
          </c:tx>
          <c:spPr>
            <a:ln w="28575" cap="rnd">
              <a:solidFill>
                <a:schemeClr val="accent3"/>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uptake'!$L$4:$L$45</c:f>
              <c:numCache>
                <c:formatCode>0.00</c:formatCode>
                <c:ptCount val="42"/>
                <c:pt idx="3" formatCode="0.000">
                  <c:v>3.1673501110891733E-2</c:v>
                </c:pt>
                <c:pt idx="4" formatCode="0.000">
                  <c:v>4.6634398966126429E-2</c:v>
                </c:pt>
                <c:pt idx="5" formatCode="0.000">
                  <c:v>0.11049248750991837</c:v>
                </c:pt>
                <c:pt idx="6" formatCode="0.000">
                  <c:v>0.14871484058186824</c:v>
                </c:pt>
                <c:pt idx="7" formatCode="0.000">
                  <c:v>0.15297258907354042</c:v>
                </c:pt>
                <c:pt idx="8" formatCode="0.000">
                  <c:v>0.24606828814625634</c:v>
                </c:pt>
                <c:pt idx="9" formatCode="0.000">
                  <c:v>0.51633492910611978</c:v>
                </c:pt>
                <c:pt idx="10" formatCode="0.000">
                  <c:v>0.78290589241777453</c:v>
                </c:pt>
                <c:pt idx="11" formatCode="0.000">
                  <c:v>1.1666457537164181</c:v>
                </c:pt>
                <c:pt idx="12" formatCode="0.000">
                  <c:v>1.699845014011877</c:v>
                </c:pt>
                <c:pt idx="13" formatCode="0.000">
                  <c:v>2.464928349055493</c:v>
                </c:pt>
                <c:pt idx="14" formatCode="0.000">
                  <c:v>4.0745273618240789</c:v>
                </c:pt>
                <c:pt idx="15" formatCode="0.000">
                  <c:v>6.2820565617454305</c:v>
                </c:pt>
                <c:pt idx="16" formatCode="0.000">
                  <c:v>9.2298427001995851</c:v>
                </c:pt>
                <c:pt idx="17" formatCode="0.000">
                  <c:v>14.225137470808136</c:v>
                </c:pt>
                <c:pt idx="18" formatCode="0.000">
                  <c:v>20.196583985697099</c:v>
                </c:pt>
                <c:pt idx="19" formatCode="0.000">
                  <c:v>26.483866695701899</c:v>
                </c:pt>
                <c:pt idx="20" formatCode="0.000">
                  <c:v>33.194124181776949</c:v>
                </c:pt>
                <c:pt idx="21" formatCode="0.000">
                  <c:v>39.978270830851827</c:v>
                </c:pt>
                <c:pt idx="22" formatCode="0.000">
                  <c:v>45.285223283278199</c:v>
                </c:pt>
                <c:pt idx="23" formatCode="0.000">
                  <c:v>49.928643057067873</c:v>
                </c:pt>
                <c:pt idx="24" formatCode="0.000">
                  <c:v>53.784435852245281</c:v>
                </c:pt>
                <c:pt idx="25" formatCode="0.000">
                  <c:v>56.841783350856268</c:v>
                </c:pt>
                <c:pt idx="26" formatCode="0.000">
                  <c:v>59.173725471202388</c:v>
                </c:pt>
                <c:pt idx="27" formatCode="0.000">
                  <c:v>60.897788088377311</c:v>
                </c:pt>
                <c:pt idx="28" formatCode="0.000">
                  <c:v>62.142165004276237</c:v>
                </c:pt>
                <c:pt idx="29" formatCode="0.000">
                  <c:v>63.02437363583573</c:v>
                </c:pt>
                <c:pt idx="30" formatCode="0.000">
                  <c:v>63.641738141334372</c:v>
                </c:pt>
                <c:pt idx="31" formatCode="0.000">
                  <c:v>64.069783597851725</c:v>
                </c:pt>
                <c:pt idx="32" formatCode="0.000">
                  <c:v>64.364643020006923</c:v>
                </c:pt>
                <c:pt idx="33" formatCode="0.000">
                  <c:v>64.566841865408563</c:v>
                </c:pt>
                <c:pt idx="34" formatCode="0.000">
                  <c:v>64.705067709821222</c:v>
                </c:pt>
                <c:pt idx="35" formatCode="0.000">
                  <c:v>64.799358886345743</c:v>
                </c:pt>
                <c:pt idx="36" formatCode="0.000">
                  <c:v>64.863585867529039</c:v>
                </c:pt>
                <c:pt idx="37" formatCode="0.000">
                  <c:v>64.907290790894962</c:v>
                </c:pt>
                <c:pt idx="38" formatCode="0.000">
                  <c:v>64.937010720400394</c:v>
                </c:pt>
                <c:pt idx="39" formatCode="0.000">
                  <c:v>64.957211312707543</c:v>
                </c:pt>
                <c:pt idx="40" formatCode="0.000">
                  <c:v>64.970937302566171</c:v>
                </c:pt>
                <c:pt idx="41" formatCode="0.000">
                  <c:v>64.980261904049115</c:v>
                </c:pt>
              </c:numCache>
            </c:numRef>
          </c:val>
          <c:smooth val="0"/>
          <c:extLst>
            <c:ext xmlns:c16="http://schemas.microsoft.com/office/drawing/2014/chart" uri="{C3380CC4-5D6E-409C-BE32-E72D297353CC}">
              <c16:uniqueId val="{00000002-69CC-48F1-BBD3-127224229861}"/>
            </c:ext>
          </c:extLst>
        </c:ser>
        <c:ser>
          <c:idx val="3"/>
          <c:order val="3"/>
          <c:tx>
            <c:strRef>
              <c:f>'Italy EV uptake'!$AB$3</c:f>
              <c:strCache>
                <c:ptCount val="1"/>
                <c:pt idx="0">
                  <c:v>predicted raw</c:v>
                </c:pt>
              </c:strCache>
            </c:strRef>
          </c:tx>
          <c:spPr>
            <a:ln w="28575" cap="rnd">
              <a:solidFill>
                <a:schemeClr val="accent4"/>
              </a:solidFill>
              <a:round/>
            </a:ln>
            <a:effectLst/>
          </c:spPr>
          <c:marker>
            <c:symbol val="none"/>
          </c:marker>
          <c:cat>
            <c:numRef>
              <c:f>'Italy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'Italy EV uptake'!$AB$4:$AB$45</c:f>
              <c:numCache>
                <c:formatCode>0.00</c:formatCode>
                <c:ptCount val="42"/>
                <c:pt idx="2">
                  <c:v>3.1673501110891733E-2</c:v>
                </c:pt>
                <c:pt idx="3">
                  <c:v>4.6634398966126429E-2</c:v>
                </c:pt>
                <c:pt idx="4">
                  <c:v>8.2081523558712705E-2</c:v>
                </c:pt>
                <c:pt idx="5">
                  <c:v>0.11049248750991837</c:v>
                </c:pt>
                <c:pt idx="6">
                  <c:v>0.14871484058186824</c:v>
                </c:pt>
                <c:pt idx="7">
                  <c:v>0.15297258907354042</c:v>
                </c:pt>
                <c:pt idx="8">
                  <c:v>0.24606828814625634</c:v>
                </c:pt>
                <c:pt idx="9">
                  <c:v>0.47261854943019649</c:v>
                </c:pt>
                <c:pt idx="10">
                  <c:v>0.69363502576303426</c:v>
                </c:pt>
                <c:pt idx="11">
                  <c:v>1.0163801931175711</c:v>
                </c:pt>
                <c:pt idx="12">
                  <c:v>1.485827405631815</c:v>
                </c:pt>
                <c:pt idx="13">
                  <c:v>2.164767594639474</c:v>
                </c:pt>
                <c:pt idx="14">
                  <c:v>3.1386148509074898</c:v>
                </c:pt>
                <c:pt idx="15">
                  <c:v>4.5190517009811133</c:v>
                </c:pt>
                <c:pt idx="16">
                  <c:v>6.4433974625468542</c:v>
                </c:pt>
                <c:pt idx="17">
                  <c:v>9.0643752569605045</c:v>
                </c:pt>
                <c:pt idx="18">
                  <c:v>12.523473405238571</c:v>
                </c:pt>
                <c:pt idx="19">
                  <c:v>16.903698286910249</c:v>
                </c:pt>
                <c:pt idx="20">
                  <c:v>22.168747485891053</c:v>
                </c:pt>
                <c:pt idx="21">
                  <c:v>28.115088703950246</c:v>
                </c:pt>
                <c:pt idx="22">
                  <c:v>34.376284275425931</c:v>
                </c:pt>
                <c:pt idx="23">
                  <c:v>40.500788806984481</c:v>
                </c:pt>
                <c:pt idx="24">
                  <c:v>46.074760835613823</c:v>
                </c:pt>
                <c:pt idx="25">
                  <c:v>50.824431532284635</c:v>
                </c:pt>
                <c:pt idx="26">
                  <c:v>54.649850966082099</c:v>
                </c:pt>
                <c:pt idx="27">
                  <c:v>57.593383144374307</c:v>
                </c:pt>
                <c:pt idx="28">
                  <c:v>59.77975278287154</c:v>
                </c:pt>
                <c:pt idx="29">
                  <c:v>61.361498328668745</c:v>
                </c:pt>
                <c:pt idx="30">
                  <c:v>62.484142134015258</c:v>
                </c:pt>
                <c:pt idx="31">
                  <c:v>63.270164051956705</c:v>
                </c:pt>
                <c:pt idx="32">
                  <c:v>63.815267723868956</c:v>
                </c:pt>
                <c:pt idx="33">
                  <c:v>64.190795940668991</c:v>
                </c:pt>
                <c:pt idx="34">
                  <c:v>64.448320856161956</c:v>
                </c:pt>
                <c:pt idx="35">
                  <c:v>64.624369416601994</c:v>
                </c:pt>
                <c:pt idx="36">
                  <c:v>64.744461162732719</c:v>
                </c:pt>
                <c:pt idx="37">
                  <c:v>64.826261950877139</c:v>
                </c:pt>
                <c:pt idx="38">
                  <c:v>64.881925162732273</c:v>
                </c:pt>
                <c:pt idx="39">
                  <c:v>64.919776738784535</c:v>
                </c:pt>
                <c:pt idx="40">
                  <c:v>64.945504322518516</c:v>
                </c:pt>
                <c:pt idx="41">
                  <c:v>64.962985779562317</c:v>
                </c:pt>
              </c:numCache>
            </c:numRef>
          </c:val>
          <c:smooth val="0"/>
          <c:extLst>
            <c:ext xmlns:c16="http://schemas.microsoft.com/office/drawing/2014/chart" uri="{C3380CC4-5D6E-409C-BE32-E72D297353CC}">
              <c16:uniqueId val="{00000003-69CC-48F1-BBD3-127224229861}"/>
            </c:ext>
          </c:extLst>
        </c:ser>
        <c:dLbls>
          <c:showLegendKey val="0"/>
          <c:showVal val="0"/>
          <c:showCatName val="0"/>
          <c:showSerName val="0"/>
          <c:showPercent val="0"/>
          <c:showBubbleSize val="0"/>
        </c:dLbls>
        <c:smooth val="0"/>
        <c:axId val="222657976"/>
        <c:axId val="222662896"/>
      </c:lineChart>
      <c:catAx>
        <c:axId val="2226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62896"/>
        <c:crosses val="autoZero"/>
        <c:auto val="1"/>
        <c:lblAlgn val="ctr"/>
        <c:lblOffset val="100"/>
        <c:noMultiLvlLbl val="0"/>
      </c:catAx>
      <c:valAx>
        <c:axId val="22266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77364756488772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57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Italy!$N$2</c:f>
              <c:strCache>
                <c:ptCount val="1"/>
                <c:pt idx="0">
                  <c:v>BEV price</c:v>
                </c:pt>
              </c:strCache>
            </c:strRef>
          </c:tx>
          <c:spPr>
            <a:ln w="60325" cap="rnd">
              <a:solidFill>
                <a:schemeClr val="accent1"/>
              </a:solidFill>
              <a:round/>
            </a:ln>
            <a:effectLst/>
          </c:spPr>
          <c:marker>
            <c:symbol val="none"/>
          </c:marker>
          <c:cat>
            <c:numRef>
              <c:f>Italy!$M$3:$M$24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Italy!$N$3:$N$24</c:f>
              <c:numCache>
                <c:formatCode>0</c:formatCode>
                <c:ptCount val="22"/>
                <c:pt idx="0">
                  <c:v>27012.449163204627</c:v>
                </c:pt>
                <c:pt idx="1">
                  <c:v>28762.166532298244</c:v>
                </c:pt>
                <c:pt idx="2">
                  <c:v>27205.879597376701</c:v>
                </c:pt>
                <c:pt idx="3">
                  <c:v>30331.447205655284</c:v>
                </c:pt>
                <c:pt idx="4">
                  <c:v>29776.001845585262</c:v>
                </c:pt>
                <c:pt idx="5">
                  <c:v>29443.024006505952</c:v>
                </c:pt>
                <c:pt idx="6">
                  <c:v>34606.875572127086</c:v>
                </c:pt>
                <c:pt idx="7">
                  <c:v>34636.943021444022</c:v>
                </c:pt>
                <c:pt idx="8">
                  <c:v>33733.644282649679</c:v>
                </c:pt>
                <c:pt idx="9">
                  <c:v>33174.008582550203</c:v>
                </c:pt>
                <c:pt idx="10">
                  <c:v>33776.394833452447</c:v>
                </c:pt>
                <c:pt idx="11">
                  <c:v>33582.381538991802</c:v>
                </c:pt>
                <c:pt idx="12">
                  <c:v>32774.357070292426</c:v>
                </c:pt>
                <c:pt idx="13">
                  <c:v>33226.225464477589</c:v>
                </c:pt>
                <c:pt idx="14">
                  <c:v>32934.923469350011</c:v>
                </c:pt>
                <c:pt idx="15">
                  <c:v>31808.839144021029</c:v>
                </c:pt>
                <c:pt idx="16">
                  <c:v>30842.08073460696</c:v>
                </c:pt>
                <c:pt idx="17">
                  <c:v>30291.324482061576</c:v>
                </c:pt>
                <c:pt idx="18">
                  <c:v>29740.568229516193</c:v>
                </c:pt>
                <c:pt idx="19">
                  <c:v>29120.967445402639</c:v>
                </c:pt>
                <c:pt idx="20">
                  <c:v>28570.211192857267</c:v>
                </c:pt>
                <c:pt idx="21">
                  <c:v>27950.610408743712</c:v>
                </c:pt>
              </c:numCache>
            </c:numRef>
          </c:val>
          <c:smooth val="0"/>
          <c:extLst>
            <c:ext xmlns:c16="http://schemas.microsoft.com/office/drawing/2014/chart" uri="{C3380CC4-5D6E-409C-BE32-E72D297353CC}">
              <c16:uniqueId val="{00000000-46ED-4AB6-9128-972A16EB69F4}"/>
            </c:ext>
          </c:extLst>
        </c:ser>
        <c:ser>
          <c:idx val="1"/>
          <c:order val="1"/>
          <c:tx>
            <c:strRef>
              <c:f>Italy!$O$2</c:f>
              <c:strCache>
                <c:ptCount val="1"/>
                <c:pt idx="0">
                  <c:v>PHEV price</c:v>
                </c:pt>
              </c:strCache>
            </c:strRef>
          </c:tx>
          <c:spPr>
            <a:ln w="15875" cap="rnd">
              <a:solidFill>
                <a:schemeClr val="accent2"/>
              </a:solidFill>
              <a:round/>
            </a:ln>
            <a:effectLst/>
          </c:spPr>
          <c:marker>
            <c:symbol val="none"/>
          </c:marker>
          <c:cat>
            <c:numRef>
              <c:f>Italy!$M$3:$M$24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Italy!$O$3:$O$24</c:f>
              <c:numCache>
                <c:formatCode>0</c:formatCode>
                <c:ptCount val="22"/>
                <c:pt idx="0">
                  <c:v>27012.449163204627</c:v>
                </c:pt>
                <c:pt idx="1">
                  <c:v>28762.166532298244</c:v>
                </c:pt>
                <c:pt idx="2">
                  <c:v>27205.879597376701</c:v>
                </c:pt>
                <c:pt idx="3">
                  <c:v>30331.447205655284</c:v>
                </c:pt>
                <c:pt idx="4">
                  <c:v>29776.001845585262</c:v>
                </c:pt>
                <c:pt idx="5">
                  <c:v>29443.024006505952</c:v>
                </c:pt>
                <c:pt idx="6">
                  <c:v>34606.875572127086</c:v>
                </c:pt>
                <c:pt idx="7">
                  <c:v>34636.943021444022</c:v>
                </c:pt>
                <c:pt idx="8">
                  <c:v>33733.644282649679</c:v>
                </c:pt>
                <c:pt idx="9">
                  <c:v>33174.008582550203</c:v>
                </c:pt>
                <c:pt idx="10">
                  <c:v>33776.394833452447</c:v>
                </c:pt>
                <c:pt idx="11">
                  <c:v>33582.381538991802</c:v>
                </c:pt>
                <c:pt idx="12">
                  <c:v>32774.357070292426</c:v>
                </c:pt>
                <c:pt idx="13">
                  <c:v>33226.225464477589</c:v>
                </c:pt>
                <c:pt idx="14">
                  <c:v>32934.923469350011</c:v>
                </c:pt>
                <c:pt idx="15">
                  <c:v>31808.839144021029</c:v>
                </c:pt>
                <c:pt idx="16">
                  <c:v>30842.08073460696</c:v>
                </c:pt>
                <c:pt idx="17">
                  <c:v>30291.324482061576</c:v>
                </c:pt>
                <c:pt idx="18">
                  <c:v>29740.568229516193</c:v>
                </c:pt>
                <c:pt idx="19">
                  <c:v>29120.967445402639</c:v>
                </c:pt>
                <c:pt idx="20">
                  <c:v>28570.211192857267</c:v>
                </c:pt>
                <c:pt idx="21">
                  <c:v>27950.610408743712</c:v>
                </c:pt>
              </c:numCache>
            </c:numRef>
          </c:val>
          <c:smooth val="0"/>
          <c:extLst>
            <c:ext xmlns:c16="http://schemas.microsoft.com/office/drawing/2014/chart" uri="{C3380CC4-5D6E-409C-BE32-E72D297353CC}">
              <c16:uniqueId val="{00000001-46ED-4AB6-9128-972A16EB69F4}"/>
            </c:ext>
          </c:extLst>
        </c:ser>
        <c:ser>
          <c:idx val="2"/>
          <c:order val="2"/>
          <c:tx>
            <c:strRef>
              <c:f>Italy!$P$2</c:f>
              <c:strCache>
                <c:ptCount val="1"/>
                <c:pt idx="0">
                  <c:v>FFV price</c:v>
                </c:pt>
              </c:strCache>
            </c:strRef>
          </c:tx>
          <c:spPr>
            <a:ln w="28575" cap="rnd">
              <a:solidFill>
                <a:schemeClr val="tx1"/>
              </a:solidFill>
              <a:round/>
            </a:ln>
            <a:effectLst/>
          </c:spPr>
          <c:marker>
            <c:symbol val="none"/>
          </c:marker>
          <c:cat>
            <c:numRef>
              <c:f>Italy!$M$3:$M$24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Italy!$P$3:$P$24</c:f>
              <c:numCache>
                <c:formatCode>0</c:formatCode>
                <c:ptCount val="22"/>
                <c:pt idx="0">
                  <c:v>19867.699000000004</c:v>
                </c:pt>
                <c:pt idx="1">
                  <c:v>20939.327674761986</c:v>
                </c:pt>
                <c:pt idx="2">
                  <c:v>19746.174357988803</c:v>
                </c:pt>
                <c:pt idx="3">
                  <c:v>21537.621602116909</c:v>
                </c:pt>
                <c:pt idx="4">
                  <c:v>20918.94171259928</c:v>
                </c:pt>
                <c:pt idx="5">
                  <c:v>21252.302743789391</c:v>
                </c:pt>
                <c:pt idx="6">
                  <c:v>25420.271271964099</c:v>
                </c:pt>
                <c:pt idx="7">
                  <c:v>25443.322983107086</c:v>
                </c:pt>
                <c:pt idx="8">
                  <c:v>24750.793950031424</c:v>
                </c:pt>
                <c:pt idx="9">
                  <c:v>23851</c:v>
                </c:pt>
                <c:pt idx="10">
                  <c:v>23851</c:v>
                </c:pt>
                <c:pt idx="11">
                  <c:v>23851</c:v>
                </c:pt>
                <c:pt idx="12">
                  <c:v>23851</c:v>
                </c:pt>
                <c:pt idx="13">
                  <c:v>23851</c:v>
                </c:pt>
                <c:pt idx="14">
                  <c:v>23851</c:v>
                </c:pt>
                <c:pt idx="15">
                  <c:v>23851</c:v>
                </c:pt>
                <c:pt idx="16">
                  <c:v>23851</c:v>
                </c:pt>
                <c:pt idx="17">
                  <c:v>23851</c:v>
                </c:pt>
                <c:pt idx="18">
                  <c:v>23851</c:v>
                </c:pt>
                <c:pt idx="19">
                  <c:v>23851</c:v>
                </c:pt>
                <c:pt idx="20">
                  <c:v>23851</c:v>
                </c:pt>
                <c:pt idx="21">
                  <c:v>23851</c:v>
                </c:pt>
              </c:numCache>
            </c:numRef>
          </c:val>
          <c:smooth val="0"/>
          <c:extLst>
            <c:ext xmlns:c16="http://schemas.microsoft.com/office/drawing/2014/chart" uri="{C3380CC4-5D6E-409C-BE32-E72D297353CC}">
              <c16:uniqueId val="{00000002-46ED-4AB6-9128-972A16EB69F4}"/>
            </c:ext>
          </c:extLst>
        </c:ser>
        <c:dLbls>
          <c:showLegendKey val="0"/>
          <c:showVal val="0"/>
          <c:showCatName val="0"/>
          <c:showSerName val="0"/>
          <c:showPercent val="0"/>
          <c:showBubbleSize val="0"/>
        </c:dLbls>
        <c:smooth val="0"/>
        <c:axId val="574588688"/>
        <c:axId val="574582128"/>
      </c:lineChart>
      <c:catAx>
        <c:axId val="57458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582128"/>
        <c:crosses val="autoZero"/>
        <c:auto val="1"/>
        <c:lblAlgn val="ctr"/>
        <c:lblOffset val="100"/>
        <c:noMultiLvlLbl val="0"/>
      </c:catAx>
      <c:valAx>
        <c:axId val="57458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58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uptake'!$AD$3</c:f>
              <c:strCache>
                <c:ptCount val="1"/>
                <c:pt idx="0">
                  <c:v> Linearized  Logistic</c:v>
                </c:pt>
              </c:strCache>
            </c:strRef>
          </c:tx>
          <c:spPr>
            <a:ln w="44450" cap="rnd">
              <a:solidFill>
                <a:schemeClr val="tx1"/>
              </a:solidFill>
              <a:round/>
            </a:ln>
            <a:effectLst/>
          </c:spPr>
          <c:marker>
            <c:symbol val="none"/>
          </c:marker>
          <c:cat>
            <c:numRef>
              <c:f>'Japan EV uptake'!$A$7:$A$13</c:f>
              <c:numCache>
                <c:formatCode>General</c:formatCode>
                <c:ptCount val="7"/>
                <c:pt idx="0">
                  <c:v>2012</c:v>
                </c:pt>
                <c:pt idx="1">
                  <c:v>2013</c:v>
                </c:pt>
                <c:pt idx="2">
                  <c:v>2014</c:v>
                </c:pt>
                <c:pt idx="3">
                  <c:v>2015</c:v>
                </c:pt>
                <c:pt idx="4">
                  <c:v>2016</c:v>
                </c:pt>
                <c:pt idx="5">
                  <c:v>2017</c:v>
                </c:pt>
                <c:pt idx="6">
                  <c:v>2018</c:v>
                </c:pt>
              </c:numCache>
            </c:numRef>
          </c:cat>
          <c:val>
            <c:numRef>
              <c:f>'Japan EV uptake'!$AD$7:$AD$13</c:f>
              <c:numCache>
                <c:formatCode>General</c:formatCode>
                <c:ptCount val="7"/>
                <c:pt idx="0">
                  <c:v>-4.7924439991005121</c:v>
                </c:pt>
                <c:pt idx="1">
                  <c:v>-4.6217971172499688</c:v>
                </c:pt>
                <c:pt idx="2">
                  <c:v>-4.5391514742134049</c:v>
                </c:pt>
                <c:pt idx="3">
                  <c:v>-4.7020465368251614</c:v>
                </c:pt>
                <c:pt idx="4">
                  <c:v>-4.6769947252680772</c:v>
                </c:pt>
                <c:pt idx="5">
                  <c:v>-3.9113620727745571</c:v>
                </c:pt>
                <c:pt idx="6">
                  <c:v>-3.75972485252638</c:v>
                </c:pt>
              </c:numCache>
            </c:numRef>
          </c:val>
          <c:smooth val="0"/>
          <c:extLst>
            <c:ext xmlns:c16="http://schemas.microsoft.com/office/drawing/2014/chart" uri="{C3380CC4-5D6E-409C-BE32-E72D297353CC}">
              <c16:uniqueId val="{00000000-8EFC-4339-B6EE-CF9E8446577C}"/>
            </c:ext>
          </c:extLst>
        </c:ser>
        <c:ser>
          <c:idx val="1"/>
          <c:order val="1"/>
          <c:tx>
            <c:strRef>
              <c:f>'Japan EV uptake'!$AF$3</c:f>
              <c:strCache>
                <c:ptCount val="1"/>
                <c:pt idx="0">
                  <c:v>predicted</c:v>
                </c:pt>
              </c:strCache>
            </c:strRef>
          </c:tx>
          <c:spPr>
            <a:ln w="28575" cap="rnd">
              <a:solidFill>
                <a:schemeClr val="accent2"/>
              </a:solidFill>
              <a:round/>
            </a:ln>
            <a:effectLst/>
          </c:spPr>
          <c:marker>
            <c:symbol val="none"/>
          </c:marker>
          <c:cat>
            <c:numRef>
              <c:f>'Japan EV uptake'!$A$7:$A$13</c:f>
              <c:numCache>
                <c:formatCode>General</c:formatCode>
                <c:ptCount val="7"/>
                <c:pt idx="0">
                  <c:v>2012</c:v>
                </c:pt>
                <c:pt idx="1">
                  <c:v>2013</c:v>
                </c:pt>
                <c:pt idx="2">
                  <c:v>2014</c:v>
                </c:pt>
                <c:pt idx="3">
                  <c:v>2015</c:v>
                </c:pt>
                <c:pt idx="4">
                  <c:v>2016</c:v>
                </c:pt>
                <c:pt idx="5">
                  <c:v>2017</c:v>
                </c:pt>
                <c:pt idx="6">
                  <c:v>2018</c:v>
                </c:pt>
              </c:numCache>
            </c:numRef>
          </c:cat>
          <c:val>
            <c:numRef>
              <c:f>'Japan EV uptake'!$AF$7:$AF$13</c:f>
              <c:numCache>
                <c:formatCode>General</c:formatCode>
                <c:ptCount val="7"/>
                <c:pt idx="0">
                  <c:v>-4.7944084758510552</c:v>
                </c:pt>
                <c:pt idx="1">
                  <c:v>-4.6204194416947386</c:v>
                </c:pt>
                <c:pt idx="2">
                  <c:v>-4.5329907626134212</c:v>
                </c:pt>
                <c:pt idx="3">
                  <c:v>-4.7052431487571029</c:v>
                </c:pt>
                <c:pt idx="4">
                  <c:v>-4.6755213730591176</c:v>
                </c:pt>
                <c:pt idx="5">
                  <c:v>-3.9244633050694699</c:v>
                </c:pt>
                <c:pt idx="6">
                  <c:v>-3.7504742709131529</c:v>
                </c:pt>
              </c:numCache>
            </c:numRef>
          </c:val>
          <c:smooth val="0"/>
          <c:extLst>
            <c:ext xmlns:c16="http://schemas.microsoft.com/office/drawing/2014/chart" uri="{C3380CC4-5D6E-409C-BE32-E72D297353CC}">
              <c16:uniqueId val="{00000001-8EFC-4339-B6EE-CF9E8446577C}"/>
            </c:ext>
          </c:extLst>
        </c:ser>
        <c:dLbls>
          <c:showLegendKey val="0"/>
          <c:showVal val="0"/>
          <c:showCatName val="0"/>
          <c:showSerName val="0"/>
          <c:showPercent val="0"/>
          <c:showBubbleSize val="0"/>
        </c:dLbls>
        <c:smooth val="0"/>
        <c:axId val="719315960"/>
        <c:axId val="719312352"/>
      </c:lineChart>
      <c:catAx>
        <c:axId val="719315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312352"/>
        <c:crosses val="autoZero"/>
        <c:auto val="1"/>
        <c:lblAlgn val="ctr"/>
        <c:lblOffset val="100"/>
        <c:noMultiLvlLbl val="0"/>
      </c:catAx>
      <c:valAx>
        <c:axId val="71931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315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uptake'!$B$3</c:f>
              <c:strCache>
                <c:ptCount val="1"/>
                <c:pt idx="0">
                  <c:v>EV %sales</c:v>
                </c:pt>
              </c:strCache>
            </c:strRef>
          </c:tx>
          <c:spPr>
            <a:ln w="44450" cap="rnd">
              <a:solidFill>
                <a:schemeClr val="tx1"/>
              </a:solidFill>
              <a:round/>
            </a:ln>
            <a:effectLst/>
          </c:spPr>
          <c:marker>
            <c:symbol val="none"/>
          </c:marker>
          <c:cat>
            <c:numRef>
              <c:f>'Japan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'Japan EV uptake'!$B$4:$B$13</c:f>
              <c:numCache>
                <c:formatCode>0.00</c:formatCode>
                <c:ptCount val="10"/>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pt idx="9">
                  <c:v>1.4794040625614888</c:v>
                </c:pt>
              </c:numCache>
            </c:numRef>
          </c:val>
          <c:smooth val="0"/>
          <c:extLst>
            <c:ext xmlns:c16="http://schemas.microsoft.com/office/drawing/2014/chart" uri="{C3380CC4-5D6E-409C-BE32-E72D297353CC}">
              <c16:uniqueId val="{00000000-EEBF-4CBC-BB12-8F9250701031}"/>
            </c:ext>
          </c:extLst>
        </c:ser>
        <c:ser>
          <c:idx val="1"/>
          <c:order val="1"/>
          <c:tx>
            <c:strRef>
              <c:f>'Japan EV uptake'!$AB$3</c:f>
              <c:strCache>
                <c:ptCount val="1"/>
                <c:pt idx="0">
                  <c:v>predicted raw</c:v>
                </c:pt>
              </c:strCache>
            </c:strRef>
          </c:tx>
          <c:spPr>
            <a:ln w="28575" cap="rnd">
              <a:solidFill>
                <a:schemeClr val="accent2"/>
              </a:solidFill>
              <a:round/>
            </a:ln>
            <a:effectLst/>
          </c:spPr>
          <c:marker>
            <c:symbol val="none"/>
          </c:marker>
          <c:cat>
            <c:numRef>
              <c:f>'Japan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'Japan EV uptake'!$AB$4:$AB$13</c:f>
              <c:numCache>
                <c:formatCode>0.00</c:formatCode>
                <c:ptCount val="10"/>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numCache>
            </c:numRef>
          </c:val>
          <c:smooth val="0"/>
          <c:extLst>
            <c:ext xmlns:c16="http://schemas.microsoft.com/office/drawing/2014/chart" uri="{C3380CC4-5D6E-409C-BE32-E72D297353CC}">
              <c16:uniqueId val="{00000001-EEBF-4CBC-BB12-8F9250701031}"/>
            </c:ext>
          </c:extLst>
        </c:ser>
        <c:dLbls>
          <c:showLegendKey val="0"/>
          <c:showVal val="0"/>
          <c:showCatName val="0"/>
          <c:showSerName val="0"/>
          <c:showPercent val="0"/>
          <c:showBubbleSize val="0"/>
        </c:dLbls>
        <c:smooth val="0"/>
        <c:axId val="739221912"/>
        <c:axId val="739222568"/>
      </c:lineChart>
      <c:catAx>
        <c:axId val="73922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222568"/>
        <c:crosses val="autoZero"/>
        <c:auto val="1"/>
        <c:lblAlgn val="ctr"/>
        <c:lblOffset val="100"/>
        <c:noMultiLvlLbl val="0"/>
      </c:catAx>
      <c:valAx>
        <c:axId val="739222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308047535724701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221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uptake'!$B$3</c:f>
              <c:strCache>
                <c:ptCount val="1"/>
                <c:pt idx="0">
                  <c:v>EV %sales</c:v>
                </c:pt>
              </c:strCache>
            </c:strRef>
          </c:tx>
          <c:spPr>
            <a:ln w="44450" cap="rnd">
              <a:solidFill>
                <a:schemeClr val="tx1"/>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uptake'!$B$4:$B$45</c:f>
              <c:numCache>
                <c:formatCode>0.00</c:formatCode>
                <c:ptCount val="42"/>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pt idx="9">
                  <c:v>1.4794040625614888</c:v>
                </c:pt>
              </c:numCache>
            </c:numRef>
          </c:val>
          <c:smooth val="0"/>
          <c:extLst>
            <c:ext xmlns:c16="http://schemas.microsoft.com/office/drawing/2014/chart" uri="{C3380CC4-5D6E-409C-BE32-E72D297353CC}">
              <c16:uniqueId val="{00000000-0AFF-4E6A-9141-1C8E9B7AA7D5}"/>
            </c:ext>
          </c:extLst>
        </c:ser>
        <c:ser>
          <c:idx val="3"/>
          <c:order val="1"/>
          <c:tx>
            <c:strRef>
              <c:f>'Japan EV uptake'!$AB$3</c:f>
              <c:strCache>
                <c:ptCount val="1"/>
                <c:pt idx="0">
                  <c:v>predicted raw</c:v>
                </c:pt>
              </c:strCache>
            </c:strRef>
          </c:tx>
          <c:spPr>
            <a:ln w="28575" cap="rnd">
              <a:solidFill>
                <a:schemeClr val="accent4"/>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uptake'!$AB$4:$AB$45</c:f>
              <c:numCache>
                <c:formatCode>0.00</c:formatCode>
                <c:ptCount val="42"/>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pt idx="10">
                  <c:v>1.7688193798116725</c:v>
                </c:pt>
                <c:pt idx="11">
                  <c:v>2.0941403093031719</c:v>
                </c:pt>
                <c:pt idx="12">
                  <c:v>2.4769503709961866</c:v>
                </c:pt>
                <c:pt idx="13">
                  <c:v>2.9264828480241376</c:v>
                </c:pt>
                <c:pt idx="14">
                  <c:v>3.4530934847635457</c:v>
                </c:pt>
                <c:pt idx="15">
                  <c:v>4.0682552925428244</c:v>
                </c:pt>
                <c:pt idx="16">
                  <c:v>4.7844877499604683</c:v>
                </c:pt>
                <c:pt idx="17">
                  <c:v>5.6151953688923006</c:v>
                </c:pt>
                <c:pt idx="18">
                  <c:v>6.5743873969310416</c:v>
                </c:pt>
                <c:pt idx="19">
                  <c:v>7.6762496412036976</c:v>
                </c:pt>
                <c:pt idx="20">
                  <c:v>8.934542906055853</c:v>
                </c:pt>
                <c:pt idx="21">
                  <c:v>10.361812576120002</c:v>
                </c:pt>
                <c:pt idx="22">
                  <c:v>11.968412618693254</c:v>
                </c:pt>
                <c:pt idx="23">
                  <c:v>13.761376026223918</c:v>
                </c:pt>
                <c:pt idx="24">
                  <c:v>15.743201724789555</c:v>
                </c:pt>
                <c:pt idx="25">
                  <c:v>17.910671129207994</c:v>
                </c:pt>
                <c:pt idx="26">
                  <c:v>20.253847466681552</c:v>
                </c:pt>
                <c:pt idx="27">
                  <c:v>22.755435479348741</c:v>
                </c:pt>
                <c:pt idx="28">
                  <c:v>25.390674501188812</c:v>
                </c:pt>
                <c:pt idx="29">
                  <c:v>28.127893831324712</c:v>
                </c:pt>
                <c:pt idx="30">
                  <c:v>30.929774511876143</c:v>
                </c:pt>
                <c:pt idx="31">
                  <c:v>33.75524808240845</c:v>
                </c:pt>
                <c:pt idx="32">
                  <c:v>36.561845540565074</c:v>
                </c:pt>
                <c:pt idx="33">
                  <c:v>39.308219812173668</c:v>
                </c:pt>
                <c:pt idx="34">
                  <c:v>41.956529000752447</c:v>
                </c:pt>
                <c:pt idx="35">
                  <c:v>44.474396657088121</c:v>
                </c:pt>
                <c:pt idx="36">
                  <c:v>46.836250329996133</c:v>
                </c:pt>
                <c:pt idx="37">
                  <c:v>49.023955507259231</c:v>
                </c:pt>
                <c:pt idx="38">
                  <c:v>51.026777447396739</c:v>
                </c:pt>
                <c:pt idx="39">
                  <c:v>52.840792280996041</c:v>
                </c:pt>
                <c:pt idx="40">
                  <c:v>54.4679175370295</c:v>
                </c:pt>
                <c:pt idx="41">
                  <c:v>55.914740872004735</c:v>
                </c:pt>
              </c:numCache>
            </c:numRef>
          </c:val>
          <c:smooth val="0"/>
          <c:extLst>
            <c:ext xmlns:c16="http://schemas.microsoft.com/office/drawing/2014/chart" uri="{C3380CC4-5D6E-409C-BE32-E72D297353CC}">
              <c16:uniqueId val="{00000003-0AFF-4E6A-9141-1C8E9B7AA7D5}"/>
            </c:ext>
          </c:extLst>
        </c:ser>
        <c:dLbls>
          <c:showLegendKey val="0"/>
          <c:showVal val="0"/>
          <c:showCatName val="0"/>
          <c:showSerName val="0"/>
          <c:showPercent val="0"/>
          <c:showBubbleSize val="0"/>
        </c:dLbls>
        <c:smooth val="0"/>
        <c:axId val="716325960"/>
        <c:axId val="716331536"/>
      </c:lineChart>
      <c:catAx>
        <c:axId val="716325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31536"/>
        <c:crosses val="autoZero"/>
        <c:auto val="1"/>
        <c:lblAlgn val="ctr"/>
        <c:lblOffset val="100"/>
        <c:noMultiLvlLbl val="0"/>
      </c:catAx>
      <c:valAx>
        <c:axId val="71633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5113350125944584E-2"/>
              <c:y val="0.335488012692443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25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uptake'!$B$3</c:f>
              <c:strCache>
                <c:ptCount val="1"/>
                <c:pt idx="0">
                  <c:v>EV %sales</c:v>
                </c:pt>
              </c:strCache>
            </c:strRef>
          </c:tx>
          <c:spPr>
            <a:ln w="44450" cap="rnd">
              <a:solidFill>
                <a:schemeClr val="tx1"/>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uptake'!$B$4:$B$45</c:f>
              <c:numCache>
                <c:formatCode>0.00</c:formatCode>
                <c:ptCount val="42"/>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pt idx="9">
                  <c:v>1.4794040625614888</c:v>
                </c:pt>
              </c:numCache>
            </c:numRef>
          </c:val>
          <c:smooth val="0"/>
          <c:extLst>
            <c:ext xmlns:c16="http://schemas.microsoft.com/office/drawing/2014/chart" uri="{C3380CC4-5D6E-409C-BE32-E72D297353CC}">
              <c16:uniqueId val="{00000000-9533-4E95-84D7-B490E35FA1D0}"/>
            </c:ext>
          </c:extLst>
        </c:ser>
        <c:ser>
          <c:idx val="2"/>
          <c:order val="1"/>
          <c:tx>
            <c:strRef>
              <c:f>'Japan EV uptake'!$L$3</c:f>
              <c:strCache>
                <c:ptCount val="1"/>
                <c:pt idx="0">
                  <c:v>Predicted cost</c:v>
                </c:pt>
              </c:strCache>
            </c:strRef>
          </c:tx>
          <c:spPr>
            <a:ln w="28575" cap="rnd">
              <a:solidFill>
                <a:schemeClr val="accent3"/>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uptake'!$L$4:$L$45</c:f>
              <c:numCache>
                <c:formatCode>0.00</c:formatCode>
                <c:ptCount val="42"/>
                <c:pt idx="3" formatCode="0.000">
                  <c:v>0.37763544019268991</c:v>
                </c:pt>
                <c:pt idx="4" formatCode="0.000">
                  <c:v>0.69122173256355823</c:v>
                </c:pt>
                <c:pt idx="5" formatCode="0.000">
                  <c:v>0.63391991215036203</c:v>
                </c:pt>
                <c:pt idx="6" formatCode="0.000">
                  <c:v>0.58282814824822404</c:v>
                </c:pt>
                <c:pt idx="7" formatCode="0.000">
                  <c:v>0.60024846680994026</c:v>
                </c:pt>
                <c:pt idx="8" formatCode="0.000">
                  <c:v>1.2590579509713404</c:v>
                </c:pt>
                <c:pt idx="9" formatCode="0.000">
                  <c:v>1.4928371390463264</c:v>
                </c:pt>
                <c:pt idx="10" formatCode="0.000">
                  <c:v>1.8183610300257396</c:v>
                </c:pt>
                <c:pt idx="11" formatCode="0.000">
                  <c:v>2.1518460094362988</c:v>
                </c:pt>
                <c:pt idx="12" formatCode="0.000">
                  <c:v>2.5438972785797427</c:v>
                </c:pt>
                <c:pt idx="13" formatCode="0.000">
                  <c:v>3.1470309526095024</c:v>
                </c:pt>
                <c:pt idx="14" formatCode="0.000">
                  <c:v>3.8512419645273281</c:v>
                </c:pt>
                <c:pt idx="15" formatCode="0.000">
                  <c:v>4.6707293697142989</c:v>
                </c:pt>
                <c:pt idx="16" formatCode="0.000">
                  <c:v>5.6206827283502108</c:v>
                </c:pt>
                <c:pt idx="17" formatCode="0.000">
                  <c:v>6.7169726126086715</c:v>
                </c:pt>
                <c:pt idx="18" formatCode="0.000">
                  <c:v>8.1537575863552298</c:v>
                </c:pt>
                <c:pt idx="19" formatCode="0.000">
                  <c:v>9.7829937178215509</c:v>
                </c:pt>
                <c:pt idx="20" formatCode="0.000">
                  <c:v>11.616756583393256</c:v>
                </c:pt>
                <c:pt idx="21" formatCode="0.000">
                  <c:v>13.663640880994114</c:v>
                </c:pt>
                <c:pt idx="22" formatCode="0.000">
                  <c:v>15.927501793119253</c:v>
                </c:pt>
                <c:pt idx="23" formatCode="0.000">
                  <c:v>18.084906365250351</c:v>
                </c:pt>
                <c:pt idx="24" formatCode="0.000">
                  <c:v>20.410766060243333</c:v>
                </c:pt>
                <c:pt idx="25" formatCode="0.000">
                  <c:v>22.887704481550362</c:v>
                </c:pt>
                <c:pt idx="26" formatCode="0.000">
                  <c:v>25.491525158083995</c:v>
                </c:pt>
                <c:pt idx="27" formatCode="0.000">
                  <c:v>28.191805281229371</c:v>
                </c:pt>
                <c:pt idx="28" formatCode="0.000">
                  <c:v>30.953087293472642</c:v>
                </c:pt>
                <c:pt idx="29" formatCode="0.000">
                  <c:v>33.736596355669612</c:v>
                </c:pt>
                <c:pt idx="30" formatCode="0.000">
                  <c:v>36.502323389555158</c:v>
                </c:pt>
                <c:pt idx="31" formatCode="0.000">
                  <c:v>39.211247818597556</c:v>
                </c:pt>
                <c:pt idx="32" formatCode="0.000">
                  <c:v>41.827448268115084</c:v>
                </c:pt>
                <c:pt idx="33" formatCode="0.000">
                  <c:v>44.319870261453922</c:v>
                </c:pt>
                <c:pt idx="34" formatCode="0.000">
                  <c:v>46.66358178849854</c:v>
                </c:pt>
                <c:pt idx="35" formatCode="0.000">
                  <c:v>48.840434444547249</c:v>
                </c:pt>
                <c:pt idx="36" formatCode="0.000">
                  <c:v>50.839138620535529</c:v>
                </c:pt>
                <c:pt idx="37" formatCode="0.000">
                  <c:v>52.654836728937255</c:v>
                </c:pt>
                <c:pt idx="38" formatCode="0.000">
                  <c:v>54.288306402574484</c:v>
                </c:pt>
                <c:pt idx="39" formatCode="0.000">
                  <c:v>55.744942702265647</c:v>
                </c:pt>
                <c:pt idx="40" formatCode="0.000">
                  <c:v>57.033659033996273</c:v>
                </c:pt>
                <c:pt idx="41" formatCode="0.000">
                  <c:v>58.165819614313492</c:v>
                </c:pt>
              </c:numCache>
            </c:numRef>
          </c:val>
          <c:smooth val="0"/>
          <c:extLst>
            <c:ext xmlns:c16="http://schemas.microsoft.com/office/drawing/2014/chart" uri="{C3380CC4-5D6E-409C-BE32-E72D297353CC}">
              <c16:uniqueId val="{00000002-9533-4E95-84D7-B490E35FA1D0}"/>
            </c:ext>
          </c:extLst>
        </c:ser>
        <c:ser>
          <c:idx val="3"/>
          <c:order val="2"/>
          <c:tx>
            <c:strRef>
              <c:f>'Japan EV uptake'!$AB$3</c:f>
              <c:strCache>
                <c:ptCount val="1"/>
                <c:pt idx="0">
                  <c:v>predicted raw</c:v>
                </c:pt>
              </c:strCache>
            </c:strRef>
          </c:tx>
          <c:spPr>
            <a:ln w="28575" cap="rnd">
              <a:solidFill>
                <a:schemeClr val="accent4"/>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uptake'!$AB$4:$AB$45</c:f>
              <c:numCache>
                <c:formatCode>0.00</c:formatCode>
                <c:ptCount val="42"/>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pt idx="10">
                  <c:v>1.7688193798116725</c:v>
                </c:pt>
                <c:pt idx="11">
                  <c:v>2.0941403093031719</c:v>
                </c:pt>
                <c:pt idx="12">
                  <c:v>2.4769503709961866</c:v>
                </c:pt>
                <c:pt idx="13">
                  <c:v>2.9264828480241376</c:v>
                </c:pt>
                <c:pt idx="14">
                  <c:v>3.4530934847635457</c:v>
                </c:pt>
                <c:pt idx="15">
                  <c:v>4.0682552925428244</c:v>
                </c:pt>
                <c:pt idx="16">
                  <c:v>4.7844877499604683</c:v>
                </c:pt>
                <c:pt idx="17">
                  <c:v>5.6151953688923006</c:v>
                </c:pt>
                <c:pt idx="18">
                  <c:v>6.5743873969310416</c:v>
                </c:pt>
                <c:pt idx="19">
                  <c:v>7.6762496412036976</c:v>
                </c:pt>
                <c:pt idx="20">
                  <c:v>8.934542906055853</c:v>
                </c:pt>
                <c:pt idx="21">
                  <c:v>10.361812576120002</c:v>
                </c:pt>
                <c:pt idx="22">
                  <c:v>11.968412618693254</c:v>
                </c:pt>
                <c:pt idx="23">
                  <c:v>13.761376026223918</c:v>
                </c:pt>
                <c:pt idx="24">
                  <c:v>15.743201724789555</c:v>
                </c:pt>
                <c:pt idx="25">
                  <c:v>17.910671129207994</c:v>
                </c:pt>
                <c:pt idx="26">
                  <c:v>20.253847466681552</c:v>
                </c:pt>
                <c:pt idx="27">
                  <c:v>22.755435479348741</c:v>
                </c:pt>
                <c:pt idx="28">
                  <c:v>25.390674501188812</c:v>
                </c:pt>
                <c:pt idx="29">
                  <c:v>28.127893831324712</c:v>
                </c:pt>
                <c:pt idx="30">
                  <c:v>30.929774511876143</c:v>
                </c:pt>
                <c:pt idx="31">
                  <c:v>33.75524808240845</c:v>
                </c:pt>
                <c:pt idx="32">
                  <c:v>36.561845540565074</c:v>
                </c:pt>
                <c:pt idx="33">
                  <c:v>39.308219812173668</c:v>
                </c:pt>
                <c:pt idx="34">
                  <c:v>41.956529000752447</c:v>
                </c:pt>
                <c:pt idx="35">
                  <c:v>44.474396657088121</c:v>
                </c:pt>
                <c:pt idx="36">
                  <c:v>46.836250329996133</c:v>
                </c:pt>
                <c:pt idx="37">
                  <c:v>49.023955507259231</c:v>
                </c:pt>
                <c:pt idx="38">
                  <c:v>51.026777447396739</c:v>
                </c:pt>
                <c:pt idx="39">
                  <c:v>52.840792280996041</c:v>
                </c:pt>
                <c:pt idx="40">
                  <c:v>54.4679175370295</c:v>
                </c:pt>
                <c:pt idx="41">
                  <c:v>55.914740872004735</c:v>
                </c:pt>
              </c:numCache>
            </c:numRef>
          </c:val>
          <c:smooth val="0"/>
          <c:extLst>
            <c:ext xmlns:c16="http://schemas.microsoft.com/office/drawing/2014/chart" uri="{C3380CC4-5D6E-409C-BE32-E72D297353CC}">
              <c16:uniqueId val="{00000003-9533-4E95-84D7-B490E35FA1D0}"/>
            </c:ext>
          </c:extLst>
        </c:ser>
        <c:dLbls>
          <c:showLegendKey val="0"/>
          <c:showVal val="0"/>
          <c:showCatName val="0"/>
          <c:showSerName val="0"/>
          <c:showPercent val="0"/>
          <c:showBubbleSize val="0"/>
        </c:dLbls>
        <c:smooth val="0"/>
        <c:axId val="716325960"/>
        <c:axId val="716331536"/>
      </c:lineChart>
      <c:catAx>
        <c:axId val="716325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31536"/>
        <c:crosses val="autoZero"/>
        <c:auto val="1"/>
        <c:lblAlgn val="ctr"/>
        <c:lblOffset val="100"/>
        <c:noMultiLvlLbl val="0"/>
      </c:catAx>
      <c:valAx>
        <c:axId val="71633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5113350125944584E-2"/>
              <c:y val="0.328025326125279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25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uptake'!$B$3</c:f>
              <c:strCache>
                <c:ptCount val="1"/>
                <c:pt idx="0">
                  <c:v>EV %sales</c:v>
                </c:pt>
              </c:strCache>
            </c:strRef>
          </c:tx>
          <c:spPr>
            <a:ln w="44450" cap="rnd">
              <a:solidFill>
                <a:schemeClr val="tx1"/>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uptake'!$B$4:$B$45</c:f>
              <c:numCache>
                <c:formatCode>0.00</c:formatCode>
                <c:ptCount val="42"/>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pt idx="9">
                  <c:v>1.4794040625614888</c:v>
                </c:pt>
              </c:numCache>
            </c:numRef>
          </c:val>
          <c:smooth val="0"/>
          <c:extLst>
            <c:ext xmlns:c16="http://schemas.microsoft.com/office/drawing/2014/chart" uri="{C3380CC4-5D6E-409C-BE32-E72D297353CC}">
              <c16:uniqueId val="{00000000-E14C-468D-810A-48F80184464A}"/>
            </c:ext>
          </c:extLst>
        </c:ser>
        <c:ser>
          <c:idx val="1"/>
          <c:order val="1"/>
          <c:tx>
            <c:strRef>
              <c:f>'Japan EV uptake'!$C$3</c:f>
              <c:strCache>
                <c:ptCount val="1"/>
                <c:pt idx="0">
                  <c:v>Predicted Cost Lagged</c:v>
                </c:pt>
              </c:strCache>
            </c:strRef>
          </c:tx>
          <c:spPr>
            <a:ln w="28575" cap="rnd">
              <a:solidFill>
                <a:schemeClr val="accent2"/>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uptake'!$C$4:$C$45</c:f>
              <c:numCache>
                <c:formatCode>0.00</c:formatCode>
                <c:ptCount val="42"/>
                <c:pt idx="3">
                  <c:v>0.37763544019268991</c:v>
                </c:pt>
                <c:pt idx="4">
                  <c:v>0.69122173256355823</c:v>
                </c:pt>
                <c:pt idx="5">
                  <c:v>0.63391991215036203</c:v>
                </c:pt>
                <c:pt idx="6">
                  <c:v>0.58282814824822404</c:v>
                </c:pt>
                <c:pt idx="7">
                  <c:v>0.60024846680994026</c:v>
                </c:pt>
                <c:pt idx="8">
                  <c:v>1.2590579509713404</c:v>
                </c:pt>
                <c:pt idx="9">
                  <c:v>1.4928371390463264</c:v>
                </c:pt>
                <c:pt idx="10">
                  <c:v>1.8531998816118898</c:v>
                </c:pt>
                <c:pt idx="11">
                  <c:v>2.2307944819395216</c:v>
                </c:pt>
                <c:pt idx="12">
                  <c:v>2.8108491062770335</c:v>
                </c:pt>
                <c:pt idx="13">
                  <c:v>3.4005413333204459</c:v>
                </c:pt>
                <c:pt idx="14">
                  <c:v>4.100342987975151</c:v>
                </c:pt>
                <c:pt idx="15">
                  <c:v>4.9577589275349983</c:v>
                </c:pt>
                <c:pt idx="16">
                  <c:v>5.9919155617124007</c:v>
                </c:pt>
                <c:pt idx="17">
                  <c:v>7.2018763661100786</c:v>
                </c:pt>
                <c:pt idx="18">
                  <c:v>8.6036476398910491</c:v>
                </c:pt>
                <c:pt idx="19">
                  <c:v>10.211757986091756</c:v>
                </c:pt>
                <c:pt idx="20">
                  <c:v>11.992361362791774</c:v>
                </c:pt>
                <c:pt idx="21">
                  <c:v>13.948617569596729</c:v>
                </c:pt>
                <c:pt idx="22">
                  <c:v>16.053467126053174</c:v>
                </c:pt>
                <c:pt idx="23">
                  <c:v>18.297543046090663</c:v>
                </c:pt>
                <c:pt idx="24">
                  <c:v>20.665407145781536</c:v>
                </c:pt>
                <c:pt idx="25">
                  <c:v>23.135328061849897</c:v>
                </c:pt>
                <c:pt idx="26">
                  <c:v>25.679484427928521</c:v>
                </c:pt>
                <c:pt idx="27">
                  <c:v>28.310544002829211</c:v>
                </c:pt>
                <c:pt idx="28">
                  <c:v>30.996327111165531</c:v>
                </c:pt>
                <c:pt idx="29">
                  <c:v>33.702004794960494</c:v>
                </c:pt>
                <c:pt idx="30">
                  <c:v>36.39176838115619</c:v>
                </c:pt>
                <c:pt idx="31">
                  <c:v>39.030593596480358</c:v>
                </c:pt>
                <c:pt idx="32">
                  <c:v>41.585928903776733</c:v>
                </c:pt>
                <c:pt idx="33">
                  <c:v>44.029149227329007</c:v>
                </c:pt>
                <c:pt idx="34">
                  <c:v>46.336651132955019</c:v>
                </c:pt>
                <c:pt idx="35">
                  <c:v>48.490516644951718</c:v>
                </c:pt>
                <c:pt idx="36">
                  <c:v>50.478730135544659</c:v>
                </c:pt>
                <c:pt idx="37">
                  <c:v>52.294985674479278</c:v>
                </c:pt>
                <c:pt idx="38">
                  <c:v>53.938162506738557</c:v>
                </c:pt>
                <c:pt idx="39">
                  <c:v>55.411569266460241</c:v>
                </c:pt>
                <c:pt idx="40">
                  <c:v>56.704182507840365</c:v>
                </c:pt>
                <c:pt idx="41">
                  <c:v>57.810184381379663</c:v>
                </c:pt>
              </c:numCache>
            </c:numRef>
          </c:val>
          <c:smooth val="0"/>
          <c:extLst>
            <c:ext xmlns:c16="http://schemas.microsoft.com/office/drawing/2014/chart" uri="{C3380CC4-5D6E-409C-BE32-E72D297353CC}">
              <c16:uniqueId val="{00000001-E14C-468D-810A-48F80184464A}"/>
            </c:ext>
          </c:extLst>
        </c:ser>
        <c:ser>
          <c:idx val="2"/>
          <c:order val="2"/>
          <c:tx>
            <c:strRef>
              <c:f>'Japan EV uptake'!$L$3</c:f>
              <c:strCache>
                <c:ptCount val="1"/>
                <c:pt idx="0">
                  <c:v>Predicted cost</c:v>
                </c:pt>
              </c:strCache>
            </c:strRef>
          </c:tx>
          <c:spPr>
            <a:ln w="28575" cap="rnd">
              <a:solidFill>
                <a:schemeClr val="accent3"/>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uptake'!$L$4:$L$45</c:f>
              <c:numCache>
                <c:formatCode>0.00</c:formatCode>
                <c:ptCount val="42"/>
                <c:pt idx="3" formatCode="0.000">
                  <c:v>0.37763544019268991</c:v>
                </c:pt>
                <c:pt idx="4" formatCode="0.000">
                  <c:v>0.69122173256355823</c:v>
                </c:pt>
                <c:pt idx="5" formatCode="0.000">
                  <c:v>0.63391991215036203</c:v>
                </c:pt>
                <c:pt idx="6" formatCode="0.000">
                  <c:v>0.58282814824822404</c:v>
                </c:pt>
                <c:pt idx="7" formatCode="0.000">
                  <c:v>0.60024846680994026</c:v>
                </c:pt>
                <c:pt idx="8" formatCode="0.000">
                  <c:v>1.2590579509713404</c:v>
                </c:pt>
                <c:pt idx="9" formatCode="0.000">
                  <c:v>1.4928371390463264</c:v>
                </c:pt>
                <c:pt idx="10" formatCode="0.000">
                  <c:v>1.8183610300257396</c:v>
                </c:pt>
                <c:pt idx="11" formatCode="0.000">
                  <c:v>2.1518460094362988</c:v>
                </c:pt>
                <c:pt idx="12" formatCode="0.000">
                  <c:v>2.5438972785797427</c:v>
                </c:pt>
                <c:pt idx="13" formatCode="0.000">
                  <c:v>3.1470309526095024</c:v>
                </c:pt>
                <c:pt idx="14" formatCode="0.000">
                  <c:v>3.8512419645273281</c:v>
                </c:pt>
                <c:pt idx="15" formatCode="0.000">
                  <c:v>4.6707293697142989</c:v>
                </c:pt>
                <c:pt idx="16" formatCode="0.000">
                  <c:v>5.6206827283502108</c:v>
                </c:pt>
                <c:pt idx="17" formatCode="0.000">
                  <c:v>6.7169726126086715</c:v>
                </c:pt>
                <c:pt idx="18" formatCode="0.000">
                  <c:v>8.1537575863552298</c:v>
                </c:pt>
                <c:pt idx="19" formatCode="0.000">
                  <c:v>9.7829937178215509</c:v>
                </c:pt>
                <c:pt idx="20" formatCode="0.000">
                  <c:v>11.616756583393256</c:v>
                </c:pt>
                <c:pt idx="21" formatCode="0.000">
                  <c:v>13.663640880994114</c:v>
                </c:pt>
                <c:pt idx="22" formatCode="0.000">
                  <c:v>15.927501793119253</c:v>
                </c:pt>
                <c:pt idx="23" formatCode="0.000">
                  <c:v>18.084906365250351</c:v>
                </c:pt>
                <c:pt idx="24" formatCode="0.000">
                  <c:v>20.410766060243333</c:v>
                </c:pt>
                <c:pt idx="25" formatCode="0.000">
                  <c:v>22.887704481550362</c:v>
                </c:pt>
                <c:pt idx="26" formatCode="0.000">
                  <c:v>25.491525158083995</c:v>
                </c:pt>
                <c:pt idx="27" formatCode="0.000">
                  <c:v>28.191805281229371</c:v>
                </c:pt>
                <c:pt idx="28" formatCode="0.000">
                  <c:v>30.953087293472642</c:v>
                </c:pt>
                <c:pt idx="29" formatCode="0.000">
                  <c:v>33.736596355669612</c:v>
                </c:pt>
                <c:pt idx="30" formatCode="0.000">
                  <c:v>36.502323389555158</c:v>
                </c:pt>
                <c:pt idx="31" formatCode="0.000">
                  <c:v>39.211247818597556</c:v>
                </c:pt>
                <c:pt idx="32" formatCode="0.000">
                  <c:v>41.827448268115084</c:v>
                </c:pt>
                <c:pt idx="33" formatCode="0.000">
                  <c:v>44.319870261453922</c:v>
                </c:pt>
                <c:pt idx="34" formatCode="0.000">
                  <c:v>46.66358178849854</c:v>
                </c:pt>
                <c:pt idx="35" formatCode="0.000">
                  <c:v>48.840434444547249</c:v>
                </c:pt>
                <c:pt idx="36" formatCode="0.000">
                  <c:v>50.839138620535529</c:v>
                </c:pt>
                <c:pt idx="37" formatCode="0.000">
                  <c:v>52.654836728937255</c:v>
                </c:pt>
                <c:pt idx="38" formatCode="0.000">
                  <c:v>54.288306402574484</c:v>
                </c:pt>
                <c:pt idx="39" formatCode="0.000">
                  <c:v>55.744942702265647</c:v>
                </c:pt>
                <c:pt idx="40" formatCode="0.000">
                  <c:v>57.033659033996273</c:v>
                </c:pt>
                <c:pt idx="41" formatCode="0.000">
                  <c:v>58.165819614313492</c:v>
                </c:pt>
              </c:numCache>
            </c:numRef>
          </c:val>
          <c:smooth val="0"/>
          <c:extLst>
            <c:ext xmlns:c16="http://schemas.microsoft.com/office/drawing/2014/chart" uri="{C3380CC4-5D6E-409C-BE32-E72D297353CC}">
              <c16:uniqueId val="{00000002-E14C-468D-810A-48F80184464A}"/>
            </c:ext>
          </c:extLst>
        </c:ser>
        <c:ser>
          <c:idx val="3"/>
          <c:order val="3"/>
          <c:tx>
            <c:strRef>
              <c:f>'Japan EV uptake'!$AB$3</c:f>
              <c:strCache>
                <c:ptCount val="1"/>
                <c:pt idx="0">
                  <c:v>predicted raw</c:v>
                </c:pt>
              </c:strCache>
            </c:strRef>
          </c:tx>
          <c:spPr>
            <a:ln w="28575" cap="rnd">
              <a:solidFill>
                <a:schemeClr val="accent4"/>
              </a:solidFill>
              <a:round/>
            </a:ln>
            <a:effectLst/>
          </c:spPr>
          <c:marker>
            <c:symbol val="none"/>
          </c:marker>
          <c:cat>
            <c:numRef>
              <c:f>'Japan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'Japan EV uptake'!$AB$4:$AB$45</c:f>
              <c:numCache>
                <c:formatCode>0.00</c:formatCode>
                <c:ptCount val="42"/>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pt idx="10">
                  <c:v>1.7688193798116725</c:v>
                </c:pt>
                <c:pt idx="11">
                  <c:v>2.0941403093031719</c:v>
                </c:pt>
                <c:pt idx="12">
                  <c:v>2.4769503709961866</c:v>
                </c:pt>
                <c:pt idx="13">
                  <c:v>2.9264828480241376</c:v>
                </c:pt>
                <c:pt idx="14">
                  <c:v>3.4530934847635457</c:v>
                </c:pt>
                <c:pt idx="15">
                  <c:v>4.0682552925428244</c:v>
                </c:pt>
                <c:pt idx="16">
                  <c:v>4.7844877499604683</c:v>
                </c:pt>
                <c:pt idx="17">
                  <c:v>5.6151953688923006</c:v>
                </c:pt>
                <c:pt idx="18">
                  <c:v>6.5743873969310416</c:v>
                </c:pt>
                <c:pt idx="19">
                  <c:v>7.6762496412036976</c:v>
                </c:pt>
                <c:pt idx="20">
                  <c:v>8.934542906055853</c:v>
                </c:pt>
                <c:pt idx="21">
                  <c:v>10.361812576120002</c:v>
                </c:pt>
                <c:pt idx="22">
                  <c:v>11.968412618693254</c:v>
                </c:pt>
                <c:pt idx="23">
                  <c:v>13.761376026223918</c:v>
                </c:pt>
                <c:pt idx="24">
                  <c:v>15.743201724789555</c:v>
                </c:pt>
                <c:pt idx="25">
                  <c:v>17.910671129207994</c:v>
                </c:pt>
                <c:pt idx="26">
                  <c:v>20.253847466681552</c:v>
                </c:pt>
                <c:pt idx="27">
                  <c:v>22.755435479348741</c:v>
                </c:pt>
                <c:pt idx="28">
                  <c:v>25.390674501188812</c:v>
                </c:pt>
                <c:pt idx="29">
                  <c:v>28.127893831324712</c:v>
                </c:pt>
                <c:pt idx="30">
                  <c:v>30.929774511876143</c:v>
                </c:pt>
                <c:pt idx="31">
                  <c:v>33.75524808240845</c:v>
                </c:pt>
                <c:pt idx="32">
                  <c:v>36.561845540565074</c:v>
                </c:pt>
                <c:pt idx="33">
                  <c:v>39.308219812173668</c:v>
                </c:pt>
                <c:pt idx="34">
                  <c:v>41.956529000752447</c:v>
                </c:pt>
                <c:pt idx="35">
                  <c:v>44.474396657088121</c:v>
                </c:pt>
                <c:pt idx="36">
                  <c:v>46.836250329996133</c:v>
                </c:pt>
                <c:pt idx="37">
                  <c:v>49.023955507259231</c:v>
                </c:pt>
                <c:pt idx="38">
                  <c:v>51.026777447396739</c:v>
                </c:pt>
                <c:pt idx="39">
                  <c:v>52.840792280996041</c:v>
                </c:pt>
                <c:pt idx="40">
                  <c:v>54.4679175370295</c:v>
                </c:pt>
                <c:pt idx="41">
                  <c:v>55.914740872004735</c:v>
                </c:pt>
              </c:numCache>
            </c:numRef>
          </c:val>
          <c:smooth val="0"/>
          <c:extLst>
            <c:ext xmlns:c16="http://schemas.microsoft.com/office/drawing/2014/chart" uri="{C3380CC4-5D6E-409C-BE32-E72D297353CC}">
              <c16:uniqueId val="{00000003-E14C-468D-810A-48F80184464A}"/>
            </c:ext>
          </c:extLst>
        </c:ser>
        <c:dLbls>
          <c:showLegendKey val="0"/>
          <c:showVal val="0"/>
          <c:showCatName val="0"/>
          <c:showSerName val="0"/>
          <c:showPercent val="0"/>
          <c:showBubbleSize val="0"/>
        </c:dLbls>
        <c:smooth val="0"/>
        <c:axId val="716325960"/>
        <c:axId val="716331536"/>
      </c:lineChart>
      <c:catAx>
        <c:axId val="716325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31536"/>
        <c:crosses val="autoZero"/>
        <c:auto val="1"/>
        <c:lblAlgn val="ctr"/>
        <c:lblOffset val="100"/>
        <c:noMultiLvlLbl val="0"/>
      </c:catAx>
      <c:valAx>
        <c:axId val="71633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7632241813602016E-2"/>
              <c:y val="0.331756669408861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25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uptake'!$S$3</c:f>
              <c:strCache>
                <c:ptCount val="1"/>
                <c:pt idx="0">
                  <c:v>High</c:v>
                </c:pt>
              </c:strCache>
            </c:strRef>
          </c:tx>
          <c:spPr>
            <a:ln w="28575" cap="rnd">
              <a:solidFill>
                <a:schemeClr val="accent1"/>
              </a:solidFill>
              <a:round/>
            </a:ln>
            <a:effectLst/>
          </c:spPr>
          <c:marker>
            <c:symbol val="none"/>
          </c:marker>
          <c:cat>
            <c:numRef>
              <c:f>'Japan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uptake'!$S$4:$S$25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1.8531998816118898</c:v>
                </c:pt>
                <c:pt idx="11" formatCode="0.00">
                  <c:v>2.2307944819395216</c:v>
                </c:pt>
                <c:pt idx="12" formatCode="0.00">
                  <c:v>2.8108491062770335</c:v>
                </c:pt>
                <c:pt idx="13" formatCode="0.00">
                  <c:v>3.4005413333204459</c:v>
                </c:pt>
                <c:pt idx="14" formatCode="0.00">
                  <c:v>4.1411221214055542</c:v>
                </c:pt>
                <c:pt idx="15" formatCode="0.00">
                  <c:v>5.0393171943958066</c:v>
                </c:pt>
                <c:pt idx="16" formatCode="0.00">
                  <c:v>6.1142529620036123</c:v>
                </c:pt>
                <c:pt idx="17" formatCode="0.00">
                  <c:v>7.3649928998316962</c:v>
                </c:pt>
                <c:pt idx="18" formatCode="0.00">
                  <c:v>8.8075433070430691</c:v>
                </c:pt>
                <c:pt idx="19" formatCode="0.00">
                  <c:v>10.415653653243778</c:v>
                </c:pt>
                <c:pt idx="20" formatCode="0.00">
                  <c:v>12.196257029943796</c:v>
                </c:pt>
                <c:pt idx="21" formatCode="0.00">
                  <c:v>14.111734103318344</c:v>
                </c:pt>
              </c:numCache>
            </c:numRef>
          </c:val>
          <c:smooth val="0"/>
          <c:extLst>
            <c:ext xmlns:c16="http://schemas.microsoft.com/office/drawing/2014/chart" uri="{C3380CC4-5D6E-409C-BE32-E72D297353CC}">
              <c16:uniqueId val="{00000000-365F-4A6A-8A53-EC17AAE7536D}"/>
            </c:ext>
          </c:extLst>
        </c:ser>
        <c:ser>
          <c:idx val="1"/>
          <c:order val="1"/>
          <c:tx>
            <c:strRef>
              <c:f>'Japan EV uptake'!$T$3</c:f>
              <c:strCache>
                <c:ptCount val="1"/>
                <c:pt idx="0">
                  <c:v>Medium</c:v>
                </c:pt>
              </c:strCache>
            </c:strRef>
          </c:tx>
          <c:spPr>
            <a:ln w="28575" cap="rnd">
              <a:solidFill>
                <a:schemeClr val="accent2"/>
              </a:solidFill>
              <a:round/>
            </a:ln>
            <a:effectLst/>
          </c:spPr>
          <c:marker>
            <c:symbol val="none"/>
          </c:marker>
          <c:cat>
            <c:numRef>
              <c:f>'Japan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uptake'!$T$4:$T$25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1.8531998816118898</c:v>
                </c:pt>
                <c:pt idx="11" formatCode="0.00">
                  <c:v>2.2307944819395216</c:v>
                </c:pt>
                <c:pt idx="12" formatCode="0.00">
                  <c:v>2.8108491062770335</c:v>
                </c:pt>
                <c:pt idx="13" formatCode="0.00">
                  <c:v>3.4005413333204459</c:v>
                </c:pt>
                <c:pt idx="14" formatCode="0.00">
                  <c:v>4.100342987975151</c:v>
                </c:pt>
                <c:pt idx="15" formatCode="0.00">
                  <c:v>4.9577589275349983</c:v>
                </c:pt>
                <c:pt idx="16" formatCode="0.00">
                  <c:v>5.9919155617124007</c:v>
                </c:pt>
                <c:pt idx="17" formatCode="0.00">
                  <c:v>7.2018763661100786</c:v>
                </c:pt>
                <c:pt idx="18" formatCode="0.00">
                  <c:v>8.6036476398910491</c:v>
                </c:pt>
                <c:pt idx="19" formatCode="0.00">
                  <c:v>10.211757986091756</c:v>
                </c:pt>
                <c:pt idx="20" formatCode="0.00">
                  <c:v>11.992361362791774</c:v>
                </c:pt>
                <c:pt idx="21" formatCode="0.00">
                  <c:v>13.948617569596729</c:v>
                </c:pt>
              </c:numCache>
            </c:numRef>
          </c:val>
          <c:smooth val="0"/>
          <c:extLst>
            <c:ext xmlns:c16="http://schemas.microsoft.com/office/drawing/2014/chart" uri="{C3380CC4-5D6E-409C-BE32-E72D297353CC}">
              <c16:uniqueId val="{00000001-365F-4A6A-8A53-EC17AAE7536D}"/>
            </c:ext>
          </c:extLst>
        </c:ser>
        <c:ser>
          <c:idx val="2"/>
          <c:order val="2"/>
          <c:tx>
            <c:strRef>
              <c:f>'Japan EV uptake'!$U$3</c:f>
              <c:strCache>
                <c:ptCount val="1"/>
                <c:pt idx="0">
                  <c:v>Low</c:v>
                </c:pt>
              </c:strCache>
            </c:strRef>
          </c:tx>
          <c:spPr>
            <a:ln w="28575" cap="rnd">
              <a:solidFill>
                <a:schemeClr val="accent3"/>
              </a:solidFill>
              <a:round/>
            </a:ln>
            <a:effectLst/>
          </c:spPr>
          <c:marker>
            <c:symbol val="none"/>
          </c:marker>
          <c:cat>
            <c:numRef>
              <c:f>'Japan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uptake'!$U$4:$U$25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1.8531998816118898</c:v>
                </c:pt>
                <c:pt idx="11" formatCode="0.00">
                  <c:v>2.2021451836428163</c:v>
                </c:pt>
                <c:pt idx="12" formatCode="0.00">
                  <c:v>2.7494577527840929</c:v>
                </c:pt>
                <c:pt idx="13" formatCode="0.00">
                  <c:v>3.3186861953298581</c:v>
                </c:pt>
                <c:pt idx="14" formatCode="0.00">
                  <c:v>3.9980240654869159</c:v>
                </c:pt>
                <c:pt idx="15" formatCode="0.00">
                  <c:v>4.8095371466875267</c:v>
                </c:pt>
                <c:pt idx="16" formatCode="0.00">
                  <c:v>5.7977909225056932</c:v>
                </c:pt>
                <c:pt idx="17" formatCode="0.00">
                  <c:v>6.9823126530417827</c:v>
                </c:pt>
                <c:pt idx="18" formatCode="0.00">
                  <c:v>8.3586448529611648</c:v>
                </c:pt>
                <c:pt idx="19" formatCode="0.00">
                  <c:v>9.9413161253002844</c:v>
                </c:pt>
                <c:pt idx="20" formatCode="0.00">
                  <c:v>11.742383286497951</c:v>
                </c:pt>
                <c:pt idx="21" formatCode="0.00">
                  <c:v>13.719103277800548</c:v>
                </c:pt>
              </c:numCache>
            </c:numRef>
          </c:val>
          <c:smooth val="0"/>
          <c:extLst>
            <c:ext xmlns:c16="http://schemas.microsoft.com/office/drawing/2014/chart" uri="{C3380CC4-5D6E-409C-BE32-E72D297353CC}">
              <c16:uniqueId val="{00000002-365F-4A6A-8A53-EC17AAE7536D}"/>
            </c:ext>
          </c:extLst>
        </c:ser>
        <c:dLbls>
          <c:showLegendKey val="0"/>
          <c:showVal val="0"/>
          <c:showCatName val="0"/>
          <c:showSerName val="0"/>
          <c:showPercent val="0"/>
          <c:showBubbleSize val="0"/>
        </c:dLbls>
        <c:smooth val="0"/>
        <c:axId val="886310432"/>
        <c:axId val="886308136"/>
      </c:lineChart>
      <c:catAx>
        <c:axId val="88631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308136"/>
        <c:crosses val="autoZero"/>
        <c:auto val="1"/>
        <c:lblAlgn val="ctr"/>
        <c:lblOffset val="100"/>
        <c:noMultiLvlLbl val="0"/>
      </c:catAx>
      <c:valAx>
        <c:axId val="88630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31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 EV uptake'!$X$3</c:f>
              <c:strCache>
                <c:ptCount val="1"/>
                <c:pt idx="0">
                  <c:v>High</c:v>
                </c:pt>
              </c:strCache>
            </c:strRef>
          </c:tx>
          <c:spPr>
            <a:ln w="28575" cap="rnd">
              <a:solidFill>
                <a:schemeClr val="accent1"/>
              </a:solidFill>
              <a:round/>
            </a:ln>
            <a:effectLst/>
          </c:spPr>
          <c:marker>
            <c:symbol val="none"/>
          </c:marker>
          <c:cat>
            <c:numRef>
              <c:f>'Japan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uptake'!$X$4:$X$25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1.7111971390379352</c:v>
                </c:pt>
                <c:pt idx="11" formatCode="0.00">
                  <c:v>1.9681650045596157</c:v>
                </c:pt>
                <c:pt idx="12" formatCode="0.00">
                  <c:v>2.340923347597355</c:v>
                </c:pt>
                <c:pt idx="13" formatCode="0.00">
                  <c:v>2.7233041775674023</c:v>
                </c:pt>
                <c:pt idx="14" formatCode="0.00">
                  <c:v>3.1836397528287166</c:v>
                </c:pt>
                <c:pt idx="15" formatCode="0.00">
                  <c:v>3.7298400062733252</c:v>
                </c:pt>
                <c:pt idx="16" formatCode="0.00">
                  <c:v>4.3741157427046549</c:v>
                </c:pt>
                <c:pt idx="17" formatCode="0.00">
                  <c:v>5.1296214997419174</c:v>
                </c:pt>
                <c:pt idx="18" formatCode="0.00">
                  <c:v>6.0009495806954591</c:v>
                </c:pt>
                <c:pt idx="19" formatCode="0.00">
                  <c:v>7.000753124181446</c:v>
                </c:pt>
                <c:pt idx="20" formatCode="0.00">
                  <c:v>8.1413768701157121</c:v>
                </c:pt>
                <c:pt idx="21" formatCode="0.00">
                  <c:v>9.4342355781712701</c:v>
                </c:pt>
              </c:numCache>
            </c:numRef>
          </c:val>
          <c:smooth val="0"/>
          <c:extLst>
            <c:ext xmlns:c16="http://schemas.microsoft.com/office/drawing/2014/chart" uri="{C3380CC4-5D6E-409C-BE32-E72D297353CC}">
              <c16:uniqueId val="{00000000-792B-4480-81F4-A1715F8FA911}"/>
            </c:ext>
          </c:extLst>
        </c:ser>
        <c:ser>
          <c:idx val="1"/>
          <c:order val="1"/>
          <c:tx>
            <c:strRef>
              <c:f>'Japan EV uptake'!$Y$3</c:f>
              <c:strCache>
                <c:ptCount val="1"/>
                <c:pt idx="0">
                  <c:v>Medium</c:v>
                </c:pt>
              </c:strCache>
            </c:strRef>
          </c:tx>
          <c:spPr>
            <a:ln w="28575" cap="rnd">
              <a:solidFill>
                <a:schemeClr val="accent2"/>
              </a:solidFill>
              <a:round/>
            </a:ln>
            <a:effectLst/>
          </c:spPr>
          <c:marker>
            <c:symbol val="none"/>
          </c:marker>
          <c:cat>
            <c:numRef>
              <c:f>'Japan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uptake'!$Y$4:$Y$25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1.8531998816118898</c:v>
                </c:pt>
                <c:pt idx="11" formatCode="0.00">
                  <c:v>2.2307944819395216</c:v>
                </c:pt>
                <c:pt idx="12" formatCode="0.00">
                  <c:v>2.8108491062770335</c:v>
                </c:pt>
                <c:pt idx="13" formatCode="0.00">
                  <c:v>3.4005413333204459</c:v>
                </c:pt>
                <c:pt idx="14" formatCode="0.00">
                  <c:v>4.100342987975151</c:v>
                </c:pt>
                <c:pt idx="15" formatCode="0.00">
                  <c:v>4.9577589275349983</c:v>
                </c:pt>
                <c:pt idx="16" formatCode="0.00">
                  <c:v>5.9919155617124007</c:v>
                </c:pt>
                <c:pt idx="17" formatCode="0.00">
                  <c:v>7.2018763661100786</c:v>
                </c:pt>
                <c:pt idx="18" formatCode="0.00">
                  <c:v>8.6036476398910491</c:v>
                </c:pt>
                <c:pt idx="19" formatCode="0.00">
                  <c:v>10.211757986091756</c:v>
                </c:pt>
                <c:pt idx="20" formatCode="0.00">
                  <c:v>11.992361362791774</c:v>
                </c:pt>
                <c:pt idx="21" formatCode="0.00">
                  <c:v>13.948617569596729</c:v>
                </c:pt>
              </c:numCache>
            </c:numRef>
          </c:val>
          <c:smooth val="0"/>
          <c:extLst>
            <c:ext xmlns:c16="http://schemas.microsoft.com/office/drawing/2014/chart" uri="{C3380CC4-5D6E-409C-BE32-E72D297353CC}">
              <c16:uniqueId val="{00000001-792B-4480-81F4-A1715F8FA911}"/>
            </c:ext>
          </c:extLst>
        </c:ser>
        <c:ser>
          <c:idx val="2"/>
          <c:order val="2"/>
          <c:tx>
            <c:strRef>
              <c:f>'Japan EV uptake'!$Z$3</c:f>
              <c:strCache>
                <c:ptCount val="1"/>
                <c:pt idx="0">
                  <c:v>Low</c:v>
                </c:pt>
              </c:strCache>
            </c:strRef>
          </c:tx>
          <c:spPr>
            <a:ln w="28575" cap="rnd">
              <a:solidFill>
                <a:schemeClr val="accent3"/>
              </a:solidFill>
              <a:round/>
            </a:ln>
            <a:effectLst/>
          </c:spPr>
          <c:marker>
            <c:symbol val="none"/>
          </c:marker>
          <c:cat>
            <c:numRef>
              <c:f>'Japan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 EV uptake'!$Z$4:$Z$25</c:f>
              <c:numCache>
                <c:formatCode>General</c:formatCode>
                <c:ptCount val="22"/>
                <c:pt idx="3" formatCode="0.00">
                  <c:v>0.37763544019268991</c:v>
                </c:pt>
                <c:pt idx="4" formatCode="0.00">
                  <c:v>0.69122173256355823</c:v>
                </c:pt>
                <c:pt idx="5" formatCode="0.00">
                  <c:v>0.63391991215036203</c:v>
                </c:pt>
                <c:pt idx="6" formatCode="0.00">
                  <c:v>0.58282814824822404</c:v>
                </c:pt>
                <c:pt idx="7" formatCode="0.00">
                  <c:v>0.60024846680994026</c:v>
                </c:pt>
                <c:pt idx="8" formatCode="0.00">
                  <c:v>1.2590579509713404</c:v>
                </c:pt>
                <c:pt idx="9" formatCode="0.00">
                  <c:v>1.4928371390463264</c:v>
                </c:pt>
                <c:pt idx="10" formatCode="0.00">
                  <c:v>1.9738791021055675</c:v>
                </c:pt>
                <c:pt idx="11" formatCode="0.00">
                  <c:v>2.4483542040523387</c:v>
                </c:pt>
                <c:pt idx="12" formatCode="0.00">
                  <c:v>3.277013383719805</c:v>
                </c:pt>
                <c:pt idx="13" formatCode="0.00">
                  <c:v>4.1110668148507497</c:v>
                </c:pt>
                <c:pt idx="14" formatCode="0.00">
                  <c:v>5.1627193546032961</c:v>
                </c:pt>
                <c:pt idx="15" formatCode="0.00">
                  <c:v>6.4410567749874152</c:v>
                </c:pt>
                <c:pt idx="16" formatCode="0.00">
                  <c:v>7.9382228620717585</c:v>
                </c:pt>
                <c:pt idx="17" formatCode="0.00">
                  <c:v>9.6489011940573874</c:v>
                </c:pt>
                <c:pt idx="18" formatCode="0.00">
                  <c:v>11.554194199509537</c:v>
                </c:pt>
                <c:pt idx="19" formatCode="0.00">
                  <c:v>13.620094016874063</c:v>
                </c:pt>
                <c:pt idx="20" formatCode="0.00">
                  <c:v>15.842450206100837</c:v>
                </c:pt>
                <c:pt idx="21" formatCode="0.00">
                  <c:v>18.15983447101296</c:v>
                </c:pt>
              </c:numCache>
            </c:numRef>
          </c:val>
          <c:smooth val="0"/>
          <c:extLst>
            <c:ext xmlns:c16="http://schemas.microsoft.com/office/drawing/2014/chart" uri="{C3380CC4-5D6E-409C-BE32-E72D297353CC}">
              <c16:uniqueId val="{00000002-792B-4480-81F4-A1715F8FA911}"/>
            </c:ext>
          </c:extLst>
        </c:ser>
        <c:dLbls>
          <c:showLegendKey val="0"/>
          <c:showVal val="0"/>
          <c:showCatName val="0"/>
          <c:showSerName val="0"/>
          <c:showPercent val="0"/>
          <c:showBubbleSize val="0"/>
        </c:dLbls>
        <c:smooth val="0"/>
        <c:axId val="886302888"/>
        <c:axId val="886303216"/>
      </c:lineChart>
      <c:catAx>
        <c:axId val="88630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303216"/>
        <c:crosses val="autoZero"/>
        <c:auto val="1"/>
        <c:lblAlgn val="ctr"/>
        <c:lblOffset val="100"/>
        <c:noMultiLvlLbl val="0"/>
      </c:catAx>
      <c:valAx>
        <c:axId val="88630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302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Sweden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%sales'!$AW$50</c:f>
              <c:strCache>
                <c:ptCount val="1"/>
                <c:pt idx="0">
                  <c:v>212</c:v>
                </c:pt>
              </c:strCache>
            </c:strRef>
          </c:tx>
          <c:spPr>
            <a:ln w="28575" cap="rnd">
              <a:solidFill>
                <a:schemeClr val="accent1"/>
              </a:solidFill>
              <a:round/>
            </a:ln>
            <a:effectLst/>
          </c:spPr>
          <c:marker>
            <c:symbol val="none"/>
          </c:marker>
          <c:cat>
            <c:numRef>
              <c:f>'EV %sales'!$AD$51:$AD$58</c:f>
              <c:numCache>
                <c:formatCode>General</c:formatCode>
                <c:ptCount val="8"/>
                <c:pt idx="0">
                  <c:v>2010</c:v>
                </c:pt>
                <c:pt idx="1">
                  <c:v>2011</c:v>
                </c:pt>
                <c:pt idx="2">
                  <c:v>2012</c:v>
                </c:pt>
                <c:pt idx="3">
                  <c:v>2013</c:v>
                </c:pt>
                <c:pt idx="4">
                  <c:v>2014</c:v>
                </c:pt>
                <c:pt idx="5">
                  <c:v>2015</c:v>
                </c:pt>
                <c:pt idx="6">
                  <c:v>2016</c:v>
                </c:pt>
                <c:pt idx="7">
                  <c:v>2017</c:v>
                </c:pt>
              </c:numCache>
            </c:numRef>
          </c:cat>
          <c:val>
            <c:numRef>
              <c:f>'EV %sales'!$AW$51:$AW$58</c:f>
              <c:numCache>
                <c:formatCode>0</c:formatCode>
                <c:ptCount val="8"/>
                <c:pt idx="0">
                  <c:v>288.79300000000001</c:v>
                </c:pt>
                <c:pt idx="1">
                  <c:v>304.983</c:v>
                </c:pt>
                <c:pt idx="2">
                  <c:v>279.89499999999998</c:v>
                </c:pt>
                <c:pt idx="3">
                  <c:v>269.55200000000002</c:v>
                </c:pt>
                <c:pt idx="4">
                  <c:v>303.94600000000003</c:v>
                </c:pt>
                <c:pt idx="5">
                  <c:v>345.10599999999999</c:v>
                </c:pt>
                <c:pt idx="6">
                  <c:v>372.31799999999998</c:v>
                </c:pt>
                <c:pt idx="7">
                  <c:v>379.39299999999997</c:v>
                </c:pt>
              </c:numCache>
            </c:numRef>
          </c:val>
          <c:smooth val="0"/>
          <c:extLst>
            <c:ext xmlns:c16="http://schemas.microsoft.com/office/drawing/2014/chart" uri="{C3380CC4-5D6E-409C-BE32-E72D297353CC}">
              <c16:uniqueId val="{00000000-86ED-4C33-A0B5-E9B03F80171E}"/>
            </c:ext>
          </c:extLst>
        </c:ser>
        <c:ser>
          <c:idx val="1"/>
          <c:order val="1"/>
          <c:tx>
            <c:strRef>
              <c:f>'EV %sales'!$BZ$81</c:f>
              <c:strCache>
                <c:ptCount val="1"/>
              </c:strCache>
            </c:strRef>
          </c:tx>
          <c:spPr>
            <a:ln w="28575" cap="rnd">
              <a:solidFill>
                <a:schemeClr val="accent2"/>
              </a:solidFill>
              <a:round/>
            </a:ln>
            <a:effectLst/>
          </c:spPr>
          <c:marker>
            <c:symbol val="none"/>
          </c:marker>
          <c:cat>
            <c:numRef>
              <c:f>'EV %sales'!$AD$51:$AD$58</c:f>
              <c:numCache>
                <c:formatCode>General</c:formatCode>
                <c:ptCount val="8"/>
                <c:pt idx="0">
                  <c:v>2010</c:v>
                </c:pt>
                <c:pt idx="1">
                  <c:v>2011</c:v>
                </c:pt>
                <c:pt idx="2">
                  <c:v>2012</c:v>
                </c:pt>
                <c:pt idx="3">
                  <c:v>2013</c:v>
                </c:pt>
                <c:pt idx="4">
                  <c:v>2014</c:v>
                </c:pt>
                <c:pt idx="5">
                  <c:v>2015</c:v>
                </c:pt>
                <c:pt idx="6">
                  <c:v>2016</c:v>
                </c:pt>
                <c:pt idx="7">
                  <c:v>2017</c:v>
                </c:pt>
              </c:numCache>
            </c:numRef>
          </c:cat>
          <c:val>
            <c:numRef>
              <c:f>'EV %sales'!$BZ$82:$BZ$89</c:f>
              <c:numCache>
                <c:formatCode>0</c:formatCode>
                <c:ptCount val="8"/>
                <c:pt idx="0">
                  <c:v>290</c:v>
                </c:pt>
                <c:pt idx="1">
                  <c:v>305</c:v>
                </c:pt>
                <c:pt idx="2">
                  <c:v>280</c:v>
                </c:pt>
                <c:pt idx="3">
                  <c:v>270</c:v>
                </c:pt>
                <c:pt idx="4">
                  <c:v>304</c:v>
                </c:pt>
                <c:pt idx="5">
                  <c:v>362</c:v>
                </c:pt>
              </c:numCache>
            </c:numRef>
          </c:val>
          <c:smooth val="0"/>
          <c:extLst>
            <c:ext xmlns:c16="http://schemas.microsoft.com/office/drawing/2014/chart" uri="{C3380CC4-5D6E-409C-BE32-E72D297353CC}">
              <c16:uniqueId val="{00000001-86ED-4C33-A0B5-E9B03F80171E}"/>
            </c:ext>
          </c:extLst>
        </c:ser>
        <c:ser>
          <c:idx val="2"/>
          <c:order val="2"/>
          <c:tx>
            <c:strRef>
              <c:f>'EV %sales'!$CS$81</c:f>
              <c:strCache>
                <c:ptCount val="1"/>
                <c:pt idx="0">
                  <c:v>213</c:v>
                </c:pt>
              </c:strCache>
            </c:strRef>
          </c:tx>
          <c:spPr>
            <a:ln w="28575" cap="rnd">
              <a:solidFill>
                <a:schemeClr val="accent3"/>
              </a:solidFill>
              <a:round/>
            </a:ln>
            <a:effectLst/>
          </c:spPr>
          <c:marker>
            <c:symbol val="none"/>
          </c:marker>
          <c:cat>
            <c:numRef>
              <c:f>'EV %sales'!$AD$51:$AD$58</c:f>
              <c:numCache>
                <c:formatCode>General</c:formatCode>
                <c:ptCount val="8"/>
                <c:pt idx="0">
                  <c:v>2010</c:v>
                </c:pt>
                <c:pt idx="1">
                  <c:v>2011</c:v>
                </c:pt>
                <c:pt idx="2">
                  <c:v>2012</c:v>
                </c:pt>
                <c:pt idx="3">
                  <c:v>2013</c:v>
                </c:pt>
                <c:pt idx="4">
                  <c:v>2014</c:v>
                </c:pt>
                <c:pt idx="5">
                  <c:v>2015</c:v>
                </c:pt>
                <c:pt idx="6">
                  <c:v>2016</c:v>
                </c:pt>
                <c:pt idx="7">
                  <c:v>2017</c:v>
                </c:pt>
              </c:numCache>
            </c:numRef>
          </c:cat>
          <c:val>
            <c:numRef>
              <c:f>'EV %sales'!$CS$82:$CS$89</c:f>
              <c:numCache>
                <c:formatCode>0</c:formatCode>
                <c:ptCount val="8"/>
                <c:pt idx="0">
                  <c:v>289.68400000000003</c:v>
                </c:pt>
                <c:pt idx="1">
                  <c:v>304.98399999999998</c:v>
                </c:pt>
                <c:pt idx="2">
                  <c:v>279.899</c:v>
                </c:pt>
                <c:pt idx="3">
                  <c:v>269.55799999999999</c:v>
                </c:pt>
                <c:pt idx="4">
                  <c:v>303.94799999999998</c:v>
                </c:pt>
                <c:pt idx="5">
                  <c:v>345.108</c:v>
                </c:pt>
                <c:pt idx="6">
                  <c:v>372.31799999999998</c:v>
                </c:pt>
                <c:pt idx="7">
                  <c:v>378</c:v>
                </c:pt>
              </c:numCache>
            </c:numRef>
          </c:val>
          <c:smooth val="0"/>
          <c:extLst>
            <c:ext xmlns:c16="http://schemas.microsoft.com/office/drawing/2014/chart" uri="{C3380CC4-5D6E-409C-BE32-E72D297353CC}">
              <c16:uniqueId val="{00000002-86ED-4C33-A0B5-E9B03F80171E}"/>
            </c:ext>
          </c:extLst>
        </c:ser>
        <c:dLbls>
          <c:showLegendKey val="0"/>
          <c:showVal val="0"/>
          <c:showCatName val="0"/>
          <c:showSerName val="0"/>
          <c:showPercent val="0"/>
          <c:showBubbleSize val="0"/>
        </c:dLbls>
        <c:smooth val="0"/>
        <c:axId val="606977688"/>
        <c:axId val="606974408"/>
      </c:lineChart>
      <c:catAx>
        <c:axId val="60697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974408"/>
        <c:crosses val="autoZero"/>
        <c:auto val="1"/>
        <c:lblAlgn val="ctr"/>
        <c:lblOffset val="100"/>
        <c:noMultiLvlLbl val="0"/>
      </c:catAx>
      <c:valAx>
        <c:axId val="606974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97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Japan!$O$2</c:f>
              <c:strCache>
                <c:ptCount val="1"/>
                <c:pt idx="0">
                  <c:v>BEV price</c:v>
                </c:pt>
              </c:strCache>
            </c:strRef>
          </c:tx>
          <c:spPr>
            <a:ln w="63500" cap="rnd">
              <a:solidFill>
                <a:schemeClr val="accent1"/>
              </a:solidFill>
              <a:round/>
            </a:ln>
            <a:effectLst/>
          </c:spPr>
          <c:marker>
            <c:symbol val="none"/>
          </c:marker>
          <c:cat>
            <c:numRef>
              <c:f>Japan!$N$3:$N$24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Japan!$O$3:$O$24</c:f>
              <c:numCache>
                <c:formatCode>0</c:formatCode>
                <c:ptCount val="22"/>
                <c:pt idx="0">
                  <c:v>2770175.6282026875</c:v>
                </c:pt>
                <c:pt idx="1">
                  <c:v>2600346.8118189783</c:v>
                </c:pt>
                <c:pt idx="2">
                  <c:v>2355690.0809065453</c:v>
                </c:pt>
                <c:pt idx="3">
                  <c:v>2452706.0868240586</c:v>
                </c:pt>
                <c:pt idx="4">
                  <c:v>2193847.6665414684</c:v>
                </c:pt>
                <c:pt idx="5">
                  <c:v>2909235.0625468153</c:v>
                </c:pt>
                <c:pt idx="6">
                  <c:v>3056798.6265457966</c:v>
                </c:pt>
                <c:pt idx="7">
                  <c:v>2741332.4247324816</c:v>
                </c:pt>
                <c:pt idx="8">
                  <c:v>2812574.8390013101</c:v>
                </c:pt>
                <c:pt idx="9">
                  <c:v>2761735.0294596031</c:v>
                </c:pt>
                <c:pt idx="10">
                  <c:v>2815794.9273361848</c:v>
                </c:pt>
                <c:pt idx="11">
                  <c:v>2799733.0820030738</c:v>
                </c:pt>
                <c:pt idx="12">
                  <c:v>2729607.4312902624</c:v>
                </c:pt>
                <c:pt idx="13">
                  <c:v>2770401.0626873076</c:v>
                </c:pt>
                <c:pt idx="14">
                  <c:v>2745759.442060621</c:v>
                </c:pt>
                <c:pt idx="15">
                  <c:v>2647616.853612917</c:v>
                </c:pt>
                <c:pt idx="16">
                  <c:v>2563497.0251017106</c:v>
                </c:pt>
                <c:pt idx="17">
                  <c:v>2515998.3784233173</c:v>
                </c:pt>
                <c:pt idx="18">
                  <c:v>2468495.0945604402</c:v>
                </c:pt>
                <c:pt idx="19">
                  <c:v>2414925.9553484404</c:v>
                </c:pt>
                <c:pt idx="20">
                  <c:v>2367413.4620935475</c:v>
                </c:pt>
                <c:pt idx="21">
                  <c:v>2313835.1565711917</c:v>
                </c:pt>
              </c:numCache>
            </c:numRef>
          </c:val>
          <c:smooth val="0"/>
          <c:extLst>
            <c:ext xmlns:c16="http://schemas.microsoft.com/office/drawing/2014/chart" uri="{C3380CC4-5D6E-409C-BE32-E72D297353CC}">
              <c16:uniqueId val="{00000000-A6AA-408C-A307-ECAE8D86C50F}"/>
            </c:ext>
          </c:extLst>
        </c:ser>
        <c:ser>
          <c:idx val="1"/>
          <c:order val="1"/>
          <c:tx>
            <c:strRef>
              <c:f>Japan!$P$2</c:f>
              <c:strCache>
                <c:ptCount val="1"/>
                <c:pt idx="0">
                  <c:v>PHEV price</c:v>
                </c:pt>
              </c:strCache>
            </c:strRef>
          </c:tx>
          <c:spPr>
            <a:ln w="15875" cap="rnd">
              <a:solidFill>
                <a:schemeClr val="accent2"/>
              </a:solidFill>
              <a:round/>
            </a:ln>
            <a:effectLst/>
          </c:spPr>
          <c:marker>
            <c:symbol val="none"/>
          </c:marker>
          <c:cat>
            <c:numRef>
              <c:f>Japan!$N$3:$N$24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Japan!$P$3:$P$24</c:f>
              <c:numCache>
                <c:formatCode>0</c:formatCode>
                <c:ptCount val="22"/>
                <c:pt idx="0">
                  <c:v>2800273.4888497833</c:v>
                </c:pt>
                <c:pt idx="1">
                  <c:v>2628282.8865573313</c:v>
                </c:pt>
                <c:pt idx="2">
                  <c:v>2395648.2241335865</c:v>
                </c:pt>
                <c:pt idx="3">
                  <c:v>2465980.0739915576</c:v>
                </c:pt>
                <c:pt idx="4">
                  <c:v>2209716.1744277808</c:v>
                </c:pt>
                <c:pt idx="5">
                  <c:v>2909235.0625468153</c:v>
                </c:pt>
                <c:pt idx="6">
                  <c:v>3056798.6265457966</c:v>
                </c:pt>
                <c:pt idx="7">
                  <c:v>2741332.4247324816</c:v>
                </c:pt>
                <c:pt idx="8">
                  <c:v>2812574.8390013101</c:v>
                </c:pt>
                <c:pt idx="9">
                  <c:v>2761735.0294596031</c:v>
                </c:pt>
                <c:pt idx="10">
                  <c:v>2815794.9273361848</c:v>
                </c:pt>
                <c:pt idx="11">
                  <c:v>2799733.0820030738</c:v>
                </c:pt>
                <c:pt idx="12">
                  <c:v>2729607.4312902624</c:v>
                </c:pt>
                <c:pt idx="13">
                  <c:v>2770401.0626873076</c:v>
                </c:pt>
                <c:pt idx="14">
                  <c:v>2745759.442060621</c:v>
                </c:pt>
                <c:pt idx="15">
                  <c:v>2647616.853612917</c:v>
                </c:pt>
                <c:pt idx="16">
                  <c:v>2563497.0251017106</c:v>
                </c:pt>
                <c:pt idx="17">
                  <c:v>2515998.3784233173</c:v>
                </c:pt>
                <c:pt idx="18">
                  <c:v>2468495.0945604402</c:v>
                </c:pt>
                <c:pt idx="19">
                  <c:v>2414925.9553484404</c:v>
                </c:pt>
                <c:pt idx="20">
                  <c:v>2367413.4620935479</c:v>
                </c:pt>
                <c:pt idx="21">
                  <c:v>2313835.1565711917</c:v>
                </c:pt>
              </c:numCache>
            </c:numRef>
          </c:val>
          <c:smooth val="0"/>
          <c:extLst>
            <c:ext xmlns:c16="http://schemas.microsoft.com/office/drawing/2014/chart" uri="{C3380CC4-5D6E-409C-BE32-E72D297353CC}">
              <c16:uniqueId val="{00000001-A6AA-408C-A307-ECAE8D86C50F}"/>
            </c:ext>
          </c:extLst>
        </c:ser>
        <c:ser>
          <c:idx val="2"/>
          <c:order val="2"/>
          <c:tx>
            <c:strRef>
              <c:f>Japan!$Q$2</c:f>
              <c:strCache>
                <c:ptCount val="1"/>
                <c:pt idx="0">
                  <c:v>FFV price</c:v>
                </c:pt>
              </c:strCache>
            </c:strRef>
          </c:tx>
          <c:spPr>
            <a:ln w="28575" cap="rnd">
              <a:solidFill>
                <a:schemeClr val="tx1"/>
              </a:solidFill>
              <a:round/>
            </a:ln>
            <a:effectLst/>
          </c:spPr>
          <c:marker>
            <c:symbol val="none"/>
          </c:marker>
          <c:cat>
            <c:numRef>
              <c:f>Japan!$N$3:$N$24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Japan!$Q$3:$Q$24</c:f>
              <c:numCache>
                <c:formatCode>0</c:formatCode>
                <c:ptCount val="22"/>
                <c:pt idx="0">
                  <c:v>2259717.915</c:v>
                </c:pt>
                <c:pt idx="1">
                  <c:v>2103283.3603579937</c:v>
                </c:pt>
                <c:pt idx="2">
                  <c:v>1922392.6778292938</c:v>
                </c:pt>
                <c:pt idx="3">
                  <c:v>1930508.9006495068</c:v>
                </c:pt>
                <c:pt idx="4">
                  <c:v>2359113.6235406455</c:v>
                </c:pt>
                <c:pt idx="5">
                  <c:v>2562613.1813125694</c:v>
                </c:pt>
                <c:pt idx="6">
                  <c:v>3004104.3113264418</c:v>
                </c:pt>
                <c:pt idx="7">
                  <c:v>2706256.5884608049</c:v>
                </c:pt>
                <c:pt idx="8">
                  <c:v>2781763.5051680435</c:v>
                </c:pt>
                <c:pt idx="9">
                  <c:v>2732400</c:v>
                </c:pt>
                <c:pt idx="10">
                  <c:v>2732400</c:v>
                </c:pt>
                <c:pt idx="11">
                  <c:v>2732400</c:v>
                </c:pt>
                <c:pt idx="12">
                  <c:v>2732400</c:v>
                </c:pt>
                <c:pt idx="13">
                  <c:v>2732400</c:v>
                </c:pt>
                <c:pt idx="14">
                  <c:v>2732400</c:v>
                </c:pt>
                <c:pt idx="15">
                  <c:v>2732400</c:v>
                </c:pt>
                <c:pt idx="16">
                  <c:v>2732400</c:v>
                </c:pt>
                <c:pt idx="17">
                  <c:v>2732400</c:v>
                </c:pt>
                <c:pt idx="18">
                  <c:v>2732400</c:v>
                </c:pt>
                <c:pt idx="19">
                  <c:v>2732400</c:v>
                </c:pt>
                <c:pt idx="20">
                  <c:v>2732400</c:v>
                </c:pt>
                <c:pt idx="21">
                  <c:v>2732400</c:v>
                </c:pt>
              </c:numCache>
            </c:numRef>
          </c:val>
          <c:smooth val="0"/>
          <c:extLst>
            <c:ext xmlns:c16="http://schemas.microsoft.com/office/drawing/2014/chart" uri="{C3380CC4-5D6E-409C-BE32-E72D297353CC}">
              <c16:uniqueId val="{00000002-A6AA-408C-A307-ECAE8D86C50F}"/>
            </c:ext>
          </c:extLst>
        </c:ser>
        <c:dLbls>
          <c:showLegendKey val="0"/>
          <c:showVal val="0"/>
          <c:showCatName val="0"/>
          <c:showSerName val="0"/>
          <c:showPercent val="0"/>
          <c:showBubbleSize val="0"/>
        </c:dLbls>
        <c:smooth val="0"/>
        <c:axId val="691336504"/>
        <c:axId val="691334208"/>
      </c:lineChart>
      <c:catAx>
        <c:axId val="69133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334208"/>
        <c:crosses val="autoZero"/>
        <c:auto val="1"/>
        <c:lblAlgn val="ctr"/>
        <c:lblOffset val="100"/>
        <c:noMultiLvlLbl val="0"/>
      </c:catAx>
      <c:valAx>
        <c:axId val="691334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33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'Japan data'!$B$5</c:f>
              <c:strCache>
                <c:ptCount val="1"/>
                <c:pt idx="0">
                  <c:v>BEV cars</c:v>
                </c:pt>
              </c:strCache>
            </c:strRef>
          </c:tx>
          <c:spPr>
            <a:ln w="28575" cap="rnd">
              <a:solidFill>
                <a:schemeClr val="accent1"/>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data'!$B$6:$B$14</c:f>
              <c:numCache>
                <c:formatCode>General</c:formatCode>
                <c:ptCount val="9"/>
                <c:pt idx="0">
                  <c:v>0.98599999999999999</c:v>
                </c:pt>
                <c:pt idx="1">
                  <c:v>2.359</c:v>
                </c:pt>
                <c:pt idx="2">
                  <c:v>12.6</c:v>
                </c:pt>
                <c:pt idx="3">
                  <c:v>13.41</c:v>
                </c:pt>
                <c:pt idx="4">
                  <c:v>14.512</c:v>
                </c:pt>
                <c:pt idx="5">
                  <c:v>15.598000000000001</c:v>
                </c:pt>
                <c:pt idx="6">
                  <c:v>9.6920000000000002</c:v>
                </c:pt>
              </c:numCache>
            </c:numRef>
          </c:val>
          <c:smooth val="0"/>
          <c:extLst>
            <c:ext xmlns:c16="http://schemas.microsoft.com/office/drawing/2014/chart" uri="{C3380CC4-5D6E-409C-BE32-E72D297353CC}">
              <c16:uniqueId val="{00000000-3A8D-40B1-A83B-13CE68F33C6F}"/>
            </c:ext>
          </c:extLst>
        </c:ser>
        <c:ser>
          <c:idx val="1"/>
          <c:order val="1"/>
          <c:tx>
            <c:strRef>
              <c:f>'Japan data'!$M$5</c:f>
              <c:strCache>
                <c:ptCount val="1"/>
                <c:pt idx="0">
                  <c:v>BEV cars</c:v>
                </c:pt>
              </c:strCache>
            </c:strRef>
          </c:tx>
          <c:spPr>
            <a:ln w="28575" cap="rnd">
              <a:solidFill>
                <a:schemeClr val="accent2"/>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data'!$M$6:$M$14</c:f>
              <c:numCache>
                <c:formatCode>General</c:formatCode>
                <c:ptCount val="9"/>
                <c:pt idx="0">
                  <c:v>0.98599999999999999</c:v>
                </c:pt>
                <c:pt idx="1">
                  <c:v>2.44</c:v>
                </c:pt>
                <c:pt idx="2">
                  <c:v>12.61</c:v>
                </c:pt>
                <c:pt idx="3">
                  <c:v>13.47</c:v>
                </c:pt>
                <c:pt idx="4">
                  <c:v>14.76</c:v>
                </c:pt>
                <c:pt idx="5">
                  <c:v>16.11</c:v>
                </c:pt>
                <c:pt idx="6">
                  <c:v>10.47</c:v>
                </c:pt>
                <c:pt idx="7">
                  <c:v>15.46</c:v>
                </c:pt>
                <c:pt idx="8">
                  <c:v>21.84</c:v>
                </c:pt>
              </c:numCache>
            </c:numRef>
          </c:val>
          <c:smooth val="0"/>
          <c:extLst>
            <c:ext xmlns:c16="http://schemas.microsoft.com/office/drawing/2014/chart" uri="{C3380CC4-5D6E-409C-BE32-E72D297353CC}">
              <c16:uniqueId val="{00000001-3A8D-40B1-A83B-13CE68F33C6F}"/>
            </c:ext>
          </c:extLst>
        </c:ser>
        <c:dLbls>
          <c:showLegendKey val="0"/>
          <c:showVal val="0"/>
          <c:showCatName val="0"/>
          <c:showSerName val="0"/>
          <c:showPercent val="0"/>
          <c:showBubbleSize val="0"/>
        </c:dLbls>
        <c:smooth val="0"/>
        <c:axId val="568940040"/>
        <c:axId val="568937744"/>
      </c:lineChart>
      <c:catAx>
        <c:axId val="56894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37744"/>
        <c:crosses val="autoZero"/>
        <c:auto val="1"/>
        <c:lblAlgn val="ctr"/>
        <c:lblOffset val="100"/>
        <c:noMultiLvlLbl val="0"/>
      </c:catAx>
      <c:valAx>
        <c:axId val="56893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4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'Japan data'!$C$5</c:f>
              <c:strCache>
                <c:ptCount val="1"/>
                <c:pt idx="0">
                  <c:v>PHEV cars</c:v>
                </c:pt>
              </c:strCache>
            </c:strRef>
          </c:tx>
          <c:spPr>
            <a:ln w="28575" cap="rnd">
              <a:solidFill>
                <a:schemeClr val="accent1"/>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data'!$C$6:$C$14</c:f>
              <c:numCache>
                <c:formatCode>General</c:formatCode>
                <c:ptCount val="9"/>
                <c:pt idx="0">
                  <c:v>0</c:v>
                </c:pt>
                <c:pt idx="1">
                  <c:v>0</c:v>
                </c:pt>
                <c:pt idx="2">
                  <c:v>0</c:v>
                </c:pt>
                <c:pt idx="3">
                  <c:v>10.97</c:v>
                </c:pt>
                <c:pt idx="4">
                  <c:v>14.06</c:v>
                </c:pt>
                <c:pt idx="5">
                  <c:v>15.250999999999999</c:v>
                </c:pt>
                <c:pt idx="6">
                  <c:v>12.34</c:v>
                </c:pt>
              </c:numCache>
            </c:numRef>
          </c:val>
          <c:smooth val="0"/>
          <c:extLst>
            <c:ext xmlns:c16="http://schemas.microsoft.com/office/drawing/2014/chart" uri="{C3380CC4-5D6E-409C-BE32-E72D297353CC}">
              <c16:uniqueId val="{00000000-D7D4-42FC-B19D-8C7ECAC08294}"/>
            </c:ext>
          </c:extLst>
        </c:ser>
        <c:ser>
          <c:idx val="1"/>
          <c:order val="1"/>
          <c:tx>
            <c:strRef>
              <c:f>'Japan data'!$N$5</c:f>
              <c:strCache>
                <c:ptCount val="1"/>
                <c:pt idx="0">
                  <c:v>PHEV cars</c:v>
                </c:pt>
              </c:strCache>
            </c:strRef>
          </c:tx>
          <c:spPr>
            <a:ln w="28575" cap="rnd">
              <a:solidFill>
                <a:schemeClr val="accent2"/>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data'!$N$6:$N$14</c:f>
              <c:numCache>
                <c:formatCode>General</c:formatCode>
                <c:ptCount val="9"/>
                <c:pt idx="0">
                  <c:v>4.0000000000000036E-3</c:v>
                </c:pt>
                <c:pt idx="1">
                  <c:v>0</c:v>
                </c:pt>
                <c:pt idx="2">
                  <c:v>9.9999999999997868E-3</c:v>
                </c:pt>
                <c:pt idx="3">
                  <c:v>10.97</c:v>
                </c:pt>
                <c:pt idx="4">
                  <c:v>14.12</c:v>
                </c:pt>
                <c:pt idx="5">
                  <c:v>16.18</c:v>
                </c:pt>
                <c:pt idx="6">
                  <c:v>14.179999999999998</c:v>
                </c:pt>
                <c:pt idx="7">
                  <c:v>9.39</c:v>
                </c:pt>
                <c:pt idx="8">
                  <c:v>34.159999999999997</c:v>
                </c:pt>
              </c:numCache>
            </c:numRef>
          </c:val>
          <c:smooth val="0"/>
          <c:extLst>
            <c:ext xmlns:c16="http://schemas.microsoft.com/office/drawing/2014/chart" uri="{C3380CC4-5D6E-409C-BE32-E72D297353CC}">
              <c16:uniqueId val="{00000001-D7D4-42FC-B19D-8C7ECAC08294}"/>
            </c:ext>
          </c:extLst>
        </c:ser>
        <c:dLbls>
          <c:showLegendKey val="0"/>
          <c:showVal val="0"/>
          <c:showCatName val="0"/>
          <c:showSerName val="0"/>
          <c:showPercent val="0"/>
          <c:showBubbleSize val="0"/>
        </c:dLbls>
        <c:smooth val="0"/>
        <c:axId val="568910848"/>
        <c:axId val="568915768"/>
      </c:lineChart>
      <c:catAx>
        <c:axId val="56891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15768"/>
        <c:crosses val="autoZero"/>
        <c:auto val="1"/>
        <c:lblAlgn val="ctr"/>
        <c:lblOffset val="100"/>
        <c:noMultiLvlLbl val="0"/>
      </c:catAx>
      <c:valAx>
        <c:axId val="568915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1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'Japan data'!$F$5</c:f>
              <c:strCache>
                <c:ptCount val="1"/>
                <c:pt idx="0">
                  <c:v>Total</c:v>
                </c:pt>
              </c:strCache>
            </c:strRef>
          </c:tx>
          <c:spPr>
            <a:ln w="28575" cap="rnd">
              <a:solidFill>
                <a:schemeClr val="accent1"/>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data'!$F$6:$F$14</c:f>
              <c:numCache>
                <c:formatCode>General</c:formatCode>
                <c:ptCount val="9"/>
                <c:pt idx="0">
                  <c:v>0.98599999999999999</c:v>
                </c:pt>
                <c:pt idx="1">
                  <c:v>2.359</c:v>
                </c:pt>
                <c:pt idx="2">
                  <c:v>13.347</c:v>
                </c:pt>
                <c:pt idx="3">
                  <c:v>26.867000000000001</c:v>
                </c:pt>
                <c:pt idx="4">
                  <c:v>30.587</c:v>
                </c:pt>
                <c:pt idx="5">
                  <c:v>31.890999999999998</c:v>
                </c:pt>
                <c:pt idx="6">
                  <c:v>22.693999999999999</c:v>
                </c:pt>
              </c:numCache>
            </c:numRef>
          </c:val>
          <c:smooth val="0"/>
          <c:extLst>
            <c:ext xmlns:c16="http://schemas.microsoft.com/office/drawing/2014/chart" uri="{C3380CC4-5D6E-409C-BE32-E72D297353CC}">
              <c16:uniqueId val="{00000000-7D1E-43F1-BDFA-A7A724D96955}"/>
            </c:ext>
          </c:extLst>
        </c:ser>
        <c:ser>
          <c:idx val="1"/>
          <c:order val="1"/>
          <c:tx>
            <c:strRef>
              <c:f>'Japan data'!$O$5</c:f>
              <c:strCache>
                <c:ptCount val="1"/>
                <c:pt idx="0">
                  <c:v>Total</c:v>
                </c:pt>
              </c:strCache>
            </c:strRef>
          </c:tx>
          <c:spPr>
            <a:ln w="28575" cap="rnd">
              <a:solidFill>
                <a:schemeClr val="accent2"/>
              </a:solidFill>
              <a:round/>
            </a:ln>
            <a:effectLst/>
          </c:spPr>
          <c:marker>
            <c:symbol val="none"/>
          </c:marker>
          <c:cat>
            <c:numRef>
              <c:f>'Japan data'!$A$6:$A$14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'Japan data'!$O$6:$O$14</c:f>
              <c:numCache>
                <c:formatCode>General</c:formatCode>
                <c:ptCount val="9"/>
                <c:pt idx="0">
                  <c:v>0.99</c:v>
                </c:pt>
                <c:pt idx="1">
                  <c:v>2.44</c:v>
                </c:pt>
                <c:pt idx="2">
                  <c:v>12.62</c:v>
                </c:pt>
                <c:pt idx="3">
                  <c:v>24.44</c:v>
                </c:pt>
                <c:pt idx="4">
                  <c:v>28.88</c:v>
                </c:pt>
                <c:pt idx="5">
                  <c:v>32.29</c:v>
                </c:pt>
                <c:pt idx="6">
                  <c:v>24.65</c:v>
                </c:pt>
                <c:pt idx="7">
                  <c:v>24.85</c:v>
                </c:pt>
                <c:pt idx="8" formatCode="0.00">
                  <c:v>56</c:v>
                </c:pt>
              </c:numCache>
            </c:numRef>
          </c:val>
          <c:smooth val="0"/>
          <c:extLst>
            <c:ext xmlns:c16="http://schemas.microsoft.com/office/drawing/2014/chart" uri="{C3380CC4-5D6E-409C-BE32-E72D297353CC}">
              <c16:uniqueId val="{00000001-7D1E-43F1-BDFA-A7A724D96955}"/>
            </c:ext>
          </c:extLst>
        </c:ser>
        <c:dLbls>
          <c:showLegendKey val="0"/>
          <c:showVal val="0"/>
          <c:showCatName val="0"/>
          <c:showSerName val="0"/>
          <c:showPercent val="0"/>
          <c:showBubbleSize val="0"/>
        </c:dLbls>
        <c:smooth val="0"/>
        <c:axId val="568899040"/>
        <c:axId val="568902976"/>
      </c:lineChart>
      <c:catAx>
        <c:axId val="56889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2976"/>
        <c:crosses val="autoZero"/>
        <c:auto val="1"/>
        <c:lblAlgn val="ctr"/>
        <c:lblOffset val="100"/>
        <c:noMultiLvlLbl val="0"/>
      </c:catAx>
      <c:valAx>
        <c:axId val="568902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89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'Korea EV uptake'!$B$3</c:f>
              <c:strCache>
                <c:ptCount val="1"/>
                <c:pt idx="0">
                  <c:v> EV %sales</c:v>
                </c:pt>
              </c:strCache>
            </c:strRef>
          </c:tx>
          <c:spPr>
            <a:ln w="47625" cap="rnd">
              <a:solidFill>
                <a:schemeClr val="accent1"/>
              </a:solidFill>
              <a:round/>
            </a:ln>
            <a:effectLst/>
          </c:spPr>
          <c:marker>
            <c:symbol val="none"/>
          </c:marker>
          <c:cat>
            <c:numRef>
              <c:f>'Korea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'Korea EV uptake'!$B$4:$B$15</c:f>
              <c:numCache>
                <c:formatCode>0.00</c:formatCode>
                <c:ptCount val="12"/>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pt idx="9">
                  <c:v>1.7936823248242677</c:v>
                </c:pt>
              </c:numCache>
            </c:numRef>
          </c:val>
          <c:smooth val="0"/>
          <c:extLst>
            <c:ext xmlns:c16="http://schemas.microsoft.com/office/drawing/2014/chart" uri="{C3380CC4-5D6E-409C-BE32-E72D297353CC}">
              <c16:uniqueId val="{00000000-6B7A-4BEF-839C-30BB7D69F579}"/>
            </c:ext>
          </c:extLst>
        </c:ser>
        <c:ser>
          <c:idx val="1"/>
          <c:order val="1"/>
          <c:tx>
            <c:strRef>
              <c:f>'Korea EV uptake'!$C$3</c:f>
              <c:strCache>
                <c:ptCount val="1"/>
                <c:pt idx="0">
                  <c:v>Predicted Cost Lagged</c:v>
                </c:pt>
              </c:strCache>
            </c:strRef>
          </c:tx>
          <c:spPr>
            <a:ln w="28575" cap="rnd">
              <a:solidFill>
                <a:schemeClr val="accent2"/>
              </a:solidFill>
              <a:round/>
            </a:ln>
            <a:effectLst/>
          </c:spPr>
          <c:marker>
            <c:symbol val="none"/>
          </c:marker>
          <c:cat>
            <c:numRef>
              <c:f>'Korea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'Korea EV uptake'!$C$4:$C$15</c:f>
              <c:numCache>
                <c:formatCode>0.00</c:formatCode>
                <c:ptCount val="12"/>
                <c:pt idx="3">
                  <c:v>4.3976366875896858E-2</c:v>
                </c:pt>
                <c:pt idx="4">
                  <c:v>5.5501342011082921E-2</c:v>
                </c:pt>
                <c:pt idx="5">
                  <c:v>5.5501342011082921E-2</c:v>
                </c:pt>
                <c:pt idx="6">
                  <c:v>0.22161628502959124</c:v>
                </c:pt>
                <c:pt idx="7">
                  <c:v>0.44190356227885791</c:v>
                </c:pt>
                <c:pt idx="8">
                  <c:v>0.87818859400646965</c:v>
                </c:pt>
                <c:pt idx="9">
                  <c:v>1.7804203205284468</c:v>
                </c:pt>
                <c:pt idx="10">
                  <c:v>2.8065512897951961</c:v>
                </c:pt>
                <c:pt idx="11">
                  <c:v>5.2403013381056427</c:v>
                </c:pt>
              </c:numCache>
            </c:numRef>
          </c:val>
          <c:smooth val="0"/>
          <c:extLst>
            <c:ext xmlns:c16="http://schemas.microsoft.com/office/drawing/2014/chart" uri="{C3380CC4-5D6E-409C-BE32-E72D297353CC}">
              <c16:uniqueId val="{00000001-6B7A-4BEF-839C-30BB7D69F579}"/>
            </c:ext>
          </c:extLst>
        </c:ser>
        <c:ser>
          <c:idx val="2"/>
          <c:order val="2"/>
          <c:tx>
            <c:strRef>
              <c:f>'Korea EV uptake'!$L$3</c:f>
              <c:strCache>
                <c:ptCount val="1"/>
                <c:pt idx="0">
                  <c:v>Predicted Cost</c:v>
                </c:pt>
              </c:strCache>
            </c:strRef>
          </c:tx>
          <c:spPr>
            <a:ln w="28575" cap="rnd">
              <a:solidFill>
                <a:schemeClr val="accent3"/>
              </a:solidFill>
              <a:round/>
            </a:ln>
            <a:effectLst/>
          </c:spPr>
          <c:marker>
            <c:symbol val="none"/>
          </c:marker>
          <c:cat>
            <c:numRef>
              <c:f>'Korea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'Korea EV uptake'!$L$4:$L$15</c:f>
              <c:numCache>
                <c:formatCode>0.00</c:formatCode>
                <c:ptCount val="12"/>
                <c:pt idx="3" formatCode="0.000">
                  <c:v>4.3976366875896858E-2</c:v>
                </c:pt>
                <c:pt idx="4" formatCode="0.000">
                  <c:v>5.5501342011082921E-2</c:v>
                </c:pt>
                <c:pt idx="5" formatCode="0.000">
                  <c:v>5.5501342011082921E-2</c:v>
                </c:pt>
                <c:pt idx="6" formatCode="0.000">
                  <c:v>0.22161628502959124</c:v>
                </c:pt>
                <c:pt idx="7" formatCode="0.000">
                  <c:v>0.44190356227885791</c:v>
                </c:pt>
                <c:pt idx="8" formatCode="0.000">
                  <c:v>0.87818859400646965</c:v>
                </c:pt>
                <c:pt idx="9" formatCode="0.000">
                  <c:v>1.6331774169026745</c:v>
                </c:pt>
                <c:pt idx="10" formatCode="0.000">
                  <c:v>2.8298949506761959</c:v>
                </c:pt>
                <c:pt idx="11" formatCode="0.000">
                  <c:v>4.9940109312926024</c:v>
                </c:pt>
              </c:numCache>
            </c:numRef>
          </c:val>
          <c:smooth val="0"/>
          <c:extLst>
            <c:ext xmlns:c16="http://schemas.microsoft.com/office/drawing/2014/chart" uri="{C3380CC4-5D6E-409C-BE32-E72D297353CC}">
              <c16:uniqueId val="{00000002-6B7A-4BEF-839C-30BB7D69F579}"/>
            </c:ext>
          </c:extLst>
        </c:ser>
        <c:ser>
          <c:idx val="3"/>
          <c:order val="3"/>
          <c:tx>
            <c:strRef>
              <c:f>'Korea EV uptake'!$AB$3</c:f>
              <c:strCache>
                <c:ptCount val="1"/>
                <c:pt idx="0">
                  <c:v>predi cted raw</c:v>
                </c:pt>
              </c:strCache>
            </c:strRef>
          </c:tx>
          <c:spPr>
            <a:ln w="28575" cap="rnd">
              <a:solidFill>
                <a:schemeClr val="accent4"/>
              </a:solidFill>
              <a:round/>
            </a:ln>
            <a:effectLst/>
          </c:spPr>
          <c:marker>
            <c:symbol val="none"/>
          </c:marker>
          <c:cat>
            <c:numRef>
              <c:f>'Korea EV uptake'!$A$4:$A$15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'Korea EV uptake'!$AB$4:$AB$15</c:f>
              <c:numCache>
                <c:formatCode>0.00</c:formatCode>
                <c:ptCount val="1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numCache>
            </c:numRef>
          </c:val>
          <c:smooth val="0"/>
          <c:extLst>
            <c:ext xmlns:c16="http://schemas.microsoft.com/office/drawing/2014/chart" uri="{C3380CC4-5D6E-409C-BE32-E72D297353CC}">
              <c16:uniqueId val="{00000003-6B7A-4BEF-839C-30BB7D69F579}"/>
            </c:ext>
          </c:extLst>
        </c:ser>
        <c:dLbls>
          <c:showLegendKey val="0"/>
          <c:showVal val="0"/>
          <c:showCatName val="0"/>
          <c:showSerName val="0"/>
          <c:showPercent val="0"/>
          <c:showBubbleSize val="0"/>
        </c:dLbls>
        <c:smooth val="0"/>
        <c:axId val="749931488"/>
        <c:axId val="749934440"/>
      </c:lineChart>
      <c:catAx>
        <c:axId val="74993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34440"/>
        <c:crosses val="autoZero"/>
        <c:auto val="1"/>
        <c:lblAlgn val="ctr"/>
        <c:lblOffset val="100"/>
        <c:noMultiLvlLbl val="0"/>
      </c:catAx>
      <c:valAx>
        <c:axId val="749934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3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uptake'!$AD$3</c:f>
              <c:strCache>
                <c:ptCount val="1"/>
                <c:pt idx="0">
                  <c:v>Linearized Logistic</c:v>
                </c:pt>
              </c:strCache>
            </c:strRef>
          </c:tx>
          <c:spPr>
            <a:ln w="41275" cap="rnd">
              <a:solidFill>
                <a:schemeClr val="tx1"/>
              </a:solidFill>
              <a:round/>
            </a:ln>
            <a:effectLst/>
          </c:spPr>
          <c:marker>
            <c:symbol val="none"/>
          </c:marker>
          <c:cat>
            <c:numRef>
              <c:f>'Korea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'Korea EV uptake'!$AD$4:$AD$13</c:f>
              <c:numCache>
                <c:formatCode>General</c:formatCode>
                <c:ptCount val="10"/>
                <c:pt idx="1">
                  <c:v>-9.4875174597828167</c:v>
                </c:pt>
                <c:pt idx="2">
                  <c:v>-7.9774090790115899</c:v>
                </c:pt>
                <c:pt idx="3">
                  <c:v>-7.3117683530067152</c:v>
                </c:pt>
                <c:pt idx="4">
                  <c:v>-7.1153790186383103</c:v>
                </c:pt>
                <c:pt idx="5">
                  <c:v>-6.3362328078314505</c:v>
                </c:pt>
                <c:pt idx="6">
                  <c:v>-5.5824586951996293</c:v>
                </c:pt>
                <c:pt idx="7">
                  <c:v>-5.092127667080895</c:v>
                </c:pt>
                <c:pt idx="8">
                  <c:v>-4.2538639318985449</c:v>
                </c:pt>
                <c:pt idx="9">
                  <c:v>-3.562133587878531</c:v>
                </c:pt>
              </c:numCache>
            </c:numRef>
          </c:val>
          <c:smooth val="0"/>
          <c:extLst>
            <c:ext xmlns:c16="http://schemas.microsoft.com/office/drawing/2014/chart" uri="{C3380CC4-5D6E-409C-BE32-E72D297353CC}">
              <c16:uniqueId val="{00000000-242F-435F-8336-057E1C31CCB1}"/>
            </c:ext>
          </c:extLst>
        </c:ser>
        <c:ser>
          <c:idx val="1"/>
          <c:order val="1"/>
          <c:tx>
            <c:strRef>
              <c:f>'Korea EV uptake'!$AF$3</c:f>
              <c:strCache>
                <c:ptCount val="1"/>
                <c:pt idx="0">
                  <c:v>predicted </c:v>
                </c:pt>
              </c:strCache>
            </c:strRef>
          </c:tx>
          <c:spPr>
            <a:ln w="28575" cap="rnd">
              <a:solidFill>
                <a:schemeClr val="accent2"/>
              </a:solidFill>
              <a:round/>
            </a:ln>
            <a:effectLst/>
          </c:spPr>
          <c:marker>
            <c:symbol val="none"/>
          </c:marker>
          <c:cat>
            <c:numRef>
              <c:f>'Korea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'Korea EV uptake'!$AF$4:$AF$13</c:f>
              <c:numCache>
                <c:formatCode>General</c:formatCode>
                <c:ptCount val="10"/>
                <c:pt idx="1">
                  <c:v>-9.1455330890102822</c:v>
                </c:pt>
                <c:pt idx="2">
                  <c:v>-7.9913640447632375</c:v>
                </c:pt>
                <c:pt idx="3">
                  <c:v>-7.2978133872550686</c:v>
                </c:pt>
                <c:pt idx="4">
                  <c:v>-7.064881116485779</c:v>
                </c:pt>
                <c:pt idx="5">
                  <c:v>-6.3713304589776101</c:v>
                </c:pt>
                <c:pt idx="6">
                  <c:v>-5.6777798014694421</c:v>
                </c:pt>
                <c:pt idx="7">
                  <c:v>-4.984229143961274</c:v>
                </c:pt>
                <c:pt idx="8">
                  <c:v>-4.290678486453106</c:v>
                </c:pt>
                <c:pt idx="9">
                  <c:v>-3.597127828944938</c:v>
                </c:pt>
              </c:numCache>
            </c:numRef>
          </c:val>
          <c:smooth val="0"/>
          <c:extLst>
            <c:ext xmlns:c16="http://schemas.microsoft.com/office/drawing/2014/chart" uri="{C3380CC4-5D6E-409C-BE32-E72D297353CC}">
              <c16:uniqueId val="{00000001-242F-435F-8336-057E1C31CCB1}"/>
            </c:ext>
          </c:extLst>
        </c:ser>
        <c:dLbls>
          <c:showLegendKey val="0"/>
          <c:showVal val="0"/>
          <c:showCatName val="0"/>
          <c:showSerName val="0"/>
          <c:showPercent val="0"/>
          <c:showBubbleSize val="0"/>
        </c:dLbls>
        <c:smooth val="0"/>
        <c:axId val="718146408"/>
        <c:axId val="718147392"/>
      </c:lineChart>
      <c:catAx>
        <c:axId val="71814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147392"/>
        <c:crosses val="autoZero"/>
        <c:auto val="1"/>
        <c:lblAlgn val="ctr"/>
        <c:lblOffset val="100"/>
        <c:noMultiLvlLbl val="0"/>
      </c:catAx>
      <c:valAx>
        <c:axId val="718147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14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uptake'!$B$3</c:f>
              <c:strCache>
                <c:ptCount val="1"/>
                <c:pt idx="0">
                  <c:v> EV %sales</c:v>
                </c:pt>
              </c:strCache>
            </c:strRef>
          </c:tx>
          <c:spPr>
            <a:ln w="44450" cap="rnd">
              <a:solidFill>
                <a:schemeClr val="tx1"/>
              </a:solidFill>
              <a:round/>
            </a:ln>
            <a:effectLst/>
          </c:spPr>
          <c:marker>
            <c:symbol val="none"/>
          </c:marker>
          <c:cat>
            <c:numRef>
              <c:f>'Korea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'Korea EV uptake'!$B$4:$B$13</c:f>
              <c:numCache>
                <c:formatCode>0.00</c:formatCode>
                <c:ptCount val="10"/>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pt idx="9">
                  <c:v>1.7936823248242677</c:v>
                </c:pt>
              </c:numCache>
            </c:numRef>
          </c:val>
          <c:smooth val="0"/>
          <c:extLst>
            <c:ext xmlns:c16="http://schemas.microsoft.com/office/drawing/2014/chart" uri="{C3380CC4-5D6E-409C-BE32-E72D297353CC}">
              <c16:uniqueId val="{00000000-4FC5-439B-96BC-6832D80AA498}"/>
            </c:ext>
          </c:extLst>
        </c:ser>
        <c:ser>
          <c:idx val="1"/>
          <c:order val="1"/>
          <c:tx>
            <c:strRef>
              <c:f>'Korea EV uptake'!$AB$3</c:f>
              <c:strCache>
                <c:ptCount val="1"/>
                <c:pt idx="0">
                  <c:v>predi cted raw</c:v>
                </c:pt>
              </c:strCache>
            </c:strRef>
          </c:tx>
          <c:spPr>
            <a:ln w="28575" cap="rnd">
              <a:solidFill>
                <a:schemeClr val="accent2"/>
              </a:solidFill>
              <a:round/>
            </a:ln>
            <a:effectLst/>
          </c:spPr>
          <c:marker>
            <c:symbol val="none"/>
          </c:marker>
          <c:cat>
            <c:numRef>
              <c:f>'Korea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'Korea EV uptake'!$AB$4:$AB$13</c:f>
              <c:numCache>
                <c:formatCode>0.00</c:formatCode>
                <c:ptCount val="10"/>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numCache>
            </c:numRef>
          </c:val>
          <c:smooth val="0"/>
          <c:extLst>
            <c:ext xmlns:c16="http://schemas.microsoft.com/office/drawing/2014/chart" uri="{C3380CC4-5D6E-409C-BE32-E72D297353CC}">
              <c16:uniqueId val="{00000001-4FC5-439B-96BC-6832D80AA498}"/>
            </c:ext>
          </c:extLst>
        </c:ser>
        <c:dLbls>
          <c:showLegendKey val="0"/>
          <c:showVal val="0"/>
          <c:showCatName val="0"/>
          <c:showSerName val="0"/>
          <c:showPercent val="0"/>
          <c:showBubbleSize val="0"/>
        </c:dLbls>
        <c:smooth val="0"/>
        <c:axId val="224549088"/>
        <c:axId val="224541872"/>
      </c:lineChart>
      <c:catAx>
        <c:axId val="22454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541872"/>
        <c:crosses val="autoZero"/>
        <c:auto val="1"/>
        <c:lblAlgn val="ctr"/>
        <c:lblOffset val="100"/>
        <c:noMultiLvlLbl val="0"/>
      </c:catAx>
      <c:valAx>
        <c:axId val="22454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54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uptake'!$S$3</c:f>
              <c:strCache>
                <c:ptCount val="1"/>
                <c:pt idx="0">
                  <c:v>High</c:v>
                </c:pt>
              </c:strCache>
            </c:strRef>
          </c:tx>
          <c:spPr>
            <a:ln w="28575" cap="rnd">
              <a:solidFill>
                <a:schemeClr val="accent1"/>
              </a:solidFill>
              <a:round/>
            </a:ln>
            <a:effectLst/>
          </c:spPr>
          <c:marker>
            <c:symbol val="none"/>
          </c:marker>
          <c:cat>
            <c:numRef>
              <c:f>'Korea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uptake'!$S$4:$S$25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2.131972138257916</c:v>
                </c:pt>
                <c:pt idx="10" formatCode="0.00">
                  <c:v>3.4574252917896495</c:v>
                </c:pt>
                <c:pt idx="11" formatCode="0.00">
                  <c:v>6.6644556825316306</c:v>
                </c:pt>
                <c:pt idx="12" formatCode="0.00">
                  <c:v>9.5615644194134575</c:v>
                </c:pt>
                <c:pt idx="13" formatCode="0.00">
                  <c:v>13.569558575117654</c:v>
                </c:pt>
                <c:pt idx="14" formatCode="0.00">
                  <c:v>18.446416199513198</c:v>
                </c:pt>
                <c:pt idx="15" formatCode="0.00">
                  <c:v>24.500863568717673</c:v>
                </c:pt>
                <c:pt idx="16" formatCode="0.00">
                  <c:v>31.40901352237125</c:v>
                </c:pt>
                <c:pt idx="17" formatCode="0.00">
                  <c:v>38.297252784728876</c:v>
                </c:pt>
                <c:pt idx="18" formatCode="0.00">
                  <c:v>44.90238927975178</c:v>
                </c:pt>
                <c:pt idx="19" formatCode="0.00">
                  <c:v>50.929515518930948</c:v>
                </c:pt>
                <c:pt idx="20" formatCode="0.00">
                  <c:v>55.842809067085817</c:v>
                </c:pt>
                <c:pt idx="21" formatCode="0.00">
                  <c:v>59.624166312963254</c:v>
                </c:pt>
              </c:numCache>
            </c:numRef>
          </c:val>
          <c:smooth val="0"/>
          <c:extLst>
            <c:ext xmlns:c16="http://schemas.microsoft.com/office/drawing/2014/chart" uri="{C3380CC4-5D6E-409C-BE32-E72D297353CC}">
              <c16:uniqueId val="{00000000-0985-44DE-A2F0-CBF1650030A7}"/>
            </c:ext>
          </c:extLst>
        </c:ser>
        <c:ser>
          <c:idx val="1"/>
          <c:order val="1"/>
          <c:tx>
            <c:strRef>
              <c:f>'Korea EV uptake'!$T$3</c:f>
              <c:strCache>
                <c:ptCount val="1"/>
                <c:pt idx="0">
                  <c:v>Medium</c:v>
                </c:pt>
              </c:strCache>
            </c:strRef>
          </c:tx>
          <c:spPr>
            <a:ln w="28575" cap="rnd">
              <a:solidFill>
                <a:schemeClr val="accent2"/>
              </a:solidFill>
              <a:round/>
            </a:ln>
            <a:effectLst/>
          </c:spPr>
          <c:marker>
            <c:symbol val="none"/>
          </c:marker>
          <c:cat>
            <c:numRef>
              <c:f>'Korea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uptake'!$T$4:$T$25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1.7804203205284468</c:v>
                </c:pt>
                <c:pt idx="10" formatCode="0.00">
                  <c:v>2.8065512897951961</c:v>
                </c:pt>
                <c:pt idx="11" formatCode="0.00">
                  <c:v>5.2403013381056427</c:v>
                </c:pt>
                <c:pt idx="12" formatCode="0.00">
                  <c:v>7.5973475012623597</c:v>
                </c:pt>
                <c:pt idx="13" formatCode="0.00">
                  <c:v>10.821903618953856</c:v>
                </c:pt>
                <c:pt idx="14" formatCode="0.00">
                  <c:v>15.305519087429673</c:v>
                </c:pt>
                <c:pt idx="15" formatCode="0.00">
                  <c:v>20.828298895684373</c:v>
                </c:pt>
                <c:pt idx="16" formatCode="0.00">
                  <c:v>27.335747293277198</c:v>
                </c:pt>
                <c:pt idx="17" formatCode="0.00">
                  <c:v>34.429408480020584</c:v>
                </c:pt>
                <c:pt idx="18" formatCode="0.00">
                  <c:v>41.364685885968512</c:v>
                </c:pt>
                <c:pt idx="19" formatCode="0.00">
                  <c:v>47.86406928319709</c:v>
                </c:pt>
                <c:pt idx="20" formatCode="0.00">
                  <c:v>53.518510254323168</c:v>
                </c:pt>
                <c:pt idx="21" formatCode="0.00">
                  <c:v>57.817795202045488</c:v>
                </c:pt>
              </c:numCache>
            </c:numRef>
          </c:val>
          <c:smooth val="0"/>
          <c:extLst>
            <c:ext xmlns:c16="http://schemas.microsoft.com/office/drawing/2014/chart" uri="{C3380CC4-5D6E-409C-BE32-E72D297353CC}">
              <c16:uniqueId val="{00000001-0985-44DE-A2F0-CBF1650030A7}"/>
            </c:ext>
          </c:extLst>
        </c:ser>
        <c:ser>
          <c:idx val="2"/>
          <c:order val="2"/>
          <c:tx>
            <c:strRef>
              <c:f>'Korea EV uptake'!$U$3</c:f>
              <c:strCache>
                <c:ptCount val="1"/>
                <c:pt idx="0">
                  <c:v>Low</c:v>
                </c:pt>
              </c:strCache>
            </c:strRef>
          </c:tx>
          <c:spPr>
            <a:ln w="28575" cap="rnd">
              <a:solidFill>
                <a:schemeClr val="accent3"/>
              </a:solidFill>
              <a:round/>
            </a:ln>
            <a:effectLst/>
          </c:spPr>
          <c:marker>
            <c:symbol val="none"/>
          </c:marker>
          <c:cat>
            <c:numRef>
              <c:f>'Korea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uptake'!$U$4:$U$25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1.7804203205284468</c:v>
                </c:pt>
                <c:pt idx="10" formatCode="0.00">
                  <c:v>2.8065512897951961</c:v>
                </c:pt>
                <c:pt idx="11" formatCode="0.00">
                  <c:v>5.1594255569722041</c:v>
                </c:pt>
                <c:pt idx="12" formatCode="0.00">
                  <c:v>7.4256438992113241</c:v>
                </c:pt>
                <c:pt idx="13" formatCode="0.00">
                  <c:v>10.440905065505719</c:v>
                </c:pt>
                <c:pt idx="14" formatCode="0.00">
                  <c:v>14.615523991943149</c:v>
                </c:pt>
                <c:pt idx="15" formatCode="0.00">
                  <c:v>19.739051852675523</c:v>
                </c:pt>
                <c:pt idx="16" formatCode="0.00">
                  <c:v>25.776715094562331</c:v>
                </c:pt>
                <c:pt idx="17" formatCode="0.00">
                  <c:v>32.35121948202957</c:v>
                </c:pt>
                <c:pt idx="18" formatCode="0.00">
                  <c:v>39.251669631731311</c:v>
                </c:pt>
                <c:pt idx="19" formatCode="0.00">
                  <c:v>45.784392159496711</c:v>
                </c:pt>
                <c:pt idx="20" formatCode="0.00">
                  <c:v>51.61061706251224</c:v>
                </c:pt>
                <c:pt idx="21" formatCode="0.00">
                  <c:v>56.194891717600747</c:v>
                </c:pt>
              </c:numCache>
            </c:numRef>
          </c:val>
          <c:smooth val="0"/>
          <c:extLst>
            <c:ext xmlns:c16="http://schemas.microsoft.com/office/drawing/2014/chart" uri="{C3380CC4-5D6E-409C-BE32-E72D297353CC}">
              <c16:uniqueId val="{00000002-0985-44DE-A2F0-CBF1650030A7}"/>
            </c:ext>
          </c:extLst>
        </c:ser>
        <c:dLbls>
          <c:showLegendKey val="0"/>
          <c:showVal val="0"/>
          <c:showCatName val="0"/>
          <c:showSerName val="0"/>
          <c:showPercent val="0"/>
          <c:showBubbleSize val="0"/>
        </c:dLbls>
        <c:smooth val="0"/>
        <c:axId val="739069392"/>
        <c:axId val="739070704"/>
      </c:lineChart>
      <c:catAx>
        <c:axId val="73906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070704"/>
        <c:crosses val="autoZero"/>
        <c:auto val="1"/>
        <c:lblAlgn val="ctr"/>
        <c:lblOffset val="100"/>
        <c:noMultiLvlLbl val="0"/>
      </c:catAx>
      <c:valAx>
        <c:axId val="73907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06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uptake'!$X$3</c:f>
              <c:strCache>
                <c:ptCount val="1"/>
                <c:pt idx="0">
                  <c:v>High</c:v>
                </c:pt>
              </c:strCache>
            </c:strRef>
          </c:tx>
          <c:spPr>
            <a:ln w="28575" cap="rnd">
              <a:solidFill>
                <a:schemeClr val="accent1"/>
              </a:solidFill>
              <a:round/>
            </a:ln>
            <a:effectLst/>
          </c:spPr>
          <c:marker>
            <c:symbol val="none"/>
          </c:marker>
          <c:cat>
            <c:numRef>
              <c:f>'Korea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uptake'!$X$4:$X$25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1.3579731144829648</c:v>
                </c:pt>
                <c:pt idx="10" formatCode="0.00">
                  <c:v>1.8523386149712326</c:v>
                </c:pt>
                <c:pt idx="11" formatCode="0.00">
                  <c:v>2.8155753870690026</c:v>
                </c:pt>
                <c:pt idx="12" formatCode="0.00">
                  <c:v>3.7989296943801856</c:v>
                </c:pt>
                <c:pt idx="13" formatCode="0.00">
                  <c:v>5.0258472271542161</c:v>
                </c:pt>
                <c:pt idx="14" formatCode="0.00">
                  <c:v>6.5227959405745102</c:v>
                </c:pt>
                <c:pt idx="15" formatCode="0.00">
                  <c:v>8.3827187312943146</c:v>
                </c:pt>
                <c:pt idx="16" formatCode="0.00">
                  <c:v>10.671631425811215</c:v>
                </c:pt>
                <c:pt idx="17" formatCode="0.00">
                  <c:v>13.441656983791386</c:v>
                </c:pt>
                <c:pt idx="18" formatCode="0.00">
                  <c:v>16.727320641126816</c:v>
                </c:pt>
                <c:pt idx="19" formatCode="0.00">
                  <c:v>20.536696932838115</c:v>
                </c:pt>
                <c:pt idx="20" formatCode="0.00">
                  <c:v>24.820609344022124</c:v>
                </c:pt>
                <c:pt idx="21" formatCode="0.00">
                  <c:v>29.466466608724414</c:v>
                </c:pt>
              </c:numCache>
            </c:numRef>
          </c:val>
          <c:smooth val="0"/>
          <c:extLst>
            <c:ext xmlns:c16="http://schemas.microsoft.com/office/drawing/2014/chart" uri="{C3380CC4-5D6E-409C-BE32-E72D297353CC}">
              <c16:uniqueId val="{00000000-494C-4754-BDC4-075E67117B7E}"/>
            </c:ext>
          </c:extLst>
        </c:ser>
        <c:ser>
          <c:idx val="1"/>
          <c:order val="1"/>
          <c:tx>
            <c:strRef>
              <c:f>'Korea EV uptake'!$Y$3</c:f>
              <c:strCache>
                <c:ptCount val="1"/>
                <c:pt idx="0">
                  <c:v>Medium</c:v>
                </c:pt>
              </c:strCache>
            </c:strRef>
          </c:tx>
          <c:spPr>
            <a:ln w="28575" cap="rnd">
              <a:solidFill>
                <a:schemeClr val="accent2"/>
              </a:solidFill>
              <a:round/>
            </a:ln>
            <a:effectLst/>
          </c:spPr>
          <c:marker>
            <c:symbol val="none"/>
          </c:marker>
          <c:cat>
            <c:numRef>
              <c:f>'Korea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uptake'!$Y$4:$Y$25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1.7804203205284468</c:v>
                </c:pt>
                <c:pt idx="10" formatCode="0.00">
                  <c:v>2.8065512897951961</c:v>
                </c:pt>
                <c:pt idx="11" formatCode="0.00">
                  <c:v>5.2403013381056427</c:v>
                </c:pt>
                <c:pt idx="12" formatCode="0.00">
                  <c:v>7.5973475012623597</c:v>
                </c:pt>
                <c:pt idx="13" formatCode="0.00">
                  <c:v>10.821903618953856</c:v>
                </c:pt>
                <c:pt idx="14" formatCode="0.00">
                  <c:v>15.305519087429673</c:v>
                </c:pt>
                <c:pt idx="15" formatCode="0.00">
                  <c:v>20.828298895684373</c:v>
                </c:pt>
                <c:pt idx="16" formatCode="0.00">
                  <c:v>27.335747293277198</c:v>
                </c:pt>
                <c:pt idx="17" formatCode="0.00">
                  <c:v>34.429408480020584</c:v>
                </c:pt>
                <c:pt idx="18" formatCode="0.00">
                  <c:v>41.364685885968512</c:v>
                </c:pt>
                <c:pt idx="19" formatCode="0.00">
                  <c:v>47.86406928319709</c:v>
                </c:pt>
                <c:pt idx="20" formatCode="0.00">
                  <c:v>53.518510254323168</c:v>
                </c:pt>
                <c:pt idx="21" formatCode="0.00">
                  <c:v>57.817795202045488</c:v>
                </c:pt>
              </c:numCache>
            </c:numRef>
          </c:val>
          <c:smooth val="0"/>
          <c:extLst>
            <c:ext xmlns:c16="http://schemas.microsoft.com/office/drawing/2014/chart" uri="{C3380CC4-5D6E-409C-BE32-E72D297353CC}">
              <c16:uniqueId val="{00000001-494C-4754-BDC4-075E67117B7E}"/>
            </c:ext>
          </c:extLst>
        </c:ser>
        <c:ser>
          <c:idx val="2"/>
          <c:order val="2"/>
          <c:tx>
            <c:strRef>
              <c:f>'Korea EV uptake'!$Z$3</c:f>
              <c:strCache>
                <c:ptCount val="1"/>
                <c:pt idx="0">
                  <c:v>Low</c:v>
                </c:pt>
              </c:strCache>
            </c:strRef>
          </c:tx>
          <c:spPr>
            <a:ln w="28575" cap="rnd">
              <a:solidFill>
                <a:schemeClr val="accent3"/>
              </a:solidFill>
              <a:round/>
            </a:ln>
            <a:effectLst/>
          </c:spPr>
          <c:marker>
            <c:symbol val="none"/>
          </c:marker>
          <c:cat>
            <c:numRef>
              <c:f>'Korea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 EV uptake'!$Z$4:$Z$25</c:f>
              <c:numCache>
                <c:formatCode>General</c:formatCode>
                <c:ptCount val="22"/>
                <c:pt idx="3" formatCode="0.00">
                  <c:v>4.3976366875896858E-2</c:v>
                </c:pt>
                <c:pt idx="4" formatCode="0.00">
                  <c:v>5.5501342011082921E-2</c:v>
                </c:pt>
                <c:pt idx="5" formatCode="0.00">
                  <c:v>5.5501342011082921E-2</c:v>
                </c:pt>
                <c:pt idx="6" formatCode="0.00">
                  <c:v>0.22161628502959124</c:v>
                </c:pt>
                <c:pt idx="7" formatCode="0.00">
                  <c:v>0.44190356227885791</c:v>
                </c:pt>
                <c:pt idx="8" formatCode="0.00">
                  <c:v>0.87818859400646965</c:v>
                </c:pt>
                <c:pt idx="9" formatCode="0.00">
                  <c:v>2.5382368498931904</c:v>
                </c:pt>
                <c:pt idx="10" formatCode="0.00">
                  <c:v>4.54001964520321</c:v>
                </c:pt>
                <c:pt idx="11" formatCode="0.00">
                  <c:v>10.14241442082503</c:v>
                </c:pt>
                <c:pt idx="12" formatCode="0.00">
                  <c:v>15.220480756143164</c:v>
                </c:pt>
                <c:pt idx="13" formatCode="0.00">
                  <c:v>21.853306045599769</c:v>
                </c:pt>
                <c:pt idx="14" formatCode="0.00">
                  <c:v>29.3156576073415</c:v>
                </c:pt>
                <c:pt idx="15" formatCode="0.00">
                  <c:v>37.236183391710085</c:v>
                </c:pt>
                <c:pt idx="16" formatCode="0.00">
                  <c:v>44.668477425535244</c:v>
                </c:pt>
                <c:pt idx="17" formatCode="0.00">
                  <c:v>51.286933361452121</c:v>
                </c:pt>
                <c:pt idx="18" formatCode="0.00">
                  <c:v>56.808620725856485</c:v>
                </c:pt>
                <c:pt idx="19" formatCode="0.00">
                  <c:v>60.882286898119148</c:v>
                </c:pt>
                <c:pt idx="20" formatCode="0.00">
                  <c:v>63.210544032419548</c:v>
                </c:pt>
                <c:pt idx="21" formatCode="0.00">
                  <c:v>64.389782414697407</c:v>
                </c:pt>
              </c:numCache>
            </c:numRef>
          </c:val>
          <c:smooth val="0"/>
          <c:extLst>
            <c:ext xmlns:c16="http://schemas.microsoft.com/office/drawing/2014/chart" uri="{C3380CC4-5D6E-409C-BE32-E72D297353CC}">
              <c16:uniqueId val="{00000002-494C-4754-BDC4-075E67117B7E}"/>
            </c:ext>
          </c:extLst>
        </c:ser>
        <c:dLbls>
          <c:showLegendKey val="0"/>
          <c:showVal val="0"/>
          <c:showCatName val="0"/>
          <c:showSerName val="0"/>
          <c:showPercent val="0"/>
          <c:showBubbleSize val="0"/>
        </c:dLbls>
        <c:smooth val="0"/>
        <c:axId val="454879120"/>
        <c:axId val="454885680"/>
      </c:lineChart>
      <c:catAx>
        <c:axId val="45487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885680"/>
        <c:crosses val="autoZero"/>
        <c:auto val="1"/>
        <c:lblAlgn val="ctr"/>
        <c:lblOffset val="100"/>
        <c:noMultiLvlLbl val="0"/>
      </c:catAx>
      <c:valAx>
        <c:axId val="45488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879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uptake'!$B$3</c:f>
              <c:strCache>
                <c:ptCount val="1"/>
                <c:pt idx="0">
                  <c:v> EV %sales</c:v>
                </c:pt>
              </c:strCache>
            </c:strRef>
          </c:tx>
          <c:spPr>
            <a:ln w="47625" cap="rnd">
              <a:solidFill>
                <a:schemeClr val="tx1"/>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uptake'!$B$4:$B$45</c:f>
              <c:numCache>
                <c:formatCode>0.00</c:formatCode>
                <c:ptCount val="42"/>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pt idx="9">
                  <c:v>1.7936823248242677</c:v>
                </c:pt>
              </c:numCache>
            </c:numRef>
          </c:val>
          <c:smooth val="0"/>
          <c:extLst>
            <c:ext xmlns:c16="http://schemas.microsoft.com/office/drawing/2014/chart" uri="{C3380CC4-5D6E-409C-BE32-E72D297353CC}">
              <c16:uniqueId val="{00000000-EB74-47FE-9EDA-44D8FCF2F5CC}"/>
            </c:ext>
          </c:extLst>
        </c:ser>
        <c:ser>
          <c:idx val="3"/>
          <c:order val="1"/>
          <c:tx>
            <c:strRef>
              <c:f>'Korea EV uptake'!$AB$3</c:f>
              <c:strCache>
                <c:ptCount val="1"/>
                <c:pt idx="0">
                  <c:v>predi cted raw</c:v>
                </c:pt>
              </c:strCache>
            </c:strRef>
          </c:tx>
          <c:spPr>
            <a:ln w="28575" cap="rnd">
              <a:solidFill>
                <a:schemeClr val="accent4"/>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uptake'!$AB$4:$AB$45</c:f>
              <c:numCache>
                <c:formatCode>0.00</c:formatCode>
                <c:ptCount val="4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pt idx="32">
                  <c:v>64.999719841301214</c:v>
                </c:pt>
                <c:pt idx="33">
                  <c:v>64.999859976856115</c:v>
                </c:pt>
                <c:pt idx="34">
                  <c:v>64.999930016595002</c:v>
                </c:pt>
                <c:pt idx="35">
                  <c:v>64.999965022394164</c:v>
                </c:pt>
                <c:pt idx="36">
                  <c:v>64.999982518247279</c:v>
                </c:pt>
                <c:pt idx="37">
                  <c:v>64.999991262648493</c:v>
                </c:pt>
                <c:pt idx="38">
                  <c:v>64.999995633086257</c:v>
                </c:pt>
                <c:pt idx="39">
                  <c:v>64.999997817423861</c:v>
                </c:pt>
                <c:pt idx="40">
                  <c:v>64.999998909152126</c:v>
                </c:pt>
                <c:pt idx="41">
                  <c:v>64.999999454796082</c:v>
                </c:pt>
              </c:numCache>
            </c:numRef>
          </c:val>
          <c:smooth val="0"/>
          <c:extLst>
            <c:ext xmlns:c16="http://schemas.microsoft.com/office/drawing/2014/chart" uri="{C3380CC4-5D6E-409C-BE32-E72D297353CC}">
              <c16:uniqueId val="{00000003-EB74-47FE-9EDA-44D8FCF2F5CC}"/>
            </c:ext>
          </c:extLst>
        </c:ser>
        <c:dLbls>
          <c:showLegendKey val="0"/>
          <c:showVal val="0"/>
          <c:showCatName val="0"/>
          <c:showSerName val="0"/>
          <c:showPercent val="0"/>
          <c:showBubbleSize val="0"/>
        </c:dLbls>
        <c:smooth val="0"/>
        <c:axId val="897277480"/>
        <c:axId val="897277808"/>
      </c:lineChart>
      <c:catAx>
        <c:axId val="89727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808"/>
        <c:crosses val="autoZero"/>
        <c:auto val="1"/>
        <c:lblAlgn val="ctr"/>
        <c:lblOffset val="100"/>
        <c:noMultiLvlLbl val="0"/>
      </c:catAx>
      <c:valAx>
        <c:axId val="89727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%sales 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86482939632541E-2"/>
          <c:y val="9.5883531888440024E-2"/>
          <c:w val="0.89655796150481193"/>
          <c:h val="0.83444909049235683"/>
        </c:manualLayout>
      </c:layout>
      <c:lineChart>
        <c:grouping val="standard"/>
        <c:varyColors val="0"/>
        <c:ser>
          <c:idx val="0"/>
          <c:order val="0"/>
          <c:tx>
            <c:strRef>
              <c:f>'EV %sales'!$B$62</c:f>
              <c:strCache>
                <c:ptCount val="1"/>
                <c:pt idx="0">
                  <c:v>Australia</c:v>
                </c:pt>
              </c:strCache>
            </c:strRef>
          </c:tx>
          <c:spPr>
            <a:ln w="82550" cap="rnd">
              <a:solidFill>
                <a:srgbClr val="D6E923"/>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%sales'!$B$63:$B$75</c:f>
              <c:numCache>
                <c:formatCode>0.00</c:formatCode>
                <c:ptCount val="13"/>
                <c:pt idx="0">
                  <c:v>0</c:v>
                </c:pt>
                <c:pt idx="1">
                  <c:v>0</c:v>
                </c:pt>
                <c:pt idx="2">
                  <c:v>0</c:v>
                </c:pt>
                <c:pt idx="3">
                  <c:v>0</c:v>
                </c:pt>
                <c:pt idx="4">
                  <c:v>0</c:v>
                </c:pt>
                <c:pt idx="5">
                  <c:v>4.8343801780743939E-3</c:v>
                </c:pt>
                <c:pt idx="6">
                  <c:v>1.8918414338166656E-2</c:v>
                </c:pt>
                <c:pt idx="7">
                  <c:v>1.5067748221325963E-2</c:v>
                </c:pt>
                <c:pt idx="8">
                  <c:v>3.7779246970715524E-2</c:v>
                </c:pt>
                <c:pt idx="9">
                  <c:v>0.14955613955103744</c:v>
                </c:pt>
                <c:pt idx="10">
                  <c:v>0.19163472754540908</c:v>
                </c:pt>
                <c:pt idx="11">
                  <c:v>0.18840048313346561</c:v>
                </c:pt>
                <c:pt idx="12">
                  <c:v>0.20651104337713735</c:v>
                </c:pt>
              </c:numCache>
            </c:numRef>
          </c:val>
          <c:smooth val="0"/>
          <c:extLst>
            <c:ext xmlns:c16="http://schemas.microsoft.com/office/drawing/2014/chart" uri="{C3380CC4-5D6E-409C-BE32-E72D297353CC}">
              <c16:uniqueId val="{00000000-768A-4783-A7C6-5F01152B523C}"/>
            </c:ext>
          </c:extLst>
        </c:ser>
        <c:ser>
          <c:idx val="1"/>
          <c:order val="1"/>
          <c:tx>
            <c:strRef>
              <c:f>'EV %sales'!$C$62</c:f>
              <c:strCache>
                <c:ptCount val="1"/>
                <c:pt idx="0">
                  <c:v>Austria</c:v>
                </c:pt>
              </c:strCache>
            </c:strRef>
          </c:tx>
          <c:spPr>
            <a:ln w="28575" cap="rnd">
              <a:solidFill>
                <a:schemeClr val="accent2"/>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%sales'!$C$63:$C$75</c:f>
              <c:numCache>
                <c:formatCode>0.00</c:formatCode>
                <c:ptCount val="13"/>
                <c:pt idx="0">
                  <c:v>0</c:v>
                </c:pt>
                <c:pt idx="1">
                  <c:v>0</c:v>
                </c:pt>
                <c:pt idx="2">
                  <c:v>0</c:v>
                </c:pt>
                <c:pt idx="3">
                  <c:v>0</c:v>
                </c:pt>
                <c:pt idx="4">
                  <c:v>1.2530229177891664E-2</c:v>
                </c:pt>
                <c:pt idx="5">
                  <c:v>3.4144988155957234E-2</c:v>
                </c:pt>
                <c:pt idx="6">
                  <c:v>0.17717552450694102</c:v>
                </c:pt>
                <c:pt idx="7">
                  <c:v>0.20654147198000058</c:v>
                </c:pt>
                <c:pt idx="8">
                  <c:v>0.26266710548999328</c:v>
                </c:pt>
                <c:pt idx="9">
                  <c:v>0.56211632675937462</c:v>
                </c:pt>
                <c:pt idx="10">
                  <c:v>0.90032571178558107</c:v>
                </c:pt>
                <c:pt idx="11">
                  <c:v>1.5360857271149624</c:v>
                </c:pt>
                <c:pt idx="12">
                  <c:v>2.0212750928842866</c:v>
                </c:pt>
              </c:numCache>
            </c:numRef>
          </c:val>
          <c:smooth val="0"/>
          <c:extLst>
            <c:ext xmlns:c16="http://schemas.microsoft.com/office/drawing/2014/chart" uri="{C3380CC4-5D6E-409C-BE32-E72D297353CC}">
              <c16:uniqueId val="{00000001-768A-4783-A7C6-5F01152B523C}"/>
            </c:ext>
          </c:extLst>
        </c:ser>
        <c:ser>
          <c:idx val="2"/>
          <c:order val="2"/>
          <c:tx>
            <c:strRef>
              <c:f>'EV %sales'!$D$62</c:f>
              <c:strCache>
                <c:ptCount val="1"/>
                <c:pt idx="0">
                  <c:v>Belgium</c:v>
                </c:pt>
              </c:strCache>
            </c:strRef>
          </c:tx>
          <c:spPr>
            <a:ln w="28575" cap="rnd">
              <a:solidFill>
                <a:schemeClr val="accent3"/>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%sales'!$D$63:$D$75</c:f>
              <c:numCache>
                <c:formatCode>0.00</c:formatCode>
                <c:ptCount val="13"/>
                <c:pt idx="0">
                  <c:v>0</c:v>
                </c:pt>
                <c:pt idx="1">
                  <c:v>0</c:v>
                </c:pt>
                <c:pt idx="2">
                  <c:v>0</c:v>
                </c:pt>
                <c:pt idx="3">
                  <c:v>0</c:v>
                </c:pt>
                <c:pt idx="4">
                  <c:v>0</c:v>
                </c:pt>
                <c:pt idx="5">
                  <c:v>0</c:v>
                </c:pt>
                <c:pt idx="6">
                  <c:v>5.0331260081543636E-2</c:v>
                </c:pt>
                <c:pt idx="7">
                  <c:v>0.18716511620262322</c:v>
                </c:pt>
                <c:pt idx="8">
                  <c:v>0.16726158024132573</c:v>
                </c:pt>
                <c:pt idx="9">
                  <c:v>0.41847935246480406</c:v>
                </c:pt>
                <c:pt idx="10">
                  <c:v>0.76017929773722437</c:v>
                </c:pt>
                <c:pt idx="11">
                  <c:v>1.6171812299474162</c:v>
                </c:pt>
                <c:pt idx="12">
                  <c:v>2.5607529301556289</c:v>
                </c:pt>
              </c:numCache>
            </c:numRef>
          </c:val>
          <c:smooth val="0"/>
          <c:extLst>
            <c:ext xmlns:c16="http://schemas.microsoft.com/office/drawing/2014/chart" uri="{C3380CC4-5D6E-409C-BE32-E72D297353CC}">
              <c16:uniqueId val="{00000002-768A-4783-A7C6-5F01152B523C}"/>
            </c:ext>
          </c:extLst>
        </c:ser>
        <c:ser>
          <c:idx val="3"/>
          <c:order val="3"/>
          <c:tx>
            <c:strRef>
              <c:f>'EV %sales'!$E$62</c:f>
              <c:strCache>
                <c:ptCount val="1"/>
                <c:pt idx="0">
                  <c:v>Canada</c:v>
                </c:pt>
              </c:strCache>
            </c:strRef>
          </c:tx>
          <c:spPr>
            <a:ln w="28575" cap="rnd">
              <a:solidFill>
                <a:schemeClr val="accent4"/>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%sales'!$E$63:$E$75</c:f>
              <c:numCache>
                <c:formatCode>0.00</c:formatCode>
                <c:ptCount val="13"/>
                <c:pt idx="0">
                  <c:v>0</c:v>
                </c:pt>
                <c:pt idx="1">
                  <c:v>0</c:v>
                </c:pt>
                <c:pt idx="2">
                  <c:v>0</c:v>
                </c:pt>
                <c:pt idx="3">
                  <c:v>0</c:v>
                </c:pt>
                <c:pt idx="4">
                  <c:v>0</c:v>
                </c:pt>
                <c:pt idx="5">
                  <c:v>0</c:v>
                </c:pt>
                <c:pt idx="6">
                  <c:v>7.5253256150506515E-2</c:v>
                </c:pt>
                <c:pt idx="7">
                  <c:v>0.27595628415300544</c:v>
                </c:pt>
                <c:pt idx="8">
                  <c:v>0.41106719367588934</c:v>
                </c:pt>
                <c:pt idx="9">
                  <c:v>0.62903225806451613</c:v>
                </c:pt>
                <c:pt idx="10">
                  <c:v>0.81369611450384693</c:v>
                </c:pt>
                <c:pt idx="11">
                  <c:v>1.302786412148317</c:v>
                </c:pt>
                <c:pt idx="12">
                  <c:v>2.1226462017393763</c:v>
                </c:pt>
              </c:numCache>
            </c:numRef>
          </c:val>
          <c:smooth val="0"/>
          <c:extLst>
            <c:ext xmlns:c16="http://schemas.microsoft.com/office/drawing/2014/chart" uri="{C3380CC4-5D6E-409C-BE32-E72D297353CC}">
              <c16:uniqueId val="{00000003-768A-4783-A7C6-5F01152B523C}"/>
            </c:ext>
          </c:extLst>
        </c:ser>
        <c:ser>
          <c:idx val="4"/>
          <c:order val="4"/>
          <c:tx>
            <c:strRef>
              <c:f>'EV %sales'!$F$62</c:f>
              <c:strCache>
                <c:ptCount val="1"/>
                <c:pt idx="0">
                  <c:v>China</c:v>
                </c:pt>
              </c:strCache>
            </c:strRef>
          </c:tx>
          <c:spPr>
            <a:ln w="28575" cap="rnd">
              <a:solidFill>
                <a:schemeClr val="accent5"/>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%sales'!$F$63:$F$75</c:f>
              <c:numCache>
                <c:formatCode>0.00</c:formatCode>
                <c:ptCount val="13"/>
                <c:pt idx="0">
                  <c:v>0</c:v>
                </c:pt>
                <c:pt idx="1">
                  <c:v>0</c:v>
                </c:pt>
                <c:pt idx="2">
                  <c:v>0</c:v>
                </c:pt>
                <c:pt idx="3">
                  <c:v>0</c:v>
                </c:pt>
                <c:pt idx="4">
                  <c:v>0</c:v>
                </c:pt>
                <c:pt idx="5">
                  <c:v>1.1397146728301586E-2</c:v>
                </c:pt>
                <c:pt idx="6">
                  <c:v>3.7020810514786423E-2</c:v>
                </c:pt>
                <c:pt idx="7">
                  <c:v>6.4922289986228607E-2</c:v>
                </c:pt>
                <c:pt idx="8">
                  <c:v>8.7542087542087546E-2</c:v>
                </c:pt>
                <c:pt idx="9">
                  <c:v>0.37780761088449427</c:v>
                </c:pt>
                <c:pt idx="10">
                  <c:v>0.97806914115926991</c:v>
                </c:pt>
                <c:pt idx="11">
                  <c:v>1.37</c:v>
                </c:pt>
                <c:pt idx="12">
                  <c:v>2.0999999999999996</c:v>
                </c:pt>
              </c:numCache>
            </c:numRef>
          </c:val>
          <c:smooth val="0"/>
          <c:extLst>
            <c:ext xmlns:c16="http://schemas.microsoft.com/office/drawing/2014/chart" uri="{C3380CC4-5D6E-409C-BE32-E72D297353CC}">
              <c16:uniqueId val="{00000004-768A-4783-A7C6-5F01152B523C}"/>
            </c:ext>
          </c:extLst>
        </c:ser>
        <c:ser>
          <c:idx val="5"/>
          <c:order val="5"/>
          <c:tx>
            <c:strRef>
              <c:f>'EV %sales'!$G$62</c:f>
              <c:strCache>
                <c:ptCount val="1"/>
                <c:pt idx="0">
                  <c:v>Denmark</c:v>
                </c:pt>
              </c:strCache>
            </c:strRef>
          </c:tx>
          <c:spPr>
            <a:ln w="28575" cap="rnd">
              <a:solidFill>
                <a:schemeClr val="accent6"/>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%sales'!$G$63:$G$75</c:f>
              <c:numCache>
                <c:formatCode>0.00</c:formatCode>
                <c:ptCount val="13"/>
                <c:pt idx="0">
                  <c:v>0</c:v>
                </c:pt>
                <c:pt idx="1">
                  <c:v>0</c:v>
                </c:pt>
                <c:pt idx="2">
                  <c:v>0</c:v>
                </c:pt>
                <c:pt idx="3">
                  <c:v>0</c:v>
                </c:pt>
                <c:pt idx="4">
                  <c:v>0</c:v>
                </c:pt>
                <c:pt idx="5">
                  <c:v>0</c:v>
                </c:pt>
                <c:pt idx="6">
                  <c:v>0.24410615971013125</c:v>
                </c:pt>
                <c:pt idx="7">
                  <c:v>0.29511134012167489</c:v>
                </c:pt>
                <c:pt idx="8">
                  <c:v>0.28024493848954596</c:v>
                </c:pt>
                <c:pt idx="9">
                  <c:v>0.86371041106903335</c:v>
                </c:pt>
                <c:pt idx="10">
                  <c:v>2.3954983147611491</c:v>
                </c:pt>
                <c:pt idx="11">
                  <c:v>0.84430541986716978</c:v>
                </c:pt>
                <c:pt idx="12">
                  <c:v>0.5914758946523726</c:v>
                </c:pt>
              </c:numCache>
            </c:numRef>
          </c:val>
          <c:smooth val="0"/>
          <c:extLst>
            <c:ext xmlns:c16="http://schemas.microsoft.com/office/drawing/2014/chart" uri="{C3380CC4-5D6E-409C-BE32-E72D297353CC}">
              <c16:uniqueId val="{00000005-768A-4783-A7C6-5F01152B523C}"/>
            </c:ext>
          </c:extLst>
        </c:ser>
        <c:ser>
          <c:idx val="6"/>
          <c:order val="6"/>
          <c:tx>
            <c:strRef>
              <c:f>'EV %sales'!$H$62</c:f>
              <c:strCache>
                <c:ptCount val="1"/>
                <c:pt idx="0">
                  <c:v>Finland</c:v>
                </c:pt>
              </c:strCache>
            </c:strRef>
          </c:tx>
          <c:spPr>
            <a:ln w="28575" cap="rnd">
              <a:solidFill>
                <a:schemeClr val="accent1">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%sales'!$H$63:$H$75</c:f>
              <c:numCache>
                <c:formatCode>0.00</c:formatCode>
                <c:ptCount val="13"/>
                <c:pt idx="0">
                  <c:v>0</c:v>
                </c:pt>
                <c:pt idx="1">
                  <c:v>0</c:v>
                </c:pt>
                <c:pt idx="2">
                  <c:v>0</c:v>
                </c:pt>
                <c:pt idx="3">
                  <c:v>0</c:v>
                </c:pt>
                <c:pt idx="4">
                  <c:v>0</c:v>
                </c:pt>
                <c:pt idx="5">
                  <c:v>0</c:v>
                </c:pt>
                <c:pt idx="6">
                  <c:v>2.2985043869730284E-2</c:v>
                </c:pt>
                <c:pt idx="7">
                  <c:v>0.16083815548287389</c:v>
                </c:pt>
                <c:pt idx="8">
                  <c:v>0.2106422656604795</c:v>
                </c:pt>
                <c:pt idx="9">
                  <c:v>0.44786932753737729</c:v>
                </c:pt>
                <c:pt idx="10">
                  <c:v>0.60358845740429401</c:v>
                </c:pt>
                <c:pt idx="11">
                  <c:v>1.2012869731768581</c:v>
                </c:pt>
                <c:pt idx="12">
                  <c:v>2.5773413311061049</c:v>
                </c:pt>
              </c:numCache>
            </c:numRef>
          </c:val>
          <c:smooth val="0"/>
          <c:extLst>
            <c:ext xmlns:c16="http://schemas.microsoft.com/office/drawing/2014/chart" uri="{C3380CC4-5D6E-409C-BE32-E72D297353CC}">
              <c16:uniqueId val="{00000006-768A-4783-A7C6-5F01152B523C}"/>
            </c:ext>
          </c:extLst>
        </c:ser>
        <c:ser>
          <c:idx val="7"/>
          <c:order val="7"/>
          <c:tx>
            <c:strRef>
              <c:f>'EV %sales'!$I$62</c:f>
              <c:strCache>
                <c:ptCount val="1"/>
                <c:pt idx="0">
                  <c:v>France</c:v>
                </c:pt>
              </c:strCache>
            </c:strRef>
          </c:tx>
          <c:spPr>
            <a:ln w="28575" cap="rnd">
              <a:solidFill>
                <a:schemeClr val="accent2">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%sales'!$I$63:$I$75</c:f>
              <c:numCache>
                <c:formatCode>0.00</c:formatCode>
                <c:ptCount val="13"/>
                <c:pt idx="0">
                  <c:v>4.8360833721429019E-4</c:v>
                </c:pt>
                <c:pt idx="1">
                  <c:v>0</c:v>
                </c:pt>
                <c:pt idx="2">
                  <c:v>0</c:v>
                </c:pt>
                <c:pt idx="3">
                  <c:v>0</c:v>
                </c:pt>
                <c:pt idx="4">
                  <c:v>4.4585254586262226E-3</c:v>
                </c:pt>
                <c:pt idx="5">
                  <c:v>8.6240508437725946E-3</c:v>
                </c:pt>
                <c:pt idx="6">
                  <c:v>0.12633040259139289</c:v>
                </c:pt>
                <c:pt idx="7">
                  <c:v>0.33646435090329391</c:v>
                </c:pt>
                <c:pt idx="8">
                  <c:v>0.54775769522693507</c:v>
                </c:pt>
                <c:pt idx="9">
                  <c:v>0.71605480991690595</c:v>
                </c:pt>
                <c:pt idx="10">
                  <c:v>1.2171398750933407</c:v>
                </c:pt>
                <c:pt idx="11">
                  <c:v>1.4710174625667114</c:v>
                </c:pt>
                <c:pt idx="12">
                  <c:v>1.7447815007590544</c:v>
                </c:pt>
              </c:numCache>
            </c:numRef>
          </c:val>
          <c:smooth val="0"/>
          <c:extLst>
            <c:ext xmlns:c16="http://schemas.microsoft.com/office/drawing/2014/chart" uri="{C3380CC4-5D6E-409C-BE32-E72D297353CC}">
              <c16:uniqueId val="{00000007-768A-4783-A7C6-5F01152B523C}"/>
            </c:ext>
          </c:extLst>
        </c:ser>
        <c:ser>
          <c:idx val="8"/>
          <c:order val="8"/>
          <c:tx>
            <c:strRef>
              <c:f>'EV %sales'!$J$62</c:f>
              <c:strCache>
                <c:ptCount val="1"/>
                <c:pt idx="0">
                  <c:v>Germany</c:v>
                </c:pt>
              </c:strCache>
            </c:strRef>
          </c:tx>
          <c:spPr>
            <a:ln w="28575" cap="rnd">
              <a:solidFill>
                <a:schemeClr val="accent3">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%sales'!$J$63:$J$75</c:f>
              <c:numCache>
                <c:formatCode>0.00</c:formatCode>
                <c:ptCount val="13"/>
                <c:pt idx="0">
                  <c:v>5.9867549034516032E-4</c:v>
                </c:pt>
                <c:pt idx="1">
                  <c:v>5.7695264574617142E-4</c:v>
                </c:pt>
                <c:pt idx="2">
                  <c:v>6.3561113056787412E-4</c:v>
                </c:pt>
                <c:pt idx="3">
                  <c:v>2.266641927889054E-3</c:v>
                </c:pt>
                <c:pt idx="4">
                  <c:v>5.2776519937385946E-4</c:v>
                </c:pt>
                <c:pt idx="5">
                  <c:v>4.8648442033643879E-3</c:v>
                </c:pt>
                <c:pt idx="6">
                  <c:v>5.1984877126654061E-2</c:v>
                </c:pt>
                <c:pt idx="7">
                  <c:v>0.10933209445254793</c:v>
                </c:pt>
                <c:pt idx="8">
                  <c:v>0.2347356615633395</c:v>
                </c:pt>
                <c:pt idx="9">
                  <c:v>0.41954417217249784</c:v>
                </c:pt>
                <c:pt idx="10">
                  <c:v>0.7233495294173059</c:v>
                </c:pt>
                <c:pt idx="11">
                  <c:v>0.75074541939668848</c:v>
                </c:pt>
                <c:pt idx="12">
                  <c:v>1.5835764854801773</c:v>
                </c:pt>
              </c:numCache>
            </c:numRef>
          </c:val>
          <c:smooth val="0"/>
          <c:extLst>
            <c:ext xmlns:c16="http://schemas.microsoft.com/office/drawing/2014/chart" uri="{C3380CC4-5D6E-409C-BE32-E72D297353CC}">
              <c16:uniqueId val="{00000008-768A-4783-A7C6-5F01152B523C}"/>
            </c:ext>
          </c:extLst>
        </c:ser>
        <c:ser>
          <c:idx val="9"/>
          <c:order val="9"/>
          <c:tx>
            <c:strRef>
              <c:f>'EV %sales'!$K$62</c:f>
              <c:strCache>
                <c:ptCount val="1"/>
                <c:pt idx="0">
                  <c:v>India</c:v>
                </c:pt>
              </c:strCache>
            </c:strRef>
          </c:tx>
          <c:spPr>
            <a:ln w="28575" cap="rnd">
              <a:solidFill>
                <a:schemeClr val="accent4">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%sales'!$K$63:$K$75</c:f>
              <c:numCache>
                <c:formatCode>0.00</c:formatCode>
                <c:ptCount val="13"/>
                <c:pt idx="0">
                  <c:v>9.3220338983050852E-3</c:v>
                </c:pt>
                <c:pt idx="1">
                  <c:v>1.0761154855643044E-2</c:v>
                </c:pt>
                <c:pt idx="2">
                  <c:v>9.7826086956521747E-3</c:v>
                </c:pt>
                <c:pt idx="3">
                  <c:v>1.2580645161290323E-2</c:v>
                </c:pt>
                <c:pt idx="4">
                  <c:v>4.4397939471989695E-2</c:v>
                </c:pt>
                <c:pt idx="5">
                  <c:v>0.06</c:v>
                </c:pt>
                <c:pt idx="6">
                  <c:v>6.9192521877486077E-2</c:v>
                </c:pt>
                <c:pt idx="7">
                  <c:v>0.11082940963419051</c:v>
                </c:pt>
                <c:pt idx="8">
                  <c:v>0.13033359193173003</c:v>
                </c:pt>
                <c:pt idx="9">
                  <c:v>0.15546055188495919</c:v>
                </c:pt>
                <c:pt idx="10">
                  <c:v>0.18976897689768976</c:v>
                </c:pt>
                <c:pt idx="11">
                  <c:v>0.23895759717314485</c:v>
                </c:pt>
                <c:pt idx="12">
                  <c:v>0.2830508474576271</c:v>
                </c:pt>
              </c:numCache>
            </c:numRef>
          </c:val>
          <c:smooth val="0"/>
          <c:extLst>
            <c:ext xmlns:c16="http://schemas.microsoft.com/office/drawing/2014/chart" uri="{C3380CC4-5D6E-409C-BE32-E72D297353CC}">
              <c16:uniqueId val="{00000009-768A-4783-A7C6-5F01152B523C}"/>
            </c:ext>
          </c:extLst>
        </c:ser>
        <c:ser>
          <c:idx val="10"/>
          <c:order val="10"/>
          <c:tx>
            <c:strRef>
              <c:f>'EV %sales'!$L$62</c:f>
              <c:strCache>
                <c:ptCount val="1"/>
                <c:pt idx="0">
                  <c:v>Ireland</c:v>
                </c:pt>
              </c:strCache>
            </c:strRef>
          </c:tx>
          <c:spPr>
            <a:ln w="28575" cap="rnd">
              <a:solidFill>
                <a:schemeClr val="accent5">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%sales'!$L$63:$L$75</c:f>
              <c:numCache>
                <c:formatCode>0.00</c:formatCode>
                <c:ptCount val="13"/>
                <c:pt idx="0">
                  <c:v>0</c:v>
                </c:pt>
                <c:pt idx="1">
                  <c:v>0</c:v>
                </c:pt>
                <c:pt idx="2">
                  <c:v>0</c:v>
                </c:pt>
                <c:pt idx="3">
                  <c:v>0</c:v>
                </c:pt>
                <c:pt idx="4">
                  <c:v>0</c:v>
                </c:pt>
                <c:pt idx="5">
                  <c:v>0</c:v>
                </c:pt>
                <c:pt idx="6">
                  <c:v>5.117024116757142E-2</c:v>
                </c:pt>
                <c:pt idx="7">
                  <c:v>0.17484716596643943</c:v>
                </c:pt>
                <c:pt idx="8">
                  <c:v>6.3200075302217371E-2</c:v>
                </c:pt>
                <c:pt idx="9">
                  <c:v>0.26675247031470567</c:v>
                </c:pt>
                <c:pt idx="10">
                  <c:v>0.44739685461603113</c:v>
                </c:pt>
                <c:pt idx="11">
                  <c:v>0.47066848567530695</c:v>
                </c:pt>
                <c:pt idx="12">
                  <c:v>0.72180176338911817</c:v>
                </c:pt>
              </c:numCache>
            </c:numRef>
          </c:val>
          <c:smooth val="0"/>
          <c:extLst>
            <c:ext xmlns:c16="http://schemas.microsoft.com/office/drawing/2014/chart" uri="{C3380CC4-5D6E-409C-BE32-E72D297353CC}">
              <c16:uniqueId val="{0000000A-768A-4783-A7C6-5F01152B523C}"/>
            </c:ext>
          </c:extLst>
        </c:ser>
        <c:ser>
          <c:idx val="11"/>
          <c:order val="11"/>
          <c:tx>
            <c:strRef>
              <c:f>'EV %sales'!$M$62</c:f>
              <c:strCache>
                <c:ptCount val="1"/>
                <c:pt idx="0">
                  <c:v>Italy</c:v>
                </c:pt>
              </c:strCache>
            </c:strRef>
          </c:tx>
          <c:spPr>
            <a:ln w="28575" cap="rnd">
              <a:solidFill>
                <a:schemeClr val="accent6">
                  <a:lumMod val="6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%sales'!$M$63:$M$75</c:f>
              <c:numCache>
                <c:formatCode>0.00</c:formatCode>
                <c:ptCount val="13"/>
                <c:pt idx="0">
                  <c:v>0</c:v>
                </c:pt>
                <c:pt idx="1">
                  <c:v>0</c:v>
                </c:pt>
                <c:pt idx="2">
                  <c:v>0</c:v>
                </c:pt>
                <c:pt idx="3">
                  <c:v>0</c:v>
                </c:pt>
                <c:pt idx="4">
                  <c:v>0</c:v>
                </c:pt>
                <c:pt idx="5">
                  <c:v>2.0331649872723872E-3</c:v>
                </c:pt>
                <c:pt idx="6">
                  <c:v>6.7087579107437028E-3</c:v>
                </c:pt>
                <c:pt idx="7">
                  <c:v>4.6702228169036283E-2</c:v>
                </c:pt>
                <c:pt idx="8">
                  <c:v>8.1913957703176152E-2</c:v>
                </c:pt>
                <c:pt idx="9">
                  <c:v>0.11094480331915341</c:v>
                </c:pt>
                <c:pt idx="10">
                  <c:v>0.14788938732622051</c:v>
                </c:pt>
                <c:pt idx="11">
                  <c:v>0.15340151178301467</c:v>
                </c:pt>
                <c:pt idx="12">
                  <c:v>0.24515265193754346</c:v>
                </c:pt>
              </c:numCache>
            </c:numRef>
          </c:val>
          <c:smooth val="0"/>
          <c:extLst>
            <c:ext xmlns:c16="http://schemas.microsoft.com/office/drawing/2014/chart" uri="{C3380CC4-5D6E-409C-BE32-E72D297353CC}">
              <c16:uniqueId val="{0000000B-768A-4783-A7C6-5F01152B523C}"/>
            </c:ext>
          </c:extLst>
        </c:ser>
        <c:ser>
          <c:idx val="12"/>
          <c:order val="12"/>
          <c:tx>
            <c:strRef>
              <c:f>'EV %sales'!$N$62</c:f>
              <c:strCache>
                <c:ptCount val="1"/>
                <c:pt idx="0">
                  <c:v>Japan</c:v>
                </c:pt>
              </c:strCache>
            </c:strRef>
          </c:tx>
          <c:spPr>
            <a:ln w="28575" cap="rnd">
              <a:solidFill>
                <a:schemeClr val="accent1">
                  <a:lumMod val="80000"/>
                  <a:lumOff val="2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%sales'!$N$63:$N$75</c:f>
              <c:numCache>
                <c:formatCode>0.00</c:formatCode>
                <c:ptCount val="13"/>
                <c:pt idx="0">
                  <c:v>0</c:v>
                </c:pt>
                <c:pt idx="1">
                  <c:v>0</c:v>
                </c:pt>
                <c:pt idx="2">
                  <c:v>0</c:v>
                </c:pt>
                <c:pt idx="3">
                  <c:v>0</c:v>
                </c:pt>
                <c:pt idx="4">
                  <c:v>2.5231012895486578E-2</c:v>
                </c:pt>
                <c:pt idx="5">
                  <c:v>5.7929724596391265E-2</c:v>
                </c:pt>
                <c:pt idx="6">
                  <c:v>0.35801418439716309</c:v>
                </c:pt>
                <c:pt idx="7">
                  <c:v>0.53455818022747159</c:v>
                </c:pt>
                <c:pt idx="8">
                  <c:v>0.63305567733450241</c:v>
                </c:pt>
                <c:pt idx="9">
                  <c:v>0.68702127659574463</c:v>
                </c:pt>
                <c:pt idx="10">
                  <c:v>0.58467741935483863</c:v>
                </c:pt>
                <c:pt idx="11">
                  <c:v>0.59937288953207912</c:v>
                </c:pt>
                <c:pt idx="12">
                  <c:v>1.2753359143703029</c:v>
                </c:pt>
              </c:numCache>
            </c:numRef>
          </c:val>
          <c:smooth val="0"/>
          <c:extLst>
            <c:ext xmlns:c16="http://schemas.microsoft.com/office/drawing/2014/chart" uri="{C3380CC4-5D6E-409C-BE32-E72D297353CC}">
              <c16:uniqueId val="{0000000C-768A-4783-A7C6-5F01152B523C}"/>
            </c:ext>
          </c:extLst>
        </c:ser>
        <c:ser>
          <c:idx val="13"/>
          <c:order val="13"/>
          <c:tx>
            <c:strRef>
              <c:f>'EV %sales'!$O$62</c:f>
              <c:strCache>
                <c:ptCount val="1"/>
                <c:pt idx="0">
                  <c:v>Korea</c:v>
                </c:pt>
              </c:strCache>
            </c:strRef>
          </c:tx>
          <c:spPr>
            <a:ln w="28575" cap="rnd">
              <a:solidFill>
                <a:schemeClr val="accent2">
                  <a:lumMod val="80000"/>
                  <a:lumOff val="2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%sales'!$O$63:$O$75</c:f>
              <c:numCache>
                <c:formatCode>0.00</c:formatCode>
                <c:ptCount val="13"/>
                <c:pt idx="0">
                  <c:v>0</c:v>
                </c:pt>
                <c:pt idx="1">
                  <c:v>0</c:v>
                </c:pt>
                <c:pt idx="2">
                  <c:v>0</c:v>
                </c:pt>
                <c:pt idx="3">
                  <c:v>0</c:v>
                </c:pt>
                <c:pt idx="4">
                  <c:v>0</c:v>
                </c:pt>
                <c:pt idx="5">
                  <c:v>4.9261083743842356E-3</c:v>
                </c:pt>
                <c:pt idx="6">
                  <c:v>2.2295623451692819E-2</c:v>
                </c:pt>
                <c:pt idx="7">
                  <c:v>4.336734693877551E-2</c:v>
                </c:pt>
                <c:pt idx="8">
                  <c:v>5.277044854881266E-2</c:v>
                </c:pt>
                <c:pt idx="9">
                  <c:v>0.11490898107942263</c:v>
                </c:pt>
                <c:pt idx="10">
                  <c:v>0.24369747899159661</c:v>
                </c:pt>
                <c:pt idx="11">
                  <c:v>0.3969811320754717</c:v>
                </c:pt>
                <c:pt idx="12">
                  <c:v>0.91065980531408097</c:v>
                </c:pt>
              </c:numCache>
            </c:numRef>
          </c:val>
          <c:smooth val="0"/>
          <c:extLst>
            <c:ext xmlns:c16="http://schemas.microsoft.com/office/drawing/2014/chart" uri="{C3380CC4-5D6E-409C-BE32-E72D297353CC}">
              <c16:uniqueId val="{0000000D-768A-4783-A7C6-5F01152B523C}"/>
            </c:ext>
          </c:extLst>
        </c:ser>
        <c:ser>
          <c:idx val="15"/>
          <c:order val="14"/>
          <c:tx>
            <c:strRef>
              <c:f>'EV %sales'!$Q$62</c:f>
              <c:strCache>
                <c:ptCount val="1"/>
                <c:pt idx="0">
                  <c:v>NZ</c:v>
                </c:pt>
              </c:strCache>
            </c:strRef>
          </c:tx>
          <c:spPr>
            <a:ln w="28575" cap="rnd">
              <a:solidFill>
                <a:schemeClr val="accent4">
                  <a:lumMod val="80000"/>
                  <a:lumOff val="2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%sales'!$Q$63:$Q$75</c:f>
              <c:numCache>
                <c:formatCode>0.00</c:formatCode>
                <c:ptCount val="13"/>
                <c:pt idx="0">
                  <c:v>0</c:v>
                </c:pt>
                <c:pt idx="1">
                  <c:v>0</c:v>
                </c:pt>
                <c:pt idx="2">
                  <c:v>0</c:v>
                </c:pt>
                <c:pt idx="3">
                  <c:v>0</c:v>
                </c:pt>
                <c:pt idx="4">
                  <c:v>0</c:v>
                </c:pt>
                <c:pt idx="5">
                  <c:v>0</c:v>
                </c:pt>
                <c:pt idx="6">
                  <c:v>0</c:v>
                </c:pt>
                <c:pt idx="7">
                  <c:v>0</c:v>
                </c:pt>
                <c:pt idx="8">
                  <c:v>8.5561497326203211E-3</c:v>
                </c:pt>
                <c:pt idx="9">
                  <c:v>0.11238938053097347</c:v>
                </c:pt>
                <c:pt idx="10">
                  <c:v>0.11847389558232932</c:v>
                </c:pt>
                <c:pt idx="11">
                  <c:v>0.27782101167315176</c:v>
                </c:pt>
                <c:pt idx="12">
                  <c:v>0.40622710622710623</c:v>
                </c:pt>
              </c:numCache>
            </c:numRef>
          </c:val>
          <c:smooth val="0"/>
          <c:extLst>
            <c:ext xmlns:c16="http://schemas.microsoft.com/office/drawing/2014/chart" uri="{C3380CC4-5D6E-409C-BE32-E72D297353CC}">
              <c16:uniqueId val="{0000000F-768A-4783-A7C6-5F01152B523C}"/>
            </c:ext>
          </c:extLst>
        </c:ser>
        <c:ser>
          <c:idx val="17"/>
          <c:order val="15"/>
          <c:tx>
            <c:strRef>
              <c:f>'EV %sales'!$S$62</c:f>
              <c:strCache>
                <c:ptCount val="1"/>
                <c:pt idx="0">
                  <c:v>Spain</c:v>
                </c:pt>
              </c:strCache>
            </c:strRef>
          </c:tx>
          <c:spPr>
            <a:ln w="28575" cap="rnd">
              <a:solidFill>
                <a:schemeClr val="accent6">
                  <a:lumMod val="80000"/>
                  <a:lumOff val="2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%sales'!$S$63:$S$75</c:f>
              <c:numCache>
                <c:formatCode>0.00</c:formatCode>
                <c:ptCount val="13"/>
                <c:pt idx="0">
                  <c:v>0</c:v>
                </c:pt>
                <c:pt idx="1">
                  <c:v>0</c:v>
                </c:pt>
                <c:pt idx="2">
                  <c:v>0</c:v>
                </c:pt>
                <c:pt idx="3">
                  <c:v>0</c:v>
                </c:pt>
                <c:pt idx="4">
                  <c:v>0</c:v>
                </c:pt>
                <c:pt idx="5">
                  <c:v>7.4346792139609015E-3</c:v>
                </c:pt>
                <c:pt idx="6">
                  <c:v>7.1282011934786851E-2</c:v>
                </c:pt>
                <c:pt idx="7">
                  <c:v>7.8903470466230891E-2</c:v>
                </c:pt>
                <c:pt idx="8">
                  <c:v>0.13947638241435278</c:v>
                </c:pt>
                <c:pt idx="9">
                  <c:v>0.16976340686629846</c:v>
                </c:pt>
                <c:pt idx="10">
                  <c:v>0.22151702906117776</c:v>
                </c:pt>
                <c:pt idx="11">
                  <c:v>0.30653692610419991</c:v>
                </c:pt>
                <c:pt idx="12">
                  <c:v>0.5903163820488756</c:v>
                </c:pt>
              </c:numCache>
            </c:numRef>
          </c:val>
          <c:smooth val="0"/>
          <c:extLst>
            <c:ext xmlns:c16="http://schemas.microsoft.com/office/drawing/2014/chart" uri="{C3380CC4-5D6E-409C-BE32-E72D297353CC}">
              <c16:uniqueId val="{00000011-768A-4783-A7C6-5F01152B523C}"/>
            </c:ext>
          </c:extLst>
        </c:ser>
        <c:ser>
          <c:idx val="19"/>
          <c:order val="16"/>
          <c:tx>
            <c:strRef>
              <c:f>'EV %sales'!$U$62</c:f>
              <c:strCache>
                <c:ptCount val="1"/>
                <c:pt idx="0">
                  <c:v>Switzerland</c:v>
                </c:pt>
              </c:strCache>
            </c:strRef>
          </c:tx>
          <c:spPr>
            <a:ln w="28575" cap="rnd">
              <a:solidFill>
                <a:schemeClr val="accent2">
                  <a:lumMod val="8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%sales'!$U$63:$U$75</c:f>
              <c:numCache>
                <c:formatCode>0.00</c:formatCode>
                <c:ptCount val="13"/>
                <c:pt idx="0">
                  <c:v>0</c:v>
                </c:pt>
                <c:pt idx="1">
                  <c:v>0</c:v>
                </c:pt>
                <c:pt idx="2">
                  <c:v>0</c:v>
                </c:pt>
                <c:pt idx="3">
                  <c:v>0</c:v>
                </c:pt>
                <c:pt idx="4">
                  <c:v>0</c:v>
                </c:pt>
                <c:pt idx="5">
                  <c:v>4.1470412714895974E-2</c:v>
                </c:pt>
                <c:pt idx="6">
                  <c:v>0.13294506868320349</c:v>
                </c:pt>
                <c:pt idx="7">
                  <c:v>0.25655226092292954</c:v>
                </c:pt>
                <c:pt idx="8">
                  <c:v>0.43690676507084714</c:v>
                </c:pt>
                <c:pt idx="9">
                  <c:v>0.70521908497078434</c:v>
                </c:pt>
                <c:pt idx="10">
                  <c:v>1.736769602362229</c:v>
                </c:pt>
                <c:pt idx="11">
                  <c:v>1.9299434316058177</c:v>
                </c:pt>
                <c:pt idx="12">
                  <c:v>2.6039079317767841</c:v>
                </c:pt>
              </c:numCache>
            </c:numRef>
          </c:val>
          <c:smooth val="0"/>
          <c:extLst>
            <c:ext xmlns:c16="http://schemas.microsoft.com/office/drawing/2014/chart" uri="{C3380CC4-5D6E-409C-BE32-E72D297353CC}">
              <c16:uniqueId val="{00000013-768A-4783-A7C6-5F01152B523C}"/>
            </c:ext>
          </c:extLst>
        </c:ser>
        <c:ser>
          <c:idx val="20"/>
          <c:order val="17"/>
          <c:tx>
            <c:strRef>
              <c:f>'EV %sales'!$V$62</c:f>
              <c:strCache>
                <c:ptCount val="1"/>
                <c:pt idx="0">
                  <c:v>UK</c:v>
                </c:pt>
              </c:strCache>
            </c:strRef>
          </c:tx>
          <c:spPr>
            <a:ln w="28575" cap="rnd">
              <a:solidFill>
                <a:schemeClr val="accent3">
                  <a:lumMod val="8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%sales'!$V$63:$V$75</c:f>
              <c:numCache>
                <c:formatCode>0.00</c:formatCode>
                <c:ptCount val="13"/>
                <c:pt idx="0">
                  <c:v>9.0191620296558236E-3</c:v>
                </c:pt>
                <c:pt idx="1">
                  <c:v>1.3649507103502078E-2</c:v>
                </c:pt>
                <c:pt idx="2">
                  <c:v>1.8721737976379823E-2</c:v>
                </c:pt>
                <c:pt idx="3">
                  <c:v>1.0324484467986355E-2</c:v>
                </c:pt>
                <c:pt idx="4">
                  <c:v>9.0499694060756468E-3</c:v>
                </c:pt>
                <c:pt idx="5">
                  <c:v>1.3826928337993337E-2</c:v>
                </c:pt>
                <c:pt idx="6">
                  <c:v>6.2980581847654094E-2</c:v>
                </c:pt>
                <c:pt idx="7">
                  <c:v>0.13186365004465717</c:v>
                </c:pt>
                <c:pt idx="8">
                  <c:v>0.16558214044279757</c:v>
                </c:pt>
                <c:pt idx="9">
                  <c:v>0.59521045373692427</c:v>
                </c:pt>
                <c:pt idx="10">
                  <c:v>1.1141054329537501</c:v>
                </c:pt>
                <c:pt idx="11">
                  <c:v>1.3058222970559115</c:v>
                </c:pt>
                <c:pt idx="12">
                  <c:v>1.7590074061814718</c:v>
                </c:pt>
              </c:numCache>
            </c:numRef>
          </c:val>
          <c:smooth val="0"/>
          <c:extLst>
            <c:ext xmlns:c16="http://schemas.microsoft.com/office/drawing/2014/chart" uri="{C3380CC4-5D6E-409C-BE32-E72D297353CC}">
              <c16:uniqueId val="{00000014-768A-4783-A7C6-5F01152B523C}"/>
            </c:ext>
          </c:extLst>
        </c:ser>
        <c:ser>
          <c:idx val="21"/>
          <c:order val="18"/>
          <c:tx>
            <c:strRef>
              <c:f>'EV %sales'!$W$62</c:f>
              <c:strCache>
                <c:ptCount val="1"/>
                <c:pt idx="0">
                  <c:v>USA</c:v>
                </c:pt>
              </c:strCache>
            </c:strRef>
          </c:tx>
          <c:spPr>
            <a:ln w="28575" cap="rnd">
              <a:solidFill>
                <a:schemeClr val="accent4">
                  <a:lumMod val="8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%sales'!$W$63:$W$75</c:f>
              <c:numCache>
                <c:formatCode>0.00</c:formatCode>
                <c:ptCount val="13"/>
                <c:pt idx="0">
                  <c:v>8.5204795812792913E-3</c:v>
                </c:pt>
                <c:pt idx="1">
                  <c:v>9.5140646597375571E-3</c:v>
                </c:pt>
                <c:pt idx="2">
                  <c:v>1.0689836756187468E-2</c:v>
                </c:pt>
                <c:pt idx="3">
                  <c:v>1.3746797089793705E-2</c:v>
                </c:pt>
                <c:pt idx="4">
                  <c:v>1.5372168284789645E-2</c:v>
                </c:pt>
                <c:pt idx="5">
                  <c:v>1.2496929588413098E-2</c:v>
                </c:pt>
                <c:pt idx="6">
                  <c:v>0.16820182853317761</c:v>
                </c:pt>
                <c:pt idx="7">
                  <c:v>0.44224870675064742</c:v>
                </c:pt>
                <c:pt idx="8">
                  <c:v>0.78405356666940451</c:v>
                </c:pt>
                <c:pt idx="9">
                  <c:v>0.91350827091065279</c:v>
                </c:pt>
                <c:pt idx="10">
                  <c:v>0.83582354236066314</c:v>
                </c:pt>
                <c:pt idx="11">
                  <c:v>1.1530510994799494</c:v>
                </c:pt>
                <c:pt idx="12">
                  <c:v>1.4513430776109104</c:v>
                </c:pt>
              </c:numCache>
            </c:numRef>
          </c:val>
          <c:smooth val="0"/>
          <c:extLst>
            <c:ext xmlns:c16="http://schemas.microsoft.com/office/drawing/2014/chart" uri="{C3380CC4-5D6E-409C-BE32-E72D297353CC}">
              <c16:uniqueId val="{00000015-768A-4783-A7C6-5F01152B523C}"/>
            </c:ext>
          </c:extLst>
        </c:ser>
        <c:ser>
          <c:idx val="22"/>
          <c:order val="19"/>
          <c:tx>
            <c:strRef>
              <c:f>'EV %sales'!$X$62</c:f>
              <c:strCache>
                <c:ptCount val="1"/>
                <c:pt idx="0">
                  <c:v>rest Europe</c:v>
                </c:pt>
              </c:strCache>
            </c:strRef>
          </c:tx>
          <c:spPr>
            <a:ln w="28575" cap="rnd">
              <a:solidFill>
                <a:schemeClr val="accent5">
                  <a:lumMod val="80000"/>
                </a:schemeClr>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%sales'!$X$63:$X$75</c:f>
              <c:numCache>
                <c:formatCode>0.00</c:formatCode>
                <c:ptCount val="13"/>
                <c:pt idx="0">
                  <c:v>0</c:v>
                </c:pt>
                <c:pt idx="1">
                  <c:v>0</c:v>
                </c:pt>
                <c:pt idx="2">
                  <c:v>0</c:v>
                </c:pt>
                <c:pt idx="3">
                  <c:v>0</c:v>
                </c:pt>
                <c:pt idx="4">
                  <c:v>0</c:v>
                </c:pt>
                <c:pt idx="5">
                  <c:v>1.4700472362928204E-4</c:v>
                </c:pt>
                <c:pt idx="6">
                  <c:v>1.5641205443559392E-2</c:v>
                </c:pt>
                <c:pt idx="7">
                  <c:v>3.8608347201689146E-2</c:v>
                </c:pt>
                <c:pt idx="8">
                  <c:v>2.9968337191406656E-2</c:v>
                </c:pt>
                <c:pt idx="9">
                  <c:v>7.6596943297003478E-2</c:v>
                </c:pt>
                <c:pt idx="10">
                  <c:v>0.11503318836033208</c:v>
                </c:pt>
                <c:pt idx="11">
                  <c:v>0.13580340082546269</c:v>
                </c:pt>
                <c:pt idx="12">
                  <c:v>0.31729448102144603</c:v>
                </c:pt>
              </c:numCache>
            </c:numRef>
          </c:val>
          <c:smooth val="0"/>
          <c:extLst>
            <c:ext xmlns:c16="http://schemas.microsoft.com/office/drawing/2014/chart" uri="{C3380CC4-5D6E-409C-BE32-E72D297353CC}">
              <c16:uniqueId val="{00000016-768A-4783-A7C6-5F01152B523C}"/>
            </c:ext>
          </c:extLst>
        </c:ser>
        <c:ser>
          <c:idx val="14"/>
          <c:order val="20"/>
          <c:tx>
            <c:strRef>
              <c:f>'EV %sales'!$Y$62</c:f>
              <c:strCache>
                <c:ptCount val="1"/>
                <c:pt idx="0">
                  <c:v>Total</c:v>
                </c:pt>
              </c:strCache>
            </c:strRef>
          </c:tx>
          <c:spPr>
            <a:ln w="63500" cap="rnd">
              <a:solidFill>
                <a:schemeClr val="tx1"/>
              </a:solidFill>
              <a:round/>
            </a:ln>
            <a:effectLst/>
          </c:spPr>
          <c:marker>
            <c:symbol val="none"/>
          </c:marker>
          <c:val>
            <c:numRef>
              <c:f>'EV %sales'!$Y$63:$Y$75</c:f>
              <c:numCache>
                <c:formatCode>0.00</c:formatCode>
                <c:ptCount val="13"/>
                <c:pt idx="4">
                  <c:v>9.0944063654437145E-3</c:v>
                </c:pt>
                <c:pt idx="5">
                  <c:v>1.6964627629336562E-2</c:v>
                </c:pt>
                <c:pt idx="6">
                  <c:v>0.10234351891729328</c:v>
                </c:pt>
                <c:pt idx="7">
                  <c:v>0.23522435592921317</c:v>
                </c:pt>
                <c:pt idx="8">
                  <c:v>0.38403986642724675</c:v>
                </c:pt>
                <c:pt idx="9">
                  <c:v>0.57247293705754376</c:v>
                </c:pt>
                <c:pt idx="10">
                  <c:v>0.90247796151091464</c:v>
                </c:pt>
                <c:pt idx="11">
                  <c:v>1.1362386310898671</c:v>
                </c:pt>
                <c:pt idx="12">
                  <c:v>1.6633518305579627</c:v>
                </c:pt>
              </c:numCache>
            </c:numRef>
          </c:val>
          <c:smooth val="0"/>
          <c:extLst>
            <c:ext xmlns:c16="http://schemas.microsoft.com/office/drawing/2014/chart" uri="{C3380CC4-5D6E-409C-BE32-E72D297353CC}">
              <c16:uniqueId val="{00000017-768A-4783-A7C6-5F01152B523C}"/>
            </c:ext>
          </c:extLst>
        </c:ser>
        <c:dLbls>
          <c:showLegendKey val="0"/>
          <c:showVal val="0"/>
          <c:showCatName val="0"/>
          <c:showSerName val="0"/>
          <c:showPercent val="0"/>
          <c:showBubbleSize val="0"/>
        </c:dLbls>
        <c:smooth val="0"/>
        <c:axId val="732386336"/>
        <c:axId val="732388632"/>
      </c:lineChart>
      <c:catAx>
        <c:axId val="73238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88632"/>
        <c:crosses val="autoZero"/>
        <c:auto val="1"/>
        <c:lblAlgn val="ctr"/>
        <c:lblOffset val="100"/>
        <c:noMultiLvlLbl val="0"/>
      </c:catAx>
      <c:valAx>
        <c:axId val="732388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86336"/>
        <c:crosses val="autoZero"/>
        <c:crossBetween val="between"/>
      </c:valAx>
      <c:spPr>
        <a:noFill/>
        <a:ln>
          <a:noFill/>
        </a:ln>
        <a:effectLst/>
      </c:spPr>
    </c:plotArea>
    <c:legend>
      <c:legendPos val="b"/>
      <c:layout>
        <c:manualLayout>
          <c:xMode val="edge"/>
          <c:yMode val="edge"/>
          <c:x val="6.2998687664042E-2"/>
          <c:y val="0.10617958750639671"/>
          <c:w val="0.27639863620873611"/>
          <c:h val="0.751636690361918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uptake'!$B$3</c:f>
              <c:strCache>
                <c:ptCount val="1"/>
                <c:pt idx="0">
                  <c:v> EV %sales</c:v>
                </c:pt>
              </c:strCache>
            </c:strRef>
          </c:tx>
          <c:spPr>
            <a:ln w="47625" cap="rnd">
              <a:solidFill>
                <a:schemeClr val="tx1"/>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uptake'!$B$4:$B$45</c:f>
              <c:numCache>
                <c:formatCode>0.00</c:formatCode>
                <c:ptCount val="42"/>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pt idx="9">
                  <c:v>1.7936823248242677</c:v>
                </c:pt>
              </c:numCache>
            </c:numRef>
          </c:val>
          <c:smooth val="0"/>
          <c:extLst>
            <c:ext xmlns:c16="http://schemas.microsoft.com/office/drawing/2014/chart" uri="{C3380CC4-5D6E-409C-BE32-E72D297353CC}">
              <c16:uniqueId val="{00000000-4894-4C9C-A911-AB45215B1D5A}"/>
            </c:ext>
          </c:extLst>
        </c:ser>
        <c:ser>
          <c:idx val="2"/>
          <c:order val="1"/>
          <c:tx>
            <c:strRef>
              <c:f>'Korea EV uptake'!$L$3</c:f>
              <c:strCache>
                <c:ptCount val="1"/>
                <c:pt idx="0">
                  <c:v>Predicted Cost</c:v>
                </c:pt>
              </c:strCache>
            </c:strRef>
          </c:tx>
          <c:spPr>
            <a:ln w="28575" cap="rnd">
              <a:solidFill>
                <a:schemeClr val="accent3"/>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uptake'!$L$4:$L$45</c:f>
              <c:numCache>
                <c:formatCode>0.00</c:formatCode>
                <c:ptCount val="42"/>
                <c:pt idx="3" formatCode="0.000">
                  <c:v>4.3976366875896858E-2</c:v>
                </c:pt>
                <c:pt idx="4" formatCode="0.000">
                  <c:v>5.5501342011082921E-2</c:v>
                </c:pt>
                <c:pt idx="5" formatCode="0.000">
                  <c:v>5.5501342011082921E-2</c:v>
                </c:pt>
                <c:pt idx="6" formatCode="0.000">
                  <c:v>0.22161628502959124</c:v>
                </c:pt>
                <c:pt idx="7" formatCode="0.000">
                  <c:v>0.44190356227885791</c:v>
                </c:pt>
                <c:pt idx="8" formatCode="0.000">
                  <c:v>0.87818859400646965</c:v>
                </c:pt>
                <c:pt idx="9" formatCode="0.000">
                  <c:v>1.6331774169026745</c:v>
                </c:pt>
                <c:pt idx="10" formatCode="0.000">
                  <c:v>2.8298949506761959</c:v>
                </c:pt>
                <c:pt idx="11" formatCode="0.000">
                  <c:v>4.9940109312926024</c:v>
                </c:pt>
                <c:pt idx="12" formatCode="0.000">
                  <c:v>8.6141419950700175</c:v>
                </c:pt>
                <c:pt idx="13" formatCode="0.000">
                  <c:v>16.553850487953202</c:v>
                </c:pt>
                <c:pt idx="14" formatCode="0.000">
                  <c:v>26.000398281275768</c:v>
                </c:pt>
                <c:pt idx="15" formatCode="0.000">
                  <c:v>36.09791629147518</c:v>
                </c:pt>
                <c:pt idx="16" formatCode="0.000">
                  <c:v>46.312551383656121</c:v>
                </c:pt>
                <c:pt idx="17" formatCode="0.000">
                  <c:v>55.119090434472085</c:v>
                </c:pt>
                <c:pt idx="18" formatCode="0.000">
                  <c:v>59.71840210526657</c:v>
                </c:pt>
                <c:pt idx="19" formatCode="0.000">
                  <c:v>62.538798578006194</c:v>
                </c:pt>
                <c:pt idx="20" formatCode="0.000">
                  <c:v>64.127453211898725</c:v>
                </c:pt>
                <c:pt idx="21" formatCode="0.000">
                  <c:v>64.558689770154871</c:v>
                </c:pt>
                <c:pt idx="22" formatCode="0.000">
                  <c:v>64.778102350526169</c:v>
                </c:pt>
                <c:pt idx="23" formatCode="0.000">
                  <c:v>64.888759538509646</c:v>
                </c:pt>
                <c:pt idx="24" formatCode="0.000">
                  <c:v>64.944317697669561</c:v>
                </c:pt>
                <c:pt idx="25" formatCode="0.000">
                  <c:v>64.972148909613963</c:v>
                </c:pt>
                <c:pt idx="26" formatCode="0.000">
                  <c:v>64.986074776491208</c:v>
                </c:pt>
                <c:pt idx="27" formatCode="0.000">
                  <c:v>64.993038873103231</c:v>
                </c:pt>
                <c:pt idx="28" formatCode="0.000">
                  <c:v>64.996520509787416</c:v>
                </c:pt>
                <c:pt idx="29" formatCode="0.000">
                  <c:v>64.998260874049151</c:v>
                </c:pt>
                <c:pt idx="30" formatCode="0.000">
                  <c:v>64.999130767154753</c:v>
                </c:pt>
                <c:pt idx="31" formatCode="0.000">
                  <c:v>64.999565553741718</c:v>
                </c:pt>
                <c:pt idx="32" formatCode="0.000">
                  <c:v>64.999782863209219</c:v>
                </c:pt>
                <c:pt idx="33" formatCode="0.000">
                  <c:v>64.999891475078755</c:v>
                </c:pt>
                <c:pt idx="34" formatCode="0.000">
                  <c:v>64.999945759348208</c:v>
                </c:pt>
                <c:pt idx="35" formatCode="0.000">
                  <c:v>64.99997289059425</c:v>
                </c:pt>
                <c:pt idx="36" formatCode="0.000">
                  <c:v>64.999986450760005</c:v>
                </c:pt>
                <c:pt idx="37" formatCode="0.000">
                  <c:v>64.999993228111606</c:v>
                </c:pt>
                <c:pt idx="38" formatCode="0.000">
                  <c:v>64.999996615421367</c:v>
                </c:pt>
                <c:pt idx="39" formatCode="0.000">
                  <c:v>64.999998308393259</c:v>
                </c:pt>
                <c:pt idx="40" formatCode="0.000">
                  <c:v>64.999999154537804</c:v>
                </c:pt>
                <c:pt idx="41" formatCode="0.000">
                  <c:v>64.999999577439411</c:v>
                </c:pt>
              </c:numCache>
            </c:numRef>
          </c:val>
          <c:smooth val="0"/>
          <c:extLst>
            <c:ext xmlns:c16="http://schemas.microsoft.com/office/drawing/2014/chart" uri="{C3380CC4-5D6E-409C-BE32-E72D297353CC}">
              <c16:uniqueId val="{00000002-4894-4C9C-A911-AB45215B1D5A}"/>
            </c:ext>
          </c:extLst>
        </c:ser>
        <c:ser>
          <c:idx val="3"/>
          <c:order val="2"/>
          <c:tx>
            <c:strRef>
              <c:f>'Korea EV uptake'!$AB$3</c:f>
              <c:strCache>
                <c:ptCount val="1"/>
                <c:pt idx="0">
                  <c:v>predi cted raw</c:v>
                </c:pt>
              </c:strCache>
            </c:strRef>
          </c:tx>
          <c:spPr>
            <a:ln w="28575" cap="rnd">
              <a:solidFill>
                <a:schemeClr val="accent4"/>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uptake'!$AB$4:$AB$45</c:f>
              <c:numCache>
                <c:formatCode>0.00</c:formatCode>
                <c:ptCount val="4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pt idx="32">
                  <c:v>64.999719841301214</c:v>
                </c:pt>
                <c:pt idx="33">
                  <c:v>64.999859976856115</c:v>
                </c:pt>
                <c:pt idx="34">
                  <c:v>64.999930016595002</c:v>
                </c:pt>
                <c:pt idx="35">
                  <c:v>64.999965022394164</c:v>
                </c:pt>
                <c:pt idx="36">
                  <c:v>64.999982518247279</c:v>
                </c:pt>
                <c:pt idx="37">
                  <c:v>64.999991262648493</c:v>
                </c:pt>
                <c:pt idx="38">
                  <c:v>64.999995633086257</c:v>
                </c:pt>
                <c:pt idx="39">
                  <c:v>64.999997817423861</c:v>
                </c:pt>
                <c:pt idx="40">
                  <c:v>64.999998909152126</c:v>
                </c:pt>
                <c:pt idx="41">
                  <c:v>64.999999454796082</c:v>
                </c:pt>
              </c:numCache>
            </c:numRef>
          </c:val>
          <c:smooth val="0"/>
          <c:extLst>
            <c:ext xmlns:c16="http://schemas.microsoft.com/office/drawing/2014/chart" uri="{C3380CC4-5D6E-409C-BE32-E72D297353CC}">
              <c16:uniqueId val="{00000003-4894-4C9C-A911-AB45215B1D5A}"/>
            </c:ext>
          </c:extLst>
        </c:ser>
        <c:dLbls>
          <c:showLegendKey val="0"/>
          <c:showVal val="0"/>
          <c:showCatName val="0"/>
          <c:showSerName val="0"/>
          <c:showPercent val="0"/>
          <c:showBubbleSize val="0"/>
        </c:dLbls>
        <c:smooth val="0"/>
        <c:axId val="897277480"/>
        <c:axId val="897277808"/>
      </c:lineChart>
      <c:catAx>
        <c:axId val="89727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808"/>
        <c:crosses val="autoZero"/>
        <c:auto val="1"/>
        <c:lblAlgn val="ctr"/>
        <c:lblOffset val="100"/>
        <c:noMultiLvlLbl val="0"/>
      </c:catAx>
      <c:valAx>
        <c:axId val="89727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 EV uptake'!$B$3</c:f>
              <c:strCache>
                <c:ptCount val="1"/>
                <c:pt idx="0">
                  <c:v> EV %sales</c:v>
                </c:pt>
              </c:strCache>
            </c:strRef>
          </c:tx>
          <c:spPr>
            <a:ln w="47625" cap="rnd">
              <a:solidFill>
                <a:schemeClr val="tx1"/>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uptake'!$B$4:$B$45</c:f>
              <c:numCache>
                <c:formatCode>0.00</c:formatCode>
                <c:ptCount val="42"/>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pt idx="9">
                  <c:v>1.7936823248242677</c:v>
                </c:pt>
              </c:numCache>
            </c:numRef>
          </c:val>
          <c:smooth val="0"/>
          <c:extLst>
            <c:ext xmlns:c16="http://schemas.microsoft.com/office/drawing/2014/chart" uri="{C3380CC4-5D6E-409C-BE32-E72D297353CC}">
              <c16:uniqueId val="{00000000-8D61-445D-A313-7E670DACB4D5}"/>
            </c:ext>
          </c:extLst>
        </c:ser>
        <c:ser>
          <c:idx val="1"/>
          <c:order val="1"/>
          <c:tx>
            <c:strRef>
              <c:f>'Korea EV uptake'!$C$3</c:f>
              <c:strCache>
                <c:ptCount val="1"/>
                <c:pt idx="0">
                  <c:v>Predicted Cost Lagged</c:v>
                </c:pt>
              </c:strCache>
            </c:strRef>
          </c:tx>
          <c:spPr>
            <a:ln w="28575" cap="rnd">
              <a:solidFill>
                <a:schemeClr val="accent2"/>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uptake'!$C$4:$C$45</c:f>
              <c:numCache>
                <c:formatCode>0.00</c:formatCode>
                <c:ptCount val="42"/>
                <c:pt idx="3">
                  <c:v>4.3976366875896858E-2</c:v>
                </c:pt>
                <c:pt idx="4">
                  <c:v>5.5501342011082921E-2</c:v>
                </c:pt>
                <c:pt idx="5">
                  <c:v>5.5501342011082921E-2</c:v>
                </c:pt>
                <c:pt idx="6">
                  <c:v>0.22161628502959124</c:v>
                </c:pt>
                <c:pt idx="7">
                  <c:v>0.44190356227885791</c:v>
                </c:pt>
                <c:pt idx="8">
                  <c:v>0.87818859400646965</c:v>
                </c:pt>
                <c:pt idx="9">
                  <c:v>1.7804203205284468</c:v>
                </c:pt>
                <c:pt idx="10">
                  <c:v>2.8065512897951961</c:v>
                </c:pt>
                <c:pt idx="11">
                  <c:v>5.2403013381056427</c:v>
                </c:pt>
                <c:pt idx="12">
                  <c:v>7.5973475012623597</c:v>
                </c:pt>
                <c:pt idx="13">
                  <c:v>10.821903618953856</c:v>
                </c:pt>
                <c:pt idx="14">
                  <c:v>15.305519087429673</c:v>
                </c:pt>
                <c:pt idx="15">
                  <c:v>20.828298895684373</c:v>
                </c:pt>
                <c:pt idx="16">
                  <c:v>27.335747293277198</c:v>
                </c:pt>
                <c:pt idx="17">
                  <c:v>34.429408480020584</c:v>
                </c:pt>
                <c:pt idx="18">
                  <c:v>41.364685885968512</c:v>
                </c:pt>
                <c:pt idx="19">
                  <c:v>47.86406928319709</c:v>
                </c:pt>
                <c:pt idx="20">
                  <c:v>53.518510254323168</c:v>
                </c:pt>
                <c:pt idx="21">
                  <c:v>57.817795202045488</c:v>
                </c:pt>
                <c:pt idx="22">
                  <c:v>60.959576697754969</c:v>
                </c:pt>
                <c:pt idx="23">
                  <c:v>62.910479618304272</c:v>
                </c:pt>
                <c:pt idx="24">
                  <c:v>63.791176217728925</c:v>
                </c:pt>
                <c:pt idx="25">
                  <c:v>64.308204277339939</c:v>
                </c:pt>
                <c:pt idx="26">
                  <c:v>64.606162940402797</c:v>
                </c:pt>
                <c:pt idx="27">
                  <c:v>64.776209802246811</c:v>
                </c:pt>
                <c:pt idx="28">
                  <c:v>64.872825969980639</c:v>
                </c:pt>
                <c:pt idx="29">
                  <c:v>64.927647708952094</c:v>
                </c:pt>
                <c:pt idx="30">
                  <c:v>64.958767268421511</c:v>
                </c:pt>
                <c:pt idx="31">
                  <c:v>64.976456813807914</c:v>
                </c:pt>
                <c:pt idx="32">
                  <c:v>64.986531708470665</c:v>
                </c:pt>
                <c:pt idx="33">
                  <c:v>64.992282639667906</c:v>
                </c:pt>
                <c:pt idx="34">
                  <c:v>64.995573308980838</c:v>
                </c:pt>
                <c:pt idx="35">
                  <c:v>64.997460954836896</c:v>
                </c:pt>
                <c:pt idx="36">
                  <c:v>64.998543700600507</c:v>
                </c:pt>
                <c:pt idx="37">
                  <c:v>64.999164734301701</c:v>
                </c:pt>
                <c:pt idx="38">
                  <c:v>64.99952093434085</c:v>
                </c:pt>
                <c:pt idx="39">
                  <c:v>64.999725233750539</c:v>
                </c:pt>
                <c:pt idx="40">
                  <c:v>64.999842409309252</c:v>
                </c:pt>
                <c:pt idx="41">
                  <c:v>64.999909569693656</c:v>
                </c:pt>
              </c:numCache>
            </c:numRef>
          </c:val>
          <c:smooth val="0"/>
          <c:extLst>
            <c:ext xmlns:c16="http://schemas.microsoft.com/office/drawing/2014/chart" uri="{C3380CC4-5D6E-409C-BE32-E72D297353CC}">
              <c16:uniqueId val="{00000001-8D61-445D-A313-7E670DACB4D5}"/>
            </c:ext>
          </c:extLst>
        </c:ser>
        <c:ser>
          <c:idx val="2"/>
          <c:order val="2"/>
          <c:tx>
            <c:strRef>
              <c:f>'Korea EV uptake'!$L$3</c:f>
              <c:strCache>
                <c:ptCount val="1"/>
                <c:pt idx="0">
                  <c:v>Predicted Cost</c:v>
                </c:pt>
              </c:strCache>
            </c:strRef>
          </c:tx>
          <c:spPr>
            <a:ln w="28575" cap="rnd">
              <a:solidFill>
                <a:schemeClr val="accent3"/>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uptake'!$L$4:$L$45</c:f>
              <c:numCache>
                <c:formatCode>0.00</c:formatCode>
                <c:ptCount val="42"/>
                <c:pt idx="3" formatCode="0.000">
                  <c:v>4.3976366875896858E-2</c:v>
                </c:pt>
                <c:pt idx="4" formatCode="0.000">
                  <c:v>5.5501342011082921E-2</c:v>
                </c:pt>
                <c:pt idx="5" formatCode="0.000">
                  <c:v>5.5501342011082921E-2</c:v>
                </c:pt>
                <c:pt idx="6" formatCode="0.000">
                  <c:v>0.22161628502959124</c:v>
                </c:pt>
                <c:pt idx="7" formatCode="0.000">
                  <c:v>0.44190356227885791</c:v>
                </c:pt>
                <c:pt idx="8" formatCode="0.000">
                  <c:v>0.87818859400646965</c:v>
                </c:pt>
                <c:pt idx="9" formatCode="0.000">
                  <c:v>1.6331774169026745</c:v>
                </c:pt>
                <c:pt idx="10" formatCode="0.000">
                  <c:v>2.8298949506761959</c:v>
                </c:pt>
                <c:pt idx="11" formatCode="0.000">
                  <c:v>4.9940109312926024</c:v>
                </c:pt>
                <c:pt idx="12" formatCode="0.000">
                  <c:v>8.6141419950700175</c:v>
                </c:pt>
                <c:pt idx="13" formatCode="0.000">
                  <c:v>16.553850487953202</c:v>
                </c:pt>
                <c:pt idx="14" formatCode="0.000">
                  <c:v>26.000398281275768</c:v>
                </c:pt>
                <c:pt idx="15" formatCode="0.000">
                  <c:v>36.09791629147518</c:v>
                </c:pt>
                <c:pt idx="16" formatCode="0.000">
                  <c:v>46.312551383656121</c:v>
                </c:pt>
                <c:pt idx="17" formatCode="0.000">
                  <c:v>55.119090434472085</c:v>
                </c:pt>
                <c:pt idx="18" formatCode="0.000">
                  <c:v>59.71840210526657</c:v>
                </c:pt>
                <c:pt idx="19" formatCode="0.000">
                  <c:v>62.538798578006194</c:v>
                </c:pt>
                <c:pt idx="20" formatCode="0.000">
                  <c:v>64.127453211898725</c:v>
                </c:pt>
                <c:pt idx="21" formatCode="0.000">
                  <c:v>64.558689770154871</c:v>
                </c:pt>
                <c:pt idx="22" formatCode="0.000">
                  <c:v>64.778102350526169</c:v>
                </c:pt>
                <c:pt idx="23" formatCode="0.000">
                  <c:v>64.888759538509646</c:v>
                </c:pt>
                <c:pt idx="24" formatCode="0.000">
                  <c:v>64.944317697669561</c:v>
                </c:pt>
                <c:pt idx="25" formatCode="0.000">
                  <c:v>64.972148909613963</c:v>
                </c:pt>
                <c:pt idx="26" formatCode="0.000">
                  <c:v>64.986074776491208</c:v>
                </c:pt>
                <c:pt idx="27" formatCode="0.000">
                  <c:v>64.993038873103231</c:v>
                </c:pt>
                <c:pt idx="28" formatCode="0.000">
                  <c:v>64.996520509787416</c:v>
                </c:pt>
                <c:pt idx="29" formatCode="0.000">
                  <c:v>64.998260874049151</c:v>
                </c:pt>
                <c:pt idx="30" formatCode="0.000">
                  <c:v>64.999130767154753</c:v>
                </c:pt>
                <c:pt idx="31" formatCode="0.000">
                  <c:v>64.999565553741718</c:v>
                </c:pt>
                <c:pt idx="32" formatCode="0.000">
                  <c:v>64.999782863209219</c:v>
                </c:pt>
                <c:pt idx="33" formatCode="0.000">
                  <c:v>64.999891475078755</c:v>
                </c:pt>
                <c:pt idx="34" formatCode="0.000">
                  <c:v>64.999945759348208</c:v>
                </c:pt>
                <c:pt idx="35" formatCode="0.000">
                  <c:v>64.99997289059425</c:v>
                </c:pt>
                <c:pt idx="36" formatCode="0.000">
                  <c:v>64.999986450760005</c:v>
                </c:pt>
                <c:pt idx="37" formatCode="0.000">
                  <c:v>64.999993228111606</c:v>
                </c:pt>
                <c:pt idx="38" formatCode="0.000">
                  <c:v>64.999996615421367</c:v>
                </c:pt>
                <c:pt idx="39" formatCode="0.000">
                  <c:v>64.999998308393259</c:v>
                </c:pt>
                <c:pt idx="40" formatCode="0.000">
                  <c:v>64.999999154537804</c:v>
                </c:pt>
                <c:pt idx="41" formatCode="0.000">
                  <c:v>64.999999577439411</c:v>
                </c:pt>
              </c:numCache>
            </c:numRef>
          </c:val>
          <c:smooth val="0"/>
          <c:extLst>
            <c:ext xmlns:c16="http://schemas.microsoft.com/office/drawing/2014/chart" uri="{C3380CC4-5D6E-409C-BE32-E72D297353CC}">
              <c16:uniqueId val="{00000002-8D61-445D-A313-7E670DACB4D5}"/>
            </c:ext>
          </c:extLst>
        </c:ser>
        <c:ser>
          <c:idx val="3"/>
          <c:order val="3"/>
          <c:tx>
            <c:strRef>
              <c:f>'Korea EV uptake'!$AB$3</c:f>
              <c:strCache>
                <c:ptCount val="1"/>
                <c:pt idx="0">
                  <c:v>predi cted raw</c:v>
                </c:pt>
              </c:strCache>
            </c:strRef>
          </c:tx>
          <c:spPr>
            <a:ln w="28575" cap="rnd">
              <a:solidFill>
                <a:schemeClr val="accent4"/>
              </a:solidFill>
              <a:round/>
            </a:ln>
            <a:effectLst/>
          </c:spPr>
          <c:marker>
            <c:symbol val="none"/>
          </c:marker>
          <c:cat>
            <c:numRef>
              <c:f>'Korea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'Korea EV uptake'!$AB$4:$AB$45</c:f>
              <c:numCache>
                <c:formatCode>0.00</c:formatCode>
                <c:ptCount val="4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pt idx="32">
                  <c:v>64.999719841301214</c:v>
                </c:pt>
                <c:pt idx="33">
                  <c:v>64.999859976856115</c:v>
                </c:pt>
                <c:pt idx="34">
                  <c:v>64.999930016595002</c:v>
                </c:pt>
                <c:pt idx="35">
                  <c:v>64.999965022394164</c:v>
                </c:pt>
                <c:pt idx="36">
                  <c:v>64.999982518247279</c:v>
                </c:pt>
                <c:pt idx="37">
                  <c:v>64.999991262648493</c:v>
                </c:pt>
                <c:pt idx="38">
                  <c:v>64.999995633086257</c:v>
                </c:pt>
                <c:pt idx="39">
                  <c:v>64.999997817423861</c:v>
                </c:pt>
                <c:pt idx="40">
                  <c:v>64.999998909152126</c:v>
                </c:pt>
                <c:pt idx="41">
                  <c:v>64.999999454796082</c:v>
                </c:pt>
              </c:numCache>
            </c:numRef>
          </c:val>
          <c:smooth val="0"/>
          <c:extLst>
            <c:ext xmlns:c16="http://schemas.microsoft.com/office/drawing/2014/chart" uri="{C3380CC4-5D6E-409C-BE32-E72D297353CC}">
              <c16:uniqueId val="{00000003-8D61-445D-A313-7E670DACB4D5}"/>
            </c:ext>
          </c:extLst>
        </c:ser>
        <c:dLbls>
          <c:showLegendKey val="0"/>
          <c:showVal val="0"/>
          <c:showCatName val="0"/>
          <c:showSerName val="0"/>
          <c:showPercent val="0"/>
          <c:showBubbleSize val="0"/>
        </c:dLbls>
        <c:smooth val="0"/>
        <c:axId val="897277480"/>
        <c:axId val="897277808"/>
      </c:lineChart>
      <c:catAx>
        <c:axId val="89727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808"/>
        <c:crosses val="autoZero"/>
        <c:auto val="1"/>
        <c:lblAlgn val="ctr"/>
        <c:lblOffset val="100"/>
        <c:noMultiLvlLbl val="0"/>
      </c:catAx>
      <c:valAx>
        <c:axId val="89727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7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Korea!$P$2</c:f>
              <c:strCache>
                <c:ptCount val="1"/>
                <c:pt idx="0">
                  <c:v>BEV price</c:v>
                </c:pt>
              </c:strCache>
            </c:strRef>
          </c:tx>
          <c:spPr>
            <a:ln w="60325" cap="rnd">
              <a:solidFill>
                <a:schemeClr val="accent1"/>
              </a:solidFill>
              <a:round/>
            </a:ln>
            <a:effectLst/>
          </c:spPr>
          <c:marker>
            <c:symbol val="none"/>
          </c:marker>
          <c:cat>
            <c:numRef>
              <c:f>Korea!$O$3:$O$24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Korea!$P$3:$P$24</c:f>
              <c:numCache>
                <c:formatCode>0</c:formatCode>
                <c:ptCount val="22"/>
                <c:pt idx="0">
                  <c:v>55.131027072698338</c:v>
                </c:pt>
                <c:pt idx="1">
                  <c:v>50.484856771192412</c:v>
                </c:pt>
                <c:pt idx="2">
                  <c:v>36.26159528818247</c:v>
                </c:pt>
                <c:pt idx="3">
                  <c:v>38.140073021524948</c:v>
                </c:pt>
                <c:pt idx="4">
                  <c:v>37.522473476007185</c:v>
                </c:pt>
                <c:pt idx="5">
                  <c:v>39.153771010553456</c:v>
                </c:pt>
                <c:pt idx="6">
                  <c:v>37.027898979275214</c:v>
                </c:pt>
                <c:pt idx="7">
                  <c:v>36.207024202798934</c:v>
                </c:pt>
                <c:pt idx="8">
                  <c:v>34.687546331432912</c:v>
                </c:pt>
                <c:pt idx="9">
                  <c:v>35.760167296655254</c:v>
                </c:pt>
                <c:pt idx="10">
                  <c:v>39.694134648659848</c:v>
                </c:pt>
                <c:pt idx="11">
                  <c:v>39.393327512690696</c:v>
                </c:pt>
                <c:pt idx="12">
                  <c:v>38.140529208852008</c:v>
                </c:pt>
                <c:pt idx="13">
                  <c:v>38.841126752271329</c:v>
                </c:pt>
                <c:pt idx="14">
                  <c:v>38.389478739695583</c:v>
                </c:pt>
                <c:pt idx="15">
                  <c:v>36.643545803998371</c:v>
                </c:pt>
                <c:pt idx="16">
                  <c:v>35.144639097020494</c:v>
                </c:pt>
                <c:pt idx="17">
                  <c:v>34.290721269348722</c:v>
                </c:pt>
                <c:pt idx="18">
                  <c:v>33.436803441676965</c:v>
                </c:pt>
                <c:pt idx="19">
                  <c:v>32.476145885546231</c:v>
                </c:pt>
                <c:pt idx="20">
                  <c:v>31.622228057874466</c:v>
                </c:pt>
                <c:pt idx="21">
                  <c:v>30.661570501743732</c:v>
                </c:pt>
              </c:numCache>
            </c:numRef>
          </c:val>
          <c:smooth val="0"/>
          <c:extLst>
            <c:ext xmlns:c16="http://schemas.microsoft.com/office/drawing/2014/chart" uri="{C3380CC4-5D6E-409C-BE32-E72D297353CC}">
              <c16:uniqueId val="{00000000-ED42-4532-B226-64E152CA2755}"/>
            </c:ext>
          </c:extLst>
        </c:ser>
        <c:ser>
          <c:idx val="1"/>
          <c:order val="1"/>
          <c:tx>
            <c:strRef>
              <c:f>Korea!$Q$2</c:f>
              <c:strCache>
                <c:ptCount val="1"/>
                <c:pt idx="0">
                  <c:v>PHEV price</c:v>
                </c:pt>
              </c:strCache>
            </c:strRef>
          </c:tx>
          <c:spPr>
            <a:ln w="19050" cap="rnd">
              <a:solidFill>
                <a:schemeClr val="accent2"/>
              </a:solidFill>
              <a:round/>
            </a:ln>
            <a:effectLst/>
          </c:spPr>
          <c:marker>
            <c:symbol val="none"/>
          </c:marker>
          <c:cat>
            <c:numRef>
              <c:f>Korea!$O$3:$O$24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Korea!$Q$3:$Q$24</c:f>
              <c:numCache>
                <c:formatCode>0</c:formatCode>
                <c:ptCount val="22"/>
                <c:pt idx="0">
                  <c:v>55.131027072698338</c:v>
                </c:pt>
                <c:pt idx="1">
                  <c:v>50.484856771192412</c:v>
                </c:pt>
                <c:pt idx="2">
                  <c:v>36.26159528818247</c:v>
                </c:pt>
                <c:pt idx="3">
                  <c:v>38.140073021524948</c:v>
                </c:pt>
                <c:pt idx="4">
                  <c:v>37.522473476007185</c:v>
                </c:pt>
                <c:pt idx="5">
                  <c:v>39.153771010553456</c:v>
                </c:pt>
                <c:pt idx="6">
                  <c:v>37.027898979275214</c:v>
                </c:pt>
                <c:pt idx="7">
                  <c:v>36.207024202798934</c:v>
                </c:pt>
                <c:pt idx="8">
                  <c:v>34.687546331432912</c:v>
                </c:pt>
                <c:pt idx="9">
                  <c:v>35.760167296655254</c:v>
                </c:pt>
                <c:pt idx="10">
                  <c:v>39.694134648659848</c:v>
                </c:pt>
                <c:pt idx="11">
                  <c:v>39.393327512690696</c:v>
                </c:pt>
                <c:pt idx="12">
                  <c:v>38.140529208852008</c:v>
                </c:pt>
                <c:pt idx="13">
                  <c:v>38.841126752271329</c:v>
                </c:pt>
                <c:pt idx="14">
                  <c:v>38.389478739695583</c:v>
                </c:pt>
                <c:pt idx="15">
                  <c:v>36.643545803998371</c:v>
                </c:pt>
                <c:pt idx="16">
                  <c:v>35.144639097020494</c:v>
                </c:pt>
                <c:pt idx="17">
                  <c:v>34.290721269348722</c:v>
                </c:pt>
                <c:pt idx="18">
                  <c:v>33.436803441676965</c:v>
                </c:pt>
                <c:pt idx="19">
                  <c:v>32.476145885546231</c:v>
                </c:pt>
                <c:pt idx="20">
                  <c:v>31.622228057874466</c:v>
                </c:pt>
                <c:pt idx="21">
                  <c:v>30.661570501743732</c:v>
                </c:pt>
              </c:numCache>
            </c:numRef>
          </c:val>
          <c:smooth val="0"/>
          <c:extLst>
            <c:ext xmlns:c16="http://schemas.microsoft.com/office/drawing/2014/chart" uri="{C3380CC4-5D6E-409C-BE32-E72D297353CC}">
              <c16:uniqueId val="{00000001-ED42-4532-B226-64E152CA2755}"/>
            </c:ext>
          </c:extLst>
        </c:ser>
        <c:ser>
          <c:idx val="2"/>
          <c:order val="2"/>
          <c:tx>
            <c:strRef>
              <c:f>Korea!$R$2</c:f>
              <c:strCache>
                <c:ptCount val="1"/>
                <c:pt idx="0">
                  <c:v>FFV price</c:v>
                </c:pt>
              </c:strCache>
            </c:strRef>
          </c:tx>
          <c:spPr>
            <a:ln w="28575" cap="rnd">
              <a:solidFill>
                <a:schemeClr val="tx1"/>
              </a:solidFill>
              <a:round/>
            </a:ln>
            <a:effectLst/>
          </c:spPr>
          <c:marker>
            <c:symbol val="none"/>
          </c:marker>
          <c:cat>
            <c:numRef>
              <c:f>Korea!$O$3:$O$24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Korea!$R$3:$R$24</c:f>
              <c:numCache>
                <c:formatCode>0</c:formatCode>
                <c:ptCount val="22"/>
                <c:pt idx="0">
                  <c:v>44.891112615000004</c:v>
                </c:pt>
                <c:pt idx="1">
                  <c:v>40.701759164983287</c:v>
                </c:pt>
                <c:pt idx="2">
                  <c:v>38.828753022077009</c:v>
                </c:pt>
                <c:pt idx="3">
                  <c:v>39.385886956940098</c:v>
                </c:pt>
                <c:pt idx="4">
                  <c:v>38.493205067922396</c:v>
                </c:pt>
                <c:pt idx="5">
                  <c:v>36.988747875417133</c:v>
                </c:pt>
                <c:pt idx="6">
                  <c:v>39.821301791176417</c:v>
                </c:pt>
                <c:pt idx="7">
                  <c:v>40.76877827909739</c:v>
                </c:pt>
                <c:pt idx="8">
                  <c:v>39.509163092374699</c:v>
                </c:pt>
                <c:pt idx="9">
                  <c:v>39.549937499999999</c:v>
                </c:pt>
                <c:pt idx="10">
                  <c:v>39.549937499999999</c:v>
                </c:pt>
                <c:pt idx="11">
                  <c:v>39.549937499999999</c:v>
                </c:pt>
                <c:pt idx="12">
                  <c:v>39.549937499999999</c:v>
                </c:pt>
                <c:pt idx="13">
                  <c:v>39.549937499999999</c:v>
                </c:pt>
                <c:pt idx="14">
                  <c:v>39.549937499999999</c:v>
                </c:pt>
                <c:pt idx="15">
                  <c:v>39.549937499999999</c:v>
                </c:pt>
                <c:pt idx="16">
                  <c:v>39.549937499999999</c:v>
                </c:pt>
                <c:pt idx="17">
                  <c:v>39.549937499999999</c:v>
                </c:pt>
                <c:pt idx="18">
                  <c:v>39.549937499999999</c:v>
                </c:pt>
                <c:pt idx="19">
                  <c:v>39.549937499999999</c:v>
                </c:pt>
                <c:pt idx="20">
                  <c:v>39.549937499999999</c:v>
                </c:pt>
                <c:pt idx="21">
                  <c:v>39.549937499999999</c:v>
                </c:pt>
              </c:numCache>
            </c:numRef>
          </c:val>
          <c:smooth val="0"/>
          <c:extLst>
            <c:ext xmlns:c16="http://schemas.microsoft.com/office/drawing/2014/chart" uri="{C3380CC4-5D6E-409C-BE32-E72D297353CC}">
              <c16:uniqueId val="{00000002-ED42-4532-B226-64E152CA2755}"/>
            </c:ext>
          </c:extLst>
        </c:ser>
        <c:dLbls>
          <c:showLegendKey val="0"/>
          <c:showVal val="0"/>
          <c:showCatName val="0"/>
          <c:showSerName val="0"/>
          <c:showPercent val="0"/>
          <c:showBubbleSize val="0"/>
        </c:dLbls>
        <c:smooth val="0"/>
        <c:axId val="663663632"/>
        <c:axId val="663662320"/>
      </c:lineChart>
      <c:catAx>
        <c:axId val="66366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662320"/>
        <c:crosses val="autoZero"/>
        <c:auto val="1"/>
        <c:lblAlgn val="ctr"/>
        <c:lblOffset val="100"/>
        <c:noMultiLvlLbl val="0"/>
      </c:catAx>
      <c:valAx>
        <c:axId val="66366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663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1"/>
          <c:tx>
            <c:strRef>
              <c:f>'Netherlands BEV-PHEV take-up'!$G$16</c:f>
              <c:strCache>
                <c:ptCount val="1"/>
                <c:pt idx="0">
                  <c:v>Petrol price (t-1)</c:v>
                </c:pt>
              </c:strCache>
            </c:strRef>
          </c:tx>
          <c:spPr>
            <a:ln w="28575" cap="rnd">
              <a:solidFill>
                <a:schemeClr val="accent4"/>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take-up'!$G$17:$G$25</c:f>
              <c:numCache>
                <c:formatCode>0.00</c:formatCode>
                <c:ptCount val="9"/>
                <c:pt idx="0">
                  <c:v>1.5751273733053719</c:v>
                </c:pt>
                <c:pt idx="1">
                  <c:v>1.3601306767899999</c:v>
                </c:pt>
                <c:pt idx="2">
                  <c:v>1.5029999999999999</c:v>
                </c:pt>
                <c:pt idx="3">
                  <c:v>1.6014614092780999</c:v>
                </c:pt>
                <c:pt idx="4">
                  <c:v>1.678911919823193</c:v>
                </c:pt>
                <c:pt idx="5">
                  <c:v>1.6166820216655529</c:v>
                </c:pt>
                <c:pt idx="6">
                  <c:v>1.5681157348607064</c:v>
                </c:pt>
                <c:pt idx="7">
                  <c:v>1.4318566154697727</c:v>
                </c:pt>
                <c:pt idx="8">
                  <c:v>1.348501694148325</c:v>
                </c:pt>
              </c:numCache>
            </c:numRef>
          </c:val>
          <c:smooth val="0"/>
          <c:extLst>
            <c:ext xmlns:c16="http://schemas.microsoft.com/office/drawing/2014/chart" uri="{C3380CC4-5D6E-409C-BE32-E72D297353CC}">
              <c16:uniqueId val="{00000003-2CB9-43CD-B084-61DD40B09CED}"/>
            </c:ext>
          </c:extLst>
        </c:ser>
        <c:dLbls>
          <c:showLegendKey val="0"/>
          <c:showVal val="0"/>
          <c:showCatName val="0"/>
          <c:showSerName val="0"/>
          <c:showPercent val="0"/>
          <c:showBubbleSize val="0"/>
        </c:dLbls>
        <c:marker val="1"/>
        <c:smooth val="0"/>
        <c:axId val="790969992"/>
        <c:axId val="790970976"/>
      </c:lineChart>
      <c:lineChart>
        <c:grouping val="standard"/>
        <c:varyColors val="0"/>
        <c:ser>
          <c:idx val="0"/>
          <c:order val="0"/>
          <c:tx>
            <c:strRef>
              <c:f>'Netherlands BEV-PHEV take-up'!$B$16</c:f>
              <c:strCache>
                <c:ptCount val="1"/>
                <c:pt idx="0">
                  <c:v>PHEV %sales</c:v>
                </c:pt>
              </c:strCache>
            </c:strRef>
          </c:tx>
          <c:spPr>
            <a:ln w="28575" cap="rnd">
              <a:solidFill>
                <a:schemeClr val="accent1"/>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take-up'!$B$17:$B$25</c:f>
              <c:numCache>
                <c:formatCode>0.00</c:formatCode>
                <c:ptCount val="9"/>
                <c:pt idx="0">
                  <c:v>0</c:v>
                </c:pt>
                <c:pt idx="1">
                  <c:v>0</c:v>
                </c:pt>
                <c:pt idx="2">
                  <c:v>3.597659362818553E-3</c:v>
                </c:pt>
                <c:pt idx="3">
                  <c:v>0.86162124085398006</c:v>
                </c:pt>
                <c:pt idx="4">
                  <c:v>4.8366520871700427</c:v>
                </c:pt>
                <c:pt idx="5">
                  <c:v>3.2050538258235028</c:v>
                </c:pt>
                <c:pt idx="6">
                  <c:v>9.1138580156856506</c:v>
                </c:pt>
                <c:pt idx="7">
                  <c:v>4.8422398868723002</c:v>
                </c:pt>
                <c:pt idx="8">
                  <c:v>0.27903614457831327</c:v>
                </c:pt>
              </c:numCache>
            </c:numRef>
          </c:val>
          <c:smooth val="0"/>
          <c:extLst>
            <c:ext xmlns:c16="http://schemas.microsoft.com/office/drawing/2014/chart" uri="{C3380CC4-5D6E-409C-BE32-E72D297353CC}">
              <c16:uniqueId val="{00000000-2CB9-43CD-B084-61DD40B09CED}"/>
            </c:ext>
          </c:extLst>
        </c:ser>
        <c:dLbls>
          <c:showLegendKey val="0"/>
          <c:showVal val="0"/>
          <c:showCatName val="0"/>
          <c:showSerName val="0"/>
          <c:showPercent val="0"/>
          <c:showBubbleSize val="0"/>
        </c:dLbls>
        <c:marker val="1"/>
        <c:smooth val="0"/>
        <c:axId val="845537944"/>
        <c:axId val="845537616"/>
      </c:lineChart>
      <c:catAx>
        <c:axId val="79096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970976"/>
        <c:crosses val="autoZero"/>
        <c:auto val="1"/>
        <c:lblAlgn val="ctr"/>
        <c:lblOffset val="100"/>
        <c:noMultiLvlLbl val="0"/>
      </c:catAx>
      <c:valAx>
        <c:axId val="79097097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969992"/>
        <c:crosses val="autoZero"/>
        <c:crossBetween val="between"/>
      </c:valAx>
      <c:valAx>
        <c:axId val="84553761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5537944"/>
        <c:crosses val="max"/>
        <c:crossBetween val="between"/>
      </c:valAx>
      <c:catAx>
        <c:axId val="845537944"/>
        <c:scaling>
          <c:orientation val="minMax"/>
        </c:scaling>
        <c:delete val="1"/>
        <c:axPos val="b"/>
        <c:numFmt formatCode="General" sourceLinked="1"/>
        <c:majorTickMark val="out"/>
        <c:minorTickMark val="none"/>
        <c:tickLblPos val="nextTo"/>
        <c:crossAx val="845537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1"/>
          <c:tx>
            <c:strRef>
              <c:f>'Netherlands BEV-PHEV take-up'!$F$16</c:f>
              <c:strCache>
                <c:ptCount val="1"/>
                <c:pt idx="0">
                  <c:v>PHEV/FFV price</c:v>
                </c:pt>
              </c:strCache>
            </c:strRef>
          </c:tx>
          <c:spPr>
            <a:ln w="28575" cap="rnd">
              <a:solidFill>
                <a:schemeClr val="accent3"/>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take-up'!$F$17:$F$25</c:f>
              <c:numCache>
                <c:formatCode>0.00</c:formatCode>
                <c:ptCount val="9"/>
                <c:pt idx="0">
                  <c:v>1.1628908837364871</c:v>
                </c:pt>
                <c:pt idx="1">
                  <c:v>1.1775841094522819</c:v>
                </c:pt>
                <c:pt idx="2">
                  <c:v>1.1787470018026136</c:v>
                </c:pt>
                <c:pt idx="3">
                  <c:v>1.2097339784792158</c:v>
                </c:pt>
                <c:pt idx="4">
                  <c:v>1.2238753979220827</c:v>
                </c:pt>
                <c:pt idx="5">
                  <c:v>1.3403834701358177</c:v>
                </c:pt>
                <c:pt idx="6">
                  <c:v>1.2276214833759591</c:v>
                </c:pt>
                <c:pt idx="7">
                  <c:v>1.3043478260869565</c:v>
                </c:pt>
                <c:pt idx="8">
                  <c:v>1.3043478260869563</c:v>
                </c:pt>
              </c:numCache>
            </c:numRef>
          </c:val>
          <c:smooth val="0"/>
          <c:extLst>
            <c:ext xmlns:c16="http://schemas.microsoft.com/office/drawing/2014/chart" uri="{C3380CC4-5D6E-409C-BE32-E72D297353CC}">
              <c16:uniqueId val="{00000001-A438-445C-9D32-BB97ACE1E03B}"/>
            </c:ext>
          </c:extLst>
        </c:ser>
        <c:dLbls>
          <c:showLegendKey val="0"/>
          <c:showVal val="0"/>
          <c:showCatName val="0"/>
          <c:showSerName val="0"/>
          <c:showPercent val="0"/>
          <c:showBubbleSize val="0"/>
        </c:dLbls>
        <c:marker val="1"/>
        <c:smooth val="0"/>
        <c:axId val="790969992"/>
        <c:axId val="790970976"/>
      </c:lineChart>
      <c:lineChart>
        <c:grouping val="standard"/>
        <c:varyColors val="0"/>
        <c:ser>
          <c:idx val="0"/>
          <c:order val="0"/>
          <c:tx>
            <c:strRef>
              <c:f>'Netherlands BEV-PHEV take-up'!$B$16</c:f>
              <c:strCache>
                <c:ptCount val="1"/>
                <c:pt idx="0">
                  <c:v>PHEV %sales</c:v>
                </c:pt>
              </c:strCache>
            </c:strRef>
          </c:tx>
          <c:spPr>
            <a:ln w="28575" cap="rnd">
              <a:solidFill>
                <a:schemeClr val="accent1"/>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take-up'!$B$17:$B$25</c:f>
              <c:numCache>
                <c:formatCode>0.00</c:formatCode>
                <c:ptCount val="9"/>
                <c:pt idx="0">
                  <c:v>0</c:v>
                </c:pt>
                <c:pt idx="1">
                  <c:v>0</c:v>
                </c:pt>
                <c:pt idx="2">
                  <c:v>3.597659362818553E-3</c:v>
                </c:pt>
                <c:pt idx="3">
                  <c:v>0.86162124085398006</c:v>
                </c:pt>
                <c:pt idx="4">
                  <c:v>4.8366520871700427</c:v>
                </c:pt>
                <c:pt idx="5">
                  <c:v>3.2050538258235028</c:v>
                </c:pt>
                <c:pt idx="6">
                  <c:v>9.1138580156856506</c:v>
                </c:pt>
                <c:pt idx="7">
                  <c:v>4.8422398868723002</c:v>
                </c:pt>
                <c:pt idx="8">
                  <c:v>0.27903614457831327</c:v>
                </c:pt>
              </c:numCache>
            </c:numRef>
          </c:val>
          <c:smooth val="0"/>
          <c:extLst>
            <c:ext xmlns:c16="http://schemas.microsoft.com/office/drawing/2014/chart" uri="{C3380CC4-5D6E-409C-BE32-E72D297353CC}">
              <c16:uniqueId val="{00000003-A438-445C-9D32-BB97ACE1E03B}"/>
            </c:ext>
          </c:extLst>
        </c:ser>
        <c:dLbls>
          <c:showLegendKey val="0"/>
          <c:showVal val="0"/>
          <c:showCatName val="0"/>
          <c:showSerName val="0"/>
          <c:showPercent val="0"/>
          <c:showBubbleSize val="0"/>
        </c:dLbls>
        <c:marker val="1"/>
        <c:smooth val="0"/>
        <c:axId val="845537944"/>
        <c:axId val="845537616"/>
      </c:lineChart>
      <c:catAx>
        <c:axId val="79096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970976"/>
        <c:crosses val="autoZero"/>
        <c:auto val="1"/>
        <c:lblAlgn val="ctr"/>
        <c:lblOffset val="100"/>
        <c:noMultiLvlLbl val="0"/>
      </c:catAx>
      <c:valAx>
        <c:axId val="79097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969992"/>
        <c:crosses val="autoZero"/>
        <c:crossBetween val="between"/>
      </c:valAx>
      <c:valAx>
        <c:axId val="84553761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5537944"/>
        <c:crosses val="max"/>
        <c:crossBetween val="between"/>
      </c:valAx>
      <c:catAx>
        <c:axId val="845537944"/>
        <c:scaling>
          <c:orientation val="minMax"/>
        </c:scaling>
        <c:delete val="1"/>
        <c:axPos val="b"/>
        <c:numFmt formatCode="General" sourceLinked="1"/>
        <c:majorTickMark val="out"/>
        <c:minorTickMark val="none"/>
        <c:tickLblPos val="nextTo"/>
        <c:crossAx val="845537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BEV-PHEV take-up'!$B$16</c:f>
              <c:strCache>
                <c:ptCount val="1"/>
                <c:pt idx="0">
                  <c:v>PHEV %sales</c:v>
                </c:pt>
              </c:strCache>
            </c:strRef>
          </c:tx>
          <c:spPr>
            <a:ln w="28575" cap="rnd">
              <a:solidFill>
                <a:schemeClr val="accent1"/>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take-up'!$B$17:$B$25</c:f>
              <c:numCache>
                <c:formatCode>0.00</c:formatCode>
                <c:ptCount val="9"/>
                <c:pt idx="0">
                  <c:v>0</c:v>
                </c:pt>
                <c:pt idx="1">
                  <c:v>0</c:v>
                </c:pt>
                <c:pt idx="2">
                  <c:v>3.597659362818553E-3</c:v>
                </c:pt>
                <c:pt idx="3">
                  <c:v>0.86162124085398006</c:v>
                </c:pt>
                <c:pt idx="4">
                  <c:v>4.8366520871700427</c:v>
                </c:pt>
                <c:pt idx="5">
                  <c:v>3.2050538258235028</c:v>
                </c:pt>
                <c:pt idx="6">
                  <c:v>9.1138580156856506</c:v>
                </c:pt>
                <c:pt idx="7">
                  <c:v>4.8422398868723002</c:v>
                </c:pt>
                <c:pt idx="8">
                  <c:v>0.27903614457831327</c:v>
                </c:pt>
              </c:numCache>
            </c:numRef>
          </c:val>
          <c:smooth val="0"/>
          <c:extLst>
            <c:ext xmlns:c16="http://schemas.microsoft.com/office/drawing/2014/chart" uri="{C3380CC4-5D6E-409C-BE32-E72D297353CC}">
              <c16:uniqueId val="{00000000-EDAC-4D27-B0E4-5C8FBEC7AA61}"/>
            </c:ext>
          </c:extLst>
        </c:ser>
        <c:ser>
          <c:idx val="1"/>
          <c:order val="1"/>
          <c:tx>
            <c:strRef>
              <c:f>'Netherlands BEV-PHEV take-up'!$C$16</c:f>
              <c:strCache>
                <c:ptCount val="1"/>
                <c:pt idx="0">
                  <c:v>pred</c:v>
                </c:pt>
              </c:strCache>
            </c:strRef>
          </c:tx>
          <c:spPr>
            <a:ln w="28575" cap="rnd">
              <a:solidFill>
                <a:schemeClr val="accent2"/>
              </a:solidFill>
              <a:round/>
            </a:ln>
            <a:effectLst/>
          </c:spPr>
          <c:marker>
            <c:symbol val="none"/>
          </c:marker>
          <c:cat>
            <c:numRef>
              <c:f>'Netherlands BEV-PHEV take-up'!$A$17:$A$25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take-up'!$C$17:$C$25</c:f>
              <c:numCache>
                <c:formatCode>0.00</c:formatCode>
                <c:ptCount val="9"/>
                <c:pt idx="3">
                  <c:v>1.0248848796745316</c:v>
                </c:pt>
                <c:pt idx="4">
                  <c:v>5.8948560090173023</c:v>
                </c:pt>
                <c:pt idx="5">
                  <c:v>2.4577633235647767</c:v>
                </c:pt>
                <c:pt idx="6">
                  <c:v>7.5271623215153962</c:v>
                </c:pt>
                <c:pt idx="7">
                  <c:v>1.7744784503015829</c:v>
                </c:pt>
                <c:pt idx="8">
                  <c:v>2.9082849654126832</c:v>
                </c:pt>
              </c:numCache>
            </c:numRef>
          </c:val>
          <c:smooth val="0"/>
          <c:extLst>
            <c:ext xmlns:c16="http://schemas.microsoft.com/office/drawing/2014/chart" uri="{C3380CC4-5D6E-409C-BE32-E72D297353CC}">
              <c16:uniqueId val="{00000001-EDAC-4D27-B0E4-5C8FBEC7AA61}"/>
            </c:ext>
          </c:extLst>
        </c:ser>
        <c:dLbls>
          <c:showLegendKey val="0"/>
          <c:showVal val="0"/>
          <c:showCatName val="0"/>
          <c:showSerName val="0"/>
          <c:showPercent val="0"/>
          <c:showBubbleSize val="0"/>
        </c:dLbls>
        <c:smooth val="0"/>
        <c:axId val="640963448"/>
        <c:axId val="640963776"/>
      </c:lineChart>
      <c:catAx>
        <c:axId val="640963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963776"/>
        <c:crosses val="autoZero"/>
        <c:auto val="1"/>
        <c:lblAlgn val="ctr"/>
        <c:lblOffset val="100"/>
        <c:noMultiLvlLbl val="0"/>
      </c:catAx>
      <c:valAx>
        <c:axId val="6409637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963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BEV-PHEV take-up'!$B$3</c:f>
              <c:strCache>
                <c:ptCount val="1"/>
                <c:pt idx="0">
                  <c:v>BEV %sales</c:v>
                </c:pt>
              </c:strCache>
            </c:strRef>
          </c:tx>
          <c:spPr>
            <a:ln w="28575" cap="rnd">
              <a:solidFill>
                <a:schemeClr val="accent1"/>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take-up'!$B$4:$B$12</c:f>
              <c:numCache>
                <c:formatCode>0.00</c:formatCode>
                <c:ptCount val="9"/>
                <c:pt idx="0">
                  <c:v>7.7463534041350025E-3</c:v>
                </c:pt>
                <c:pt idx="1">
                  <c:v>2.4841583154094411E-2</c:v>
                </c:pt>
                <c:pt idx="2">
                  <c:v>0.15469935260119766</c:v>
                </c:pt>
                <c:pt idx="3">
                  <c:v>0.15720110398952525</c:v>
                </c:pt>
                <c:pt idx="4">
                  <c:v>0.53953729281767959</c:v>
                </c:pt>
                <c:pt idx="5">
                  <c:v>0.68587636176110367</c:v>
                </c:pt>
                <c:pt idx="6">
                  <c:v>0.56146493717782087</c:v>
                </c:pt>
                <c:pt idx="7">
                  <c:v>1.1094416919245746</c:v>
                </c:pt>
                <c:pt idx="8">
                  <c:v>2.3848192771084338</c:v>
                </c:pt>
              </c:numCache>
            </c:numRef>
          </c:val>
          <c:smooth val="0"/>
          <c:extLst>
            <c:ext xmlns:c16="http://schemas.microsoft.com/office/drawing/2014/chart" uri="{C3380CC4-5D6E-409C-BE32-E72D297353CC}">
              <c16:uniqueId val="{00000000-8905-41D8-B681-5B2E76C171BB}"/>
            </c:ext>
          </c:extLst>
        </c:ser>
        <c:ser>
          <c:idx val="1"/>
          <c:order val="1"/>
          <c:tx>
            <c:strRef>
              <c:f>'Netherlands BEV-PHEV take-up'!$C$3</c:f>
              <c:strCache>
                <c:ptCount val="1"/>
                <c:pt idx="0">
                  <c:v>pred</c:v>
                </c:pt>
              </c:strCache>
            </c:strRef>
          </c:tx>
          <c:spPr>
            <a:ln w="28575" cap="rnd">
              <a:solidFill>
                <a:schemeClr val="accent2"/>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take-up'!$C$4:$C$12</c:f>
              <c:numCache>
                <c:formatCode>0.00</c:formatCode>
                <c:ptCount val="9"/>
                <c:pt idx="0">
                  <c:v>4.8992746165655521E-2</c:v>
                </c:pt>
                <c:pt idx="1">
                  <c:v>6.6716319800883384E-2</c:v>
                </c:pt>
                <c:pt idx="2">
                  <c:v>6.9235824754531106E-2</c:v>
                </c:pt>
                <c:pt idx="3">
                  <c:v>0.15961811778228402</c:v>
                </c:pt>
                <c:pt idx="4">
                  <c:v>0.55821935102095455</c:v>
                </c:pt>
                <c:pt idx="5">
                  <c:v>0.66475580364260423</c:v>
                </c:pt>
                <c:pt idx="6">
                  <c:v>0.40437361112862247</c:v>
                </c:pt>
                <c:pt idx="7">
                  <c:v>1.0818021407920264</c:v>
                </c:pt>
                <c:pt idx="8">
                  <c:v>2.4258261215495951</c:v>
                </c:pt>
              </c:numCache>
            </c:numRef>
          </c:val>
          <c:smooth val="0"/>
          <c:extLst>
            <c:ext xmlns:c16="http://schemas.microsoft.com/office/drawing/2014/chart" uri="{C3380CC4-5D6E-409C-BE32-E72D297353CC}">
              <c16:uniqueId val="{00000001-8905-41D8-B681-5B2E76C171BB}"/>
            </c:ext>
          </c:extLst>
        </c:ser>
        <c:dLbls>
          <c:showLegendKey val="0"/>
          <c:showVal val="0"/>
          <c:showCatName val="0"/>
          <c:showSerName val="0"/>
          <c:showPercent val="0"/>
          <c:showBubbleSize val="0"/>
        </c:dLbls>
        <c:smooth val="0"/>
        <c:axId val="765137144"/>
        <c:axId val="765141080"/>
      </c:lineChart>
      <c:catAx>
        <c:axId val="76513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141080"/>
        <c:crosses val="autoZero"/>
        <c:auto val="1"/>
        <c:lblAlgn val="ctr"/>
        <c:lblOffset val="100"/>
        <c:noMultiLvlLbl val="0"/>
      </c:catAx>
      <c:valAx>
        <c:axId val="765141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137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BEV-PHEV take-up'!$B$3</c:f>
              <c:strCache>
                <c:ptCount val="1"/>
                <c:pt idx="0">
                  <c:v>BEV %sales</c:v>
                </c:pt>
              </c:strCache>
            </c:strRef>
          </c:tx>
          <c:spPr>
            <a:ln w="28575" cap="rnd">
              <a:solidFill>
                <a:schemeClr val="accent1"/>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take-up'!$B$4:$B$12</c:f>
              <c:numCache>
                <c:formatCode>0.00</c:formatCode>
                <c:ptCount val="9"/>
                <c:pt idx="0">
                  <c:v>7.7463534041350025E-3</c:v>
                </c:pt>
                <c:pt idx="1">
                  <c:v>2.4841583154094411E-2</c:v>
                </c:pt>
                <c:pt idx="2">
                  <c:v>0.15469935260119766</c:v>
                </c:pt>
                <c:pt idx="3">
                  <c:v>0.15720110398952525</c:v>
                </c:pt>
                <c:pt idx="4">
                  <c:v>0.53953729281767959</c:v>
                </c:pt>
                <c:pt idx="5">
                  <c:v>0.68587636176110367</c:v>
                </c:pt>
                <c:pt idx="6">
                  <c:v>0.56146493717782087</c:v>
                </c:pt>
                <c:pt idx="7">
                  <c:v>1.1094416919245746</c:v>
                </c:pt>
                <c:pt idx="8">
                  <c:v>2.3848192771084338</c:v>
                </c:pt>
              </c:numCache>
            </c:numRef>
          </c:val>
          <c:smooth val="0"/>
          <c:extLst>
            <c:ext xmlns:c16="http://schemas.microsoft.com/office/drawing/2014/chart" uri="{C3380CC4-5D6E-409C-BE32-E72D297353CC}">
              <c16:uniqueId val="{00000000-9486-4ED6-A2B9-1144C8F8287F}"/>
            </c:ext>
          </c:extLst>
        </c:ser>
        <c:dLbls>
          <c:showLegendKey val="0"/>
          <c:showVal val="0"/>
          <c:showCatName val="0"/>
          <c:showSerName val="0"/>
          <c:showPercent val="0"/>
          <c:showBubbleSize val="0"/>
        </c:dLbls>
        <c:marker val="1"/>
        <c:smooth val="0"/>
        <c:axId val="791022144"/>
        <c:axId val="791023128"/>
      </c:lineChart>
      <c:lineChart>
        <c:grouping val="standard"/>
        <c:varyColors val="0"/>
        <c:ser>
          <c:idx val="1"/>
          <c:order val="1"/>
          <c:tx>
            <c:strRef>
              <c:f>'Netherlands BEV-PHEV take-up'!$F$3</c:f>
              <c:strCache>
                <c:ptCount val="1"/>
                <c:pt idx="0">
                  <c:v>BEV/FFV price (t-1)</c:v>
                </c:pt>
              </c:strCache>
            </c:strRef>
          </c:tx>
          <c:spPr>
            <a:ln w="28575" cap="rnd">
              <a:solidFill>
                <a:schemeClr val="accent2"/>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take-up'!$F$4:$F$12</c:f>
              <c:numCache>
                <c:formatCode>0.00</c:formatCode>
                <c:ptCount val="9"/>
                <c:pt idx="0">
                  <c:v>1.1426074541039533</c:v>
                </c:pt>
                <c:pt idx="1">
                  <c:v>1.1426074541039533</c:v>
                </c:pt>
                <c:pt idx="2">
                  <c:v>1.1583387410772226</c:v>
                </c:pt>
                <c:pt idx="3">
                  <c:v>1.1583387410772226</c:v>
                </c:pt>
                <c:pt idx="4">
                  <c:v>1.1908673045683811</c:v>
                </c:pt>
                <c:pt idx="5">
                  <c:v>1.2047363968885034</c:v>
                </c:pt>
                <c:pt idx="6">
                  <c:v>1.3403834701358177</c:v>
                </c:pt>
                <c:pt idx="7">
                  <c:v>1.1988491048593348</c:v>
                </c:pt>
                <c:pt idx="8">
                  <c:v>1.1988491048593348</c:v>
                </c:pt>
              </c:numCache>
            </c:numRef>
          </c:val>
          <c:smooth val="0"/>
          <c:extLst>
            <c:ext xmlns:c16="http://schemas.microsoft.com/office/drawing/2014/chart" uri="{C3380CC4-5D6E-409C-BE32-E72D297353CC}">
              <c16:uniqueId val="{00000001-9486-4ED6-A2B9-1144C8F8287F}"/>
            </c:ext>
          </c:extLst>
        </c:ser>
        <c:dLbls>
          <c:showLegendKey val="0"/>
          <c:showVal val="0"/>
          <c:showCatName val="0"/>
          <c:showSerName val="0"/>
          <c:showPercent val="0"/>
          <c:showBubbleSize val="0"/>
        </c:dLbls>
        <c:marker val="1"/>
        <c:smooth val="0"/>
        <c:axId val="790968680"/>
        <c:axId val="790971960"/>
      </c:lineChart>
      <c:catAx>
        <c:axId val="79102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023128"/>
        <c:crosses val="autoZero"/>
        <c:auto val="1"/>
        <c:lblAlgn val="ctr"/>
        <c:lblOffset val="100"/>
        <c:noMultiLvlLbl val="0"/>
      </c:catAx>
      <c:valAx>
        <c:axId val="7910231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022144"/>
        <c:crosses val="autoZero"/>
        <c:crossBetween val="between"/>
      </c:valAx>
      <c:valAx>
        <c:axId val="7909719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968680"/>
        <c:crosses val="max"/>
        <c:crossBetween val="between"/>
      </c:valAx>
      <c:catAx>
        <c:axId val="790968680"/>
        <c:scaling>
          <c:orientation val="minMax"/>
        </c:scaling>
        <c:delete val="1"/>
        <c:axPos val="b"/>
        <c:numFmt formatCode="General" sourceLinked="1"/>
        <c:majorTickMark val="out"/>
        <c:minorTickMark val="none"/>
        <c:tickLblPos val="nextTo"/>
        <c:crossAx val="790971960"/>
        <c:crosses val="autoZero"/>
        <c:auto val="1"/>
        <c:lblAlgn val="ctr"/>
        <c:lblOffset val="100"/>
        <c:noMultiLvlLbl val="0"/>
      </c:catAx>
      <c:spPr>
        <a:noFill/>
        <a:ln>
          <a:noFill/>
        </a:ln>
        <a:effectLst/>
      </c:spPr>
    </c:plotArea>
    <c:legend>
      <c:legendPos val="b"/>
      <c:layout>
        <c:manualLayout>
          <c:xMode val="edge"/>
          <c:yMode val="edge"/>
          <c:x val="0.39485717410323706"/>
          <c:y val="0.88523590260559992"/>
          <c:w val="0.52695231846019253"/>
          <c:h val="7.7855216194861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BEV-PHEV take-up'!$B$3</c:f>
              <c:strCache>
                <c:ptCount val="1"/>
                <c:pt idx="0">
                  <c:v>BEV %sales</c:v>
                </c:pt>
              </c:strCache>
            </c:strRef>
          </c:tx>
          <c:spPr>
            <a:ln w="28575" cap="rnd">
              <a:solidFill>
                <a:schemeClr val="accent1"/>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take-up'!$B$4:$B$12</c:f>
              <c:numCache>
                <c:formatCode>0.00</c:formatCode>
                <c:ptCount val="9"/>
                <c:pt idx="0">
                  <c:v>7.7463534041350025E-3</c:v>
                </c:pt>
                <c:pt idx="1">
                  <c:v>2.4841583154094411E-2</c:v>
                </c:pt>
                <c:pt idx="2">
                  <c:v>0.15469935260119766</c:v>
                </c:pt>
                <c:pt idx="3">
                  <c:v>0.15720110398952525</c:v>
                </c:pt>
                <c:pt idx="4">
                  <c:v>0.53953729281767959</c:v>
                </c:pt>
                <c:pt idx="5">
                  <c:v>0.68587636176110367</c:v>
                </c:pt>
                <c:pt idx="6">
                  <c:v>0.56146493717782087</c:v>
                </c:pt>
                <c:pt idx="7">
                  <c:v>1.1094416919245746</c:v>
                </c:pt>
                <c:pt idx="8">
                  <c:v>2.3848192771084338</c:v>
                </c:pt>
              </c:numCache>
            </c:numRef>
          </c:val>
          <c:smooth val="0"/>
          <c:extLst>
            <c:ext xmlns:c16="http://schemas.microsoft.com/office/drawing/2014/chart" uri="{C3380CC4-5D6E-409C-BE32-E72D297353CC}">
              <c16:uniqueId val="{00000000-1901-4EA6-A890-7BB668DB40CC}"/>
            </c:ext>
          </c:extLst>
        </c:ser>
        <c:dLbls>
          <c:showLegendKey val="0"/>
          <c:showVal val="0"/>
          <c:showCatName val="0"/>
          <c:showSerName val="0"/>
          <c:showPercent val="0"/>
          <c:showBubbleSize val="0"/>
        </c:dLbls>
        <c:marker val="1"/>
        <c:smooth val="0"/>
        <c:axId val="845552376"/>
        <c:axId val="845551720"/>
      </c:lineChart>
      <c:lineChart>
        <c:grouping val="standard"/>
        <c:varyColors val="0"/>
        <c:ser>
          <c:idx val="1"/>
          <c:order val="1"/>
          <c:tx>
            <c:strRef>
              <c:f>'Netherlands BEV-PHEV take-up'!$G$3</c:f>
              <c:strCache>
                <c:ptCount val="1"/>
                <c:pt idx="0">
                  <c:v>Petrol price (t-1)</c:v>
                </c:pt>
              </c:strCache>
            </c:strRef>
          </c:tx>
          <c:spPr>
            <a:ln w="28575" cap="rnd">
              <a:solidFill>
                <a:schemeClr val="accent2"/>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take-up'!$G$4:$G$12</c:f>
              <c:numCache>
                <c:formatCode>0.00</c:formatCode>
                <c:ptCount val="9"/>
                <c:pt idx="0">
                  <c:v>1.5751273733053719</c:v>
                </c:pt>
                <c:pt idx="1">
                  <c:v>1.3601306767899999</c:v>
                </c:pt>
                <c:pt idx="2">
                  <c:v>1.5029999999999999</c:v>
                </c:pt>
                <c:pt idx="3">
                  <c:v>1.6014614092780999</c:v>
                </c:pt>
                <c:pt idx="4">
                  <c:v>1.678911919823193</c:v>
                </c:pt>
                <c:pt idx="5">
                  <c:v>1.6166820216655529</c:v>
                </c:pt>
                <c:pt idx="6">
                  <c:v>1.5681157348607064</c:v>
                </c:pt>
                <c:pt idx="7">
                  <c:v>1.4318566154697727</c:v>
                </c:pt>
                <c:pt idx="8">
                  <c:v>1.348501694148325</c:v>
                </c:pt>
              </c:numCache>
            </c:numRef>
          </c:val>
          <c:smooth val="0"/>
          <c:extLst>
            <c:ext xmlns:c16="http://schemas.microsoft.com/office/drawing/2014/chart" uri="{C3380CC4-5D6E-409C-BE32-E72D297353CC}">
              <c16:uniqueId val="{00000001-1901-4EA6-A890-7BB668DB40CC}"/>
            </c:ext>
          </c:extLst>
        </c:ser>
        <c:dLbls>
          <c:showLegendKey val="0"/>
          <c:showVal val="0"/>
          <c:showCatName val="0"/>
          <c:showSerName val="0"/>
          <c:showPercent val="0"/>
          <c:showBubbleSize val="0"/>
        </c:dLbls>
        <c:marker val="1"/>
        <c:smooth val="0"/>
        <c:axId val="424194384"/>
        <c:axId val="424193728"/>
      </c:lineChart>
      <c:catAx>
        <c:axId val="845552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5551720"/>
        <c:crosses val="autoZero"/>
        <c:auto val="1"/>
        <c:lblAlgn val="ctr"/>
        <c:lblOffset val="100"/>
        <c:noMultiLvlLbl val="0"/>
      </c:catAx>
      <c:valAx>
        <c:axId val="8455517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5552376"/>
        <c:crosses val="autoZero"/>
        <c:crossBetween val="between"/>
      </c:valAx>
      <c:valAx>
        <c:axId val="424193728"/>
        <c:scaling>
          <c:orientation val="minMax"/>
          <c:min val="1"/>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194384"/>
        <c:crosses val="max"/>
        <c:crossBetween val="between"/>
      </c:valAx>
      <c:catAx>
        <c:axId val="424194384"/>
        <c:scaling>
          <c:orientation val="minMax"/>
        </c:scaling>
        <c:delete val="1"/>
        <c:axPos val="b"/>
        <c:numFmt formatCode="General" sourceLinked="1"/>
        <c:majorTickMark val="out"/>
        <c:minorTickMark val="none"/>
        <c:tickLblPos val="nextTo"/>
        <c:crossAx val="42419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442038495188095E-2"/>
          <c:y val="0.17171296296296296"/>
          <c:w val="0.87000240594925626"/>
          <c:h val="0.61498432487605714"/>
        </c:manualLayout>
      </c:layout>
      <c:lineChart>
        <c:grouping val="standard"/>
        <c:varyColors val="0"/>
        <c:ser>
          <c:idx val="0"/>
          <c:order val="0"/>
          <c:tx>
            <c:strRef>
              <c:f>'Netherlands BEV-PHEV take-up'!$E$3</c:f>
              <c:strCache>
                <c:ptCount val="1"/>
                <c:pt idx="0">
                  <c:v>PHEV/FFV price</c:v>
                </c:pt>
              </c:strCache>
            </c:strRef>
          </c:tx>
          <c:spPr>
            <a:ln w="28575" cap="rnd">
              <a:solidFill>
                <a:schemeClr val="accent1"/>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take-up'!$E$4:$E$12</c:f>
              <c:numCache>
                <c:formatCode>General</c:formatCode>
                <c:ptCount val="9"/>
                <c:pt idx="0">
                  <c:v>1.1628908837364871</c:v>
                </c:pt>
                <c:pt idx="1">
                  <c:v>1.1775841094522819</c:v>
                </c:pt>
                <c:pt idx="2">
                  <c:v>1.1787470018026136</c:v>
                </c:pt>
                <c:pt idx="3">
                  <c:v>1.2097339784792158</c:v>
                </c:pt>
                <c:pt idx="4">
                  <c:v>1.2238753979220827</c:v>
                </c:pt>
                <c:pt idx="5">
                  <c:v>1.2777686792494223</c:v>
                </c:pt>
                <c:pt idx="6">
                  <c:v>1.2276214833759591</c:v>
                </c:pt>
                <c:pt idx="7">
                  <c:v>1.3043478260869565</c:v>
                </c:pt>
                <c:pt idx="8">
                  <c:v>1.3043478260869563</c:v>
                </c:pt>
              </c:numCache>
            </c:numRef>
          </c:val>
          <c:smooth val="0"/>
          <c:extLst>
            <c:ext xmlns:c16="http://schemas.microsoft.com/office/drawing/2014/chart" uri="{C3380CC4-5D6E-409C-BE32-E72D297353CC}">
              <c16:uniqueId val="{00000000-4927-412D-9A06-92358FFFBD0D}"/>
            </c:ext>
          </c:extLst>
        </c:ser>
        <c:ser>
          <c:idx val="1"/>
          <c:order val="1"/>
          <c:tx>
            <c:strRef>
              <c:f>'Netherlands BEV-PHEV take-up'!$F$3</c:f>
              <c:strCache>
                <c:ptCount val="1"/>
                <c:pt idx="0">
                  <c:v>BEV/FFV price (t-1)</c:v>
                </c:pt>
              </c:strCache>
            </c:strRef>
          </c:tx>
          <c:spPr>
            <a:ln w="28575" cap="rnd">
              <a:solidFill>
                <a:schemeClr val="accent2"/>
              </a:solidFill>
              <a:round/>
            </a:ln>
            <a:effectLst/>
          </c:spPr>
          <c:marker>
            <c:symbol val="none"/>
          </c:marker>
          <c:cat>
            <c:numRef>
              <c:f>'Netherlands BEV-PHEV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BEV-PHEV take-up'!$F$4:$F$12</c:f>
              <c:numCache>
                <c:formatCode>0.00</c:formatCode>
                <c:ptCount val="9"/>
                <c:pt idx="0">
                  <c:v>1.1426074541039533</c:v>
                </c:pt>
                <c:pt idx="1">
                  <c:v>1.1426074541039533</c:v>
                </c:pt>
                <c:pt idx="2">
                  <c:v>1.1583387410772226</c:v>
                </c:pt>
                <c:pt idx="3">
                  <c:v>1.1583387410772226</c:v>
                </c:pt>
                <c:pt idx="4">
                  <c:v>1.1908673045683811</c:v>
                </c:pt>
                <c:pt idx="5">
                  <c:v>1.2047363968885034</c:v>
                </c:pt>
                <c:pt idx="6">
                  <c:v>1.3403834701358177</c:v>
                </c:pt>
                <c:pt idx="7">
                  <c:v>1.1988491048593348</c:v>
                </c:pt>
                <c:pt idx="8">
                  <c:v>1.1988491048593348</c:v>
                </c:pt>
              </c:numCache>
            </c:numRef>
          </c:val>
          <c:smooth val="0"/>
          <c:extLst>
            <c:ext xmlns:c16="http://schemas.microsoft.com/office/drawing/2014/chart" uri="{C3380CC4-5D6E-409C-BE32-E72D297353CC}">
              <c16:uniqueId val="{00000001-4927-412D-9A06-92358FFFBD0D}"/>
            </c:ext>
          </c:extLst>
        </c:ser>
        <c:dLbls>
          <c:showLegendKey val="0"/>
          <c:showVal val="0"/>
          <c:showCatName val="0"/>
          <c:showSerName val="0"/>
          <c:showPercent val="0"/>
          <c:showBubbleSize val="0"/>
        </c:dLbls>
        <c:smooth val="0"/>
        <c:axId val="660969408"/>
        <c:axId val="660969080"/>
      </c:lineChart>
      <c:catAx>
        <c:axId val="66096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69080"/>
        <c:crosses val="autoZero"/>
        <c:auto val="1"/>
        <c:lblAlgn val="ctr"/>
        <c:lblOffset val="100"/>
        <c:noMultiLvlLbl val="0"/>
      </c:catAx>
      <c:valAx>
        <c:axId val="660969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69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%sales 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'EV %sales'!$R$62</c:f>
              <c:strCache>
                <c:ptCount val="1"/>
                <c:pt idx="0">
                  <c:v>Norway</c:v>
                </c:pt>
              </c:strCache>
            </c:strRef>
          </c:tx>
          <c:spPr>
            <a:ln w="28575" cap="rnd">
              <a:solidFill>
                <a:schemeClr val="accent2"/>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%sales'!$R$63:$R$75</c:f>
              <c:numCache>
                <c:formatCode>0.00</c:formatCode>
                <c:ptCount val="13"/>
                <c:pt idx="0">
                  <c:v>0</c:v>
                </c:pt>
                <c:pt idx="1">
                  <c:v>0</c:v>
                </c:pt>
                <c:pt idx="2">
                  <c:v>7.7402376252950975E-3</c:v>
                </c:pt>
                <c:pt idx="3">
                  <c:v>0.21716116072640407</c:v>
                </c:pt>
                <c:pt idx="4">
                  <c:v>0.15606789967063592</c:v>
                </c:pt>
                <c:pt idx="5">
                  <c:v>0.30527419885091661</c:v>
                </c:pt>
                <c:pt idx="6">
                  <c:v>1.3300083125519535</c:v>
                </c:pt>
                <c:pt idx="7">
                  <c:v>3.5243461204841871</c:v>
                </c:pt>
                <c:pt idx="8">
                  <c:v>5.9936264957685834</c:v>
                </c:pt>
                <c:pt idx="9">
                  <c:v>13.7029999583917</c:v>
                </c:pt>
                <c:pt idx="10">
                  <c:v>23.63192333727088</c:v>
                </c:pt>
                <c:pt idx="11">
                  <c:v>29.047301798800802</c:v>
                </c:pt>
                <c:pt idx="12">
                  <c:v>39.277024897573277</c:v>
                </c:pt>
              </c:numCache>
            </c:numRef>
          </c:val>
          <c:smooth val="0"/>
          <c:extLst>
            <c:ext xmlns:c16="http://schemas.microsoft.com/office/drawing/2014/chart" uri="{C3380CC4-5D6E-409C-BE32-E72D297353CC}">
              <c16:uniqueId val="{00000001-B667-4E06-A47F-431B0DF45AD0}"/>
            </c:ext>
          </c:extLst>
        </c:ser>
        <c:ser>
          <c:idx val="0"/>
          <c:order val="1"/>
          <c:tx>
            <c:strRef>
              <c:f>'EV %sales'!$P$62</c:f>
              <c:strCache>
                <c:ptCount val="1"/>
                <c:pt idx="0">
                  <c:v>Netherlands</c:v>
                </c:pt>
              </c:strCache>
            </c:strRef>
          </c:tx>
          <c:spPr>
            <a:ln w="28575" cap="rnd">
              <a:solidFill>
                <a:schemeClr val="accent1"/>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%sales'!$P$63:$P$75</c:f>
              <c:numCache>
                <c:formatCode>0.00</c:formatCode>
                <c:ptCount val="13"/>
                <c:pt idx="0">
                  <c:v>0</c:v>
                </c:pt>
                <c:pt idx="1">
                  <c:v>0</c:v>
                </c:pt>
                <c:pt idx="2">
                  <c:v>0</c:v>
                </c:pt>
                <c:pt idx="3">
                  <c:v>2.0001920184337697E-3</c:v>
                </c:pt>
                <c:pt idx="4">
                  <c:v>7.7463534041350025E-3</c:v>
                </c:pt>
                <c:pt idx="5">
                  <c:v>2.4841583154094411E-2</c:v>
                </c:pt>
                <c:pt idx="6">
                  <c:v>0.15829701196401622</c:v>
                </c:pt>
                <c:pt idx="7">
                  <c:v>1.0188223448435052</c:v>
                </c:pt>
                <c:pt idx="8">
                  <c:v>5.3761893799877232</c:v>
                </c:pt>
                <c:pt idx="9">
                  <c:v>3.8909301875846061</c:v>
                </c:pt>
                <c:pt idx="10">
                  <c:v>9.675322952863473</c:v>
                </c:pt>
                <c:pt idx="11">
                  <c:v>5.9516815787968742</c:v>
                </c:pt>
                <c:pt idx="12">
                  <c:v>2.6418232523460965</c:v>
                </c:pt>
              </c:numCache>
            </c:numRef>
          </c:val>
          <c:smooth val="0"/>
          <c:extLst>
            <c:ext xmlns:c16="http://schemas.microsoft.com/office/drawing/2014/chart" uri="{C3380CC4-5D6E-409C-BE32-E72D297353CC}">
              <c16:uniqueId val="{00000000-B667-4E06-A47F-431B0DF45AD0}"/>
            </c:ext>
          </c:extLst>
        </c:ser>
        <c:ser>
          <c:idx val="2"/>
          <c:order val="2"/>
          <c:tx>
            <c:strRef>
              <c:f>'EV %sales'!$T$62</c:f>
              <c:strCache>
                <c:ptCount val="1"/>
                <c:pt idx="0">
                  <c:v>Sweden </c:v>
                </c:pt>
              </c:strCache>
            </c:strRef>
          </c:tx>
          <c:spPr>
            <a:ln w="28575" cap="rnd">
              <a:solidFill>
                <a:schemeClr val="accent3"/>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%sales'!$T$63:$T$75</c:f>
              <c:numCache>
                <c:formatCode>0.00</c:formatCode>
                <c:ptCount val="13"/>
                <c:pt idx="0">
                  <c:v>0</c:v>
                </c:pt>
                <c:pt idx="1">
                  <c:v>0</c:v>
                </c:pt>
                <c:pt idx="2">
                  <c:v>0</c:v>
                </c:pt>
                <c:pt idx="3">
                  <c:v>0</c:v>
                </c:pt>
                <c:pt idx="4">
                  <c:v>0</c:v>
                </c:pt>
                <c:pt idx="5">
                  <c:v>2.0776126845179765E-2</c:v>
                </c:pt>
                <c:pt idx="6">
                  <c:v>6.0003344448706981E-2</c:v>
                </c:pt>
                <c:pt idx="7">
                  <c:v>0.34191393201021814</c:v>
                </c:pt>
                <c:pt idx="8">
                  <c:v>0.57725411052412889</c:v>
                </c:pt>
                <c:pt idx="9">
                  <c:v>1.5381021628841962</c:v>
                </c:pt>
                <c:pt idx="10">
                  <c:v>2.5180669127746258</c:v>
                </c:pt>
                <c:pt idx="11">
                  <c:v>3.5563684807073526</c:v>
                </c:pt>
                <c:pt idx="12">
                  <c:v>5.1830160282345741</c:v>
                </c:pt>
              </c:numCache>
            </c:numRef>
          </c:val>
          <c:smooth val="0"/>
          <c:extLst>
            <c:ext xmlns:c16="http://schemas.microsoft.com/office/drawing/2014/chart" uri="{C3380CC4-5D6E-409C-BE32-E72D297353CC}">
              <c16:uniqueId val="{00000002-B667-4E06-A47F-431B0DF45AD0}"/>
            </c:ext>
          </c:extLst>
        </c:ser>
        <c:ser>
          <c:idx val="3"/>
          <c:order val="3"/>
          <c:tx>
            <c:strRef>
              <c:f>'EV %sales'!$Y$62</c:f>
              <c:strCache>
                <c:ptCount val="1"/>
                <c:pt idx="0">
                  <c:v>Total</c:v>
                </c:pt>
              </c:strCache>
            </c:strRef>
          </c:tx>
          <c:spPr>
            <a:ln w="50800" cap="rnd">
              <a:solidFill>
                <a:schemeClr val="tx1"/>
              </a:solidFill>
              <a:round/>
            </a:ln>
            <a:effectLst/>
          </c:spPr>
          <c:marker>
            <c:symbol val="none"/>
          </c:marker>
          <c:cat>
            <c:numRef>
              <c:f>'EV %sales'!$A$63:$A$75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'EV %sales'!$Y$63:$Y$75</c:f>
              <c:numCache>
                <c:formatCode>0.00</c:formatCode>
                <c:ptCount val="13"/>
                <c:pt idx="4">
                  <c:v>9.0944063654437145E-3</c:v>
                </c:pt>
                <c:pt idx="5">
                  <c:v>1.6964627629336562E-2</c:v>
                </c:pt>
                <c:pt idx="6">
                  <c:v>0.10234351891729328</c:v>
                </c:pt>
                <c:pt idx="7">
                  <c:v>0.23522435592921317</c:v>
                </c:pt>
                <c:pt idx="8">
                  <c:v>0.38403986642724675</c:v>
                </c:pt>
                <c:pt idx="9">
                  <c:v>0.57247293705754376</c:v>
                </c:pt>
                <c:pt idx="10">
                  <c:v>0.90247796151091464</c:v>
                </c:pt>
                <c:pt idx="11">
                  <c:v>1.1362386310898671</c:v>
                </c:pt>
                <c:pt idx="12">
                  <c:v>1.6633518305579627</c:v>
                </c:pt>
              </c:numCache>
            </c:numRef>
          </c:val>
          <c:smooth val="0"/>
          <c:extLst>
            <c:ext xmlns:c16="http://schemas.microsoft.com/office/drawing/2014/chart" uri="{C3380CC4-5D6E-409C-BE32-E72D297353CC}">
              <c16:uniqueId val="{00000003-B667-4E06-A47F-431B0DF45AD0}"/>
            </c:ext>
          </c:extLst>
        </c:ser>
        <c:dLbls>
          <c:showLegendKey val="0"/>
          <c:showVal val="0"/>
          <c:showCatName val="0"/>
          <c:showSerName val="0"/>
          <c:showPercent val="0"/>
          <c:showBubbleSize val="0"/>
        </c:dLbls>
        <c:smooth val="0"/>
        <c:axId val="732355504"/>
        <c:axId val="732359768"/>
      </c:lineChart>
      <c:catAx>
        <c:axId val="73235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59768"/>
        <c:crosses val="autoZero"/>
        <c:auto val="1"/>
        <c:lblAlgn val="ctr"/>
        <c:lblOffset val="100"/>
        <c:noMultiLvlLbl val="0"/>
      </c:catAx>
      <c:valAx>
        <c:axId val="732359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5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logist Take-up'!$P$3</c:f>
              <c:strCache>
                <c:ptCount val="1"/>
                <c:pt idx="0">
                  <c:v>logistic</c:v>
                </c:pt>
              </c:strCache>
            </c:strRef>
          </c:tx>
          <c:spPr>
            <a:ln w="28575" cap="rnd">
              <a:solidFill>
                <a:schemeClr val="accent1"/>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Take-up'!$P$4:$P$12</c:f>
              <c:numCache>
                <c:formatCode>General</c:formatCode>
                <c:ptCount val="9"/>
                <c:pt idx="0">
                  <c:v>-8.9294274040213537</c:v>
                </c:pt>
                <c:pt idx="1">
                  <c:v>-7.7638383114906127</c:v>
                </c:pt>
                <c:pt idx="2">
                  <c:v>-5.9326505244476984</c:v>
                </c:pt>
                <c:pt idx="3">
                  <c:v>-5.916565315057885</c:v>
                </c:pt>
                <c:pt idx="4">
                  <c:v>-4.676804472531372</c:v>
                </c:pt>
                <c:pt idx="5">
                  <c:v>-4.4342909976002973</c:v>
                </c:pt>
                <c:pt idx="6">
                  <c:v>-4.6365886600011637</c:v>
                </c:pt>
                <c:pt idx="7">
                  <c:v>-3.9460228918501885</c:v>
                </c:pt>
                <c:pt idx="8">
                  <c:v>-3.1582830303718854</c:v>
                </c:pt>
              </c:numCache>
            </c:numRef>
          </c:val>
          <c:smooth val="0"/>
          <c:extLst>
            <c:ext xmlns:c16="http://schemas.microsoft.com/office/drawing/2014/chart" uri="{C3380CC4-5D6E-409C-BE32-E72D297353CC}">
              <c16:uniqueId val="{00000000-8ECE-41A9-9135-F05116A61362}"/>
            </c:ext>
          </c:extLst>
        </c:ser>
        <c:ser>
          <c:idx val="1"/>
          <c:order val="1"/>
          <c:tx>
            <c:strRef>
              <c:f>'Netherlands logist Take-up'!$Q$3</c:f>
              <c:strCache>
                <c:ptCount val="1"/>
                <c:pt idx="0">
                  <c:v>pred</c:v>
                </c:pt>
              </c:strCache>
            </c:strRef>
          </c:tx>
          <c:spPr>
            <a:ln w="28575" cap="rnd">
              <a:solidFill>
                <a:schemeClr val="accent2"/>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Take-up'!$Q$4:$Q$12</c:f>
              <c:numCache>
                <c:formatCode>General</c:formatCode>
                <c:ptCount val="9"/>
                <c:pt idx="0">
                  <c:v>-8.9041473154416888</c:v>
                </c:pt>
                <c:pt idx="1">
                  <c:v>-7.7370425206616824</c:v>
                </c:pt>
                <c:pt idx="2">
                  <c:v>-5.9687154122562136</c:v>
                </c:pt>
                <c:pt idx="3">
                  <c:v>-6.0040552447271374</c:v>
                </c:pt>
                <c:pt idx="4">
                  <c:v>-4.5363392931343993</c:v>
                </c:pt>
                <c:pt idx="5">
                  <c:v>-4.5716791256053231</c:v>
                </c:pt>
                <c:pt idx="6">
                  <c:v>-4.6070189580762468</c:v>
                </c:pt>
                <c:pt idx="7">
                  <c:v>-3.8908308985153397</c:v>
                </c:pt>
                <c:pt idx="8">
                  <c:v>-3.1746428389544326</c:v>
                </c:pt>
              </c:numCache>
            </c:numRef>
          </c:val>
          <c:smooth val="0"/>
          <c:extLst>
            <c:ext xmlns:c16="http://schemas.microsoft.com/office/drawing/2014/chart" uri="{C3380CC4-5D6E-409C-BE32-E72D297353CC}">
              <c16:uniqueId val="{00000001-8ECE-41A9-9135-F05116A61362}"/>
            </c:ext>
          </c:extLst>
        </c:ser>
        <c:dLbls>
          <c:showLegendKey val="0"/>
          <c:showVal val="0"/>
          <c:showCatName val="0"/>
          <c:showSerName val="0"/>
          <c:showPercent val="0"/>
          <c:showBubbleSize val="0"/>
        </c:dLbls>
        <c:smooth val="0"/>
        <c:axId val="699581120"/>
        <c:axId val="699581448"/>
      </c:lineChart>
      <c:catAx>
        <c:axId val="69958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581448"/>
        <c:crosses val="autoZero"/>
        <c:auto val="1"/>
        <c:lblAlgn val="ctr"/>
        <c:lblOffset val="100"/>
        <c:noMultiLvlLbl val="0"/>
      </c:catAx>
      <c:valAx>
        <c:axId val="699581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58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logist Take-up'!$B$3</c:f>
              <c:strCache>
                <c:ptCount val="1"/>
                <c:pt idx="0">
                  <c:v>BEV %sales</c:v>
                </c:pt>
              </c:strCache>
            </c:strRef>
          </c:tx>
          <c:spPr>
            <a:ln w="28575" cap="rnd">
              <a:solidFill>
                <a:schemeClr val="accent1"/>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Take-up'!$B$4:$B$12</c:f>
              <c:numCache>
                <c:formatCode>0.00</c:formatCode>
                <c:ptCount val="9"/>
                <c:pt idx="0">
                  <c:v>7.7463534041350025E-3</c:v>
                </c:pt>
                <c:pt idx="1">
                  <c:v>2.4841583154094411E-2</c:v>
                </c:pt>
                <c:pt idx="2">
                  <c:v>0.15469935260119766</c:v>
                </c:pt>
                <c:pt idx="3">
                  <c:v>0.15720110398952525</c:v>
                </c:pt>
                <c:pt idx="4">
                  <c:v>0.53953729281767959</c:v>
                </c:pt>
                <c:pt idx="5">
                  <c:v>0.68587636176110367</c:v>
                </c:pt>
                <c:pt idx="6">
                  <c:v>0.56146493717782087</c:v>
                </c:pt>
                <c:pt idx="7">
                  <c:v>1.1094416919245746</c:v>
                </c:pt>
                <c:pt idx="8">
                  <c:v>2.3848192771084338</c:v>
                </c:pt>
              </c:numCache>
            </c:numRef>
          </c:val>
          <c:smooth val="0"/>
          <c:extLst>
            <c:ext xmlns:c16="http://schemas.microsoft.com/office/drawing/2014/chart" uri="{C3380CC4-5D6E-409C-BE32-E72D297353CC}">
              <c16:uniqueId val="{00000000-94C8-4512-B608-D15F6AFA62DE}"/>
            </c:ext>
          </c:extLst>
        </c:ser>
        <c:ser>
          <c:idx val="1"/>
          <c:order val="1"/>
          <c:tx>
            <c:strRef>
              <c:f>'Netherlands logist Take-up'!$C$3</c:f>
              <c:strCache>
                <c:ptCount val="1"/>
                <c:pt idx="0">
                  <c:v>pred</c:v>
                </c:pt>
              </c:strCache>
            </c:strRef>
          </c:tx>
          <c:spPr>
            <a:ln w="28575" cap="rnd">
              <a:solidFill>
                <a:schemeClr val="accent2"/>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Take-up'!$C$4:$C$12</c:f>
              <c:numCache>
                <c:formatCode>0.00</c:formatCode>
                <c:ptCount val="9"/>
                <c:pt idx="0">
                  <c:v>7.9446512425175829E-3</c:v>
                </c:pt>
                <c:pt idx="1">
                  <c:v>2.5515937260344089E-2</c:v>
                </c:pt>
                <c:pt idx="2">
                  <c:v>0.14923352504024581</c:v>
                </c:pt>
                <c:pt idx="3">
                  <c:v>0.14406449916954353</c:v>
                </c:pt>
                <c:pt idx="4">
                  <c:v>0.62004196582435323</c:v>
                </c:pt>
                <c:pt idx="5">
                  <c:v>0.59873280114235872</c:v>
                </c:pt>
                <c:pt idx="6">
                  <c:v>0.57814865964562967</c:v>
                </c:pt>
                <c:pt idx="7">
                  <c:v>1.1711349845009074</c:v>
                </c:pt>
                <c:pt idx="8">
                  <c:v>2.3476744853229823</c:v>
                </c:pt>
              </c:numCache>
            </c:numRef>
          </c:val>
          <c:smooth val="0"/>
          <c:extLst>
            <c:ext xmlns:c16="http://schemas.microsoft.com/office/drawing/2014/chart" uri="{C3380CC4-5D6E-409C-BE32-E72D297353CC}">
              <c16:uniqueId val="{00000001-94C8-4512-B608-D15F6AFA62DE}"/>
            </c:ext>
          </c:extLst>
        </c:ser>
        <c:ser>
          <c:idx val="2"/>
          <c:order val="2"/>
          <c:tx>
            <c:strRef>
              <c:f>'Netherlands logist Take-up'!$D$3</c:f>
              <c:strCache>
                <c:ptCount val="1"/>
                <c:pt idx="0">
                  <c:v>pred base</c:v>
                </c:pt>
              </c:strCache>
            </c:strRef>
          </c:tx>
          <c:spPr>
            <a:ln w="28575" cap="rnd">
              <a:solidFill>
                <a:schemeClr val="accent3"/>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Take-up'!$D$4:$D$12</c:f>
              <c:numCache>
                <c:formatCode>0.00</c:formatCode>
                <c:ptCount val="9"/>
                <c:pt idx="0">
                  <c:v>7.9446512425175829E-3</c:v>
                </c:pt>
                <c:pt idx="1">
                  <c:v>1.6257345466927944E-2</c:v>
                </c:pt>
                <c:pt idx="2">
                  <c:v>3.3262880612801818E-2</c:v>
                </c:pt>
                <c:pt idx="3">
                  <c:v>6.8035880004771773E-2</c:v>
                </c:pt>
                <c:pt idx="4">
                  <c:v>0.13907408696082266</c:v>
                </c:pt>
                <c:pt idx="5">
                  <c:v>0.28392490447563828</c:v>
                </c:pt>
                <c:pt idx="6">
                  <c:v>0.57814865964562967</c:v>
                </c:pt>
                <c:pt idx="7">
                  <c:v>1.1711349845009074</c:v>
                </c:pt>
                <c:pt idx="8">
                  <c:v>2.3476744853229823</c:v>
                </c:pt>
              </c:numCache>
            </c:numRef>
          </c:val>
          <c:smooth val="0"/>
          <c:extLst>
            <c:ext xmlns:c16="http://schemas.microsoft.com/office/drawing/2014/chart" uri="{C3380CC4-5D6E-409C-BE32-E72D297353CC}">
              <c16:uniqueId val="{00000000-2428-4442-A944-F681DF1D13C4}"/>
            </c:ext>
          </c:extLst>
        </c:ser>
        <c:dLbls>
          <c:showLegendKey val="0"/>
          <c:showVal val="0"/>
          <c:showCatName val="0"/>
          <c:showSerName val="0"/>
          <c:showPercent val="0"/>
          <c:showBubbleSize val="0"/>
        </c:dLbls>
        <c:smooth val="0"/>
        <c:axId val="798850400"/>
        <c:axId val="798847448"/>
      </c:lineChart>
      <c:catAx>
        <c:axId val="7988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847448"/>
        <c:crosses val="autoZero"/>
        <c:auto val="1"/>
        <c:lblAlgn val="ctr"/>
        <c:lblOffset val="100"/>
        <c:noMultiLvlLbl val="0"/>
      </c:catAx>
      <c:valAx>
        <c:axId val="798847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8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'Netherlands logist Take-up'!$P$43:$P$48</c:f>
              <c:numCache>
                <c:formatCode>General</c:formatCode>
                <c:ptCount val="6"/>
                <c:pt idx="0">
                  <c:v>-4.3099824179918524</c:v>
                </c:pt>
                <c:pt idx="1">
                  <c:v>-2.5208405643852059</c:v>
                </c:pt>
                <c:pt idx="2">
                  <c:v>-2.9590926994425129</c:v>
                </c:pt>
                <c:pt idx="3">
                  <c:v>-1.8135203281539507</c:v>
                </c:pt>
                <c:pt idx="4">
                  <c:v>-2.5195930465666057</c:v>
                </c:pt>
                <c:pt idx="5">
                  <c:v>-5.4464991204292543</c:v>
                </c:pt>
              </c:numCache>
            </c:numRef>
          </c:val>
          <c:smooth val="0"/>
          <c:extLst>
            <c:ext xmlns:c16="http://schemas.microsoft.com/office/drawing/2014/chart" uri="{C3380CC4-5D6E-409C-BE32-E72D297353CC}">
              <c16:uniqueId val="{00000000-A4E2-4793-B950-A539CBA82B09}"/>
            </c:ext>
          </c:extLst>
        </c:ser>
        <c:dLbls>
          <c:showLegendKey val="0"/>
          <c:showVal val="0"/>
          <c:showCatName val="0"/>
          <c:showSerName val="0"/>
          <c:showPercent val="0"/>
          <c:showBubbleSize val="0"/>
        </c:dLbls>
        <c:marker val="1"/>
        <c:smooth val="0"/>
        <c:axId val="817704776"/>
        <c:axId val="817712648"/>
      </c:lineChart>
      <c:lineChart>
        <c:grouping val="standard"/>
        <c:varyColors val="0"/>
        <c:ser>
          <c:idx val="1"/>
          <c:order val="1"/>
          <c:spPr>
            <a:ln w="28575" cap="rnd">
              <a:solidFill>
                <a:schemeClr val="accent2"/>
              </a:solidFill>
              <a:round/>
            </a:ln>
            <a:effectLst/>
          </c:spPr>
          <c:marker>
            <c:symbol val="none"/>
          </c:marker>
          <c:val>
            <c:numRef>
              <c:f>'Netherlands logist Take-up'!$V$43:$V$48</c:f>
              <c:numCache>
                <c:formatCode>0.00</c:formatCode>
                <c:ptCount val="6"/>
                <c:pt idx="0">
                  <c:v>1.2097339784792158</c:v>
                </c:pt>
                <c:pt idx="1">
                  <c:v>1.2238753979220827</c:v>
                </c:pt>
                <c:pt idx="2">
                  <c:v>1.3403834701358177</c:v>
                </c:pt>
                <c:pt idx="3">
                  <c:v>1.2276214833759591</c:v>
                </c:pt>
                <c:pt idx="4">
                  <c:v>1.3043478260869565</c:v>
                </c:pt>
                <c:pt idx="5">
                  <c:v>1.3043478260869563</c:v>
                </c:pt>
              </c:numCache>
            </c:numRef>
          </c:val>
          <c:smooth val="0"/>
          <c:extLst>
            <c:ext xmlns:c16="http://schemas.microsoft.com/office/drawing/2014/chart" uri="{C3380CC4-5D6E-409C-BE32-E72D297353CC}">
              <c16:uniqueId val="{00000001-A4E2-4793-B950-A539CBA82B09}"/>
            </c:ext>
          </c:extLst>
        </c:ser>
        <c:dLbls>
          <c:showLegendKey val="0"/>
          <c:showVal val="0"/>
          <c:showCatName val="0"/>
          <c:showSerName val="0"/>
          <c:showPercent val="0"/>
          <c:showBubbleSize val="0"/>
        </c:dLbls>
        <c:marker val="1"/>
        <c:smooth val="0"/>
        <c:axId val="815301464"/>
        <c:axId val="815299496"/>
      </c:lineChart>
      <c:catAx>
        <c:axId val="817704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712648"/>
        <c:crosses val="autoZero"/>
        <c:auto val="1"/>
        <c:lblAlgn val="ctr"/>
        <c:lblOffset val="100"/>
        <c:noMultiLvlLbl val="0"/>
      </c:catAx>
      <c:valAx>
        <c:axId val="817712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704776"/>
        <c:crosses val="autoZero"/>
        <c:crossBetween val="between"/>
      </c:valAx>
      <c:valAx>
        <c:axId val="8152994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301464"/>
        <c:crosses val="max"/>
        <c:crossBetween val="between"/>
      </c:valAx>
      <c:catAx>
        <c:axId val="815301464"/>
        <c:scaling>
          <c:orientation val="minMax"/>
        </c:scaling>
        <c:delete val="1"/>
        <c:axPos val="b"/>
        <c:majorTickMark val="out"/>
        <c:minorTickMark val="none"/>
        <c:tickLblPos val="nextTo"/>
        <c:crossAx val="8152994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logist Take-up'!$X$3</c:f>
              <c:strCache>
                <c:ptCount val="1"/>
                <c:pt idx="0">
                  <c:v>BEV share</c:v>
                </c:pt>
              </c:strCache>
            </c:strRef>
          </c:tx>
          <c:spPr>
            <a:ln w="28575" cap="rnd">
              <a:solidFill>
                <a:schemeClr val="accent1"/>
              </a:solidFill>
              <a:round/>
            </a:ln>
            <a:effectLst/>
          </c:spPr>
          <c:marker>
            <c:symbol val="none"/>
          </c:marker>
          <c:cat>
            <c:numRef>
              <c:f>'Netherlands logist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Take-up'!$X$4:$X$12</c:f>
              <c:numCache>
                <c:formatCode>General</c:formatCode>
                <c:ptCount val="9"/>
                <c:pt idx="0">
                  <c:v>100</c:v>
                </c:pt>
                <c:pt idx="1">
                  <c:v>100</c:v>
                </c:pt>
                <c:pt idx="2">
                  <c:v>97.72727272727272</c:v>
                </c:pt>
                <c:pt idx="3">
                  <c:v>15.4296875</c:v>
                </c:pt>
                <c:pt idx="4">
                  <c:v>10.035682426404996</c:v>
                </c:pt>
                <c:pt idx="5">
                  <c:v>17.627567925778663</c:v>
                </c:pt>
                <c:pt idx="6">
                  <c:v>5.8030614576193749</c:v>
                </c:pt>
                <c:pt idx="7">
                  <c:v>18.640810621942698</c:v>
                </c:pt>
                <c:pt idx="8">
                  <c:v>89.525101763907728</c:v>
                </c:pt>
              </c:numCache>
            </c:numRef>
          </c:val>
          <c:smooth val="0"/>
          <c:extLst>
            <c:ext xmlns:c16="http://schemas.microsoft.com/office/drawing/2014/chart" uri="{C3380CC4-5D6E-409C-BE32-E72D297353CC}">
              <c16:uniqueId val="{00000000-8634-4DBA-9EC8-8FD906100129}"/>
            </c:ext>
          </c:extLst>
        </c:ser>
        <c:dLbls>
          <c:showLegendKey val="0"/>
          <c:showVal val="0"/>
          <c:showCatName val="0"/>
          <c:showSerName val="0"/>
          <c:showPercent val="0"/>
          <c:showBubbleSize val="0"/>
        </c:dLbls>
        <c:smooth val="0"/>
        <c:axId val="860645840"/>
        <c:axId val="860648464"/>
      </c:lineChart>
      <c:catAx>
        <c:axId val="86064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648464"/>
        <c:crosses val="autoZero"/>
        <c:auto val="1"/>
        <c:lblAlgn val="ctr"/>
        <c:lblOffset val="100"/>
        <c:noMultiLvlLbl val="0"/>
      </c:catAx>
      <c:valAx>
        <c:axId val="86064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64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logist Take-up'!$B$81</c:f>
              <c:strCache>
                <c:ptCount val="1"/>
                <c:pt idx="0">
                  <c:v>Total EV %sales</c:v>
                </c:pt>
              </c:strCache>
            </c:strRef>
          </c:tx>
          <c:spPr>
            <a:ln w="28575" cap="rnd">
              <a:solidFill>
                <a:schemeClr val="accent1"/>
              </a:solidFill>
              <a:round/>
            </a:ln>
            <a:effectLst/>
          </c:spPr>
          <c:marker>
            <c:symbol val="none"/>
          </c:marker>
          <c:cat>
            <c:numRef>
              <c:f>'Netherlands logist Take-up'!$A$82:$A$90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Take-up'!$B$82:$B$90</c:f>
              <c:numCache>
                <c:formatCode>0.00</c:formatCode>
                <c:ptCount val="9"/>
                <c:pt idx="0">
                  <c:v>7.7463534041350025E-3</c:v>
                </c:pt>
                <c:pt idx="1">
                  <c:v>2.4841583154094411E-2</c:v>
                </c:pt>
                <c:pt idx="2">
                  <c:v>0.15829701196401622</c:v>
                </c:pt>
                <c:pt idx="3">
                  <c:v>1.0188223448435054</c:v>
                </c:pt>
                <c:pt idx="4">
                  <c:v>5.3761893799877223</c:v>
                </c:pt>
                <c:pt idx="5">
                  <c:v>3.8909301875846065</c:v>
                </c:pt>
                <c:pt idx="6">
                  <c:v>9.6753229528634712</c:v>
                </c:pt>
                <c:pt idx="7">
                  <c:v>5.9516815787968751</c:v>
                </c:pt>
                <c:pt idx="8">
                  <c:v>2.6638554216867472</c:v>
                </c:pt>
              </c:numCache>
            </c:numRef>
          </c:val>
          <c:smooth val="0"/>
          <c:extLst>
            <c:ext xmlns:c16="http://schemas.microsoft.com/office/drawing/2014/chart" uri="{C3380CC4-5D6E-409C-BE32-E72D297353CC}">
              <c16:uniqueId val="{00000000-F70B-49A2-85A0-46A1525EBEA3}"/>
            </c:ext>
          </c:extLst>
        </c:ser>
        <c:ser>
          <c:idx val="1"/>
          <c:order val="1"/>
          <c:tx>
            <c:strRef>
              <c:f>'Netherlands logist Take-up'!$D$81</c:f>
              <c:strCache>
                <c:ptCount val="1"/>
                <c:pt idx="0">
                  <c:v>pred no subs</c:v>
                </c:pt>
              </c:strCache>
            </c:strRef>
          </c:tx>
          <c:spPr>
            <a:ln w="28575" cap="rnd">
              <a:solidFill>
                <a:schemeClr val="accent2"/>
              </a:solidFill>
              <a:round/>
            </a:ln>
            <a:effectLst/>
          </c:spPr>
          <c:marker>
            <c:symbol val="none"/>
          </c:marker>
          <c:cat>
            <c:numRef>
              <c:f>'Netherlands logist Take-up'!$A$82:$A$90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Take-up'!$D$82:$D$90</c:f>
              <c:numCache>
                <c:formatCode>0.00</c:formatCode>
                <c:ptCount val="9"/>
                <c:pt idx="1">
                  <c:v>1.8063717185475493E-2</c:v>
                </c:pt>
                <c:pt idx="2">
                  <c:v>3.6958756236446462E-2</c:v>
                </c:pt>
                <c:pt idx="3">
                  <c:v>7.5595422227524189E-2</c:v>
                </c:pt>
                <c:pt idx="4">
                  <c:v>0.15452676328980294</c:v>
                </c:pt>
                <c:pt idx="5">
                  <c:v>0.31547211608404252</c:v>
                </c:pt>
                <c:pt idx="6">
                  <c:v>0.64238739960625513</c:v>
                </c:pt>
                <c:pt idx="7">
                  <c:v>1.301261093889897</c:v>
                </c:pt>
                <c:pt idx="8">
                  <c:v>2.6085272059144247</c:v>
                </c:pt>
              </c:numCache>
            </c:numRef>
          </c:val>
          <c:smooth val="0"/>
          <c:extLst>
            <c:ext xmlns:c16="http://schemas.microsoft.com/office/drawing/2014/chart" uri="{C3380CC4-5D6E-409C-BE32-E72D297353CC}">
              <c16:uniqueId val="{00000001-F70B-49A2-85A0-46A1525EBEA3}"/>
            </c:ext>
          </c:extLst>
        </c:ser>
        <c:dLbls>
          <c:showLegendKey val="0"/>
          <c:showVal val="0"/>
          <c:showCatName val="0"/>
          <c:showSerName val="0"/>
          <c:showPercent val="0"/>
          <c:showBubbleSize val="0"/>
        </c:dLbls>
        <c:smooth val="0"/>
        <c:axId val="892794312"/>
        <c:axId val="892793000"/>
      </c:lineChart>
      <c:catAx>
        <c:axId val="89279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793000"/>
        <c:crosses val="autoZero"/>
        <c:auto val="1"/>
        <c:lblAlgn val="ctr"/>
        <c:lblOffset val="100"/>
        <c:noMultiLvlLbl val="0"/>
      </c:catAx>
      <c:valAx>
        <c:axId val="892793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79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'Netherlands logist Take-up'!$C$81</c:f>
              <c:strCache>
                <c:ptCount val="1"/>
                <c:pt idx="0">
                  <c:v>EV% sales no peaks</c:v>
                </c:pt>
              </c:strCache>
            </c:strRef>
          </c:tx>
          <c:spPr>
            <a:ln w="28575" cap="rnd">
              <a:solidFill>
                <a:schemeClr val="accent1"/>
              </a:solidFill>
              <a:round/>
            </a:ln>
            <a:effectLst/>
          </c:spPr>
          <c:marker>
            <c:symbol val="none"/>
          </c:marker>
          <c:cat>
            <c:numRef>
              <c:f>'Netherlands logist Take-up'!$A$82:$A$90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Take-up'!$C$82:$C$90</c:f>
              <c:numCache>
                <c:formatCode>0.00</c:formatCode>
                <c:ptCount val="9"/>
                <c:pt idx="0">
                  <c:v>7.7463534041350025E-3</c:v>
                </c:pt>
                <c:pt idx="1">
                  <c:v>2.4841583154094411E-2</c:v>
                </c:pt>
                <c:pt idx="2">
                  <c:v>0.15829701196401622</c:v>
                </c:pt>
                <c:pt idx="3">
                  <c:v>1.0188223448435054</c:v>
                </c:pt>
                <c:pt idx="4">
                  <c:v>1.9663136893799875</c:v>
                </c:pt>
                <c:pt idx="5">
                  <c:v>3.8909301875846061</c:v>
                </c:pt>
                <c:pt idx="6">
                  <c:v>5.1946559148341693</c:v>
                </c:pt>
                <c:pt idx="7">
                  <c:v>3.249302049919677</c:v>
                </c:pt>
                <c:pt idx="8">
                  <c:v>2.6418232523460965</c:v>
                </c:pt>
              </c:numCache>
            </c:numRef>
          </c:val>
          <c:smooth val="0"/>
          <c:extLst>
            <c:ext xmlns:c16="http://schemas.microsoft.com/office/drawing/2014/chart" uri="{C3380CC4-5D6E-409C-BE32-E72D297353CC}">
              <c16:uniqueId val="{00000000-A11F-449D-8072-25ECA2CC1C59}"/>
            </c:ext>
          </c:extLst>
        </c:ser>
        <c:ser>
          <c:idx val="1"/>
          <c:order val="1"/>
          <c:tx>
            <c:strRef>
              <c:f>'Netherlands logist Take-up'!$D$81</c:f>
              <c:strCache>
                <c:ptCount val="1"/>
                <c:pt idx="0">
                  <c:v>pred no subs</c:v>
                </c:pt>
              </c:strCache>
            </c:strRef>
          </c:tx>
          <c:spPr>
            <a:ln w="28575" cap="rnd">
              <a:solidFill>
                <a:schemeClr val="accent2"/>
              </a:solidFill>
              <a:round/>
            </a:ln>
            <a:effectLst/>
          </c:spPr>
          <c:marker>
            <c:symbol val="none"/>
          </c:marker>
          <c:cat>
            <c:numRef>
              <c:f>'Netherlands logist Take-up'!$A$82:$A$90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'Netherlands logist Take-up'!$D$82:$D$90</c:f>
              <c:numCache>
                <c:formatCode>0.00</c:formatCode>
                <c:ptCount val="9"/>
                <c:pt idx="1">
                  <c:v>1.8063717185475493E-2</c:v>
                </c:pt>
                <c:pt idx="2">
                  <c:v>3.6958756236446462E-2</c:v>
                </c:pt>
                <c:pt idx="3">
                  <c:v>7.5595422227524189E-2</c:v>
                </c:pt>
                <c:pt idx="4">
                  <c:v>0.15452676328980294</c:v>
                </c:pt>
                <c:pt idx="5">
                  <c:v>0.31547211608404252</c:v>
                </c:pt>
                <c:pt idx="6">
                  <c:v>0.64238739960625513</c:v>
                </c:pt>
                <c:pt idx="7">
                  <c:v>1.301261093889897</c:v>
                </c:pt>
                <c:pt idx="8">
                  <c:v>2.6085272059144247</c:v>
                </c:pt>
              </c:numCache>
            </c:numRef>
          </c:val>
          <c:smooth val="0"/>
          <c:extLst>
            <c:ext xmlns:c16="http://schemas.microsoft.com/office/drawing/2014/chart" uri="{C3380CC4-5D6E-409C-BE32-E72D297353CC}">
              <c16:uniqueId val="{00000001-A11F-449D-8072-25ECA2CC1C59}"/>
            </c:ext>
          </c:extLst>
        </c:ser>
        <c:dLbls>
          <c:showLegendKey val="0"/>
          <c:showVal val="0"/>
          <c:showCatName val="0"/>
          <c:showSerName val="0"/>
          <c:showPercent val="0"/>
          <c:showBubbleSize val="0"/>
        </c:dLbls>
        <c:smooth val="0"/>
        <c:axId val="897003776"/>
        <c:axId val="896998856"/>
      </c:lineChart>
      <c:catAx>
        <c:axId val="89700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998856"/>
        <c:crosses val="autoZero"/>
        <c:auto val="1"/>
        <c:lblAlgn val="ctr"/>
        <c:lblOffset val="100"/>
        <c:noMultiLvlLbl val="0"/>
      </c:catAx>
      <c:valAx>
        <c:axId val="896998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00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Take-up'!$C$81</c:f>
              <c:strCache>
                <c:ptCount val="1"/>
                <c:pt idx="0">
                  <c:v>EV% sales no peaks</c:v>
                </c:pt>
              </c:strCache>
            </c:strRef>
          </c:tx>
          <c:spPr>
            <a:ln w="34925" cap="rnd">
              <a:solidFill>
                <a:schemeClr val="tx1"/>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Take-up'!$C$82:$C$123</c:f>
              <c:numCache>
                <c:formatCode>0.00</c:formatCode>
                <c:ptCount val="42"/>
                <c:pt idx="0">
                  <c:v>7.7463534041350025E-3</c:v>
                </c:pt>
                <c:pt idx="1">
                  <c:v>2.4841583154094411E-2</c:v>
                </c:pt>
                <c:pt idx="2">
                  <c:v>0.15829701196401622</c:v>
                </c:pt>
                <c:pt idx="3">
                  <c:v>1.0188223448435054</c:v>
                </c:pt>
                <c:pt idx="4">
                  <c:v>1.9663136893799875</c:v>
                </c:pt>
                <c:pt idx="5">
                  <c:v>3.8909301875846061</c:v>
                </c:pt>
                <c:pt idx="6">
                  <c:v>5.1946559148341693</c:v>
                </c:pt>
                <c:pt idx="7">
                  <c:v>3.249302049919677</c:v>
                </c:pt>
                <c:pt idx="8">
                  <c:v>2.6418232523460965</c:v>
                </c:pt>
                <c:pt idx="9">
                  <c:v>5.7220294751956517</c:v>
                </c:pt>
              </c:numCache>
            </c:numRef>
          </c:val>
          <c:smooth val="0"/>
          <c:extLst>
            <c:ext xmlns:c16="http://schemas.microsoft.com/office/drawing/2014/chart" uri="{C3380CC4-5D6E-409C-BE32-E72D297353CC}">
              <c16:uniqueId val="{00000000-DD97-4E9F-9F2E-41588E567876}"/>
            </c:ext>
          </c:extLst>
        </c:ser>
        <c:ser>
          <c:idx val="2"/>
          <c:order val="1"/>
          <c:tx>
            <c:strRef>
              <c:f>'Netherlands logist Take-up'!$E$81</c:f>
              <c:strCache>
                <c:ptCount val="1"/>
                <c:pt idx="0">
                  <c:v>predicted raw</c:v>
                </c:pt>
              </c:strCache>
            </c:strRef>
          </c:tx>
          <c:spPr>
            <a:ln w="28575" cap="rnd">
              <a:solidFill>
                <a:schemeClr val="accent3"/>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Take-up'!$E$82:$E$123</c:f>
              <c:numCache>
                <c:formatCode>0.00</c:formatCode>
                <c:ptCount val="42"/>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pt idx="10">
                  <c:v>33.139809185381857</c:v>
                </c:pt>
                <c:pt idx="11">
                  <c:v>42.484730160291178</c:v>
                </c:pt>
                <c:pt idx="12">
                  <c:v>50.304167818683801</c:v>
                </c:pt>
                <c:pt idx="13">
                  <c:v>55.984247460872368</c:v>
                </c:pt>
                <c:pt idx="14">
                  <c:v>59.700218311068888</c:v>
                </c:pt>
                <c:pt idx="15">
                  <c:v>61.96755891259167</c:v>
                </c:pt>
                <c:pt idx="16">
                  <c:v>63.292632284816008</c:v>
                </c:pt>
                <c:pt idx="17">
                  <c:v>64.047592860998989</c:v>
                </c:pt>
                <c:pt idx="18">
                  <c:v>64.471513837004551</c:v>
                </c:pt>
                <c:pt idx="19">
                  <c:v>64.707606970513154</c:v>
                </c:pt>
                <c:pt idx="20">
                  <c:v>64.838493311169827</c:v>
                </c:pt>
                <c:pt idx="21">
                  <c:v>64.910870605500591</c:v>
                </c:pt>
                <c:pt idx="22">
                  <c:v>64.950837472731223</c:v>
                </c:pt>
                <c:pt idx="23">
                  <c:v>64.97289012259948</c:v>
                </c:pt>
                <c:pt idx="24">
                  <c:v>64.985052974742146</c:v>
                </c:pt>
                <c:pt idx="25">
                  <c:v>64.991759652818033</c:v>
                </c:pt>
                <c:pt idx="26">
                  <c:v>64.995457278203901</c:v>
                </c:pt>
                <c:pt idx="27">
                  <c:v>64.997495761520739</c:v>
                </c:pt>
                <c:pt idx="28">
                  <c:v>64.998619523188253</c:v>
                </c:pt>
                <c:pt idx="29">
                  <c:v>64.999239009599833</c:v>
                </c:pt>
                <c:pt idx="30">
                  <c:v>64.99958050442612</c:v>
                </c:pt>
                <c:pt idx="31">
                  <c:v>64.999768753821897</c:v>
                </c:pt>
                <c:pt idx="32">
                  <c:v>64.999872526127291</c:v>
                </c:pt>
                <c:pt idx="33">
                  <c:v>64.999929730399373</c:v>
                </c:pt>
                <c:pt idx="34">
                  <c:v>64.999961264102851</c:v>
                </c:pt>
                <c:pt idx="35">
                  <c:v>64.999978646962731</c:v>
                </c:pt>
                <c:pt idx="36">
                  <c:v>64.999988229209094</c:v>
                </c:pt>
                <c:pt idx="37">
                  <c:v>64.999993511391025</c:v>
                </c:pt>
                <c:pt idx="38">
                  <c:v>64.999996423176214</c:v>
                </c:pt>
                <c:pt idx="39">
                  <c:v>64.999998028288005</c:v>
                </c:pt>
                <c:pt idx="40">
                  <c:v>64.999998913100441</c:v>
                </c:pt>
                <c:pt idx="41">
                  <c:v>64.999999400850314</c:v>
                </c:pt>
              </c:numCache>
            </c:numRef>
          </c:val>
          <c:smooth val="0"/>
          <c:extLst>
            <c:ext xmlns:c16="http://schemas.microsoft.com/office/drawing/2014/chart" uri="{C3380CC4-5D6E-409C-BE32-E72D297353CC}">
              <c16:uniqueId val="{00000002-DD97-4E9F-9F2E-41588E567876}"/>
            </c:ext>
          </c:extLst>
        </c:ser>
        <c:dLbls>
          <c:showLegendKey val="0"/>
          <c:showVal val="0"/>
          <c:showCatName val="0"/>
          <c:showSerName val="0"/>
          <c:showPercent val="0"/>
          <c:showBubbleSize val="0"/>
        </c:dLbls>
        <c:smooth val="0"/>
        <c:axId val="869162776"/>
        <c:axId val="869165400"/>
      </c:lineChart>
      <c:catAx>
        <c:axId val="86916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5400"/>
        <c:crosses val="autoZero"/>
        <c:auto val="1"/>
        <c:lblAlgn val="ctr"/>
        <c:lblOffset val="100"/>
        <c:noMultiLvlLbl val="0"/>
      </c:catAx>
      <c:valAx>
        <c:axId val="86916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666666666666668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2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Take-up'!$AG$81</c:f>
              <c:strCache>
                <c:ptCount val="1"/>
                <c:pt idx="0">
                  <c:v>Linearized Logistic</c:v>
                </c:pt>
              </c:strCache>
            </c:strRef>
          </c:tx>
          <c:spPr>
            <a:ln w="44450" cap="rnd">
              <a:solidFill>
                <a:schemeClr val="tx1"/>
              </a:solidFill>
              <a:round/>
            </a:ln>
            <a:effectLst/>
          </c:spPr>
          <c:marker>
            <c:symbol val="none"/>
          </c:marker>
          <c:cat>
            <c:numRef>
              <c:f>'Netherlands logist Take-up'!$A$82:$A$88</c:f>
              <c:numCache>
                <c:formatCode>General</c:formatCode>
                <c:ptCount val="7"/>
                <c:pt idx="0">
                  <c:v>2009</c:v>
                </c:pt>
                <c:pt idx="1">
                  <c:v>2010</c:v>
                </c:pt>
                <c:pt idx="2">
                  <c:v>2011</c:v>
                </c:pt>
                <c:pt idx="3">
                  <c:v>2012</c:v>
                </c:pt>
                <c:pt idx="4">
                  <c:v>2013</c:v>
                </c:pt>
                <c:pt idx="5">
                  <c:v>2014</c:v>
                </c:pt>
                <c:pt idx="6">
                  <c:v>2015</c:v>
                </c:pt>
              </c:numCache>
            </c:numRef>
          </c:cat>
          <c:val>
            <c:numRef>
              <c:f>'Netherlands logist Take-up'!$AG$82:$AG$88</c:f>
              <c:numCache>
                <c:formatCode>General</c:formatCode>
                <c:ptCount val="7"/>
                <c:pt idx="1">
                  <c:v>-7.8692413085305812</c:v>
                </c:pt>
                <c:pt idx="2">
                  <c:v>-6.0152311490428865</c:v>
                </c:pt>
                <c:pt idx="3">
                  <c:v>-4.1399415445709336</c:v>
                </c:pt>
                <c:pt idx="4">
                  <c:v>-3.4675087206729849</c:v>
                </c:pt>
                <c:pt idx="5">
                  <c:v>-2.754012045445382</c:v>
                </c:pt>
                <c:pt idx="6">
                  <c:v>-2.4434646344893807</c:v>
                </c:pt>
              </c:numCache>
            </c:numRef>
          </c:val>
          <c:smooth val="0"/>
          <c:extLst>
            <c:ext xmlns:c16="http://schemas.microsoft.com/office/drawing/2014/chart" uri="{C3380CC4-5D6E-409C-BE32-E72D297353CC}">
              <c16:uniqueId val="{00000000-C469-4B8A-908A-38CBF0A4C5AF}"/>
            </c:ext>
          </c:extLst>
        </c:ser>
        <c:ser>
          <c:idx val="1"/>
          <c:order val="1"/>
          <c:tx>
            <c:strRef>
              <c:f>'Netherlands logist Take-up'!$AH$81</c:f>
              <c:strCache>
                <c:ptCount val="1"/>
                <c:pt idx="0">
                  <c:v>predicted</c:v>
                </c:pt>
              </c:strCache>
            </c:strRef>
          </c:tx>
          <c:spPr>
            <a:ln w="28575" cap="rnd">
              <a:solidFill>
                <a:schemeClr val="accent2"/>
              </a:solidFill>
              <a:round/>
            </a:ln>
            <a:effectLst/>
          </c:spPr>
          <c:marker>
            <c:symbol val="none"/>
          </c:marker>
          <c:cat>
            <c:numRef>
              <c:f>'Netherlands logist Take-up'!$A$82:$A$88</c:f>
              <c:numCache>
                <c:formatCode>General</c:formatCode>
                <c:ptCount val="7"/>
                <c:pt idx="0">
                  <c:v>2009</c:v>
                </c:pt>
                <c:pt idx="1">
                  <c:v>2010</c:v>
                </c:pt>
                <c:pt idx="2">
                  <c:v>2011</c:v>
                </c:pt>
                <c:pt idx="3">
                  <c:v>2012</c:v>
                </c:pt>
                <c:pt idx="4">
                  <c:v>2013</c:v>
                </c:pt>
                <c:pt idx="5">
                  <c:v>2014</c:v>
                </c:pt>
                <c:pt idx="6">
                  <c:v>2015</c:v>
                </c:pt>
              </c:numCache>
            </c:numRef>
          </c:cat>
          <c:val>
            <c:numRef>
              <c:f>'Netherlands logist Take-up'!$AH$82:$AH$88</c:f>
              <c:numCache>
                <c:formatCode>General</c:formatCode>
                <c:ptCount val="7"/>
                <c:pt idx="1">
                  <c:v>-7.8755588678420017</c:v>
                </c:pt>
                <c:pt idx="2">
                  <c:v>-6.0025960304200439</c:v>
                </c:pt>
                <c:pt idx="3">
                  <c:v>-4.1296331929980861</c:v>
                </c:pt>
                <c:pt idx="4">
                  <c:v>-3.5340601710662876</c:v>
                </c:pt>
                <c:pt idx="5">
                  <c:v>-2.9384871491344891</c:v>
                </c:pt>
                <c:pt idx="6">
                  <c:v>-2.342914127202691</c:v>
                </c:pt>
              </c:numCache>
            </c:numRef>
          </c:val>
          <c:smooth val="0"/>
          <c:extLst>
            <c:ext xmlns:c16="http://schemas.microsoft.com/office/drawing/2014/chart" uri="{C3380CC4-5D6E-409C-BE32-E72D297353CC}">
              <c16:uniqueId val="{00000001-C469-4B8A-908A-38CBF0A4C5AF}"/>
            </c:ext>
          </c:extLst>
        </c:ser>
        <c:dLbls>
          <c:showLegendKey val="0"/>
          <c:showVal val="0"/>
          <c:showCatName val="0"/>
          <c:showSerName val="0"/>
          <c:showPercent val="0"/>
          <c:showBubbleSize val="0"/>
        </c:dLbls>
        <c:smooth val="0"/>
        <c:axId val="888943200"/>
        <c:axId val="888943856"/>
      </c:lineChart>
      <c:catAx>
        <c:axId val="88894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943856"/>
        <c:crosses val="autoZero"/>
        <c:auto val="1"/>
        <c:lblAlgn val="ctr"/>
        <c:lblOffset val="100"/>
        <c:noMultiLvlLbl val="0"/>
      </c:catAx>
      <c:valAx>
        <c:axId val="88894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943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Take-up'!$C$81</c:f>
              <c:strCache>
                <c:ptCount val="1"/>
                <c:pt idx="0">
                  <c:v>EV% sales no peaks</c:v>
                </c:pt>
              </c:strCache>
            </c:strRef>
          </c:tx>
          <c:spPr>
            <a:ln w="38100" cap="rnd">
              <a:solidFill>
                <a:schemeClr val="tx1"/>
              </a:solidFill>
              <a:round/>
            </a:ln>
            <a:effectLst/>
          </c:spPr>
          <c:marker>
            <c:symbol val="none"/>
          </c:marker>
          <c:cat>
            <c:numRef>
              <c:f>'Netherlands logist Take-up'!$A$82:$A$91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'Netherlands logist Take-up'!$C$82:$C$91</c:f>
              <c:numCache>
                <c:formatCode>0.00</c:formatCode>
                <c:ptCount val="10"/>
                <c:pt idx="0">
                  <c:v>7.7463534041350025E-3</c:v>
                </c:pt>
                <c:pt idx="1">
                  <c:v>2.4841583154094411E-2</c:v>
                </c:pt>
                <c:pt idx="2">
                  <c:v>0.15829701196401622</c:v>
                </c:pt>
                <c:pt idx="3">
                  <c:v>1.0188223448435054</c:v>
                </c:pt>
                <c:pt idx="4">
                  <c:v>1.9663136893799875</c:v>
                </c:pt>
                <c:pt idx="5">
                  <c:v>3.8909301875846061</c:v>
                </c:pt>
                <c:pt idx="6">
                  <c:v>5.1946559148341693</c:v>
                </c:pt>
                <c:pt idx="7">
                  <c:v>3.249302049919677</c:v>
                </c:pt>
                <c:pt idx="8">
                  <c:v>2.6418232523460965</c:v>
                </c:pt>
                <c:pt idx="9">
                  <c:v>5.7220294751956517</c:v>
                </c:pt>
              </c:numCache>
            </c:numRef>
          </c:val>
          <c:smooth val="0"/>
          <c:extLst>
            <c:ext xmlns:c16="http://schemas.microsoft.com/office/drawing/2014/chart" uri="{C3380CC4-5D6E-409C-BE32-E72D297353CC}">
              <c16:uniqueId val="{00000000-3C57-4B62-81AE-B6F130B1C79A}"/>
            </c:ext>
          </c:extLst>
        </c:ser>
        <c:ser>
          <c:idx val="1"/>
          <c:order val="1"/>
          <c:tx>
            <c:strRef>
              <c:f>'Netherlands logist Take-up'!$U$81</c:f>
              <c:strCache>
                <c:ptCount val="1"/>
                <c:pt idx="0">
                  <c:v>predicted raw</c:v>
                </c:pt>
              </c:strCache>
            </c:strRef>
          </c:tx>
          <c:spPr>
            <a:ln w="28575" cap="rnd">
              <a:solidFill>
                <a:schemeClr val="accent2"/>
              </a:solidFill>
              <a:round/>
            </a:ln>
            <a:effectLst/>
          </c:spPr>
          <c:marker>
            <c:symbol val="none"/>
          </c:marker>
          <c:cat>
            <c:numRef>
              <c:f>'Netherlands logist Take-up'!$A$82:$A$91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'Netherlands logist Take-up'!$U$82:$U$91</c:f>
              <c:numCache>
                <c:formatCode>0.00</c:formatCode>
                <c:ptCount val="10"/>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numCache>
            </c:numRef>
          </c:val>
          <c:smooth val="0"/>
          <c:extLst>
            <c:ext xmlns:c16="http://schemas.microsoft.com/office/drawing/2014/chart" uri="{C3380CC4-5D6E-409C-BE32-E72D297353CC}">
              <c16:uniqueId val="{00000001-3C57-4B62-81AE-B6F130B1C79A}"/>
            </c:ext>
          </c:extLst>
        </c:ser>
        <c:dLbls>
          <c:showLegendKey val="0"/>
          <c:showVal val="0"/>
          <c:showCatName val="0"/>
          <c:showSerName val="0"/>
          <c:showPercent val="0"/>
          <c:showBubbleSize val="0"/>
        </c:dLbls>
        <c:smooth val="0"/>
        <c:axId val="717856488"/>
        <c:axId val="717857800"/>
      </c:lineChart>
      <c:catAx>
        <c:axId val="71785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857800"/>
        <c:crosses val="autoZero"/>
        <c:auto val="1"/>
        <c:lblAlgn val="ctr"/>
        <c:lblOffset val="100"/>
        <c:noMultiLvlLbl val="0"/>
      </c:catAx>
      <c:valAx>
        <c:axId val="717857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5396825396825397E-2"/>
              <c:y val="0.303417906095071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85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Take-up'!$C$81</c:f>
              <c:strCache>
                <c:ptCount val="1"/>
                <c:pt idx="0">
                  <c:v>EV% sales no peaks</c:v>
                </c:pt>
              </c:strCache>
            </c:strRef>
          </c:tx>
          <c:spPr>
            <a:ln w="34925" cap="rnd">
              <a:solidFill>
                <a:schemeClr val="tx1"/>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Take-up'!$C$82:$C$123</c:f>
              <c:numCache>
                <c:formatCode>0.00</c:formatCode>
                <c:ptCount val="42"/>
                <c:pt idx="0">
                  <c:v>7.7463534041350025E-3</c:v>
                </c:pt>
                <c:pt idx="1">
                  <c:v>2.4841583154094411E-2</c:v>
                </c:pt>
                <c:pt idx="2">
                  <c:v>0.15829701196401622</c:v>
                </c:pt>
                <c:pt idx="3">
                  <c:v>1.0188223448435054</c:v>
                </c:pt>
                <c:pt idx="4">
                  <c:v>1.9663136893799875</c:v>
                </c:pt>
                <c:pt idx="5">
                  <c:v>3.8909301875846061</c:v>
                </c:pt>
                <c:pt idx="6">
                  <c:v>5.1946559148341693</c:v>
                </c:pt>
                <c:pt idx="7">
                  <c:v>3.249302049919677</c:v>
                </c:pt>
                <c:pt idx="8">
                  <c:v>2.6418232523460965</c:v>
                </c:pt>
                <c:pt idx="9">
                  <c:v>5.7220294751956517</c:v>
                </c:pt>
              </c:numCache>
            </c:numRef>
          </c:val>
          <c:smooth val="0"/>
          <c:extLst>
            <c:ext xmlns:c16="http://schemas.microsoft.com/office/drawing/2014/chart" uri="{C3380CC4-5D6E-409C-BE32-E72D297353CC}">
              <c16:uniqueId val="{00000000-9B60-425C-B124-1FF26A59B248}"/>
            </c:ext>
          </c:extLst>
        </c:ser>
        <c:ser>
          <c:idx val="2"/>
          <c:order val="1"/>
          <c:tx>
            <c:strRef>
              <c:f>'Netherlands logist Take-up'!$E$81</c:f>
              <c:strCache>
                <c:ptCount val="1"/>
                <c:pt idx="0">
                  <c:v>predicted raw</c:v>
                </c:pt>
              </c:strCache>
            </c:strRef>
          </c:tx>
          <c:spPr>
            <a:ln w="28575" cap="rnd">
              <a:solidFill>
                <a:schemeClr val="accent3"/>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Take-up'!$E$82:$E$123</c:f>
              <c:numCache>
                <c:formatCode>0.00</c:formatCode>
                <c:ptCount val="42"/>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pt idx="10">
                  <c:v>33.139809185381857</c:v>
                </c:pt>
                <c:pt idx="11">
                  <c:v>42.484730160291178</c:v>
                </c:pt>
                <c:pt idx="12">
                  <c:v>50.304167818683801</c:v>
                </c:pt>
                <c:pt idx="13">
                  <c:v>55.984247460872368</c:v>
                </c:pt>
                <c:pt idx="14">
                  <c:v>59.700218311068888</c:v>
                </c:pt>
                <c:pt idx="15">
                  <c:v>61.96755891259167</c:v>
                </c:pt>
                <c:pt idx="16">
                  <c:v>63.292632284816008</c:v>
                </c:pt>
                <c:pt idx="17">
                  <c:v>64.047592860998989</c:v>
                </c:pt>
                <c:pt idx="18">
                  <c:v>64.471513837004551</c:v>
                </c:pt>
                <c:pt idx="19">
                  <c:v>64.707606970513154</c:v>
                </c:pt>
                <c:pt idx="20">
                  <c:v>64.838493311169827</c:v>
                </c:pt>
                <c:pt idx="21">
                  <c:v>64.910870605500591</c:v>
                </c:pt>
                <c:pt idx="22">
                  <c:v>64.950837472731223</c:v>
                </c:pt>
                <c:pt idx="23">
                  <c:v>64.97289012259948</c:v>
                </c:pt>
                <c:pt idx="24">
                  <c:v>64.985052974742146</c:v>
                </c:pt>
                <c:pt idx="25">
                  <c:v>64.991759652818033</c:v>
                </c:pt>
                <c:pt idx="26">
                  <c:v>64.995457278203901</c:v>
                </c:pt>
                <c:pt idx="27">
                  <c:v>64.997495761520739</c:v>
                </c:pt>
                <c:pt idx="28">
                  <c:v>64.998619523188253</c:v>
                </c:pt>
                <c:pt idx="29">
                  <c:v>64.999239009599833</c:v>
                </c:pt>
                <c:pt idx="30">
                  <c:v>64.99958050442612</c:v>
                </c:pt>
                <c:pt idx="31">
                  <c:v>64.999768753821897</c:v>
                </c:pt>
                <c:pt idx="32">
                  <c:v>64.999872526127291</c:v>
                </c:pt>
                <c:pt idx="33">
                  <c:v>64.999929730399373</c:v>
                </c:pt>
                <c:pt idx="34">
                  <c:v>64.999961264102851</c:v>
                </c:pt>
                <c:pt idx="35">
                  <c:v>64.999978646962731</c:v>
                </c:pt>
                <c:pt idx="36">
                  <c:v>64.999988229209094</c:v>
                </c:pt>
                <c:pt idx="37">
                  <c:v>64.999993511391025</c:v>
                </c:pt>
                <c:pt idx="38">
                  <c:v>64.999996423176214</c:v>
                </c:pt>
                <c:pt idx="39">
                  <c:v>64.999998028288005</c:v>
                </c:pt>
                <c:pt idx="40">
                  <c:v>64.999998913100441</c:v>
                </c:pt>
                <c:pt idx="41">
                  <c:v>64.999999400850314</c:v>
                </c:pt>
              </c:numCache>
            </c:numRef>
          </c:val>
          <c:smooth val="0"/>
          <c:extLst>
            <c:ext xmlns:c16="http://schemas.microsoft.com/office/drawing/2014/chart" uri="{C3380CC4-5D6E-409C-BE32-E72D297353CC}">
              <c16:uniqueId val="{00000001-9B60-425C-B124-1FF26A59B248}"/>
            </c:ext>
          </c:extLst>
        </c:ser>
        <c:ser>
          <c:idx val="4"/>
          <c:order val="2"/>
          <c:tx>
            <c:strRef>
              <c:f>'Netherlands logist Take-up'!$O$81</c:f>
              <c:strCache>
                <c:ptCount val="1"/>
                <c:pt idx="0">
                  <c:v>Predicted Cost</c:v>
                </c:pt>
              </c:strCache>
            </c:strRef>
          </c:tx>
          <c:spPr>
            <a:ln w="28575" cap="rnd">
              <a:solidFill>
                <a:schemeClr val="accent5"/>
              </a:solidFill>
              <a:round/>
            </a:ln>
            <a:effectLst/>
          </c:spPr>
          <c:marker>
            <c:symbol val="none"/>
          </c:marker>
          <c:val>
            <c:numRef>
              <c:f>'Netherlands logist Take-up'!$O$82:$O$123</c:f>
              <c:numCache>
                <c:formatCode>0.00</c:formatCode>
                <c:ptCount val="42"/>
                <c:pt idx="3" formatCode="0.000">
                  <c:v>1.8433023734304723</c:v>
                </c:pt>
                <c:pt idx="4" formatCode="0.000">
                  <c:v>1.8433023734304723</c:v>
                </c:pt>
                <c:pt idx="5" formatCode="0.000">
                  <c:v>3.2684255704696215</c:v>
                </c:pt>
                <c:pt idx="6" formatCode="0.000">
                  <c:v>5.6959919762793181</c:v>
                </c:pt>
                <c:pt idx="7" formatCode="0.000">
                  <c:v>3.2684255704696215</c:v>
                </c:pt>
                <c:pt idx="8" formatCode="0.000">
                  <c:v>1.8433023734304723</c:v>
                </c:pt>
                <c:pt idx="9" formatCode="0.000">
                  <c:v>5.6959919762793181</c:v>
                </c:pt>
                <c:pt idx="10" formatCode="0.000">
                  <c:v>5.6959919762793181</c:v>
                </c:pt>
                <c:pt idx="11" formatCode="0.000">
                  <c:v>10.31722912326169</c:v>
                </c:pt>
                <c:pt idx="12" formatCode="0.000">
                  <c:v>17.555867280665268</c:v>
                </c:pt>
                <c:pt idx="13" formatCode="0.000">
                  <c:v>25.795462054614472</c:v>
                </c:pt>
                <c:pt idx="14" formatCode="0.000">
                  <c:v>33.510351531012979</c:v>
                </c:pt>
                <c:pt idx="15" formatCode="0.000">
                  <c:v>40.985018952924911</c:v>
                </c:pt>
                <c:pt idx="16" formatCode="0.000">
                  <c:v>47.796708074427542</c:v>
                </c:pt>
                <c:pt idx="17" formatCode="0.000">
                  <c:v>53.622947215691134</c:v>
                </c:pt>
                <c:pt idx="18" formatCode="0.000">
                  <c:v>58.132632613567033</c:v>
                </c:pt>
                <c:pt idx="19" formatCode="0.000">
                  <c:v>61.326027349406843</c:v>
                </c:pt>
                <c:pt idx="20" formatCode="0.000">
                  <c:v>63.412699176094961</c:v>
                </c:pt>
                <c:pt idx="21" formatCode="0.000">
                  <c:v>64.162787627761006</c:v>
                </c:pt>
                <c:pt idx="22" formatCode="0.000">
                  <c:v>64.592120657762123</c:v>
                </c:pt>
                <c:pt idx="23" formatCode="0.000">
                  <c:v>64.833895042037284</c:v>
                </c:pt>
                <c:pt idx="24" formatCode="0.000">
                  <c:v>64.908215872867771</c:v>
                </c:pt>
                <c:pt idx="25" formatCode="0.000">
                  <c:v>64.949337345395023</c:v>
                </c:pt>
                <c:pt idx="26" formatCode="0.000">
                  <c:v>64.972051981159439</c:v>
                </c:pt>
                <c:pt idx="27" formatCode="0.000">
                  <c:v>64.984587540829111</c:v>
                </c:pt>
                <c:pt idx="28" formatCode="0.000">
                  <c:v>64.991502046096045</c:v>
                </c:pt>
                <c:pt idx="29" formatCode="0.000">
                  <c:v>64.995314957785581</c:v>
                </c:pt>
                <c:pt idx="30" formatCode="0.000">
                  <c:v>64.997417211939833</c:v>
                </c:pt>
                <c:pt idx="31" formatCode="0.000">
                  <c:v>64.998576193841146</c:v>
                </c:pt>
                <c:pt idx="32" formatCode="0.000">
                  <c:v>64.99921511558334</c:v>
                </c:pt>
                <c:pt idx="33" formatCode="0.000">
                  <c:v>64.999567330237952</c:v>
                </c:pt>
                <c:pt idx="34" formatCode="0.000">
                  <c:v>64.999761490777161</c:v>
                </c:pt>
                <c:pt idx="35" formatCode="0.000">
                  <c:v>64.99986852214991</c:v>
                </c:pt>
                <c:pt idx="36" formatCode="0.000">
                  <c:v>64.999927523144905</c:v>
                </c:pt>
                <c:pt idx="37" formatCode="0.000">
                  <c:v>64.999960047338377</c:v>
                </c:pt>
                <c:pt idx="38" formatCode="0.000">
                  <c:v>64.999977976218474</c:v>
                </c:pt>
                <c:pt idx="39" formatCode="0.000">
                  <c:v>64.999987859461484</c:v>
                </c:pt>
                <c:pt idx="40" formatCode="0.000">
                  <c:v>64.999993307568261</c:v>
                </c:pt>
                <c:pt idx="41" formatCode="0.000">
                  <c:v>64.999996310819398</c:v>
                </c:pt>
              </c:numCache>
            </c:numRef>
          </c:val>
          <c:smooth val="0"/>
          <c:extLst>
            <c:ext xmlns:c16="http://schemas.microsoft.com/office/drawing/2014/chart" uri="{C3380CC4-5D6E-409C-BE32-E72D297353CC}">
              <c16:uniqueId val="{00000003-9B60-425C-B124-1FF26A59B248}"/>
            </c:ext>
          </c:extLst>
        </c:ser>
        <c:dLbls>
          <c:showLegendKey val="0"/>
          <c:showVal val="0"/>
          <c:showCatName val="0"/>
          <c:showSerName val="0"/>
          <c:showPercent val="0"/>
          <c:showBubbleSize val="0"/>
        </c:dLbls>
        <c:smooth val="0"/>
        <c:axId val="869162776"/>
        <c:axId val="869165400"/>
      </c:lineChart>
      <c:catAx>
        <c:axId val="86916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5400"/>
        <c:crosses val="autoZero"/>
        <c:auto val="1"/>
        <c:lblAlgn val="ctr"/>
        <c:lblOffset val="100"/>
        <c:noMultiLvlLbl val="0"/>
      </c:catAx>
      <c:valAx>
        <c:axId val="86916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666666666666668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2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%sales 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553149606299214E-2"/>
          <c:y val="8.0465798068416333E-2"/>
          <c:w val="0.88389129483814521"/>
          <c:h val="0.8220185573748201"/>
        </c:manualLayout>
      </c:layout>
      <c:lineChart>
        <c:grouping val="standard"/>
        <c:varyColors val="0"/>
        <c:ser>
          <c:idx val="0"/>
          <c:order val="0"/>
          <c:tx>
            <c:strRef>
              <c:f>'EV %sales'!$B$62</c:f>
              <c:strCache>
                <c:ptCount val="1"/>
                <c:pt idx="0">
                  <c:v>Australia</c:v>
                </c:pt>
              </c:strCache>
            </c:strRef>
          </c:tx>
          <c:spPr>
            <a:ln w="28575" cap="rnd">
              <a:solidFill>
                <a:schemeClr val="accent1"/>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%sales'!$B$67:$B$75</c:f>
              <c:numCache>
                <c:formatCode>0.00</c:formatCode>
                <c:ptCount val="9"/>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numCache>
            </c:numRef>
          </c:val>
          <c:smooth val="0"/>
          <c:extLst>
            <c:ext xmlns:c16="http://schemas.microsoft.com/office/drawing/2014/chart" uri="{C3380CC4-5D6E-409C-BE32-E72D297353CC}">
              <c16:uniqueId val="{00000000-17E7-4852-981E-9125D0F442C3}"/>
            </c:ext>
          </c:extLst>
        </c:ser>
        <c:ser>
          <c:idx val="1"/>
          <c:order val="1"/>
          <c:tx>
            <c:strRef>
              <c:f>'EV %sales'!$C$62</c:f>
              <c:strCache>
                <c:ptCount val="1"/>
                <c:pt idx="0">
                  <c:v>Austria</c:v>
                </c:pt>
              </c:strCache>
            </c:strRef>
          </c:tx>
          <c:spPr>
            <a:ln w="28575" cap="rnd">
              <a:solidFill>
                <a:srgbClr val="FF0000"/>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%sales'!$C$67:$C$75</c:f>
              <c:numCache>
                <c:formatCode>0.00</c:formatCode>
                <c:ptCount val="9"/>
                <c:pt idx="0">
                  <c:v>1.2530229177891664E-2</c:v>
                </c:pt>
                <c:pt idx="1">
                  <c:v>3.4144988155957234E-2</c:v>
                </c:pt>
                <c:pt idx="2">
                  <c:v>0.17717552450694102</c:v>
                </c:pt>
                <c:pt idx="3">
                  <c:v>0.20654147198000058</c:v>
                </c:pt>
                <c:pt idx="4">
                  <c:v>0.26266710548999328</c:v>
                </c:pt>
                <c:pt idx="5">
                  <c:v>0.56211632675937462</c:v>
                </c:pt>
                <c:pt idx="6">
                  <c:v>0.90032571178558107</c:v>
                </c:pt>
                <c:pt idx="7">
                  <c:v>1.5360857271149624</c:v>
                </c:pt>
                <c:pt idx="8">
                  <c:v>2.0212750928842866</c:v>
                </c:pt>
              </c:numCache>
            </c:numRef>
          </c:val>
          <c:smooth val="0"/>
          <c:extLst>
            <c:ext xmlns:c16="http://schemas.microsoft.com/office/drawing/2014/chart" uri="{C3380CC4-5D6E-409C-BE32-E72D297353CC}">
              <c16:uniqueId val="{00000001-17E7-4852-981E-9125D0F442C3}"/>
            </c:ext>
          </c:extLst>
        </c:ser>
        <c:ser>
          <c:idx val="2"/>
          <c:order val="2"/>
          <c:tx>
            <c:strRef>
              <c:f>'EV %sales'!$D$62</c:f>
              <c:strCache>
                <c:ptCount val="1"/>
                <c:pt idx="0">
                  <c:v>Belgium</c:v>
                </c:pt>
              </c:strCache>
            </c:strRef>
          </c:tx>
          <c:spPr>
            <a:ln w="28575" cap="rnd">
              <a:solidFill>
                <a:schemeClr val="accent3"/>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%sales'!$D$67:$D$75</c:f>
              <c:numCache>
                <c:formatCode>0.00</c:formatCode>
                <c:ptCount val="9"/>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numCache>
            </c:numRef>
          </c:val>
          <c:smooth val="0"/>
          <c:extLst>
            <c:ext xmlns:c16="http://schemas.microsoft.com/office/drawing/2014/chart" uri="{C3380CC4-5D6E-409C-BE32-E72D297353CC}">
              <c16:uniqueId val="{00000002-17E7-4852-981E-9125D0F442C3}"/>
            </c:ext>
          </c:extLst>
        </c:ser>
        <c:ser>
          <c:idx val="3"/>
          <c:order val="3"/>
          <c:tx>
            <c:strRef>
              <c:f>'EV %sales'!$E$62</c:f>
              <c:strCache>
                <c:ptCount val="1"/>
                <c:pt idx="0">
                  <c:v>Canada</c:v>
                </c:pt>
              </c:strCache>
            </c:strRef>
          </c:tx>
          <c:spPr>
            <a:ln w="28575" cap="rnd">
              <a:solidFill>
                <a:schemeClr val="accent4"/>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%sales'!$E$67:$E$75</c:f>
              <c:numCache>
                <c:formatCode>0.00</c:formatCode>
                <c:ptCount val="9"/>
                <c:pt idx="0">
                  <c:v>0</c:v>
                </c:pt>
                <c:pt idx="1">
                  <c:v>0</c:v>
                </c:pt>
                <c:pt idx="2">
                  <c:v>7.5253256150506515E-2</c:v>
                </c:pt>
                <c:pt idx="3">
                  <c:v>0.27595628415300544</c:v>
                </c:pt>
                <c:pt idx="4">
                  <c:v>0.41106719367588934</c:v>
                </c:pt>
                <c:pt idx="5">
                  <c:v>0.62903225806451613</c:v>
                </c:pt>
                <c:pt idx="6">
                  <c:v>0.81369611450384693</c:v>
                </c:pt>
                <c:pt idx="7">
                  <c:v>1.302786412148317</c:v>
                </c:pt>
                <c:pt idx="8">
                  <c:v>2.1226462017393763</c:v>
                </c:pt>
              </c:numCache>
            </c:numRef>
          </c:val>
          <c:smooth val="0"/>
          <c:extLst>
            <c:ext xmlns:c16="http://schemas.microsoft.com/office/drawing/2014/chart" uri="{C3380CC4-5D6E-409C-BE32-E72D297353CC}">
              <c16:uniqueId val="{00000003-17E7-4852-981E-9125D0F442C3}"/>
            </c:ext>
          </c:extLst>
        </c:ser>
        <c:ser>
          <c:idx val="5"/>
          <c:order val="4"/>
          <c:tx>
            <c:strRef>
              <c:f>'EV %sales'!$G$62</c:f>
              <c:strCache>
                <c:ptCount val="1"/>
                <c:pt idx="0">
                  <c:v>Denmark</c:v>
                </c:pt>
              </c:strCache>
            </c:strRef>
          </c:tx>
          <c:spPr>
            <a:ln w="28575" cap="rnd">
              <a:solidFill>
                <a:schemeClr val="accent6"/>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%sales'!$G$67:$G$75</c:f>
              <c:numCache>
                <c:formatCode>0.00</c:formatCode>
                <c:ptCount val="9"/>
                <c:pt idx="0">
                  <c:v>0</c:v>
                </c:pt>
                <c:pt idx="1">
                  <c:v>0</c:v>
                </c:pt>
                <c:pt idx="2">
                  <c:v>0.24410615971013125</c:v>
                </c:pt>
                <c:pt idx="3">
                  <c:v>0.29511134012167489</c:v>
                </c:pt>
                <c:pt idx="4">
                  <c:v>0.28024493848954596</c:v>
                </c:pt>
                <c:pt idx="5">
                  <c:v>0.86371041106903335</c:v>
                </c:pt>
                <c:pt idx="6">
                  <c:v>2.3954983147611491</c:v>
                </c:pt>
                <c:pt idx="7">
                  <c:v>0.84430541986716978</c:v>
                </c:pt>
                <c:pt idx="8">
                  <c:v>0.5914758946523726</c:v>
                </c:pt>
              </c:numCache>
            </c:numRef>
          </c:val>
          <c:smooth val="0"/>
          <c:extLst>
            <c:ext xmlns:c16="http://schemas.microsoft.com/office/drawing/2014/chart" uri="{C3380CC4-5D6E-409C-BE32-E72D297353CC}">
              <c16:uniqueId val="{00000005-17E7-4852-981E-9125D0F442C3}"/>
            </c:ext>
          </c:extLst>
        </c:ser>
        <c:ser>
          <c:idx val="6"/>
          <c:order val="5"/>
          <c:tx>
            <c:strRef>
              <c:f>'EV %sales'!$H$62</c:f>
              <c:strCache>
                <c:ptCount val="1"/>
                <c:pt idx="0">
                  <c:v>Finland</c:v>
                </c:pt>
              </c:strCache>
            </c:strRef>
          </c:tx>
          <c:spPr>
            <a:ln w="28575" cap="rnd">
              <a:solidFill>
                <a:schemeClr val="accent1">
                  <a:lumMod val="60000"/>
                </a:schemeClr>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%sales'!$H$67:$H$75</c:f>
              <c:numCache>
                <c:formatCode>0.00</c:formatCode>
                <c:ptCount val="9"/>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numCache>
            </c:numRef>
          </c:val>
          <c:smooth val="0"/>
          <c:extLst>
            <c:ext xmlns:c16="http://schemas.microsoft.com/office/drawing/2014/chart" uri="{C3380CC4-5D6E-409C-BE32-E72D297353CC}">
              <c16:uniqueId val="{00000006-17E7-4852-981E-9125D0F442C3}"/>
            </c:ext>
          </c:extLst>
        </c:ser>
        <c:ser>
          <c:idx val="7"/>
          <c:order val="6"/>
          <c:tx>
            <c:strRef>
              <c:f>'EV %sales'!$I$62</c:f>
              <c:strCache>
                <c:ptCount val="1"/>
                <c:pt idx="0">
                  <c:v>France</c:v>
                </c:pt>
              </c:strCache>
            </c:strRef>
          </c:tx>
          <c:spPr>
            <a:ln w="28575" cap="rnd">
              <a:solidFill>
                <a:schemeClr val="bg2">
                  <a:lumMod val="75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%sales'!$I$67:$I$75</c:f>
              <c:numCache>
                <c:formatCode>0.00</c:formatCode>
                <c:ptCount val="9"/>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numCache>
            </c:numRef>
          </c:val>
          <c:smooth val="0"/>
          <c:extLst>
            <c:ext xmlns:c16="http://schemas.microsoft.com/office/drawing/2014/chart" uri="{C3380CC4-5D6E-409C-BE32-E72D297353CC}">
              <c16:uniqueId val="{00000007-17E7-4852-981E-9125D0F442C3}"/>
            </c:ext>
          </c:extLst>
        </c:ser>
        <c:ser>
          <c:idx val="8"/>
          <c:order val="7"/>
          <c:tx>
            <c:strRef>
              <c:f>'EV %sales'!$J$62</c:f>
              <c:strCache>
                <c:ptCount val="1"/>
                <c:pt idx="0">
                  <c:v>Germany</c:v>
                </c:pt>
              </c:strCache>
            </c:strRef>
          </c:tx>
          <c:spPr>
            <a:ln w="28575" cap="rnd">
              <a:solidFill>
                <a:schemeClr val="accent3">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%sales'!$J$67:$J$75</c:f>
              <c:numCache>
                <c:formatCode>0.00</c:formatCode>
                <c:ptCount val="9"/>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numCache>
            </c:numRef>
          </c:val>
          <c:smooth val="0"/>
          <c:extLst>
            <c:ext xmlns:c16="http://schemas.microsoft.com/office/drawing/2014/chart" uri="{C3380CC4-5D6E-409C-BE32-E72D297353CC}">
              <c16:uniqueId val="{00000008-17E7-4852-981E-9125D0F442C3}"/>
            </c:ext>
          </c:extLst>
        </c:ser>
        <c:ser>
          <c:idx val="9"/>
          <c:order val="8"/>
          <c:tx>
            <c:strRef>
              <c:f>'EV %sales'!$K$62</c:f>
              <c:strCache>
                <c:ptCount val="1"/>
                <c:pt idx="0">
                  <c:v>India</c:v>
                </c:pt>
              </c:strCache>
            </c:strRef>
          </c:tx>
          <c:spPr>
            <a:ln w="28575" cap="rnd">
              <a:solidFill>
                <a:srgbClr val="FF0000"/>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%sales'!$K$67:$K$75</c:f>
              <c:numCache>
                <c:formatCode>0.00</c:formatCode>
                <c:ptCount val="9"/>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numCache>
            </c:numRef>
          </c:val>
          <c:smooth val="0"/>
          <c:extLst>
            <c:ext xmlns:c16="http://schemas.microsoft.com/office/drawing/2014/chart" uri="{C3380CC4-5D6E-409C-BE32-E72D297353CC}">
              <c16:uniqueId val="{00000009-17E7-4852-981E-9125D0F442C3}"/>
            </c:ext>
          </c:extLst>
        </c:ser>
        <c:ser>
          <c:idx val="10"/>
          <c:order val="9"/>
          <c:tx>
            <c:strRef>
              <c:f>'EV %sales'!$L$62</c:f>
              <c:strCache>
                <c:ptCount val="1"/>
                <c:pt idx="0">
                  <c:v>Ireland</c:v>
                </c:pt>
              </c:strCache>
            </c:strRef>
          </c:tx>
          <c:spPr>
            <a:ln w="28575" cap="rnd">
              <a:solidFill>
                <a:schemeClr val="accent5">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%sales'!$L$67:$L$75</c:f>
              <c:numCache>
                <c:formatCode>0.00</c:formatCode>
                <c:ptCount val="9"/>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numCache>
            </c:numRef>
          </c:val>
          <c:smooth val="0"/>
          <c:extLst>
            <c:ext xmlns:c16="http://schemas.microsoft.com/office/drawing/2014/chart" uri="{C3380CC4-5D6E-409C-BE32-E72D297353CC}">
              <c16:uniqueId val="{0000000A-17E7-4852-981E-9125D0F442C3}"/>
            </c:ext>
          </c:extLst>
        </c:ser>
        <c:ser>
          <c:idx val="11"/>
          <c:order val="10"/>
          <c:tx>
            <c:strRef>
              <c:f>'EV %sales'!$M$62</c:f>
              <c:strCache>
                <c:ptCount val="1"/>
                <c:pt idx="0">
                  <c:v>Italy</c:v>
                </c:pt>
              </c:strCache>
            </c:strRef>
          </c:tx>
          <c:spPr>
            <a:ln w="28575" cap="rnd">
              <a:solidFill>
                <a:schemeClr val="accent6">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%sales'!$M$67:$M$75</c:f>
              <c:numCache>
                <c:formatCode>0.00</c:formatCode>
                <c:ptCount val="9"/>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numCache>
            </c:numRef>
          </c:val>
          <c:smooth val="0"/>
          <c:extLst>
            <c:ext xmlns:c16="http://schemas.microsoft.com/office/drawing/2014/chart" uri="{C3380CC4-5D6E-409C-BE32-E72D297353CC}">
              <c16:uniqueId val="{0000000B-17E7-4852-981E-9125D0F442C3}"/>
            </c:ext>
          </c:extLst>
        </c:ser>
        <c:ser>
          <c:idx val="12"/>
          <c:order val="11"/>
          <c:tx>
            <c:strRef>
              <c:f>'EV %sales'!$N$62</c:f>
              <c:strCache>
                <c:ptCount val="1"/>
                <c:pt idx="0">
                  <c:v>Japan</c:v>
                </c:pt>
              </c:strCache>
            </c:strRef>
          </c:tx>
          <c:spPr>
            <a:ln w="28575" cap="rnd">
              <a:solidFill>
                <a:schemeClr val="accent1">
                  <a:lumMod val="80000"/>
                  <a:lumOff val="2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%sales'!$N$67:$N$75</c:f>
              <c:numCache>
                <c:formatCode>0.00</c:formatCode>
                <c:ptCount val="9"/>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numCache>
            </c:numRef>
          </c:val>
          <c:smooth val="0"/>
          <c:extLst>
            <c:ext xmlns:c16="http://schemas.microsoft.com/office/drawing/2014/chart" uri="{C3380CC4-5D6E-409C-BE32-E72D297353CC}">
              <c16:uniqueId val="{0000000C-17E7-4852-981E-9125D0F442C3}"/>
            </c:ext>
          </c:extLst>
        </c:ser>
        <c:ser>
          <c:idx val="13"/>
          <c:order val="12"/>
          <c:tx>
            <c:strRef>
              <c:f>'EV %sales'!$O$62</c:f>
              <c:strCache>
                <c:ptCount val="1"/>
                <c:pt idx="0">
                  <c:v>Korea</c:v>
                </c:pt>
              </c:strCache>
            </c:strRef>
          </c:tx>
          <c:spPr>
            <a:ln w="28575" cap="rnd">
              <a:solidFill>
                <a:schemeClr val="accent2">
                  <a:lumMod val="80000"/>
                  <a:lumOff val="20000"/>
                </a:schemeClr>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%sales'!$O$67:$O$75</c:f>
              <c:numCache>
                <c:formatCode>0.00</c:formatCode>
                <c:ptCount val="9"/>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numCache>
            </c:numRef>
          </c:val>
          <c:smooth val="0"/>
          <c:extLst>
            <c:ext xmlns:c16="http://schemas.microsoft.com/office/drawing/2014/chart" uri="{C3380CC4-5D6E-409C-BE32-E72D297353CC}">
              <c16:uniqueId val="{0000000D-17E7-4852-981E-9125D0F442C3}"/>
            </c:ext>
          </c:extLst>
        </c:ser>
        <c:ser>
          <c:idx val="15"/>
          <c:order val="13"/>
          <c:tx>
            <c:strRef>
              <c:f>'EV %sales'!$Q$62</c:f>
              <c:strCache>
                <c:ptCount val="1"/>
                <c:pt idx="0">
                  <c:v>NZ</c:v>
                </c:pt>
              </c:strCache>
            </c:strRef>
          </c:tx>
          <c:spPr>
            <a:ln w="28575" cap="rnd">
              <a:solidFill>
                <a:srgbClr val="92D050"/>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%sales'!$Q$67:$Q$75</c:f>
              <c:numCache>
                <c:formatCode>0.00</c:formatCode>
                <c:ptCount val="9"/>
                <c:pt idx="0">
                  <c:v>0</c:v>
                </c:pt>
                <c:pt idx="1">
                  <c:v>0</c:v>
                </c:pt>
                <c:pt idx="2">
                  <c:v>0</c:v>
                </c:pt>
                <c:pt idx="3">
                  <c:v>0</c:v>
                </c:pt>
                <c:pt idx="4">
                  <c:v>8.5561497326203211E-3</c:v>
                </c:pt>
                <c:pt idx="5">
                  <c:v>0.11238938053097347</c:v>
                </c:pt>
                <c:pt idx="6">
                  <c:v>0.11847389558232932</c:v>
                </c:pt>
                <c:pt idx="7">
                  <c:v>0.27782101167315176</c:v>
                </c:pt>
                <c:pt idx="8">
                  <c:v>0.40622710622710623</c:v>
                </c:pt>
              </c:numCache>
            </c:numRef>
          </c:val>
          <c:smooth val="0"/>
          <c:extLst>
            <c:ext xmlns:c16="http://schemas.microsoft.com/office/drawing/2014/chart" uri="{C3380CC4-5D6E-409C-BE32-E72D297353CC}">
              <c16:uniqueId val="{0000000F-17E7-4852-981E-9125D0F442C3}"/>
            </c:ext>
          </c:extLst>
        </c:ser>
        <c:ser>
          <c:idx val="17"/>
          <c:order val="14"/>
          <c:tx>
            <c:strRef>
              <c:f>'EV %sales'!$S$62</c:f>
              <c:strCache>
                <c:ptCount val="1"/>
                <c:pt idx="0">
                  <c:v>Spain</c:v>
                </c:pt>
              </c:strCache>
            </c:strRef>
          </c:tx>
          <c:spPr>
            <a:ln w="28575" cap="rnd">
              <a:solidFill>
                <a:schemeClr val="accent6">
                  <a:lumMod val="80000"/>
                  <a:lumOff val="20000"/>
                </a:schemeClr>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%sales'!$S$67:$S$75</c:f>
              <c:numCache>
                <c:formatCode>0.00</c:formatCode>
                <c:ptCount val="9"/>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numCache>
            </c:numRef>
          </c:val>
          <c:smooth val="0"/>
          <c:extLst>
            <c:ext xmlns:c16="http://schemas.microsoft.com/office/drawing/2014/chart" uri="{C3380CC4-5D6E-409C-BE32-E72D297353CC}">
              <c16:uniqueId val="{00000011-17E7-4852-981E-9125D0F442C3}"/>
            </c:ext>
          </c:extLst>
        </c:ser>
        <c:ser>
          <c:idx val="19"/>
          <c:order val="15"/>
          <c:tx>
            <c:strRef>
              <c:f>'EV %sales'!$U$62</c:f>
              <c:strCache>
                <c:ptCount val="1"/>
                <c:pt idx="0">
                  <c:v>Switzerland</c:v>
                </c:pt>
              </c:strCache>
            </c:strRef>
          </c:tx>
          <c:spPr>
            <a:ln w="28575" cap="rnd">
              <a:solidFill>
                <a:schemeClr val="accent2">
                  <a:lumMod val="80000"/>
                </a:schemeClr>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%sales'!$U$67:$U$75</c:f>
              <c:numCache>
                <c:formatCode>0.00</c:formatCode>
                <c:ptCount val="9"/>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numCache>
            </c:numRef>
          </c:val>
          <c:smooth val="0"/>
          <c:extLst>
            <c:ext xmlns:c16="http://schemas.microsoft.com/office/drawing/2014/chart" uri="{C3380CC4-5D6E-409C-BE32-E72D297353CC}">
              <c16:uniqueId val="{00000013-17E7-4852-981E-9125D0F442C3}"/>
            </c:ext>
          </c:extLst>
        </c:ser>
        <c:ser>
          <c:idx val="20"/>
          <c:order val="16"/>
          <c:tx>
            <c:strRef>
              <c:f>'EV %sales'!$V$62</c:f>
              <c:strCache>
                <c:ptCount val="1"/>
                <c:pt idx="0">
                  <c:v>UK</c:v>
                </c:pt>
              </c:strCache>
            </c:strRef>
          </c:tx>
          <c:spPr>
            <a:ln w="28575" cap="rnd">
              <a:solidFill>
                <a:schemeClr val="accent3">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%sales'!$V$67:$V$75</c:f>
              <c:numCache>
                <c:formatCode>0.00</c:formatCode>
                <c:ptCount val="9"/>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numCache>
            </c:numRef>
          </c:val>
          <c:smooth val="0"/>
          <c:extLst>
            <c:ext xmlns:c16="http://schemas.microsoft.com/office/drawing/2014/chart" uri="{C3380CC4-5D6E-409C-BE32-E72D297353CC}">
              <c16:uniqueId val="{00000014-17E7-4852-981E-9125D0F442C3}"/>
            </c:ext>
          </c:extLst>
        </c:ser>
        <c:ser>
          <c:idx val="21"/>
          <c:order val="17"/>
          <c:tx>
            <c:strRef>
              <c:f>'EV %sales'!$W$62</c:f>
              <c:strCache>
                <c:ptCount val="1"/>
                <c:pt idx="0">
                  <c:v>USA</c:v>
                </c:pt>
              </c:strCache>
            </c:strRef>
          </c:tx>
          <c:spPr>
            <a:ln w="28575" cap="rnd">
              <a:solidFill>
                <a:schemeClr val="accent4">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%sales'!$W$67:$W$75</c:f>
              <c:numCache>
                <c:formatCode>0.00</c:formatCode>
                <c:ptCount val="9"/>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numCache>
            </c:numRef>
          </c:val>
          <c:smooth val="0"/>
          <c:extLst>
            <c:ext xmlns:c16="http://schemas.microsoft.com/office/drawing/2014/chart" uri="{C3380CC4-5D6E-409C-BE32-E72D297353CC}">
              <c16:uniqueId val="{00000015-17E7-4852-981E-9125D0F442C3}"/>
            </c:ext>
          </c:extLst>
        </c:ser>
        <c:ser>
          <c:idx val="22"/>
          <c:order val="18"/>
          <c:tx>
            <c:strRef>
              <c:f>'EV %sales'!$X$62</c:f>
              <c:strCache>
                <c:ptCount val="1"/>
                <c:pt idx="0">
                  <c:v>rest Europe</c:v>
                </c:pt>
              </c:strCache>
            </c:strRef>
          </c:tx>
          <c:spPr>
            <a:ln w="28575" cap="rnd">
              <a:solidFill>
                <a:schemeClr val="accent5">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%sales'!$X$67:$X$75</c:f>
              <c:numCache>
                <c:formatCode>0.00</c:formatCode>
                <c:ptCount val="9"/>
                <c:pt idx="0">
                  <c:v>0</c:v>
                </c:pt>
                <c:pt idx="1">
                  <c:v>1.4700472362928204E-4</c:v>
                </c:pt>
                <c:pt idx="2">
                  <c:v>1.5641205443559392E-2</c:v>
                </c:pt>
                <c:pt idx="3">
                  <c:v>3.8608347201689146E-2</c:v>
                </c:pt>
                <c:pt idx="4">
                  <c:v>2.9968337191406656E-2</c:v>
                </c:pt>
                <c:pt idx="5">
                  <c:v>7.6596943297003478E-2</c:v>
                </c:pt>
                <c:pt idx="6">
                  <c:v>0.11503318836033208</c:v>
                </c:pt>
                <c:pt idx="7">
                  <c:v>0.13580340082546269</c:v>
                </c:pt>
                <c:pt idx="8">
                  <c:v>0.31729448102144603</c:v>
                </c:pt>
              </c:numCache>
            </c:numRef>
          </c:val>
          <c:smooth val="0"/>
          <c:extLst>
            <c:ext xmlns:c16="http://schemas.microsoft.com/office/drawing/2014/chart" uri="{C3380CC4-5D6E-409C-BE32-E72D297353CC}">
              <c16:uniqueId val="{00000016-17E7-4852-981E-9125D0F442C3}"/>
            </c:ext>
          </c:extLst>
        </c:ser>
        <c:ser>
          <c:idx val="23"/>
          <c:order val="19"/>
          <c:tx>
            <c:strRef>
              <c:f>'EV %sales'!$Y$62</c:f>
              <c:strCache>
                <c:ptCount val="1"/>
                <c:pt idx="0">
                  <c:v>Total</c:v>
                </c:pt>
              </c:strCache>
            </c:strRef>
          </c:tx>
          <c:spPr>
            <a:ln w="53975" cap="rnd">
              <a:solidFill>
                <a:schemeClr val="tx1"/>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%sales'!$Y$67:$Y$75</c:f>
              <c:numCache>
                <c:formatCode>0.00</c:formatCode>
                <c:ptCount val="9"/>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numCache>
            </c:numRef>
          </c:val>
          <c:smooth val="0"/>
          <c:extLst>
            <c:ext xmlns:c16="http://schemas.microsoft.com/office/drawing/2014/chart" uri="{C3380CC4-5D6E-409C-BE32-E72D297353CC}">
              <c16:uniqueId val="{00000017-17E7-4852-981E-9125D0F442C3}"/>
            </c:ext>
          </c:extLst>
        </c:ser>
        <c:dLbls>
          <c:showLegendKey val="0"/>
          <c:showVal val="0"/>
          <c:showCatName val="0"/>
          <c:showSerName val="0"/>
          <c:showPercent val="0"/>
          <c:showBubbleSize val="0"/>
        </c:dLbls>
        <c:smooth val="0"/>
        <c:axId val="767518408"/>
        <c:axId val="767519064"/>
      </c:lineChart>
      <c:catAx>
        <c:axId val="76751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9064"/>
        <c:crosses val="autoZero"/>
        <c:auto val="1"/>
        <c:lblAlgn val="ctr"/>
        <c:lblOffset val="100"/>
        <c:noMultiLvlLbl val="0"/>
      </c:catAx>
      <c:valAx>
        <c:axId val="767519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8408"/>
        <c:crosses val="autoZero"/>
        <c:crossBetween val="between"/>
      </c:valAx>
      <c:spPr>
        <a:noFill/>
        <a:ln>
          <a:noFill/>
        </a:ln>
        <a:effectLst/>
      </c:spPr>
    </c:plotArea>
    <c:legend>
      <c:legendPos val="b"/>
      <c:layout>
        <c:manualLayout>
          <c:xMode val="edge"/>
          <c:yMode val="edge"/>
          <c:x val="8.7998687664041994E-2"/>
          <c:y val="8.2853244636572884E-2"/>
          <c:w val="0.2702791000818846"/>
          <c:h val="0.45473565621724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Take-up'!$C$81</c:f>
              <c:strCache>
                <c:ptCount val="1"/>
                <c:pt idx="0">
                  <c:v>EV% sales no peaks</c:v>
                </c:pt>
              </c:strCache>
            </c:strRef>
          </c:tx>
          <c:spPr>
            <a:ln w="34925" cap="rnd">
              <a:solidFill>
                <a:schemeClr val="tx1"/>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Take-up'!$C$82:$C$123</c:f>
              <c:numCache>
                <c:formatCode>0.00</c:formatCode>
                <c:ptCount val="42"/>
                <c:pt idx="0">
                  <c:v>7.7463534041350025E-3</c:v>
                </c:pt>
                <c:pt idx="1">
                  <c:v>2.4841583154094411E-2</c:v>
                </c:pt>
                <c:pt idx="2">
                  <c:v>0.15829701196401622</c:v>
                </c:pt>
                <c:pt idx="3">
                  <c:v>1.0188223448435054</c:v>
                </c:pt>
                <c:pt idx="4">
                  <c:v>1.9663136893799875</c:v>
                </c:pt>
                <c:pt idx="5">
                  <c:v>3.8909301875846061</c:v>
                </c:pt>
                <c:pt idx="6">
                  <c:v>5.1946559148341693</c:v>
                </c:pt>
                <c:pt idx="7">
                  <c:v>3.249302049919677</c:v>
                </c:pt>
                <c:pt idx="8">
                  <c:v>2.6418232523460965</c:v>
                </c:pt>
                <c:pt idx="9">
                  <c:v>5.7220294751956517</c:v>
                </c:pt>
              </c:numCache>
            </c:numRef>
          </c:val>
          <c:smooth val="0"/>
          <c:extLst>
            <c:ext xmlns:c16="http://schemas.microsoft.com/office/drawing/2014/chart" uri="{C3380CC4-5D6E-409C-BE32-E72D297353CC}">
              <c16:uniqueId val="{00000000-3C00-4CE7-BC2F-E5D0FD0A6A87}"/>
            </c:ext>
          </c:extLst>
        </c:ser>
        <c:ser>
          <c:idx val="2"/>
          <c:order val="1"/>
          <c:tx>
            <c:strRef>
              <c:f>'Netherlands logist Take-up'!$E$81</c:f>
              <c:strCache>
                <c:ptCount val="1"/>
                <c:pt idx="0">
                  <c:v>predicted raw</c:v>
                </c:pt>
              </c:strCache>
            </c:strRef>
          </c:tx>
          <c:spPr>
            <a:ln w="28575" cap="rnd">
              <a:solidFill>
                <a:schemeClr val="accent3"/>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Take-up'!$E$82:$E$123</c:f>
              <c:numCache>
                <c:formatCode>0.00</c:formatCode>
                <c:ptCount val="42"/>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pt idx="10">
                  <c:v>33.139809185381857</c:v>
                </c:pt>
                <c:pt idx="11">
                  <c:v>42.484730160291178</c:v>
                </c:pt>
                <c:pt idx="12">
                  <c:v>50.304167818683801</c:v>
                </c:pt>
                <c:pt idx="13">
                  <c:v>55.984247460872368</c:v>
                </c:pt>
                <c:pt idx="14">
                  <c:v>59.700218311068888</c:v>
                </c:pt>
                <c:pt idx="15">
                  <c:v>61.96755891259167</c:v>
                </c:pt>
                <c:pt idx="16">
                  <c:v>63.292632284816008</c:v>
                </c:pt>
                <c:pt idx="17">
                  <c:v>64.047592860998989</c:v>
                </c:pt>
                <c:pt idx="18">
                  <c:v>64.471513837004551</c:v>
                </c:pt>
                <c:pt idx="19">
                  <c:v>64.707606970513154</c:v>
                </c:pt>
                <c:pt idx="20">
                  <c:v>64.838493311169827</c:v>
                </c:pt>
                <c:pt idx="21">
                  <c:v>64.910870605500591</c:v>
                </c:pt>
                <c:pt idx="22">
                  <c:v>64.950837472731223</c:v>
                </c:pt>
                <c:pt idx="23">
                  <c:v>64.97289012259948</c:v>
                </c:pt>
                <c:pt idx="24">
                  <c:v>64.985052974742146</c:v>
                </c:pt>
                <c:pt idx="25">
                  <c:v>64.991759652818033</c:v>
                </c:pt>
                <c:pt idx="26">
                  <c:v>64.995457278203901</c:v>
                </c:pt>
                <c:pt idx="27">
                  <c:v>64.997495761520739</c:v>
                </c:pt>
                <c:pt idx="28">
                  <c:v>64.998619523188253</c:v>
                </c:pt>
                <c:pt idx="29">
                  <c:v>64.999239009599833</c:v>
                </c:pt>
                <c:pt idx="30">
                  <c:v>64.99958050442612</c:v>
                </c:pt>
                <c:pt idx="31">
                  <c:v>64.999768753821897</c:v>
                </c:pt>
                <c:pt idx="32">
                  <c:v>64.999872526127291</c:v>
                </c:pt>
                <c:pt idx="33">
                  <c:v>64.999929730399373</c:v>
                </c:pt>
                <c:pt idx="34">
                  <c:v>64.999961264102851</c:v>
                </c:pt>
                <c:pt idx="35">
                  <c:v>64.999978646962731</c:v>
                </c:pt>
                <c:pt idx="36">
                  <c:v>64.999988229209094</c:v>
                </c:pt>
                <c:pt idx="37">
                  <c:v>64.999993511391025</c:v>
                </c:pt>
                <c:pt idx="38">
                  <c:v>64.999996423176214</c:v>
                </c:pt>
                <c:pt idx="39">
                  <c:v>64.999998028288005</c:v>
                </c:pt>
                <c:pt idx="40">
                  <c:v>64.999998913100441</c:v>
                </c:pt>
                <c:pt idx="41">
                  <c:v>64.999999400850314</c:v>
                </c:pt>
              </c:numCache>
            </c:numRef>
          </c:val>
          <c:smooth val="0"/>
          <c:extLst>
            <c:ext xmlns:c16="http://schemas.microsoft.com/office/drawing/2014/chart" uri="{C3380CC4-5D6E-409C-BE32-E72D297353CC}">
              <c16:uniqueId val="{00000001-3C00-4CE7-BC2F-E5D0FD0A6A87}"/>
            </c:ext>
          </c:extLst>
        </c:ser>
        <c:ser>
          <c:idx val="3"/>
          <c:order val="2"/>
          <c:tx>
            <c:strRef>
              <c:f>'Netherlands logist Take-up'!$F$81</c:f>
              <c:strCache>
                <c:ptCount val="1"/>
                <c:pt idx="0">
                  <c:v>Predicted Cost Lagged</c:v>
                </c:pt>
              </c:strCache>
            </c:strRef>
          </c:tx>
          <c:spPr>
            <a:ln w="28575" cap="rnd">
              <a:solidFill>
                <a:schemeClr val="accent4"/>
              </a:solidFill>
              <a:round/>
            </a:ln>
            <a:effectLst/>
          </c:spPr>
          <c:marker>
            <c:symbol val="none"/>
          </c:marker>
          <c:cat>
            <c:numRef>
              <c:f>'Netherlands logist Take-up'!$A$82:$A$123</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'Netherlands logist Take-up'!$F$82:$F$123</c:f>
              <c:numCache>
                <c:formatCode>0.00</c:formatCode>
                <c:ptCount val="42"/>
                <c:pt idx="3">
                  <c:v>1.8433023734304723</c:v>
                </c:pt>
                <c:pt idx="4">
                  <c:v>1.8433023734304723</c:v>
                </c:pt>
                <c:pt idx="5">
                  <c:v>3.2684255704696215</c:v>
                </c:pt>
                <c:pt idx="6">
                  <c:v>5.6959919762793181</c:v>
                </c:pt>
                <c:pt idx="7">
                  <c:v>3.2684255704696215</c:v>
                </c:pt>
                <c:pt idx="8">
                  <c:v>1.8433023734304723</c:v>
                </c:pt>
                <c:pt idx="9">
                  <c:v>5.6959919762793181</c:v>
                </c:pt>
                <c:pt idx="10">
                  <c:v>6.5472336108152431</c:v>
                </c:pt>
                <c:pt idx="11">
                  <c:v>9.0292647735608416</c:v>
                </c:pt>
                <c:pt idx="12">
                  <c:v>11.1603586919554</c:v>
                </c:pt>
                <c:pt idx="13">
                  <c:v>13.704534636337453</c:v>
                </c:pt>
                <c:pt idx="14">
                  <c:v>16.219124474894382</c:v>
                </c:pt>
                <c:pt idx="15">
                  <c:v>18.679487431988754</c:v>
                </c:pt>
                <c:pt idx="16">
                  <c:v>21.332290501130679</c:v>
                </c:pt>
                <c:pt idx="17">
                  <c:v>24.643019090423234</c:v>
                </c:pt>
                <c:pt idx="18">
                  <c:v>29.184931276318629</c:v>
                </c:pt>
                <c:pt idx="19">
                  <c:v>34.101265452622528</c:v>
                </c:pt>
                <c:pt idx="20">
                  <c:v>39.331777776119338</c:v>
                </c:pt>
                <c:pt idx="21">
                  <c:v>44.836250733647944</c:v>
                </c:pt>
                <c:pt idx="22">
                  <c:v>49.585825992214367</c:v>
                </c:pt>
                <c:pt idx="23">
                  <c:v>52.957902551228656</c:v>
                </c:pt>
                <c:pt idx="24">
                  <c:v>55.714327874223841</c:v>
                </c:pt>
                <c:pt idx="25">
                  <c:v>57.749861502004379</c:v>
                </c:pt>
                <c:pt idx="26">
                  <c:v>58.886786008172749</c:v>
                </c:pt>
                <c:pt idx="27">
                  <c:v>59.822444724934442</c:v>
                </c:pt>
                <c:pt idx="28">
                  <c:v>60.59112762866647</c:v>
                </c:pt>
                <c:pt idx="29">
                  <c:v>61.222530710150558</c:v>
                </c:pt>
                <c:pt idx="30">
                  <c:v>61.745723154645944</c:v>
                </c:pt>
                <c:pt idx="31">
                  <c:v>62.183992667932174</c:v>
                </c:pt>
                <c:pt idx="32">
                  <c:v>62.55579654266937</c:v>
                </c:pt>
                <c:pt idx="33">
                  <c:v>62.875657418676475</c:v>
                </c:pt>
                <c:pt idx="34">
                  <c:v>63.154948850957453</c:v>
                </c:pt>
                <c:pt idx="35">
                  <c:v>63.39849629512711</c:v>
                </c:pt>
                <c:pt idx="36">
                  <c:v>63.610631980017992</c:v>
                </c:pt>
                <c:pt idx="37">
                  <c:v>63.795223972469785</c:v>
                </c:pt>
                <c:pt idx="38">
                  <c:v>63.955710027757462</c:v>
                </c:pt>
                <c:pt idx="39">
                  <c:v>64.095133579870136</c:v>
                </c:pt>
                <c:pt idx="40">
                  <c:v>64.216180056054924</c:v>
                </c:pt>
                <c:pt idx="41">
                  <c:v>64.321212286515063</c:v>
                </c:pt>
              </c:numCache>
            </c:numRef>
          </c:val>
          <c:smooth val="0"/>
          <c:extLst>
            <c:ext xmlns:c16="http://schemas.microsoft.com/office/drawing/2014/chart" uri="{C3380CC4-5D6E-409C-BE32-E72D297353CC}">
              <c16:uniqueId val="{00000002-3C00-4CE7-BC2F-E5D0FD0A6A87}"/>
            </c:ext>
          </c:extLst>
        </c:ser>
        <c:ser>
          <c:idx val="4"/>
          <c:order val="3"/>
          <c:tx>
            <c:strRef>
              <c:f>'Netherlands logist Take-up'!$O$81</c:f>
              <c:strCache>
                <c:ptCount val="1"/>
                <c:pt idx="0">
                  <c:v>Predicted Cost</c:v>
                </c:pt>
              </c:strCache>
            </c:strRef>
          </c:tx>
          <c:spPr>
            <a:ln w="28575" cap="rnd">
              <a:solidFill>
                <a:schemeClr val="accent5"/>
              </a:solidFill>
              <a:round/>
            </a:ln>
            <a:effectLst/>
          </c:spPr>
          <c:marker>
            <c:symbol val="none"/>
          </c:marker>
          <c:val>
            <c:numRef>
              <c:f>'Netherlands logist Take-up'!$O$82:$O$123</c:f>
              <c:numCache>
                <c:formatCode>0.00</c:formatCode>
                <c:ptCount val="42"/>
                <c:pt idx="3" formatCode="0.000">
                  <c:v>1.8433023734304723</c:v>
                </c:pt>
                <c:pt idx="4" formatCode="0.000">
                  <c:v>1.8433023734304723</c:v>
                </c:pt>
                <c:pt idx="5" formatCode="0.000">
                  <c:v>3.2684255704696215</c:v>
                </c:pt>
                <c:pt idx="6" formatCode="0.000">
                  <c:v>5.6959919762793181</c:v>
                </c:pt>
                <c:pt idx="7" formatCode="0.000">
                  <c:v>3.2684255704696215</c:v>
                </c:pt>
                <c:pt idx="8" formatCode="0.000">
                  <c:v>1.8433023734304723</c:v>
                </c:pt>
                <c:pt idx="9" formatCode="0.000">
                  <c:v>5.6959919762793181</c:v>
                </c:pt>
                <c:pt idx="10" formatCode="0.000">
                  <c:v>5.6959919762793181</c:v>
                </c:pt>
                <c:pt idx="11" formatCode="0.000">
                  <c:v>10.31722912326169</c:v>
                </c:pt>
                <c:pt idx="12" formatCode="0.000">
                  <c:v>17.555867280665268</c:v>
                </c:pt>
                <c:pt idx="13" formatCode="0.000">
                  <c:v>25.795462054614472</c:v>
                </c:pt>
                <c:pt idx="14" formatCode="0.000">
                  <c:v>33.510351531012979</c:v>
                </c:pt>
                <c:pt idx="15" formatCode="0.000">
                  <c:v>40.985018952924911</c:v>
                </c:pt>
                <c:pt idx="16" formatCode="0.000">
                  <c:v>47.796708074427542</c:v>
                </c:pt>
                <c:pt idx="17" formatCode="0.000">
                  <c:v>53.622947215691134</c:v>
                </c:pt>
                <c:pt idx="18" formatCode="0.000">
                  <c:v>58.132632613567033</c:v>
                </c:pt>
                <c:pt idx="19" formatCode="0.000">
                  <c:v>61.326027349406843</c:v>
                </c:pt>
                <c:pt idx="20" formatCode="0.000">
                  <c:v>63.412699176094961</c:v>
                </c:pt>
                <c:pt idx="21" formatCode="0.000">
                  <c:v>64.162787627761006</c:v>
                </c:pt>
                <c:pt idx="22" formatCode="0.000">
                  <c:v>64.592120657762123</c:v>
                </c:pt>
                <c:pt idx="23" formatCode="0.000">
                  <c:v>64.833895042037284</c:v>
                </c:pt>
                <c:pt idx="24" formatCode="0.000">
                  <c:v>64.908215872867771</c:v>
                </c:pt>
                <c:pt idx="25" formatCode="0.000">
                  <c:v>64.949337345395023</c:v>
                </c:pt>
                <c:pt idx="26" formatCode="0.000">
                  <c:v>64.972051981159439</c:v>
                </c:pt>
                <c:pt idx="27" formatCode="0.000">
                  <c:v>64.984587540829111</c:v>
                </c:pt>
                <c:pt idx="28" formatCode="0.000">
                  <c:v>64.991502046096045</c:v>
                </c:pt>
                <c:pt idx="29" formatCode="0.000">
                  <c:v>64.995314957785581</c:v>
                </c:pt>
                <c:pt idx="30" formatCode="0.000">
                  <c:v>64.997417211939833</c:v>
                </c:pt>
                <c:pt idx="31" formatCode="0.000">
                  <c:v>64.998576193841146</c:v>
                </c:pt>
                <c:pt idx="32" formatCode="0.000">
                  <c:v>64.99921511558334</c:v>
                </c:pt>
                <c:pt idx="33" formatCode="0.000">
                  <c:v>64.999567330237952</c:v>
                </c:pt>
                <c:pt idx="34" formatCode="0.000">
                  <c:v>64.999761490777161</c:v>
                </c:pt>
                <c:pt idx="35" formatCode="0.000">
                  <c:v>64.99986852214991</c:v>
                </c:pt>
                <c:pt idx="36" formatCode="0.000">
                  <c:v>64.999927523144905</c:v>
                </c:pt>
                <c:pt idx="37" formatCode="0.000">
                  <c:v>64.999960047338377</c:v>
                </c:pt>
                <c:pt idx="38" formatCode="0.000">
                  <c:v>64.999977976218474</c:v>
                </c:pt>
                <c:pt idx="39" formatCode="0.000">
                  <c:v>64.999987859461484</c:v>
                </c:pt>
                <c:pt idx="40" formatCode="0.000">
                  <c:v>64.999993307568261</c:v>
                </c:pt>
                <c:pt idx="41" formatCode="0.000">
                  <c:v>64.999996310819398</c:v>
                </c:pt>
              </c:numCache>
            </c:numRef>
          </c:val>
          <c:smooth val="0"/>
          <c:extLst>
            <c:ext xmlns:c16="http://schemas.microsoft.com/office/drawing/2014/chart" uri="{C3380CC4-5D6E-409C-BE32-E72D297353CC}">
              <c16:uniqueId val="{00000003-3C00-4CE7-BC2F-E5D0FD0A6A87}"/>
            </c:ext>
          </c:extLst>
        </c:ser>
        <c:dLbls>
          <c:showLegendKey val="0"/>
          <c:showVal val="0"/>
          <c:showCatName val="0"/>
          <c:showSerName val="0"/>
          <c:showPercent val="0"/>
          <c:showBubbleSize val="0"/>
        </c:dLbls>
        <c:smooth val="0"/>
        <c:axId val="869162776"/>
        <c:axId val="869165400"/>
      </c:lineChart>
      <c:catAx>
        <c:axId val="86916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5400"/>
        <c:crosses val="autoZero"/>
        <c:auto val="1"/>
        <c:lblAlgn val="ctr"/>
        <c:lblOffset val="100"/>
        <c:noMultiLvlLbl val="0"/>
      </c:catAx>
      <c:valAx>
        <c:axId val="86916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8666666666666668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162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Take-up'!$X$81</c:f>
              <c:strCache>
                <c:ptCount val="1"/>
                <c:pt idx="0">
                  <c:v>High</c:v>
                </c:pt>
              </c:strCache>
            </c:strRef>
          </c:tx>
          <c:spPr>
            <a:ln w="28575" cap="rnd">
              <a:solidFill>
                <a:schemeClr val="accent1"/>
              </a:solidFill>
              <a:round/>
            </a:ln>
            <a:effectLst/>
          </c:spPr>
          <c:marker>
            <c:symbol val="none"/>
          </c:marker>
          <c:cat>
            <c:numRef>
              <c:f>'Netherlands logist Take-up'!$W$82:$W$103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Take-up'!$X$82:$X$103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6.8244264419380185</c:v>
                </c:pt>
                <c:pt idx="11" formatCode="0.00">
                  <c:v>9.7913488281928576</c:v>
                </c:pt>
                <c:pt idx="12" formatCode="0.00">
                  <c:v>12.442047102615827</c:v>
                </c:pt>
                <c:pt idx="13" formatCode="0.00">
                  <c:v>15.639891158188888</c:v>
                </c:pt>
                <c:pt idx="14" formatCode="0.00">
                  <c:v>19.054627625972266</c:v>
                </c:pt>
                <c:pt idx="15" formatCode="0.00">
                  <c:v>22.621428967820474</c:v>
                </c:pt>
                <c:pt idx="16" formatCode="0.00">
                  <c:v>26.1760711245797</c:v>
                </c:pt>
                <c:pt idx="17" formatCode="0.00">
                  <c:v>30.175394818863946</c:v>
                </c:pt>
                <c:pt idx="18" formatCode="0.00">
                  <c:v>34.684167424968393</c:v>
                </c:pt>
                <c:pt idx="19" formatCode="0.00">
                  <c:v>39.802584338211844</c:v>
                </c:pt>
                <c:pt idx="20" formatCode="0.00">
                  <c:v>44.308912479554863</c:v>
                </c:pt>
                <c:pt idx="21" formatCode="0.00">
                  <c:v>48.426655125956941</c:v>
                </c:pt>
              </c:numCache>
            </c:numRef>
          </c:val>
          <c:smooth val="0"/>
          <c:extLst>
            <c:ext xmlns:c16="http://schemas.microsoft.com/office/drawing/2014/chart" uri="{C3380CC4-5D6E-409C-BE32-E72D297353CC}">
              <c16:uniqueId val="{00000000-6139-448D-9603-B6F8C5209892}"/>
            </c:ext>
          </c:extLst>
        </c:ser>
        <c:ser>
          <c:idx val="1"/>
          <c:order val="1"/>
          <c:tx>
            <c:strRef>
              <c:f>'Netherlands logist Take-up'!$Y$81</c:f>
              <c:strCache>
                <c:ptCount val="1"/>
                <c:pt idx="0">
                  <c:v>Medium</c:v>
                </c:pt>
              </c:strCache>
            </c:strRef>
          </c:tx>
          <c:spPr>
            <a:ln w="28575" cap="rnd">
              <a:solidFill>
                <a:schemeClr val="accent2"/>
              </a:solidFill>
              <a:round/>
            </a:ln>
            <a:effectLst/>
          </c:spPr>
          <c:marker>
            <c:symbol val="none"/>
          </c:marker>
          <c:cat>
            <c:numRef>
              <c:f>'Netherlands logist Take-up'!$W$82:$W$103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Take-up'!$Y$82:$Y$103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6.5472336108152431</c:v>
                </c:pt>
                <c:pt idx="11" formatCode="0.00">
                  <c:v>9.0292647735608416</c:v>
                </c:pt>
                <c:pt idx="12" formatCode="0.00">
                  <c:v>11.1603586919554</c:v>
                </c:pt>
                <c:pt idx="13" formatCode="0.00">
                  <c:v>13.704534636337453</c:v>
                </c:pt>
                <c:pt idx="14" formatCode="0.00">
                  <c:v>16.219124474894382</c:v>
                </c:pt>
                <c:pt idx="15" formatCode="0.00">
                  <c:v>18.679487431988754</c:v>
                </c:pt>
                <c:pt idx="16" formatCode="0.00">
                  <c:v>21.332290501130679</c:v>
                </c:pt>
                <c:pt idx="17" formatCode="0.00">
                  <c:v>24.643019090423234</c:v>
                </c:pt>
                <c:pt idx="18" formatCode="0.00">
                  <c:v>29.184931276318629</c:v>
                </c:pt>
                <c:pt idx="19" formatCode="0.00">
                  <c:v>34.101265452622528</c:v>
                </c:pt>
                <c:pt idx="20" formatCode="0.00">
                  <c:v>39.331777776119338</c:v>
                </c:pt>
                <c:pt idx="21" formatCode="0.00">
                  <c:v>44.836250733647944</c:v>
                </c:pt>
              </c:numCache>
            </c:numRef>
          </c:val>
          <c:smooth val="0"/>
          <c:extLst>
            <c:ext xmlns:c16="http://schemas.microsoft.com/office/drawing/2014/chart" uri="{C3380CC4-5D6E-409C-BE32-E72D297353CC}">
              <c16:uniqueId val="{00000001-6139-448D-9603-B6F8C5209892}"/>
            </c:ext>
          </c:extLst>
        </c:ser>
        <c:ser>
          <c:idx val="2"/>
          <c:order val="2"/>
          <c:tx>
            <c:strRef>
              <c:f>'Netherlands logist Take-up'!$Z$81</c:f>
              <c:strCache>
                <c:ptCount val="1"/>
                <c:pt idx="0">
                  <c:v>Low</c:v>
                </c:pt>
              </c:strCache>
            </c:strRef>
          </c:tx>
          <c:spPr>
            <a:ln w="28575" cap="rnd">
              <a:solidFill>
                <a:schemeClr val="accent3"/>
              </a:solidFill>
              <a:round/>
            </a:ln>
            <a:effectLst/>
          </c:spPr>
          <c:marker>
            <c:symbol val="none"/>
          </c:marker>
          <c:cat>
            <c:numRef>
              <c:f>'Netherlands logist Take-up'!$W$82:$W$103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Take-up'!$Z$82:$Z$103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6.5472336108152431</c:v>
                </c:pt>
                <c:pt idx="11" formatCode="0.00">
                  <c:v>9.0292647735608416</c:v>
                </c:pt>
                <c:pt idx="12" formatCode="0.00">
                  <c:v>11.1603586919554</c:v>
                </c:pt>
                <c:pt idx="13" formatCode="0.00">
                  <c:v>13.704534636337453</c:v>
                </c:pt>
                <c:pt idx="14" formatCode="0.00">
                  <c:v>16.219124474894382</c:v>
                </c:pt>
                <c:pt idx="15" formatCode="0.00">
                  <c:v>18.660127982948008</c:v>
                </c:pt>
                <c:pt idx="16" formatCode="0.00">
                  <c:v>21.281782941235495</c:v>
                </c:pt>
                <c:pt idx="17" formatCode="0.00">
                  <c:v>24.536169781627734</c:v>
                </c:pt>
                <c:pt idx="18" formatCode="0.00">
                  <c:v>28.961499005577537</c:v>
                </c:pt>
                <c:pt idx="19" formatCode="0.00">
                  <c:v>33.680819189646456</c:v>
                </c:pt>
                <c:pt idx="20" formatCode="0.00">
                  <c:v>38.59424708421826</c:v>
                </c:pt>
                <c:pt idx="21" formatCode="0.00">
                  <c:v>43.545492891763274</c:v>
                </c:pt>
              </c:numCache>
            </c:numRef>
          </c:val>
          <c:smooth val="0"/>
          <c:extLst>
            <c:ext xmlns:c16="http://schemas.microsoft.com/office/drawing/2014/chart" uri="{C3380CC4-5D6E-409C-BE32-E72D297353CC}">
              <c16:uniqueId val="{00000002-6139-448D-9603-B6F8C5209892}"/>
            </c:ext>
          </c:extLst>
        </c:ser>
        <c:dLbls>
          <c:showLegendKey val="0"/>
          <c:showVal val="0"/>
          <c:showCatName val="0"/>
          <c:showSerName val="0"/>
          <c:showPercent val="0"/>
          <c:showBubbleSize val="0"/>
        </c:dLbls>
        <c:smooth val="0"/>
        <c:axId val="710967680"/>
        <c:axId val="710968992"/>
      </c:lineChart>
      <c:catAx>
        <c:axId val="71096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968992"/>
        <c:crosses val="autoZero"/>
        <c:auto val="1"/>
        <c:lblAlgn val="ctr"/>
        <c:lblOffset val="100"/>
        <c:noMultiLvlLbl val="0"/>
      </c:catAx>
      <c:valAx>
        <c:axId val="71096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96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logist Take-up'!$AC$81</c:f>
              <c:strCache>
                <c:ptCount val="1"/>
                <c:pt idx="0">
                  <c:v>High</c:v>
                </c:pt>
              </c:strCache>
            </c:strRef>
          </c:tx>
          <c:spPr>
            <a:ln w="28575" cap="rnd">
              <a:solidFill>
                <a:schemeClr val="accent1"/>
              </a:solidFill>
              <a:round/>
            </a:ln>
            <a:effectLst/>
          </c:spPr>
          <c:marker>
            <c:symbol val="none"/>
          </c:marker>
          <c:cat>
            <c:numRef>
              <c:f>'Netherlands logist Take-up'!$AB$82:$AB$103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Take-up'!$AC$82:$AC$103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6.5472336108152431</c:v>
                </c:pt>
                <c:pt idx="11" formatCode="0.00">
                  <c:v>8.6880564261336239</c:v>
                </c:pt>
                <c:pt idx="12" formatCode="0.00">
                  <c:v>10.280328952863826</c:v>
                </c:pt>
                <c:pt idx="13" formatCode="0.00">
                  <c:v>12.09210956000525</c:v>
                </c:pt>
                <c:pt idx="14" formatCode="0.00">
                  <c:v>13.622040261214432</c:v>
                </c:pt>
                <c:pt idx="15" formatCode="0.00">
                  <c:v>14.690085948664574</c:v>
                </c:pt>
                <c:pt idx="16" formatCode="0.00">
                  <c:v>15.629104594428924</c:v>
                </c:pt>
                <c:pt idx="17" formatCode="0.00">
                  <c:v>16.787584877280779</c:v>
                </c:pt>
                <c:pt idx="18" formatCode="0.00">
                  <c:v>18.24870231461745</c:v>
                </c:pt>
                <c:pt idx="19" formatCode="0.00">
                  <c:v>20.091909625666492</c:v>
                </c:pt>
                <c:pt idx="20" formatCode="0.00">
                  <c:v>22.391721254179902</c:v>
                </c:pt>
                <c:pt idx="21" formatCode="0.00">
                  <c:v>25.236088277054961</c:v>
                </c:pt>
              </c:numCache>
            </c:numRef>
          </c:val>
          <c:smooth val="0"/>
          <c:extLst>
            <c:ext xmlns:c16="http://schemas.microsoft.com/office/drawing/2014/chart" uri="{C3380CC4-5D6E-409C-BE32-E72D297353CC}">
              <c16:uniqueId val="{00000000-FBAE-4425-A5C6-18252BF390D8}"/>
            </c:ext>
          </c:extLst>
        </c:ser>
        <c:ser>
          <c:idx val="1"/>
          <c:order val="1"/>
          <c:tx>
            <c:strRef>
              <c:f>'Netherlands logist Take-up'!$AD$81</c:f>
              <c:strCache>
                <c:ptCount val="1"/>
                <c:pt idx="0">
                  <c:v>Medium</c:v>
                </c:pt>
              </c:strCache>
            </c:strRef>
          </c:tx>
          <c:spPr>
            <a:ln w="28575" cap="rnd">
              <a:solidFill>
                <a:schemeClr val="accent2"/>
              </a:solidFill>
              <a:round/>
            </a:ln>
            <a:effectLst/>
          </c:spPr>
          <c:marker>
            <c:symbol val="none"/>
          </c:marker>
          <c:cat>
            <c:numRef>
              <c:f>'Netherlands logist Take-up'!$AB$82:$AB$103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Take-up'!$AD$82:$AD$103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6.5472336108152431</c:v>
                </c:pt>
                <c:pt idx="11" formatCode="0.00">
                  <c:v>9.0292647735608416</c:v>
                </c:pt>
                <c:pt idx="12" formatCode="0.00">
                  <c:v>11.1603586919554</c:v>
                </c:pt>
                <c:pt idx="13" formatCode="0.00">
                  <c:v>13.704534636337453</c:v>
                </c:pt>
                <c:pt idx="14" formatCode="0.00">
                  <c:v>16.219124474894382</c:v>
                </c:pt>
                <c:pt idx="15" formatCode="0.00">
                  <c:v>18.679487431988754</c:v>
                </c:pt>
                <c:pt idx="16" formatCode="0.00">
                  <c:v>21.332290501130679</c:v>
                </c:pt>
                <c:pt idx="17" formatCode="0.00">
                  <c:v>24.643019090423234</c:v>
                </c:pt>
                <c:pt idx="18" formatCode="0.00">
                  <c:v>29.184931276318629</c:v>
                </c:pt>
                <c:pt idx="19" formatCode="0.00">
                  <c:v>34.101265452622528</c:v>
                </c:pt>
                <c:pt idx="20" formatCode="0.00">
                  <c:v>39.331777776119338</c:v>
                </c:pt>
                <c:pt idx="21" formatCode="0.00">
                  <c:v>44.836250733647944</c:v>
                </c:pt>
              </c:numCache>
            </c:numRef>
          </c:val>
          <c:smooth val="0"/>
          <c:extLst>
            <c:ext xmlns:c16="http://schemas.microsoft.com/office/drawing/2014/chart" uri="{C3380CC4-5D6E-409C-BE32-E72D297353CC}">
              <c16:uniqueId val="{00000001-FBAE-4425-A5C6-18252BF390D8}"/>
            </c:ext>
          </c:extLst>
        </c:ser>
        <c:ser>
          <c:idx val="2"/>
          <c:order val="2"/>
          <c:tx>
            <c:strRef>
              <c:f>'Netherlands logist Take-up'!$AE$81</c:f>
              <c:strCache>
                <c:ptCount val="1"/>
                <c:pt idx="0">
                  <c:v>Low</c:v>
                </c:pt>
              </c:strCache>
            </c:strRef>
          </c:tx>
          <c:spPr>
            <a:ln w="28575" cap="rnd">
              <a:solidFill>
                <a:schemeClr val="accent3"/>
              </a:solidFill>
              <a:round/>
            </a:ln>
            <a:effectLst/>
          </c:spPr>
          <c:marker>
            <c:symbol val="none"/>
          </c:marker>
          <c:cat>
            <c:numRef>
              <c:f>'Netherlands logist Take-up'!$AB$82:$AB$103</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logist Take-up'!$AE$82:$AE$103</c:f>
              <c:numCache>
                <c:formatCode>General</c:formatCode>
                <c:ptCount val="22"/>
                <c:pt idx="3" formatCode="0.00">
                  <c:v>1.8433023734304723</c:v>
                </c:pt>
                <c:pt idx="4" formatCode="0.00">
                  <c:v>1.8433023734304723</c:v>
                </c:pt>
                <c:pt idx="5" formatCode="0.00">
                  <c:v>3.2684255704696215</c:v>
                </c:pt>
                <c:pt idx="6" formatCode="0.00">
                  <c:v>5.6959919762793181</c:v>
                </c:pt>
                <c:pt idx="7" formatCode="0.00">
                  <c:v>3.2684255704696215</c:v>
                </c:pt>
                <c:pt idx="8" formatCode="0.00">
                  <c:v>1.8433023734304723</c:v>
                </c:pt>
                <c:pt idx="9" formatCode="0.00">
                  <c:v>5.6959919762793181</c:v>
                </c:pt>
                <c:pt idx="10" formatCode="0.00">
                  <c:v>7.1128696315846103</c:v>
                </c:pt>
                <c:pt idx="11" formatCode="0.00">
                  <c:v>10.509034669876851</c:v>
                </c:pt>
                <c:pt idx="12" formatCode="0.00">
                  <c:v>13.730153842059597</c:v>
                </c:pt>
                <c:pt idx="13" formatCode="0.00">
                  <c:v>17.670522293550739</c:v>
                </c:pt>
                <c:pt idx="14" formatCode="0.00">
                  <c:v>22.203364403418167</c:v>
                </c:pt>
                <c:pt idx="15" formatCode="0.00">
                  <c:v>26.618261474976133</c:v>
                </c:pt>
                <c:pt idx="16" formatCode="0.00">
                  <c:v>31.753710042124318</c:v>
                </c:pt>
                <c:pt idx="17" formatCode="0.00">
                  <c:v>37.320395593588081</c:v>
                </c:pt>
                <c:pt idx="18" formatCode="0.00">
                  <c:v>43.404347376408921</c:v>
                </c:pt>
                <c:pt idx="19" formatCode="0.00">
                  <c:v>48.946895557025407</c:v>
                </c:pt>
                <c:pt idx="20" formatCode="0.00">
                  <c:v>53.967960948652731</c:v>
                </c:pt>
                <c:pt idx="21" formatCode="0.00">
                  <c:v>57.548122283899886</c:v>
                </c:pt>
              </c:numCache>
            </c:numRef>
          </c:val>
          <c:smooth val="0"/>
          <c:extLst>
            <c:ext xmlns:c16="http://schemas.microsoft.com/office/drawing/2014/chart" uri="{C3380CC4-5D6E-409C-BE32-E72D297353CC}">
              <c16:uniqueId val="{00000002-FBAE-4425-A5C6-18252BF390D8}"/>
            </c:ext>
          </c:extLst>
        </c:ser>
        <c:dLbls>
          <c:showLegendKey val="0"/>
          <c:showVal val="0"/>
          <c:showCatName val="0"/>
          <c:showSerName val="0"/>
          <c:showPercent val="0"/>
          <c:showBubbleSize val="0"/>
        </c:dLbls>
        <c:smooth val="0"/>
        <c:axId val="889407872"/>
        <c:axId val="889410168"/>
      </c:lineChart>
      <c:catAx>
        <c:axId val="88940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10168"/>
        <c:crosses val="autoZero"/>
        <c:auto val="1"/>
        <c:lblAlgn val="ctr"/>
        <c:lblOffset val="100"/>
        <c:noMultiLvlLbl val="0"/>
      </c:catAx>
      <c:valAx>
        <c:axId val="889410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0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'Netherlands '!$P$3</c:f>
              <c:strCache>
                <c:ptCount val="1"/>
                <c:pt idx="0">
                  <c:v>BEV price</c:v>
                </c:pt>
              </c:strCache>
            </c:strRef>
          </c:tx>
          <c:spPr>
            <a:ln w="60325" cap="rnd">
              <a:solidFill>
                <a:schemeClr val="accent1"/>
              </a:solidFill>
              <a:round/>
            </a:ln>
            <a:effectLst/>
          </c:spPr>
          <c:marker>
            <c:symbol val="none"/>
          </c:marker>
          <c:cat>
            <c:numRef>
              <c:f>'Netherlands '!$O$4:$O$25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'!$P$4:$P$25</c:f>
              <c:numCache>
                <c:formatCode>0</c:formatCode>
                <c:ptCount val="22"/>
                <c:pt idx="0">
                  <c:v>25349.428753511253</c:v>
                </c:pt>
                <c:pt idx="1">
                  <c:v>27084.565144529093</c:v>
                </c:pt>
                <c:pt idx="2">
                  <c:v>25541.247267398561</c:v>
                </c:pt>
                <c:pt idx="3">
                  <c:v>28404.067912999824</c:v>
                </c:pt>
                <c:pt idx="4">
                  <c:v>28326.001845585262</c:v>
                </c:pt>
                <c:pt idx="5">
                  <c:v>31755.14754764954</c:v>
                </c:pt>
                <c:pt idx="6">
                  <c:v>33972.208577999059</c:v>
                </c:pt>
                <c:pt idx="7">
                  <c:v>34003.015390823792</c:v>
                </c:pt>
                <c:pt idx="8">
                  <c:v>33077.50438796074</c:v>
                </c:pt>
                <c:pt idx="9">
                  <c:v>32504.107154252255</c:v>
                </c:pt>
                <c:pt idx="10">
                  <c:v>33121.306181816035</c:v>
                </c:pt>
                <c:pt idx="11">
                  <c:v>32922.52206863914</c:v>
                </c:pt>
                <c:pt idx="12">
                  <c:v>32094.628145791419</c:v>
                </c:pt>
                <c:pt idx="13">
                  <c:v>32557.608057866382</c:v>
                </c:pt>
                <c:pt idx="14">
                  <c:v>32259.14289892419</c:v>
                </c:pt>
                <c:pt idx="15">
                  <c:v>31105.367975431382</c:v>
                </c:pt>
                <c:pt idx="16">
                  <c:v>30114.836818244836</c:v>
                </c:pt>
                <c:pt idx="17">
                  <c:v>29550.537379161451</c:v>
                </c:pt>
                <c:pt idx="18">
                  <c:v>28986.23794007807</c:v>
                </c:pt>
                <c:pt idx="19">
                  <c:v>28351.401071109263</c:v>
                </c:pt>
                <c:pt idx="20">
                  <c:v>27787.101632025886</c:v>
                </c:pt>
                <c:pt idx="21">
                  <c:v>27152.264763057083</c:v>
                </c:pt>
              </c:numCache>
            </c:numRef>
          </c:val>
          <c:smooth val="0"/>
          <c:extLst>
            <c:ext xmlns:c16="http://schemas.microsoft.com/office/drawing/2014/chart" uri="{C3380CC4-5D6E-409C-BE32-E72D297353CC}">
              <c16:uniqueId val="{00000000-2889-4A9A-AF49-1986DCE43A6E}"/>
            </c:ext>
          </c:extLst>
        </c:ser>
        <c:ser>
          <c:idx val="1"/>
          <c:order val="1"/>
          <c:tx>
            <c:strRef>
              <c:f>'Netherlands '!$Q$3</c:f>
              <c:strCache>
                <c:ptCount val="1"/>
                <c:pt idx="0">
                  <c:v>PHEV price</c:v>
                </c:pt>
              </c:strCache>
            </c:strRef>
          </c:tx>
          <c:spPr>
            <a:ln w="15875" cap="rnd">
              <a:solidFill>
                <a:schemeClr val="accent2"/>
              </a:solidFill>
              <a:round/>
            </a:ln>
            <a:effectLst/>
          </c:spPr>
          <c:marker>
            <c:symbol val="none"/>
          </c:marker>
          <c:cat>
            <c:numRef>
              <c:f>'Netherlands '!$O$4:$O$25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'!$Q$4:$Q$25</c:f>
              <c:numCache>
                <c:formatCode>0</c:formatCode>
                <c:ptCount val="22"/>
                <c:pt idx="0">
                  <c:v>25799.428753511253</c:v>
                </c:pt>
                <c:pt idx="1">
                  <c:v>27534.565144529093</c:v>
                </c:pt>
                <c:pt idx="2">
                  <c:v>25991.247267398561</c:v>
                </c:pt>
                <c:pt idx="3">
                  <c:v>28854.067912999824</c:v>
                </c:pt>
                <c:pt idx="4">
                  <c:v>28776.001845585262</c:v>
                </c:pt>
                <c:pt idx="5">
                  <c:v>31755.14754764954</c:v>
                </c:pt>
                <c:pt idx="6">
                  <c:v>34787.54158387104</c:v>
                </c:pt>
                <c:pt idx="7">
                  <c:v>36995.280745216289</c:v>
                </c:pt>
                <c:pt idx="8">
                  <c:v>35988.324774101282</c:v>
                </c:pt>
                <c:pt idx="9">
                  <c:v>35364.468583826456</c:v>
                </c:pt>
                <c:pt idx="10">
                  <c:v>36035.981125815844</c:v>
                </c:pt>
                <c:pt idx="11">
                  <c:v>35819.704010679387</c:v>
                </c:pt>
                <c:pt idx="12">
                  <c:v>34918.955422621068</c:v>
                </c:pt>
                <c:pt idx="13">
                  <c:v>35422.677566958628</c:v>
                </c:pt>
                <c:pt idx="14">
                  <c:v>35097.947474029519</c:v>
                </c:pt>
                <c:pt idx="15">
                  <c:v>33842.640357269345</c:v>
                </c:pt>
                <c:pt idx="16">
                  <c:v>32764.942458250382</c:v>
                </c:pt>
                <c:pt idx="17">
                  <c:v>32150.984668527657</c:v>
                </c:pt>
                <c:pt idx="18">
                  <c:v>31537.026878804936</c:v>
                </c:pt>
                <c:pt idx="19">
                  <c:v>30846.324365366876</c:v>
                </c:pt>
                <c:pt idx="20">
                  <c:v>30232.366575644166</c:v>
                </c:pt>
                <c:pt idx="21">
                  <c:v>29541.664062206106</c:v>
                </c:pt>
              </c:numCache>
            </c:numRef>
          </c:val>
          <c:smooth val="0"/>
          <c:extLst>
            <c:ext xmlns:c16="http://schemas.microsoft.com/office/drawing/2014/chart" uri="{C3380CC4-5D6E-409C-BE32-E72D297353CC}">
              <c16:uniqueId val="{00000001-2889-4A9A-AF49-1986DCE43A6E}"/>
            </c:ext>
          </c:extLst>
        </c:ser>
        <c:ser>
          <c:idx val="2"/>
          <c:order val="2"/>
          <c:tx>
            <c:strRef>
              <c:f>'Netherlands '!$R$3</c:f>
              <c:strCache>
                <c:ptCount val="1"/>
                <c:pt idx="0">
                  <c:v>FFV price</c:v>
                </c:pt>
              </c:strCache>
            </c:strRef>
          </c:tx>
          <c:spPr>
            <a:ln w="28575" cap="rnd">
              <a:solidFill>
                <a:schemeClr val="tx1"/>
              </a:solidFill>
              <a:round/>
            </a:ln>
            <a:effectLst/>
          </c:spPr>
          <c:marker>
            <c:symbol val="none"/>
          </c:marker>
          <c:cat>
            <c:numRef>
              <c:f>'Netherlands '!$O$4:$O$25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'Netherlands '!$R$4:$R$25</c:f>
              <c:numCache>
                <c:formatCode>0</c:formatCode>
                <c:ptCount val="22"/>
                <c:pt idx="0">
                  <c:v>22185.597216666669</c:v>
                </c:pt>
                <c:pt idx="1">
                  <c:v>23382.249236817552</c:v>
                </c:pt>
                <c:pt idx="2">
                  <c:v>22049.894699754164</c:v>
                </c:pt>
                <c:pt idx="3">
                  <c:v>23851.580947798895</c:v>
                </c:pt>
                <c:pt idx="4">
                  <c:v>23512.198949698366</c:v>
                </c:pt>
                <c:pt idx="5">
                  <c:v>23691.091583240632</c:v>
                </c:pt>
                <c:pt idx="6">
                  <c:v>28337.351581861618</c:v>
                </c:pt>
                <c:pt idx="7">
                  <c:v>28363.048571332489</c:v>
                </c:pt>
                <c:pt idx="8">
                  <c:v>27591.048993477652</c:v>
                </c:pt>
                <c:pt idx="9">
                  <c:v>26588</c:v>
                </c:pt>
                <c:pt idx="10">
                  <c:v>26588</c:v>
                </c:pt>
                <c:pt idx="11">
                  <c:v>26588</c:v>
                </c:pt>
                <c:pt idx="12">
                  <c:v>26588</c:v>
                </c:pt>
                <c:pt idx="13">
                  <c:v>26588</c:v>
                </c:pt>
                <c:pt idx="14">
                  <c:v>26588</c:v>
                </c:pt>
                <c:pt idx="15">
                  <c:v>26588</c:v>
                </c:pt>
                <c:pt idx="16">
                  <c:v>26588</c:v>
                </c:pt>
                <c:pt idx="17">
                  <c:v>26588</c:v>
                </c:pt>
                <c:pt idx="18">
                  <c:v>26588</c:v>
                </c:pt>
                <c:pt idx="19">
                  <c:v>26588</c:v>
                </c:pt>
                <c:pt idx="20">
                  <c:v>26588</c:v>
                </c:pt>
                <c:pt idx="21">
                  <c:v>26588</c:v>
                </c:pt>
              </c:numCache>
            </c:numRef>
          </c:val>
          <c:smooth val="0"/>
          <c:extLst>
            <c:ext xmlns:c16="http://schemas.microsoft.com/office/drawing/2014/chart" uri="{C3380CC4-5D6E-409C-BE32-E72D297353CC}">
              <c16:uniqueId val="{00000002-2889-4A9A-AF49-1986DCE43A6E}"/>
            </c:ext>
          </c:extLst>
        </c:ser>
        <c:dLbls>
          <c:showLegendKey val="0"/>
          <c:showVal val="0"/>
          <c:showCatName val="0"/>
          <c:showSerName val="0"/>
          <c:showPercent val="0"/>
          <c:showBubbleSize val="0"/>
        </c:dLbls>
        <c:smooth val="0"/>
        <c:axId val="689986616"/>
        <c:axId val="689990224"/>
      </c:lineChart>
      <c:catAx>
        <c:axId val="689986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90224"/>
        <c:crosses val="autoZero"/>
        <c:auto val="1"/>
        <c:lblAlgn val="ctr"/>
        <c:lblOffset val="100"/>
        <c:noMultiLvlLbl val="0"/>
      </c:catAx>
      <c:valAx>
        <c:axId val="68999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uptake'!$AD$3</c:f>
              <c:strCache>
                <c:ptCount val="1"/>
                <c:pt idx="0">
                  <c:v>Linearized Logistic</c:v>
                </c:pt>
              </c:strCache>
            </c:strRef>
          </c:tx>
          <c:spPr>
            <a:ln w="53975" cap="rnd">
              <a:solidFill>
                <a:schemeClr val="tx1"/>
              </a:solidFill>
              <a:round/>
            </a:ln>
            <a:effectLst/>
          </c:spPr>
          <c:marker>
            <c:symbol val="none"/>
          </c:marker>
          <c:cat>
            <c:numRef>
              <c:f>'New Zealand EV uptake'!$A$9:$A$13</c:f>
              <c:numCache>
                <c:formatCode>General</c:formatCode>
                <c:ptCount val="5"/>
                <c:pt idx="0">
                  <c:v>2014</c:v>
                </c:pt>
                <c:pt idx="1">
                  <c:v>2015</c:v>
                </c:pt>
                <c:pt idx="2">
                  <c:v>2016</c:v>
                </c:pt>
                <c:pt idx="3">
                  <c:v>2017</c:v>
                </c:pt>
                <c:pt idx="4">
                  <c:v>2018</c:v>
                </c:pt>
              </c:numCache>
            </c:numRef>
          </c:cat>
          <c:val>
            <c:numRef>
              <c:f>'New Zealand EV uptake'!$AD$9:$AD$13</c:f>
              <c:numCache>
                <c:formatCode>General</c:formatCode>
                <c:ptCount val="5"/>
                <c:pt idx="0">
                  <c:v>-6.3584425311882695</c:v>
                </c:pt>
                <c:pt idx="1">
                  <c:v>-6.3056255646041039</c:v>
                </c:pt>
                <c:pt idx="2">
                  <c:v>-5.4508821556615779</c:v>
                </c:pt>
                <c:pt idx="3">
                  <c:v>-5.0689609121376771</c:v>
                </c:pt>
                <c:pt idx="4">
                  <c:v>-4.7005321153590254</c:v>
                </c:pt>
              </c:numCache>
            </c:numRef>
          </c:val>
          <c:smooth val="0"/>
          <c:extLst>
            <c:ext xmlns:c16="http://schemas.microsoft.com/office/drawing/2014/chart" uri="{C3380CC4-5D6E-409C-BE32-E72D297353CC}">
              <c16:uniqueId val="{00000000-665F-4254-85BB-2BB3C0FC34C3}"/>
            </c:ext>
          </c:extLst>
        </c:ser>
        <c:ser>
          <c:idx val="1"/>
          <c:order val="1"/>
          <c:tx>
            <c:strRef>
              <c:f>'New Zealand EV uptake'!$AE$3</c:f>
              <c:strCache>
                <c:ptCount val="1"/>
                <c:pt idx="0">
                  <c:v>predicted</c:v>
                </c:pt>
              </c:strCache>
            </c:strRef>
          </c:tx>
          <c:spPr>
            <a:ln w="28575" cap="rnd">
              <a:solidFill>
                <a:schemeClr val="accent2"/>
              </a:solidFill>
              <a:round/>
            </a:ln>
            <a:effectLst/>
          </c:spPr>
          <c:marker>
            <c:symbol val="none"/>
          </c:marker>
          <c:cat>
            <c:numRef>
              <c:f>'New Zealand EV uptake'!$A$9:$A$13</c:f>
              <c:numCache>
                <c:formatCode>General</c:formatCode>
                <c:ptCount val="5"/>
                <c:pt idx="0">
                  <c:v>2014</c:v>
                </c:pt>
                <c:pt idx="1">
                  <c:v>2015</c:v>
                </c:pt>
                <c:pt idx="2">
                  <c:v>2016</c:v>
                </c:pt>
                <c:pt idx="3">
                  <c:v>2017</c:v>
                </c:pt>
                <c:pt idx="4">
                  <c:v>2018</c:v>
                </c:pt>
              </c:numCache>
            </c:numRef>
          </c:cat>
          <c:val>
            <c:numRef>
              <c:f>'New Zealand EV uptake'!$AE$9:$AE$13</c:f>
              <c:numCache>
                <c:formatCode>General</c:formatCode>
                <c:ptCount val="5"/>
                <c:pt idx="0">
                  <c:v>-6.3311066895285517</c:v>
                </c:pt>
                <c:pt idx="1">
                  <c:v>-6.3056255646041031</c:v>
                </c:pt>
                <c:pt idx="2">
                  <c:v>-5.4987491242468494</c:v>
                </c:pt>
                <c:pt idx="3">
                  <c:v>-5.0825703416059991</c:v>
                </c:pt>
                <c:pt idx="4">
                  <c:v>-4.666391558965147</c:v>
                </c:pt>
              </c:numCache>
            </c:numRef>
          </c:val>
          <c:smooth val="0"/>
          <c:extLst>
            <c:ext xmlns:c16="http://schemas.microsoft.com/office/drawing/2014/chart" uri="{C3380CC4-5D6E-409C-BE32-E72D297353CC}">
              <c16:uniqueId val="{00000001-665F-4254-85BB-2BB3C0FC34C3}"/>
            </c:ext>
          </c:extLst>
        </c:ser>
        <c:dLbls>
          <c:showLegendKey val="0"/>
          <c:showVal val="0"/>
          <c:showCatName val="0"/>
          <c:showSerName val="0"/>
          <c:showPercent val="0"/>
          <c:showBubbleSize val="0"/>
        </c:dLbls>
        <c:smooth val="0"/>
        <c:axId val="751812256"/>
        <c:axId val="751812584"/>
      </c:lineChart>
      <c:catAx>
        <c:axId val="7518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812584"/>
        <c:crosses val="autoZero"/>
        <c:auto val="1"/>
        <c:lblAlgn val="ctr"/>
        <c:lblOffset val="100"/>
        <c:noMultiLvlLbl val="0"/>
      </c:catAx>
      <c:valAx>
        <c:axId val="751812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812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uptake'!$B$3</c:f>
              <c:strCache>
                <c:ptCount val="1"/>
                <c:pt idx="0">
                  <c:v> EV %sales</c:v>
                </c:pt>
              </c:strCache>
            </c:strRef>
          </c:tx>
          <c:spPr>
            <a:ln w="47625" cap="rnd">
              <a:solidFill>
                <a:schemeClr val="tx1"/>
              </a:solidFill>
              <a:round/>
            </a:ln>
            <a:effectLst/>
          </c:spPr>
          <c:marker>
            <c:symbol val="none"/>
          </c:marker>
          <c:cat>
            <c:numRef>
              <c:f>'New Zealand EV uptake'!$A$9:$A$13</c:f>
              <c:numCache>
                <c:formatCode>General</c:formatCode>
                <c:ptCount val="5"/>
                <c:pt idx="0">
                  <c:v>2014</c:v>
                </c:pt>
                <c:pt idx="1">
                  <c:v>2015</c:v>
                </c:pt>
                <c:pt idx="2">
                  <c:v>2016</c:v>
                </c:pt>
                <c:pt idx="3">
                  <c:v>2017</c:v>
                </c:pt>
                <c:pt idx="4">
                  <c:v>2018</c:v>
                </c:pt>
              </c:numCache>
            </c:numRef>
          </c:cat>
          <c:val>
            <c:numRef>
              <c:f>'New Zealand EV uptake'!$B$9:$B$13</c:f>
              <c:numCache>
                <c:formatCode>0.00</c:formatCode>
                <c:ptCount val="5"/>
                <c:pt idx="0">
                  <c:v>0.11238938053097347</c:v>
                </c:pt>
                <c:pt idx="1">
                  <c:v>0.11847389558232932</c:v>
                </c:pt>
                <c:pt idx="2">
                  <c:v>0.27782101167315176</c:v>
                </c:pt>
                <c:pt idx="3">
                  <c:v>0.40622710622710623</c:v>
                </c:pt>
                <c:pt idx="4">
                  <c:v>0.58555555555555561</c:v>
                </c:pt>
              </c:numCache>
            </c:numRef>
          </c:val>
          <c:smooth val="0"/>
          <c:extLst>
            <c:ext xmlns:c16="http://schemas.microsoft.com/office/drawing/2014/chart" uri="{C3380CC4-5D6E-409C-BE32-E72D297353CC}">
              <c16:uniqueId val="{00000000-9651-4969-9E8F-1973B9B79360}"/>
            </c:ext>
          </c:extLst>
        </c:ser>
        <c:ser>
          <c:idx val="1"/>
          <c:order val="1"/>
          <c:tx>
            <c:strRef>
              <c:f>'New Zealand EV uptake'!$AB$3</c:f>
              <c:strCache>
                <c:ptCount val="1"/>
                <c:pt idx="0">
                  <c:v>predicted raw</c:v>
                </c:pt>
              </c:strCache>
            </c:strRef>
          </c:tx>
          <c:spPr>
            <a:ln w="28575" cap="rnd">
              <a:solidFill>
                <a:schemeClr val="accent2"/>
              </a:solidFill>
              <a:round/>
            </a:ln>
            <a:effectLst/>
          </c:spPr>
          <c:marker>
            <c:symbol val="none"/>
          </c:marker>
          <c:cat>
            <c:numRef>
              <c:f>'New Zealand EV uptake'!$A$9:$A$13</c:f>
              <c:numCache>
                <c:formatCode>General</c:formatCode>
                <c:ptCount val="5"/>
                <c:pt idx="0">
                  <c:v>2014</c:v>
                </c:pt>
                <c:pt idx="1">
                  <c:v>2015</c:v>
                </c:pt>
                <c:pt idx="2">
                  <c:v>2016</c:v>
                </c:pt>
                <c:pt idx="3">
                  <c:v>2017</c:v>
                </c:pt>
                <c:pt idx="4">
                  <c:v>2018</c:v>
                </c:pt>
              </c:numCache>
            </c:numRef>
          </c:cat>
          <c:val>
            <c:numRef>
              <c:f>'New Zealand EV uptake'!$C$9:$C$13</c:f>
              <c:numCache>
                <c:formatCode>0.00</c:formatCode>
                <c:ptCount val="5"/>
                <c:pt idx="0">
                  <c:v>7.6224558672425224E-2</c:v>
                </c:pt>
                <c:pt idx="1">
                  <c:v>0.11847389558232939</c:v>
                </c:pt>
                <c:pt idx="2">
                  <c:v>0.26488873951865571</c:v>
                </c:pt>
                <c:pt idx="3">
                  <c:v>0.40076989322369888</c:v>
                </c:pt>
                <c:pt idx="4">
                  <c:v>0.60570241577331663</c:v>
                </c:pt>
              </c:numCache>
            </c:numRef>
          </c:val>
          <c:smooth val="0"/>
          <c:extLst>
            <c:ext xmlns:c16="http://schemas.microsoft.com/office/drawing/2014/chart" uri="{C3380CC4-5D6E-409C-BE32-E72D297353CC}">
              <c16:uniqueId val="{00000001-9651-4969-9E8F-1973B9B79360}"/>
            </c:ext>
          </c:extLst>
        </c:ser>
        <c:dLbls>
          <c:showLegendKey val="0"/>
          <c:showVal val="0"/>
          <c:showCatName val="0"/>
          <c:showSerName val="0"/>
          <c:showPercent val="0"/>
          <c:showBubbleSize val="0"/>
        </c:dLbls>
        <c:smooth val="0"/>
        <c:axId val="668738144"/>
        <c:axId val="668738472"/>
      </c:lineChart>
      <c:catAx>
        <c:axId val="66873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8738472"/>
        <c:crosses val="autoZero"/>
        <c:auto val="1"/>
        <c:lblAlgn val="ctr"/>
        <c:lblOffset val="100"/>
        <c:noMultiLvlLbl val="0"/>
      </c:catAx>
      <c:valAx>
        <c:axId val="668738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87882764654418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873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uptake'!$S$3</c:f>
              <c:strCache>
                <c:ptCount val="1"/>
                <c:pt idx="0">
                  <c:v>High</c:v>
                </c:pt>
              </c:strCache>
            </c:strRef>
          </c:tx>
          <c:spPr>
            <a:ln w="28575" cap="rnd">
              <a:solidFill>
                <a:schemeClr val="accent1"/>
              </a:solidFill>
              <a:round/>
            </a:ln>
            <a:effectLst/>
          </c:spPr>
          <c:marker>
            <c:symbol val="none"/>
          </c:marker>
          <c:cat>
            <c:numRef>
              <c:f>'New Zealand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uptake'!$S$4:$S$25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2.0363626351068422</c:v>
                </c:pt>
                <c:pt idx="12" formatCode="0.00">
                  <c:v>3.4400654718340795</c:v>
                </c:pt>
                <c:pt idx="13" formatCode="0.00">
                  <c:v>4.8747618424395336</c:v>
                </c:pt>
                <c:pt idx="14" formatCode="0.00">
                  <c:v>6.8282573563380291</c:v>
                </c:pt>
                <c:pt idx="15" formatCode="0.00">
                  <c:v>9.2649501531896874</c:v>
                </c:pt>
                <c:pt idx="16" formatCode="0.00">
                  <c:v>12.209953764532115</c:v>
                </c:pt>
                <c:pt idx="17" formatCode="0.00">
                  <c:v>15.711292749652708</c:v>
                </c:pt>
                <c:pt idx="18" formatCode="0.00">
                  <c:v>19.748950036179473</c:v>
                </c:pt>
                <c:pt idx="19" formatCode="0.00">
                  <c:v>24.023646286905404</c:v>
                </c:pt>
                <c:pt idx="20" formatCode="0.00">
                  <c:v>28.458762759856768</c:v>
                </c:pt>
                <c:pt idx="21" formatCode="0.00">
                  <c:v>32.82777623530928</c:v>
                </c:pt>
              </c:numCache>
            </c:numRef>
          </c:val>
          <c:smooth val="0"/>
          <c:extLst>
            <c:ext xmlns:c16="http://schemas.microsoft.com/office/drawing/2014/chart" uri="{C3380CC4-5D6E-409C-BE32-E72D297353CC}">
              <c16:uniqueId val="{00000000-F206-4A30-9A37-B08FE6B02731}"/>
            </c:ext>
          </c:extLst>
        </c:ser>
        <c:ser>
          <c:idx val="1"/>
          <c:order val="1"/>
          <c:tx>
            <c:strRef>
              <c:f>'New Zealand EV uptake'!$T$3</c:f>
              <c:strCache>
                <c:ptCount val="1"/>
                <c:pt idx="0">
                  <c:v>Medium</c:v>
                </c:pt>
              </c:strCache>
            </c:strRef>
          </c:tx>
          <c:spPr>
            <a:ln w="28575" cap="rnd">
              <a:solidFill>
                <a:schemeClr val="accent2"/>
              </a:solidFill>
              <a:round/>
            </a:ln>
            <a:effectLst/>
          </c:spPr>
          <c:marker>
            <c:symbol val="none"/>
          </c:marker>
          <c:cat>
            <c:numRef>
              <c:f>'New Zealand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uptake'!$T$4:$T$25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1.4577469580307734</c:v>
                </c:pt>
                <c:pt idx="12" formatCode="0.00">
                  <c:v>2.7577063663501185</c:v>
                </c:pt>
                <c:pt idx="13" formatCode="0.00">
                  <c:v>4.0555904034033849</c:v>
                </c:pt>
                <c:pt idx="14" formatCode="0.00">
                  <c:v>5.7796746796103458</c:v>
                </c:pt>
                <c:pt idx="15" formatCode="0.00">
                  <c:v>7.9199890011022029</c:v>
                </c:pt>
                <c:pt idx="16" formatCode="0.00">
                  <c:v>10.561998939520437</c:v>
                </c:pt>
                <c:pt idx="17" formatCode="0.00">
                  <c:v>13.547688579025499</c:v>
                </c:pt>
                <c:pt idx="18" formatCode="0.00">
                  <c:v>16.870385678585343</c:v>
                </c:pt>
                <c:pt idx="19" formatCode="0.00">
                  <c:v>20.393496520207453</c:v>
                </c:pt>
                <c:pt idx="20" formatCode="0.00">
                  <c:v>24.06561481942407</c:v>
                </c:pt>
                <c:pt idx="21" formatCode="0.00">
                  <c:v>27.807344244802135</c:v>
                </c:pt>
              </c:numCache>
            </c:numRef>
          </c:val>
          <c:smooth val="0"/>
          <c:extLst>
            <c:ext xmlns:c16="http://schemas.microsoft.com/office/drawing/2014/chart" uri="{C3380CC4-5D6E-409C-BE32-E72D297353CC}">
              <c16:uniqueId val="{00000001-F206-4A30-9A37-B08FE6B02731}"/>
            </c:ext>
          </c:extLst>
        </c:ser>
        <c:ser>
          <c:idx val="2"/>
          <c:order val="2"/>
          <c:tx>
            <c:strRef>
              <c:f>'New Zealand EV uptake'!$U$3</c:f>
              <c:strCache>
                <c:ptCount val="1"/>
                <c:pt idx="0">
                  <c:v>Low</c:v>
                </c:pt>
              </c:strCache>
            </c:strRef>
          </c:tx>
          <c:spPr>
            <a:ln w="28575" cap="rnd">
              <a:solidFill>
                <a:schemeClr val="accent3"/>
              </a:solidFill>
              <a:round/>
            </a:ln>
            <a:effectLst/>
          </c:spPr>
          <c:marker>
            <c:symbol val="none"/>
          </c:marker>
          <c:cat>
            <c:numRef>
              <c:f>'New Zealand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uptake'!$U$4:$U$25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1.4577469580307734</c:v>
                </c:pt>
                <c:pt idx="12" formatCode="0.00">
                  <c:v>2.4681642739233971</c:v>
                </c:pt>
                <c:pt idx="13" formatCode="0.00">
                  <c:v>3.4790628972401563</c:v>
                </c:pt>
                <c:pt idx="14" formatCode="0.00">
                  <c:v>4.90535051774458</c:v>
                </c:pt>
                <c:pt idx="15" formatCode="0.00">
                  <c:v>6.7818749391506703</c:v>
                </c:pt>
                <c:pt idx="16" formatCode="0.00">
                  <c:v>9.1198567644309829</c:v>
                </c:pt>
                <c:pt idx="17" formatCode="0.00">
                  <c:v>11.97689240463812</c:v>
                </c:pt>
                <c:pt idx="18" formatCode="0.00">
                  <c:v>15.357957662227038</c:v>
                </c:pt>
                <c:pt idx="19" formatCode="0.00">
                  <c:v>19.049101114279011</c:v>
                </c:pt>
                <c:pt idx="20" formatCode="0.00">
                  <c:v>23.008204827232138</c:v>
                </c:pt>
                <c:pt idx="21" formatCode="0.00">
                  <c:v>27.047730908312737</c:v>
                </c:pt>
              </c:numCache>
            </c:numRef>
          </c:val>
          <c:smooth val="0"/>
          <c:extLst>
            <c:ext xmlns:c16="http://schemas.microsoft.com/office/drawing/2014/chart" uri="{C3380CC4-5D6E-409C-BE32-E72D297353CC}">
              <c16:uniqueId val="{00000002-F206-4A30-9A37-B08FE6B02731}"/>
            </c:ext>
          </c:extLst>
        </c:ser>
        <c:dLbls>
          <c:showLegendKey val="0"/>
          <c:showVal val="0"/>
          <c:showCatName val="0"/>
          <c:showSerName val="0"/>
          <c:showPercent val="0"/>
          <c:showBubbleSize val="0"/>
        </c:dLbls>
        <c:smooth val="0"/>
        <c:axId val="903186952"/>
        <c:axId val="903179736"/>
      </c:lineChart>
      <c:catAx>
        <c:axId val="903186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179736"/>
        <c:crosses val="autoZero"/>
        <c:auto val="1"/>
        <c:lblAlgn val="ctr"/>
        <c:lblOffset val="100"/>
        <c:noMultiLvlLbl val="0"/>
      </c:catAx>
      <c:valAx>
        <c:axId val="903179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186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uptake'!$X$3</c:f>
              <c:strCache>
                <c:ptCount val="1"/>
                <c:pt idx="0">
                  <c:v>High</c:v>
                </c:pt>
              </c:strCache>
            </c:strRef>
          </c:tx>
          <c:spPr>
            <a:ln w="28575" cap="rnd">
              <a:solidFill>
                <a:schemeClr val="accent1"/>
              </a:solidFill>
              <a:round/>
            </a:ln>
            <a:effectLst/>
          </c:spPr>
          <c:marker>
            <c:symbol val="none"/>
          </c:marker>
          <c:cat>
            <c:numRef>
              <c:f>'New Zealand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uptake'!$X$4:$X$25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1.1894424568866466</c:v>
                </c:pt>
                <c:pt idx="12" formatCode="0.00">
                  <c:v>1.6576221470072789</c:v>
                </c:pt>
                <c:pt idx="13" formatCode="0.00">
                  <c:v>2.1479946092179389</c:v>
                </c:pt>
                <c:pt idx="14" formatCode="0.00">
                  <c:v>2.7592312981189608</c:v>
                </c:pt>
                <c:pt idx="15" formatCode="0.00">
                  <c:v>3.5297291595695808</c:v>
                </c:pt>
                <c:pt idx="16" formatCode="0.00">
                  <c:v>4.49309328044564</c:v>
                </c:pt>
                <c:pt idx="17" formatCode="0.00">
                  <c:v>5.6718869259258282</c:v>
                </c:pt>
                <c:pt idx="18" formatCode="0.00">
                  <c:v>7.0776205264999037</c:v>
                </c:pt>
                <c:pt idx="19" formatCode="0.00">
                  <c:v>8.7384327353582893</c:v>
                </c:pt>
                <c:pt idx="20" formatCode="0.00">
                  <c:v>10.654208868547588</c:v>
                </c:pt>
                <c:pt idx="21" formatCode="0.00">
                  <c:v>12.833986614408769</c:v>
                </c:pt>
              </c:numCache>
            </c:numRef>
          </c:val>
          <c:smooth val="0"/>
          <c:extLst>
            <c:ext xmlns:c16="http://schemas.microsoft.com/office/drawing/2014/chart" uri="{C3380CC4-5D6E-409C-BE32-E72D297353CC}">
              <c16:uniqueId val="{00000000-89E7-4630-B13F-323630123E3C}"/>
            </c:ext>
          </c:extLst>
        </c:ser>
        <c:ser>
          <c:idx val="1"/>
          <c:order val="1"/>
          <c:tx>
            <c:strRef>
              <c:f>'New Zealand EV uptake'!$Y$3</c:f>
              <c:strCache>
                <c:ptCount val="1"/>
                <c:pt idx="0">
                  <c:v>Medium</c:v>
                </c:pt>
              </c:strCache>
            </c:strRef>
          </c:tx>
          <c:spPr>
            <a:ln w="28575" cap="rnd">
              <a:solidFill>
                <a:schemeClr val="accent2"/>
              </a:solidFill>
              <a:round/>
            </a:ln>
            <a:effectLst/>
          </c:spPr>
          <c:marker>
            <c:symbol val="none"/>
          </c:marker>
          <c:cat>
            <c:numRef>
              <c:f>'New Zealand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uptake'!$Y$4:$Y$25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1.4577469580307734</c:v>
                </c:pt>
                <c:pt idx="12" formatCode="0.00">
                  <c:v>2.7577063663501185</c:v>
                </c:pt>
                <c:pt idx="13" formatCode="0.00">
                  <c:v>4.0555904034033849</c:v>
                </c:pt>
                <c:pt idx="14" formatCode="0.00">
                  <c:v>5.7796746796103458</c:v>
                </c:pt>
                <c:pt idx="15" formatCode="0.00">
                  <c:v>7.9199890011022029</c:v>
                </c:pt>
                <c:pt idx="16" formatCode="0.00">
                  <c:v>10.561998939520437</c:v>
                </c:pt>
                <c:pt idx="17" formatCode="0.00">
                  <c:v>13.547688579025499</c:v>
                </c:pt>
                <c:pt idx="18" formatCode="0.00">
                  <c:v>16.870385678585343</c:v>
                </c:pt>
                <c:pt idx="19" formatCode="0.00">
                  <c:v>20.393496520207453</c:v>
                </c:pt>
                <c:pt idx="20" formatCode="0.00">
                  <c:v>24.06561481942407</c:v>
                </c:pt>
                <c:pt idx="21" formatCode="0.00">
                  <c:v>27.807344244802135</c:v>
                </c:pt>
              </c:numCache>
            </c:numRef>
          </c:val>
          <c:smooth val="0"/>
          <c:extLst>
            <c:ext xmlns:c16="http://schemas.microsoft.com/office/drawing/2014/chart" uri="{C3380CC4-5D6E-409C-BE32-E72D297353CC}">
              <c16:uniqueId val="{00000001-89E7-4630-B13F-323630123E3C}"/>
            </c:ext>
          </c:extLst>
        </c:ser>
        <c:ser>
          <c:idx val="2"/>
          <c:order val="2"/>
          <c:tx>
            <c:strRef>
              <c:f>'New Zealand EV uptake'!$Z$3</c:f>
              <c:strCache>
                <c:ptCount val="1"/>
                <c:pt idx="0">
                  <c:v>Low</c:v>
                </c:pt>
              </c:strCache>
            </c:strRef>
          </c:tx>
          <c:spPr>
            <a:ln w="28575" cap="rnd">
              <a:solidFill>
                <a:schemeClr val="accent3"/>
              </a:solidFill>
              <a:round/>
            </a:ln>
            <a:effectLst/>
          </c:spPr>
          <c:marker>
            <c:symbol val="none"/>
          </c:marker>
          <c:cat>
            <c:numRef>
              <c:f>'New Zealand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 EV uptake'!$Z$4:$Z$25</c:f>
              <c:numCache>
                <c:formatCode>General</c:formatCode>
                <c:ptCount val="22"/>
                <c:pt idx="3" formatCode="0.00">
                  <c:v>5.0294927467282827E-2</c:v>
                </c:pt>
                <c:pt idx="4" formatCode="0.00">
                  <c:v>7.6224558672425224E-2</c:v>
                </c:pt>
                <c:pt idx="5" formatCode="0.00">
                  <c:v>7.6224558672425224E-2</c:v>
                </c:pt>
                <c:pt idx="6" formatCode="0.00">
                  <c:v>0.11847389558232939</c:v>
                </c:pt>
                <c:pt idx="7" formatCode="0.00">
                  <c:v>0.26488873951865571</c:v>
                </c:pt>
                <c:pt idx="8" formatCode="0.00">
                  <c:v>0.40076989322369888</c:v>
                </c:pt>
                <c:pt idx="9" formatCode="0.00">
                  <c:v>0.60570241577331663</c:v>
                </c:pt>
                <c:pt idx="10" formatCode="0.00">
                  <c:v>0.91394400665760067</c:v>
                </c:pt>
                <c:pt idx="11" formatCode="0.00">
                  <c:v>2.4209692077574156</c:v>
                </c:pt>
                <c:pt idx="12" formatCode="0.00">
                  <c:v>5.0220006403389519</c:v>
                </c:pt>
                <c:pt idx="13" formatCode="0.00">
                  <c:v>7.39338728445352</c:v>
                </c:pt>
                <c:pt idx="14" formatCode="0.00">
                  <c:v>10.594362085944638</c:v>
                </c:pt>
                <c:pt idx="15" formatCode="0.00">
                  <c:v>14.495885096555591</c:v>
                </c:pt>
                <c:pt idx="16" formatCode="0.00">
                  <c:v>19.368884201720252</c:v>
                </c:pt>
                <c:pt idx="17" formatCode="0.00">
                  <c:v>24.899510400895199</c:v>
                </c:pt>
                <c:pt idx="18" formatCode="0.00">
                  <c:v>31.048989631992065</c:v>
                </c:pt>
                <c:pt idx="19" formatCode="0.00">
                  <c:v>37.213107661943887</c:v>
                </c:pt>
                <c:pt idx="20" formatCode="0.00">
                  <c:v>43.236754607161558</c:v>
                </c:pt>
                <c:pt idx="21" formatCode="0.00">
                  <c:v>48.618106645759802</c:v>
                </c:pt>
              </c:numCache>
            </c:numRef>
          </c:val>
          <c:smooth val="0"/>
          <c:extLst>
            <c:ext xmlns:c16="http://schemas.microsoft.com/office/drawing/2014/chart" uri="{C3380CC4-5D6E-409C-BE32-E72D297353CC}">
              <c16:uniqueId val="{00000002-89E7-4630-B13F-323630123E3C}"/>
            </c:ext>
          </c:extLst>
        </c:ser>
        <c:dLbls>
          <c:showLegendKey val="0"/>
          <c:showVal val="0"/>
          <c:showCatName val="0"/>
          <c:showSerName val="0"/>
          <c:showPercent val="0"/>
          <c:showBubbleSize val="0"/>
        </c:dLbls>
        <c:smooth val="0"/>
        <c:axId val="903251568"/>
        <c:axId val="903247960"/>
      </c:lineChart>
      <c:catAx>
        <c:axId val="90325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247960"/>
        <c:crosses val="autoZero"/>
        <c:auto val="1"/>
        <c:lblAlgn val="ctr"/>
        <c:lblOffset val="100"/>
        <c:noMultiLvlLbl val="0"/>
      </c:catAx>
      <c:valAx>
        <c:axId val="903247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25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uptake'!$B$3</c:f>
              <c:strCache>
                <c:ptCount val="1"/>
                <c:pt idx="0">
                  <c:v> EV %sales</c:v>
                </c:pt>
              </c:strCache>
            </c:strRef>
          </c:tx>
          <c:spPr>
            <a:ln w="47625" cap="rnd">
              <a:solidFill>
                <a:schemeClr val="tx1"/>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uptake'!$B$4:$B$45</c:f>
              <c:numCache>
                <c:formatCode>0.00</c:formatCode>
                <c:ptCount val="42"/>
                <c:pt idx="0">
                  <c:v>0</c:v>
                </c:pt>
                <c:pt idx="1">
                  <c:v>0</c:v>
                </c:pt>
                <c:pt idx="2">
                  <c:v>0</c:v>
                </c:pt>
                <c:pt idx="3">
                  <c:v>0</c:v>
                </c:pt>
                <c:pt idx="4">
                  <c:v>8.5561497326203211E-3</c:v>
                </c:pt>
                <c:pt idx="5">
                  <c:v>0.11238938053097347</c:v>
                </c:pt>
                <c:pt idx="6">
                  <c:v>0.11847389558232932</c:v>
                </c:pt>
                <c:pt idx="7">
                  <c:v>0.27782101167315176</c:v>
                </c:pt>
                <c:pt idx="8">
                  <c:v>0.40622710622710623</c:v>
                </c:pt>
                <c:pt idx="9">
                  <c:v>0.58555555555555561</c:v>
                </c:pt>
              </c:numCache>
            </c:numRef>
          </c:val>
          <c:smooth val="0"/>
          <c:extLst>
            <c:ext xmlns:c16="http://schemas.microsoft.com/office/drawing/2014/chart" uri="{C3380CC4-5D6E-409C-BE32-E72D297353CC}">
              <c16:uniqueId val="{00000000-E117-4521-B6BC-474771380FFF}"/>
            </c:ext>
          </c:extLst>
        </c:ser>
        <c:ser>
          <c:idx val="3"/>
          <c:order val="1"/>
          <c:tx>
            <c:strRef>
              <c:f>'New Zealand EV uptake'!$AB$3</c:f>
              <c:strCache>
                <c:ptCount val="1"/>
                <c:pt idx="0">
                  <c:v>predicted raw</c:v>
                </c:pt>
              </c:strCache>
            </c:strRef>
          </c:tx>
          <c:spPr>
            <a:ln w="28575" cap="rnd">
              <a:solidFill>
                <a:schemeClr val="accent4"/>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uptake'!$AB$4:$AB$45</c:f>
              <c:numCache>
                <c:formatCode>0.00</c:formatCode>
                <c:ptCount val="42"/>
                <c:pt idx="1">
                  <c:v>2.1888993231889326E-2</c:v>
                </c:pt>
                <c:pt idx="2">
                  <c:v>3.3181380766074499E-2</c:v>
                </c:pt>
                <c:pt idx="3">
                  <c:v>5.0294927467282827E-2</c:v>
                </c:pt>
                <c:pt idx="4">
                  <c:v>7.6224558672425224E-2</c:v>
                </c:pt>
                <c:pt idx="5">
                  <c:v>0.11549848108329042</c:v>
                </c:pt>
                <c:pt idx="6">
                  <c:v>0.11847389558232939</c:v>
                </c:pt>
                <c:pt idx="7">
                  <c:v>0.26488873951865571</c:v>
                </c:pt>
                <c:pt idx="8">
                  <c:v>0.40076989322369888</c:v>
                </c:pt>
                <c:pt idx="9">
                  <c:v>0.60570241577331663</c:v>
                </c:pt>
                <c:pt idx="10">
                  <c:v>0.91394400665760067</c:v>
                </c:pt>
                <c:pt idx="11">
                  <c:v>1.3756983661601709</c:v>
                </c:pt>
                <c:pt idx="12">
                  <c:v>2.0632352831504894</c:v>
                </c:pt>
                <c:pt idx="13">
                  <c:v>3.0777626865267869</c:v>
                </c:pt>
                <c:pt idx="14">
                  <c:v>4.5550452562582526</c:v>
                </c:pt>
                <c:pt idx="15">
                  <c:v>6.6650803900395221</c:v>
                </c:pt>
                <c:pt idx="16">
                  <c:v>9.5973526779353122</c:v>
                </c:pt>
                <c:pt idx="17">
                  <c:v>13.520664050956489</c:v>
                </c:pt>
                <c:pt idx="18">
                  <c:v>18.511901087386413</c:v>
                </c:pt>
                <c:pt idx="19">
                  <c:v>24.469860094022749</c:v>
                </c:pt>
                <c:pt idx="20">
                  <c:v>31.064030092641175</c:v>
                </c:pt>
                <c:pt idx="21">
                  <c:v>37.778828723190486</c:v>
                </c:pt>
                <c:pt idx="22">
                  <c:v>44.060588758828594</c:v>
                </c:pt>
                <c:pt idx="23">
                  <c:v>49.487942130385711</c:v>
                </c:pt>
                <c:pt idx="24">
                  <c:v>53.864100890929627</c:v>
                </c:pt>
                <c:pt idx="25">
                  <c:v>57.200266309652122</c:v>
                </c:pt>
                <c:pt idx="26">
                  <c:v>59.636483712964129</c:v>
                </c:pt>
                <c:pt idx="27">
                  <c:v>61.360178858851896</c:v>
                </c:pt>
                <c:pt idx="28">
                  <c:v>62.552655924755371</c:v>
                </c:pt>
                <c:pt idx="29">
                  <c:v>63.364864897317197</c:v>
                </c:pt>
                <c:pt idx="30">
                  <c:v>63.912210608218167</c:v>
                </c:pt>
                <c:pt idx="31">
                  <c:v>64.278424047159135</c:v>
                </c:pt>
                <c:pt idx="32">
                  <c:v>64.522270211790953</c:v>
                </c:pt>
                <c:pt idx="33">
                  <c:v>64.684117048028355</c:v>
                </c:pt>
                <c:pt idx="34">
                  <c:v>64.791310236292603</c:v>
                </c:pt>
                <c:pt idx="35">
                  <c:v>64.862205479549402</c:v>
                </c:pt>
                <c:pt idx="36">
                  <c:v>64.909050285094935</c:v>
                </c:pt>
                <c:pt idx="37">
                  <c:v>64.939984404675201</c:v>
                </c:pt>
                <c:pt idx="38">
                  <c:v>64.960403526980613</c:v>
                </c:pt>
                <c:pt idx="39">
                  <c:v>64.97387824023086</c:v>
                </c:pt>
                <c:pt idx="40">
                  <c:v>64.982768713498544</c:v>
                </c:pt>
                <c:pt idx="41">
                  <c:v>64.988633866544433</c:v>
                </c:pt>
              </c:numCache>
            </c:numRef>
          </c:val>
          <c:smooth val="0"/>
          <c:extLst>
            <c:ext xmlns:c16="http://schemas.microsoft.com/office/drawing/2014/chart" uri="{C3380CC4-5D6E-409C-BE32-E72D297353CC}">
              <c16:uniqueId val="{00000003-E117-4521-B6BC-474771380FFF}"/>
            </c:ext>
          </c:extLst>
        </c:ser>
        <c:dLbls>
          <c:showLegendKey val="0"/>
          <c:showVal val="0"/>
          <c:showCatName val="0"/>
          <c:showSerName val="0"/>
          <c:showPercent val="0"/>
          <c:showBubbleSize val="0"/>
        </c:dLbls>
        <c:smooth val="0"/>
        <c:axId val="864142392"/>
        <c:axId val="864142720"/>
      </c:lineChart>
      <c:catAx>
        <c:axId val="86414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720"/>
        <c:crosses val="autoZero"/>
        <c:auto val="1"/>
        <c:lblAlgn val="ctr"/>
        <c:lblOffset val="100"/>
        <c:noMultiLvlLbl val="0"/>
      </c:catAx>
      <c:valAx>
        <c:axId val="864142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uptake'!$B$3</c:f>
              <c:strCache>
                <c:ptCount val="1"/>
                <c:pt idx="0">
                  <c:v> EV %sales</c:v>
                </c:pt>
              </c:strCache>
            </c:strRef>
          </c:tx>
          <c:spPr>
            <a:ln w="47625" cap="rnd">
              <a:solidFill>
                <a:schemeClr val="tx1"/>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uptake'!$B$4:$B$45</c:f>
              <c:numCache>
                <c:formatCode>0.00</c:formatCode>
                <c:ptCount val="42"/>
                <c:pt idx="0">
                  <c:v>0</c:v>
                </c:pt>
                <c:pt idx="1">
                  <c:v>0</c:v>
                </c:pt>
                <c:pt idx="2">
                  <c:v>0</c:v>
                </c:pt>
                <c:pt idx="3">
                  <c:v>0</c:v>
                </c:pt>
                <c:pt idx="4">
                  <c:v>8.5561497326203211E-3</c:v>
                </c:pt>
                <c:pt idx="5">
                  <c:v>0.11238938053097347</c:v>
                </c:pt>
                <c:pt idx="6">
                  <c:v>0.11847389558232932</c:v>
                </c:pt>
                <c:pt idx="7">
                  <c:v>0.27782101167315176</c:v>
                </c:pt>
                <c:pt idx="8">
                  <c:v>0.40622710622710623</c:v>
                </c:pt>
                <c:pt idx="9">
                  <c:v>0.58555555555555561</c:v>
                </c:pt>
              </c:numCache>
            </c:numRef>
          </c:val>
          <c:smooth val="0"/>
          <c:extLst>
            <c:ext xmlns:c16="http://schemas.microsoft.com/office/drawing/2014/chart" uri="{C3380CC4-5D6E-409C-BE32-E72D297353CC}">
              <c16:uniqueId val="{00000000-F70D-4AA0-BFAB-5300C1F37691}"/>
            </c:ext>
          </c:extLst>
        </c:ser>
        <c:ser>
          <c:idx val="2"/>
          <c:order val="1"/>
          <c:tx>
            <c:strRef>
              <c:f>'New Zealand EV uptake'!$L$3</c:f>
              <c:strCache>
                <c:ptCount val="1"/>
                <c:pt idx="0">
                  <c:v>Predicted Cost</c:v>
                </c:pt>
              </c:strCache>
            </c:strRef>
          </c:tx>
          <c:spPr>
            <a:ln w="28575" cap="rnd">
              <a:solidFill>
                <a:schemeClr val="accent3"/>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uptake'!$L$4:$L$45</c:f>
              <c:numCache>
                <c:formatCode>0.00</c:formatCode>
                <c:ptCount val="42"/>
                <c:pt idx="3" formatCode="0.000">
                  <c:v>5.0294927467282827E-2</c:v>
                </c:pt>
                <c:pt idx="4" formatCode="0.000">
                  <c:v>7.6224558672425224E-2</c:v>
                </c:pt>
                <c:pt idx="5" formatCode="0.000">
                  <c:v>7.6224558672425224E-2</c:v>
                </c:pt>
                <c:pt idx="6" formatCode="0.000">
                  <c:v>0.11847389558232939</c:v>
                </c:pt>
                <c:pt idx="7" formatCode="0.000">
                  <c:v>0.26488873951865571</c:v>
                </c:pt>
                <c:pt idx="8" formatCode="0.000">
                  <c:v>0.40076989322369888</c:v>
                </c:pt>
                <c:pt idx="9" formatCode="0.000">
                  <c:v>0.60570241577331663</c:v>
                </c:pt>
                <c:pt idx="10" formatCode="0.000">
                  <c:v>0.91394400665760067</c:v>
                </c:pt>
                <c:pt idx="11" formatCode="0.000">
                  <c:v>1.6072685516536729</c:v>
                </c:pt>
                <c:pt idx="12" formatCode="0.000">
                  <c:v>2.3971371197506599</c:v>
                </c:pt>
                <c:pt idx="13" formatCode="0.000">
                  <c:v>4.1338188540062024</c:v>
                </c:pt>
                <c:pt idx="14" formatCode="0.000">
                  <c:v>6.5628119909654661</c:v>
                </c:pt>
                <c:pt idx="15" formatCode="0.000">
                  <c:v>11.044136953139917</c:v>
                </c:pt>
                <c:pt idx="16" formatCode="0.000">
                  <c:v>16.641390434362798</c:v>
                </c:pt>
                <c:pt idx="17" formatCode="0.000">
                  <c:v>23.286147127749242</c:v>
                </c:pt>
                <c:pt idx="18" formatCode="0.000">
                  <c:v>30.178794343927898</c:v>
                </c:pt>
                <c:pt idx="19" formatCode="0.000">
                  <c:v>37.372249959813743</c:v>
                </c:pt>
                <c:pt idx="20" formatCode="0.000">
                  <c:v>43.251098119195113</c:v>
                </c:pt>
                <c:pt idx="21" formatCode="0.000">
                  <c:v>48.478345362597302</c:v>
                </c:pt>
                <c:pt idx="22" formatCode="0.000">
                  <c:v>52.849876360552038</c:v>
                </c:pt>
                <c:pt idx="23" formatCode="0.000">
                  <c:v>56.309794380556696</c:v>
                </c:pt>
                <c:pt idx="24" formatCode="0.000">
                  <c:v>58.922737139430623</c:v>
                </c:pt>
                <c:pt idx="25" formatCode="0.000">
                  <c:v>60.822889940708151</c:v>
                </c:pt>
                <c:pt idx="26" formatCode="0.000">
                  <c:v>62.165278800421355</c:v>
                </c:pt>
                <c:pt idx="27" formatCode="0.000">
                  <c:v>63.093666867260353</c:v>
                </c:pt>
                <c:pt idx="28" formatCode="0.000">
                  <c:v>63.726085137848166</c:v>
                </c:pt>
                <c:pt idx="29" formatCode="0.000">
                  <c:v>64.152377362502762</c:v>
                </c:pt>
                <c:pt idx="30" formatCode="0.000">
                  <c:v>64.437666430297838</c:v>
                </c:pt>
                <c:pt idx="31" formatCode="0.000">
                  <c:v>64.627665404564098</c:v>
                </c:pt>
                <c:pt idx="32" formatCode="0.000">
                  <c:v>64.753790652151253</c:v>
                </c:pt>
                <c:pt idx="33" formatCode="0.000">
                  <c:v>64.837333490728113</c:v>
                </c:pt>
                <c:pt idx="34" formatCode="0.000">
                  <c:v>64.892590786518539</c:v>
                </c:pt>
                <c:pt idx="35" formatCode="0.000">
                  <c:v>64.929104387306197</c:v>
                </c:pt>
                <c:pt idx="36" formatCode="0.000">
                  <c:v>64.953217034096028</c:v>
                </c:pt>
                <c:pt idx="37" formatCode="0.000">
                  <c:v>64.969133750385936</c:v>
                </c:pt>
                <c:pt idx="38" formatCode="0.000">
                  <c:v>64.979637445470473</c:v>
                </c:pt>
                <c:pt idx="39" formatCode="0.000">
                  <c:v>64.986567737648357</c:v>
                </c:pt>
                <c:pt idx="40" formatCode="0.000">
                  <c:v>64.991139763951281</c:v>
                </c:pt>
                <c:pt idx="41" formatCode="0.000">
                  <c:v>64.994155764467763</c:v>
                </c:pt>
              </c:numCache>
            </c:numRef>
          </c:val>
          <c:smooth val="0"/>
          <c:extLst>
            <c:ext xmlns:c16="http://schemas.microsoft.com/office/drawing/2014/chart" uri="{C3380CC4-5D6E-409C-BE32-E72D297353CC}">
              <c16:uniqueId val="{00000002-F70D-4AA0-BFAB-5300C1F37691}"/>
            </c:ext>
          </c:extLst>
        </c:ser>
        <c:ser>
          <c:idx val="3"/>
          <c:order val="2"/>
          <c:tx>
            <c:strRef>
              <c:f>'New Zealand EV uptake'!$AB$3</c:f>
              <c:strCache>
                <c:ptCount val="1"/>
                <c:pt idx="0">
                  <c:v>predicted raw</c:v>
                </c:pt>
              </c:strCache>
            </c:strRef>
          </c:tx>
          <c:spPr>
            <a:ln w="28575" cap="rnd">
              <a:solidFill>
                <a:schemeClr val="accent4"/>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uptake'!$AB$4:$AB$45</c:f>
              <c:numCache>
                <c:formatCode>0.00</c:formatCode>
                <c:ptCount val="42"/>
                <c:pt idx="1">
                  <c:v>2.1888993231889326E-2</c:v>
                </c:pt>
                <c:pt idx="2">
                  <c:v>3.3181380766074499E-2</c:v>
                </c:pt>
                <c:pt idx="3">
                  <c:v>5.0294927467282827E-2</c:v>
                </c:pt>
                <c:pt idx="4">
                  <c:v>7.6224558672425224E-2</c:v>
                </c:pt>
                <c:pt idx="5">
                  <c:v>0.11549848108329042</c:v>
                </c:pt>
                <c:pt idx="6">
                  <c:v>0.11847389558232939</c:v>
                </c:pt>
                <c:pt idx="7">
                  <c:v>0.26488873951865571</c:v>
                </c:pt>
                <c:pt idx="8">
                  <c:v>0.40076989322369888</c:v>
                </c:pt>
                <c:pt idx="9">
                  <c:v>0.60570241577331663</c:v>
                </c:pt>
                <c:pt idx="10">
                  <c:v>0.91394400665760067</c:v>
                </c:pt>
                <c:pt idx="11">
                  <c:v>1.3756983661601709</c:v>
                </c:pt>
                <c:pt idx="12">
                  <c:v>2.0632352831504894</c:v>
                </c:pt>
                <c:pt idx="13">
                  <c:v>3.0777626865267869</c:v>
                </c:pt>
                <c:pt idx="14">
                  <c:v>4.5550452562582526</c:v>
                </c:pt>
                <c:pt idx="15">
                  <c:v>6.6650803900395221</c:v>
                </c:pt>
                <c:pt idx="16">
                  <c:v>9.5973526779353122</c:v>
                </c:pt>
                <c:pt idx="17">
                  <c:v>13.520664050956489</c:v>
                </c:pt>
                <c:pt idx="18">
                  <c:v>18.511901087386413</c:v>
                </c:pt>
                <c:pt idx="19">
                  <c:v>24.469860094022749</c:v>
                </c:pt>
                <c:pt idx="20">
                  <c:v>31.064030092641175</c:v>
                </c:pt>
                <c:pt idx="21">
                  <c:v>37.778828723190486</c:v>
                </c:pt>
                <c:pt idx="22">
                  <c:v>44.060588758828594</c:v>
                </c:pt>
                <c:pt idx="23">
                  <c:v>49.487942130385711</c:v>
                </c:pt>
                <c:pt idx="24">
                  <c:v>53.864100890929627</c:v>
                </c:pt>
                <c:pt idx="25">
                  <c:v>57.200266309652122</c:v>
                </c:pt>
                <c:pt idx="26">
                  <c:v>59.636483712964129</c:v>
                </c:pt>
                <c:pt idx="27">
                  <c:v>61.360178858851896</c:v>
                </c:pt>
                <c:pt idx="28">
                  <c:v>62.552655924755371</c:v>
                </c:pt>
                <c:pt idx="29">
                  <c:v>63.364864897317197</c:v>
                </c:pt>
                <c:pt idx="30">
                  <c:v>63.912210608218167</c:v>
                </c:pt>
                <c:pt idx="31">
                  <c:v>64.278424047159135</c:v>
                </c:pt>
                <c:pt idx="32">
                  <c:v>64.522270211790953</c:v>
                </c:pt>
                <c:pt idx="33">
                  <c:v>64.684117048028355</c:v>
                </c:pt>
                <c:pt idx="34">
                  <c:v>64.791310236292603</c:v>
                </c:pt>
                <c:pt idx="35">
                  <c:v>64.862205479549402</c:v>
                </c:pt>
                <c:pt idx="36">
                  <c:v>64.909050285094935</c:v>
                </c:pt>
                <c:pt idx="37">
                  <c:v>64.939984404675201</c:v>
                </c:pt>
                <c:pt idx="38">
                  <c:v>64.960403526980613</c:v>
                </c:pt>
                <c:pt idx="39">
                  <c:v>64.97387824023086</c:v>
                </c:pt>
                <c:pt idx="40">
                  <c:v>64.982768713498544</c:v>
                </c:pt>
                <c:pt idx="41">
                  <c:v>64.988633866544433</c:v>
                </c:pt>
              </c:numCache>
            </c:numRef>
          </c:val>
          <c:smooth val="0"/>
          <c:extLst>
            <c:ext xmlns:c16="http://schemas.microsoft.com/office/drawing/2014/chart" uri="{C3380CC4-5D6E-409C-BE32-E72D297353CC}">
              <c16:uniqueId val="{00000003-F70D-4AA0-BFAB-5300C1F37691}"/>
            </c:ext>
          </c:extLst>
        </c:ser>
        <c:dLbls>
          <c:showLegendKey val="0"/>
          <c:showVal val="0"/>
          <c:showCatName val="0"/>
          <c:showSerName val="0"/>
          <c:showPercent val="0"/>
          <c:showBubbleSize val="0"/>
        </c:dLbls>
        <c:smooth val="0"/>
        <c:axId val="864142392"/>
        <c:axId val="864142720"/>
      </c:lineChart>
      <c:catAx>
        <c:axId val="86414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720"/>
        <c:crosses val="autoZero"/>
        <c:auto val="1"/>
        <c:lblAlgn val="ctr"/>
        <c:lblOffset val="100"/>
        <c:noMultiLvlLbl val="0"/>
      </c:catAx>
      <c:valAx>
        <c:axId val="864142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%sales 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65696325534987E-2"/>
          <c:y val="8.9246968343143926E-2"/>
          <c:w val="0.94214352238637977"/>
          <c:h val="0.82635849527053196"/>
        </c:manualLayout>
      </c:layout>
      <c:lineChart>
        <c:grouping val="standard"/>
        <c:varyColors val="0"/>
        <c:ser>
          <c:idx val="16"/>
          <c:order val="0"/>
          <c:tx>
            <c:strRef>
              <c:f>'EV %sales'!$R$62</c:f>
              <c:strCache>
                <c:ptCount val="1"/>
                <c:pt idx="0">
                  <c:v>Norway</c:v>
                </c:pt>
              </c:strCache>
            </c:strRef>
          </c:tx>
          <c:spPr>
            <a:ln w="28575" cap="rnd">
              <a:solidFill>
                <a:schemeClr val="accent5">
                  <a:lumMod val="80000"/>
                  <a:lumOff val="2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%sales'!$R$67:$R$75</c:f>
              <c:numCache>
                <c:formatCode>0.00</c:formatCode>
                <c:ptCount val="9"/>
                <c:pt idx="0">
                  <c:v>0.15606789967063592</c:v>
                </c:pt>
                <c:pt idx="1">
                  <c:v>0.30527419885091661</c:v>
                </c:pt>
                <c:pt idx="2">
                  <c:v>1.3300083125519535</c:v>
                </c:pt>
                <c:pt idx="3">
                  <c:v>3.5243461204841871</c:v>
                </c:pt>
                <c:pt idx="4">
                  <c:v>5.9936264957685834</c:v>
                </c:pt>
                <c:pt idx="5">
                  <c:v>13.7029999583917</c:v>
                </c:pt>
                <c:pt idx="6">
                  <c:v>23.63192333727088</c:v>
                </c:pt>
                <c:pt idx="7">
                  <c:v>29.047301798800802</c:v>
                </c:pt>
                <c:pt idx="8">
                  <c:v>39.277024897573277</c:v>
                </c:pt>
              </c:numCache>
            </c:numRef>
          </c:val>
          <c:smooth val="0"/>
          <c:extLst>
            <c:ext xmlns:c16="http://schemas.microsoft.com/office/drawing/2014/chart" uri="{C3380CC4-5D6E-409C-BE32-E72D297353CC}">
              <c16:uniqueId val="{00000010-9095-4A5C-9125-CCD120E078AF}"/>
            </c:ext>
          </c:extLst>
        </c:ser>
        <c:ser>
          <c:idx val="14"/>
          <c:order val="1"/>
          <c:tx>
            <c:strRef>
              <c:f>'EV %sales'!$P$62</c:f>
              <c:strCache>
                <c:ptCount val="1"/>
                <c:pt idx="0">
                  <c:v>Netherlands</c:v>
                </c:pt>
              </c:strCache>
            </c:strRef>
          </c:tx>
          <c:spPr>
            <a:ln w="28575" cap="rnd">
              <a:solidFill>
                <a:schemeClr val="accent3">
                  <a:lumMod val="80000"/>
                  <a:lumOff val="2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%sales'!$P$67:$P$75</c:f>
              <c:numCache>
                <c:formatCode>0.00</c:formatCode>
                <c:ptCount val="9"/>
                <c:pt idx="0">
                  <c:v>7.7463534041350025E-3</c:v>
                </c:pt>
                <c:pt idx="1">
                  <c:v>2.4841583154094411E-2</c:v>
                </c:pt>
                <c:pt idx="2">
                  <c:v>0.15829701196401622</c:v>
                </c:pt>
                <c:pt idx="3">
                  <c:v>1.0188223448435052</c:v>
                </c:pt>
                <c:pt idx="4">
                  <c:v>5.3761893799877232</c:v>
                </c:pt>
                <c:pt idx="5">
                  <c:v>3.8909301875846061</c:v>
                </c:pt>
                <c:pt idx="6">
                  <c:v>9.675322952863473</c:v>
                </c:pt>
                <c:pt idx="7">
                  <c:v>5.9516815787968742</c:v>
                </c:pt>
                <c:pt idx="8">
                  <c:v>2.6418232523460965</c:v>
                </c:pt>
              </c:numCache>
            </c:numRef>
          </c:val>
          <c:smooth val="0"/>
          <c:extLst>
            <c:ext xmlns:c16="http://schemas.microsoft.com/office/drawing/2014/chart" uri="{C3380CC4-5D6E-409C-BE32-E72D297353CC}">
              <c16:uniqueId val="{0000000E-9095-4A5C-9125-CCD120E078AF}"/>
            </c:ext>
          </c:extLst>
        </c:ser>
        <c:ser>
          <c:idx val="18"/>
          <c:order val="2"/>
          <c:tx>
            <c:strRef>
              <c:f>'EV %sales'!$T$62</c:f>
              <c:strCache>
                <c:ptCount val="1"/>
                <c:pt idx="0">
                  <c:v>Sweden </c:v>
                </c:pt>
              </c:strCache>
            </c:strRef>
          </c:tx>
          <c:spPr>
            <a:ln w="28575" cap="rnd">
              <a:solidFill>
                <a:schemeClr val="accent1">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%sales'!$T$67:$T$75</c:f>
              <c:numCache>
                <c:formatCode>0.00</c:formatCode>
                <c:ptCount val="9"/>
                <c:pt idx="0">
                  <c:v>0</c:v>
                </c:pt>
                <c:pt idx="1">
                  <c:v>2.0776126845179765E-2</c:v>
                </c:pt>
                <c:pt idx="2">
                  <c:v>6.0003344448706981E-2</c:v>
                </c:pt>
                <c:pt idx="3">
                  <c:v>0.34191393201021814</c:v>
                </c:pt>
                <c:pt idx="4">
                  <c:v>0.57725411052412889</c:v>
                </c:pt>
                <c:pt idx="5">
                  <c:v>1.5381021628841962</c:v>
                </c:pt>
                <c:pt idx="6">
                  <c:v>2.5180669127746258</c:v>
                </c:pt>
                <c:pt idx="7">
                  <c:v>3.5563684807073526</c:v>
                </c:pt>
                <c:pt idx="8">
                  <c:v>5.1830160282345741</c:v>
                </c:pt>
              </c:numCache>
            </c:numRef>
          </c:val>
          <c:smooth val="0"/>
          <c:extLst>
            <c:ext xmlns:c16="http://schemas.microsoft.com/office/drawing/2014/chart" uri="{C3380CC4-5D6E-409C-BE32-E72D297353CC}">
              <c16:uniqueId val="{00000012-9095-4A5C-9125-CCD120E078AF}"/>
            </c:ext>
          </c:extLst>
        </c:ser>
        <c:ser>
          <c:idx val="0"/>
          <c:order val="3"/>
          <c:tx>
            <c:strRef>
              <c:f>'EV %sales'!$Y$62</c:f>
              <c:strCache>
                <c:ptCount val="1"/>
                <c:pt idx="0">
                  <c:v>Total</c:v>
                </c:pt>
              </c:strCache>
            </c:strRef>
          </c:tx>
          <c:spPr>
            <a:ln w="41275" cap="rnd">
              <a:solidFill>
                <a:schemeClr val="tx1"/>
              </a:solidFill>
              <a:round/>
            </a:ln>
            <a:effectLst/>
          </c:spPr>
          <c:marker>
            <c:symbol val="none"/>
          </c:marker>
          <c:val>
            <c:numRef>
              <c:f>'EV %sales'!$Y$67:$Y$75</c:f>
              <c:numCache>
                <c:formatCode>0.00</c:formatCode>
                <c:ptCount val="9"/>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numCache>
            </c:numRef>
          </c:val>
          <c:smooth val="0"/>
          <c:extLst>
            <c:ext xmlns:c16="http://schemas.microsoft.com/office/drawing/2014/chart" uri="{C3380CC4-5D6E-409C-BE32-E72D297353CC}">
              <c16:uniqueId val="{00000018-9095-4A5C-9125-CCD120E078AF}"/>
            </c:ext>
          </c:extLst>
        </c:ser>
        <c:dLbls>
          <c:showLegendKey val="0"/>
          <c:showVal val="0"/>
          <c:showCatName val="0"/>
          <c:showSerName val="0"/>
          <c:showPercent val="0"/>
          <c:showBubbleSize val="0"/>
        </c:dLbls>
        <c:smooth val="0"/>
        <c:axId val="767518408"/>
        <c:axId val="767519064"/>
      </c:lineChart>
      <c:catAx>
        <c:axId val="76751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9064"/>
        <c:crosses val="autoZero"/>
        <c:auto val="1"/>
        <c:lblAlgn val="ctr"/>
        <c:lblOffset val="100"/>
        <c:noMultiLvlLbl val="0"/>
      </c:catAx>
      <c:valAx>
        <c:axId val="767519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8408"/>
        <c:crosses val="autoZero"/>
        <c:crossBetween val="between"/>
      </c:valAx>
      <c:spPr>
        <a:noFill/>
        <a:ln>
          <a:noFill/>
        </a:ln>
        <a:effectLst/>
      </c:spPr>
    </c:plotArea>
    <c:legend>
      <c:legendPos val="b"/>
      <c:layout>
        <c:manualLayout>
          <c:xMode val="edge"/>
          <c:yMode val="edge"/>
          <c:x val="9.321587926509188E-2"/>
          <c:y val="0.25859362555878845"/>
          <c:w val="0.16376696857190087"/>
          <c:h val="0.364323102965370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 EV uptake'!$B$3</c:f>
              <c:strCache>
                <c:ptCount val="1"/>
                <c:pt idx="0">
                  <c:v> EV %sales</c:v>
                </c:pt>
              </c:strCache>
            </c:strRef>
          </c:tx>
          <c:spPr>
            <a:ln w="47625" cap="rnd">
              <a:solidFill>
                <a:schemeClr val="tx1"/>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uptake'!$B$4:$B$45</c:f>
              <c:numCache>
                <c:formatCode>0.00</c:formatCode>
                <c:ptCount val="42"/>
                <c:pt idx="0">
                  <c:v>0</c:v>
                </c:pt>
                <c:pt idx="1">
                  <c:v>0</c:v>
                </c:pt>
                <c:pt idx="2">
                  <c:v>0</c:v>
                </c:pt>
                <c:pt idx="3">
                  <c:v>0</c:v>
                </c:pt>
                <c:pt idx="4">
                  <c:v>8.5561497326203211E-3</c:v>
                </c:pt>
                <c:pt idx="5">
                  <c:v>0.11238938053097347</c:v>
                </c:pt>
                <c:pt idx="6">
                  <c:v>0.11847389558232932</c:v>
                </c:pt>
                <c:pt idx="7">
                  <c:v>0.27782101167315176</c:v>
                </c:pt>
                <c:pt idx="8">
                  <c:v>0.40622710622710623</c:v>
                </c:pt>
                <c:pt idx="9">
                  <c:v>0.58555555555555561</c:v>
                </c:pt>
              </c:numCache>
            </c:numRef>
          </c:val>
          <c:smooth val="0"/>
          <c:extLst>
            <c:ext xmlns:c16="http://schemas.microsoft.com/office/drawing/2014/chart" uri="{C3380CC4-5D6E-409C-BE32-E72D297353CC}">
              <c16:uniqueId val="{00000000-D7B5-459A-9F18-A4419DC02BF6}"/>
            </c:ext>
          </c:extLst>
        </c:ser>
        <c:ser>
          <c:idx val="1"/>
          <c:order val="1"/>
          <c:tx>
            <c:strRef>
              <c:f>'New Zealand EV uptake'!$C$3</c:f>
              <c:strCache>
                <c:ptCount val="1"/>
                <c:pt idx="0">
                  <c:v>Predicted Cost Lagged</c:v>
                </c:pt>
              </c:strCache>
            </c:strRef>
          </c:tx>
          <c:spPr>
            <a:ln w="28575" cap="rnd">
              <a:solidFill>
                <a:schemeClr val="accent2"/>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uptake'!$C$4:$C$45</c:f>
              <c:numCache>
                <c:formatCode>0.00</c:formatCode>
                <c:ptCount val="42"/>
                <c:pt idx="3">
                  <c:v>5.0294927467282827E-2</c:v>
                </c:pt>
                <c:pt idx="4">
                  <c:v>7.6224558672425224E-2</c:v>
                </c:pt>
                <c:pt idx="5">
                  <c:v>7.6224558672425224E-2</c:v>
                </c:pt>
                <c:pt idx="6">
                  <c:v>0.11847389558232939</c:v>
                </c:pt>
                <c:pt idx="7">
                  <c:v>0.26488873951865571</c:v>
                </c:pt>
                <c:pt idx="8">
                  <c:v>0.40076989322369888</c:v>
                </c:pt>
                <c:pt idx="9">
                  <c:v>0.60570241577331663</c:v>
                </c:pt>
                <c:pt idx="10">
                  <c:v>0.91394400665760067</c:v>
                </c:pt>
                <c:pt idx="11">
                  <c:v>1.4577469580307734</c:v>
                </c:pt>
                <c:pt idx="12">
                  <c:v>2.7577063663501185</c:v>
                </c:pt>
                <c:pt idx="13">
                  <c:v>4.0555904034033849</c:v>
                </c:pt>
                <c:pt idx="14">
                  <c:v>5.7796746796103458</c:v>
                </c:pt>
                <c:pt idx="15">
                  <c:v>7.9199890011022029</c:v>
                </c:pt>
                <c:pt idx="16">
                  <c:v>10.561998939520437</c:v>
                </c:pt>
                <c:pt idx="17">
                  <c:v>13.547688579025499</c:v>
                </c:pt>
                <c:pt idx="18">
                  <c:v>16.870385678585343</c:v>
                </c:pt>
                <c:pt idx="19">
                  <c:v>20.393496520207453</c:v>
                </c:pt>
                <c:pt idx="20">
                  <c:v>24.06561481942407</c:v>
                </c:pt>
                <c:pt idx="21">
                  <c:v>27.807344244802135</c:v>
                </c:pt>
                <c:pt idx="22">
                  <c:v>31.5665908451634</c:v>
                </c:pt>
                <c:pt idx="23">
                  <c:v>35.222121988058468</c:v>
                </c:pt>
                <c:pt idx="24">
                  <c:v>38.798280228540712</c:v>
                </c:pt>
                <c:pt idx="25">
                  <c:v>42.213655566163354</c:v>
                </c:pt>
                <c:pt idx="26">
                  <c:v>45.398426965543081</c:v>
                </c:pt>
                <c:pt idx="27">
                  <c:v>48.300623305289001</c:v>
                </c:pt>
                <c:pt idx="28">
                  <c:v>50.889499442911244</c:v>
                </c:pt>
                <c:pt idx="29">
                  <c:v>53.159468218956867</c:v>
                </c:pt>
                <c:pt idx="30">
                  <c:v>55.120868606155526</c:v>
                </c:pt>
                <c:pt idx="31">
                  <c:v>56.795666341264642</c:v>
                </c:pt>
                <c:pt idx="32">
                  <c:v>58.212804462082772</c:v>
                </c:pt>
                <c:pt idx="33">
                  <c:v>59.404149103004265</c:v>
                </c:pt>
                <c:pt idx="34">
                  <c:v>60.401469758266373</c:v>
                </c:pt>
                <c:pt idx="35">
                  <c:v>61.234495592324308</c:v>
                </c:pt>
                <c:pt idx="36">
                  <c:v>61.925766903370494</c:v>
                </c:pt>
                <c:pt idx="37">
                  <c:v>62.496303554397571</c:v>
                </c:pt>
                <c:pt idx="38">
                  <c:v>62.965086836825883</c:v>
                </c:pt>
                <c:pt idx="39">
                  <c:v>63.348846571271174</c:v>
                </c:pt>
                <c:pt idx="40">
                  <c:v>63.658576927282397</c:v>
                </c:pt>
                <c:pt idx="41">
                  <c:v>63.902240862092249</c:v>
                </c:pt>
              </c:numCache>
            </c:numRef>
          </c:val>
          <c:smooth val="0"/>
          <c:extLst>
            <c:ext xmlns:c16="http://schemas.microsoft.com/office/drawing/2014/chart" uri="{C3380CC4-5D6E-409C-BE32-E72D297353CC}">
              <c16:uniqueId val="{00000001-D7B5-459A-9F18-A4419DC02BF6}"/>
            </c:ext>
          </c:extLst>
        </c:ser>
        <c:ser>
          <c:idx val="2"/>
          <c:order val="2"/>
          <c:tx>
            <c:strRef>
              <c:f>'New Zealand EV uptake'!$L$3</c:f>
              <c:strCache>
                <c:ptCount val="1"/>
                <c:pt idx="0">
                  <c:v>Predicted Cost</c:v>
                </c:pt>
              </c:strCache>
            </c:strRef>
          </c:tx>
          <c:spPr>
            <a:ln w="28575" cap="rnd">
              <a:solidFill>
                <a:schemeClr val="accent3"/>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uptake'!$L$4:$L$45</c:f>
              <c:numCache>
                <c:formatCode>0.00</c:formatCode>
                <c:ptCount val="42"/>
                <c:pt idx="3" formatCode="0.000">
                  <c:v>5.0294927467282827E-2</c:v>
                </c:pt>
                <c:pt idx="4" formatCode="0.000">
                  <c:v>7.6224558672425224E-2</c:v>
                </c:pt>
                <c:pt idx="5" formatCode="0.000">
                  <c:v>7.6224558672425224E-2</c:v>
                </c:pt>
                <c:pt idx="6" formatCode="0.000">
                  <c:v>0.11847389558232939</c:v>
                </c:pt>
                <c:pt idx="7" formatCode="0.000">
                  <c:v>0.26488873951865571</c:v>
                </c:pt>
                <c:pt idx="8" formatCode="0.000">
                  <c:v>0.40076989322369888</c:v>
                </c:pt>
                <c:pt idx="9" formatCode="0.000">
                  <c:v>0.60570241577331663</c:v>
                </c:pt>
                <c:pt idx="10" formatCode="0.000">
                  <c:v>0.91394400665760067</c:v>
                </c:pt>
                <c:pt idx="11" formatCode="0.000">
                  <c:v>1.6072685516536729</c:v>
                </c:pt>
                <c:pt idx="12" formatCode="0.000">
                  <c:v>2.3971371197506599</c:v>
                </c:pt>
                <c:pt idx="13" formatCode="0.000">
                  <c:v>4.1338188540062024</c:v>
                </c:pt>
                <c:pt idx="14" formatCode="0.000">
                  <c:v>6.5628119909654661</c:v>
                </c:pt>
                <c:pt idx="15" formatCode="0.000">
                  <c:v>11.044136953139917</c:v>
                </c:pt>
                <c:pt idx="16" formatCode="0.000">
                  <c:v>16.641390434362798</c:v>
                </c:pt>
                <c:pt idx="17" formatCode="0.000">
                  <c:v>23.286147127749242</c:v>
                </c:pt>
                <c:pt idx="18" formatCode="0.000">
                  <c:v>30.178794343927898</c:v>
                </c:pt>
                <c:pt idx="19" formatCode="0.000">
                  <c:v>37.372249959813743</c:v>
                </c:pt>
                <c:pt idx="20" formatCode="0.000">
                  <c:v>43.251098119195113</c:v>
                </c:pt>
                <c:pt idx="21" formatCode="0.000">
                  <c:v>48.478345362597302</c:v>
                </c:pt>
                <c:pt idx="22" formatCode="0.000">
                  <c:v>52.849876360552038</c:v>
                </c:pt>
                <c:pt idx="23" formatCode="0.000">
                  <c:v>56.309794380556696</c:v>
                </c:pt>
                <c:pt idx="24" formatCode="0.000">
                  <c:v>58.922737139430623</c:v>
                </c:pt>
                <c:pt idx="25" formatCode="0.000">
                  <c:v>60.822889940708151</c:v>
                </c:pt>
                <c:pt idx="26" formatCode="0.000">
                  <c:v>62.165278800421355</c:v>
                </c:pt>
                <c:pt idx="27" formatCode="0.000">
                  <c:v>63.093666867260353</c:v>
                </c:pt>
                <c:pt idx="28" formatCode="0.000">
                  <c:v>63.726085137848166</c:v>
                </c:pt>
                <c:pt idx="29" formatCode="0.000">
                  <c:v>64.152377362502762</c:v>
                </c:pt>
                <c:pt idx="30" formatCode="0.000">
                  <c:v>64.437666430297838</c:v>
                </c:pt>
                <c:pt idx="31" formatCode="0.000">
                  <c:v>64.627665404564098</c:v>
                </c:pt>
                <c:pt idx="32" formatCode="0.000">
                  <c:v>64.753790652151253</c:v>
                </c:pt>
                <c:pt idx="33" formatCode="0.000">
                  <c:v>64.837333490728113</c:v>
                </c:pt>
                <c:pt idx="34" formatCode="0.000">
                  <c:v>64.892590786518539</c:v>
                </c:pt>
                <c:pt idx="35" formatCode="0.000">
                  <c:v>64.929104387306197</c:v>
                </c:pt>
                <c:pt idx="36" formatCode="0.000">
                  <c:v>64.953217034096028</c:v>
                </c:pt>
                <c:pt idx="37" formatCode="0.000">
                  <c:v>64.969133750385936</c:v>
                </c:pt>
                <c:pt idx="38" formatCode="0.000">
                  <c:v>64.979637445470473</c:v>
                </c:pt>
                <c:pt idx="39" formatCode="0.000">
                  <c:v>64.986567737648357</c:v>
                </c:pt>
                <c:pt idx="40" formatCode="0.000">
                  <c:v>64.991139763951281</c:v>
                </c:pt>
                <c:pt idx="41" formatCode="0.000">
                  <c:v>64.994155764467763</c:v>
                </c:pt>
              </c:numCache>
            </c:numRef>
          </c:val>
          <c:smooth val="0"/>
          <c:extLst>
            <c:ext xmlns:c16="http://schemas.microsoft.com/office/drawing/2014/chart" uri="{C3380CC4-5D6E-409C-BE32-E72D297353CC}">
              <c16:uniqueId val="{00000002-D7B5-459A-9F18-A4419DC02BF6}"/>
            </c:ext>
          </c:extLst>
        </c:ser>
        <c:ser>
          <c:idx val="3"/>
          <c:order val="3"/>
          <c:tx>
            <c:strRef>
              <c:f>'New Zealand EV uptake'!$AB$3</c:f>
              <c:strCache>
                <c:ptCount val="1"/>
                <c:pt idx="0">
                  <c:v>predicted raw</c:v>
                </c:pt>
              </c:strCache>
            </c:strRef>
          </c:tx>
          <c:spPr>
            <a:ln w="28575" cap="rnd">
              <a:solidFill>
                <a:schemeClr val="accent4"/>
              </a:solidFill>
              <a:round/>
            </a:ln>
            <a:effectLst/>
          </c:spPr>
          <c:marker>
            <c:symbol val="none"/>
          </c:marker>
          <c:cat>
            <c:numRef>
              <c:f>'New Zealand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'New Zealand EV uptake'!$AB$4:$AB$45</c:f>
              <c:numCache>
                <c:formatCode>0.00</c:formatCode>
                <c:ptCount val="42"/>
                <c:pt idx="1">
                  <c:v>2.1888993231889326E-2</c:v>
                </c:pt>
                <c:pt idx="2">
                  <c:v>3.3181380766074499E-2</c:v>
                </c:pt>
                <c:pt idx="3">
                  <c:v>5.0294927467282827E-2</c:v>
                </c:pt>
                <c:pt idx="4">
                  <c:v>7.6224558672425224E-2</c:v>
                </c:pt>
                <c:pt idx="5">
                  <c:v>0.11549848108329042</c:v>
                </c:pt>
                <c:pt idx="6">
                  <c:v>0.11847389558232939</c:v>
                </c:pt>
                <c:pt idx="7">
                  <c:v>0.26488873951865571</c:v>
                </c:pt>
                <c:pt idx="8">
                  <c:v>0.40076989322369888</c:v>
                </c:pt>
                <c:pt idx="9">
                  <c:v>0.60570241577331663</c:v>
                </c:pt>
                <c:pt idx="10">
                  <c:v>0.91394400665760067</c:v>
                </c:pt>
                <c:pt idx="11">
                  <c:v>1.3756983661601709</c:v>
                </c:pt>
                <c:pt idx="12">
                  <c:v>2.0632352831504894</c:v>
                </c:pt>
                <c:pt idx="13">
                  <c:v>3.0777626865267869</c:v>
                </c:pt>
                <c:pt idx="14">
                  <c:v>4.5550452562582526</c:v>
                </c:pt>
                <c:pt idx="15">
                  <c:v>6.6650803900395221</c:v>
                </c:pt>
                <c:pt idx="16">
                  <c:v>9.5973526779353122</c:v>
                </c:pt>
                <c:pt idx="17">
                  <c:v>13.520664050956489</c:v>
                </c:pt>
                <c:pt idx="18">
                  <c:v>18.511901087386413</c:v>
                </c:pt>
                <c:pt idx="19">
                  <c:v>24.469860094022749</c:v>
                </c:pt>
                <c:pt idx="20">
                  <c:v>31.064030092641175</c:v>
                </c:pt>
                <c:pt idx="21">
                  <c:v>37.778828723190486</c:v>
                </c:pt>
                <c:pt idx="22">
                  <c:v>44.060588758828594</c:v>
                </c:pt>
                <c:pt idx="23">
                  <c:v>49.487942130385711</c:v>
                </c:pt>
                <c:pt idx="24">
                  <c:v>53.864100890929627</c:v>
                </c:pt>
                <c:pt idx="25">
                  <c:v>57.200266309652122</c:v>
                </c:pt>
                <c:pt idx="26">
                  <c:v>59.636483712964129</c:v>
                </c:pt>
                <c:pt idx="27">
                  <c:v>61.360178858851896</c:v>
                </c:pt>
                <c:pt idx="28">
                  <c:v>62.552655924755371</c:v>
                </c:pt>
                <c:pt idx="29">
                  <c:v>63.364864897317197</c:v>
                </c:pt>
                <c:pt idx="30">
                  <c:v>63.912210608218167</c:v>
                </c:pt>
                <c:pt idx="31">
                  <c:v>64.278424047159135</c:v>
                </c:pt>
                <c:pt idx="32">
                  <c:v>64.522270211790953</c:v>
                </c:pt>
                <c:pt idx="33">
                  <c:v>64.684117048028355</c:v>
                </c:pt>
                <c:pt idx="34">
                  <c:v>64.791310236292603</c:v>
                </c:pt>
                <c:pt idx="35">
                  <c:v>64.862205479549402</c:v>
                </c:pt>
                <c:pt idx="36">
                  <c:v>64.909050285094935</c:v>
                </c:pt>
                <c:pt idx="37">
                  <c:v>64.939984404675201</c:v>
                </c:pt>
                <c:pt idx="38">
                  <c:v>64.960403526980613</c:v>
                </c:pt>
                <c:pt idx="39">
                  <c:v>64.97387824023086</c:v>
                </c:pt>
                <c:pt idx="40">
                  <c:v>64.982768713498544</c:v>
                </c:pt>
                <c:pt idx="41">
                  <c:v>64.988633866544433</c:v>
                </c:pt>
              </c:numCache>
            </c:numRef>
          </c:val>
          <c:smooth val="0"/>
          <c:extLst>
            <c:ext xmlns:c16="http://schemas.microsoft.com/office/drawing/2014/chart" uri="{C3380CC4-5D6E-409C-BE32-E72D297353CC}">
              <c16:uniqueId val="{00000003-D7B5-459A-9F18-A4419DC02BF6}"/>
            </c:ext>
          </c:extLst>
        </c:ser>
        <c:dLbls>
          <c:showLegendKey val="0"/>
          <c:showVal val="0"/>
          <c:showCatName val="0"/>
          <c:showSerName val="0"/>
          <c:showPercent val="0"/>
          <c:showBubbleSize val="0"/>
        </c:dLbls>
        <c:smooth val="0"/>
        <c:axId val="864142392"/>
        <c:axId val="864142720"/>
      </c:lineChart>
      <c:catAx>
        <c:axId val="86414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720"/>
        <c:crosses val="autoZero"/>
        <c:auto val="1"/>
        <c:lblAlgn val="ctr"/>
        <c:lblOffset val="100"/>
        <c:noMultiLvlLbl val="0"/>
      </c:catAx>
      <c:valAx>
        <c:axId val="864142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4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'New Zealand'!$M$2</c:f>
              <c:strCache>
                <c:ptCount val="1"/>
                <c:pt idx="0">
                  <c:v>BEV price</c:v>
                </c:pt>
              </c:strCache>
            </c:strRef>
          </c:tx>
          <c:spPr>
            <a:ln w="60325" cap="rnd">
              <a:solidFill>
                <a:schemeClr val="accent1"/>
              </a:solidFill>
              <a:round/>
            </a:ln>
            <a:effectLst/>
          </c:spPr>
          <c:marker>
            <c:symbol val="none"/>
          </c:marker>
          <c:cat>
            <c:numRef>
              <c:f>'New Zealand'!$L$3:$L$24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Zealand'!$M$3:$M$24</c:f>
              <c:numCache>
                <c:formatCode>0</c:formatCode>
                <c:ptCount val="22"/>
                <c:pt idx="0">
                  <c:v>59936.620545788144</c:v>
                </c:pt>
                <c:pt idx="1">
                  <c:v>53500.648086082998</c:v>
                </c:pt>
                <c:pt idx="2">
                  <c:v>49433.362440679368</c:v>
                </c:pt>
                <c:pt idx="3">
                  <c:v>49894.346866534601</c:v>
                </c:pt>
                <c:pt idx="4">
                  <c:v>50016.86620387085</c:v>
                </c:pt>
                <c:pt idx="5">
                  <c:v>52991.355464014319</c:v>
                </c:pt>
                <c:pt idx="6">
                  <c:v>55324.116485142134</c:v>
                </c:pt>
                <c:pt idx="7">
                  <c:v>54707.136577315032</c:v>
                </c:pt>
                <c:pt idx="8">
                  <c:v>54131.794599334244</c:v>
                </c:pt>
                <c:pt idx="9">
                  <c:v>55067.832959644598</c:v>
                </c:pt>
                <c:pt idx="10">
                  <c:v>56068.131054199737</c:v>
                </c:pt>
                <c:pt idx="11">
                  <c:v>55745.960472655628</c:v>
                </c:pt>
                <c:pt idx="12">
                  <c:v>54404.187921932069</c:v>
                </c:pt>
                <c:pt idx="13">
                  <c:v>55154.542188843203</c:v>
                </c:pt>
                <c:pt idx="14">
                  <c:v>54670.817950068202</c:v>
                </c:pt>
                <c:pt idx="15">
                  <c:v>52800.888144652097</c:v>
                </c:pt>
                <c:pt idx="16">
                  <c:v>51195.528471545986</c:v>
                </c:pt>
                <c:pt idx="17">
                  <c:v>50280.965051215069</c:v>
                </c:pt>
                <c:pt idx="18">
                  <c:v>49366.401630884167</c:v>
                </c:pt>
                <c:pt idx="19">
                  <c:v>48337.517783011906</c:v>
                </c:pt>
                <c:pt idx="20">
                  <c:v>47422.954362681005</c:v>
                </c:pt>
                <c:pt idx="21">
                  <c:v>46394.070514808744</c:v>
                </c:pt>
              </c:numCache>
            </c:numRef>
          </c:val>
          <c:smooth val="0"/>
          <c:extLst>
            <c:ext xmlns:c16="http://schemas.microsoft.com/office/drawing/2014/chart" uri="{C3380CC4-5D6E-409C-BE32-E72D297353CC}">
              <c16:uniqueId val="{00000000-1B6F-4E0B-AB14-2F176751C3DD}"/>
            </c:ext>
          </c:extLst>
        </c:ser>
        <c:ser>
          <c:idx val="1"/>
          <c:order val="1"/>
          <c:tx>
            <c:strRef>
              <c:f>'New Zealand'!$N$2</c:f>
              <c:strCache>
                <c:ptCount val="1"/>
                <c:pt idx="0">
                  <c:v>PHEV price</c:v>
                </c:pt>
              </c:strCache>
            </c:strRef>
          </c:tx>
          <c:spPr>
            <a:ln w="28575" cap="rnd">
              <a:solidFill>
                <a:schemeClr val="accent2"/>
              </a:solidFill>
              <a:round/>
            </a:ln>
            <a:effectLst/>
          </c:spPr>
          <c:marker>
            <c:symbol val="none"/>
          </c:marker>
          <c:cat>
            <c:numRef>
              <c:f>'New Zealand'!$L$3:$L$24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Zealand'!$N$3:$N$24</c:f>
              <c:numCache>
                <c:formatCode>0</c:formatCode>
                <c:ptCount val="22"/>
                <c:pt idx="0">
                  <c:v>59936.620545788144</c:v>
                </c:pt>
                <c:pt idx="1">
                  <c:v>53500.648086082998</c:v>
                </c:pt>
                <c:pt idx="2">
                  <c:v>49433.362440679368</c:v>
                </c:pt>
                <c:pt idx="3">
                  <c:v>49894.346866534601</c:v>
                </c:pt>
                <c:pt idx="4">
                  <c:v>50016.86620387085</c:v>
                </c:pt>
                <c:pt idx="5">
                  <c:v>52991.355464014319</c:v>
                </c:pt>
                <c:pt idx="6">
                  <c:v>55324.116485142134</c:v>
                </c:pt>
                <c:pt idx="7">
                  <c:v>54707.136577315032</c:v>
                </c:pt>
                <c:pt idx="8">
                  <c:v>54131.794599334244</c:v>
                </c:pt>
                <c:pt idx="9">
                  <c:v>55067.832959644598</c:v>
                </c:pt>
                <c:pt idx="10">
                  <c:v>56068.131054199737</c:v>
                </c:pt>
                <c:pt idx="11">
                  <c:v>55745.960472655628</c:v>
                </c:pt>
                <c:pt idx="12">
                  <c:v>54404.187921932069</c:v>
                </c:pt>
                <c:pt idx="13">
                  <c:v>55154.542188843203</c:v>
                </c:pt>
                <c:pt idx="14">
                  <c:v>54670.817950068202</c:v>
                </c:pt>
                <c:pt idx="15">
                  <c:v>52800.888144652097</c:v>
                </c:pt>
                <c:pt idx="16">
                  <c:v>51195.528471545986</c:v>
                </c:pt>
                <c:pt idx="17">
                  <c:v>50280.965051215069</c:v>
                </c:pt>
                <c:pt idx="18">
                  <c:v>49366.401630884167</c:v>
                </c:pt>
                <c:pt idx="19">
                  <c:v>48337.517783011906</c:v>
                </c:pt>
                <c:pt idx="20">
                  <c:v>47422.954362681005</c:v>
                </c:pt>
                <c:pt idx="21">
                  <c:v>46394.070514808744</c:v>
                </c:pt>
              </c:numCache>
            </c:numRef>
          </c:val>
          <c:smooth val="0"/>
          <c:extLst>
            <c:ext xmlns:c16="http://schemas.microsoft.com/office/drawing/2014/chart" uri="{C3380CC4-5D6E-409C-BE32-E72D297353CC}">
              <c16:uniqueId val="{00000001-1B6F-4E0B-AB14-2F176751C3DD}"/>
            </c:ext>
          </c:extLst>
        </c:ser>
        <c:ser>
          <c:idx val="2"/>
          <c:order val="2"/>
          <c:tx>
            <c:strRef>
              <c:f>'New Zealand'!$O$2</c:f>
              <c:strCache>
                <c:ptCount val="1"/>
                <c:pt idx="0">
                  <c:v>FFV price</c:v>
                </c:pt>
              </c:strCache>
            </c:strRef>
          </c:tx>
          <c:spPr>
            <a:ln w="28575" cap="rnd">
              <a:solidFill>
                <a:schemeClr val="tx1"/>
              </a:solidFill>
              <a:round/>
            </a:ln>
            <a:effectLst/>
          </c:spPr>
          <c:marker>
            <c:symbol val="none"/>
          </c:marker>
          <c:cat>
            <c:numRef>
              <c:f>'New Zealand'!$L$3:$L$24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'New Zealand'!$O$3:$O$24</c:f>
              <c:numCache>
                <c:formatCode>0</c:formatCode>
                <c:ptCount val="22"/>
                <c:pt idx="0">
                  <c:v>44079.138461538474</c:v>
                </c:pt>
                <c:pt idx="1">
                  <c:v>38981.966164242585</c:v>
                </c:pt>
                <c:pt idx="2">
                  <c:v>35949.012161485429</c:v>
                </c:pt>
                <c:pt idx="3">
                  <c:v>35491.815148091264</c:v>
                </c:pt>
                <c:pt idx="4">
                  <c:v>35196.416160022425</c:v>
                </c:pt>
                <c:pt idx="5">
                  <c:v>34748.440370711724</c:v>
                </c:pt>
                <c:pt idx="6">
                  <c:v>40646.415414216586</c:v>
                </c:pt>
                <c:pt idx="7">
                  <c:v>40181.983120285695</c:v>
                </c:pt>
                <c:pt idx="8">
                  <c:v>39729.992427687132</c:v>
                </c:pt>
                <c:pt idx="9">
                  <c:v>39605.999999999993</c:v>
                </c:pt>
                <c:pt idx="10">
                  <c:v>39605.999999999993</c:v>
                </c:pt>
                <c:pt idx="11">
                  <c:v>39605.999999999993</c:v>
                </c:pt>
                <c:pt idx="12">
                  <c:v>39605.999999999993</c:v>
                </c:pt>
                <c:pt idx="13">
                  <c:v>39605.999999999993</c:v>
                </c:pt>
                <c:pt idx="14">
                  <c:v>39605.999999999993</c:v>
                </c:pt>
                <c:pt idx="15">
                  <c:v>39605.999999999993</c:v>
                </c:pt>
                <c:pt idx="16">
                  <c:v>39605.999999999993</c:v>
                </c:pt>
                <c:pt idx="17">
                  <c:v>39605.999999999993</c:v>
                </c:pt>
                <c:pt idx="18">
                  <c:v>39605.999999999993</c:v>
                </c:pt>
                <c:pt idx="19">
                  <c:v>39605.999999999993</c:v>
                </c:pt>
                <c:pt idx="20">
                  <c:v>39605.999999999993</c:v>
                </c:pt>
                <c:pt idx="21">
                  <c:v>39605.999999999993</c:v>
                </c:pt>
              </c:numCache>
            </c:numRef>
          </c:val>
          <c:smooth val="0"/>
          <c:extLst>
            <c:ext xmlns:c16="http://schemas.microsoft.com/office/drawing/2014/chart" uri="{C3380CC4-5D6E-409C-BE32-E72D297353CC}">
              <c16:uniqueId val="{00000002-1B6F-4E0B-AB14-2F176751C3DD}"/>
            </c:ext>
          </c:extLst>
        </c:ser>
        <c:dLbls>
          <c:showLegendKey val="0"/>
          <c:showVal val="0"/>
          <c:showCatName val="0"/>
          <c:showSerName val="0"/>
          <c:showPercent val="0"/>
          <c:showBubbleSize val="0"/>
        </c:dLbls>
        <c:smooth val="0"/>
        <c:axId val="659847416"/>
        <c:axId val="659846760"/>
      </c:lineChart>
      <c:catAx>
        <c:axId val="65984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846760"/>
        <c:crosses val="autoZero"/>
        <c:auto val="1"/>
        <c:lblAlgn val="ctr"/>
        <c:lblOffset val="100"/>
        <c:noMultiLvlLbl val="0"/>
      </c:catAx>
      <c:valAx>
        <c:axId val="659846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84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 Linearized Logistic</c:v>
          </c:tx>
          <c:spPr>
            <a:ln w="50800" cap="rnd">
              <a:solidFill>
                <a:schemeClr val="tx1"/>
              </a:solidFill>
              <a:round/>
            </a:ln>
            <a:effectLst/>
          </c:spPr>
          <c:marker>
            <c:symbol val="none"/>
          </c:marker>
          <c:cat>
            <c:numRef>
              <c:f>'Norway EV uptake with subs'!$A$16:$A$23</c:f>
              <c:numCache>
                <c:formatCode>General</c:formatCode>
                <c:ptCount val="8"/>
                <c:pt idx="0">
                  <c:v>2011</c:v>
                </c:pt>
                <c:pt idx="1">
                  <c:v>2012</c:v>
                </c:pt>
                <c:pt idx="2">
                  <c:v>2013</c:v>
                </c:pt>
                <c:pt idx="3">
                  <c:v>2014</c:v>
                </c:pt>
                <c:pt idx="4">
                  <c:v>2015</c:v>
                </c:pt>
                <c:pt idx="5">
                  <c:v>2016</c:v>
                </c:pt>
                <c:pt idx="6">
                  <c:v>2017</c:v>
                </c:pt>
                <c:pt idx="7">
                  <c:v>2018</c:v>
                </c:pt>
              </c:numCache>
            </c:numRef>
          </c:cat>
          <c:val>
            <c:numRef>
              <c:f>'Norway EV uptake with subs'!$AL$16:$AL$24</c:f>
              <c:numCache>
                <c:formatCode>General</c:formatCode>
                <c:ptCount val="9"/>
                <c:pt idx="0">
                  <c:v>-3.8685281712189239</c:v>
                </c:pt>
                <c:pt idx="1">
                  <c:v>-2.8589463032343061</c:v>
                </c:pt>
                <c:pt idx="2">
                  <c:v>-2.2869488096321531</c:v>
                </c:pt>
                <c:pt idx="3">
                  <c:v>-1.3200174878180644</c:v>
                </c:pt>
                <c:pt idx="4">
                  <c:v>-0.55991100651965142</c:v>
                </c:pt>
                <c:pt idx="5">
                  <c:v>-0.21327853792232079</c:v>
                </c:pt>
                <c:pt idx="6">
                  <c:v>0.42325517431846632</c:v>
                </c:pt>
                <c:pt idx="7">
                  <c:v>1.0805010434114337</c:v>
                </c:pt>
              </c:numCache>
            </c:numRef>
          </c:val>
          <c:smooth val="0"/>
          <c:extLst>
            <c:ext xmlns:c16="http://schemas.microsoft.com/office/drawing/2014/chart" uri="{C3380CC4-5D6E-409C-BE32-E72D297353CC}">
              <c16:uniqueId val="{00000000-B719-4D49-9376-4FEA7A433D89}"/>
            </c:ext>
          </c:extLst>
        </c:ser>
        <c:ser>
          <c:idx val="1"/>
          <c:order val="1"/>
          <c:tx>
            <c:strRef>
              <c:f>'Norway EV uptake with subs'!$AM$11</c:f>
              <c:strCache>
                <c:ptCount val="1"/>
                <c:pt idx="0">
                  <c:v>predicted</c:v>
                </c:pt>
              </c:strCache>
            </c:strRef>
          </c:tx>
          <c:spPr>
            <a:ln w="28575" cap="rnd">
              <a:solidFill>
                <a:schemeClr val="accent2"/>
              </a:solidFill>
              <a:round/>
            </a:ln>
            <a:effectLst/>
          </c:spPr>
          <c:marker>
            <c:symbol val="none"/>
          </c:marker>
          <c:cat>
            <c:numRef>
              <c:f>'Norway EV uptake with subs'!$A$16:$A$23</c:f>
              <c:numCache>
                <c:formatCode>General</c:formatCode>
                <c:ptCount val="8"/>
                <c:pt idx="0">
                  <c:v>2011</c:v>
                </c:pt>
                <c:pt idx="1">
                  <c:v>2012</c:v>
                </c:pt>
                <c:pt idx="2">
                  <c:v>2013</c:v>
                </c:pt>
                <c:pt idx="3">
                  <c:v>2014</c:v>
                </c:pt>
                <c:pt idx="4">
                  <c:v>2015</c:v>
                </c:pt>
                <c:pt idx="5">
                  <c:v>2016</c:v>
                </c:pt>
                <c:pt idx="6">
                  <c:v>2017</c:v>
                </c:pt>
                <c:pt idx="7">
                  <c:v>2018</c:v>
                </c:pt>
              </c:numCache>
            </c:numRef>
          </c:cat>
          <c:val>
            <c:numRef>
              <c:f>'Norway EV uptake with subs'!$AM$16:$AM$23</c:f>
              <c:numCache>
                <c:formatCode>General</c:formatCode>
                <c:ptCount val="8"/>
                <c:pt idx="0">
                  <c:v>-3.5447191808854641</c:v>
                </c:pt>
                <c:pt idx="1">
                  <c:v>-2.8829856522068544</c:v>
                </c:pt>
                <c:pt idx="2">
                  <c:v>-2.2212521235282452</c:v>
                </c:pt>
                <c:pt idx="3">
                  <c:v>-1.3764687495827712</c:v>
                </c:pt>
                <c:pt idx="4">
                  <c:v>-0.53168537563729679</c:v>
                </c:pt>
                <c:pt idx="5">
                  <c:v>-0.23605153749241659</c:v>
                </c:pt>
                <c:pt idx="6">
                  <c:v>0.42568199118619265</c:v>
                </c:pt>
                <c:pt idx="7">
                  <c:v>1.0874155198648019</c:v>
                </c:pt>
              </c:numCache>
            </c:numRef>
          </c:val>
          <c:smooth val="0"/>
          <c:extLst>
            <c:ext xmlns:c16="http://schemas.microsoft.com/office/drawing/2014/chart" uri="{C3380CC4-5D6E-409C-BE32-E72D297353CC}">
              <c16:uniqueId val="{00000001-B719-4D49-9376-4FEA7A433D89}"/>
            </c:ext>
          </c:extLst>
        </c:ser>
        <c:dLbls>
          <c:showLegendKey val="0"/>
          <c:showVal val="0"/>
          <c:showCatName val="0"/>
          <c:showSerName val="0"/>
          <c:showPercent val="0"/>
          <c:showBubbleSize val="0"/>
        </c:dLbls>
        <c:smooth val="0"/>
        <c:axId val="922942160"/>
        <c:axId val="922938880"/>
      </c:lineChart>
      <c:catAx>
        <c:axId val="92294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38880"/>
        <c:crosses val="autoZero"/>
        <c:auto val="1"/>
        <c:lblAlgn val="ctr"/>
        <c:lblOffset val="100"/>
        <c:noMultiLvlLbl val="0"/>
      </c:catAx>
      <c:valAx>
        <c:axId val="92293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'Norway EV uptake with subs'!$F$2</c:f>
              <c:strCache>
                <c:ptCount val="1"/>
                <c:pt idx="0">
                  <c:v> EV % sales</c:v>
                </c:pt>
              </c:strCache>
            </c:strRef>
          </c:tx>
          <c:spPr>
            <a:ln w="50800" cap="rnd">
              <a:solidFill>
                <a:schemeClr val="tx1"/>
              </a:solidFill>
              <a:round/>
            </a:ln>
            <a:effectLst/>
          </c:spPr>
          <c:marker>
            <c:symbol val="none"/>
          </c:marker>
          <c:cat>
            <c:numRef>
              <c:f>'Norway EV uptake with subs'!$A$12:$A$23</c:f>
              <c:numCache>
                <c:formatCode>General</c:formatCode>
                <c:ptCount val="12"/>
                <c:pt idx="0">
                  <c:v>2007</c:v>
                </c:pt>
                <c:pt idx="2">
                  <c:v>2009</c:v>
                </c:pt>
                <c:pt idx="3">
                  <c:v>2010</c:v>
                </c:pt>
                <c:pt idx="4">
                  <c:v>2011</c:v>
                </c:pt>
                <c:pt idx="5">
                  <c:v>2012</c:v>
                </c:pt>
                <c:pt idx="6">
                  <c:v>2013</c:v>
                </c:pt>
                <c:pt idx="7">
                  <c:v>2014</c:v>
                </c:pt>
                <c:pt idx="8">
                  <c:v>2015</c:v>
                </c:pt>
                <c:pt idx="9">
                  <c:v>2016</c:v>
                </c:pt>
                <c:pt idx="10">
                  <c:v>2017</c:v>
                </c:pt>
                <c:pt idx="11">
                  <c:v>2018</c:v>
                </c:pt>
              </c:numCache>
            </c:numRef>
          </c:cat>
          <c:val>
            <c:numRef>
              <c:f>'Norway EV uptake with subs'!$F$12:$F$23</c:f>
              <c:numCache>
                <c:formatCode>0.0</c:formatCode>
                <c:ptCount val="12"/>
                <c:pt idx="0">
                  <c:v>7.7402376252950975E-3</c:v>
                </c:pt>
                <c:pt idx="1">
                  <c:v>0.21716116072640407</c:v>
                </c:pt>
                <c:pt idx="2">
                  <c:v>0.15606789967063592</c:v>
                </c:pt>
                <c:pt idx="3">
                  <c:v>0.30527419885091661</c:v>
                </c:pt>
                <c:pt idx="4">
                  <c:v>1.3300083125519535</c:v>
                </c:pt>
                <c:pt idx="5">
                  <c:v>3.5243461204841871</c:v>
                </c:pt>
                <c:pt idx="6">
                  <c:v>5.9936264957685834</c:v>
                </c:pt>
                <c:pt idx="7">
                  <c:v>13.7029999583917</c:v>
                </c:pt>
                <c:pt idx="8">
                  <c:v>23.63192333727088</c:v>
                </c:pt>
                <c:pt idx="9">
                  <c:v>29.047301798800802</c:v>
                </c:pt>
                <c:pt idx="10">
                  <c:v>39.277024897573277</c:v>
                </c:pt>
                <c:pt idx="11">
                  <c:v>48.528271313648382</c:v>
                </c:pt>
              </c:numCache>
            </c:numRef>
          </c:val>
          <c:smooth val="0"/>
          <c:extLst>
            <c:ext xmlns:c16="http://schemas.microsoft.com/office/drawing/2014/chart" uri="{C3380CC4-5D6E-409C-BE32-E72D297353CC}">
              <c16:uniqueId val="{00000000-6EA8-4E27-B05F-41AA6CBB9AB2}"/>
            </c:ext>
          </c:extLst>
        </c:ser>
        <c:ser>
          <c:idx val="1"/>
          <c:order val="1"/>
          <c:tx>
            <c:strRef>
              <c:f>'Norway EV uptake with subs'!$G$3</c:f>
              <c:strCache>
                <c:ptCount val="1"/>
                <c:pt idx="0">
                  <c:v>predicted raw</c:v>
                </c:pt>
              </c:strCache>
            </c:strRef>
          </c:tx>
          <c:spPr>
            <a:ln w="28575" cap="rnd">
              <a:solidFill>
                <a:schemeClr val="accent2"/>
              </a:solidFill>
              <a:round/>
            </a:ln>
            <a:effectLst/>
          </c:spPr>
          <c:marker>
            <c:symbol val="none"/>
          </c:marker>
          <c:cat>
            <c:numRef>
              <c:f>'Norway EV uptake with subs'!$A$12:$A$23</c:f>
              <c:numCache>
                <c:formatCode>General</c:formatCode>
                <c:ptCount val="12"/>
                <c:pt idx="0">
                  <c:v>2007</c:v>
                </c:pt>
                <c:pt idx="2">
                  <c:v>2009</c:v>
                </c:pt>
                <c:pt idx="3">
                  <c:v>2010</c:v>
                </c:pt>
                <c:pt idx="4">
                  <c:v>2011</c:v>
                </c:pt>
                <c:pt idx="5">
                  <c:v>2012</c:v>
                </c:pt>
                <c:pt idx="6">
                  <c:v>2013</c:v>
                </c:pt>
                <c:pt idx="7">
                  <c:v>2014</c:v>
                </c:pt>
                <c:pt idx="8">
                  <c:v>2015</c:v>
                </c:pt>
                <c:pt idx="9">
                  <c:v>2016</c:v>
                </c:pt>
                <c:pt idx="10">
                  <c:v>2017</c:v>
                </c:pt>
                <c:pt idx="11">
                  <c:v>2018</c:v>
                </c:pt>
              </c:numCache>
            </c:numRef>
          </c:cat>
          <c:val>
            <c:numRef>
              <c:f>'Norway EV uptake with subs'!$G$12:$G$23</c:f>
              <c:numCache>
                <c:formatCode>0.000</c:formatCode>
                <c:ptCount val="12"/>
                <c:pt idx="0">
                  <c:v>0.13274697913279793</c:v>
                </c:pt>
                <c:pt idx="1">
                  <c:v>0.2567914610014122</c:v>
                </c:pt>
                <c:pt idx="2">
                  <c:v>0.49586237167526709</c:v>
                </c:pt>
                <c:pt idx="3">
                  <c:v>0.95422607071705978</c:v>
                </c:pt>
                <c:pt idx="4">
                  <c:v>1.8243074485334112</c:v>
                </c:pt>
                <c:pt idx="5">
                  <c:v>3.4450702320769127</c:v>
                </c:pt>
                <c:pt idx="6">
                  <c:v>6.3607835641863382</c:v>
                </c:pt>
                <c:pt idx="7">
                  <c:v>13.102487636563037</c:v>
                </c:pt>
                <c:pt idx="8">
                  <c:v>24.058052640666737</c:v>
                </c:pt>
                <c:pt idx="9">
                  <c:v>28.681875004731541</c:v>
                </c:pt>
                <c:pt idx="10">
                  <c:v>39.314736357294422</c:v>
                </c:pt>
                <c:pt idx="11">
                  <c:v>48.613157762113936</c:v>
                </c:pt>
              </c:numCache>
            </c:numRef>
          </c:val>
          <c:smooth val="0"/>
          <c:extLst>
            <c:ext xmlns:c16="http://schemas.microsoft.com/office/drawing/2014/chart" uri="{C3380CC4-5D6E-409C-BE32-E72D297353CC}">
              <c16:uniqueId val="{00000001-6EA8-4E27-B05F-41AA6CBB9AB2}"/>
            </c:ext>
          </c:extLst>
        </c:ser>
        <c:dLbls>
          <c:showLegendKey val="0"/>
          <c:showVal val="0"/>
          <c:showCatName val="0"/>
          <c:showSerName val="0"/>
          <c:showPercent val="0"/>
          <c:showBubbleSize val="0"/>
        </c:dLbls>
        <c:smooth val="0"/>
        <c:axId val="922977912"/>
        <c:axId val="922974304"/>
      </c:lineChart>
      <c:catAx>
        <c:axId val="92297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74304"/>
        <c:crosses val="autoZero"/>
        <c:auto val="1"/>
        <c:lblAlgn val="ctr"/>
        <c:lblOffset val="100"/>
        <c:noMultiLvlLbl val="0"/>
      </c:catAx>
      <c:valAx>
        <c:axId val="922974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888888888888888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7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'Norway EV uptake with subs'!$F$2</c:f>
              <c:strCache>
                <c:ptCount val="1"/>
                <c:pt idx="0">
                  <c:v> EV % sales</c:v>
                </c:pt>
              </c:strCache>
            </c:strRef>
          </c:tx>
          <c:spPr>
            <a:ln w="50800" cap="rnd">
              <a:solidFill>
                <a:schemeClr val="tx1"/>
              </a:solidFill>
              <a:round/>
            </a:ln>
            <a:effectLst/>
          </c:spPr>
          <c:marker>
            <c:symbol val="none"/>
          </c:marker>
          <c:cat>
            <c:numRef>
              <c:f>'Norway EV uptake with subs'!$A$12:$A$55</c:f>
              <c:numCache>
                <c:formatCode>General</c:formatCode>
                <c:ptCount val="44"/>
                <c:pt idx="0">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pt idx="34">
                  <c:v>2041</c:v>
                </c:pt>
                <c:pt idx="35">
                  <c:v>2042</c:v>
                </c:pt>
                <c:pt idx="36">
                  <c:v>2043</c:v>
                </c:pt>
                <c:pt idx="37">
                  <c:v>2044</c:v>
                </c:pt>
                <c:pt idx="38">
                  <c:v>2045</c:v>
                </c:pt>
                <c:pt idx="39">
                  <c:v>2046</c:v>
                </c:pt>
                <c:pt idx="40">
                  <c:v>2047</c:v>
                </c:pt>
                <c:pt idx="41">
                  <c:v>2048</c:v>
                </c:pt>
                <c:pt idx="42">
                  <c:v>2049</c:v>
                </c:pt>
                <c:pt idx="43">
                  <c:v>2050</c:v>
                </c:pt>
              </c:numCache>
            </c:numRef>
          </c:cat>
          <c:val>
            <c:numRef>
              <c:f>'Norway EV uptake with subs'!$F$12:$F$23</c:f>
              <c:numCache>
                <c:formatCode>0.0</c:formatCode>
                <c:ptCount val="12"/>
                <c:pt idx="0">
                  <c:v>7.7402376252950975E-3</c:v>
                </c:pt>
                <c:pt idx="1">
                  <c:v>0.21716116072640407</c:v>
                </c:pt>
                <c:pt idx="2">
                  <c:v>0.15606789967063592</c:v>
                </c:pt>
                <c:pt idx="3">
                  <c:v>0.30527419885091661</c:v>
                </c:pt>
                <c:pt idx="4">
                  <c:v>1.3300083125519535</c:v>
                </c:pt>
                <c:pt idx="5">
                  <c:v>3.5243461204841871</c:v>
                </c:pt>
                <c:pt idx="6">
                  <c:v>5.9936264957685834</c:v>
                </c:pt>
                <c:pt idx="7">
                  <c:v>13.7029999583917</c:v>
                </c:pt>
                <c:pt idx="8">
                  <c:v>23.63192333727088</c:v>
                </c:pt>
                <c:pt idx="9">
                  <c:v>29.047301798800802</c:v>
                </c:pt>
                <c:pt idx="10">
                  <c:v>39.277024897573277</c:v>
                </c:pt>
                <c:pt idx="11">
                  <c:v>48.528271313648382</c:v>
                </c:pt>
              </c:numCache>
            </c:numRef>
          </c:val>
          <c:smooth val="0"/>
          <c:extLst>
            <c:ext xmlns:c16="http://schemas.microsoft.com/office/drawing/2014/chart" uri="{C3380CC4-5D6E-409C-BE32-E72D297353CC}">
              <c16:uniqueId val="{00000000-3F8A-4443-AF58-581A5829DB91}"/>
            </c:ext>
          </c:extLst>
        </c:ser>
        <c:ser>
          <c:idx val="1"/>
          <c:order val="1"/>
          <c:tx>
            <c:strRef>
              <c:f>'Norway EV uptake with subs'!$G$3</c:f>
              <c:strCache>
                <c:ptCount val="1"/>
                <c:pt idx="0">
                  <c:v>predicted raw</c:v>
                </c:pt>
              </c:strCache>
            </c:strRef>
          </c:tx>
          <c:spPr>
            <a:ln w="28575" cap="rnd">
              <a:solidFill>
                <a:schemeClr val="accent2"/>
              </a:solidFill>
              <a:round/>
            </a:ln>
            <a:effectLst/>
          </c:spPr>
          <c:marker>
            <c:symbol val="none"/>
          </c:marker>
          <c:cat>
            <c:numRef>
              <c:f>'Norway EV uptake with subs'!$A$12:$A$55</c:f>
              <c:numCache>
                <c:formatCode>General</c:formatCode>
                <c:ptCount val="44"/>
                <c:pt idx="0">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pt idx="34">
                  <c:v>2041</c:v>
                </c:pt>
                <c:pt idx="35">
                  <c:v>2042</c:v>
                </c:pt>
                <c:pt idx="36">
                  <c:v>2043</c:v>
                </c:pt>
                <c:pt idx="37">
                  <c:v>2044</c:v>
                </c:pt>
                <c:pt idx="38">
                  <c:v>2045</c:v>
                </c:pt>
                <c:pt idx="39">
                  <c:v>2046</c:v>
                </c:pt>
                <c:pt idx="40">
                  <c:v>2047</c:v>
                </c:pt>
                <c:pt idx="41">
                  <c:v>2048</c:v>
                </c:pt>
                <c:pt idx="42">
                  <c:v>2049</c:v>
                </c:pt>
                <c:pt idx="43">
                  <c:v>2050</c:v>
                </c:pt>
              </c:numCache>
            </c:numRef>
          </c:cat>
          <c:val>
            <c:numRef>
              <c:f>'Norway EV uptake with subs'!$G$12:$G$55</c:f>
              <c:numCache>
                <c:formatCode>0.000</c:formatCode>
                <c:ptCount val="44"/>
                <c:pt idx="0">
                  <c:v>0.13274697913279793</c:v>
                </c:pt>
                <c:pt idx="1">
                  <c:v>0.2567914610014122</c:v>
                </c:pt>
                <c:pt idx="2">
                  <c:v>0.49586237167526709</c:v>
                </c:pt>
                <c:pt idx="3">
                  <c:v>0.95422607071705978</c:v>
                </c:pt>
                <c:pt idx="4">
                  <c:v>1.8243074485334112</c:v>
                </c:pt>
                <c:pt idx="5">
                  <c:v>3.4450702320769127</c:v>
                </c:pt>
                <c:pt idx="6">
                  <c:v>6.3607835641863382</c:v>
                </c:pt>
                <c:pt idx="7">
                  <c:v>13.102487636563037</c:v>
                </c:pt>
                <c:pt idx="8">
                  <c:v>24.058052640666737</c:v>
                </c:pt>
                <c:pt idx="9">
                  <c:v>28.681875004731541</c:v>
                </c:pt>
                <c:pt idx="10">
                  <c:v>39.314736357294422</c:v>
                </c:pt>
                <c:pt idx="11">
                  <c:v>48.613157762113936</c:v>
                </c:pt>
                <c:pt idx="12">
                  <c:v>55.369953598215368</c:v>
                </c:pt>
                <c:pt idx="13">
                  <c:v>59.647470933153592</c:v>
                </c:pt>
                <c:pt idx="14">
                  <c:v>62.123681562857406</c:v>
                </c:pt>
                <c:pt idx="15">
                  <c:v>63.483462457791383</c:v>
                </c:pt>
                <c:pt idx="16">
                  <c:v>64.208595508841753</c:v>
                </c:pt>
                <c:pt idx="17">
                  <c:v>64.589249257811147</c:v>
                </c:pt>
                <c:pt idx="18">
                  <c:v>64.78742039856111</c:v>
                </c:pt>
                <c:pt idx="19">
                  <c:v>64.890144344344137</c:v>
                </c:pt>
                <c:pt idx="20">
                  <c:v>64.943272893507597</c:v>
                </c:pt>
                <c:pt idx="21">
                  <c:v>64.970718932031488</c:v>
                </c:pt>
                <c:pt idx="22">
                  <c:v>64.984888958391409</c:v>
                </c:pt>
                <c:pt idx="23">
                  <c:v>64.992202487941555</c:v>
                </c:pt>
                <c:pt idx="24">
                  <c:v>64.995976592197081</c:v>
                </c:pt>
                <c:pt idx="25">
                  <c:v>64.997924035865111</c:v>
                </c:pt>
                <c:pt idx="26">
                  <c:v>64.998928877011707</c:v>
                </c:pt>
                <c:pt idx="27">
                  <c:v>64.999447343115634</c:v>
                </c:pt>
                <c:pt idx="28">
                  <c:v>64.999714852116952</c:v>
                </c:pt>
                <c:pt idx="29">
                  <c:v>64.999852875888223</c:v>
                </c:pt>
                <c:pt idx="30">
                  <c:v>64.999924090328904</c:v>
                </c:pt>
                <c:pt idx="31">
                  <c:v>64.999960833917427</c:v>
                </c:pt>
                <c:pt idx="32">
                  <c:v>64.999979792013562</c:v>
                </c:pt>
                <c:pt idx="33">
                  <c:v>64.999989573563866</c:v>
                </c:pt>
                <c:pt idx="34">
                  <c:v>64.999994620415904</c:v>
                </c:pt>
                <c:pt idx="35">
                  <c:v>64.999997224370475</c:v>
                </c:pt>
                <c:pt idx="36">
                  <c:v>64.999998567896881</c:v>
                </c:pt>
                <c:pt idx="37">
                  <c:v>64.999999261097599</c:v>
                </c:pt>
                <c:pt idx="38">
                  <c:v>64.999999618758778</c:v>
                </c:pt>
                <c:pt idx="39">
                  <c:v>64.999999803296248</c:v>
                </c:pt>
                <c:pt idx="40">
                  <c:v>64.9999998985095</c:v>
                </c:pt>
                <c:pt idx="41">
                  <c:v>64.999999947635359</c:v>
                </c:pt>
                <c:pt idx="42">
                  <c:v>64.999999972982138</c:v>
                </c:pt>
                <c:pt idx="43">
                  <c:v>64.999999986059962</c:v>
                </c:pt>
              </c:numCache>
            </c:numRef>
          </c:val>
          <c:smooth val="0"/>
          <c:extLst>
            <c:ext xmlns:c16="http://schemas.microsoft.com/office/drawing/2014/chart" uri="{C3380CC4-5D6E-409C-BE32-E72D297353CC}">
              <c16:uniqueId val="{00000001-3F8A-4443-AF58-581A5829DB91}"/>
            </c:ext>
          </c:extLst>
        </c:ser>
        <c:dLbls>
          <c:showLegendKey val="0"/>
          <c:showVal val="0"/>
          <c:showCatName val="0"/>
          <c:showSerName val="0"/>
          <c:showPercent val="0"/>
          <c:showBubbleSize val="0"/>
        </c:dLbls>
        <c:smooth val="0"/>
        <c:axId val="922977912"/>
        <c:axId val="922974304"/>
      </c:lineChart>
      <c:catAx>
        <c:axId val="92297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74304"/>
        <c:crosses val="autoZero"/>
        <c:auto val="1"/>
        <c:lblAlgn val="ctr"/>
        <c:lblOffset val="100"/>
        <c:noMultiLvlLbl val="0"/>
      </c:catAx>
      <c:valAx>
        <c:axId val="922974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3888888888888888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7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'Norway EV uptake with subs'!$Y$13</c:f>
              <c:strCache>
                <c:ptCount val="1"/>
                <c:pt idx="0">
                  <c:v>High</c:v>
                </c:pt>
              </c:strCache>
            </c:strRef>
          </c:tx>
          <c:spPr>
            <a:ln w="28575" cap="rnd">
              <a:solidFill>
                <a:schemeClr val="accent1"/>
              </a:solidFill>
              <a:round/>
            </a:ln>
            <a:effectLst/>
          </c:spPr>
          <c:marker>
            <c:symbol val="none"/>
          </c:marker>
          <c:cat>
            <c:numRef>
              <c:f>'Norway EV uptake with subs'!$X$14:$X$35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subs'!$Y$14:$Y$35</c:f>
              <c:numCache>
                <c:formatCode>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59.647470933153592</c:v>
                </c:pt>
                <c:pt idx="12">
                  <c:v>55.127442099908357</c:v>
                </c:pt>
                <c:pt idx="13">
                  <c:v>57.922722042841244</c:v>
                </c:pt>
                <c:pt idx="14">
                  <c:v>58.526651289207187</c:v>
                </c:pt>
                <c:pt idx="15">
                  <c:v>60.433781290636297</c:v>
                </c:pt>
                <c:pt idx="16">
                  <c:v>62.617453900978219</c:v>
                </c:pt>
                <c:pt idx="17">
                  <c:v>63.892138720131371</c:v>
                </c:pt>
                <c:pt idx="18">
                  <c:v>64.599221925637664</c:v>
                </c:pt>
                <c:pt idx="19">
                  <c:v>64.795839174494063</c:v>
                </c:pt>
                <c:pt idx="20">
                  <c:v>64.89799748521061</c:v>
                </c:pt>
                <c:pt idx="21">
                  <c:v>64.950898229703</c:v>
                </c:pt>
              </c:numCache>
            </c:numRef>
          </c:val>
          <c:smooth val="0"/>
          <c:extLst>
            <c:ext xmlns:c16="http://schemas.microsoft.com/office/drawing/2014/chart" uri="{C3380CC4-5D6E-409C-BE32-E72D297353CC}">
              <c16:uniqueId val="{00000000-870A-42C0-BFBD-08C42928E2B2}"/>
            </c:ext>
          </c:extLst>
        </c:ser>
        <c:ser>
          <c:idx val="1"/>
          <c:order val="1"/>
          <c:tx>
            <c:strRef>
              <c:f>'Norway EV uptake with subs'!$Z$13</c:f>
              <c:strCache>
                <c:ptCount val="1"/>
                <c:pt idx="0">
                  <c:v>Medium</c:v>
                </c:pt>
              </c:strCache>
            </c:strRef>
          </c:tx>
          <c:spPr>
            <a:ln w="28575" cap="rnd">
              <a:solidFill>
                <a:schemeClr val="accent2"/>
              </a:solidFill>
              <a:round/>
            </a:ln>
            <a:effectLst/>
          </c:spPr>
          <c:marker>
            <c:symbol val="none"/>
          </c:marker>
          <c:cat>
            <c:numRef>
              <c:f>'Norway EV uptake with subs'!$X$14:$X$35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subs'!$Z$14:$Z$35</c:f>
              <c:numCache>
                <c:formatCode>0.000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59.647470933153592</c:v>
                </c:pt>
                <c:pt idx="12">
                  <c:v>48.077248062780114</c:v>
                </c:pt>
                <c:pt idx="13">
                  <c:v>56.264107302094025</c:v>
                </c:pt>
                <c:pt idx="14">
                  <c:v>56.516079957945678</c:v>
                </c:pt>
                <c:pt idx="15">
                  <c:v>59.986107797620143</c:v>
                </c:pt>
                <c:pt idx="16">
                  <c:v>62.244089960793424</c:v>
                </c:pt>
                <c:pt idx="17">
                  <c:v>63.589614491396411</c:v>
                </c:pt>
                <c:pt idx="18">
                  <c:v>64.351240619450323</c:v>
                </c:pt>
                <c:pt idx="19">
                  <c:v>64.767510585903281</c:v>
                </c:pt>
                <c:pt idx="20">
                  <c:v>64.879732649035418</c:v>
                </c:pt>
                <c:pt idx="21">
                  <c:v>64.937863612935615</c:v>
                </c:pt>
              </c:numCache>
            </c:numRef>
          </c:val>
          <c:smooth val="0"/>
          <c:extLst>
            <c:ext xmlns:c16="http://schemas.microsoft.com/office/drawing/2014/chart" uri="{C3380CC4-5D6E-409C-BE32-E72D297353CC}">
              <c16:uniqueId val="{00000001-870A-42C0-BFBD-08C42928E2B2}"/>
            </c:ext>
          </c:extLst>
        </c:ser>
        <c:ser>
          <c:idx val="2"/>
          <c:order val="2"/>
          <c:tx>
            <c:strRef>
              <c:f>'Norway EV uptake with subs'!$AA$13</c:f>
              <c:strCache>
                <c:ptCount val="1"/>
                <c:pt idx="0">
                  <c:v>Low</c:v>
                </c:pt>
              </c:strCache>
            </c:strRef>
          </c:tx>
          <c:spPr>
            <a:ln w="28575" cap="rnd">
              <a:solidFill>
                <a:schemeClr val="accent3"/>
              </a:solidFill>
              <a:round/>
            </a:ln>
            <a:effectLst/>
          </c:spPr>
          <c:marker>
            <c:symbol val="none"/>
          </c:marker>
          <c:cat>
            <c:numRef>
              <c:f>'Norway EV uptake with subs'!$X$14:$X$35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subs'!$AA$14:$AA$35</c:f>
              <c:numCache>
                <c:formatCode>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55.369953598215368</c:v>
                </c:pt>
                <c:pt idx="12">
                  <c:v>47.966350089588907</c:v>
                </c:pt>
                <c:pt idx="13">
                  <c:v>55.175956218055035</c:v>
                </c:pt>
                <c:pt idx="14">
                  <c:v>56.28883768542962</c:v>
                </c:pt>
                <c:pt idx="15">
                  <c:v>59.69379631401145</c:v>
                </c:pt>
                <c:pt idx="16">
                  <c:v>61.998452355210276</c:v>
                </c:pt>
                <c:pt idx="17">
                  <c:v>63.38848736849534</c:v>
                </c:pt>
                <c:pt idx="18">
                  <c:v>64.186173450691271</c:v>
                </c:pt>
                <c:pt idx="19">
                  <c:v>64.628902431400974</c:v>
                </c:pt>
                <c:pt idx="20">
                  <c:v>64.867753636335891</c:v>
                </c:pt>
                <c:pt idx="21">
                  <c:v>64.931668532037406</c:v>
                </c:pt>
              </c:numCache>
            </c:numRef>
          </c:val>
          <c:smooth val="0"/>
          <c:extLst>
            <c:ext xmlns:c16="http://schemas.microsoft.com/office/drawing/2014/chart" uri="{C3380CC4-5D6E-409C-BE32-E72D297353CC}">
              <c16:uniqueId val="{00000002-870A-42C0-BFBD-08C42928E2B2}"/>
            </c:ext>
          </c:extLst>
        </c:ser>
        <c:dLbls>
          <c:showLegendKey val="0"/>
          <c:showVal val="0"/>
          <c:showCatName val="0"/>
          <c:showSerName val="0"/>
          <c:showPercent val="0"/>
          <c:showBubbleSize val="0"/>
        </c:dLbls>
        <c:smooth val="0"/>
        <c:axId val="716332192"/>
        <c:axId val="716324320"/>
      </c:lineChart>
      <c:catAx>
        <c:axId val="7163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24320"/>
        <c:crosses val="autoZero"/>
        <c:auto val="1"/>
        <c:lblAlgn val="ctr"/>
        <c:lblOffset val="100"/>
        <c:noMultiLvlLbl val="0"/>
      </c:catAx>
      <c:valAx>
        <c:axId val="71632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8662401574803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33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'Norway EV uptake with subs'!$AD$13</c:f>
              <c:strCache>
                <c:ptCount val="1"/>
                <c:pt idx="0">
                  <c:v>High</c:v>
                </c:pt>
              </c:strCache>
            </c:strRef>
          </c:tx>
          <c:spPr>
            <a:ln w="28575" cap="rnd">
              <a:solidFill>
                <a:schemeClr val="accent1"/>
              </a:solidFill>
              <a:round/>
            </a:ln>
            <a:effectLst/>
          </c:spPr>
          <c:marker>
            <c:symbol val="none"/>
          </c:marker>
          <c:cat>
            <c:numRef>
              <c:f>'Norway EV uptake with subs'!$AC$14:$AC$35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subs'!$AD$14:$AD$35</c:f>
              <c:numCache>
                <c:formatCode>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48.613157762113936</c:v>
                </c:pt>
                <c:pt idx="11">
                  <c:v>55.369953598215368</c:v>
                </c:pt>
                <c:pt idx="12">
                  <c:v>47.501210201424591</c:v>
                </c:pt>
                <c:pt idx="13">
                  <c:v>51.299404265649372</c:v>
                </c:pt>
                <c:pt idx="14">
                  <c:v>51.218046449341131</c:v>
                </c:pt>
                <c:pt idx="15">
                  <c:v>53.758758766679129</c:v>
                </c:pt>
                <c:pt idx="16">
                  <c:v>57.583879507430559</c:v>
                </c:pt>
                <c:pt idx="17">
                  <c:v>60.288671099117465</c:v>
                </c:pt>
                <c:pt idx="18">
                  <c:v>62.081860641957064</c:v>
                </c:pt>
                <c:pt idx="19">
                  <c:v>63.224112684819445</c:v>
                </c:pt>
                <c:pt idx="20">
                  <c:v>63.930321793839902</c:v>
                </c:pt>
                <c:pt idx="21">
                  <c:v>64.361008757102624</c:v>
                </c:pt>
              </c:numCache>
            </c:numRef>
          </c:val>
          <c:smooth val="0"/>
          <c:extLst>
            <c:ext xmlns:c16="http://schemas.microsoft.com/office/drawing/2014/chart" uri="{C3380CC4-5D6E-409C-BE32-E72D297353CC}">
              <c16:uniqueId val="{00000000-E0BB-44C1-B410-7FA711F385CF}"/>
            </c:ext>
          </c:extLst>
        </c:ser>
        <c:ser>
          <c:idx val="1"/>
          <c:order val="1"/>
          <c:tx>
            <c:strRef>
              <c:f>'Norway EV uptake with subs'!$AE$13</c:f>
              <c:strCache>
                <c:ptCount val="1"/>
                <c:pt idx="0">
                  <c:v>Medium</c:v>
                </c:pt>
              </c:strCache>
            </c:strRef>
          </c:tx>
          <c:spPr>
            <a:ln w="28575" cap="rnd">
              <a:solidFill>
                <a:schemeClr val="accent2"/>
              </a:solidFill>
              <a:round/>
            </a:ln>
            <a:effectLst/>
          </c:spPr>
          <c:marker>
            <c:symbol val="none"/>
          </c:marker>
          <c:cat>
            <c:numRef>
              <c:f>'Norway EV uptake with subs'!$AC$14:$AC$35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subs'!$AE$14:$AE$35</c:f>
              <c:numCache>
                <c:formatCode>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59.647470933153592</c:v>
                </c:pt>
                <c:pt idx="12">
                  <c:v>48.077248062780114</c:v>
                </c:pt>
                <c:pt idx="13">
                  <c:v>56.264107302094025</c:v>
                </c:pt>
                <c:pt idx="14">
                  <c:v>56.516079957945678</c:v>
                </c:pt>
                <c:pt idx="15">
                  <c:v>59.986107797620143</c:v>
                </c:pt>
                <c:pt idx="16">
                  <c:v>62.244089960793424</c:v>
                </c:pt>
                <c:pt idx="17">
                  <c:v>63.589614491396411</c:v>
                </c:pt>
                <c:pt idx="18">
                  <c:v>64.351240619450323</c:v>
                </c:pt>
                <c:pt idx="19">
                  <c:v>64.767510585903281</c:v>
                </c:pt>
                <c:pt idx="20">
                  <c:v>64.879732649035418</c:v>
                </c:pt>
                <c:pt idx="21">
                  <c:v>64.937863612935615</c:v>
                </c:pt>
              </c:numCache>
            </c:numRef>
          </c:val>
          <c:smooth val="0"/>
          <c:extLst>
            <c:ext xmlns:c16="http://schemas.microsoft.com/office/drawing/2014/chart" uri="{C3380CC4-5D6E-409C-BE32-E72D297353CC}">
              <c16:uniqueId val="{00000001-E0BB-44C1-B410-7FA711F385CF}"/>
            </c:ext>
          </c:extLst>
        </c:ser>
        <c:ser>
          <c:idx val="2"/>
          <c:order val="2"/>
          <c:tx>
            <c:strRef>
              <c:f>'Norway EV uptake with subs'!$AF$13</c:f>
              <c:strCache>
                <c:ptCount val="1"/>
                <c:pt idx="0">
                  <c:v>Low</c:v>
                </c:pt>
              </c:strCache>
            </c:strRef>
          </c:tx>
          <c:spPr>
            <a:ln w="28575" cap="rnd">
              <a:solidFill>
                <a:schemeClr val="accent3"/>
              </a:solidFill>
              <a:round/>
            </a:ln>
            <a:effectLst/>
          </c:spPr>
          <c:marker>
            <c:symbol val="none"/>
          </c:marker>
          <c:cat>
            <c:numRef>
              <c:f>'Norway EV uptake with subs'!$AC$14:$AC$35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EV uptake with subs'!$AF$14:$AF$35</c:f>
              <c:numCache>
                <c:formatCode>0.00</c:formatCode>
                <c:ptCount val="2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59.647470933153592</c:v>
                </c:pt>
                <c:pt idx="12">
                  <c:v>55.369953598215368</c:v>
                </c:pt>
                <c:pt idx="13">
                  <c:v>60.164846880133439</c:v>
                </c:pt>
                <c:pt idx="14">
                  <c:v>61.140413000427543</c:v>
                </c:pt>
                <c:pt idx="15">
                  <c:v>63.046566643872673</c:v>
                </c:pt>
                <c:pt idx="16">
                  <c:v>64.119110815685474</c:v>
                </c:pt>
                <c:pt idx="17">
                  <c:v>64.695904307696964</c:v>
                </c:pt>
                <c:pt idx="18">
                  <c:v>64.85320008736376</c:v>
                </c:pt>
                <c:pt idx="19">
                  <c:v>64.935616820397556</c:v>
                </c:pt>
                <c:pt idx="20">
                  <c:v>64.978273056990801</c:v>
                </c:pt>
                <c:pt idx="21">
                  <c:v>64.989551249228001</c:v>
                </c:pt>
              </c:numCache>
            </c:numRef>
          </c:val>
          <c:smooth val="0"/>
          <c:extLst>
            <c:ext xmlns:c16="http://schemas.microsoft.com/office/drawing/2014/chart" uri="{C3380CC4-5D6E-409C-BE32-E72D297353CC}">
              <c16:uniqueId val="{00000002-E0BB-44C1-B410-7FA711F385CF}"/>
            </c:ext>
          </c:extLst>
        </c:ser>
        <c:dLbls>
          <c:showLegendKey val="0"/>
          <c:showVal val="0"/>
          <c:showCatName val="0"/>
          <c:showSerName val="0"/>
          <c:showPercent val="0"/>
          <c:showBubbleSize val="0"/>
        </c:dLbls>
        <c:smooth val="0"/>
        <c:axId val="780723736"/>
        <c:axId val="780724720"/>
      </c:lineChart>
      <c:catAx>
        <c:axId val="780723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724720"/>
        <c:crosses val="autoZero"/>
        <c:auto val="1"/>
        <c:lblAlgn val="ctr"/>
        <c:lblOffset val="100"/>
        <c:noMultiLvlLbl val="0"/>
      </c:catAx>
      <c:valAx>
        <c:axId val="78072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444444444444445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723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EV% sales</c:v>
          </c:tx>
          <c:spPr>
            <a:ln w="47625" cap="rnd">
              <a:solidFill>
                <a:schemeClr val="tx1"/>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subs'!$F$14:$F$55</c:f>
              <c:numCache>
                <c:formatCode>0.0</c:formatCode>
                <c:ptCount val="42"/>
                <c:pt idx="0">
                  <c:v>0.15606789967063592</c:v>
                </c:pt>
                <c:pt idx="1">
                  <c:v>0.30527419885091661</c:v>
                </c:pt>
                <c:pt idx="2">
                  <c:v>1.3300083125519535</c:v>
                </c:pt>
                <c:pt idx="3">
                  <c:v>3.5243461204841871</c:v>
                </c:pt>
                <c:pt idx="4">
                  <c:v>5.9936264957685834</c:v>
                </c:pt>
                <c:pt idx="5">
                  <c:v>13.7029999583917</c:v>
                </c:pt>
                <c:pt idx="6">
                  <c:v>23.63192333727088</c:v>
                </c:pt>
                <c:pt idx="7">
                  <c:v>29.047301798800802</c:v>
                </c:pt>
                <c:pt idx="8">
                  <c:v>39.277024897573277</c:v>
                </c:pt>
                <c:pt idx="9">
                  <c:v>48.528271313648382</c:v>
                </c:pt>
              </c:numCache>
            </c:numRef>
          </c:val>
          <c:smooth val="0"/>
          <c:extLst>
            <c:ext xmlns:c16="http://schemas.microsoft.com/office/drawing/2014/chart" uri="{C3380CC4-5D6E-409C-BE32-E72D297353CC}">
              <c16:uniqueId val="{00000000-A03F-4DA6-8DB0-D92F236EDAEA}"/>
            </c:ext>
          </c:extLst>
        </c:ser>
        <c:ser>
          <c:idx val="1"/>
          <c:order val="1"/>
          <c:tx>
            <c:strRef>
              <c:f>'Norway EV uptake with subs'!$G$3</c:f>
              <c:strCache>
                <c:ptCount val="1"/>
                <c:pt idx="0">
                  <c:v>predicted raw</c:v>
                </c:pt>
              </c:strCache>
            </c:strRef>
          </c:tx>
          <c:spPr>
            <a:ln w="28575" cap="rnd">
              <a:solidFill>
                <a:schemeClr val="accent2"/>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subs'!$G$14:$G$55</c:f>
              <c:numCache>
                <c:formatCode>0.000</c:formatCode>
                <c:ptCount val="42"/>
                <c:pt idx="0">
                  <c:v>0.49586237167526709</c:v>
                </c:pt>
                <c:pt idx="1">
                  <c:v>0.95422607071705978</c:v>
                </c:pt>
                <c:pt idx="2">
                  <c:v>1.8243074485334112</c:v>
                </c:pt>
                <c:pt idx="3">
                  <c:v>3.4450702320769127</c:v>
                </c:pt>
                <c:pt idx="4">
                  <c:v>6.3607835641863382</c:v>
                </c:pt>
                <c:pt idx="5">
                  <c:v>13.102487636563037</c:v>
                </c:pt>
                <c:pt idx="6">
                  <c:v>24.058052640666737</c:v>
                </c:pt>
                <c:pt idx="7">
                  <c:v>28.681875004731541</c:v>
                </c:pt>
                <c:pt idx="8">
                  <c:v>39.314736357294422</c:v>
                </c:pt>
                <c:pt idx="9">
                  <c:v>48.613157762113936</c:v>
                </c:pt>
                <c:pt idx="10">
                  <c:v>55.369953598215368</c:v>
                </c:pt>
                <c:pt idx="11">
                  <c:v>59.647470933153592</c:v>
                </c:pt>
                <c:pt idx="12">
                  <c:v>62.123681562857406</c:v>
                </c:pt>
                <c:pt idx="13">
                  <c:v>63.483462457791383</c:v>
                </c:pt>
                <c:pt idx="14">
                  <c:v>64.208595508841753</c:v>
                </c:pt>
                <c:pt idx="15">
                  <c:v>64.589249257811147</c:v>
                </c:pt>
                <c:pt idx="16">
                  <c:v>64.78742039856111</c:v>
                </c:pt>
                <c:pt idx="17">
                  <c:v>64.890144344344137</c:v>
                </c:pt>
                <c:pt idx="18">
                  <c:v>64.943272893507597</c:v>
                </c:pt>
                <c:pt idx="19">
                  <c:v>64.970718932031488</c:v>
                </c:pt>
                <c:pt idx="20">
                  <c:v>64.984888958391409</c:v>
                </c:pt>
                <c:pt idx="21">
                  <c:v>64.992202487941555</c:v>
                </c:pt>
                <c:pt idx="22">
                  <c:v>64.995976592197081</c:v>
                </c:pt>
                <c:pt idx="23">
                  <c:v>64.997924035865111</c:v>
                </c:pt>
                <c:pt idx="24">
                  <c:v>64.998928877011707</c:v>
                </c:pt>
                <c:pt idx="25">
                  <c:v>64.999447343115634</c:v>
                </c:pt>
                <c:pt idx="26">
                  <c:v>64.999714852116952</c:v>
                </c:pt>
                <c:pt idx="27">
                  <c:v>64.999852875888223</c:v>
                </c:pt>
                <c:pt idx="28">
                  <c:v>64.999924090328904</c:v>
                </c:pt>
                <c:pt idx="29">
                  <c:v>64.999960833917427</c:v>
                </c:pt>
                <c:pt idx="30">
                  <c:v>64.999979792013562</c:v>
                </c:pt>
                <c:pt idx="31">
                  <c:v>64.999989573563866</c:v>
                </c:pt>
                <c:pt idx="32">
                  <c:v>64.999994620415904</c:v>
                </c:pt>
                <c:pt idx="33">
                  <c:v>64.999997224370475</c:v>
                </c:pt>
                <c:pt idx="34">
                  <c:v>64.999998567896881</c:v>
                </c:pt>
                <c:pt idx="35">
                  <c:v>64.999999261097599</c:v>
                </c:pt>
                <c:pt idx="36">
                  <c:v>64.999999618758778</c:v>
                </c:pt>
                <c:pt idx="37">
                  <c:v>64.999999803296248</c:v>
                </c:pt>
                <c:pt idx="38">
                  <c:v>64.9999998985095</c:v>
                </c:pt>
                <c:pt idx="39">
                  <c:v>64.999999947635359</c:v>
                </c:pt>
                <c:pt idx="40">
                  <c:v>64.999999972982138</c:v>
                </c:pt>
                <c:pt idx="41">
                  <c:v>64.999999986059962</c:v>
                </c:pt>
              </c:numCache>
            </c:numRef>
          </c:val>
          <c:smooth val="0"/>
          <c:extLst>
            <c:ext xmlns:c16="http://schemas.microsoft.com/office/drawing/2014/chart" uri="{C3380CC4-5D6E-409C-BE32-E72D297353CC}">
              <c16:uniqueId val="{00000001-A03F-4DA6-8DB0-D92F236EDAEA}"/>
            </c:ext>
          </c:extLst>
        </c:ser>
        <c:dLbls>
          <c:showLegendKey val="0"/>
          <c:showVal val="0"/>
          <c:showCatName val="0"/>
          <c:showSerName val="0"/>
          <c:showPercent val="0"/>
          <c:showBubbleSize val="0"/>
        </c:dLbls>
        <c:smooth val="0"/>
        <c:axId val="672462064"/>
        <c:axId val="672457472"/>
      </c:lineChart>
      <c:catAx>
        <c:axId val="67246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57472"/>
        <c:crosses val="autoZero"/>
        <c:auto val="1"/>
        <c:lblAlgn val="ctr"/>
        <c:lblOffset val="100"/>
        <c:noMultiLvlLbl val="0"/>
      </c:catAx>
      <c:valAx>
        <c:axId val="672457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6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EV% sales</c:v>
          </c:tx>
          <c:spPr>
            <a:ln w="47625" cap="rnd">
              <a:solidFill>
                <a:schemeClr val="tx1"/>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subs'!$F$14:$F$55</c:f>
              <c:numCache>
                <c:formatCode>0.0</c:formatCode>
                <c:ptCount val="42"/>
                <c:pt idx="0">
                  <c:v>0.15606789967063592</c:v>
                </c:pt>
                <c:pt idx="1">
                  <c:v>0.30527419885091661</c:v>
                </c:pt>
                <c:pt idx="2">
                  <c:v>1.3300083125519535</c:v>
                </c:pt>
                <c:pt idx="3">
                  <c:v>3.5243461204841871</c:v>
                </c:pt>
                <c:pt idx="4">
                  <c:v>5.9936264957685834</c:v>
                </c:pt>
                <c:pt idx="5">
                  <c:v>13.7029999583917</c:v>
                </c:pt>
                <c:pt idx="6">
                  <c:v>23.63192333727088</c:v>
                </c:pt>
                <c:pt idx="7">
                  <c:v>29.047301798800802</c:v>
                </c:pt>
                <c:pt idx="8">
                  <c:v>39.277024897573277</c:v>
                </c:pt>
                <c:pt idx="9">
                  <c:v>48.528271313648382</c:v>
                </c:pt>
              </c:numCache>
            </c:numRef>
          </c:val>
          <c:smooth val="0"/>
          <c:extLst>
            <c:ext xmlns:c16="http://schemas.microsoft.com/office/drawing/2014/chart" uri="{C3380CC4-5D6E-409C-BE32-E72D297353CC}">
              <c16:uniqueId val="{00000000-B644-4F15-9622-7964C0718B91}"/>
            </c:ext>
          </c:extLst>
        </c:ser>
        <c:ser>
          <c:idx val="1"/>
          <c:order val="1"/>
          <c:tx>
            <c:strRef>
              <c:f>'Norway EV uptake with subs'!$G$3</c:f>
              <c:strCache>
                <c:ptCount val="1"/>
                <c:pt idx="0">
                  <c:v>predicted raw</c:v>
                </c:pt>
              </c:strCache>
            </c:strRef>
          </c:tx>
          <c:spPr>
            <a:ln w="28575" cap="rnd">
              <a:solidFill>
                <a:schemeClr val="accent2"/>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subs'!$G$14:$G$55</c:f>
              <c:numCache>
                <c:formatCode>0.000</c:formatCode>
                <c:ptCount val="42"/>
                <c:pt idx="0">
                  <c:v>0.49586237167526709</c:v>
                </c:pt>
                <c:pt idx="1">
                  <c:v>0.95422607071705978</c:v>
                </c:pt>
                <c:pt idx="2">
                  <c:v>1.8243074485334112</c:v>
                </c:pt>
                <c:pt idx="3">
                  <c:v>3.4450702320769127</c:v>
                </c:pt>
                <c:pt idx="4">
                  <c:v>6.3607835641863382</c:v>
                </c:pt>
                <c:pt idx="5">
                  <c:v>13.102487636563037</c:v>
                </c:pt>
                <c:pt idx="6">
                  <c:v>24.058052640666737</c:v>
                </c:pt>
                <c:pt idx="7">
                  <c:v>28.681875004731541</c:v>
                </c:pt>
                <c:pt idx="8">
                  <c:v>39.314736357294422</c:v>
                </c:pt>
                <c:pt idx="9">
                  <c:v>48.613157762113936</c:v>
                </c:pt>
                <c:pt idx="10">
                  <c:v>55.369953598215368</c:v>
                </c:pt>
                <c:pt idx="11">
                  <c:v>59.647470933153592</c:v>
                </c:pt>
                <c:pt idx="12">
                  <c:v>62.123681562857406</c:v>
                </c:pt>
                <c:pt idx="13">
                  <c:v>63.483462457791383</c:v>
                </c:pt>
                <c:pt idx="14">
                  <c:v>64.208595508841753</c:v>
                </c:pt>
                <c:pt idx="15">
                  <c:v>64.589249257811147</c:v>
                </c:pt>
                <c:pt idx="16">
                  <c:v>64.78742039856111</c:v>
                </c:pt>
                <c:pt idx="17">
                  <c:v>64.890144344344137</c:v>
                </c:pt>
                <c:pt idx="18">
                  <c:v>64.943272893507597</c:v>
                </c:pt>
                <c:pt idx="19">
                  <c:v>64.970718932031488</c:v>
                </c:pt>
                <c:pt idx="20">
                  <c:v>64.984888958391409</c:v>
                </c:pt>
                <c:pt idx="21">
                  <c:v>64.992202487941555</c:v>
                </c:pt>
                <c:pt idx="22">
                  <c:v>64.995976592197081</c:v>
                </c:pt>
                <c:pt idx="23">
                  <c:v>64.997924035865111</c:v>
                </c:pt>
                <c:pt idx="24">
                  <c:v>64.998928877011707</c:v>
                </c:pt>
                <c:pt idx="25">
                  <c:v>64.999447343115634</c:v>
                </c:pt>
                <c:pt idx="26">
                  <c:v>64.999714852116952</c:v>
                </c:pt>
                <c:pt idx="27">
                  <c:v>64.999852875888223</c:v>
                </c:pt>
                <c:pt idx="28">
                  <c:v>64.999924090328904</c:v>
                </c:pt>
                <c:pt idx="29">
                  <c:v>64.999960833917427</c:v>
                </c:pt>
                <c:pt idx="30">
                  <c:v>64.999979792013562</c:v>
                </c:pt>
                <c:pt idx="31">
                  <c:v>64.999989573563866</c:v>
                </c:pt>
                <c:pt idx="32">
                  <c:v>64.999994620415904</c:v>
                </c:pt>
                <c:pt idx="33">
                  <c:v>64.999997224370475</c:v>
                </c:pt>
                <c:pt idx="34">
                  <c:v>64.999998567896881</c:v>
                </c:pt>
                <c:pt idx="35">
                  <c:v>64.999999261097599</c:v>
                </c:pt>
                <c:pt idx="36">
                  <c:v>64.999999618758778</c:v>
                </c:pt>
                <c:pt idx="37">
                  <c:v>64.999999803296248</c:v>
                </c:pt>
                <c:pt idx="38">
                  <c:v>64.9999998985095</c:v>
                </c:pt>
                <c:pt idx="39">
                  <c:v>64.999999947635359</c:v>
                </c:pt>
                <c:pt idx="40">
                  <c:v>64.999999972982138</c:v>
                </c:pt>
                <c:pt idx="41">
                  <c:v>64.999999986059962</c:v>
                </c:pt>
              </c:numCache>
            </c:numRef>
          </c:val>
          <c:smooth val="0"/>
          <c:extLst>
            <c:ext xmlns:c16="http://schemas.microsoft.com/office/drawing/2014/chart" uri="{C3380CC4-5D6E-409C-BE32-E72D297353CC}">
              <c16:uniqueId val="{00000001-B644-4F15-9622-7964C0718B91}"/>
            </c:ext>
          </c:extLst>
        </c:ser>
        <c:ser>
          <c:idx val="3"/>
          <c:order val="2"/>
          <c:tx>
            <c:strRef>
              <c:f>'Norway EV uptake with subs'!$R$3</c:f>
              <c:strCache>
                <c:ptCount val="1"/>
                <c:pt idx="0">
                  <c:v>Predicted Cost</c:v>
                </c:pt>
              </c:strCache>
            </c:strRef>
          </c:tx>
          <c:spPr>
            <a:ln w="28575" cap="rnd">
              <a:solidFill>
                <a:schemeClr val="accent4"/>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subs'!$R$14:$R$55</c:f>
              <c:numCache>
                <c:formatCode>0.000</c:formatCode>
                <c:ptCount val="42"/>
                <c:pt idx="0">
                  <c:v>0.49586237167526709</c:v>
                </c:pt>
                <c:pt idx="1">
                  <c:v>0.95422607071705978</c:v>
                </c:pt>
                <c:pt idx="2">
                  <c:v>1.8243074485334112</c:v>
                </c:pt>
                <c:pt idx="3">
                  <c:v>3.4450702320769109</c:v>
                </c:pt>
                <c:pt idx="4">
                  <c:v>6.3607835641863382</c:v>
                </c:pt>
                <c:pt idx="5">
                  <c:v>11.291522864493412</c:v>
                </c:pt>
                <c:pt idx="6">
                  <c:v>18.81788217034801</c:v>
                </c:pt>
                <c:pt idx="7">
                  <c:v>28.681875004731538</c:v>
                </c:pt>
                <c:pt idx="8">
                  <c:v>39.314736357294422</c:v>
                </c:pt>
                <c:pt idx="9">
                  <c:v>48.613157762113936</c:v>
                </c:pt>
                <c:pt idx="10">
                  <c:v>55.369953598215368</c:v>
                </c:pt>
                <c:pt idx="11">
                  <c:v>59.647470933153592</c:v>
                </c:pt>
                <c:pt idx="12">
                  <c:v>48.613157762113936</c:v>
                </c:pt>
                <c:pt idx="13">
                  <c:v>57.080346957898783</c:v>
                </c:pt>
                <c:pt idx="14">
                  <c:v>57.847545262826337</c:v>
                </c:pt>
                <c:pt idx="15">
                  <c:v>61.042763561965771</c:v>
                </c:pt>
                <c:pt idx="16">
                  <c:v>62.926256922034931</c:v>
                </c:pt>
                <c:pt idx="17">
                  <c:v>63.974791604273037</c:v>
                </c:pt>
                <c:pt idx="18">
                  <c:v>64.538709870403082</c:v>
                </c:pt>
                <c:pt idx="19">
                  <c:v>64.836161165251099</c:v>
                </c:pt>
                <c:pt idx="20">
                  <c:v>64.915289105367151</c:v>
                </c:pt>
                <c:pt idx="21">
                  <c:v>64.95624552324324</c:v>
                </c:pt>
                <c:pt idx="22">
                  <c:v>64.977411972813826</c:v>
                </c:pt>
                <c:pt idx="23">
                  <c:v>64.988342201285334</c:v>
                </c:pt>
                <c:pt idx="24">
                  <c:v>64.993984190281367</c:v>
                </c:pt>
                <c:pt idx="25">
                  <c:v>64.996895867226229</c:v>
                </c:pt>
                <c:pt idx="26">
                  <c:v>64.9983983400613</c:v>
                </c:pt>
                <c:pt idx="27">
                  <c:v>64.999173596799523</c:v>
                </c:pt>
                <c:pt idx="28">
                  <c:v>64.999573607692284</c:v>
                </c:pt>
                <c:pt idx="29">
                  <c:v>64.999779999073425</c:v>
                </c:pt>
                <c:pt idx="30">
                  <c:v>64.999886488853008</c:v>
                </c:pt>
                <c:pt idx="31">
                  <c:v>64.999941433142396</c:v>
                </c:pt>
                <c:pt idx="32">
                  <c:v>64.999969782047941</c:v>
                </c:pt>
                <c:pt idx="33">
                  <c:v>64.99998440885625</c:v>
                </c:pt>
                <c:pt idx="34">
                  <c:v>64.999991955652149</c:v>
                </c:pt>
                <c:pt idx="35">
                  <c:v>64.999995849468945</c:v>
                </c:pt>
                <c:pt idx="36">
                  <c:v>64.999997858507939</c:v>
                </c:pt>
                <c:pt idx="37">
                  <c:v>64.999998895084005</c:v>
                </c:pt>
                <c:pt idx="38">
                  <c:v>64.99999942991181</c:v>
                </c:pt>
                <c:pt idx="39">
                  <c:v>64.999999705859494</c:v>
                </c:pt>
                <c:pt idx="40">
                  <c:v>64.999999848236399</c:v>
                </c:pt>
                <c:pt idx="41">
                  <c:v>64.999999921696627</c:v>
                </c:pt>
              </c:numCache>
            </c:numRef>
          </c:val>
          <c:smooth val="0"/>
          <c:extLst>
            <c:ext xmlns:c16="http://schemas.microsoft.com/office/drawing/2014/chart" uri="{C3380CC4-5D6E-409C-BE32-E72D297353CC}">
              <c16:uniqueId val="{00000003-B644-4F15-9622-7964C0718B91}"/>
            </c:ext>
          </c:extLst>
        </c:ser>
        <c:dLbls>
          <c:showLegendKey val="0"/>
          <c:showVal val="0"/>
          <c:showCatName val="0"/>
          <c:showSerName val="0"/>
          <c:showPercent val="0"/>
          <c:showBubbleSize val="0"/>
        </c:dLbls>
        <c:smooth val="0"/>
        <c:axId val="672462064"/>
        <c:axId val="672457472"/>
      </c:lineChart>
      <c:catAx>
        <c:axId val="67246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57472"/>
        <c:crosses val="autoZero"/>
        <c:auto val="1"/>
        <c:lblAlgn val="ctr"/>
        <c:lblOffset val="100"/>
        <c:noMultiLvlLbl val="0"/>
      </c:catAx>
      <c:valAx>
        <c:axId val="672457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6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EV% sales</c:v>
          </c:tx>
          <c:spPr>
            <a:ln w="47625" cap="rnd">
              <a:solidFill>
                <a:schemeClr val="tx1"/>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subs'!$F$14:$F$55</c:f>
              <c:numCache>
                <c:formatCode>0.0</c:formatCode>
                <c:ptCount val="42"/>
                <c:pt idx="0">
                  <c:v>0.15606789967063592</c:v>
                </c:pt>
                <c:pt idx="1">
                  <c:v>0.30527419885091661</c:v>
                </c:pt>
                <c:pt idx="2">
                  <c:v>1.3300083125519535</c:v>
                </c:pt>
                <c:pt idx="3">
                  <c:v>3.5243461204841871</c:v>
                </c:pt>
                <c:pt idx="4">
                  <c:v>5.9936264957685834</c:v>
                </c:pt>
                <c:pt idx="5">
                  <c:v>13.7029999583917</c:v>
                </c:pt>
                <c:pt idx="6">
                  <c:v>23.63192333727088</c:v>
                </c:pt>
                <c:pt idx="7">
                  <c:v>29.047301798800802</c:v>
                </c:pt>
                <c:pt idx="8">
                  <c:v>39.277024897573277</c:v>
                </c:pt>
                <c:pt idx="9">
                  <c:v>48.528271313648382</c:v>
                </c:pt>
              </c:numCache>
            </c:numRef>
          </c:val>
          <c:smooth val="0"/>
          <c:extLst>
            <c:ext xmlns:c16="http://schemas.microsoft.com/office/drawing/2014/chart" uri="{C3380CC4-5D6E-409C-BE32-E72D297353CC}">
              <c16:uniqueId val="{00000000-B3F9-4279-80D3-7A104F6BE03A}"/>
            </c:ext>
          </c:extLst>
        </c:ser>
        <c:ser>
          <c:idx val="1"/>
          <c:order val="1"/>
          <c:tx>
            <c:strRef>
              <c:f>'Norway EV uptake with subs'!$G$3</c:f>
              <c:strCache>
                <c:ptCount val="1"/>
                <c:pt idx="0">
                  <c:v>predicted raw</c:v>
                </c:pt>
              </c:strCache>
            </c:strRef>
          </c:tx>
          <c:spPr>
            <a:ln w="28575" cap="rnd">
              <a:solidFill>
                <a:schemeClr val="accent2"/>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subs'!$G$14:$G$55</c:f>
              <c:numCache>
                <c:formatCode>0.000</c:formatCode>
                <c:ptCount val="42"/>
                <c:pt idx="0">
                  <c:v>0.49586237167526709</c:v>
                </c:pt>
                <c:pt idx="1">
                  <c:v>0.95422607071705978</c:v>
                </c:pt>
                <c:pt idx="2">
                  <c:v>1.8243074485334112</c:v>
                </c:pt>
                <c:pt idx="3">
                  <c:v>3.4450702320769127</c:v>
                </c:pt>
                <c:pt idx="4">
                  <c:v>6.3607835641863382</c:v>
                </c:pt>
                <c:pt idx="5">
                  <c:v>13.102487636563037</c:v>
                </c:pt>
                <c:pt idx="6">
                  <c:v>24.058052640666737</c:v>
                </c:pt>
                <c:pt idx="7">
                  <c:v>28.681875004731541</c:v>
                </c:pt>
                <c:pt idx="8">
                  <c:v>39.314736357294422</c:v>
                </c:pt>
                <c:pt idx="9">
                  <c:v>48.613157762113936</c:v>
                </c:pt>
                <c:pt idx="10">
                  <c:v>55.369953598215368</c:v>
                </c:pt>
                <c:pt idx="11">
                  <c:v>59.647470933153592</c:v>
                </c:pt>
                <c:pt idx="12">
                  <c:v>62.123681562857406</c:v>
                </c:pt>
                <c:pt idx="13">
                  <c:v>63.483462457791383</c:v>
                </c:pt>
                <c:pt idx="14">
                  <c:v>64.208595508841753</c:v>
                </c:pt>
                <c:pt idx="15">
                  <c:v>64.589249257811147</c:v>
                </c:pt>
                <c:pt idx="16">
                  <c:v>64.78742039856111</c:v>
                </c:pt>
                <c:pt idx="17">
                  <c:v>64.890144344344137</c:v>
                </c:pt>
                <c:pt idx="18">
                  <c:v>64.943272893507597</c:v>
                </c:pt>
                <c:pt idx="19">
                  <c:v>64.970718932031488</c:v>
                </c:pt>
                <c:pt idx="20">
                  <c:v>64.984888958391409</c:v>
                </c:pt>
                <c:pt idx="21">
                  <c:v>64.992202487941555</c:v>
                </c:pt>
                <c:pt idx="22">
                  <c:v>64.995976592197081</c:v>
                </c:pt>
                <c:pt idx="23">
                  <c:v>64.997924035865111</c:v>
                </c:pt>
                <c:pt idx="24">
                  <c:v>64.998928877011707</c:v>
                </c:pt>
                <c:pt idx="25">
                  <c:v>64.999447343115634</c:v>
                </c:pt>
                <c:pt idx="26">
                  <c:v>64.999714852116952</c:v>
                </c:pt>
                <c:pt idx="27">
                  <c:v>64.999852875888223</c:v>
                </c:pt>
                <c:pt idx="28">
                  <c:v>64.999924090328904</c:v>
                </c:pt>
                <c:pt idx="29">
                  <c:v>64.999960833917427</c:v>
                </c:pt>
                <c:pt idx="30">
                  <c:v>64.999979792013562</c:v>
                </c:pt>
                <c:pt idx="31">
                  <c:v>64.999989573563866</c:v>
                </c:pt>
                <c:pt idx="32">
                  <c:v>64.999994620415904</c:v>
                </c:pt>
                <c:pt idx="33">
                  <c:v>64.999997224370475</c:v>
                </c:pt>
                <c:pt idx="34">
                  <c:v>64.999998567896881</c:v>
                </c:pt>
                <c:pt idx="35">
                  <c:v>64.999999261097599</c:v>
                </c:pt>
                <c:pt idx="36">
                  <c:v>64.999999618758778</c:v>
                </c:pt>
                <c:pt idx="37">
                  <c:v>64.999999803296248</c:v>
                </c:pt>
                <c:pt idx="38">
                  <c:v>64.9999998985095</c:v>
                </c:pt>
                <c:pt idx="39">
                  <c:v>64.999999947635359</c:v>
                </c:pt>
                <c:pt idx="40">
                  <c:v>64.999999972982138</c:v>
                </c:pt>
                <c:pt idx="41">
                  <c:v>64.999999986059962</c:v>
                </c:pt>
              </c:numCache>
            </c:numRef>
          </c:val>
          <c:smooth val="0"/>
          <c:extLst>
            <c:ext xmlns:c16="http://schemas.microsoft.com/office/drawing/2014/chart" uri="{C3380CC4-5D6E-409C-BE32-E72D297353CC}">
              <c16:uniqueId val="{00000001-B3F9-4279-80D3-7A104F6BE03A}"/>
            </c:ext>
          </c:extLst>
        </c:ser>
        <c:ser>
          <c:idx val="2"/>
          <c:order val="2"/>
          <c:tx>
            <c:strRef>
              <c:f>'Norway EV uptake with subs'!$J$3</c:f>
              <c:strCache>
                <c:ptCount val="1"/>
                <c:pt idx="0">
                  <c:v>Predicted Cost Lagged</c:v>
                </c:pt>
              </c:strCache>
            </c:strRef>
          </c:tx>
          <c:spPr>
            <a:ln w="28575" cap="rnd">
              <a:solidFill>
                <a:schemeClr val="accent3"/>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subs'!$J$14:$J$55</c:f>
              <c:numCache>
                <c:formatCode>0.000</c:formatCode>
                <c:ptCount val="42"/>
                <c:pt idx="0">
                  <c:v>0.49586237167526709</c:v>
                </c:pt>
                <c:pt idx="1">
                  <c:v>0.95422607071705978</c:v>
                </c:pt>
                <c:pt idx="2">
                  <c:v>1.8243074485334112</c:v>
                </c:pt>
                <c:pt idx="3">
                  <c:v>3.4450702320769127</c:v>
                </c:pt>
                <c:pt idx="4">
                  <c:v>6.3607835641863382</c:v>
                </c:pt>
                <c:pt idx="5">
                  <c:v>13.102487636563037</c:v>
                </c:pt>
                <c:pt idx="6">
                  <c:v>18.817882170348014</c:v>
                </c:pt>
                <c:pt idx="7">
                  <c:v>28.681875004731538</c:v>
                </c:pt>
                <c:pt idx="8">
                  <c:v>39.314736357294422</c:v>
                </c:pt>
                <c:pt idx="9">
                  <c:v>48.613157762113936</c:v>
                </c:pt>
                <c:pt idx="10">
                  <c:v>55.369953598215368</c:v>
                </c:pt>
                <c:pt idx="11">
                  <c:v>59.647470933153592</c:v>
                </c:pt>
                <c:pt idx="12">
                  <c:v>48.077248062780114</c:v>
                </c:pt>
                <c:pt idx="13">
                  <c:v>56.264107302094025</c:v>
                </c:pt>
                <c:pt idx="14">
                  <c:v>56.516079957945678</c:v>
                </c:pt>
                <c:pt idx="15">
                  <c:v>59.986107797620143</c:v>
                </c:pt>
                <c:pt idx="16">
                  <c:v>62.244089960793424</c:v>
                </c:pt>
                <c:pt idx="17">
                  <c:v>63.589614491396411</c:v>
                </c:pt>
                <c:pt idx="18">
                  <c:v>64.351240619450323</c:v>
                </c:pt>
                <c:pt idx="19">
                  <c:v>64.767510585903281</c:v>
                </c:pt>
                <c:pt idx="20">
                  <c:v>64.879732649035418</c:v>
                </c:pt>
                <c:pt idx="21">
                  <c:v>64.937863612935615</c:v>
                </c:pt>
                <c:pt idx="22">
                  <c:v>64.967918012706406</c:v>
                </c:pt>
                <c:pt idx="23">
                  <c:v>64.98344114817084</c:v>
                </c:pt>
                <c:pt idx="24">
                  <c:v>64.991454772887778</c:v>
                </c:pt>
                <c:pt idx="25">
                  <c:v>64.99559061532328</c:v>
                </c:pt>
                <c:pt idx="26">
                  <c:v>64.997724838480636</c:v>
                </c:pt>
                <c:pt idx="27">
                  <c:v>64.99882608652068</c:v>
                </c:pt>
                <c:pt idx="28">
                  <c:v>64.999394304169485</c:v>
                </c:pt>
                <c:pt idx="29">
                  <c:v>64.999687485399122</c:v>
                </c:pt>
                <c:pt idx="30">
                  <c:v>64.999838755609858</c:v>
                </c:pt>
                <c:pt idx="31">
                  <c:v>64.999916804817474</c:v>
                </c:pt>
                <c:pt idx="32">
                  <c:v>64.999957074895235</c:v>
                </c:pt>
                <c:pt idx="33">
                  <c:v>64.999977852518228</c:v>
                </c:pt>
                <c:pt idx="34">
                  <c:v>64.999988572868105</c:v>
                </c:pt>
                <c:pt idx="35">
                  <c:v>64.999994104100438</c:v>
                </c:pt>
                <c:pt idx="36">
                  <c:v>64.999996957974275</c:v>
                </c:pt>
                <c:pt idx="37">
                  <c:v>64.999998430448116</c:v>
                </c:pt>
                <c:pt idx="38">
                  <c:v>64.999999190180077</c:v>
                </c:pt>
                <c:pt idx="39">
                  <c:v>64.999999582168428</c:v>
                </c:pt>
                <c:pt idx="40">
                  <c:v>64.999999784417241</c:v>
                </c:pt>
                <c:pt idx="41">
                  <c:v>64.999999888768727</c:v>
                </c:pt>
              </c:numCache>
            </c:numRef>
          </c:val>
          <c:smooth val="0"/>
          <c:extLst>
            <c:ext xmlns:c16="http://schemas.microsoft.com/office/drawing/2014/chart" uri="{C3380CC4-5D6E-409C-BE32-E72D297353CC}">
              <c16:uniqueId val="{00000002-B3F9-4279-80D3-7A104F6BE03A}"/>
            </c:ext>
          </c:extLst>
        </c:ser>
        <c:ser>
          <c:idx val="3"/>
          <c:order val="3"/>
          <c:tx>
            <c:strRef>
              <c:f>'Norway EV uptake with subs'!$R$3</c:f>
              <c:strCache>
                <c:ptCount val="1"/>
                <c:pt idx="0">
                  <c:v>Predicted Cost</c:v>
                </c:pt>
              </c:strCache>
            </c:strRef>
          </c:tx>
          <c:spPr>
            <a:ln w="28575" cap="rnd">
              <a:solidFill>
                <a:schemeClr val="accent4"/>
              </a:solidFill>
              <a:round/>
            </a:ln>
            <a:effectLst/>
          </c:spPr>
          <c:marker>
            <c:symbol val="none"/>
          </c:marker>
          <c:cat>
            <c:numRef>
              <c:f>'Norway EV uptake with subs'!$A$14:$A$55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'Norway EV uptake with subs'!$R$14:$R$55</c:f>
              <c:numCache>
                <c:formatCode>0.000</c:formatCode>
                <c:ptCount val="42"/>
                <c:pt idx="0">
                  <c:v>0.49586237167526709</c:v>
                </c:pt>
                <c:pt idx="1">
                  <c:v>0.95422607071705978</c:v>
                </c:pt>
                <c:pt idx="2">
                  <c:v>1.8243074485334112</c:v>
                </c:pt>
                <c:pt idx="3">
                  <c:v>3.4450702320769109</c:v>
                </c:pt>
                <c:pt idx="4">
                  <c:v>6.3607835641863382</c:v>
                </c:pt>
                <c:pt idx="5">
                  <c:v>11.291522864493412</c:v>
                </c:pt>
                <c:pt idx="6">
                  <c:v>18.81788217034801</c:v>
                </c:pt>
                <c:pt idx="7">
                  <c:v>28.681875004731538</c:v>
                </c:pt>
                <c:pt idx="8">
                  <c:v>39.314736357294422</c:v>
                </c:pt>
                <c:pt idx="9">
                  <c:v>48.613157762113936</c:v>
                </c:pt>
                <c:pt idx="10">
                  <c:v>55.369953598215368</c:v>
                </c:pt>
                <c:pt idx="11">
                  <c:v>59.647470933153592</c:v>
                </c:pt>
                <c:pt idx="12">
                  <c:v>48.613157762113936</c:v>
                </c:pt>
                <c:pt idx="13">
                  <c:v>57.080346957898783</c:v>
                </c:pt>
                <c:pt idx="14">
                  <c:v>57.847545262826337</c:v>
                </c:pt>
                <c:pt idx="15">
                  <c:v>61.042763561965771</c:v>
                </c:pt>
                <c:pt idx="16">
                  <c:v>62.926256922034931</c:v>
                </c:pt>
                <c:pt idx="17">
                  <c:v>63.974791604273037</c:v>
                </c:pt>
                <c:pt idx="18">
                  <c:v>64.538709870403082</c:v>
                </c:pt>
                <c:pt idx="19">
                  <c:v>64.836161165251099</c:v>
                </c:pt>
                <c:pt idx="20">
                  <c:v>64.915289105367151</c:v>
                </c:pt>
                <c:pt idx="21">
                  <c:v>64.95624552324324</c:v>
                </c:pt>
                <c:pt idx="22">
                  <c:v>64.977411972813826</c:v>
                </c:pt>
                <c:pt idx="23">
                  <c:v>64.988342201285334</c:v>
                </c:pt>
                <c:pt idx="24">
                  <c:v>64.993984190281367</c:v>
                </c:pt>
                <c:pt idx="25">
                  <c:v>64.996895867226229</c:v>
                </c:pt>
                <c:pt idx="26">
                  <c:v>64.9983983400613</c:v>
                </c:pt>
                <c:pt idx="27">
                  <c:v>64.999173596799523</c:v>
                </c:pt>
                <c:pt idx="28">
                  <c:v>64.999573607692284</c:v>
                </c:pt>
                <c:pt idx="29">
                  <c:v>64.999779999073425</c:v>
                </c:pt>
                <c:pt idx="30">
                  <c:v>64.999886488853008</c:v>
                </c:pt>
                <c:pt idx="31">
                  <c:v>64.999941433142396</c:v>
                </c:pt>
                <c:pt idx="32">
                  <c:v>64.999969782047941</c:v>
                </c:pt>
                <c:pt idx="33">
                  <c:v>64.99998440885625</c:v>
                </c:pt>
                <c:pt idx="34">
                  <c:v>64.999991955652149</c:v>
                </c:pt>
                <c:pt idx="35">
                  <c:v>64.999995849468945</c:v>
                </c:pt>
                <c:pt idx="36">
                  <c:v>64.999997858507939</c:v>
                </c:pt>
                <c:pt idx="37">
                  <c:v>64.999998895084005</c:v>
                </c:pt>
                <c:pt idx="38">
                  <c:v>64.99999942991181</c:v>
                </c:pt>
                <c:pt idx="39">
                  <c:v>64.999999705859494</c:v>
                </c:pt>
                <c:pt idx="40">
                  <c:v>64.999999848236399</c:v>
                </c:pt>
                <c:pt idx="41">
                  <c:v>64.999999921696627</c:v>
                </c:pt>
              </c:numCache>
            </c:numRef>
          </c:val>
          <c:smooth val="0"/>
          <c:extLst>
            <c:ext xmlns:c16="http://schemas.microsoft.com/office/drawing/2014/chart" uri="{C3380CC4-5D6E-409C-BE32-E72D297353CC}">
              <c16:uniqueId val="{00000003-B3F9-4279-80D3-7A104F6BE03A}"/>
            </c:ext>
          </c:extLst>
        </c:ser>
        <c:dLbls>
          <c:showLegendKey val="0"/>
          <c:showVal val="0"/>
          <c:showCatName val="0"/>
          <c:showSerName val="0"/>
          <c:showPercent val="0"/>
          <c:showBubbleSize val="0"/>
        </c:dLbls>
        <c:smooth val="0"/>
        <c:axId val="672462064"/>
        <c:axId val="672457472"/>
      </c:lineChart>
      <c:catAx>
        <c:axId val="67246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57472"/>
        <c:crosses val="autoZero"/>
        <c:auto val="1"/>
        <c:lblAlgn val="ctr"/>
        <c:lblOffset val="100"/>
        <c:noMultiLvlLbl val="0"/>
      </c:catAx>
      <c:valAx>
        <c:axId val="672457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46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 stock data'!$C$11</c:f>
              <c:strCache>
                <c:ptCount val="1"/>
                <c:pt idx="0">
                  <c:v>BEV sales</c:v>
                </c:pt>
              </c:strCache>
            </c:strRef>
          </c:tx>
          <c:spPr>
            <a:ln w="28575" cap="rnd">
              <a:solidFill>
                <a:schemeClr val="accent1"/>
              </a:solidFill>
              <a:round/>
            </a:ln>
            <a:effectLst/>
          </c:spPr>
          <c:marker>
            <c:symbol val="none"/>
          </c:marker>
          <c:cat>
            <c:numRef>
              <c:f>'DC stock data'!$D$3:$N$3</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'DC stock data'!$D$11:$N$11</c:f>
              <c:numCache>
                <c:formatCode>General</c:formatCode>
                <c:ptCount val="11"/>
                <c:pt idx="0">
                  <c:v>0</c:v>
                </c:pt>
                <c:pt idx="1">
                  <c:v>0</c:v>
                </c:pt>
                <c:pt idx="2">
                  <c:v>0</c:v>
                </c:pt>
                <c:pt idx="3">
                  <c:v>25</c:v>
                </c:pt>
                <c:pt idx="4">
                  <c:v>136</c:v>
                </c:pt>
                <c:pt idx="5">
                  <c:v>118</c:v>
                </c:pt>
                <c:pt idx="6">
                  <c:v>195</c:v>
                </c:pt>
                <c:pt idx="7">
                  <c:v>176</c:v>
                </c:pt>
                <c:pt idx="8">
                  <c:v>602</c:v>
                </c:pt>
                <c:pt idx="9">
                  <c:v>818</c:v>
                </c:pt>
                <c:pt idx="10">
                  <c:v>705</c:v>
                </c:pt>
              </c:numCache>
            </c:numRef>
          </c:val>
          <c:smooth val="0"/>
          <c:extLst>
            <c:ext xmlns:c16="http://schemas.microsoft.com/office/drawing/2014/chart" uri="{C3380CC4-5D6E-409C-BE32-E72D297353CC}">
              <c16:uniqueId val="{00000000-758C-46EF-8E97-E08DB589025D}"/>
            </c:ext>
          </c:extLst>
        </c:ser>
        <c:dLbls>
          <c:showLegendKey val="0"/>
          <c:showVal val="0"/>
          <c:showCatName val="0"/>
          <c:showSerName val="0"/>
          <c:showPercent val="0"/>
          <c:showBubbleSize val="0"/>
        </c:dLbls>
        <c:smooth val="0"/>
        <c:axId val="595621960"/>
        <c:axId val="595617696"/>
      </c:lineChart>
      <c:catAx>
        <c:axId val="59562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617696"/>
        <c:crosses val="autoZero"/>
        <c:auto val="1"/>
        <c:lblAlgn val="ctr"/>
        <c:lblOffset val="100"/>
        <c:noMultiLvlLbl val="0"/>
      </c:catAx>
      <c:valAx>
        <c:axId val="59561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621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%sales 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553149606299214E-2"/>
          <c:y val="8.0465798068416333E-2"/>
          <c:w val="0.88389129483814521"/>
          <c:h val="0.8220185573748201"/>
        </c:manualLayout>
      </c:layout>
      <c:lineChart>
        <c:grouping val="standard"/>
        <c:varyColors val="0"/>
        <c:ser>
          <c:idx val="0"/>
          <c:order val="0"/>
          <c:tx>
            <c:strRef>
              <c:f>'EV %sales'!$B$62</c:f>
              <c:strCache>
                <c:ptCount val="1"/>
                <c:pt idx="0">
                  <c:v>Australia</c:v>
                </c:pt>
              </c:strCache>
            </c:strRef>
          </c:tx>
          <c:spPr>
            <a:ln w="28575" cap="rnd">
              <a:solidFill>
                <a:schemeClr val="tx1"/>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%sales'!$B$67:$B$75</c:f>
              <c:numCache>
                <c:formatCode>0.00</c:formatCode>
                <c:ptCount val="9"/>
                <c:pt idx="0">
                  <c:v>0</c:v>
                </c:pt>
                <c:pt idx="1">
                  <c:v>4.8343801780743939E-3</c:v>
                </c:pt>
                <c:pt idx="2">
                  <c:v>1.8918414338166656E-2</c:v>
                </c:pt>
                <c:pt idx="3">
                  <c:v>1.5067748221325963E-2</c:v>
                </c:pt>
                <c:pt idx="4">
                  <c:v>3.7779246970715524E-2</c:v>
                </c:pt>
                <c:pt idx="5">
                  <c:v>0.14955613955103744</c:v>
                </c:pt>
                <c:pt idx="6">
                  <c:v>0.19163472754540908</c:v>
                </c:pt>
                <c:pt idx="7">
                  <c:v>0.18840048313346561</c:v>
                </c:pt>
                <c:pt idx="8">
                  <c:v>0.20651104337713735</c:v>
                </c:pt>
              </c:numCache>
            </c:numRef>
          </c:val>
          <c:smooth val="0"/>
          <c:extLst>
            <c:ext xmlns:c16="http://schemas.microsoft.com/office/drawing/2014/chart" uri="{C3380CC4-5D6E-409C-BE32-E72D297353CC}">
              <c16:uniqueId val="{00000000-4F39-4B06-B175-0B85AABB5E9B}"/>
            </c:ext>
          </c:extLst>
        </c:ser>
        <c:ser>
          <c:idx val="1"/>
          <c:order val="1"/>
          <c:tx>
            <c:strRef>
              <c:f>'EV %sales'!$C$62</c:f>
              <c:strCache>
                <c:ptCount val="1"/>
                <c:pt idx="0">
                  <c:v>Austria</c:v>
                </c:pt>
              </c:strCache>
            </c:strRef>
          </c:tx>
          <c:spPr>
            <a:ln w="28575" cap="rnd">
              <a:solidFill>
                <a:srgbClr val="FF0000"/>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%sales'!$C$67:$C$75</c:f>
              <c:numCache>
                <c:formatCode>0.00</c:formatCode>
                <c:ptCount val="9"/>
                <c:pt idx="0">
                  <c:v>1.2530229177891664E-2</c:v>
                </c:pt>
                <c:pt idx="1">
                  <c:v>3.4144988155957234E-2</c:v>
                </c:pt>
                <c:pt idx="2">
                  <c:v>0.17717552450694102</c:v>
                </c:pt>
                <c:pt idx="3">
                  <c:v>0.20654147198000058</c:v>
                </c:pt>
                <c:pt idx="4">
                  <c:v>0.26266710548999328</c:v>
                </c:pt>
                <c:pt idx="5">
                  <c:v>0.56211632675937462</c:v>
                </c:pt>
                <c:pt idx="6">
                  <c:v>0.90032571178558107</c:v>
                </c:pt>
                <c:pt idx="7">
                  <c:v>1.5360857271149624</c:v>
                </c:pt>
                <c:pt idx="8">
                  <c:v>2.0212750928842866</c:v>
                </c:pt>
              </c:numCache>
            </c:numRef>
          </c:val>
          <c:smooth val="0"/>
          <c:extLst>
            <c:ext xmlns:c16="http://schemas.microsoft.com/office/drawing/2014/chart" uri="{C3380CC4-5D6E-409C-BE32-E72D297353CC}">
              <c16:uniqueId val="{00000001-4F39-4B06-B175-0B85AABB5E9B}"/>
            </c:ext>
          </c:extLst>
        </c:ser>
        <c:ser>
          <c:idx val="2"/>
          <c:order val="2"/>
          <c:tx>
            <c:strRef>
              <c:f>'EV %sales'!$D$62</c:f>
              <c:strCache>
                <c:ptCount val="1"/>
                <c:pt idx="0">
                  <c:v>Belgium</c:v>
                </c:pt>
              </c:strCache>
            </c:strRef>
          </c:tx>
          <c:spPr>
            <a:ln w="28575" cap="rnd">
              <a:solidFill>
                <a:schemeClr val="accent3"/>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%sales'!$D$67:$D$75</c:f>
              <c:numCache>
                <c:formatCode>0.00</c:formatCode>
                <c:ptCount val="9"/>
                <c:pt idx="0">
                  <c:v>0</c:v>
                </c:pt>
                <c:pt idx="1">
                  <c:v>0</c:v>
                </c:pt>
                <c:pt idx="2">
                  <c:v>5.0331260081543636E-2</c:v>
                </c:pt>
                <c:pt idx="3">
                  <c:v>0.18716511620262322</c:v>
                </c:pt>
                <c:pt idx="4">
                  <c:v>0.16726158024132573</c:v>
                </c:pt>
                <c:pt idx="5">
                  <c:v>0.41847935246480406</c:v>
                </c:pt>
                <c:pt idx="6">
                  <c:v>0.76017929773722437</c:v>
                </c:pt>
                <c:pt idx="7">
                  <c:v>1.6171812299474162</c:v>
                </c:pt>
                <c:pt idx="8">
                  <c:v>2.5607529301556289</c:v>
                </c:pt>
              </c:numCache>
            </c:numRef>
          </c:val>
          <c:smooth val="0"/>
          <c:extLst>
            <c:ext xmlns:c16="http://schemas.microsoft.com/office/drawing/2014/chart" uri="{C3380CC4-5D6E-409C-BE32-E72D297353CC}">
              <c16:uniqueId val="{00000002-4F39-4B06-B175-0B85AABB5E9B}"/>
            </c:ext>
          </c:extLst>
        </c:ser>
        <c:ser>
          <c:idx val="3"/>
          <c:order val="3"/>
          <c:tx>
            <c:strRef>
              <c:f>'EV %sales'!$E$62</c:f>
              <c:strCache>
                <c:ptCount val="1"/>
                <c:pt idx="0">
                  <c:v>Canada</c:v>
                </c:pt>
              </c:strCache>
            </c:strRef>
          </c:tx>
          <c:spPr>
            <a:ln w="28575" cap="rnd">
              <a:solidFill>
                <a:schemeClr val="accent4"/>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%sales'!$E$67:$E$75</c:f>
              <c:numCache>
                <c:formatCode>0.00</c:formatCode>
                <c:ptCount val="9"/>
                <c:pt idx="0">
                  <c:v>0</c:v>
                </c:pt>
                <c:pt idx="1">
                  <c:v>0</c:v>
                </c:pt>
                <c:pt idx="2">
                  <c:v>7.5253256150506515E-2</c:v>
                </c:pt>
                <c:pt idx="3">
                  <c:v>0.27595628415300544</c:v>
                </c:pt>
                <c:pt idx="4">
                  <c:v>0.41106719367588934</c:v>
                </c:pt>
                <c:pt idx="5">
                  <c:v>0.62903225806451613</c:v>
                </c:pt>
                <c:pt idx="6">
                  <c:v>0.81369611450384693</c:v>
                </c:pt>
                <c:pt idx="7">
                  <c:v>1.302786412148317</c:v>
                </c:pt>
                <c:pt idx="8">
                  <c:v>2.1226462017393763</c:v>
                </c:pt>
              </c:numCache>
            </c:numRef>
          </c:val>
          <c:smooth val="0"/>
          <c:extLst>
            <c:ext xmlns:c16="http://schemas.microsoft.com/office/drawing/2014/chart" uri="{C3380CC4-5D6E-409C-BE32-E72D297353CC}">
              <c16:uniqueId val="{00000003-4F39-4B06-B175-0B85AABB5E9B}"/>
            </c:ext>
          </c:extLst>
        </c:ser>
        <c:ser>
          <c:idx val="5"/>
          <c:order val="4"/>
          <c:tx>
            <c:strRef>
              <c:f>'EV %sales'!$G$62</c:f>
              <c:strCache>
                <c:ptCount val="1"/>
                <c:pt idx="0">
                  <c:v>Denmark</c:v>
                </c:pt>
              </c:strCache>
            </c:strRef>
          </c:tx>
          <c:spPr>
            <a:ln w="28575" cap="rnd">
              <a:solidFill>
                <a:schemeClr val="accent6"/>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%sales'!$G$67:$G$75</c:f>
              <c:numCache>
                <c:formatCode>0.00</c:formatCode>
                <c:ptCount val="9"/>
                <c:pt idx="0">
                  <c:v>0</c:v>
                </c:pt>
                <c:pt idx="1">
                  <c:v>0</c:v>
                </c:pt>
                <c:pt idx="2">
                  <c:v>0.24410615971013125</c:v>
                </c:pt>
                <c:pt idx="3">
                  <c:v>0.29511134012167489</c:v>
                </c:pt>
                <c:pt idx="4">
                  <c:v>0.28024493848954596</c:v>
                </c:pt>
                <c:pt idx="5">
                  <c:v>0.86371041106903335</c:v>
                </c:pt>
                <c:pt idx="6">
                  <c:v>2.3954983147611491</c:v>
                </c:pt>
                <c:pt idx="7">
                  <c:v>0.84430541986716978</c:v>
                </c:pt>
                <c:pt idx="8">
                  <c:v>0.5914758946523726</c:v>
                </c:pt>
              </c:numCache>
            </c:numRef>
          </c:val>
          <c:smooth val="0"/>
          <c:extLst>
            <c:ext xmlns:c16="http://schemas.microsoft.com/office/drawing/2014/chart" uri="{C3380CC4-5D6E-409C-BE32-E72D297353CC}">
              <c16:uniqueId val="{00000004-4F39-4B06-B175-0B85AABB5E9B}"/>
            </c:ext>
          </c:extLst>
        </c:ser>
        <c:ser>
          <c:idx val="6"/>
          <c:order val="5"/>
          <c:tx>
            <c:strRef>
              <c:f>'EV %sales'!$H$62</c:f>
              <c:strCache>
                <c:ptCount val="1"/>
                <c:pt idx="0">
                  <c:v>Finland</c:v>
                </c:pt>
              </c:strCache>
            </c:strRef>
          </c:tx>
          <c:spPr>
            <a:ln w="28575" cap="rnd">
              <a:solidFill>
                <a:schemeClr val="accent1">
                  <a:lumMod val="60000"/>
                </a:schemeClr>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%sales'!$H$67:$H$75</c:f>
              <c:numCache>
                <c:formatCode>0.00</c:formatCode>
                <c:ptCount val="9"/>
                <c:pt idx="0">
                  <c:v>0</c:v>
                </c:pt>
                <c:pt idx="1">
                  <c:v>0</c:v>
                </c:pt>
                <c:pt idx="2">
                  <c:v>2.2985043869730284E-2</c:v>
                </c:pt>
                <c:pt idx="3">
                  <c:v>0.16083815548287389</c:v>
                </c:pt>
                <c:pt idx="4">
                  <c:v>0.2106422656604795</c:v>
                </c:pt>
                <c:pt idx="5">
                  <c:v>0.44786932753737729</c:v>
                </c:pt>
                <c:pt idx="6">
                  <c:v>0.60358845740429401</c:v>
                </c:pt>
                <c:pt idx="7">
                  <c:v>1.2012869731768581</c:v>
                </c:pt>
                <c:pt idx="8">
                  <c:v>2.5773413311061049</c:v>
                </c:pt>
              </c:numCache>
            </c:numRef>
          </c:val>
          <c:smooth val="0"/>
          <c:extLst>
            <c:ext xmlns:c16="http://schemas.microsoft.com/office/drawing/2014/chart" uri="{C3380CC4-5D6E-409C-BE32-E72D297353CC}">
              <c16:uniqueId val="{00000005-4F39-4B06-B175-0B85AABB5E9B}"/>
            </c:ext>
          </c:extLst>
        </c:ser>
        <c:ser>
          <c:idx val="7"/>
          <c:order val="6"/>
          <c:tx>
            <c:strRef>
              <c:f>'EV %sales'!$I$62</c:f>
              <c:strCache>
                <c:ptCount val="1"/>
                <c:pt idx="0">
                  <c:v>France</c:v>
                </c:pt>
              </c:strCache>
            </c:strRef>
          </c:tx>
          <c:spPr>
            <a:ln w="28575" cap="rnd">
              <a:solidFill>
                <a:schemeClr val="bg2">
                  <a:lumMod val="75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%sales'!$I$67:$I$75</c:f>
              <c:numCache>
                <c:formatCode>0.00</c:formatCode>
                <c:ptCount val="9"/>
                <c:pt idx="0">
                  <c:v>4.4585254586262226E-3</c:v>
                </c:pt>
                <c:pt idx="1">
                  <c:v>8.6240508437725946E-3</c:v>
                </c:pt>
                <c:pt idx="2">
                  <c:v>0.12633040259139289</c:v>
                </c:pt>
                <c:pt idx="3">
                  <c:v>0.33646435090329391</c:v>
                </c:pt>
                <c:pt idx="4">
                  <c:v>0.54775769522693507</c:v>
                </c:pt>
                <c:pt idx="5">
                  <c:v>0.71605480991690595</c:v>
                </c:pt>
                <c:pt idx="6">
                  <c:v>1.2171398750933407</c:v>
                </c:pt>
                <c:pt idx="7">
                  <c:v>1.4710174625667114</c:v>
                </c:pt>
                <c:pt idx="8">
                  <c:v>1.7447815007590544</c:v>
                </c:pt>
              </c:numCache>
            </c:numRef>
          </c:val>
          <c:smooth val="0"/>
          <c:extLst>
            <c:ext xmlns:c16="http://schemas.microsoft.com/office/drawing/2014/chart" uri="{C3380CC4-5D6E-409C-BE32-E72D297353CC}">
              <c16:uniqueId val="{00000006-4F39-4B06-B175-0B85AABB5E9B}"/>
            </c:ext>
          </c:extLst>
        </c:ser>
        <c:ser>
          <c:idx val="8"/>
          <c:order val="7"/>
          <c:tx>
            <c:strRef>
              <c:f>'EV %sales'!$J$62</c:f>
              <c:strCache>
                <c:ptCount val="1"/>
                <c:pt idx="0">
                  <c:v>Germany</c:v>
                </c:pt>
              </c:strCache>
            </c:strRef>
          </c:tx>
          <c:spPr>
            <a:ln w="28575" cap="rnd">
              <a:solidFill>
                <a:schemeClr val="accent3">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%sales'!$J$67:$J$75</c:f>
              <c:numCache>
                <c:formatCode>0.00</c:formatCode>
                <c:ptCount val="9"/>
                <c:pt idx="0">
                  <c:v>5.2776519937385946E-4</c:v>
                </c:pt>
                <c:pt idx="1">
                  <c:v>4.8648442033643879E-3</c:v>
                </c:pt>
                <c:pt idx="2">
                  <c:v>5.1984877126654061E-2</c:v>
                </c:pt>
                <c:pt idx="3">
                  <c:v>0.10933209445254793</c:v>
                </c:pt>
                <c:pt idx="4">
                  <c:v>0.2347356615633395</c:v>
                </c:pt>
                <c:pt idx="5">
                  <c:v>0.41954417217249784</c:v>
                </c:pt>
                <c:pt idx="6">
                  <c:v>0.7233495294173059</c:v>
                </c:pt>
                <c:pt idx="7">
                  <c:v>0.75074541939668848</c:v>
                </c:pt>
                <c:pt idx="8">
                  <c:v>1.5835764854801773</c:v>
                </c:pt>
              </c:numCache>
            </c:numRef>
          </c:val>
          <c:smooth val="0"/>
          <c:extLst>
            <c:ext xmlns:c16="http://schemas.microsoft.com/office/drawing/2014/chart" uri="{C3380CC4-5D6E-409C-BE32-E72D297353CC}">
              <c16:uniqueId val="{00000007-4F39-4B06-B175-0B85AABB5E9B}"/>
            </c:ext>
          </c:extLst>
        </c:ser>
        <c:ser>
          <c:idx val="9"/>
          <c:order val="8"/>
          <c:tx>
            <c:strRef>
              <c:f>'EV %sales'!$K$62</c:f>
              <c:strCache>
                <c:ptCount val="1"/>
                <c:pt idx="0">
                  <c:v>India</c:v>
                </c:pt>
              </c:strCache>
            </c:strRef>
          </c:tx>
          <c:spPr>
            <a:ln w="28575" cap="rnd">
              <a:solidFill>
                <a:srgbClr val="FF0000"/>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%sales'!$K$67:$K$75</c:f>
              <c:numCache>
                <c:formatCode>0.00</c:formatCode>
                <c:ptCount val="9"/>
                <c:pt idx="0">
                  <c:v>4.4397939471989695E-2</c:v>
                </c:pt>
                <c:pt idx="1">
                  <c:v>0.06</c:v>
                </c:pt>
                <c:pt idx="2">
                  <c:v>6.9192521877486077E-2</c:v>
                </c:pt>
                <c:pt idx="3">
                  <c:v>0.11082940963419051</c:v>
                </c:pt>
                <c:pt idx="4">
                  <c:v>0.13033359193173003</c:v>
                </c:pt>
                <c:pt idx="5">
                  <c:v>0.15546055188495919</c:v>
                </c:pt>
                <c:pt idx="6">
                  <c:v>0.18976897689768976</c:v>
                </c:pt>
                <c:pt idx="7">
                  <c:v>0.23895759717314485</c:v>
                </c:pt>
                <c:pt idx="8">
                  <c:v>0.2830508474576271</c:v>
                </c:pt>
              </c:numCache>
            </c:numRef>
          </c:val>
          <c:smooth val="0"/>
          <c:extLst>
            <c:ext xmlns:c16="http://schemas.microsoft.com/office/drawing/2014/chart" uri="{C3380CC4-5D6E-409C-BE32-E72D297353CC}">
              <c16:uniqueId val="{00000008-4F39-4B06-B175-0B85AABB5E9B}"/>
            </c:ext>
          </c:extLst>
        </c:ser>
        <c:ser>
          <c:idx val="10"/>
          <c:order val="9"/>
          <c:tx>
            <c:strRef>
              <c:f>'EV %sales'!$L$62</c:f>
              <c:strCache>
                <c:ptCount val="1"/>
                <c:pt idx="0">
                  <c:v>Ireland</c:v>
                </c:pt>
              </c:strCache>
            </c:strRef>
          </c:tx>
          <c:spPr>
            <a:ln w="28575" cap="rnd">
              <a:solidFill>
                <a:schemeClr val="accent5">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%sales'!$L$67:$L$75</c:f>
              <c:numCache>
                <c:formatCode>0.00</c:formatCode>
                <c:ptCount val="9"/>
                <c:pt idx="0">
                  <c:v>0</c:v>
                </c:pt>
                <c:pt idx="1">
                  <c:v>0</c:v>
                </c:pt>
                <c:pt idx="2">
                  <c:v>5.117024116757142E-2</c:v>
                </c:pt>
                <c:pt idx="3">
                  <c:v>0.17484716596643943</c:v>
                </c:pt>
                <c:pt idx="4">
                  <c:v>6.3200075302217371E-2</c:v>
                </c:pt>
                <c:pt idx="5">
                  <c:v>0.26675247031470567</c:v>
                </c:pt>
                <c:pt idx="6">
                  <c:v>0.44739685461603113</c:v>
                </c:pt>
                <c:pt idx="7">
                  <c:v>0.47066848567530695</c:v>
                </c:pt>
                <c:pt idx="8">
                  <c:v>0.72180176338911817</c:v>
                </c:pt>
              </c:numCache>
            </c:numRef>
          </c:val>
          <c:smooth val="0"/>
          <c:extLst>
            <c:ext xmlns:c16="http://schemas.microsoft.com/office/drawing/2014/chart" uri="{C3380CC4-5D6E-409C-BE32-E72D297353CC}">
              <c16:uniqueId val="{00000009-4F39-4B06-B175-0B85AABB5E9B}"/>
            </c:ext>
          </c:extLst>
        </c:ser>
        <c:ser>
          <c:idx val="11"/>
          <c:order val="10"/>
          <c:tx>
            <c:strRef>
              <c:f>'EV %sales'!$M$62</c:f>
              <c:strCache>
                <c:ptCount val="1"/>
                <c:pt idx="0">
                  <c:v>Italy</c:v>
                </c:pt>
              </c:strCache>
            </c:strRef>
          </c:tx>
          <c:spPr>
            <a:ln w="28575" cap="rnd">
              <a:solidFill>
                <a:schemeClr val="accent6">
                  <a:lumMod val="6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%sales'!$M$67:$M$75</c:f>
              <c:numCache>
                <c:formatCode>0.00</c:formatCode>
                <c:ptCount val="9"/>
                <c:pt idx="0">
                  <c:v>0</c:v>
                </c:pt>
                <c:pt idx="1">
                  <c:v>2.0331649872723872E-3</c:v>
                </c:pt>
                <c:pt idx="2">
                  <c:v>6.7087579107437028E-3</c:v>
                </c:pt>
                <c:pt idx="3">
                  <c:v>4.6702228169036283E-2</c:v>
                </c:pt>
                <c:pt idx="4">
                  <c:v>8.1913957703176152E-2</c:v>
                </c:pt>
                <c:pt idx="5">
                  <c:v>0.11094480331915341</c:v>
                </c:pt>
                <c:pt idx="6">
                  <c:v>0.14788938732622051</c:v>
                </c:pt>
                <c:pt idx="7">
                  <c:v>0.15340151178301467</c:v>
                </c:pt>
                <c:pt idx="8">
                  <c:v>0.24515265193754346</c:v>
                </c:pt>
              </c:numCache>
            </c:numRef>
          </c:val>
          <c:smooth val="0"/>
          <c:extLst>
            <c:ext xmlns:c16="http://schemas.microsoft.com/office/drawing/2014/chart" uri="{C3380CC4-5D6E-409C-BE32-E72D297353CC}">
              <c16:uniqueId val="{0000000A-4F39-4B06-B175-0B85AABB5E9B}"/>
            </c:ext>
          </c:extLst>
        </c:ser>
        <c:ser>
          <c:idx val="12"/>
          <c:order val="11"/>
          <c:tx>
            <c:strRef>
              <c:f>'EV %sales'!$N$62</c:f>
              <c:strCache>
                <c:ptCount val="1"/>
                <c:pt idx="0">
                  <c:v>Japan</c:v>
                </c:pt>
              </c:strCache>
            </c:strRef>
          </c:tx>
          <c:spPr>
            <a:ln w="28575" cap="rnd">
              <a:solidFill>
                <a:schemeClr val="accent1">
                  <a:lumMod val="80000"/>
                  <a:lumOff val="2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%sales'!$N$67:$N$75</c:f>
              <c:numCache>
                <c:formatCode>0.00</c:formatCode>
                <c:ptCount val="9"/>
                <c:pt idx="0">
                  <c:v>2.5231012895486578E-2</c:v>
                </c:pt>
                <c:pt idx="1">
                  <c:v>5.7929724596391265E-2</c:v>
                </c:pt>
                <c:pt idx="2">
                  <c:v>0.35801418439716309</c:v>
                </c:pt>
                <c:pt idx="3">
                  <c:v>0.53455818022747159</c:v>
                </c:pt>
                <c:pt idx="4">
                  <c:v>0.63305567733450241</c:v>
                </c:pt>
                <c:pt idx="5">
                  <c:v>0.68702127659574463</c:v>
                </c:pt>
                <c:pt idx="6">
                  <c:v>0.58467741935483863</c:v>
                </c:pt>
                <c:pt idx="7">
                  <c:v>0.59937288953207912</c:v>
                </c:pt>
                <c:pt idx="8">
                  <c:v>1.2753359143703029</c:v>
                </c:pt>
              </c:numCache>
            </c:numRef>
          </c:val>
          <c:smooth val="0"/>
          <c:extLst>
            <c:ext xmlns:c16="http://schemas.microsoft.com/office/drawing/2014/chart" uri="{C3380CC4-5D6E-409C-BE32-E72D297353CC}">
              <c16:uniqueId val="{0000000B-4F39-4B06-B175-0B85AABB5E9B}"/>
            </c:ext>
          </c:extLst>
        </c:ser>
        <c:ser>
          <c:idx val="13"/>
          <c:order val="12"/>
          <c:tx>
            <c:strRef>
              <c:f>'EV %sales'!$O$62</c:f>
              <c:strCache>
                <c:ptCount val="1"/>
                <c:pt idx="0">
                  <c:v>Korea</c:v>
                </c:pt>
              </c:strCache>
            </c:strRef>
          </c:tx>
          <c:spPr>
            <a:ln w="28575" cap="rnd">
              <a:solidFill>
                <a:schemeClr val="accent2">
                  <a:lumMod val="80000"/>
                  <a:lumOff val="20000"/>
                </a:schemeClr>
              </a:solidFill>
              <a:prstDash val="sysDot"/>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%sales'!$O$67:$O$75</c:f>
              <c:numCache>
                <c:formatCode>0.00</c:formatCode>
                <c:ptCount val="9"/>
                <c:pt idx="0">
                  <c:v>0</c:v>
                </c:pt>
                <c:pt idx="1">
                  <c:v>4.9261083743842356E-3</c:v>
                </c:pt>
                <c:pt idx="2">
                  <c:v>2.2295623451692819E-2</c:v>
                </c:pt>
                <c:pt idx="3">
                  <c:v>4.336734693877551E-2</c:v>
                </c:pt>
                <c:pt idx="4">
                  <c:v>5.277044854881266E-2</c:v>
                </c:pt>
                <c:pt idx="5">
                  <c:v>0.11490898107942263</c:v>
                </c:pt>
                <c:pt idx="6">
                  <c:v>0.24369747899159661</c:v>
                </c:pt>
                <c:pt idx="7">
                  <c:v>0.3969811320754717</c:v>
                </c:pt>
                <c:pt idx="8">
                  <c:v>0.91065980531408097</c:v>
                </c:pt>
              </c:numCache>
            </c:numRef>
          </c:val>
          <c:smooth val="0"/>
          <c:extLst>
            <c:ext xmlns:c16="http://schemas.microsoft.com/office/drawing/2014/chart" uri="{C3380CC4-5D6E-409C-BE32-E72D297353CC}">
              <c16:uniqueId val="{0000000C-4F39-4B06-B175-0B85AABB5E9B}"/>
            </c:ext>
          </c:extLst>
        </c:ser>
        <c:ser>
          <c:idx val="15"/>
          <c:order val="13"/>
          <c:tx>
            <c:strRef>
              <c:f>'EV %sales'!$Q$62</c:f>
              <c:strCache>
                <c:ptCount val="1"/>
                <c:pt idx="0">
                  <c:v>NZ</c:v>
                </c:pt>
              </c:strCache>
            </c:strRef>
          </c:tx>
          <c:spPr>
            <a:ln w="28575" cap="rnd">
              <a:solidFill>
                <a:srgbClr val="92D050"/>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%sales'!$Q$67:$Q$75</c:f>
              <c:numCache>
                <c:formatCode>0.00</c:formatCode>
                <c:ptCount val="9"/>
                <c:pt idx="0">
                  <c:v>0</c:v>
                </c:pt>
                <c:pt idx="1">
                  <c:v>0</c:v>
                </c:pt>
                <c:pt idx="2">
                  <c:v>0</c:v>
                </c:pt>
                <c:pt idx="3">
                  <c:v>0</c:v>
                </c:pt>
                <c:pt idx="4">
                  <c:v>8.5561497326203211E-3</c:v>
                </c:pt>
                <c:pt idx="5">
                  <c:v>0.11238938053097347</c:v>
                </c:pt>
                <c:pt idx="6">
                  <c:v>0.11847389558232932</c:v>
                </c:pt>
                <c:pt idx="7">
                  <c:v>0.27782101167315176</c:v>
                </c:pt>
                <c:pt idx="8">
                  <c:v>0.40622710622710623</c:v>
                </c:pt>
              </c:numCache>
            </c:numRef>
          </c:val>
          <c:smooth val="0"/>
          <c:extLst>
            <c:ext xmlns:c16="http://schemas.microsoft.com/office/drawing/2014/chart" uri="{C3380CC4-5D6E-409C-BE32-E72D297353CC}">
              <c16:uniqueId val="{0000000D-4F39-4B06-B175-0B85AABB5E9B}"/>
            </c:ext>
          </c:extLst>
        </c:ser>
        <c:ser>
          <c:idx val="17"/>
          <c:order val="14"/>
          <c:tx>
            <c:strRef>
              <c:f>'EV %sales'!$S$62</c:f>
              <c:strCache>
                <c:ptCount val="1"/>
                <c:pt idx="0">
                  <c:v>Spain</c:v>
                </c:pt>
              </c:strCache>
            </c:strRef>
          </c:tx>
          <c:spPr>
            <a:ln w="28575" cap="rnd">
              <a:solidFill>
                <a:schemeClr val="accent6">
                  <a:lumMod val="80000"/>
                  <a:lumOff val="20000"/>
                </a:schemeClr>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%sales'!$S$67:$S$75</c:f>
              <c:numCache>
                <c:formatCode>0.00</c:formatCode>
                <c:ptCount val="9"/>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numCache>
            </c:numRef>
          </c:val>
          <c:smooth val="0"/>
          <c:extLst>
            <c:ext xmlns:c16="http://schemas.microsoft.com/office/drawing/2014/chart" uri="{C3380CC4-5D6E-409C-BE32-E72D297353CC}">
              <c16:uniqueId val="{0000000E-4F39-4B06-B175-0B85AABB5E9B}"/>
            </c:ext>
          </c:extLst>
        </c:ser>
        <c:ser>
          <c:idx val="19"/>
          <c:order val="15"/>
          <c:tx>
            <c:strRef>
              <c:f>'EV %sales'!$U$62</c:f>
              <c:strCache>
                <c:ptCount val="1"/>
                <c:pt idx="0">
                  <c:v>Switzerland</c:v>
                </c:pt>
              </c:strCache>
            </c:strRef>
          </c:tx>
          <c:spPr>
            <a:ln w="28575" cap="rnd">
              <a:solidFill>
                <a:schemeClr val="accent2">
                  <a:lumMod val="80000"/>
                </a:schemeClr>
              </a:solidFill>
              <a:prstDash val="sysDash"/>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%sales'!$U$67:$U$75</c:f>
              <c:numCache>
                <c:formatCode>0.00</c:formatCode>
                <c:ptCount val="9"/>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numCache>
            </c:numRef>
          </c:val>
          <c:smooth val="0"/>
          <c:extLst>
            <c:ext xmlns:c16="http://schemas.microsoft.com/office/drawing/2014/chart" uri="{C3380CC4-5D6E-409C-BE32-E72D297353CC}">
              <c16:uniqueId val="{0000000F-4F39-4B06-B175-0B85AABB5E9B}"/>
            </c:ext>
          </c:extLst>
        </c:ser>
        <c:ser>
          <c:idx val="20"/>
          <c:order val="16"/>
          <c:tx>
            <c:strRef>
              <c:f>'EV %sales'!$V$62</c:f>
              <c:strCache>
                <c:ptCount val="1"/>
                <c:pt idx="0">
                  <c:v>UK</c:v>
                </c:pt>
              </c:strCache>
            </c:strRef>
          </c:tx>
          <c:spPr>
            <a:ln w="28575" cap="rnd">
              <a:solidFill>
                <a:schemeClr val="accent3">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%sales'!$V$67:$V$75</c:f>
              <c:numCache>
                <c:formatCode>0.00</c:formatCode>
                <c:ptCount val="9"/>
                <c:pt idx="0">
                  <c:v>9.0499694060756468E-3</c:v>
                </c:pt>
                <c:pt idx="1">
                  <c:v>1.3826928337993337E-2</c:v>
                </c:pt>
                <c:pt idx="2">
                  <c:v>6.2980581847654094E-2</c:v>
                </c:pt>
                <c:pt idx="3">
                  <c:v>0.13186365004465717</c:v>
                </c:pt>
                <c:pt idx="4">
                  <c:v>0.16558214044279757</c:v>
                </c:pt>
                <c:pt idx="5">
                  <c:v>0.59521045373692427</c:v>
                </c:pt>
                <c:pt idx="6">
                  <c:v>1.1141054329537501</c:v>
                </c:pt>
                <c:pt idx="7">
                  <c:v>1.3058222970559115</c:v>
                </c:pt>
                <c:pt idx="8">
                  <c:v>1.7590074061814718</c:v>
                </c:pt>
              </c:numCache>
            </c:numRef>
          </c:val>
          <c:smooth val="0"/>
          <c:extLst>
            <c:ext xmlns:c16="http://schemas.microsoft.com/office/drawing/2014/chart" uri="{C3380CC4-5D6E-409C-BE32-E72D297353CC}">
              <c16:uniqueId val="{00000010-4F39-4B06-B175-0B85AABB5E9B}"/>
            </c:ext>
          </c:extLst>
        </c:ser>
        <c:ser>
          <c:idx val="21"/>
          <c:order val="17"/>
          <c:tx>
            <c:strRef>
              <c:f>'EV %sales'!$W$62</c:f>
              <c:strCache>
                <c:ptCount val="1"/>
                <c:pt idx="0">
                  <c:v>USA</c:v>
                </c:pt>
              </c:strCache>
            </c:strRef>
          </c:tx>
          <c:spPr>
            <a:ln w="28575" cap="rnd">
              <a:solidFill>
                <a:schemeClr val="accent4">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%sales'!$W$67:$W$75</c:f>
              <c:numCache>
                <c:formatCode>0.00</c:formatCode>
                <c:ptCount val="9"/>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numCache>
            </c:numRef>
          </c:val>
          <c:smooth val="0"/>
          <c:extLst>
            <c:ext xmlns:c16="http://schemas.microsoft.com/office/drawing/2014/chart" uri="{C3380CC4-5D6E-409C-BE32-E72D297353CC}">
              <c16:uniqueId val="{00000011-4F39-4B06-B175-0B85AABB5E9B}"/>
            </c:ext>
          </c:extLst>
        </c:ser>
        <c:ser>
          <c:idx val="22"/>
          <c:order val="18"/>
          <c:tx>
            <c:strRef>
              <c:f>'EV %sales'!$X$62</c:f>
              <c:strCache>
                <c:ptCount val="1"/>
                <c:pt idx="0">
                  <c:v>rest Europe</c:v>
                </c:pt>
              </c:strCache>
            </c:strRef>
          </c:tx>
          <c:spPr>
            <a:ln w="28575" cap="rnd">
              <a:solidFill>
                <a:schemeClr val="accent5">
                  <a:lumMod val="80000"/>
                </a:schemeClr>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%sales'!$X$67:$X$75</c:f>
              <c:numCache>
                <c:formatCode>0.00</c:formatCode>
                <c:ptCount val="9"/>
                <c:pt idx="0">
                  <c:v>0</c:v>
                </c:pt>
                <c:pt idx="1">
                  <c:v>1.4700472362928204E-4</c:v>
                </c:pt>
                <c:pt idx="2">
                  <c:v>1.5641205443559392E-2</c:v>
                </c:pt>
                <c:pt idx="3">
                  <c:v>3.8608347201689146E-2</c:v>
                </c:pt>
                <c:pt idx="4">
                  <c:v>2.9968337191406656E-2</c:v>
                </c:pt>
                <c:pt idx="5">
                  <c:v>7.6596943297003478E-2</c:v>
                </c:pt>
                <c:pt idx="6">
                  <c:v>0.11503318836033208</c:v>
                </c:pt>
                <c:pt idx="7">
                  <c:v>0.13580340082546269</c:v>
                </c:pt>
                <c:pt idx="8">
                  <c:v>0.31729448102144603</c:v>
                </c:pt>
              </c:numCache>
            </c:numRef>
          </c:val>
          <c:smooth val="0"/>
          <c:extLst>
            <c:ext xmlns:c16="http://schemas.microsoft.com/office/drawing/2014/chart" uri="{C3380CC4-5D6E-409C-BE32-E72D297353CC}">
              <c16:uniqueId val="{00000012-4F39-4B06-B175-0B85AABB5E9B}"/>
            </c:ext>
          </c:extLst>
        </c:ser>
        <c:ser>
          <c:idx val="23"/>
          <c:order val="19"/>
          <c:tx>
            <c:strRef>
              <c:f>'EV %sales'!$Y$62</c:f>
              <c:strCache>
                <c:ptCount val="1"/>
                <c:pt idx="0">
                  <c:v>Total</c:v>
                </c:pt>
              </c:strCache>
            </c:strRef>
          </c:tx>
          <c:spPr>
            <a:ln w="53975" cap="rnd">
              <a:solidFill>
                <a:schemeClr val="tx1"/>
              </a:solidFill>
              <a:round/>
            </a:ln>
            <a:effectLst/>
          </c:spPr>
          <c:marker>
            <c:symbol val="none"/>
          </c:marker>
          <c:cat>
            <c:numRef>
              <c:f>'EV %sales'!$A$67:$A$75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%sales'!$Y$67:$Y$75</c:f>
              <c:numCache>
                <c:formatCode>0.00</c:formatCode>
                <c:ptCount val="9"/>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numCache>
            </c:numRef>
          </c:val>
          <c:smooth val="0"/>
          <c:extLst>
            <c:ext xmlns:c16="http://schemas.microsoft.com/office/drawing/2014/chart" uri="{C3380CC4-5D6E-409C-BE32-E72D297353CC}">
              <c16:uniqueId val="{00000013-4F39-4B06-B175-0B85AABB5E9B}"/>
            </c:ext>
          </c:extLst>
        </c:ser>
        <c:dLbls>
          <c:showLegendKey val="0"/>
          <c:showVal val="0"/>
          <c:showCatName val="0"/>
          <c:showSerName val="0"/>
          <c:showPercent val="0"/>
          <c:showBubbleSize val="0"/>
        </c:dLbls>
        <c:smooth val="0"/>
        <c:axId val="767518408"/>
        <c:axId val="767519064"/>
      </c:lineChart>
      <c:catAx>
        <c:axId val="76751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9064"/>
        <c:crosses val="autoZero"/>
        <c:auto val="1"/>
        <c:lblAlgn val="ctr"/>
        <c:lblOffset val="100"/>
        <c:noMultiLvlLbl val="0"/>
      </c:catAx>
      <c:valAx>
        <c:axId val="767519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518408"/>
        <c:crosses val="autoZero"/>
        <c:crossBetween val="between"/>
      </c:valAx>
      <c:spPr>
        <a:noFill/>
        <a:ln>
          <a:noFill/>
        </a:ln>
        <a:effectLst/>
      </c:spPr>
    </c:plotArea>
    <c:legend>
      <c:legendPos val="b"/>
      <c:layout>
        <c:manualLayout>
          <c:xMode val="edge"/>
          <c:yMode val="edge"/>
          <c:x val="8.7998687664041994E-2"/>
          <c:y val="8.2853244636572884E-2"/>
          <c:w val="0.2702791000818846"/>
          <c:h val="0.45473565621724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'Norway with subs'!$AB$3</c:f>
              <c:strCache>
                <c:ptCount val="1"/>
                <c:pt idx="0">
                  <c:v>BEV price</c:v>
                </c:pt>
              </c:strCache>
            </c:strRef>
          </c:tx>
          <c:spPr>
            <a:ln w="60325" cap="rnd">
              <a:solidFill>
                <a:schemeClr val="accent1"/>
              </a:solidFill>
              <a:round/>
            </a:ln>
            <a:effectLst/>
          </c:spPr>
          <c:marker>
            <c:symbol val="none"/>
          </c:marker>
          <c:cat>
            <c:numRef>
              <c:f>'Norway with subs'!$AA$4:$AA$25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with subs'!$AB$4:$AB$25</c:f>
              <c:numCache>
                <c:formatCode>0</c:formatCode>
                <c:ptCount val="22"/>
                <c:pt idx="0">
                  <c:v>202476.36058427417</c:v>
                </c:pt>
                <c:pt idx="1">
                  <c:v>196574.77162953335</c:v>
                </c:pt>
                <c:pt idx="2">
                  <c:v>182980.3492968379</c:v>
                </c:pt>
                <c:pt idx="3">
                  <c:v>193973.80251824815</c:v>
                </c:pt>
                <c:pt idx="4">
                  <c:v>197799.65420324559</c:v>
                </c:pt>
                <c:pt idx="5">
                  <c:v>227303.63173402447</c:v>
                </c:pt>
                <c:pt idx="6">
                  <c:v>259622.43871298182</c:v>
                </c:pt>
                <c:pt idx="7">
                  <c:v>270386.0631059283</c:v>
                </c:pt>
                <c:pt idx="8">
                  <c:v>266430.38078928791</c:v>
                </c:pt>
                <c:pt idx="9">
                  <c:v>263278.60176818678</c:v>
                </c:pt>
                <c:pt idx="10">
                  <c:v>268018.69029987656</c:v>
                </c:pt>
                <c:pt idx="11">
                  <c:v>266492.02831067803</c:v>
                </c:pt>
                <c:pt idx="12">
                  <c:v>320547.22066940309</c:v>
                </c:pt>
                <c:pt idx="13">
                  <c:v>324974.39799333876</c:v>
                </c:pt>
                <c:pt idx="14">
                  <c:v>322120.36880288919</c:v>
                </c:pt>
                <c:pt idx="15">
                  <c:v>311087.5657697721</c:v>
                </c:pt>
                <c:pt idx="16">
                  <c:v>301615.7572455224</c:v>
                </c:pt>
                <c:pt idx="17">
                  <c:v>296219.72684449912</c:v>
                </c:pt>
                <c:pt idx="18">
                  <c:v>290823.69644347596</c:v>
                </c:pt>
                <c:pt idx="19">
                  <c:v>284753.16224232485</c:v>
                </c:pt>
                <c:pt idx="20">
                  <c:v>279357.13184130163</c:v>
                </c:pt>
                <c:pt idx="21">
                  <c:v>273286.59764015052</c:v>
                </c:pt>
              </c:numCache>
            </c:numRef>
          </c:val>
          <c:smooth val="0"/>
          <c:extLst>
            <c:ext xmlns:c16="http://schemas.microsoft.com/office/drawing/2014/chart" uri="{C3380CC4-5D6E-409C-BE32-E72D297353CC}">
              <c16:uniqueId val="{00000000-01DB-49DC-AB9C-570551AEB662}"/>
            </c:ext>
          </c:extLst>
        </c:ser>
        <c:ser>
          <c:idx val="1"/>
          <c:order val="1"/>
          <c:tx>
            <c:strRef>
              <c:f>'Norway with subs'!$AC$3</c:f>
              <c:strCache>
                <c:ptCount val="1"/>
                <c:pt idx="0">
                  <c:v>PHEV price</c:v>
                </c:pt>
              </c:strCache>
            </c:strRef>
          </c:tx>
          <c:spPr>
            <a:ln w="28575" cap="rnd">
              <a:solidFill>
                <a:schemeClr val="accent2"/>
              </a:solidFill>
              <a:round/>
            </a:ln>
            <a:effectLst/>
          </c:spPr>
          <c:marker>
            <c:symbol val="none"/>
          </c:marker>
          <c:cat>
            <c:numRef>
              <c:f>'Norway with subs'!$AA$4:$AA$25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with subs'!$AC$4:$AC$25</c:f>
              <c:numCache>
                <c:formatCode>0</c:formatCode>
                <c:ptCount val="22"/>
                <c:pt idx="0">
                  <c:v>297343.94167259504</c:v>
                </c:pt>
                <c:pt idx="1">
                  <c:v>288358.57891409443</c:v>
                </c:pt>
                <c:pt idx="2">
                  <c:v>268114.29956432665</c:v>
                </c:pt>
                <c:pt idx="3">
                  <c:v>283438.09547253331</c:v>
                </c:pt>
                <c:pt idx="4">
                  <c:v>201456.04430307265</c:v>
                </c:pt>
                <c:pt idx="5">
                  <c:v>231524.38021688431</c:v>
                </c:pt>
                <c:pt idx="6">
                  <c:v>264460.03782028198</c:v>
                </c:pt>
                <c:pt idx="7">
                  <c:v>275424.44997296855</c:v>
                </c:pt>
                <c:pt idx="8">
                  <c:v>271388.16799134261</c:v>
                </c:pt>
                <c:pt idx="9">
                  <c:v>268173.33790435654</c:v>
                </c:pt>
                <c:pt idx="10">
                  <c:v>273006.3693484324</c:v>
                </c:pt>
                <c:pt idx="11">
                  <c:v>271449.77281042602</c:v>
                </c:pt>
                <c:pt idx="12">
                  <c:v>325380.29408429877</c:v>
                </c:pt>
                <c:pt idx="13">
                  <c:v>329877.19073617039</c:v>
                </c:pt>
                <c:pt idx="14">
                  <c:v>326978.21620413894</c:v>
                </c:pt>
                <c:pt idx="15">
                  <c:v>315771.66824136651</c:v>
                </c:pt>
                <c:pt idx="16">
                  <c:v>306150.69737815222</c:v>
                </c:pt>
                <c:pt idx="17">
                  <c:v>300669.69012041989</c:v>
                </c:pt>
                <c:pt idx="18">
                  <c:v>295188.68286268768</c:v>
                </c:pt>
                <c:pt idx="19">
                  <c:v>289022.54969773896</c:v>
                </c:pt>
                <c:pt idx="20">
                  <c:v>283541.54244000668</c:v>
                </c:pt>
                <c:pt idx="21">
                  <c:v>277375.40927505796</c:v>
                </c:pt>
              </c:numCache>
            </c:numRef>
          </c:val>
          <c:smooth val="0"/>
          <c:extLst>
            <c:ext xmlns:c16="http://schemas.microsoft.com/office/drawing/2014/chart" uri="{C3380CC4-5D6E-409C-BE32-E72D297353CC}">
              <c16:uniqueId val="{00000001-01DB-49DC-AB9C-570551AEB662}"/>
            </c:ext>
          </c:extLst>
        </c:ser>
        <c:ser>
          <c:idx val="2"/>
          <c:order val="2"/>
          <c:tx>
            <c:strRef>
              <c:f>'Norway with subs'!$AD$3</c:f>
              <c:strCache>
                <c:ptCount val="1"/>
                <c:pt idx="0">
                  <c:v>FFV price</c:v>
                </c:pt>
              </c:strCache>
            </c:strRef>
          </c:tx>
          <c:spPr>
            <a:ln w="28575" cap="rnd">
              <a:solidFill>
                <a:schemeClr val="tx1"/>
              </a:solidFill>
              <a:round/>
            </a:ln>
            <a:effectLst/>
          </c:spPr>
          <c:marker>
            <c:symbol val="none"/>
          </c:marker>
          <c:cat>
            <c:numRef>
              <c:f>'Norway with subs'!$AA$4:$AA$25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'Norway with subs'!$AD$4:$AD$25</c:f>
              <c:numCache>
                <c:formatCode>0</c:formatCode>
                <c:ptCount val="22"/>
                <c:pt idx="0">
                  <c:v>232856.85990000007</c:v>
                </c:pt>
                <c:pt idx="1">
                  <c:v>223896.86322445946</c:v>
                </c:pt>
                <c:pt idx="2">
                  <c:v>207675.24231917708</c:v>
                </c:pt>
                <c:pt idx="3">
                  <c:v>215488.03912435955</c:v>
                </c:pt>
                <c:pt idx="4">
                  <c:v>217371.61670038628</c:v>
                </c:pt>
                <c:pt idx="5">
                  <c:v>232984.6960340486</c:v>
                </c:pt>
                <c:pt idx="6">
                  <c:v>298560.49157220888</c:v>
                </c:pt>
                <c:pt idx="7">
                  <c:v>310952.4428108345</c:v>
                </c:pt>
                <c:pt idx="8">
                  <c:v>305978.10015347507</c:v>
                </c:pt>
                <c:pt idx="9">
                  <c:v>296240</c:v>
                </c:pt>
                <c:pt idx="10">
                  <c:v>296240</c:v>
                </c:pt>
                <c:pt idx="11">
                  <c:v>296240</c:v>
                </c:pt>
                <c:pt idx="12">
                  <c:v>296240</c:v>
                </c:pt>
                <c:pt idx="13">
                  <c:v>296240</c:v>
                </c:pt>
                <c:pt idx="14">
                  <c:v>296240</c:v>
                </c:pt>
                <c:pt idx="15">
                  <c:v>296240</c:v>
                </c:pt>
                <c:pt idx="16">
                  <c:v>296240</c:v>
                </c:pt>
                <c:pt idx="17">
                  <c:v>296240</c:v>
                </c:pt>
                <c:pt idx="18">
                  <c:v>296240</c:v>
                </c:pt>
                <c:pt idx="19">
                  <c:v>296240</c:v>
                </c:pt>
                <c:pt idx="20">
                  <c:v>296240</c:v>
                </c:pt>
                <c:pt idx="21">
                  <c:v>296240</c:v>
                </c:pt>
              </c:numCache>
            </c:numRef>
          </c:val>
          <c:smooth val="0"/>
          <c:extLst>
            <c:ext xmlns:c16="http://schemas.microsoft.com/office/drawing/2014/chart" uri="{C3380CC4-5D6E-409C-BE32-E72D297353CC}">
              <c16:uniqueId val="{00000002-01DB-49DC-AB9C-570551AEB662}"/>
            </c:ext>
          </c:extLst>
        </c:ser>
        <c:dLbls>
          <c:showLegendKey val="0"/>
          <c:showVal val="0"/>
          <c:showCatName val="0"/>
          <c:showSerName val="0"/>
          <c:showPercent val="0"/>
          <c:showBubbleSize val="0"/>
        </c:dLbls>
        <c:smooth val="0"/>
        <c:axId val="690003344"/>
        <c:axId val="690000720"/>
      </c:lineChart>
      <c:catAx>
        <c:axId val="6900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000720"/>
        <c:crosses val="autoZero"/>
        <c:auto val="1"/>
        <c:lblAlgn val="ctr"/>
        <c:lblOffset val="100"/>
        <c:noMultiLvlLbl val="0"/>
      </c:catAx>
      <c:valAx>
        <c:axId val="69000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003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'Norway data'!$I$9:$I$13</c:f>
              <c:numCache>
                <c:formatCode>0.0</c:formatCode>
                <c:ptCount val="5"/>
                <c:pt idx="0">
                  <c:v>8.2100000000000009</c:v>
                </c:pt>
                <c:pt idx="1">
                  <c:v>19.768000000000001</c:v>
                </c:pt>
                <c:pt idx="2">
                  <c:v>33.743000000000002</c:v>
                </c:pt>
                <c:pt idx="3">
                  <c:v>44.884999999999998</c:v>
                </c:pt>
                <c:pt idx="4">
                  <c:v>62.261000000000003</c:v>
                </c:pt>
              </c:numCache>
            </c:numRef>
          </c:val>
          <c:smooth val="0"/>
          <c:extLst>
            <c:ext xmlns:c16="http://schemas.microsoft.com/office/drawing/2014/chart" uri="{C3380CC4-5D6E-409C-BE32-E72D297353CC}">
              <c16:uniqueId val="{00000000-B2EB-4C16-B4C3-1DE4BF0C26E4}"/>
            </c:ext>
          </c:extLst>
        </c:ser>
        <c:ser>
          <c:idx val="1"/>
          <c:order val="1"/>
          <c:spPr>
            <a:ln w="28575" cap="rnd">
              <a:solidFill>
                <a:schemeClr val="accent2"/>
              </a:solidFill>
              <a:round/>
            </a:ln>
            <a:effectLst/>
          </c:spPr>
          <c:marker>
            <c:symbol val="none"/>
          </c:marker>
          <c:val>
            <c:numRef>
              <c:f>'Norway data'!$J$9:$J$13</c:f>
              <c:numCache>
                <c:formatCode>0.0</c:formatCode>
                <c:ptCount val="5"/>
                <c:pt idx="0">
                  <c:v>8.52</c:v>
                </c:pt>
                <c:pt idx="1">
                  <c:v>19.760000000000002</c:v>
                </c:pt>
                <c:pt idx="2">
                  <c:v>35.61</c:v>
                </c:pt>
                <c:pt idx="3">
                  <c:v>50.18</c:v>
                </c:pt>
                <c:pt idx="4">
                  <c:v>62.19080000000001</c:v>
                </c:pt>
              </c:numCache>
            </c:numRef>
          </c:val>
          <c:smooth val="0"/>
          <c:extLst>
            <c:ext xmlns:c16="http://schemas.microsoft.com/office/drawing/2014/chart" uri="{C3380CC4-5D6E-409C-BE32-E72D297353CC}">
              <c16:uniqueId val="{00000001-B2EB-4C16-B4C3-1DE4BF0C26E4}"/>
            </c:ext>
          </c:extLst>
        </c:ser>
        <c:ser>
          <c:idx val="2"/>
          <c:order val="2"/>
          <c:tx>
            <c:strRef>
              <c:f>'Norway data'!$L$4</c:f>
              <c:strCache>
                <c:ptCount val="1"/>
                <c:pt idx="0">
                  <c:v>average</c:v>
                </c:pt>
              </c:strCache>
            </c:strRef>
          </c:tx>
          <c:spPr>
            <a:ln w="28575" cap="rnd">
              <a:solidFill>
                <a:schemeClr val="accent3"/>
              </a:solidFill>
              <a:round/>
            </a:ln>
            <a:effectLst/>
          </c:spPr>
          <c:marker>
            <c:symbol val="none"/>
          </c:marker>
          <c:val>
            <c:numRef>
              <c:f>'Norway data'!$L$9:$L$13</c:f>
              <c:numCache>
                <c:formatCode>0.0</c:formatCode>
                <c:ptCount val="5"/>
                <c:pt idx="0">
                  <c:v>8.3650000000000002</c:v>
                </c:pt>
                <c:pt idx="1">
                  <c:v>19.764000000000003</c:v>
                </c:pt>
                <c:pt idx="2">
                  <c:v>34.676500000000004</c:v>
                </c:pt>
                <c:pt idx="3">
                  <c:v>47.532499999999999</c:v>
                </c:pt>
                <c:pt idx="4">
                  <c:v>62.22590000000001</c:v>
                </c:pt>
              </c:numCache>
            </c:numRef>
          </c:val>
          <c:smooth val="0"/>
          <c:extLst>
            <c:ext xmlns:c16="http://schemas.microsoft.com/office/drawing/2014/chart" uri="{C3380CC4-5D6E-409C-BE32-E72D297353CC}">
              <c16:uniqueId val="{00000002-B2EB-4C16-B4C3-1DE4BF0C26E4}"/>
            </c:ext>
          </c:extLst>
        </c:ser>
        <c:dLbls>
          <c:showLegendKey val="0"/>
          <c:showVal val="0"/>
          <c:showCatName val="0"/>
          <c:showSerName val="0"/>
          <c:showPercent val="0"/>
          <c:showBubbleSize val="0"/>
        </c:dLbls>
        <c:smooth val="0"/>
        <c:axId val="436507952"/>
        <c:axId val="669080688"/>
      </c:lineChart>
      <c:catAx>
        <c:axId val="436507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9080688"/>
        <c:crosses val="autoZero"/>
        <c:auto val="1"/>
        <c:lblAlgn val="ctr"/>
        <c:lblOffset val="100"/>
        <c:noMultiLvlLbl val="0"/>
      </c:catAx>
      <c:valAx>
        <c:axId val="669080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507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uptake'!$AD$3</c:f>
              <c:strCache>
                <c:ptCount val="1"/>
                <c:pt idx="0">
                  <c:v> Linearized Logistic</c:v>
                </c:pt>
              </c:strCache>
            </c:strRef>
          </c:tx>
          <c:spPr>
            <a:ln w="47625" cap="rnd">
              <a:solidFill>
                <a:schemeClr val="tx1"/>
              </a:solidFill>
              <a:round/>
            </a:ln>
            <a:effectLst/>
          </c:spPr>
          <c:marker>
            <c:symbol val="none"/>
          </c:marker>
          <c:cat>
            <c:numRef>
              <c:f>'Spain EV uptake'!$A$8:$A$13</c:f>
              <c:numCache>
                <c:formatCode>General</c:formatCode>
                <c:ptCount val="6"/>
                <c:pt idx="0">
                  <c:v>2013</c:v>
                </c:pt>
                <c:pt idx="1">
                  <c:v>2014</c:v>
                </c:pt>
                <c:pt idx="2">
                  <c:v>2015</c:v>
                </c:pt>
                <c:pt idx="3">
                  <c:v>2016</c:v>
                </c:pt>
                <c:pt idx="4">
                  <c:v>2017</c:v>
                </c:pt>
                <c:pt idx="5">
                  <c:v>2018</c:v>
                </c:pt>
              </c:numCache>
            </c:numRef>
          </c:cat>
          <c:val>
            <c:numRef>
              <c:f>'Spain EV uptake'!$AD$8:$AD$13</c:f>
              <c:numCache>
                <c:formatCode>General</c:formatCode>
                <c:ptCount val="6"/>
                <c:pt idx="0">
                  <c:v>-6.1420991676329351</c:v>
                </c:pt>
                <c:pt idx="1">
                  <c:v>-5.9451216442148302</c:v>
                </c:pt>
                <c:pt idx="2">
                  <c:v>-5.6782293071135816</c:v>
                </c:pt>
                <c:pt idx="3">
                  <c:v>-5.3520772161727761</c:v>
                </c:pt>
                <c:pt idx="4">
                  <c:v>-4.6923606335919983</c:v>
                </c:pt>
                <c:pt idx="5">
                  <c:v>-4.436921027877359</c:v>
                </c:pt>
              </c:numCache>
            </c:numRef>
          </c:val>
          <c:smooth val="0"/>
          <c:extLst>
            <c:ext xmlns:c16="http://schemas.microsoft.com/office/drawing/2014/chart" uri="{C3380CC4-5D6E-409C-BE32-E72D297353CC}">
              <c16:uniqueId val="{00000000-78D4-4F32-A6D3-E6A41D44A3B9}"/>
            </c:ext>
          </c:extLst>
        </c:ser>
        <c:ser>
          <c:idx val="1"/>
          <c:order val="1"/>
          <c:tx>
            <c:strRef>
              <c:f>'Spain EV uptake'!$AE$3</c:f>
              <c:strCache>
                <c:ptCount val="1"/>
                <c:pt idx="0">
                  <c:v> predicted</c:v>
                </c:pt>
              </c:strCache>
            </c:strRef>
          </c:tx>
          <c:spPr>
            <a:ln w="28575" cap="rnd">
              <a:solidFill>
                <a:schemeClr val="accent2"/>
              </a:solidFill>
              <a:round/>
            </a:ln>
            <a:effectLst/>
          </c:spPr>
          <c:marker>
            <c:symbol val="none"/>
          </c:marker>
          <c:cat>
            <c:numRef>
              <c:f>'Spain EV uptake'!$A$8:$A$13</c:f>
              <c:numCache>
                <c:formatCode>General</c:formatCode>
                <c:ptCount val="6"/>
                <c:pt idx="0">
                  <c:v>2013</c:v>
                </c:pt>
                <c:pt idx="1">
                  <c:v>2014</c:v>
                </c:pt>
                <c:pt idx="2">
                  <c:v>2015</c:v>
                </c:pt>
                <c:pt idx="3">
                  <c:v>2016</c:v>
                </c:pt>
                <c:pt idx="4">
                  <c:v>2017</c:v>
                </c:pt>
                <c:pt idx="5">
                  <c:v>2018</c:v>
                </c:pt>
              </c:numCache>
            </c:numRef>
          </c:cat>
          <c:val>
            <c:numRef>
              <c:f>'Spain EV uptake'!$AE$8:$AE$13</c:f>
              <c:numCache>
                <c:formatCode>General</c:formatCode>
                <c:ptCount val="6"/>
                <c:pt idx="0">
                  <c:v>-6.1749255625057895</c:v>
                </c:pt>
                <c:pt idx="1">
                  <c:v>-5.9112297433576177</c:v>
                </c:pt>
                <c:pt idx="2">
                  <c:v>-5.6475339242094451</c:v>
                </c:pt>
                <c:pt idx="3">
                  <c:v>-5.3838381050612725</c:v>
                </c:pt>
                <c:pt idx="4">
                  <c:v>-4.6808976060152618</c:v>
                </c:pt>
                <c:pt idx="5">
                  <c:v>-4.4172017868670892</c:v>
                </c:pt>
              </c:numCache>
            </c:numRef>
          </c:val>
          <c:smooth val="0"/>
          <c:extLst>
            <c:ext xmlns:c16="http://schemas.microsoft.com/office/drawing/2014/chart" uri="{C3380CC4-5D6E-409C-BE32-E72D297353CC}">
              <c16:uniqueId val="{00000001-78D4-4F32-A6D3-E6A41D44A3B9}"/>
            </c:ext>
          </c:extLst>
        </c:ser>
        <c:dLbls>
          <c:showLegendKey val="0"/>
          <c:showVal val="0"/>
          <c:showCatName val="0"/>
          <c:showSerName val="0"/>
          <c:showPercent val="0"/>
          <c:showBubbleSize val="0"/>
        </c:dLbls>
        <c:smooth val="0"/>
        <c:axId val="697130184"/>
        <c:axId val="697126248"/>
      </c:lineChart>
      <c:catAx>
        <c:axId val="697130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126248"/>
        <c:crosses val="autoZero"/>
        <c:auto val="1"/>
        <c:lblAlgn val="ctr"/>
        <c:lblOffset val="100"/>
        <c:noMultiLvlLbl val="0"/>
      </c:catAx>
      <c:valAx>
        <c:axId val="697126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130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uptake'!$B$3</c:f>
              <c:strCache>
                <c:ptCount val="1"/>
                <c:pt idx="0">
                  <c:v> EV %sales</c:v>
                </c:pt>
              </c:strCache>
            </c:strRef>
          </c:tx>
          <c:spPr>
            <a:ln w="47625" cap="rnd">
              <a:solidFill>
                <a:schemeClr val="tx1"/>
              </a:solidFill>
              <a:round/>
            </a:ln>
            <a:effectLst/>
          </c:spPr>
          <c:marker>
            <c:symbol val="none"/>
          </c:marker>
          <c:cat>
            <c:numRef>
              <c:f>'Spain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'Spain EV uptake'!$B$4:$B$13</c:f>
              <c:numCache>
                <c:formatCode>0.00</c:formatCode>
                <c:ptCount val="10"/>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pt idx="9">
                  <c:v>0.76010658102224526</c:v>
                </c:pt>
              </c:numCache>
            </c:numRef>
          </c:val>
          <c:smooth val="0"/>
          <c:extLst>
            <c:ext xmlns:c16="http://schemas.microsoft.com/office/drawing/2014/chart" uri="{C3380CC4-5D6E-409C-BE32-E72D297353CC}">
              <c16:uniqueId val="{00000000-6E41-4698-B1EC-299452E5801A}"/>
            </c:ext>
          </c:extLst>
        </c:ser>
        <c:ser>
          <c:idx val="1"/>
          <c:order val="1"/>
          <c:tx>
            <c:strRef>
              <c:f>'Spain EV uptake'!$AB$3</c:f>
              <c:strCache>
                <c:ptCount val="1"/>
                <c:pt idx="0">
                  <c:v> predicted raw</c:v>
                </c:pt>
              </c:strCache>
            </c:strRef>
          </c:tx>
          <c:spPr>
            <a:ln w="28575" cap="rnd">
              <a:solidFill>
                <a:schemeClr val="accent2"/>
              </a:solidFill>
              <a:round/>
            </a:ln>
            <a:effectLst/>
          </c:spPr>
          <c:marker>
            <c:symbol val="none"/>
          </c:marker>
          <c:cat>
            <c:numRef>
              <c:f>'Spain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'Spain EV uptake'!$AB$4:$AB$13</c:f>
              <c:numCache>
                <c:formatCode>0.00</c:formatCode>
                <c:ptCount val="10"/>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numCache>
            </c:numRef>
          </c:val>
          <c:smooth val="0"/>
          <c:extLst>
            <c:ext xmlns:c16="http://schemas.microsoft.com/office/drawing/2014/chart" uri="{C3380CC4-5D6E-409C-BE32-E72D297353CC}">
              <c16:uniqueId val="{00000001-6E41-4698-B1EC-299452E5801A}"/>
            </c:ext>
          </c:extLst>
        </c:ser>
        <c:dLbls>
          <c:showLegendKey val="0"/>
          <c:showVal val="0"/>
          <c:showCatName val="0"/>
          <c:showSerName val="0"/>
          <c:showPercent val="0"/>
          <c:showBubbleSize val="0"/>
        </c:dLbls>
        <c:smooth val="0"/>
        <c:axId val="889405904"/>
        <c:axId val="889403936"/>
      </c:lineChart>
      <c:catAx>
        <c:axId val="88940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03936"/>
        <c:crosses val="autoZero"/>
        <c:auto val="1"/>
        <c:lblAlgn val="ctr"/>
        <c:lblOffset val="100"/>
        <c:noMultiLvlLbl val="0"/>
      </c:catAx>
      <c:valAx>
        <c:axId val="88940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1.9444444444444445E-2"/>
              <c:y val="0.31267716535433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0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uptake'!$S$3</c:f>
              <c:strCache>
                <c:ptCount val="1"/>
                <c:pt idx="0">
                  <c:v>High</c:v>
                </c:pt>
              </c:strCache>
            </c:strRef>
          </c:tx>
          <c:spPr>
            <a:ln w="28575" cap="rnd">
              <a:solidFill>
                <a:schemeClr val="accent1"/>
              </a:solidFill>
              <a:round/>
            </a:ln>
            <a:effectLst/>
          </c:spPr>
          <c:marker>
            <c:symbol val="none"/>
          </c:marker>
          <c:cat>
            <c:numRef>
              <c:f>'Spain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uptake'!$S$4:$S$25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1.4873491258082931</c:v>
                </c:pt>
                <c:pt idx="12" formatCode="0.00">
                  <c:v>1.8934160675053464</c:v>
                </c:pt>
                <c:pt idx="13" formatCode="0.00">
                  <c:v>2.615438296904292</c:v>
                </c:pt>
                <c:pt idx="14" formatCode="0.00">
                  <c:v>4.2033482604872878</c:v>
                </c:pt>
                <c:pt idx="15" formatCode="0.00">
                  <c:v>5.622211694442079</c:v>
                </c:pt>
                <c:pt idx="16" formatCode="0.00">
                  <c:v>7.4207925273051654</c:v>
                </c:pt>
                <c:pt idx="17" formatCode="0.00">
                  <c:v>9.6211865418072993</c:v>
                </c:pt>
                <c:pt idx="18" formatCode="0.00">
                  <c:v>12.193418617097837</c:v>
                </c:pt>
                <c:pt idx="19" formatCode="0.00">
                  <c:v>15.161256854710249</c:v>
                </c:pt>
                <c:pt idx="20" formatCode="0.00">
                  <c:v>18.433733850817305</c:v>
                </c:pt>
                <c:pt idx="21" formatCode="0.00">
                  <c:v>21.964017386728123</c:v>
                </c:pt>
              </c:numCache>
            </c:numRef>
          </c:val>
          <c:smooth val="0"/>
          <c:extLst>
            <c:ext xmlns:c16="http://schemas.microsoft.com/office/drawing/2014/chart" uri="{C3380CC4-5D6E-409C-BE32-E72D297353CC}">
              <c16:uniqueId val="{00000000-CD00-4B2B-90AF-E621BB727294}"/>
            </c:ext>
          </c:extLst>
        </c:ser>
        <c:ser>
          <c:idx val="1"/>
          <c:order val="1"/>
          <c:tx>
            <c:strRef>
              <c:f>'Spain EV uptake'!$T$3</c:f>
              <c:strCache>
                <c:ptCount val="1"/>
                <c:pt idx="0">
                  <c:v>Medium</c:v>
                </c:pt>
              </c:strCache>
            </c:strRef>
          </c:tx>
          <c:spPr>
            <a:ln w="28575" cap="rnd">
              <a:solidFill>
                <a:schemeClr val="accent2"/>
              </a:solidFill>
              <a:round/>
            </a:ln>
            <a:effectLst/>
          </c:spPr>
          <c:marker>
            <c:symbol val="none"/>
          </c:marker>
          <c:cat>
            <c:numRef>
              <c:f>'Spain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uptake'!$T$4:$T$25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1.3890476527430482</c:v>
                </c:pt>
                <c:pt idx="12" formatCode="0.00">
                  <c:v>1.7951145944401015</c:v>
                </c:pt>
                <c:pt idx="13" formatCode="0.00">
                  <c:v>2.517136823839047</c:v>
                </c:pt>
                <c:pt idx="14" formatCode="0.00">
                  <c:v>3.9361466814945563</c:v>
                </c:pt>
                <c:pt idx="15" formatCode="0.00">
                  <c:v>5.2243190122691248</c:v>
                </c:pt>
                <c:pt idx="16" formatCode="0.00">
                  <c:v>6.892208741951988</c:v>
                </c:pt>
                <c:pt idx="17" formatCode="0.00">
                  <c:v>8.9619116532738996</c:v>
                </c:pt>
                <c:pt idx="18" formatCode="0.00">
                  <c:v>11.469747763292974</c:v>
                </c:pt>
                <c:pt idx="19" formatCode="0.00">
                  <c:v>14.437586000905386</c:v>
                </c:pt>
                <c:pt idx="20" formatCode="0.00">
                  <c:v>17.776358134921203</c:v>
                </c:pt>
                <c:pt idx="21" formatCode="0.00">
                  <c:v>21.451375841592988</c:v>
                </c:pt>
              </c:numCache>
            </c:numRef>
          </c:val>
          <c:smooth val="0"/>
          <c:extLst>
            <c:ext xmlns:c16="http://schemas.microsoft.com/office/drawing/2014/chart" uri="{C3380CC4-5D6E-409C-BE32-E72D297353CC}">
              <c16:uniqueId val="{00000001-CD00-4B2B-90AF-E621BB727294}"/>
            </c:ext>
          </c:extLst>
        </c:ser>
        <c:ser>
          <c:idx val="2"/>
          <c:order val="2"/>
          <c:tx>
            <c:strRef>
              <c:f>'Spain EV uptake'!$U$3</c:f>
              <c:strCache>
                <c:ptCount val="1"/>
                <c:pt idx="0">
                  <c:v>Low</c:v>
                </c:pt>
              </c:strCache>
            </c:strRef>
          </c:tx>
          <c:spPr>
            <a:ln w="28575" cap="rnd">
              <a:solidFill>
                <a:schemeClr val="accent3"/>
              </a:solidFill>
              <a:round/>
            </a:ln>
            <a:effectLst/>
          </c:spPr>
          <c:marker>
            <c:symbol val="none"/>
          </c:marker>
          <c:cat>
            <c:numRef>
              <c:f>'Spain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uptake'!$U$4:$U$25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1.3890476527430482</c:v>
                </c:pt>
                <c:pt idx="12" formatCode="0.00">
                  <c:v>1.7951145944401015</c:v>
                </c:pt>
                <c:pt idx="13" formatCode="0.00">
                  <c:v>2.3150391660219145</c:v>
                </c:pt>
                <c:pt idx="14" formatCode="0.00">
                  <c:v>3.7917912116251764</c:v>
                </c:pt>
                <c:pt idx="15" formatCode="0.00">
                  <c:v>4.9892013559158102</c:v>
                </c:pt>
                <c:pt idx="16" formatCode="0.00">
                  <c:v>6.5663288991147386</c:v>
                </c:pt>
                <c:pt idx="17" formatCode="0.00">
                  <c:v>8.5741407179265909</c:v>
                </c:pt>
                <c:pt idx="18" formatCode="0.00">
                  <c:v>11.020085735435609</c:v>
                </c:pt>
                <c:pt idx="19" formatCode="0.00">
                  <c:v>13.926032880537962</c:v>
                </c:pt>
                <c:pt idx="20" formatCode="0.00">
                  <c:v>17.293676108527656</c:v>
                </c:pt>
                <c:pt idx="21" formatCode="0.00">
                  <c:v>20.99756490917332</c:v>
                </c:pt>
              </c:numCache>
            </c:numRef>
          </c:val>
          <c:smooth val="0"/>
          <c:extLst>
            <c:ext xmlns:c16="http://schemas.microsoft.com/office/drawing/2014/chart" uri="{C3380CC4-5D6E-409C-BE32-E72D297353CC}">
              <c16:uniqueId val="{00000002-CD00-4B2B-90AF-E621BB727294}"/>
            </c:ext>
          </c:extLst>
        </c:ser>
        <c:dLbls>
          <c:showLegendKey val="0"/>
          <c:showVal val="0"/>
          <c:showCatName val="0"/>
          <c:showSerName val="0"/>
          <c:showPercent val="0"/>
          <c:showBubbleSize val="0"/>
        </c:dLbls>
        <c:smooth val="0"/>
        <c:axId val="736405256"/>
        <c:axId val="736406896"/>
      </c:lineChart>
      <c:catAx>
        <c:axId val="736405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406896"/>
        <c:crosses val="autoZero"/>
        <c:auto val="1"/>
        <c:lblAlgn val="ctr"/>
        <c:lblOffset val="100"/>
        <c:noMultiLvlLbl val="0"/>
      </c:catAx>
      <c:valAx>
        <c:axId val="73640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125364537766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405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uptake'!$X$3</c:f>
              <c:strCache>
                <c:ptCount val="1"/>
                <c:pt idx="0">
                  <c:v>High</c:v>
                </c:pt>
              </c:strCache>
            </c:strRef>
          </c:tx>
          <c:spPr>
            <a:ln w="28575" cap="rnd">
              <a:solidFill>
                <a:schemeClr val="accent1"/>
              </a:solidFill>
              <a:round/>
            </a:ln>
            <a:effectLst/>
          </c:spPr>
          <c:marker>
            <c:symbol val="none"/>
          </c:marker>
          <c:cat>
            <c:numRef>
              <c:f>'Spain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uptake'!$X$4:$X$25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1.1547282497339983</c:v>
                </c:pt>
                <c:pt idx="12" formatCode="0.00">
                  <c:v>1.4350965817974586</c:v>
                </c:pt>
                <c:pt idx="13" formatCode="0.00">
                  <c:v>1.7951145944401015</c:v>
                </c:pt>
                <c:pt idx="14" formatCode="0.00">
                  <c:v>2.623819619690948</c:v>
                </c:pt>
                <c:pt idx="15" formatCode="0.00">
                  <c:v>3.3426704539491823</c:v>
                </c:pt>
                <c:pt idx="16" formatCode="0.00">
                  <c:v>4.2527014551331712</c:v>
                </c:pt>
                <c:pt idx="17" formatCode="0.00">
                  <c:v>5.3921020363242258</c:v>
                </c:pt>
                <c:pt idx="18" formatCode="0.00">
                  <c:v>6.7926020559854123</c:v>
                </c:pt>
                <c:pt idx="19" formatCode="0.00">
                  <c:v>8.4912821477774294</c:v>
                </c:pt>
                <c:pt idx="20" formatCode="0.00">
                  <c:v>10.520033862759808</c:v>
                </c:pt>
                <c:pt idx="21" formatCode="0.00">
                  <c:v>12.900710970843175</c:v>
                </c:pt>
              </c:numCache>
            </c:numRef>
          </c:val>
          <c:smooth val="0"/>
          <c:extLst>
            <c:ext xmlns:c16="http://schemas.microsoft.com/office/drawing/2014/chart" uri="{C3380CC4-5D6E-409C-BE32-E72D297353CC}">
              <c16:uniqueId val="{00000000-D9F3-4DFC-BDE5-7320EEF613A4}"/>
            </c:ext>
          </c:extLst>
        </c:ser>
        <c:ser>
          <c:idx val="1"/>
          <c:order val="1"/>
          <c:tx>
            <c:strRef>
              <c:f>'Spain EV uptake'!$Y$3</c:f>
              <c:strCache>
                <c:ptCount val="1"/>
                <c:pt idx="0">
                  <c:v>Medium</c:v>
                </c:pt>
              </c:strCache>
            </c:strRef>
          </c:tx>
          <c:spPr>
            <a:ln w="28575" cap="rnd">
              <a:solidFill>
                <a:schemeClr val="accent2"/>
              </a:solidFill>
              <a:round/>
            </a:ln>
            <a:effectLst/>
          </c:spPr>
          <c:marker>
            <c:symbol val="none"/>
          </c:marker>
          <c:cat>
            <c:numRef>
              <c:f>'Spain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uptake'!$Y$4:$Y$25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1.3890476527430482</c:v>
                </c:pt>
                <c:pt idx="12" formatCode="0.00">
                  <c:v>1.7951145944401015</c:v>
                </c:pt>
                <c:pt idx="13" formatCode="0.00">
                  <c:v>2.517136823839047</c:v>
                </c:pt>
                <c:pt idx="14" formatCode="0.00">
                  <c:v>3.9361466814945563</c:v>
                </c:pt>
                <c:pt idx="15" formatCode="0.00">
                  <c:v>5.2243190122691248</c:v>
                </c:pt>
                <c:pt idx="16" formatCode="0.00">
                  <c:v>6.892208741951988</c:v>
                </c:pt>
                <c:pt idx="17" formatCode="0.00">
                  <c:v>8.9619116532738996</c:v>
                </c:pt>
                <c:pt idx="18" formatCode="0.00">
                  <c:v>11.469747763292974</c:v>
                </c:pt>
                <c:pt idx="19" formatCode="0.00">
                  <c:v>14.437586000905386</c:v>
                </c:pt>
                <c:pt idx="20" formatCode="0.00">
                  <c:v>17.776358134921203</c:v>
                </c:pt>
                <c:pt idx="21" formatCode="0.00">
                  <c:v>21.451375841592988</c:v>
                </c:pt>
              </c:numCache>
            </c:numRef>
          </c:val>
          <c:smooth val="0"/>
          <c:extLst>
            <c:ext xmlns:c16="http://schemas.microsoft.com/office/drawing/2014/chart" uri="{C3380CC4-5D6E-409C-BE32-E72D297353CC}">
              <c16:uniqueId val="{00000001-D9F3-4DFC-BDE5-7320EEF613A4}"/>
            </c:ext>
          </c:extLst>
        </c:ser>
        <c:ser>
          <c:idx val="2"/>
          <c:order val="2"/>
          <c:tx>
            <c:strRef>
              <c:f>'Spain EV uptake'!$Z$3</c:f>
              <c:strCache>
                <c:ptCount val="1"/>
                <c:pt idx="0">
                  <c:v>Low</c:v>
                </c:pt>
              </c:strCache>
            </c:strRef>
          </c:tx>
          <c:spPr>
            <a:ln w="28575" cap="rnd">
              <a:solidFill>
                <a:schemeClr val="accent3"/>
              </a:solidFill>
              <a:round/>
            </a:ln>
            <a:effectLst/>
          </c:spPr>
          <c:marker>
            <c:symbol val="none"/>
          </c:marker>
          <c:cat>
            <c:numRef>
              <c:f>'Spain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 EV uptake'!$Z$4:$Z$25</c:f>
              <c:numCache>
                <c:formatCode>General</c:formatCode>
                <c:ptCount val="22"/>
                <c:pt idx="3" formatCode="0.00">
                  <c:v>0.10374374152131341</c:v>
                </c:pt>
                <c:pt idx="4" formatCode="0.00">
                  <c:v>0.13498156151751803</c:v>
                </c:pt>
                <c:pt idx="5" formatCode="0.00">
                  <c:v>0.13498156151751803</c:v>
                </c:pt>
                <c:pt idx="6" formatCode="0.00">
                  <c:v>0.2283977496812255</c:v>
                </c:pt>
                <c:pt idx="7" formatCode="0.00">
                  <c:v>0.29699781325595348</c:v>
                </c:pt>
                <c:pt idx="8" formatCode="0.00">
                  <c:v>0.59705961331901092</c:v>
                </c:pt>
                <c:pt idx="9" formatCode="0.00">
                  <c:v>0.77506356503223739</c:v>
                </c:pt>
                <c:pt idx="10" formatCode="0.00">
                  <c:v>1.0053082103042874</c:v>
                </c:pt>
                <c:pt idx="11" formatCode="0.00">
                  <c:v>1.6896146268453758</c:v>
                </c:pt>
                <c:pt idx="12" formatCode="0.00">
                  <c:v>2.4576857852987306</c:v>
                </c:pt>
                <c:pt idx="13" formatCode="0.00">
                  <c:v>3.4330277519045698</c:v>
                </c:pt>
                <c:pt idx="14" formatCode="0.00">
                  <c:v>5.8788072766367163</c:v>
                </c:pt>
                <c:pt idx="15" formatCode="0.00">
                  <c:v>7.9759654581880755</c:v>
                </c:pt>
                <c:pt idx="16" formatCode="0.00">
                  <c:v>10.532373948381194</c:v>
                </c:pt>
                <c:pt idx="17" formatCode="0.00">
                  <c:v>13.574247295930061</c:v>
                </c:pt>
                <c:pt idx="18" formatCode="0.00">
                  <c:v>17.063773658785514</c:v>
                </c:pt>
                <c:pt idx="19" formatCode="0.00">
                  <c:v>20.871588650063568</c:v>
                </c:pt>
                <c:pt idx="20" formatCode="0.00">
                  <c:v>24.932642889409664</c:v>
                </c:pt>
                <c:pt idx="21" formatCode="0.00">
                  <c:v>29.083277319215064</c:v>
                </c:pt>
              </c:numCache>
            </c:numRef>
          </c:val>
          <c:smooth val="0"/>
          <c:extLst>
            <c:ext xmlns:c16="http://schemas.microsoft.com/office/drawing/2014/chart" uri="{C3380CC4-5D6E-409C-BE32-E72D297353CC}">
              <c16:uniqueId val="{00000002-D9F3-4DFC-BDE5-7320EEF613A4}"/>
            </c:ext>
          </c:extLst>
        </c:ser>
        <c:dLbls>
          <c:showLegendKey val="0"/>
          <c:showVal val="0"/>
          <c:showCatName val="0"/>
          <c:showSerName val="0"/>
          <c:showPercent val="0"/>
          <c:showBubbleSize val="0"/>
        </c:dLbls>
        <c:smooth val="0"/>
        <c:axId val="912754760"/>
        <c:axId val="912753120"/>
      </c:lineChart>
      <c:catAx>
        <c:axId val="91275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753120"/>
        <c:crosses val="autoZero"/>
        <c:auto val="1"/>
        <c:lblAlgn val="ctr"/>
        <c:lblOffset val="100"/>
        <c:noMultiLvlLbl val="0"/>
      </c:catAx>
      <c:valAx>
        <c:axId val="91275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66666666666666E-2"/>
              <c:y val="0.281994386118401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754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uptake'!$B$3</c:f>
              <c:strCache>
                <c:ptCount val="1"/>
                <c:pt idx="0">
                  <c:v> EV %sales</c:v>
                </c:pt>
              </c:strCache>
            </c:strRef>
          </c:tx>
          <c:spPr>
            <a:ln w="47625" cap="rnd">
              <a:solidFill>
                <a:schemeClr val="tx1"/>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uptake'!$B$4:$B$45</c:f>
              <c:numCache>
                <c:formatCode>0.00</c:formatCode>
                <c:ptCount val="42"/>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pt idx="9">
                  <c:v>0.76010658102224526</c:v>
                </c:pt>
              </c:numCache>
            </c:numRef>
          </c:val>
          <c:smooth val="0"/>
          <c:extLst>
            <c:ext xmlns:c16="http://schemas.microsoft.com/office/drawing/2014/chart" uri="{C3380CC4-5D6E-409C-BE32-E72D297353CC}">
              <c16:uniqueId val="{00000000-4868-4AD4-B5CB-4AEE468AFCC9}"/>
            </c:ext>
          </c:extLst>
        </c:ser>
        <c:ser>
          <c:idx val="3"/>
          <c:order val="1"/>
          <c:tx>
            <c:strRef>
              <c:f>'Spain EV uptake'!$AB$3</c:f>
              <c:strCache>
                <c:ptCount val="1"/>
                <c:pt idx="0">
                  <c:v> predicted raw</c:v>
                </c:pt>
              </c:strCache>
            </c:strRef>
          </c:tx>
          <c:spPr>
            <a:ln w="28575" cap="rnd">
              <a:solidFill>
                <a:schemeClr val="accent4"/>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uptake'!$AB$4:$AB$45</c:f>
              <c:numCache>
                <c:formatCode>0.00</c:formatCode>
                <c:ptCount val="42"/>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pt idx="10">
                  <c:v>1.0053082103042874</c:v>
                </c:pt>
                <c:pt idx="11">
                  <c:v>1.3025634030058668</c:v>
                </c:pt>
                <c:pt idx="12">
                  <c:v>1.6853978600233139</c:v>
                </c:pt>
                <c:pt idx="13">
                  <c:v>2.1769052253495365</c:v>
                </c:pt>
                <c:pt idx="14">
                  <c:v>2.8053982735175036</c:v>
                </c:pt>
                <c:pt idx="15">
                  <c:v>3.6049310682133533</c:v>
                </c:pt>
                <c:pt idx="16">
                  <c:v>4.6154193572990128</c:v>
                </c:pt>
                <c:pt idx="17">
                  <c:v>5.8820180433334794</c:v>
                </c:pt>
                <c:pt idx="18">
                  <c:v>7.4533032347368664</c:v>
                </c:pt>
                <c:pt idx="19">
                  <c:v>9.3777487441254639</c:v>
                </c:pt>
                <c:pt idx="20">
                  <c:v>11.698078570932097</c:v>
                </c:pt>
                <c:pt idx="21">
                  <c:v>14.443444720759517</c:v>
                </c:pt>
                <c:pt idx="22">
                  <c:v>17.620121247697206</c:v>
                </c:pt>
                <c:pt idx="23">
                  <c:v>21.202461713609075</c:v>
                </c:pt>
                <c:pt idx="24">
                  <c:v>25.12687573909826</c:v>
                </c:pt>
                <c:pt idx="25">
                  <c:v>29.291865338853871</c:v>
                </c:pt>
                <c:pt idx="26">
                  <c:v>33.566058411412435</c:v>
                </c:pt>
                <c:pt idx="27">
                  <c:v>37.803651140592251</c:v>
                </c:pt>
                <c:pt idx="28">
                  <c:v>41.863737053982668</c:v>
                </c:pt>
                <c:pt idx="29">
                  <c:v>45.628295868721665</c:v>
                </c:pt>
                <c:pt idx="30">
                  <c:v>49.01421436123956</c:v>
                </c:pt>
                <c:pt idx="31">
                  <c:v>51.977228543072854</c:v>
                </c:pt>
                <c:pt idx="32">
                  <c:v>54.508595073959597</c:v>
                </c:pt>
                <c:pt idx="33">
                  <c:v>56.627176615817007</c:v>
                </c:pt>
                <c:pt idx="34">
                  <c:v>58.369978785718423</c:v>
                </c:pt>
                <c:pt idx="35">
                  <c:v>59.783435165055145</c:v>
                </c:pt>
                <c:pt idx="36">
                  <c:v>60.916636696831318</c:v>
                </c:pt>
                <c:pt idx="37">
                  <c:v>61.816778679279402</c:v>
                </c:pt>
                <c:pt idx="38">
                  <c:v>62.526549141299505</c:v>
                </c:pt>
                <c:pt idx="39">
                  <c:v>63.082968245399158</c:v>
                </c:pt>
                <c:pt idx="40">
                  <c:v>63.517185602431319</c:v>
                </c:pt>
                <c:pt idx="41">
                  <c:v>63.854835959994233</c:v>
                </c:pt>
              </c:numCache>
            </c:numRef>
          </c:val>
          <c:smooth val="0"/>
          <c:extLst>
            <c:ext xmlns:c16="http://schemas.microsoft.com/office/drawing/2014/chart" uri="{C3380CC4-5D6E-409C-BE32-E72D297353CC}">
              <c16:uniqueId val="{00000003-4868-4AD4-B5CB-4AEE468AFCC9}"/>
            </c:ext>
          </c:extLst>
        </c:ser>
        <c:dLbls>
          <c:showLegendKey val="0"/>
          <c:showVal val="0"/>
          <c:showCatName val="0"/>
          <c:showSerName val="0"/>
          <c:showPercent val="0"/>
          <c:showBubbleSize val="0"/>
        </c:dLbls>
        <c:smooth val="0"/>
        <c:axId val="864269328"/>
        <c:axId val="864267032"/>
      </c:lineChart>
      <c:catAx>
        <c:axId val="86426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7032"/>
        <c:crosses val="autoZero"/>
        <c:auto val="1"/>
        <c:lblAlgn val="ctr"/>
        <c:lblOffset val="100"/>
        <c:noMultiLvlLbl val="0"/>
      </c:catAx>
      <c:valAx>
        <c:axId val="864267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uptake'!$B$3</c:f>
              <c:strCache>
                <c:ptCount val="1"/>
                <c:pt idx="0">
                  <c:v> EV %sales</c:v>
                </c:pt>
              </c:strCache>
            </c:strRef>
          </c:tx>
          <c:spPr>
            <a:ln w="47625" cap="rnd">
              <a:solidFill>
                <a:schemeClr val="tx1"/>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uptake'!$B$4:$B$45</c:f>
              <c:numCache>
                <c:formatCode>0.00</c:formatCode>
                <c:ptCount val="42"/>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pt idx="9">
                  <c:v>0.76010658102224526</c:v>
                </c:pt>
              </c:numCache>
            </c:numRef>
          </c:val>
          <c:smooth val="0"/>
          <c:extLst>
            <c:ext xmlns:c16="http://schemas.microsoft.com/office/drawing/2014/chart" uri="{C3380CC4-5D6E-409C-BE32-E72D297353CC}">
              <c16:uniqueId val="{00000000-B4FE-4D30-A599-550E1EC74553}"/>
            </c:ext>
          </c:extLst>
        </c:ser>
        <c:ser>
          <c:idx val="2"/>
          <c:order val="1"/>
          <c:tx>
            <c:strRef>
              <c:f>'Spain EV uptake'!$L$3</c:f>
              <c:strCache>
                <c:ptCount val="1"/>
                <c:pt idx="0">
                  <c:v>Predicted Cost</c:v>
                </c:pt>
              </c:strCache>
            </c:strRef>
          </c:tx>
          <c:spPr>
            <a:ln w="28575" cap="rnd">
              <a:solidFill>
                <a:schemeClr val="accent3"/>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uptake'!$L$4:$L$45</c:f>
              <c:numCache>
                <c:formatCode>0.00</c:formatCode>
                <c:ptCount val="42"/>
                <c:pt idx="3" formatCode="0.000">
                  <c:v>0.10374374152131341</c:v>
                </c:pt>
                <c:pt idx="4" formatCode="0.000">
                  <c:v>0.13498156151751803</c:v>
                </c:pt>
                <c:pt idx="5" formatCode="0.000">
                  <c:v>0.13498156151751803</c:v>
                </c:pt>
                <c:pt idx="6" formatCode="0.000">
                  <c:v>0.2283977496812255</c:v>
                </c:pt>
                <c:pt idx="7" formatCode="0.000">
                  <c:v>0.29699781325595348</c:v>
                </c:pt>
                <c:pt idx="8" formatCode="0.000">
                  <c:v>0.59705961331901092</c:v>
                </c:pt>
                <c:pt idx="9" formatCode="0.000">
                  <c:v>0.77506356503223739</c:v>
                </c:pt>
                <c:pt idx="10" formatCode="0.000">
                  <c:v>1.0053082103042874</c:v>
                </c:pt>
                <c:pt idx="11" formatCode="0.000">
                  <c:v>1.3890476527430482</c:v>
                </c:pt>
                <c:pt idx="12" formatCode="0.000">
                  <c:v>1.7951145944401017</c:v>
                </c:pt>
                <c:pt idx="13" formatCode="0.000">
                  <c:v>2.5171368238390466</c:v>
                </c:pt>
                <c:pt idx="14" formatCode="0.000">
                  <c:v>3.4330277519045693</c:v>
                </c:pt>
                <c:pt idx="15" formatCode="0.000">
                  <c:v>4.5866088268472796</c:v>
                </c:pt>
                <c:pt idx="16" formatCode="0.000">
                  <c:v>6.0267775306024642</c:v>
                </c:pt>
                <c:pt idx="17" formatCode="0.000">
                  <c:v>7.8053135900853832</c:v>
                </c:pt>
                <c:pt idx="18" formatCode="0.000">
                  <c:v>10.406253968165021</c:v>
                </c:pt>
                <c:pt idx="19" formatCode="0.000">
                  <c:v>13.470342702220142</c:v>
                </c:pt>
                <c:pt idx="20" formatCode="0.000">
                  <c:v>17.00505720309242</c:v>
                </c:pt>
                <c:pt idx="21" formatCode="0.000">
                  <c:v>20.9878805220381</c:v>
                </c:pt>
                <c:pt idx="22" formatCode="0.000">
                  <c:v>25.361476490134169</c:v>
                </c:pt>
                <c:pt idx="23" formatCode="0.000">
                  <c:v>29.398182468713181</c:v>
                </c:pt>
                <c:pt idx="24" formatCode="0.000">
                  <c:v>33.5304375367879</c:v>
                </c:pt>
                <c:pt idx="25" formatCode="0.000">
                  <c:v>37.63072156271258</c:v>
                </c:pt>
                <c:pt idx="26" formatCode="0.000">
                  <c:v>41.575191367189717</c:v>
                </c:pt>
                <c:pt idx="27" formatCode="0.000">
                  <c:v>45.257425393521807</c:v>
                </c:pt>
                <c:pt idx="28" formatCode="0.000">
                  <c:v>48.598414180195277</c:v>
                </c:pt>
                <c:pt idx="29" formatCode="0.000">
                  <c:v>51.551102092562147</c:v>
                </c:pt>
                <c:pt idx="30" formatCode="0.000">
                  <c:v>54.099438675961494</c:v>
                </c:pt>
                <c:pt idx="31" formatCode="0.000">
                  <c:v>56.253282836724601</c:v>
                </c:pt>
                <c:pt idx="32" formatCode="0.000">
                  <c:v>58.0411644674763</c:v>
                </c:pt>
                <c:pt idx="33" formatCode="0.000">
                  <c:v>59.502801188540261</c:v>
                </c:pt>
                <c:pt idx="34" formatCode="0.000">
                  <c:v>60.68267569363676</c:v>
                </c:pt>
                <c:pt idx="35" formatCode="0.000">
                  <c:v>61.625273585572906</c:v>
                </c:pt>
                <c:pt idx="36" formatCode="0.000">
                  <c:v>62.372023673048133</c:v>
                </c:pt>
                <c:pt idx="37" formatCode="0.000">
                  <c:v>62.959663525680732</c:v>
                </c:pt>
                <c:pt idx="38" formatCode="0.000">
                  <c:v>63.419641690535812</c:v>
                </c:pt>
                <c:pt idx="39" formatCode="0.000">
                  <c:v>63.778186840562668</c:v>
                </c:pt>
                <c:pt idx="40" formatCode="0.000">
                  <c:v>64.056751104877549</c:v>
                </c:pt>
                <c:pt idx="41" formatCode="0.000">
                  <c:v>64.272622700070684</c:v>
                </c:pt>
              </c:numCache>
            </c:numRef>
          </c:val>
          <c:smooth val="0"/>
          <c:extLst>
            <c:ext xmlns:c16="http://schemas.microsoft.com/office/drawing/2014/chart" uri="{C3380CC4-5D6E-409C-BE32-E72D297353CC}">
              <c16:uniqueId val="{00000002-B4FE-4D30-A599-550E1EC74553}"/>
            </c:ext>
          </c:extLst>
        </c:ser>
        <c:ser>
          <c:idx val="3"/>
          <c:order val="2"/>
          <c:tx>
            <c:strRef>
              <c:f>'Spain EV uptake'!$AB$3</c:f>
              <c:strCache>
                <c:ptCount val="1"/>
                <c:pt idx="0">
                  <c:v> predicted raw</c:v>
                </c:pt>
              </c:strCache>
            </c:strRef>
          </c:tx>
          <c:spPr>
            <a:ln w="28575" cap="rnd">
              <a:solidFill>
                <a:schemeClr val="accent4"/>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uptake'!$AB$4:$AB$45</c:f>
              <c:numCache>
                <c:formatCode>0.00</c:formatCode>
                <c:ptCount val="42"/>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pt idx="10">
                  <c:v>1.0053082103042874</c:v>
                </c:pt>
                <c:pt idx="11">
                  <c:v>1.3025634030058668</c:v>
                </c:pt>
                <c:pt idx="12">
                  <c:v>1.6853978600233139</c:v>
                </c:pt>
                <c:pt idx="13">
                  <c:v>2.1769052253495365</c:v>
                </c:pt>
                <c:pt idx="14">
                  <c:v>2.8053982735175036</c:v>
                </c:pt>
                <c:pt idx="15">
                  <c:v>3.6049310682133533</c:v>
                </c:pt>
                <c:pt idx="16">
                  <c:v>4.6154193572990128</c:v>
                </c:pt>
                <c:pt idx="17">
                  <c:v>5.8820180433334794</c:v>
                </c:pt>
                <c:pt idx="18">
                  <c:v>7.4533032347368664</c:v>
                </c:pt>
                <c:pt idx="19">
                  <c:v>9.3777487441254639</c:v>
                </c:pt>
                <c:pt idx="20">
                  <c:v>11.698078570932097</c:v>
                </c:pt>
                <c:pt idx="21">
                  <c:v>14.443444720759517</c:v>
                </c:pt>
                <c:pt idx="22">
                  <c:v>17.620121247697206</c:v>
                </c:pt>
                <c:pt idx="23">
                  <c:v>21.202461713609075</c:v>
                </c:pt>
                <c:pt idx="24">
                  <c:v>25.12687573909826</c:v>
                </c:pt>
                <c:pt idx="25">
                  <c:v>29.291865338853871</c:v>
                </c:pt>
                <c:pt idx="26">
                  <c:v>33.566058411412435</c:v>
                </c:pt>
                <c:pt idx="27">
                  <c:v>37.803651140592251</c:v>
                </c:pt>
                <c:pt idx="28">
                  <c:v>41.863737053982668</c:v>
                </c:pt>
                <c:pt idx="29">
                  <c:v>45.628295868721665</c:v>
                </c:pt>
                <c:pt idx="30">
                  <c:v>49.01421436123956</c:v>
                </c:pt>
                <c:pt idx="31">
                  <c:v>51.977228543072854</c:v>
                </c:pt>
                <c:pt idx="32">
                  <c:v>54.508595073959597</c:v>
                </c:pt>
                <c:pt idx="33">
                  <c:v>56.627176615817007</c:v>
                </c:pt>
                <c:pt idx="34">
                  <c:v>58.369978785718423</c:v>
                </c:pt>
                <c:pt idx="35">
                  <c:v>59.783435165055145</c:v>
                </c:pt>
                <c:pt idx="36">
                  <c:v>60.916636696831318</c:v>
                </c:pt>
                <c:pt idx="37">
                  <c:v>61.816778679279402</c:v>
                </c:pt>
                <c:pt idx="38">
                  <c:v>62.526549141299505</c:v>
                </c:pt>
                <c:pt idx="39">
                  <c:v>63.082968245399158</c:v>
                </c:pt>
                <c:pt idx="40">
                  <c:v>63.517185602431319</c:v>
                </c:pt>
                <c:pt idx="41">
                  <c:v>63.854835959994233</c:v>
                </c:pt>
              </c:numCache>
            </c:numRef>
          </c:val>
          <c:smooth val="0"/>
          <c:extLst>
            <c:ext xmlns:c16="http://schemas.microsoft.com/office/drawing/2014/chart" uri="{C3380CC4-5D6E-409C-BE32-E72D297353CC}">
              <c16:uniqueId val="{00000003-B4FE-4D30-A599-550E1EC74553}"/>
            </c:ext>
          </c:extLst>
        </c:ser>
        <c:dLbls>
          <c:showLegendKey val="0"/>
          <c:showVal val="0"/>
          <c:showCatName val="0"/>
          <c:showSerName val="0"/>
          <c:showPercent val="0"/>
          <c:showBubbleSize val="0"/>
        </c:dLbls>
        <c:smooth val="0"/>
        <c:axId val="864269328"/>
        <c:axId val="864267032"/>
      </c:lineChart>
      <c:catAx>
        <c:axId val="86426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7032"/>
        <c:crosses val="autoZero"/>
        <c:auto val="1"/>
        <c:lblAlgn val="ctr"/>
        <c:lblOffset val="100"/>
        <c:noMultiLvlLbl val="0"/>
      </c:catAx>
      <c:valAx>
        <c:axId val="864267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 EV uptake'!$B$3</c:f>
              <c:strCache>
                <c:ptCount val="1"/>
                <c:pt idx="0">
                  <c:v> EV %sales</c:v>
                </c:pt>
              </c:strCache>
            </c:strRef>
          </c:tx>
          <c:spPr>
            <a:ln w="47625" cap="rnd">
              <a:solidFill>
                <a:schemeClr val="tx1"/>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uptake'!$B$4:$B$45</c:f>
              <c:numCache>
                <c:formatCode>0.00</c:formatCode>
                <c:ptCount val="42"/>
                <c:pt idx="0">
                  <c:v>0</c:v>
                </c:pt>
                <c:pt idx="1">
                  <c:v>7.4346792139609015E-3</c:v>
                </c:pt>
                <c:pt idx="2">
                  <c:v>7.1282011934786851E-2</c:v>
                </c:pt>
                <c:pt idx="3">
                  <c:v>7.8903470466230891E-2</c:v>
                </c:pt>
                <c:pt idx="4">
                  <c:v>0.13947638241435278</c:v>
                </c:pt>
                <c:pt idx="5">
                  <c:v>0.16976340686629846</c:v>
                </c:pt>
                <c:pt idx="6">
                  <c:v>0.22151702906117776</c:v>
                </c:pt>
                <c:pt idx="7">
                  <c:v>0.30653692610419991</c:v>
                </c:pt>
                <c:pt idx="8">
                  <c:v>0.5903163820488756</c:v>
                </c:pt>
                <c:pt idx="9">
                  <c:v>0.76010658102224526</c:v>
                </c:pt>
              </c:numCache>
            </c:numRef>
          </c:val>
          <c:smooth val="0"/>
          <c:extLst>
            <c:ext xmlns:c16="http://schemas.microsoft.com/office/drawing/2014/chart" uri="{C3380CC4-5D6E-409C-BE32-E72D297353CC}">
              <c16:uniqueId val="{00000000-53AA-4283-961E-16F9DDAB7D42}"/>
            </c:ext>
          </c:extLst>
        </c:ser>
        <c:ser>
          <c:idx val="1"/>
          <c:order val="1"/>
          <c:tx>
            <c:strRef>
              <c:f>'Spain EV uptake'!$C$3</c:f>
              <c:strCache>
                <c:ptCount val="1"/>
                <c:pt idx="0">
                  <c:v>Predicted Cost Lagged</c:v>
                </c:pt>
              </c:strCache>
            </c:strRef>
          </c:tx>
          <c:spPr>
            <a:ln w="28575" cap="rnd">
              <a:solidFill>
                <a:schemeClr val="accent2"/>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uptake'!$C$4:$C$45</c:f>
              <c:numCache>
                <c:formatCode>0.00</c:formatCode>
                <c:ptCount val="42"/>
                <c:pt idx="3">
                  <c:v>0.10374374152131341</c:v>
                </c:pt>
                <c:pt idx="4">
                  <c:v>0.13498156151751803</c:v>
                </c:pt>
                <c:pt idx="5">
                  <c:v>0.13498156151751803</c:v>
                </c:pt>
                <c:pt idx="6">
                  <c:v>0.2283977496812255</c:v>
                </c:pt>
                <c:pt idx="7">
                  <c:v>0.29699781325595348</c:v>
                </c:pt>
                <c:pt idx="8">
                  <c:v>0.59705961331901092</c:v>
                </c:pt>
                <c:pt idx="9">
                  <c:v>0.77506356503223739</c:v>
                </c:pt>
                <c:pt idx="10">
                  <c:v>1.0053082103042874</c:v>
                </c:pt>
                <c:pt idx="11">
                  <c:v>1.3890476527430482</c:v>
                </c:pt>
                <c:pt idx="12">
                  <c:v>1.7951145944401015</c:v>
                </c:pt>
                <c:pt idx="13">
                  <c:v>2.517136823839047</c:v>
                </c:pt>
                <c:pt idx="14">
                  <c:v>3.9361466814945563</c:v>
                </c:pt>
                <c:pt idx="15">
                  <c:v>5.2243190122691248</c:v>
                </c:pt>
                <c:pt idx="16">
                  <c:v>6.892208741951988</c:v>
                </c:pt>
                <c:pt idx="17">
                  <c:v>8.9619116532738996</c:v>
                </c:pt>
                <c:pt idx="18">
                  <c:v>11.469747763292974</c:v>
                </c:pt>
                <c:pt idx="19">
                  <c:v>14.437586000905386</c:v>
                </c:pt>
                <c:pt idx="20">
                  <c:v>17.776358134921203</c:v>
                </c:pt>
                <c:pt idx="21">
                  <c:v>21.451375841592988</c:v>
                </c:pt>
                <c:pt idx="22">
                  <c:v>25.34058549795693</c:v>
                </c:pt>
                <c:pt idx="23">
                  <c:v>29.355563878666867</c:v>
                </c:pt>
                <c:pt idx="24">
                  <c:v>33.391616477299635</c:v>
                </c:pt>
                <c:pt idx="25">
                  <c:v>37.335978428464948</c:v>
                </c:pt>
                <c:pt idx="26">
                  <c:v>41.077353514526088</c:v>
                </c:pt>
                <c:pt idx="27">
                  <c:v>44.60610440127585</c:v>
                </c:pt>
                <c:pt idx="28">
                  <c:v>47.852225158409667</c:v>
                </c:pt>
                <c:pt idx="29">
                  <c:v>50.768002716233049</c:v>
                </c:pt>
                <c:pt idx="30">
                  <c:v>53.329089833568844</c:v>
                </c:pt>
                <c:pt idx="31">
                  <c:v>55.532697019299555</c:v>
                </c:pt>
                <c:pt idx="32">
                  <c:v>57.3936769343535</c:v>
                </c:pt>
                <c:pt idx="33">
                  <c:v>58.939522874422934</c:v>
                </c:pt>
                <c:pt idx="34">
                  <c:v>60.205269281525673</c:v>
                </c:pt>
                <c:pt idx="35">
                  <c:v>61.229034832070127</c:v>
                </c:pt>
                <c:pt idx="36">
                  <c:v>62.048609456796761</c:v>
                </c:pt>
                <c:pt idx="37">
                  <c:v>62.699173730559224</c:v>
                </c:pt>
                <c:pt idx="38">
                  <c:v>63.212023302906928</c:v>
                </c:pt>
                <c:pt idx="39">
                  <c:v>63.614066872323193</c:v>
                </c:pt>
                <c:pt idx="40">
                  <c:v>63.925801738200711</c:v>
                </c:pt>
                <c:pt idx="41">
                  <c:v>64.164169208720438</c:v>
                </c:pt>
              </c:numCache>
            </c:numRef>
          </c:val>
          <c:smooth val="0"/>
          <c:extLst>
            <c:ext xmlns:c16="http://schemas.microsoft.com/office/drawing/2014/chart" uri="{C3380CC4-5D6E-409C-BE32-E72D297353CC}">
              <c16:uniqueId val="{00000001-53AA-4283-961E-16F9DDAB7D42}"/>
            </c:ext>
          </c:extLst>
        </c:ser>
        <c:ser>
          <c:idx val="2"/>
          <c:order val="2"/>
          <c:tx>
            <c:strRef>
              <c:f>'Spain EV uptake'!$L$3</c:f>
              <c:strCache>
                <c:ptCount val="1"/>
                <c:pt idx="0">
                  <c:v>Predicted Cost</c:v>
                </c:pt>
              </c:strCache>
            </c:strRef>
          </c:tx>
          <c:spPr>
            <a:ln w="28575" cap="rnd">
              <a:solidFill>
                <a:schemeClr val="accent3"/>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uptake'!$L$4:$L$45</c:f>
              <c:numCache>
                <c:formatCode>0.00</c:formatCode>
                <c:ptCount val="42"/>
                <c:pt idx="3" formatCode="0.000">
                  <c:v>0.10374374152131341</c:v>
                </c:pt>
                <c:pt idx="4" formatCode="0.000">
                  <c:v>0.13498156151751803</c:v>
                </c:pt>
                <c:pt idx="5" formatCode="0.000">
                  <c:v>0.13498156151751803</c:v>
                </c:pt>
                <c:pt idx="6" formatCode="0.000">
                  <c:v>0.2283977496812255</c:v>
                </c:pt>
                <c:pt idx="7" formatCode="0.000">
                  <c:v>0.29699781325595348</c:v>
                </c:pt>
                <c:pt idx="8" formatCode="0.000">
                  <c:v>0.59705961331901092</c:v>
                </c:pt>
                <c:pt idx="9" formatCode="0.000">
                  <c:v>0.77506356503223739</c:v>
                </c:pt>
                <c:pt idx="10" formatCode="0.000">
                  <c:v>1.0053082103042874</c:v>
                </c:pt>
                <c:pt idx="11" formatCode="0.000">
                  <c:v>1.3890476527430482</c:v>
                </c:pt>
                <c:pt idx="12" formatCode="0.000">
                  <c:v>1.7951145944401017</c:v>
                </c:pt>
                <c:pt idx="13" formatCode="0.000">
                  <c:v>2.5171368238390466</c:v>
                </c:pt>
                <c:pt idx="14" formatCode="0.000">
                  <c:v>3.4330277519045693</c:v>
                </c:pt>
                <c:pt idx="15" formatCode="0.000">
                  <c:v>4.5866088268472796</c:v>
                </c:pt>
                <c:pt idx="16" formatCode="0.000">
                  <c:v>6.0267775306024642</c:v>
                </c:pt>
                <c:pt idx="17" formatCode="0.000">
                  <c:v>7.8053135900853832</c:v>
                </c:pt>
                <c:pt idx="18" formatCode="0.000">
                  <c:v>10.406253968165021</c:v>
                </c:pt>
                <c:pt idx="19" formatCode="0.000">
                  <c:v>13.470342702220142</c:v>
                </c:pt>
                <c:pt idx="20" formatCode="0.000">
                  <c:v>17.00505720309242</c:v>
                </c:pt>
                <c:pt idx="21" formatCode="0.000">
                  <c:v>20.9878805220381</c:v>
                </c:pt>
                <c:pt idx="22" formatCode="0.000">
                  <c:v>25.361476490134169</c:v>
                </c:pt>
                <c:pt idx="23" formatCode="0.000">
                  <c:v>29.398182468713181</c:v>
                </c:pt>
                <c:pt idx="24" formatCode="0.000">
                  <c:v>33.5304375367879</c:v>
                </c:pt>
                <c:pt idx="25" formatCode="0.000">
                  <c:v>37.63072156271258</c:v>
                </c:pt>
                <c:pt idx="26" formatCode="0.000">
                  <c:v>41.575191367189717</c:v>
                </c:pt>
                <c:pt idx="27" formatCode="0.000">
                  <c:v>45.257425393521807</c:v>
                </c:pt>
                <c:pt idx="28" formatCode="0.000">
                  <c:v>48.598414180195277</c:v>
                </c:pt>
                <c:pt idx="29" formatCode="0.000">
                  <c:v>51.551102092562147</c:v>
                </c:pt>
                <c:pt idx="30" formatCode="0.000">
                  <c:v>54.099438675961494</c:v>
                </c:pt>
                <c:pt idx="31" formatCode="0.000">
                  <c:v>56.253282836724601</c:v>
                </c:pt>
                <c:pt idx="32" formatCode="0.000">
                  <c:v>58.0411644674763</c:v>
                </c:pt>
                <c:pt idx="33" formatCode="0.000">
                  <c:v>59.502801188540261</c:v>
                </c:pt>
                <c:pt idx="34" formatCode="0.000">
                  <c:v>60.68267569363676</c:v>
                </c:pt>
                <c:pt idx="35" formatCode="0.000">
                  <c:v>61.625273585572906</c:v>
                </c:pt>
                <c:pt idx="36" formatCode="0.000">
                  <c:v>62.372023673048133</c:v>
                </c:pt>
                <c:pt idx="37" formatCode="0.000">
                  <c:v>62.959663525680732</c:v>
                </c:pt>
                <c:pt idx="38" formatCode="0.000">
                  <c:v>63.419641690535812</c:v>
                </c:pt>
                <c:pt idx="39" formatCode="0.000">
                  <c:v>63.778186840562668</c:v>
                </c:pt>
                <c:pt idx="40" formatCode="0.000">
                  <c:v>64.056751104877549</c:v>
                </c:pt>
                <c:pt idx="41" formatCode="0.000">
                  <c:v>64.272622700070684</c:v>
                </c:pt>
              </c:numCache>
            </c:numRef>
          </c:val>
          <c:smooth val="0"/>
          <c:extLst>
            <c:ext xmlns:c16="http://schemas.microsoft.com/office/drawing/2014/chart" uri="{C3380CC4-5D6E-409C-BE32-E72D297353CC}">
              <c16:uniqueId val="{00000002-53AA-4283-961E-16F9DDAB7D42}"/>
            </c:ext>
          </c:extLst>
        </c:ser>
        <c:ser>
          <c:idx val="3"/>
          <c:order val="3"/>
          <c:tx>
            <c:strRef>
              <c:f>'Spain EV uptake'!$AB$3</c:f>
              <c:strCache>
                <c:ptCount val="1"/>
                <c:pt idx="0">
                  <c:v> predicted raw</c:v>
                </c:pt>
              </c:strCache>
            </c:strRef>
          </c:tx>
          <c:spPr>
            <a:ln w="28575" cap="rnd">
              <a:solidFill>
                <a:schemeClr val="accent4"/>
              </a:solidFill>
              <a:round/>
            </a:ln>
            <a:effectLst/>
          </c:spPr>
          <c:marker>
            <c:symbol val="none"/>
          </c:marker>
          <c:cat>
            <c:numRef>
              <c:f>'Spain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'Spain EV uptake'!$AB$4:$AB$45</c:f>
              <c:numCache>
                <c:formatCode>0.00</c:formatCode>
                <c:ptCount val="42"/>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pt idx="10">
                  <c:v>1.0053082103042874</c:v>
                </c:pt>
                <c:pt idx="11">
                  <c:v>1.3025634030058668</c:v>
                </c:pt>
                <c:pt idx="12">
                  <c:v>1.6853978600233139</c:v>
                </c:pt>
                <c:pt idx="13">
                  <c:v>2.1769052253495365</c:v>
                </c:pt>
                <c:pt idx="14">
                  <c:v>2.8053982735175036</c:v>
                </c:pt>
                <c:pt idx="15">
                  <c:v>3.6049310682133533</c:v>
                </c:pt>
                <c:pt idx="16">
                  <c:v>4.6154193572990128</c:v>
                </c:pt>
                <c:pt idx="17">
                  <c:v>5.8820180433334794</c:v>
                </c:pt>
                <c:pt idx="18">
                  <c:v>7.4533032347368664</c:v>
                </c:pt>
                <c:pt idx="19">
                  <c:v>9.3777487441254639</c:v>
                </c:pt>
                <c:pt idx="20">
                  <c:v>11.698078570932097</c:v>
                </c:pt>
                <c:pt idx="21">
                  <c:v>14.443444720759517</c:v>
                </c:pt>
                <c:pt idx="22">
                  <c:v>17.620121247697206</c:v>
                </c:pt>
                <c:pt idx="23">
                  <c:v>21.202461713609075</c:v>
                </c:pt>
                <c:pt idx="24">
                  <c:v>25.12687573909826</c:v>
                </c:pt>
                <c:pt idx="25">
                  <c:v>29.291865338853871</c:v>
                </c:pt>
                <c:pt idx="26">
                  <c:v>33.566058411412435</c:v>
                </c:pt>
                <c:pt idx="27">
                  <c:v>37.803651140592251</c:v>
                </c:pt>
                <c:pt idx="28">
                  <c:v>41.863737053982668</c:v>
                </c:pt>
                <c:pt idx="29">
                  <c:v>45.628295868721665</c:v>
                </c:pt>
                <c:pt idx="30">
                  <c:v>49.01421436123956</c:v>
                </c:pt>
                <c:pt idx="31">
                  <c:v>51.977228543072854</c:v>
                </c:pt>
                <c:pt idx="32">
                  <c:v>54.508595073959597</c:v>
                </c:pt>
                <c:pt idx="33">
                  <c:v>56.627176615817007</c:v>
                </c:pt>
                <c:pt idx="34">
                  <c:v>58.369978785718423</c:v>
                </c:pt>
                <c:pt idx="35">
                  <c:v>59.783435165055145</c:v>
                </c:pt>
                <c:pt idx="36">
                  <c:v>60.916636696831318</c:v>
                </c:pt>
                <c:pt idx="37">
                  <c:v>61.816778679279402</c:v>
                </c:pt>
                <c:pt idx="38">
                  <c:v>62.526549141299505</c:v>
                </c:pt>
                <c:pt idx="39">
                  <c:v>63.082968245399158</c:v>
                </c:pt>
                <c:pt idx="40">
                  <c:v>63.517185602431319</c:v>
                </c:pt>
                <c:pt idx="41">
                  <c:v>63.854835959994233</c:v>
                </c:pt>
              </c:numCache>
            </c:numRef>
          </c:val>
          <c:smooth val="0"/>
          <c:extLst>
            <c:ext xmlns:c16="http://schemas.microsoft.com/office/drawing/2014/chart" uri="{C3380CC4-5D6E-409C-BE32-E72D297353CC}">
              <c16:uniqueId val="{00000003-53AA-4283-961E-16F9DDAB7D42}"/>
            </c:ext>
          </c:extLst>
        </c:ser>
        <c:dLbls>
          <c:showLegendKey val="0"/>
          <c:showVal val="0"/>
          <c:showCatName val="0"/>
          <c:showSerName val="0"/>
          <c:showPercent val="0"/>
          <c:showBubbleSize val="0"/>
        </c:dLbls>
        <c:smooth val="0"/>
        <c:axId val="864269328"/>
        <c:axId val="864267032"/>
      </c:lineChart>
      <c:catAx>
        <c:axId val="86426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7032"/>
        <c:crosses val="autoZero"/>
        <c:auto val="1"/>
        <c:lblAlgn val="ctr"/>
        <c:lblOffset val="100"/>
        <c:noMultiLvlLbl val="0"/>
      </c:catAx>
      <c:valAx>
        <c:axId val="864267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26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Spain!$O$2</c:f>
              <c:strCache>
                <c:ptCount val="1"/>
                <c:pt idx="0">
                  <c:v>BEV price</c:v>
                </c:pt>
              </c:strCache>
            </c:strRef>
          </c:tx>
          <c:spPr>
            <a:ln w="60325" cap="rnd">
              <a:solidFill>
                <a:schemeClr val="accent1"/>
              </a:solidFill>
              <a:round/>
            </a:ln>
            <a:effectLst/>
          </c:spPr>
          <c:marker>
            <c:symbol val="none"/>
          </c:marker>
          <c:cat>
            <c:numRef>
              <c:f>Spain!$N$3:$N$24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Spain!$O$3:$O$24</c:f>
              <c:numCache>
                <c:formatCode>0</c:formatCode>
                <c:ptCount val="22"/>
                <c:pt idx="0">
                  <c:v>27172.214470474653</c:v>
                </c:pt>
                <c:pt idx="1">
                  <c:v>22945.881558385649</c:v>
                </c:pt>
                <c:pt idx="2">
                  <c:v>22325.145267367981</c:v>
                </c:pt>
                <c:pt idx="3">
                  <c:v>24810.221279867383</c:v>
                </c:pt>
                <c:pt idx="4">
                  <c:v>25144.166387310252</c:v>
                </c:pt>
                <c:pt idx="5">
                  <c:v>27498.420032940223</c:v>
                </c:pt>
                <c:pt idx="6">
                  <c:v>29699.077873934064</c:v>
                </c:pt>
                <c:pt idx="7">
                  <c:v>29539.433483168737</c:v>
                </c:pt>
                <c:pt idx="8">
                  <c:v>28725.969414288506</c:v>
                </c:pt>
                <c:pt idx="9">
                  <c:v>27519.703461683388</c:v>
                </c:pt>
                <c:pt idx="10">
                  <c:v>28220.847428689176</c:v>
                </c:pt>
                <c:pt idx="11">
                  <c:v>28130.126357235993</c:v>
                </c:pt>
                <c:pt idx="12">
                  <c:v>27428.47195057265</c:v>
                </c:pt>
                <c:pt idx="13">
                  <c:v>27974.465958828459</c:v>
                </c:pt>
                <c:pt idx="14">
                  <c:v>27781.500540766112</c:v>
                </c:pt>
                <c:pt idx="15">
                  <c:v>26758.750824195115</c:v>
                </c:pt>
                <c:pt idx="16">
                  <c:v>25892.212083193146</c:v>
                </c:pt>
                <c:pt idx="17">
                  <c:v>25436.491429725171</c:v>
                </c:pt>
                <c:pt idx="18">
                  <c:v>24979.030666812447</c:v>
                </c:pt>
                <c:pt idx="19">
                  <c:v>24451.583012840903</c:v>
                </c:pt>
                <c:pt idx="20">
                  <c:v>23990.741739556979</c:v>
                </c:pt>
                <c:pt idx="21">
                  <c:v>23514.01552448298</c:v>
                </c:pt>
              </c:numCache>
            </c:numRef>
          </c:val>
          <c:smooth val="0"/>
          <c:extLst>
            <c:ext xmlns:c16="http://schemas.microsoft.com/office/drawing/2014/chart" uri="{C3380CC4-5D6E-409C-BE32-E72D297353CC}">
              <c16:uniqueId val="{00000000-FA44-491B-B197-E97819467A04}"/>
            </c:ext>
          </c:extLst>
        </c:ser>
        <c:ser>
          <c:idx val="1"/>
          <c:order val="1"/>
          <c:tx>
            <c:strRef>
              <c:f>Spain!$P$2</c:f>
              <c:strCache>
                <c:ptCount val="1"/>
                <c:pt idx="0">
                  <c:v>PHEV price</c:v>
                </c:pt>
              </c:strCache>
            </c:strRef>
          </c:tx>
          <c:spPr>
            <a:ln w="28575" cap="rnd">
              <a:solidFill>
                <a:schemeClr val="accent2"/>
              </a:solidFill>
              <a:round/>
            </a:ln>
            <a:effectLst/>
          </c:spPr>
          <c:marker>
            <c:symbol val="none"/>
          </c:marker>
          <c:cat>
            <c:numRef>
              <c:f>Spain!$N$3:$N$24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Spain!$P$3:$P$24</c:f>
              <c:numCache>
                <c:formatCode>0</c:formatCode>
                <c:ptCount val="22"/>
                <c:pt idx="0">
                  <c:v>25172.214470474653</c:v>
                </c:pt>
                <c:pt idx="1">
                  <c:v>26828.491646977647</c:v>
                </c:pt>
                <c:pt idx="2">
                  <c:v>25756.92031393608</c:v>
                </c:pt>
                <c:pt idx="3">
                  <c:v>28758.642006047419</c:v>
                </c:pt>
                <c:pt idx="4">
                  <c:v>28925.11045217764</c:v>
                </c:pt>
                <c:pt idx="5">
                  <c:v>31429.925632937029</c:v>
                </c:pt>
                <c:pt idx="6">
                  <c:v>33650.387177622732</c:v>
                </c:pt>
                <c:pt idx="7">
                  <c:v>33617.833483168739</c:v>
                </c:pt>
                <c:pt idx="8">
                  <c:v>32725.969414288506</c:v>
                </c:pt>
                <c:pt idx="9">
                  <c:v>30952.422174904259</c:v>
                </c:pt>
                <c:pt idx="10">
                  <c:v>31587.578218431103</c:v>
                </c:pt>
                <c:pt idx="11">
                  <c:v>31432.137724185708</c:v>
                </c:pt>
                <c:pt idx="12">
                  <c:v>30667.008010743022</c:v>
                </c:pt>
                <c:pt idx="13">
                  <c:v>31150.746912310584</c:v>
                </c:pt>
                <c:pt idx="14">
                  <c:v>30896.723131470433</c:v>
                </c:pt>
                <c:pt idx="15">
                  <c:v>29814.088790754864</c:v>
                </c:pt>
                <c:pt idx="16">
                  <c:v>28888.816601199964</c:v>
                </c:pt>
                <c:pt idx="17">
                  <c:v>28375.491545463516</c:v>
                </c:pt>
                <c:pt idx="18">
                  <c:v>27861.533722656251</c:v>
                </c:pt>
                <c:pt idx="19">
                  <c:v>27278.675064472725</c:v>
                </c:pt>
                <c:pt idx="20">
                  <c:v>26763.487965166849</c:v>
                </c:pt>
                <c:pt idx="21">
                  <c:v>26179.423661143166</c:v>
                </c:pt>
              </c:numCache>
            </c:numRef>
          </c:val>
          <c:smooth val="0"/>
          <c:extLst>
            <c:ext xmlns:c16="http://schemas.microsoft.com/office/drawing/2014/chart" uri="{C3380CC4-5D6E-409C-BE32-E72D297353CC}">
              <c16:uniqueId val="{00000001-FA44-491B-B197-E97819467A04}"/>
            </c:ext>
          </c:extLst>
        </c:ser>
        <c:ser>
          <c:idx val="2"/>
          <c:order val="2"/>
          <c:tx>
            <c:strRef>
              <c:f>Spain!$Q$2</c:f>
              <c:strCache>
                <c:ptCount val="1"/>
                <c:pt idx="0">
                  <c:v>FFV price</c:v>
                </c:pt>
              </c:strCache>
            </c:strRef>
          </c:tx>
          <c:spPr>
            <a:ln w="28575" cap="rnd">
              <a:solidFill>
                <a:schemeClr val="tx1"/>
              </a:solidFill>
              <a:round/>
            </a:ln>
            <a:effectLst/>
          </c:spPr>
          <c:marker>
            <c:symbol val="none"/>
          </c:marker>
          <c:cat>
            <c:numRef>
              <c:f>Spain!$N$3:$N$24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Spain!$Q$3:$Q$24</c:f>
              <c:numCache>
                <c:formatCode>0</c:formatCode>
                <c:ptCount val="22"/>
                <c:pt idx="0">
                  <c:v>19991.872118750005</c:v>
                </c:pt>
                <c:pt idx="1">
                  <c:v>21070.198472729251</c:v>
                </c:pt>
                <c:pt idx="2">
                  <c:v>20198.690853692711</c:v>
                </c:pt>
                <c:pt idx="3">
                  <c:v>21849.116129420254</c:v>
                </c:pt>
                <c:pt idx="4">
                  <c:v>21740.139837680657</c:v>
                </c:pt>
                <c:pt idx="5">
                  <c:v>21905.549754356689</c:v>
                </c:pt>
                <c:pt idx="6">
                  <c:v>26201.632069258078</c:v>
                </c:pt>
                <c:pt idx="7">
                  <c:v>26225.392337096033</c:v>
                </c:pt>
                <c:pt idx="8">
                  <c:v>25511.576550954524</c:v>
                </c:pt>
                <c:pt idx="9">
                  <c:v>24584.125</c:v>
                </c:pt>
                <c:pt idx="10">
                  <c:v>24584.125</c:v>
                </c:pt>
                <c:pt idx="11">
                  <c:v>24584.125</c:v>
                </c:pt>
                <c:pt idx="12">
                  <c:v>24584.125</c:v>
                </c:pt>
                <c:pt idx="13">
                  <c:v>24584.125</c:v>
                </c:pt>
                <c:pt idx="14">
                  <c:v>24584.125</c:v>
                </c:pt>
                <c:pt idx="15">
                  <c:v>24584.125</c:v>
                </c:pt>
                <c:pt idx="16">
                  <c:v>24584.125</c:v>
                </c:pt>
                <c:pt idx="17">
                  <c:v>24584.125</c:v>
                </c:pt>
                <c:pt idx="18">
                  <c:v>24584.125</c:v>
                </c:pt>
                <c:pt idx="19">
                  <c:v>24584.125</c:v>
                </c:pt>
                <c:pt idx="20">
                  <c:v>24584.125</c:v>
                </c:pt>
                <c:pt idx="21">
                  <c:v>24584.125</c:v>
                </c:pt>
              </c:numCache>
            </c:numRef>
          </c:val>
          <c:smooth val="0"/>
          <c:extLst>
            <c:ext xmlns:c16="http://schemas.microsoft.com/office/drawing/2014/chart" uri="{C3380CC4-5D6E-409C-BE32-E72D297353CC}">
              <c16:uniqueId val="{00000002-FA44-491B-B197-E97819467A04}"/>
            </c:ext>
          </c:extLst>
        </c:ser>
        <c:dLbls>
          <c:showLegendKey val="0"/>
          <c:showVal val="0"/>
          <c:showCatName val="0"/>
          <c:showSerName val="0"/>
          <c:showPercent val="0"/>
          <c:showBubbleSize val="0"/>
        </c:dLbls>
        <c:smooth val="0"/>
        <c:axId val="581475720"/>
        <c:axId val="581473424"/>
      </c:lineChart>
      <c:catAx>
        <c:axId val="5814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73424"/>
        <c:crosses val="autoZero"/>
        <c:auto val="1"/>
        <c:lblAlgn val="ctr"/>
        <c:lblOffset val="100"/>
        <c:noMultiLvlLbl val="0"/>
      </c:catAx>
      <c:valAx>
        <c:axId val="58147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75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'EV %sales'!$Y$69:$Y$76</c:f>
              <c:numCache>
                <c:formatCode>0.00</c:formatCode>
                <c:ptCount val="8"/>
                <c:pt idx="0">
                  <c:v>0.10234351891729328</c:v>
                </c:pt>
                <c:pt idx="1">
                  <c:v>0.23522435592921317</c:v>
                </c:pt>
                <c:pt idx="2">
                  <c:v>0.38403986642724675</c:v>
                </c:pt>
                <c:pt idx="3">
                  <c:v>0.57247293705754376</c:v>
                </c:pt>
                <c:pt idx="4">
                  <c:v>0.90247796151091464</c:v>
                </c:pt>
                <c:pt idx="5">
                  <c:v>1.1362386310898671</c:v>
                </c:pt>
                <c:pt idx="6">
                  <c:v>1.6633518305579627</c:v>
                </c:pt>
                <c:pt idx="7">
                  <c:v>2.8604156566476502</c:v>
                </c:pt>
              </c:numCache>
            </c:numRef>
          </c:val>
          <c:smooth val="0"/>
          <c:extLst>
            <c:ext xmlns:c16="http://schemas.microsoft.com/office/drawing/2014/chart" uri="{C3380CC4-5D6E-409C-BE32-E72D297353CC}">
              <c16:uniqueId val="{00000000-1010-4C53-8931-E0B5F324B5AA}"/>
            </c:ext>
          </c:extLst>
        </c:ser>
        <c:ser>
          <c:idx val="1"/>
          <c:order val="1"/>
          <c:tx>
            <c:strRef>
              <c:f>'EV %sales'!$Z$66</c:f>
              <c:strCache>
                <c:ptCount val="1"/>
                <c:pt idx="0">
                  <c:v>ev-volumes.com</c:v>
                </c:pt>
              </c:strCache>
            </c:strRef>
          </c:tx>
          <c:spPr>
            <a:ln w="28575" cap="rnd">
              <a:solidFill>
                <a:schemeClr val="accent2"/>
              </a:solidFill>
              <a:round/>
            </a:ln>
            <a:effectLst/>
          </c:spPr>
          <c:marker>
            <c:symbol val="none"/>
          </c:marker>
          <c:val>
            <c:numRef>
              <c:f>'EV %sales'!$Z$69:$Z$76</c:f>
              <c:numCache>
                <c:formatCode>0.00</c:formatCode>
                <c:ptCount val="8"/>
                <c:pt idx="0">
                  <c:v>7.0000000000000007E-2</c:v>
                </c:pt>
                <c:pt idx="1">
                  <c:v>0.17</c:v>
                </c:pt>
                <c:pt idx="2">
                  <c:v>0.25</c:v>
                </c:pt>
                <c:pt idx="3">
                  <c:v>0.37</c:v>
                </c:pt>
                <c:pt idx="4">
                  <c:v>0.61</c:v>
                </c:pt>
                <c:pt idx="5">
                  <c:v>0.83</c:v>
                </c:pt>
                <c:pt idx="6">
                  <c:v>1.34</c:v>
                </c:pt>
                <c:pt idx="7">
                  <c:v>1.92</c:v>
                </c:pt>
              </c:numCache>
            </c:numRef>
          </c:val>
          <c:smooth val="0"/>
          <c:extLst>
            <c:ext xmlns:c16="http://schemas.microsoft.com/office/drawing/2014/chart" uri="{C3380CC4-5D6E-409C-BE32-E72D297353CC}">
              <c16:uniqueId val="{00000001-1010-4C53-8931-E0B5F324B5AA}"/>
            </c:ext>
          </c:extLst>
        </c:ser>
        <c:ser>
          <c:idx val="2"/>
          <c:order val="2"/>
          <c:tx>
            <c:strRef>
              <c:f>'EV %sales'!$AA$66</c:f>
              <c:strCache>
                <c:ptCount val="1"/>
              </c:strCache>
            </c:strRef>
          </c:tx>
          <c:spPr>
            <a:ln w="28575" cap="rnd">
              <a:solidFill>
                <a:schemeClr val="accent3"/>
              </a:solidFill>
              <a:round/>
            </a:ln>
            <a:effectLst/>
          </c:spPr>
          <c:marker>
            <c:symbol val="none"/>
          </c:marker>
          <c:val>
            <c:numRef>
              <c:f>'EV %sales'!$AA$69:$AA$76</c:f>
              <c:numCache>
                <c:formatCode>0.00</c:formatCode>
                <c:ptCount val="8"/>
                <c:pt idx="0">
                  <c:v>8.6891513536609996E-2</c:v>
                </c:pt>
                <c:pt idx="1">
                  <c:v>0.21102224716033854</c:v>
                </c:pt>
                <c:pt idx="2">
                  <c:v>0.31032683405932138</c:v>
                </c:pt>
                <c:pt idx="3">
                  <c:v>0.45928371440779564</c:v>
                </c:pt>
                <c:pt idx="4">
                  <c:v>0.75719747510474411</c:v>
                </c:pt>
                <c:pt idx="5">
                  <c:v>1.0302850890769468</c:v>
                </c:pt>
                <c:pt idx="6">
                  <c:v>1.6633518305579627</c:v>
                </c:pt>
                <c:pt idx="7">
                  <c:v>2.3833100855755882</c:v>
                </c:pt>
              </c:numCache>
            </c:numRef>
          </c:val>
          <c:smooth val="0"/>
          <c:extLst>
            <c:ext xmlns:c16="http://schemas.microsoft.com/office/drawing/2014/chart" uri="{C3380CC4-5D6E-409C-BE32-E72D297353CC}">
              <c16:uniqueId val="{00000003-1010-4C53-8931-E0B5F324B5AA}"/>
            </c:ext>
          </c:extLst>
        </c:ser>
        <c:dLbls>
          <c:showLegendKey val="0"/>
          <c:showVal val="0"/>
          <c:showCatName val="0"/>
          <c:showSerName val="0"/>
          <c:showPercent val="0"/>
          <c:showBubbleSize val="0"/>
        </c:dLbls>
        <c:smooth val="0"/>
        <c:axId val="591285984"/>
        <c:axId val="591286312"/>
      </c:lineChart>
      <c:catAx>
        <c:axId val="591285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286312"/>
        <c:crosses val="autoZero"/>
        <c:auto val="1"/>
        <c:lblAlgn val="ctr"/>
        <c:lblOffset val="100"/>
        <c:noMultiLvlLbl val="0"/>
      </c:catAx>
      <c:valAx>
        <c:axId val="591286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28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uptake'!$AD$3</c:f>
              <c:strCache>
                <c:ptCount val="1"/>
                <c:pt idx="0">
                  <c:v> Linearized Logistic</c:v>
                </c:pt>
              </c:strCache>
            </c:strRef>
          </c:tx>
          <c:spPr>
            <a:ln w="44450" cap="rnd">
              <a:solidFill>
                <a:schemeClr val="tx1"/>
              </a:solidFill>
              <a:round/>
            </a:ln>
            <a:effectLst/>
          </c:spPr>
          <c:marker>
            <c:symbol val="none"/>
          </c:marker>
          <c:cat>
            <c:numRef>
              <c:f>'Sweden EV uptake'!$A$7:$A$13</c:f>
              <c:numCache>
                <c:formatCode>General</c:formatCode>
                <c:ptCount val="7"/>
                <c:pt idx="0">
                  <c:v>2012</c:v>
                </c:pt>
                <c:pt idx="1">
                  <c:v>2013</c:v>
                </c:pt>
                <c:pt idx="2">
                  <c:v>2014</c:v>
                </c:pt>
                <c:pt idx="3">
                  <c:v>2015</c:v>
                </c:pt>
                <c:pt idx="4">
                  <c:v>2016</c:v>
                </c:pt>
                <c:pt idx="5">
                  <c:v>2017</c:v>
                </c:pt>
                <c:pt idx="6">
                  <c:v>2018</c:v>
                </c:pt>
              </c:numCache>
            </c:numRef>
          </c:cat>
          <c:val>
            <c:numRef>
              <c:f>'Sweden EV uptake'!$AD$7:$AD$13</c:f>
              <c:numCache>
                <c:formatCode>General</c:formatCode>
                <c:ptCount val="7"/>
                <c:pt idx="0">
                  <c:v>-5.2423094063011622</c:v>
                </c:pt>
                <c:pt idx="1">
                  <c:v>-4.7149394776920239</c:v>
                </c:pt>
                <c:pt idx="2">
                  <c:v>-3.7198903970651709</c:v>
                </c:pt>
                <c:pt idx="3">
                  <c:v>-3.2113859353012781</c:v>
                </c:pt>
                <c:pt idx="4">
                  <c:v>-2.8493802593225954</c:v>
                </c:pt>
                <c:pt idx="5">
                  <c:v>-2.4459025018727671</c:v>
                </c:pt>
                <c:pt idx="6">
                  <c:v>-1.669296540566207</c:v>
                </c:pt>
              </c:numCache>
            </c:numRef>
          </c:val>
          <c:smooth val="0"/>
          <c:extLst>
            <c:ext xmlns:c16="http://schemas.microsoft.com/office/drawing/2014/chart" uri="{C3380CC4-5D6E-409C-BE32-E72D297353CC}">
              <c16:uniqueId val="{00000000-B68E-4B75-912E-E44150C46C8D}"/>
            </c:ext>
          </c:extLst>
        </c:ser>
        <c:ser>
          <c:idx val="1"/>
          <c:order val="1"/>
          <c:tx>
            <c:strRef>
              <c:f>'Sweden EV uptake'!$AE$3</c:f>
              <c:strCache>
                <c:ptCount val="1"/>
                <c:pt idx="0">
                  <c:v>predicted</c:v>
                </c:pt>
              </c:strCache>
            </c:strRef>
          </c:tx>
          <c:spPr>
            <a:ln w="28575" cap="rnd">
              <a:solidFill>
                <a:schemeClr val="accent2"/>
              </a:solidFill>
              <a:round/>
            </a:ln>
            <a:effectLst/>
          </c:spPr>
          <c:marker>
            <c:symbol val="none"/>
          </c:marker>
          <c:cat>
            <c:numRef>
              <c:f>'Sweden EV uptake'!$A$7:$A$13</c:f>
              <c:numCache>
                <c:formatCode>General</c:formatCode>
                <c:ptCount val="7"/>
                <c:pt idx="0">
                  <c:v>2012</c:v>
                </c:pt>
                <c:pt idx="1">
                  <c:v>2013</c:v>
                </c:pt>
                <c:pt idx="2">
                  <c:v>2014</c:v>
                </c:pt>
                <c:pt idx="3">
                  <c:v>2015</c:v>
                </c:pt>
                <c:pt idx="4">
                  <c:v>2016</c:v>
                </c:pt>
                <c:pt idx="5">
                  <c:v>2017</c:v>
                </c:pt>
                <c:pt idx="6">
                  <c:v>2018</c:v>
                </c:pt>
              </c:numCache>
            </c:numRef>
          </c:cat>
          <c:val>
            <c:numRef>
              <c:f>'Sweden EV uptake'!$AE$7:$AE$13</c:f>
              <c:numCache>
                <c:formatCode>General</c:formatCode>
                <c:ptCount val="7"/>
                <c:pt idx="0">
                  <c:v>-5.1927762279131864</c:v>
                </c:pt>
                <c:pt idx="1">
                  <c:v>-4.7644726560800015</c:v>
                </c:pt>
                <c:pt idx="2">
                  <c:v>-3.69909513114023</c:v>
                </c:pt>
                <c:pt idx="3">
                  <c:v>-3.2707915593070456</c:v>
                </c:pt>
                <c:pt idx="4">
                  <c:v>-2.8424879874738611</c:v>
                </c:pt>
                <c:pt idx="5">
                  <c:v>-2.4141844156406762</c:v>
                </c:pt>
                <c:pt idx="6">
                  <c:v>-1.9858808438074913</c:v>
                </c:pt>
              </c:numCache>
            </c:numRef>
          </c:val>
          <c:smooth val="0"/>
          <c:extLst>
            <c:ext xmlns:c16="http://schemas.microsoft.com/office/drawing/2014/chart" uri="{C3380CC4-5D6E-409C-BE32-E72D297353CC}">
              <c16:uniqueId val="{00000001-B68E-4B75-912E-E44150C46C8D}"/>
            </c:ext>
          </c:extLst>
        </c:ser>
        <c:dLbls>
          <c:showLegendKey val="0"/>
          <c:showVal val="0"/>
          <c:showCatName val="0"/>
          <c:showSerName val="0"/>
          <c:showPercent val="0"/>
          <c:showBubbleSize val="0"/>
        </c:dLbls>
        <c:smooth val="0"/>
        <c:axId val="770097640"/>
        <c:axId val="770096656"/>
      </c:lineChart>
      <c:catAx>
        <c:axId val="77009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96656"/>
        <c:crosses val="autoZero"/>
        <c:auto val="1"/>
        <c:lblAlgn val="ctr"/>
        <c:lblOffset val="100"/>
        <c:noMultiLvlLbl val="0"/>
      </c:catAx>
      <c:valAx>
        <c:axId val="770096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9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uptake'!$B$3</c:f>
              <c:strCache>
                <c:ptCount val="1"/>
                <c:pt idx="0">
                  <c:v> EV %sales</c:v>
                </c:pt>
              </c:strCache>
            </c:strRef>
          </c:tx>
          <c:spPr>
            <a:ln w="44450" cap="rnd">
              <a:solidFill>
                <a:schemeClr val="tx1"/>
              </a:solidFill>
              <a:round/>
            </a:ln>
            <a:effectLst/>
          </c:spPr>
          <c:marker>
            <c:symbol val="none"/>
          </c:marker>
          <c:cat>
            <c:numRef>
              <c:f>'Sweden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'Sweden EV uptake'!$B$4:$B$13</c:f>
              <c:numCache>
                <c:formatCode>0.00</c:formatCode>
                <c:ptCount val="10"/>
                <c:pt idx="0">
                  <c:v>0</c:v>
                </c:pt>
                <c:pt idx="1">
                  <c:v>2.0776126845179765E-2</c:v>
                </c:pt>
                <c:pt idx="2">
                  <c:v>6.0003344448706981E-2</c:v>
                </c:pt>
                <c:pt idx="3">
                  <c:v>0.34191393201021814</c:v>
                </c:pt>
                <c:pt idx="4">
                  <c:v>0.57725411052412889</c:v>
                </c:pt>
                <c:pt idx="5">
                  <c:v>1.5381021628841962</c:v>
                </c:pt>
                <c:pt idx="6">
                  <c:v>2.5180669127746258</c:v>
                </c:pt>
                <c:pt idx="7">
                  <c:v>3.5563684807073526</c:v>
                </c:pt>
                <c:pt idx="8">
                  <c:v>5.1830160282345741</c:v>
                </c:pt>
                <c:pt idx="9">
                  <c:v>10.303669401081681</c:v>
                </c:pt>
              </c:numCache>
            </c:numRef>
          </c:val>
          <c:smooth val="0"/>
          <c:extLst>
            <c:ext xmlns:c16="http://schemas.microsoft.com/office/drawing/2014/chart" uri="{C3380CC4-5D6E-409C-BE32-E72D297353CC}">
              <c16:uniqueId val="{00000000-01F9-460C-9255-CEB57AB3EEBC}"/>
            </c:ext>
          </c:extLst>
        </c:ser>
        <c:ser>
          <c:idx val="1"/>
          <c:order val="1"/>
          <c:tx>
            <c:strRef>
              <c:f>'Sweden EV uptake'!$AB$3</c:f>
              <c:strCache>
                <c:ptCount val="1"/>
                <c:pt idx="0">
                  <c:v>predicted raw</c:v>
                </c:pt>
              </c:strCache>
            </c:strRef>
          </c:tx>
          <c:spPr>
            <a:ln w="28575" cap="rnd">
              <a:solidFill>
                <a:schemeClr val="accent2"/>
              </a:solidFill>
              <a:round/>
            </a:ln>
            <a:effectLst/>
          </c:spPr>
          <c:marker>
            <c:symbol val="none"/>
          </c:marker>
          <c:cat>
            <c:numRef>
              <c:f>'Sweden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'Sweden EV uptake'!$AB$4:$AB$13</c:f>
              <c:numCache>
                <c:formatCode>0.00</c:formatCode>
                <c:ptCount val="10"/>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numCache>
            </c:numRef>
          </c:val>
          <c:smooth val="0"/>
          <c:extLst>
            <c:ext xmlns:c16="http://schemas.microsoft.com/office/drawing/2014/chart" uri="{C3380CC4-5D6E-409C-BE32-E72D297353CC}">
              <c16:uniqueId val="{00000001-01F9-460C-9255-CEB57AB3EEBC}"/>
            </c:ext>
          </c:extLst>
        </c:ser>
        <c:dLbls>
          <c:showLegendKey val="0"/>
          <c:showVal val="0"/>
          <c:showCatName val="0"/>
          <c:showSerName val="0"/>
          <c:showPercent val="0"/>
          <c:showBubbleSize val="0"/>
        </c:dLbls>
        <c:smooth val="0"/>
        <c:axId val="922996320"/>
        <c:axId val="922992712"/>
      </c:lineChart>
      <c:catAx>
        <c:axId val="92299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92712"/>
        <c:crosses val="autoZero"/>
        <c:auto val="1"/>
        <c:lblAlgn val="ctr"/>
        <c:lblOffset val="100"/>
        <c:noMultiLvlLbl val="0"/>
      </c:catAx>
      <c:valAx>
        <c:axId val="922992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99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uptake'!$S$3</c:f>
              <c:strCache>
                <c:ptCount val="1"/>
                <c:pt idx="0">
                  <c:v>High</c:v>
                </c:pt>
              </c:strCache>
            </c:strRef>
          </c:tx>
          <c:spPr>
            <a:ln w="28575" cap="rnd">
              <a:solidFill>
                <a:schemeClr val="accent1"/>
              </a:solidFill>
              <a:round/>
            </a:ln>
            <a:effectLst/>
          </c:spPr>
          <c:marker>
            <c:symbol val="none"/>
          </c:marker>
          <c:cat>
            <c:numRef>
              <c:f>'Sweden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uptake'!$S$4:$S$25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10.639099937640326</c:v>
                </c:pt>
                <c:pt idx="10" formatCode="0.00">
                  <c:v>15.445310605225387</c:v>
                </c:pt>
                <c:pt idx="11" formatCode="0.00">
                  <c:v>19.567836747454667</c:v>
                </c:pt>
                <c:pt idx="12" formatCode="0.00">
                  <c:v>24.169761690491953</c:v>
                </c:pt>
                <c:pt idx="13" formatCode="0.00">
                  <c:v>28.742640505145989</c:v>
                </c:pt>
                <c:pt idx="14" formatCode="0.00">
                  <c:v>33.349137340673629</c:v>
                </c:pt>
                <c:pt idx="15" formatCode="0.00">
                  <c:v>38.063063276792718</c:v>
                </c:pt>
                <c:pt idx="16" formatCode="0.00">
                  <c:v>42.72317592726246</c:v>
                </c:pt>
                <c:pt idx="17" formatCode="0.00">
                  <c:v>47.133571640402167</c:v>
                </c:pt>
                <c:pt idx="18" formatCode="0.00">
                  <c:v>51.207148793849342</c:v>
                </c:pt>
                <c:pt idx="19" formatCode="0.00">
                  <c:v>54.723992943174331</c:v>
                </c:pt>
                <c:pt idx="20" formatCode="0.00">
                  <c:v>57.606785441361332</c:v>
                </c:pt>
                <c:pt idx="21" formatCode="0.00">
                  <c:v>59.841699947058615</c:v>
                </c:pt>
              </c:numCache>
            </c:numRef>
          </c:val>
          <c:smooth val="0"/>
          <c:extLst>
            <c:ext xmlns:c16="http://schemas.microsoft.com/office/drawing/2014/chart" uri="{C3380CC4-5D6E-409C-BE32-E72D297353CC}">
              <c16:uniqueId val="{00000000-A1FD-4EC3-A6A4-08E2C554162A}"/>
            </c:ext>
          </c:extLst>
        </c:ser>
        <c:ser>
          <c:idx val="1"/>
          <c:order val="1"/>
          <c:tx>
            <c:strRef>
              <c:f>'Sweden EV uptake'!$T$3</c:f>
              <c:strCache>
                <c:ptCount val="1"/>
                <c:pt idx="0">
                  <c:v>Medium</c:v>
                </c:pt>
              </c:strCache>
            </c:strRef>
          </c:tx>
          <c:spPr>
            <a:ln w="28575" cap="rnd">
              <a:solidFill>
                <a:schemeClr val="accent2"/>
              </a:solidFill>
              <a:round/>
            </a:ln>
            <a:effectLst/>
          </c:spPr>
          <c:marker>
            <c:symbol val="none"/>
          </c:marker>
          <c:cat>
            <c:numRef>
              <c:f>'Sweden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uptake'!$T$4:$T$25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9.2732106911149987</c:v>
                </c:pt>
                <c:pt idx="10" formatCode="0.00">
                  <c:v>13.009676331884179</c:v>
                </c:pt>
                <c:pt idx="11" formatCode="0.00">
                  <c:v>16.547495299341858</c:v>
                </c:pt>
                <c:pt idx="12" formatCode="0.00">
                  <c:v>20.364141676569183</c:v>
                </c:pt>
                <c:pt idx="13" formatCode="0.00">
                  <c:v>24.501361537391915</c:v>
                </c:pt>
                <c:pt idx="14" formatCode="0.00">
                  <c:v>28.890772537291301</c:v>
                </c:pt>
                <c:pt idx="15" formatCode="0.00">
                  <c:v>33.551690175248289</c:v>
                </c:pt>
                <c:pt idx="16" formatCode="0.00">
                  <c:v>38.357748742352179</c:v>
                </c:pt>
                <c:pt idx="17" formatCode="0.00">
                  <c:v>43.071236332996399</c:v>
                </c:pt>
                <c:pt idx="18" formatCode="0.00">
                  <c:v>47.582553312925562</c:v>
                </c:pt>
                <c:pt idx="19" formatCode="0.00">
                  <c:v>51.766622414112668</c:v>
                </c:pt>
                <c:pt idx="20" formatCode="0.00">
                  <c:v>55.284613937014441</c:v>
                </c:pt>
                <c:pt idx="21" formatCode="0.00">
                  <c:v>57.956761195220921</c:v>
                </c:pt>
              </c:numCache>
            </c:numRef>
          </c:val>
          <c:smooth val="0"/>
          <c:extLst>
            <c:ext xmlns:c16="http://schemas.microsoft.com/office/drawing/2014/chart" uri="{C3380CC4-5D6E-409C-BE32-E72D297353CC}">
              <c16:uniqueId val="{00000001-A1FD-4EC3-A6A4-08E2C554162A}"/>
            </c:ext>
          </c:extLst>
        </c:ser>
        <c:ser>
          <c:idx val="2"/>
          <c:order val="2"/>
          <c:tx>
            <c:strRef>
              <c:f>'Sweden EV uptake'!$U$3</c:f>
              <c:strCache>
                <c:ptCount val="1"/>
                <c:pt idx="0">
                  <c:v>Low</c:v>
                </c:pt>
              </c:strCache>
            </c:strRef>
          </c:tx>
          <c:spPr>
            <a:ln w="28575" cap="rnd">
              <a:solidFill>
                <a:schemeClr val="accent3"/>
              </a:solidFill>
              <a:round/>
            </a:ln>
            <a:effectLst/>
          </c:spPr>
          <c:marker>
            <c:symbol val="none"/>
          </c:marker>
          <c:cat>
            <c:numRef>
              <c:f>'Sweden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uptake'!$U$4:$U$25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8.8370372746913777</c:v>
                </c:pt>
                <c:pt idx="10" formatCode="0.00">
                  <c:v>12.175545234957925</c:v>
                </c:pt>
                <c:pt idx="11" formatCode="0.00">
                  <c:v>15.410730710587758</c:v>
                </c:pt>
                <c:pt idx="12" formatCode="0.00">
                  <c:v>19.072585387394675</c:v>
                </c:pt>
                <c:pt idx="13" formatCode="0.00">
                  <c:v>23.02101996894552</c:v>
                </c:pt>
                <c:pt idx="14" formatCode="0.00">
                  <c:v>27.321851993069025</c:v>
                </c:pt>
                <c:pt idx="15" formatCode="0.00">
                  <c:v>31.874039661311965</c:v>
                </c:pt>
                <c:pt idx="16" formatCode="0.00">
                  <c:v>36.581475418863256</c:v>
                </c:pt>
                <c:pt idx="17" formatCode="0.00">
                  <c:v>41.23955530198829</c:v>
                </c:pt>
                <c:pt idx="18" formatCode="0.00">
                  <c:v>45.768733461264894</c:v>
                </c:pt>
                <c:pt idx="19" formatCode="0.00">
                  <c:v>49.997162458984</c:v>
                </c:pt>
                <c:pt idx="20" formatCode="0.00">
                  <c:v>53.613178572017077</c:v>
                </c:pt>
                <c:pt idx="21" formatCode="0.00">
                  <c:v>56.487350807899752</c:v>
                </c:pt>
              </c:numCache>
            </c:numRef>
          </c:val>
          <c:smooth val="0"/>
          <c:extLst>
            <c:ext xmlns:c16="http://schemas.microsoft.com/office/drawing/2014/chart" uri="{C3380CC4-5D6E-409C-BE32-E72D297353CC}">
              <c16:uniqueId val="{00000002-A1FD-4EC3-A6A4-08E2C554162A}"/>
            </c:ext>
          </c:extLst>
        </c:ser>
        <c:dLbls>
          <c:showLegendKey val="0"/>
          <c:showVal val="0"/>
          <c:showCatName val="0"/>
          <c:showSerName val="0"/>
          <c:showPercent val="0"/>
          <c:showBubbleSize val="0"/>
        </c:dLbls>
        <c:smooth val="0"/>
        <c:axId val="889462648"/>
        <c:axId val="889459696"/>
      </c:lineChart>
      <c:catAx>
        <c:axId val="889462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59696"/>
        <c:crosses val="autoZero"/>
        <c:auto val="1"/>
        <c:lblAlgn val="ctr"/>
        <c:lblOffset val="100"/>
        <c:noMultiLvlLbl val="0"/>
      </c:catAx>
      <c:valAx>
        <c:axId val="88945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462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uptake'!$X$3</c:f>
              <c:strCache>
                <c:ptCount val="1"/>
                <c:pt idx="0">
                  <c:v>High</c:v>
                </c:pt>
              </c:strCache>
            </c:strRef>
          </c:tx>
          <c:spPr>
            <a:ln w="28575" cap="rnd">
              <a:solidFill>
                <a:schemeClr val="accent1"/>
              </a:solidFill>
              <a:round/>
            </a:ln>
            <a:effectLst/>
          </c:spPr>
          <c:marker>
            <c:symbol val="none"/>
          </c:marker>
          <c:cat>
            <c:numRef>
              <c:f>'Sweden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uptake'!$X$4:$X$25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8.8370372746913777</c:v>
                </c:pt>
                <c:pt idx="10" formatCode="0.00">
                  <c:v>10.631612770819958</c:v>
                </c:pt>
                <c:pt idx="11" formatCode="0.00">
                  <c:v>12.585913441637127</c:v>
                </c:pt>
                <c:pt idx="12" formatCode="0.00">
                  <c:v>14.440974100768946</c:v>
                </c:pt>
                <c:pt idx="13" formatCode="0.00">
                  <c:v>16.081253878181702</c:v>
                </c:pt>
                <c:pt idx="14" formatCode="0.00">
                  <c:v>17.488074401798965</c:v>
                </c:pt>
                <c:pt idx="15" formatCode="0.00">
                  <c:v>19.017404150899882</c:v>
                </c:pt>
                <c:pt idx="16" formatCode="0.00">
                  <c:v>20.642692905623722</c:v>
                </c:pt>
                <c:pt idx="17" formatCode="0.00">
                  <c:v>22.366036570494035</c:v>
                </c:pt>
                <c:pt idx="18" formatCode="0.00">
                  <c:v>24.183965016408784</c:v>
                </c:pt>
                <c:pt idx="19" formatCode="0.00">
                  <c:v>26.105740036670046</c:v>
                </c:pt>
                <c:pt idx="20" formatCode="0.00">
                  <c:v>27.987723079109138</c:v>
                </c:pt>
                <c:pt idx="21" formatCode="0.00">
                  <c:v>29.808714895158911</c:v>
                </c:pt>
              </c:numCache>
            </c:numRef>
          </c:val>
          <c:smooth val="0"/>
          <c:extLst>
            <c:ext xmlns:c16="http://schemas.microsoft.com/office/drawing/2014/chart" uri="{C3380CC4-5D6E-409C-BE32-E72D297353CC}">
              <c16:uniqueId val="{00000000-8055-49B2-891E-969510CBBD3E}"/>
            </c:ext>
          </c:extLst>
        </c:ser>
        <c:ser>
          <c:idx val="1"/>
          <c:order val="1"/>
          <c:tx>
            <c:strRef>
              <c:f>'Sweden EV uptake'!$Y$3</c:f>
              <c:strCache>
                <c:ptCount val="1"/>
                <c:pt idx="0">
                  <c:v>Medium</c:v>
                </c:pt>
              </c:strCache>
            </c:strRef>
          </c:tx>
          <c:spPr>
            <a:ln w="28575" cap="rnd">
              <a:solidFill>
                <a:schemeClr val="accent2"/>
              </a:solidFill>
              <a:round/>
            </a:ln>
            <a:effectLst/>
          </c:spPr>
          <c:marker>
            <c:symbol val="none"/>
          </c:marker>
          <c:cat>
            <c:numRef>
              <c:f>'Sweden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uptake'!$Y$4:$Y$25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9.2732106911149987</c:v>
                </c:pt>
                <c:pt idx="10" formatCode="0.00">
                  <c:v>13.009676331884179</c:v>
                </c:pt>
                <c:pt idx="11" formatCode="0.00">
                  <c:v>16.547495299341858</c:v>
                </c:pt>
                <c:pt idx="12" formatCode="0.00">
                  <c:v>20.364141676569183</c:v>
                </c:pt>
                <c:pt idx="13" formatCode="0.00">
                  <c:v>24.501361537391915</c:v>
                </c:pt>
                <c:pt idx="14" formatCode="0.00">
                  <c:v>28.890772537291301</c:v>
                </c:pt>
                <c:pt idx="15" formatCode="0.00">
                  <c:v>33.551690175248289</c:v>
                </c:pt>
                <c:pt idx="16" formatCode="0.00">
                  <c:v>38.357748742352179</c:v>
                </c:pt>
                <c:pt idx="17" formatCode="0.00">
                  <c:v>43.071236332996399</c:v>
                </c:pt>
                <c:pt idx="18" formatCode="0.00">
                  <c:v>47.582553312925562</c:v>
                </c:pt>
                <c:pt idx="19" formatCode="0.00">
                  <c:v>51.766622414112668</c:v>
                </c:pt>
                <c:pt idx="20" formatCode="0.00">
                  <c:v>55.284613937014441</c:v>
                </c:pt>
                <c:pt idx="21" formatCode="0.00">
                  <c:v>57.956761195220921</c:v>
                </c:pt>
              </c:numCache>
            </c:numRef>
          </c:val>
          <c:smooth val="0"/>
          <c:extLst>
            <c:ext xmlns:c16="http://schemas.microsoft.com/office/drawing/2014/chart" uri="{C3380CC4-5D6E-409C-BE32-E72D297353CC}">
              <c16:uniqueId val="{00000001-8055-49B2-891E-969510CBBD3E}"/>
            </c:ext>
          </c:extLst>
        </c:ser>
        <c:ser>
          <c:idx val="2"/>
          <c:order val="2"/>
          <c:tx>
            <c:strRef>
              <c:f>'Sweden EV uptake'!$Z$3</c:f>
              <c:strCache>
                <c:ptCount val="1"/>
                <c:pt idx="0">
                  <c:v>Low</c:v>
                </c:pt>
              </c:strCache>
            </c:strRef>
          </c:tx>
          <c:spPr>
            <a:ln w="28575" cap="rnd">
              <a:solidFill>
                <a:schemeClr val="accent3"/>
              </a:solidFill>
              <a:round/>
            </a:ln>
            <a:effectLst/>
          </c:spPr>
          <c:marker>
            <c:symbol val="none"/>
          </c:marker>
          <c:cat>
            <c:numRef>
              <c:f>'Sweden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 EV uptake'!$Z$4:$Z$25</c:f>
              <c:numCache>
                <c:formatCode>General</c:formatCode>
                <c:ptCount val="22"/>
                <c:pt idx="3" formatCode="0.00">
                  <c:v>0.35918053409809425</c:v>
                </c:pt>
                <c:pt idx="4" formatCode="0.00">
                  <c:v>0.54959336127147995</c:v>
                </c:pt>
                <c:pt idx="5" formatCode="0.00">
                  <c:v>1.5696418171502364</c:v>
                </c:pt>
                <c:pt idx="6" formatCode="0.00">
                  <c:v>2.3781495989026036</c:v>
                </c:pt>
                <c:pt idx="7" formatCode="0.00">
                  <c:v>3.5796100720839283</c:v>
                </c:pt>
                <c:pt idx="8" formatCode="0.00">
                  <c:v>5.3363335562542451</c:v>
                </c:pt>
                <c:pt idx="9" formatCode="0.00">
                  <c:v>11.100939348775148</c:v>
                </c:pt>
                <c:pt idx="10" formatCode="0.00">
                  <c:v>17.867305165341072</c:v>
                </c:pt>
                <c:pt idx="11" formatCode="0.00">
                  <c:v>23.574833428454252</c:v>
                </c:pt>
                <c:pt idx="12" formatCode="0.00">
                  <c:v>29.927148460174966</c:v>
                </c:pt>
                <c:pt idx="13" formatCode="0.00">
                  <c:v>36.265003757702509</c:v>
                </c:pt>
                <c:pt idx="14" formatCode="0.00">
                  <c:v>42.311118860900216</c:v>
                </c:pt>
                <c:pt idx="15" formatCode="0.00">
                  <c:v>47.873831925813015</c:v>
                </c:pt>
                <c:pt idx="16" formatCode="0.00">
                  <c:v>52.725179454804241</c:v>
                </c:pt>
                <c:pt idx="17" formatCode="0.00">
                  <c:v>56.680276676965434</c:v>
                </c:pt>
                <c:pt idx="18" formatCode="0.00">
                  <c:v>59.653703839224853</c:v>
                </c:pt>
                <c:pt idx="19" formatCode="0.00">
                  <c:v>61.774126971572322</c:v>
                </c:pt>
                <c:pt idx="20" formatCode="0.00">
                  <c:v>63.140508387451938</c:v>
                </c:pt>
                <c:pt idx="21" formatCode="0.00">
                  <c:v>63.911709123404975</c:v>
                </c:pt>
              </c:numCache>
            </c:numRef>
          </c:val>
          <c:smooth val="0"/>
          <c:extLst>
            <c:ext xmlns:c16="http://schemas.microsoft.com/office/drawing/2014/chart" uri="{C3380CC4-5D6E-409C-BE32-E72D297353CC}">
              <c16:uniqueId val="{00000002-8055-49B2-891E-969510CBBD3E}"/>
            </c:ext>
          </c:extLst>
        </c:ser>
        <c:dLbls>
          <c:showLegendKey val="0"/>
          <c:showVal val="0"/>
          <c:showCatName val="0"/>
          <c:showSerName val="0"/>
          <c:showPercent val="0"/>
          <c:showBubbleSize val="0"/>
        </c:dLbls>
        <c:smooth val="0"/>
        <c:axId val="784978024"/>
        <c:axId val="784973432"/>
      </c:lineChart>
      <c:catAx>
        <c:axId val="78497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973432"/>
        <c:crosses val="autoZero"/>
        <c:auto val="1"/>
        <c:lblAlgn val="ctr"/>
        <c:lblOffset val="100"/>
        <c:noMultiLvlLbl val="0"/>
      </c:catAx>
      <c:valAx>
        <c:axId val="78497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978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uptake'!$B$3</c:f>
              <c:strCache>
                <c:ptCount val="1"/>
                <c:pt idx="0">
                  <c:v> EV %sales</c:v>
                </c:pt>
              </c:strCache>
            </c:strRef>
          </c:tx>
          <c:spPr>
            <a:ln w="47625" cap="rnd">
              <a:solidFill>
                <a:schemeClr val="tx1"/>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uptake'!$B$4:$B$45</c:f>
              <c:numCache>
                <c:formatCode>0.00</c:formatCode>
                <c:ptCount val="42"/>
                <c:pt idx="0">
                  <c:v>0</c:v>
                </c:pt>
                <c:pt idx="1">
                  <c:v>2.0776126845179765E-2</c:v>
                </c:pt>
                <c:pt idx="2">
                  <c:v>6.0003344448706981E-2</c:v>
                </c:pt>
                <c:pt idx="3">
                  <c:v>0.34191393201021814</c:v>
                </c:pt>
                <c:pt idx="4">
                  <c:v>0.57725411052412889</c:v>
                </c:pt>
                <c:pt idx="5">
                  <c:v>1.5381021628841962</c:v>
                </c:pt>
                <c:pt idx="6">
                  <c:v>2.5180669127746258</c:v>
                </c:pt>
                <c:pt idx="7">
                  <c:v>3.5563684807073526</c:v>
                </c:pt>
                <c:pt idx="8">
                  <c:v>5.1830160282345741</c:v>
                </c:pt>
                <c:pt idx="9">
                  <c:v>10.303669401081681</c:v>
                </c:pt>
              </c:numCache>
            </c:numRef>
          </c:val>
          <c:smooth val="0"/>
          <c:extLst>
            <c:ext xmlns:c16="http://schemas.microsoft.com/office/drawing/2014/chart" uri="{C3380CC4-5D6E-409C-BE32-E72D297353CC}">
              <c16:uniqueId val="{00000000-D582-4EB9-B1D4-2A0565121B28}"/>
            </c:ext>
          </c:extLst>
        </c:ser>
        <c:ser>
          <c:idx val="3"/>
          <c:order val="1"/>
          <c:tx>
            <c:strRef>
              <c:f>'Sweden EV uptake'!$AB$3</c:f>
              <c:strCache>
                <c:ptCount val="1"/>
                <c:pt idx="0">
                  <c:v>predicted raw</c:v>
                </c:pt>
              </c:strCache>
            </c:strRef>
          </c:tx>
          <c:spPr>
            <a:ln w="28575" cap="rnd">
              <a:solidFill>
                <a:schemeClr val="accent4"/>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uptake'!$AB$4:$AB$45</c:f>
              <c:numCache>
                <c:formatCode>0.00</c:formatCode>
                <c:ptCount val="42"/>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pt idx="10">
                  <c:v>11.309646896270017</c:v>
                </c:pt>
                <c:pt idx="11">
                  <c:v>15.879185521949198</c:v>
                </c:pt>
                <c:pt idx="12">
                  <c:v>21.553816245209962</c:v>
                </c:pt>
                <c:pt idx="13">
                  <c:v>28.096417491564278</c:v>
                </c:pt>
                <c:pt idx="14">
                  <c:v>35.024008658586574</c:v>
                </c:pt>
                <c:pt idx="15">
                  <c:v>41.728285980140683</c:v>
                </c:pt>
                <c:pt idx="16">
                  <c:v>47.674841827857293</c:v>
                </c:pt>
                <c:pt idx="17">
                  <c:v>52.555064664009244</c:v>
                </c:pt>
                <c:pt idx="18">
                  <c:v>56.311144997869462</c:v>
                </c:pt>
                <c:pt idx="19">
                  <c:v>59.061673622444033</c:v>
                </c:pt>
                <c:pt idx="20">
                  <c:v>61.00329814668018</c:v>
                </c:pt>
                <c:pt idx="21">
                  <c:v>62.338685509486218</c:v>
                </c:pt>
                <c:pt idx="22">
                  <c:v>63.240757360076294</c:v>
                </c:pt>
                <c:pt idx="23">
                  <c:v>63.842741627581553</c:v>
                </c:pt>
                <c:pt idx="24">
                  <c:v>64.241208206836262</c:v>
                </c:pt>
                <c:pt idx="25">
                  <c:v>64.503541890273766</c:v>
                </c:pt>
                <c:pt idx="26">
                  <c:v>64.67563805863881</c:v>
                </c:pt>
                <c:pt idx="27">
                  <c:v>64.788273266841315</c:v>
                </c:pt>
                <c:pt idx="28">
                  <c:v>64.861879245893505</c:v>
                </c:pt>
                <c:pt idx="29">
                  <c:v>64.909931964655115</c:v>
                </c:pt>
                <c:pt idx="30">
                  <c:v>64.941282099830573</c:v>
                </c:pt>
                <c:pt idx="31">
                  <c:v>64.961726574009816</c:v>
                </c:pt>
                <c:pt idx="32">
                  <c:v>64.975055399055407</c:v>
                </c:pt>
                <c:pt idx="33">
                  <c:v>64.983743585997715</c:v>
                </c:pt>
                <c:pt idx="34">
                  <c:v>64.989406176933613</c:v>
                </c:pt>
                <c:pt idx="35">
                  <c:v>64.993096529113629</c:v>
                </c:pt>
                <c:pt idx="36">
                  <c:v>64.995501438215939</c:v>
                </c:pt>
                <c:pt idx="37">
                  <c:v>64.997068605401537</c:v>
                </c:pt>
                <c:pt idx="38">
                  <c:v>64.998089833479213</c:v>
                </c:pt>
                <c:pt idx="39">
                  <c:v>64.998755296824513</c:v>
                </c:pt>
                <c:pt idx="40">
                  <c:v>64.999188929105259</c:v>
                </c:pt>
                <c:pt idx="41">
                  <c:v>64.999471492898607</c:v>
                </c:pt>
              </c:numCache>
            </c:numRef>
          </c:val>
          <c:smooth val="0"/>
          <c:extLst>
            <c:ext xmlns:c16="http://schemas.microsoft.com/office/drawing/2014/chart" uri="{C3380CC4-5D6E-409C-BE32-E72D297353CC}">
              <c16:uniqueId val="{00000003-D582-4EB9-B1D4-2A0565121B28}"/>
            </c:ext>
          </c:extLst>
        </c:ser>
        <c:dLbls>
          <c:showLegendKey val="0"/>
          <c:showVal val="0"/>
          <c:showCatName val="0"/>
          <c:showSerName val="0"/>
          <c:showPercent val="0"/>
          <c:showBubbleSize val="0"/>
        </c:dLbls>
        <c:smooth val="0"/>
        <c:axId val="962921952"/>
        <c:axId val="962922280"/>
      </c:lineChart>
      <c:catAx>
        <c:axId val="96292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2280"/>
        <c:crosses val="autoZero"/>
        <c:auto val="1"/>
        <c:lblAlgn val="ctr"/>
        <c:lblOffset val="100"/>
        <c:noMultiLvlLbl val="0"/>
      </c:catAx>
      <c:valAx>
        <c:axId val="962922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1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uptake'!$B$3</c:f>
              <c:strCache>
                <c:ptCount val="1"/>
                <c:pt idx="0">
                  <c:v> EV %sales</c:v>
                </c:pt>
              </c:strCache>
            </c:strRef>
          </c:tx>
          <c:spPr>
            <a:ln w="47625" cap="rnd">
              <a:solidFill>
                <a:schemeClr val="tx1"/>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uptake'!$B$4:$B$45</c:f>
              <c:numCache>
                <c:formatCode>0.00</c:formatCode>
                <c:ptCount val="42"/>
                <c:pt idx="0">
                  <c:v>0</c:v>
                </c:pt>
                <c:pt idx="1">
                  <c:v>2.0776126845179765E-2</c:v>
                </c:pt>
                <c:pt idx="2">
                  <c:v>6.0003344448706981E-2</c:v>
                </c:pt>
                <c:pt idx="3">
                  <c:v>0.34191393201021814</c:v>
                </c:pt>
                <c:pt idx="4">
                  <c:v>0.57725411052412889</c:v>
                </c:pt>
                <c:pt idx="5">
                  <c:v>1.5381021628841962</c:v>
                </c:pt>
                <c:pt idx="6">
                  <c:v>2.5180669127746258</c:v>
                </c:pt>
                <c:pt idx="7">
                  <c:v>3.5563684807073526</c:v>
                </c:pt>
                <c:pt idx="8">
                  <c:v>5.1830160282345741</c:v>
                </c:pt>
                <c:pt idx="9">
                  <c:v>10.303669401081681</c:v>
                </c:pt>
              </c:numCache>
            </c:numRef>
          </c:val>
          <c:smooth val="0"/>
          <c:extLst>
            <c:ext xmlns:c16="http://schemas.microsoft.com/office/drawing/2014/chart" uri="{C3380CC4-5D6E-409C-BE32-E72D297353CC}">
              <c16:uniqueId val="{00000000-9EE0-4A27-8284-DE76B6962682}"/>
            </c:ext>
          </c:extLst>
        </c:ser>
        <c:ser>
          <c:idx val="2"/>
          <c:order val="1"/>
          <c:tx>
            <c:strRef>
              <c:f>'Sweden EV uptake'!$L$3</c:f>
              <c:strCache>
                <c:ptCount val="1"/>
                <c:pt idx="0">
                  <c:v>Predicted Cost</c:v>
                </c:pt>
              </c:strCache>
            </c:strRef>
          </c:tx>
          <c:spPr>
            <a:ln w="28575" cap="rnd">
              <a:solidFill>
                <a:schemeClr val="accent3"/>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uptake'!$L$4:$L$45</c:f>
              <c:numCache>
                <c:formatCode>0.00</c:formatCode>
                <c:ptCount val="42"/>
                <c:pt idx="3" formatCode="0.000">
                  <c:v>0.54959336127147995</c:v>
                </c:pt>
                <c:pt idx="4" formatCode="0.000">
                  <c:v>1.5696418171502364</c:v>
                </c:pt>
                <c:pt idx="5" formatCode="0.000">
                  <c:v>0.54959336127147995</c:v>
                </c:pt>
                <c:pt idx="6" formatCode="0.000">
                  <c:v>2.3781495989026036</c:v>
                </c:pt>
                <c:pt idx="7" formatCode="0.000">
                  <c:v>3.5796100720839283</c:v>
                </c:pt>
                <c:pt idx="8" formatCode="0.000">
                  <c:v>5.3363335562542451</c:v>
                </c:pt>
                <c:pt idx="9" formatCode="0.000">
                  <c:v>8.7899685165973409</c:v>
                </c:pt>
                <c:pt idx="10" formatCode="0.000">
                  <c:v>13.693330000493413</c:v>
                </c:pt>
                <c:pt idx="11" formatCode="0.000">
                  <c:v>18.24534678755542</c:v>
                </c:pt>
                <c:pt idx="12" formatCode="0.000">
                  <c:v>23.681135211986867</c:v>
                </c:pt>
                <c:pt idx="13" formatCode="0.000">
                  <c:v>30.954174198304326</c:v>
                </c:pt>
                <c:pt idx="14" formatCode="0.000">
                  <c:v>38.289350026716335</c:v>
                </c:pt>
                <c:pt idx="15" formatCode="0.000">
                  <c:v>43.932295527977367</c:v>
                </c:pt>
                <c:pt idx="16" formatCode="0.000">
                  <c:v>50.12534675415332</c:v>
                </c:pt>
                <c:pt idx="17" formatCode="0.000">
                  <c:v>55.588282124333247</c:v>
                </c:pt>
                <c:pt idx="18" formatCode="0.000">
                  <c:v>58.70146523077706</c:v>
                </c:pt>
                <c:pt idx="19" formatCode="0.000">
                  <c:v>60.959000623491512</c:v>
                </c:pt>
                <c:pt idx="20" formatCode="0.000">
                  <c:v>62.545013265284865</c:v>
                </c:pt>
                <c:pt idx="21" formatCode="0.000">
                  <c:v>63.633386918850817</c:v>
                </c:pt>
                <c:pt idx="22" formatCode="0.000">
                  <c:v>64.10077742868134</c:v>
                </c:pt>
                <c:pt idx="23" formatCode="0.000">
                  <c:v>64.410280610034334</c:v>
                </c:pt>
                <c:pt idx="24" formatCode="0.000">
                  <c:v>64.614108133696732</c:v>
                </c:pt>
                <c:pt idx="25" formatCode="0.000">
                  <c:v>64.7478528852605</c:v>
                </c:pt>
                <c:pt idx="26" formatCode="0.000">
                  <c:v>64.835400927171861</c:v>
                </c:pt>
                <c:pt idx="27" formatCode="0.000">
                  <c:v>64.892618630246062</c:v>
                </c:pt>
                <c:pt idx="28" formatCode="0.000">
                  <c:v>64.929975056688875</c:v>
                </c:pt>
                <c:pt idx="29" formatCode="0.000">
                  <c:v>64.954347924709722</c:v>
                </c:pt>
                <c:pt idx="30" formatCode="0.000">
                  <c:v>64.970242767165431</c:v>
                </c:pt>
                <c:pt idx="31" formatCode="0.000">
                  <c:v>64.980605653022039</c:v>
                </c:pt>
                <c:pt idx="32" formatCode="0.000">
                  <c:v>64.987360625863261</c:v>
                </c:pt>
                <c:pt idx="33" formatCode="0.000">
                  <c:v>64.991763267132484</c:v>
                </c:pt>
                <c:pt idx="34" formatCode="0.000">
                  <c:v>64.994632516628783</c:v>
                </c:pt>
                <c:pt idx="35" formatCode="0.000">
                  <c:v>64.996502340606966</c:v>
                </c:pt>
                <c:pt idx="36" formatCode="0.000">
                  <c:v>64.997720820605281</c:v>
                </c:pt>
                <c:pt idx="37" formatCode="0.000">
                  <c:v>64.998514831541826</c:v>
                </c:pt>
                <c:pt idx="38" formatCode="0.000">
                  <c:v>64.999032233786238</c:v>
                </c:pt>
                <c:pt idx="39" formatCode="0.000">
                  <c:v>64.999369386031077</c:v>
                </c:pt>
                <c:pt idx="40" formatCode="0.000">
                  <c:v>64.999589081523567</c:v>
                </c:pt>
                <c:pt idx="41" formatCode="0.000">
                  <c:v>64.999732239155691</c:v>
                </c:pt>
              </c:numCache>
            </c:numRef>
          </c:val>
          <c:smooth val="0"/>
          <c:extLst>
            <c:ext xmlns:c16="http://schemas.microsoft.com/office/drawing/2014/chart" uri="{C3380CC4-5D6E-409C-BE32-E72D297353CC}">
              <c16:uniqueId val="{00000002-9EE0-4A27-8284-DE76B6962682}"/>
            </c:ext>
          </c:extLst>
        </c:ser>
        <c:ser>
          <c:idx val="3"/>
          <c:order val="2"/>
          <c:tx>
            <c:strRef>
              <c:f>'Sweden EV uptake'!$AB$3</c:f>
              <c:strCache>
                <c:ptCount val="1"/>
                <c:pt idx="0">
                  <c:v>predicted raw</c:v>
                </c:pt>
              </c:strCache>
            </c:strRef>
          </c:tx>
          <c:spPr>
            <a:ln w="28575" cap="rnd">
              <a:solidFill>
                <a:schemeClr val="accent4"/>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uptake'!$AB$4:$AB$45</c:f>
              <c:numCache>
                <c:formatCode>0.00</c:formatCode>
                <c:ptCount val="42"/>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pt idx="10">
                  <c:v>11.309646896270017</c:v>
                </c:pt>
                <c:pt idx="11">
                  <c:v>15.879185521949198</c:v>
                </c:pt>
                <c:pt idx="12">
                  <c:v>21.553816245209962</c:v>
                </c:pt>
                <c:pt idx="13">
                  <c:v>28.096417491564278</c:v>
                </c:pt>
                <c:pt idx="14">
                  <c:v>35.024008658586574</c:v>
                </c:pt>
                <c:pt idx="15">
                  <c:v>41.728285980140683</c:v>
                </c:pt>
                <c:pt idx="16">
                  <c:v>47.674841827857293</c:v>
                </c:pt>
                <c:pt idx="17">
                  <c:v>52.555064664009244</c:v>
                </c:pt>
                <c:pt idx="18">
                  <c:v>56.311144997869462</c:v>
                </c:pt>
                <c:pt idx="19">
                  <c:v>59.061673622444033</c:v>
                </c:pt>
                <c:pt idx="20">
                  <c:v>61.00329814668018</c:v>
                </c:pt>
                <c:pt idx="21">
                  <c:v>62.338685509486218</c:v>
                </c:pt>
                <c:pt idx="22">
                  <c:v>63.240757360076294</c:v>
                </c:pt>
                <c:pt idx="23">
                  <c:v>63.842741627581553</c:v>
                </c:pt>
                <c:pt idx="24">
                  <c:v>64.241208206836262</c:v>
                </c:pt>
                <c:pt idx="25">
                  <c:v>64.503541890273766</c:v>
                </c:pt>
                <c:pt idx="26">
                  <c:v>64.67563805863881</c:v>
                </c:pt>
                <c:pt idx="27">
                  <c:v>64.788273266841315</c:v>
                </c:pt>
                <c:pt idx="28">
                  <c:v>64.861879245893505</c:v>
                </c:pt>
                <c:pt idx="29">
                  <c:v>64.909931964655115</c:v>
                </c:pt>
                <c:pt idx="30">
                  <c:v>64.941282099830573</c:v>
                </c:pt>
                <c:pt idx="31">
                  <c:v>64.961726574009816</c:v>
                </c:pt>
                <c:pt idx="32">
                  <c:v>64.975055399055407</c:v>
                </c:pt>
                <c:pt idx="33">
                  <c:v>64.983743585997715</c:v>
                </c:pt>
                <c:pt idx="34">
                  <c:v>64.989406176933613</c:v>
                </c:pt>
                <c:pt idx="35">
                  <c:v>64.993096529113629</c:v>
                </c:pt>
                <c:pt idx="36">
                  <c:v>64.995501438215939</c:v>
                </c:pt>
                <c:pt idx="37">
                  <c:v>64.997068605401537</c:v>
                </c:pt>
                <c:pt idx="38">
                  <c:v>64.998089833479213</c:v>
                </c:pt>
                <c:pt idx="39">
                  <c:v>64.998755296824513</c:v>
                </c:pt>
                <c:pt idx="40">
                  <c:v>64.999188929105259</c:v>
                </c:pt>
                <c:pt idx="41">
                  <c:v>64.999471492898607</c:v>
                </c:pt>
              </c:numCache>
            </c:numRef>
          </c:val>
          <c:smooth val="0"/>
          <c:extLst>
            <c:ext xmlns:c16="http://schemas.microsoft.com/office/drawing/2014/chart" uri="{C3380CC4-5D6E-409C-BE32-E72D297353CC}">
              <c16:uniqueId val="{00000003-9EE0-4A27-8284-DE76B6962682}"/>
            </c:ext>
          </c:extLst>
        </c:ser>
        <c:dLbls>
          <c:showLegendKey val="0"/>
          <c:showVal val="0"/>
          <c:showCatName val="0"/>
          <c:showSerName val="0"/>
          <c:showPercent val="0"/>
          <c:showBubbleSize val="0"/>
        </c:dLbls>
        <c:smooth val="0"/>
        <c:axId val="962921952"/>
        <c:axId val="962922280"/>
      </c:lineChart>
      <c:catAx>
        <c:axId val="96292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2280"/>
        <c:crosses val="autoZero"/>
        <c:auto val="1"/>
        <c:lblAlgn val="ctr"/>
        <c:lblOffset val="100"/>
        <c:noMultiLvlLbl val="0"/>
      </c:catAx>
      <c:valAx>
        <c:axId val="962922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1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 EV uptake'!$B$3</c:f>
              <c:strCache>
                <c:ptCount val="1"/>
                <c:pt idx="0">
                  <c:v> EV %sales</c:v>
                </c:pt>
              </c:strCache>
            </c:strRef>
          </c:tx>
          <c:spPr>
            <a:ln w="47625" cap="rnd">
              <a:solidFill>
                <a:schemeClr val="tx1"/>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uptake'!$B$4:$B$45</c:f>
              <c:numCache>
                <c:formatCode>0.00</c:formatCode>
                <c:ptCount val="42"/>
                <c:pt idx="0">
                  <c:v>0</c:v>
                </c:pt>
                <c:pt idx="1">
                  <c:v>2.0776126845179765E-2</c:v>
                </c:pt>
                <c:pt idx="2">
                  <c:v>6.0003344448706981E-2</c:v>
                </c:pt>
                <c:pt idx="3">
                  <c:v>0.34191393201021814</c:v>
                </c:pt>
                <c:pt idx="4">
                  <c:v>0.57725411052412889</c:v>
                </c:pt>
                <c:pt idx="5">
                  <c:v>1.5381021628841962</c:v>
                </c:pt>
                <c:pt idx="6">
                  <c:v>2.5180669127746258</c:v>
                </c:pt>
                <c:pt idx="7">
                  <c:v>3.5563684807073526</c:v>
                </c:pt>
                <c:pt idx="8">
                  <c:v>5.1830160282345741</c:v>
                </c:pt>
                <c:pt idx="9">
                  <c:v>10.303669401081681</c:v>
                </c:pt>
              </c:numCache>
            </c:numRef>
          </c:val>
          <c:smooth val="0"/>
          <c:extLst>
            <c:ext xmlns:c16="http://schemas.microsoft.com/office/drawing/2014/chart" uri="{C3380CC4-5D6E-409C-BE32-E72D297353CC}">
              <c16:uniqueId val="{00000000-83BD-4740-A5D1-495B863F2AF6}"/>
            </c:ext>
          </c:extLst>
        </c:ser>
        <c:ser>
          <c:idx val="1"/>
          <c:order val="1"/>
          <c:tx>
            <c:strRef>
              <c:f>'Sweden EV uptake'!$C$3</c:f>
              <c:strCache>
                <c:ptCount val="1"/>
                <c:pt idx="0">
                  <c:v>Predicted Cost Lagged</c:v>
                </c:pt>
              </c:strCache>
            </c:strRef>
          </c:tx>
          <c:spPr>
            <a:ln w="28575" cap="rnd">
              <a:solidFill>
                <a:schemeClr val="accent2"/>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uptake'!$C$4:$C$45</c:f>
              <c:numCache>
                <c:formatCode>0.00</c:formatCode>
                <c:ptCount val="42"/>
                <c:pt idx="3">
                  <c:v>0.35918053409809425</c:v>
                </c:pt>
                <c:pt idx="4">
                  <c:v>0.54959336127147995</c:v>
                </c:pt>
                <c:pt idx="5">
                  <c:v>1.5696418171502364</c:v>
                </c:pt>
                <c:pt idx="6">
                  <c:v>2.3781495989026036</c:v>
                </c:pt>
                <c:pt idx="7">
                  <c:v>3.5796100720839283</c:v>
                </c:pt>
                <c:pt idx="8">
                  <c:v>5.3363335562542451</c:v>
                </c:pt>
                <c:pt idx="9">
                  <c:v>9.2732106911149987</c:v>
                </c:pt>
                <c:pt idx="10">
                  <c:v>13.009676331884179</c:v>
                </c:pt>
                <c:pt idx="11">
                  <c:v>16.547495299341858</c:v>
                </c:pt>
                <c:pt idx="12">
                  <c:v>20.364141676569183</c:v>
                </c:pt>
                <c:pt idx="13">
                  <c:v>24.501361537391915</c:v>
                </c:pt>
                <c:pt idx="14">
                  <c:v>28.890772537291301</c:v>
                </c:pt>
                <c:pt idx="15">
                  <c:v>33.551690175248289</c:v>
                </c:pt>
                <c:pt idx="16">
                  <c:v>38.357748742352179</c:v>
                </c:pt>
                <c:pt idx="17">
                  <c:v>43.071236332996399</c:v>
                </c:pt>
                <c:pt idx="18">
                  <c:v>47.582553312925562</c:v>
                </c:pt>
                <c:pt idx="19">
                  <c:v>51.766622414112668</c:v>
                </c:pt>
                <c:pt idx="20">
                  <c:v>55.284613937014441</c:v>
                </c:pt>
                <c:pt idx="21">
                  <c:v>57.956761195220921</c:v>
                </c:pt>
                <c:pt idx="22">
                  <c:v>60.056078419948754</c:v>
                </c:pt>
                <c:pt idx="23">
                  <c:v>61.612702797981477</c:v>
                </c:pt>
                <c:pt idx="24">
                  <c:v>62.683968672407914</c:v>
                </c:pt>
                <c:pt idx="25">
                  <c:v>63.339454393893071</c:v>
                </c:pt>
                <c:pt idx="26">
                  <c:v>63.812202712996964</c:v>
                </c:pt>
                <c:pt idx="27">
                  <c:v>64.15119395269214</c:v>
                </c:pt>
                <c:pt idx="28">
                  <c:v>64.393431774741117</c:v>
                </c:pt>
                <c:pt idx="29">
                  <c:v>64.566268969835548</c:v>
                </c:pt>
                <c:pt idx="30">
                  <c:v>64.689552897893151</c:v>
                </c:pt>
                <c:pt idx="31">
                  <c:v>64.777542227510679</c:v>
                </c:pt>
                <c:pt idx="32">
                  <c:v>64.840417172877181</c:v>
                </c:pt>
                <c:pt idx="33">
                  <c:v>64.885419993386549</c:v>
                </c:pt>
                <c:pt idx="34">
                  <c:v>64.917693804690941</c:v>
                </c:pt>
                <c:pt idx="35">
                  <c:v>64.940889263029618</c:v>
                </c:pt>
                <c:pt idx="36">
                  <c:v>64.957554080232526</c:v>
                </c:pt>
                <c:pt idx="37">
                  <c:v>64.969523889416351</c:v>
                </c:pt>
                <c:pt idx="38">
                  <c:v>64.978119853143511</c:v>
                </c:pt>
                <c:pt idx="39">
                  <c:v>64.984292126982268</c:v>
                </c:pt>
                <c:pt idx="40">
                  <c:v>64.988705304016904</c:v>
                </c:pt>
                <c:pt idx="41">
                  <c:v>64.991833180184727</c:v>
                </c:pt>
              </c:numCache>
            </c:numRef>
          </c:val>
          <c:smooth val="0"/>
          <c:extLst>
            <c:ext xmlns:c16="http://schemas.microsoft.com/office/drawing/2014/chart" uri="{C3380CC4-5D6E-409C-BE32-E72D297353CC}">
              <c16:uniqueId val="{00000001-83BD-4740-A5D1-495B863F2AF6}"/>
            </c:ext>
          </c:extLst>
        </c:ser>
        <c:ser>
          <c:idx val="2"/>
          <c:order val="2"/>
          <c:tx>
            <c:strRef>
              <c:f>'Sweden EV uptake'!$L$3</c:f>
              <c:strCache>
                <c:ptCount val="1"/>
                <c:pt idx="0">
                  <c:v>Predicted Cost</c:v>
                </c:pt>
              </c:strCache>
            </c:strRef>
          </c:tx>
          <c:spPr>
            <a:ln w="28575" cap="rnd">
              <a:solidFill>
                <a:schemeClr val="accent3"/>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uptake'!$L$4:$L$45</c:f>
              <c:numCache>
                <c:formatCode>0.00</c:formatCode>
                <c:ptCount val="42"/>
                <c:pt idx="3" formatCode="0.000">
                  <c:v>0.54959336127147995</c:v>
                </c:pt>
                <c:pt idx="4" formatCode="0.000">
                  <c:v>1.5696418171502364</c:v>
                </c:pt>
                <c:pt idx="5" formatCode="0.000">
                  <c:v>0.54959336127147995</c:v>
                </c:pt>
                <c:pt idx="6" formatCode="0.000">
                  <c:v>2.3781495989026036</c:v>
                </c:pt>
                <c:pt idx="7" formatCode="0.000">
                  <c:v>3.5796100720839283</c:v>
                </c:pt>
                <c:pt idx="8" formatCode="0.000">
                  <c:v>5.3363335562542451</c:v>
                </c:pt>
                <c:pt idx="9" formatCode="0.000">
                  <c:v>8.7899685165973409</c:v>
                </c:pt>
                <c:pt idx="10" formatCode="0.000">
                  <c:v>13.693330000493413</c:v>
                </c:pt>
                <c:pt idx="11" formatCode="0.000">
                  <c:v>18.24534678755542</c:v>
                </c:pt>
                <c:pt idx="12" formatCode="0.000">
                  <c:v>23.681135211986867</c:v>
                </c:pt>
                <c:pt idx="13" formatCode="0.000">
                  <c:v>30.954174198304326</c:v>
                </c:pt>
                <c:pt idx="14" formatCode="0.000">
                  <c:v>38.289350026716335</c:v>
                </c:pt>
                <c:pt idx="15" formatCode="0.000">
                  <c:v>43.932295527977367</c:v>
                </c:pt>
                <c:pt idx="16" formatCode="0.000">
                  <c:v>50.12534675415332</c:v>
                </c:pt>
                <c:pt idx="17" formatCode="0.000">
                  <c:v>55.588282124333247</c:v>
                </c:pt>
                <c:pt idx="18" formatCode="0.000">
                  <c:v>58.70146523077706</c:v>
                </c:pt>
                <c:pt idx="19" formatCode="0.000">
                  <c:v>60.959000623491512</c:v>
                </c:pt>
                <c:pt idx="20" formatCode="0.000">
                  <c:v>62.545013265284865</c:v>
                </c:pt>
                <c:pt idx="21" formatCode="0.000">
                  <c:v>63.633386918850817</c:v>
                </c:pt>
                <c:pt idx="22" formatCode="0.000">
                  <c:v>64.10077742868134</c:v>
                </c:pt>
                <c:pt idx="23" formatCode="0.000">
                  <c:v>64.410280610034334</c:v>
                </c:pt>
                <c:pt idx="24" formatCode="0.000">
                  <c:v>64.614108133696732</c:v>
                </c:pt>
                <c:pt idx="25" formatCode="0.000">
                  <c:v>64.7478528852605</c:v>
                </c:pt>
                <c:pt idx="26" formatCode="0.000">
                  <c:v>64.835400927171861</c:v>
                </c:pt>
                <c:pt idx="27" formatCode="0.000">
                  <c:v>64.892618630246062</c:v>
                </c:pt>
                <c:pt idx="28" formatCode="0.000">
                  <c:v>64.929975056688875</c:v>
                </c:pt>
                <c:pt idx="29" formatCode="0.000">
                  <c:v>64.954347924709722</c:v>
                </c:pt>
                <c:pt idx="30" formatCode="0.000">
                  <c:v>64.970242767165431</c:v>
                </c:pt>
                <c:pt idx="31" formatCode="0.000">
                  <c:v>64.980605653022039</c:v>
                </c:pt>
                <c:pt idx="32" formatCode="0.000">
                  <c:v>64.987360625863261</c:v>
                </c:pt>
                <c:pt idx="33" formatCode="0.000">
                  <c:v>64.991763267132484</c:v>
                </c:pt>
                <c:pt idx="34" formatCode="0.000">
                  <c:v>64.994632516628783</c:v>
                </c:pt>
                <c:pt idx="35" formatCode="0.000">
                  <c:v>64.996502340606966</c:v>
                </c:pt>
                <c:pt idx="36" formatCode="0.000">
                  <c:v>64.997720820605281</c:v>
                </c:pt>
                <c:pt idx="37" formatCode="0.000">
                  <c:v>64.998514831541826</c:v>
                </c:pt>
                <c:pt idx="38" formatCode="0.000">
                  <c:v>64.999032233786238</c:v>
                </c:pt>
                <c:pt idx="39" formatCode="0.000">
                  <c:v>64.999369386031077</c:v>
                </c:pt>
                <c:pt idx="40" formatCode="0.000">
                  <c:v>64.999589081523567</c:v>
                </c:pt>
                <c:pt idx="41" formatCode="0.000">
                  <c:v>64.999732239155691</c:v>
                </c:pt>
              </c:numCache>
            </c:numRef>
          </c:val>
          <c:smooth val="0"/>
          <c:extLst>
            <c:ext xmlns:c16="http://schemas.microsoft.com/office/drawing/2014/chart" uri="{C3380CC4-5D6E-409C-BE32-E72D297353CC}">
              <c16:uniqueId val="{00000002-83BD-4740-A5D1-495B863F2AF6}"/>
            </c:ext>
          </c:extLst>
        </c:ser>
        <c:ser>
          <c:idx val="3"/>
          <c:order val="3"/>
          <c:tx>
            <c:strRef>
              <c:f>'Sweden EV uptake'!$AB$3</c:f>
              <c:strCache>
                <c:ptCount val="1"/>
                <c:pt idx="0">
                  <c:v>predicted raw</c:v>
                </c:pt>
              </c:strCache>
            </c:strRef>
          </c:tx>
          <c:spPr>
            <a:ln w="28575" cap="rnd">
              <a:solidFill>
                <a:schemeClr val="accent4"/>
              </a:solidFill>
              <a:round/>
            </a:ln>
            <a:effectLst/>
          </c:spPr>
          <c:marker>
            <c:symbol val="none"/>
          </c:marker>
          <c:cat>
            <c:numRef>
              <c:f>'Sweden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'Sweden EV uptake'!$AB$4:$AB$45</c:f>
              <c:numCache>
                <c:formatCode>0.00</c:formatCode>
                <c:ptCount val="42"/>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pt idx="10">
                  <c:v>11.309646896270017</c:v>
                </c:pt>
                <c:pt idx="11">
                  <c:v>15.879185521949198</c:v>
                </c:pt>
                <c:pt idx="12">
                  <c:v>21.553816245209962</c:v>
                </c:pt>
                <c:pt idx="13">
                  <c:v>28.096417491564278</c:v>
                </c:pt>
                <c:pt idx="14">
                  <c:v>35.024008658586574</c:v>
                </c:pt>
                <c:pt idx="15">
                  <c:v>41.728285980140683</c:v>
                </c:pt>
                <c:pt idx="16">
                  <c:v>47.674841827857293</c:v>
                </c:pt>
                <c:pt idx="17">
                  <c:v>52.555064664009244</c:v>
                </c:pt>
                <c:pt idx="18">
                  <c:v>56.311144997869462</c:v>
                </c:pt>
                <c:pt idx="19">
                  <c:v>59.061673622444033</c:v>
                </c:pt>
                <c:pt idx="20">
                  <c:v>61.00329814668018</c:v>
                </c:pt>
                <c:pt idx="21">
                  <c:v>62.338685509486218</c:v>
                </c:pt>
                <c:pt idx="22">
                  <c:v>63.240757360076294</c:v>
                </c:pt>
                <c:pt idx="23">
                  <c:v>63.842741627581553</c:v>
                </c:pt>
                <c:pt idx="24">
                  <c:v>64.241208206836262</c:v>
                </c:pt>
                <c:pt idx="25">
                  <c:v>64.503541890273766</c:v>
                </c:pt>
                <c:pt idx="26">
                  <c:v>64.67563805863881</c:v>
                </c:pt>
                <c:pt idx="27">
                  <c:v>64.788273266841315</c:v>
                </c:pt>
                <c:pt idx="28">
                  <c:v>64.861879245893505</c:v>
                </c:pt>
                <c:pt idx="29">
                  <c:v>64.909931964655115</c:v>
                </c:pt>
                <c:pt idx="30">
                  <c:v>64.941282099830573</c:v>
                </c:pt>
                <c:pt idx="31">
                  <c:v>64.961726574009816</c:v>
                </c:pt>
                <c:pt idx="32">
                  <c:v>64.975055399055407</c:v>
                </c:pt>
                <c:pt idx="33">
                  <c:v>64.983743585997715</c:v>
                </c:pt>
                <c:pt idx="34">
                  <c:v>64.989406176933613</c:v>
                </c:pt>
                <c:pt idx="35">
                  <c:v>64.993096529113629</c:v>
                </c:pt>
                <c:pt idx="36">
                  <c:v>64.995501438215939</c:v>
                </c:pt>
                <c:pt idx="37">
                  <c:v>64.997068605401537</c:v>
                </c:pt>
                <c:pt idx="38">
                  <c:v>64.998089833479213</c:v>
                </c:pt>
                <c:pt idx="39">
                  <c:v>64.998755296824513</c:v>
                </c:pt>
                <c:pt idx="40">
                  <c:v>64.999188929105259</c:v>
                </c:pt>
                <c:pt idx="41">
                  <c:v>64.999471492898607</c:v>
                </c:pt>
              </c:numCache>
            </c:numRef>
          </c:val>
          <c:smooth val="0"/>
          <c:extLst>
            <c:ext xmlns:c16="http://schemas.microsoft.com/office/drawing/2014/chart" uri="{C3380CC4-5D6E-409C-BE32-E72D297353CC}">
              <c16:uniqueId val="{00000003-83BD-4740-A5D1-495B863F2AF6}"/>
            </c:ext>
          </c:extLst>
        </c:ser>
        <c:dLbls>
          <c:showLegendKey val="0"/>
          <c:showVal val="0"/>
          <c:showCatName val="0"/>
          <c:showSerName val="0"/>
          <c:showPercent val="0"/>
          <c:showBubbleSize val="0"/>
        </c:dLbls>
        <c:smooth val="0"/>
        <c:axId val="962921952"/>
        <c:axId val="962922280"/>
      </c:lineChart>
      <c:catAx>
        <c:axId val="96292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2280"/>
        <c:crosses val="autoZero"/>
        <c:auto val="1"/>
        <c:lblAlgn val="ctr"/>
        <c:lblOffset val="100"/>
        <c:noMultiLvlLbl val="0"/>
      </c:catAx>
      <c:valAx>
        <c:axId val="962922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 </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21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Sweden!$N$2</c:f>
              <c:strCache>
                <c:ptCount val="1"/>
                <c:pt idx="0">
                  <c:v>BEV price</c:v>
                </c:pt>
              </c:strCache>
            </c:strRef>
          </c:tx>
          <c:spPr>
            <a:ln w="60325" cap="rnd">
              <a:solidFill>
                <a:schemeClr val="accent1"/>
              </a:solidFill>
              <a:round/>
            </a:ln>
            <a:effectLst/>
          </c:spPr>
          <c:marker>
            <c:symbol val="none"/>
          </c:marker>
          <c:cat>
            <c:numRef>
              <c:f>Sweden!$M$3:$M$24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Sweden!$N$3:$N$24</c:f>
              <c:numCache>
                <c:formatCode>0</c:formatCode>
                <c:ptCount val="22"/>
                <c:pt idx="0">
                  <c:v>283120.28276710183</c:v>
                </c:pt>
                <c:pt idx="1">
                  <c:v>269860.84898115863</c:v>
                </c:pt>
                <c:pt idx="2">
                  <c:v>243674.76869383975</c:v>
                </c:pt>
                <c:pt idx="3">
                  <c:v>220023.37320749619</c:v>
                </c:pt>
                <c:pt idx="4">
                  <c:v>212552.69581379471</c:v>
                </c:pt>
                <c:pt idx="5">
                  <c:v>246254.9913137728</c:v>
                </c:pt>
                <c:pt idx="6">
                  <c:v>275236.41946580372</c:v>
                </c:pt>
                <c:pt idx="7">
                  <c:v>280378.23884013738</c:v>
                </c:pt>
                <c:pt idx="8">
                  <c:v>280248.22669781226</c:v>
                </c:pt>
                <c:pt idx="9">
                  <c:v>266096.18501142913</c:v>
                </c:pt>
                <c:pt idx="10">
                  <c:v>273304.73434876907</c:v>
                </c:pt>
                <c:pt idx="11">
                  <c:v>272335.22415491357</c:v>
                </c:pt>
                <c:pt idx="12">
                  <c:v>265056.70828620991</c:v>
                </c:pt>
                <c:pt idx="13">
                  <c:v>270669.3380973746</c:v>
                </c:pt>
                <c:pt idx="14">
                  <c:v>268650.23390004929</c:v>
                </c:pt>
                <c:pt idx="15">
                  <c:v>258061.0526895799</c:v>
                </c:pt>
                <c:pt idx="16">
                  <c:v>249087.62836052687</c:v>
                </c:pt>
                <c:pt idx="17">
                  <c:v>244360.13376614882</c:v>
                </c:pt>
                <c:pt idx="18">
                  <c:v>239616.53990233719</c:v>
                </c:pt>
                <c:pt idx="19">
                  <c:v>234151.75557950462</c:v>
                </c:pt>
                <c:pt idx="20">
                  <c:v>229376.80752608649</c:v>
                </c:pt>
                <c:pt idx="21">
                  <c:v>223881.22038411011</c:v>
                </c:pt>
              </c:numCache>
            </c:numRef>
          </c:val>
          <c:smooth val="0"/>
          <c:extLst>
            <c:ext xmlns:c16="http://schemas.microsoft.com/office/drawing/2014/chart" uri="{C3380CC4-5D6E-409C-BE32-E72D297353CC}">
              <c16:uniqueId val="{00000000-6F48-4410-8D9A-9DC235DE5CA4}"/>
            </c:ext>
          </c:extLst>
        </c:ser>
        <c:ser>
          <c:idx val="1"/>
          <c:order val="1"/>
          <c:tx>
            <c:strRef>
              <c:f>Sweden!$O$2</c:f>
              <c:strCache>
                <c:ptCount val="1"/>
                <c:pt idx="0">
                  <c:v>PHEV price</c:v>
                </c:pt>
              </c:strCache>
            </c:strRef>
          </c:tx>
          <c:spPr>
            <a:ln w="15875" cap="rnd">
              <a:solidFill>
                <a:schemeClr val="accent2"/>
              </a:solidFill>
              <a:round/>
            </a:ln>
            <a:effectLst/>
          </c:spPr>
          <c:marker>
            <c:symbol val="none"/>
          </c:marker>
          <c:cat>
            <c:numRef>
              <c:f>Sweden!$M$3:$M$24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Sweden!$O$3:$O$24</c:f>
              <c:numCache>
                <c:formatCode>0</c:formatCode>
                <c:ptCount val="22"/>
                <c:pt idx="0">
                  <c:v>283120.28276710183</c:v>
                </c:pt>
                <c:pt idx="1">
                  <c:v>269860.84898115863</c:v>
                </c:pt>
                <c:pt idx="2">
                  <c:v>243674.76869383975</c:v>
                </c:pt>
                <c:pt idx="3">
                  <c:v>220023.37320749619</c:v>
                </c:pt>
                <c:pt idx="4">
                  <c:v>212552.69581379471</c:v>
                </c:pt>
                <c:pt idx="5">
                  <c:v>246254.9913137728</c:v>
                </c:pt>
                <c:pt idx="6">
                  <c:v>275236.41946580372</c:v>
                </c:pt>
                <c:pt idx="7">
                  <c:v>300736.23884013738</c:v>
                </c:pt>
                <c:pt idx="8">
                  <c:v>300248.22669781226</c:v>
                </c:pt>
                <c:pt idx="9">
                  <c:v>305392.77603215812</c:v>
                </c:pt>
                <c:pt idx="10">
                  <c:v>311910.2859950299</c:v>
                </c:pt>
                <c:pt idx="11">
                  <c:v>310261.88850923214</c:v>
                </c:pt>
                <c:pt idx="12">
                  <c:v>302316.42373401276</c:v>
                </c:pt>
                <c:pt idx="13">
                  <c:v>307273.83308490075</c:v>
                </c:pt>
                <c:pt idx="14">
                  <c:v>304611.03062617773</c:v>
                </c:pt>
                <c:pt idx="15">
                  <c:v>293389.47073273588</c:v>
                </c:pt>
                <c:pt idx="16">
                  <c:v>283794.7882418079</c:v>
                </c:pt>
                <c:pt idx="17">
                  <c:v>278456.96044979262</c:v>
                </c:pt>
                <c:pt idx="18">
                  <c:v>273113.76623463287</c:v>
                </c:pt>
                <c:pt idx="19">
                  <c:v>267059.92566722998</c:v>
                </c:pt>
                <c:pt idx="20">
                  <c:v>261706.28005553473</c:v>
                </c:pt>
                <c:pt idx="21">
                  <c:v>255642.17188175058</c:v>
                </c:pt>
              </c:numCache>
            </c:numRef>
          </c:val>
          <c:smooth val="0"/>
          <c:extLst>
            <c:ext xmlns:c16="http://schemas.microsoft.com/office/drawing/2014/chart" uri="{C3380CC4-5D6E-409C-BE32-E72D297353CC}">
              <c16:uniqueId val="{00000001-6F48-4410-8D9A-9DC235DE5CA4}"/>
            </c:ext>
          </c:extLst>
        </c:ser>
        <c:ser>
          <c:idx val="2"/>
          <c:order val="2"/>
          <c:tx>
            <c:strRef>
              <c:f>Sweden!$P$2</c:f>
              <c:strCache>
                <c:ptCount val="1"/>
                <c:pt idx="0">
                  <c:v>FFV price</c:v>
                </c:pt>
              </c:strCache>
            </c:strRef>
          </c:tx>
          <c:spPr>
            <a:ln w="28575" cap="rnd">
              <a:solidFill>
                <a:schemeClr val="tx1"/>
              </a:solidFill>
              <a:round/>
            </a:ln>
            <a:effectLst/>
          </c:spPr>
          <c:marker>
            <c:symbol val="none"/>
          </c:marker>
          <c:cat>
            <c:numRef>
              <c:f>Sweden!$M$3:$M$24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Sweden!$P$3:$P$24</c:f>
              <c:numCache>
                <c:formatCode>0</c:formatCode>
                <c:ptCount val="22"/>
                <c:pt idx="0">
                  <c:v>220047.32499999998</c:v>
                </c:pt>
                <c:pt idx="1">
                  <c:v>206893.31755222165</c:v>
                </c:pt>
                <c:pt idx="2">
                  <c:v>186817.32266527714</c:v>
                </c:pt>
                <c:pt idx="3">
                  <c:v>194655.82221578571</c:v>
                </c:pt>
                <c:pt idx="4">
                  <c:v>187267.89072954422</c:v>
                </c:pt>
                <c:pt idx="5">
                  <c:v>197041.19387656776</c:v>
                </c:pt>
                <c:pt idx="6">
                  <c:v>242537.45491552469</c:v>
                </c:pt>
                <c:pt idx="7">
                  <c:v>246172.24977743867</c:v>
                </c:pt>
                <c:pt idx="8">
                  <c:v>245523.6404683227</c:v>
                </c:pt>
                <c:pt idx="9">
                  <c:v>244375</c:v>
                </c:pt>
                <c:pt idx="10">
                  <c:v>244375</c:v>
                </c:pt>
                <c:pt idx="11">
                  <c:v>244375</c:v>
                </c:pt>
                <c:pt idx="12">
                  <c:v>244375</c:v>
                </c:pt>
                <c:pt idx="13">
                  <c:v>244375</c:v>
                </c:pt>
                <c:pt idx="14">
                  <c:v>244375</c:v>
                </c:pt>
                <c:pt idx="15">
                  <c:v>244375</c:v>
                </c:pt>
                <c:pt idx="16">
                  <c:v>244375</c:v>
                </c:pt>
                <c:pt idx="17">
                  <c:v>244375</c:v>
                </c:pt>
                <c:pt idx="18">
                  <c:v>244375</c:v>
                </c:pt>
                <c:pt idx="19">
                  <c:v>244375</c:v>
                </c:pt>
                <c:pt idx="20">
                  <c:v>244375</c:v>
                </c:pt>
                <c:pt idx="21">
                  <c:v>244375</c:v>
                </c:pt>
              </c:numCache>
            </c:numRef>
          </c:val>
          <c:smooth val="0"/>
          <c:extLst>
            <c:ext xmlns:c16="http://schemas.microsoft.com/office/drawing/2014/chart" uri="{C3380CC4-5D6E-409C-BE32-E72D297353CC}">
              <c16:uniqueId val="{00000002-6F48-4410-8D9A-9DC235DE5CA4}"/>
            </c:ext>
          </c:extLst>
        </c:ser>
        <c:dLbls>
          <c:showLegendKey val="0"/>
          <c:showVal val="0"/>
          <c:showCatName val="0"/>
          <c:showSerName val="0"/>
          <c:showPercent val="0"/>
          <c:showBubbleSize val="0"/>
        </c:dLbls>
        <c:smooth val="0"/>
        <c:axId val="797265176"/>
        <c:axId val="797265504"/>
      </c:lineChart>
      <c:catAx>
        <c:axId val="797265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265504"/>
        <c:crosses val="autoZero"/>
        <c:auto val="1"/>
        <c:lblAlgn val="ctr"/>
        <c:lblOffset val="100"/>
        <c:noMultiLvlLbl val="0"/>
      </c:catAx>
      <c:valAx>
        <c:axId val="79726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265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uptake'!$AD$3</c:f>
              <c:strCache>
                <c:ptCount val="1"/>
                <c:pt idx="0">
                  <c:v> Linearized Logistic</c:v>
                </c:pt>
              </c:strCache>
            </c:strRef>
          </c:tx>
          <c:spPr>
            <a:ln w="44450" cap="rnd">
              <a:solidFill>
                <a:schemeClr val="tx1"/>
              </a:solidFill>
              <a:round/>
            </a:ln>
            <a:effectLst/>
          </c:spPr>
          <c:marker>
            <c:symbol val="none"/>
          </c:marker>
          <c:cat>
            <c:numRef>
              <c:f>'Switzerland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'Switzerland EV uptake'!$AD$6:$AD$13</c:f>
              <c:numCache>
                <c:formatCode>General</c:formatCode>
                <c:ptCount val="8"/>
                <c:pt idx="0">
                  <c:v>-6.1901591201413968</c:v>
                </c:pt>
                <c:pt idx="1">
                  <c:v>-5.5308553910769254</c:v>
                </c:pt>
                <c:pt idx="2">
                  <c:v>-4.9956783942647824</c:v>
                </c:pt>
                <c:pt idx="3">
                  <c:v>-4.5127252258419395</c:v>
                </c:pt>
                <c:pt idx="4">
                  <c:v>-3.5952774446463098</c:v>
                </c:pt>
                <c:pt idx="5">
                  <c:v>-3.4867554251511574</c:v>
                </c:pt>
                <c:pt idx="6">
                  <c:v>-3.1764892790416752</c:v>
                </c:pt>
                <c:pt idx="7">
                  <c:v>-2.8090183965229771</c:v>
                </c:pt>
              </c:numCache>
            </c:numRef>
          </c:val>
          <c:smooth val="0"/>
          <c:extLst>
            <c:ext xmlns:c16="http://schemas.microsoft.com/office/drawing/2014/chart" uri="{C3380CC4-5D6E-409C-BE32-E72D297353CC}">
              <c16:uniqueId val="{00000000-3435-4785-8DB0-0CF0ABD88DA9}"/>
            </c:ext>
          </c:extLst>
        </c:ser>
        <c:ser>
          <c:idx val="1"/>
          <c:order val="1"/>
          <c:tx>
            <c:strRef>
              <c:f>'Switzerland EV uptake'!$AE$3</c:f>
              <c:strCache>
                <c:ptCount val="1"/>
                <c:pt idx="0">
                  <c:v>predicted</c:v>
                </c:pt>
              </c:strCache>
            </c:strRef>
          </c:tx>
          <c:spPr>
            <a:ln w="28575" cap="rnd">
              <a:solidFill>
                <a:schemeClr val="accent2"/>
              </a:solidFill>
              <a:round/>
            </a:ln>
            <a:effectLst/>
          </c:spPr>
          <c:marker>
            <c:symbol val="none"/>
          </c:marker>
          <c:cat>
            <c:numRef>
              <c:f>'Switzerland EV uptake'!$A$6:$A$13</c:f>
              <c:numCache>
                <c:formatCode>General</c:formatCode>
                <c:ptCount val="8"/>
                <c:pt idx="0">
                  <c:v>2011</c:v>
                </c:pt>
                <c:pt idx="1">
                  <c:v>2012</c:v>
                </c:pt>
                <c:pt idx="2">
                  <c:v>2013</c:v>
                </c:pt>
                <c:pt idx="3">
                  <c:v>2014</c:v>
                </c:pt>
                <c:pt idx="4">
                  <c:v>2015</c:v>
                </c:pt>
                <c:pt idx="5">
                  <c:v>2016</c:v>
                </c:pt>
                <c:pt idx="6">
                  <c:v>2017</c:v>
                </c:pt>
                <c:pt idx="7">
                  <c:v>2018</c:v>
                </c:pt>
              </c:numCache>
            </c:numRef>
          </c:cat>
          <c:val>
            <c:numRef>
              <c:f>'Switzerland EV uptake'!$AE$6:$AE$13</c:f>
              <c:numCache>
                <c:formatCode>General</c:formatCode>
                <c:ptCount val="8"/>
                <c:pt idx="0">
                  <c:v>-6.1443682919629063</c:v>
                </c:pt>
                <c:pt idx="1">
                  <c:v>-5.5857284668167875</c:v>
                </c:pt>
                <c:pt idx="2">
                  <c:v>-5.0270886416706695</c:v>
                </c:pt>
                <c:pt idx="3">
                  <c:v>-4.4684488165245506</c:v>
                </c:pt>
                <c:pt idx="4">
                  <c:v>-3.600931207490663</c:v>
                </c:pt>
                <c:pt idx="5">
                  <c:v>-3.4679095490033194</c:v>
                </c:pt>
                <c:pt idx="6">
                  <c:v>-3.2113367769608683</c:v>
                </c:pt>
                <c:pt idx="7">
                  <c:v>-2.8621006697520865</c:v>
                </c:pt>
              </c:numCache>
            </c:numRef>
          </c:val>
          <c:smooth val="0"/>
          <c:extLst>
            <c:ext xmlns:c16="http://schemas.microsoft.com/office/drawing/2014/chart" uri="{C3380CC4-5D6E-409C-BE32-E72D297353CC}">
              <c16:uniqueId val="{00000001-3435-4785-8DB0-0CF0ABD88DA9}"/>
            </c:ext>
          </c:extLst>
        </c:ser>
        <c:dLbls>
          <c:showLegendKey val="0"/>
          <c:showVal val="0"/>
          <c:showCatName val="0"/>
          <c:showSerName val="0"/>
          <c:showPercent val="0"/>
          <c:showBubbleSize val="0"/>
        </c:dLbls>
        <c:smooth val="0"/>
        <c:axId val="696583992"/>
        <c:axId val="696584976"/>
      </c:lineChart>
      <c:catAx>
        <c:axId val="696583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84976"/>
        <c:crosses val="autoZero"/>
        <c:auto val="1"/>
        <c:lblAlgn val="ctr"/>
        <c:lblOffset val="100"/>
        <c:noMultiLvlLbl val="0"/>
      </c:catAx>
      <c:valAx>
        <c:axId val="696584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83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uptake'!$B$3</c:f>
              <c:strCache>
                <c:ptCount val="1"/>
                <c:pt idx="0">
                  <c:v> EV %sales</c:v>
                </c:pt>
              </c:strCache>
            </c:strRef>
          </c:tx>
          <c:spPr>
            <a:ln w="44450" cap="rnd">
              <a:solidFill>
                <a:schemeClr val="tx1"/>
              </a:solidFill>
              <a:round/>
            </a:ln>
            <a:effectLst/>
          </c:spPr>
          <c:marker>
            <c:symbol val="none"/>
          </c:marker>
          <c:cat>
            <c:numRef>
              <c:f>'Switzerland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'Switzerland EV uptake'!$B$4:$B$13</c:f>
              <c:numCache>
                <c:formatCode>0.00</c:formatCode>
                <c:ptCount val="10"/>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pt idx="9">
                  <c:v>3.6945206904604002</c:v>
                </c:pt>
              </c:numCache>
            </c:numRef>
          </c:val>
          <c:smooth val="0"/>
          <c:extLst>
            <c:ext xmlns:c16="http://schemas.microsoft.com/office/drawing/2014/chart" uri="{C3380CC4-5D6E-409C-BE32-E72D297353CC}">
              <c16:uniqueId val="{00000000-B7EE-485E-AE4E-145E46619692}"/>
            </c:ext>
          </c:extLst>
        </c:ser>
        <c:ser>
          <c:idx val="1"/>
          <c:order val="1"/>
          <c:tx>
            <c:strRef>
              <c:f>'Switzerland EV uptake'!$AB$3</c:f>
              <c:strCache>
                <c:ptCount val="1"/>
                <c:pt idx="0">
                  <c:v>predicted raw</c:v>
                </c:pt>
              </c:strCache>
            </c:strRef>
          </c:tx>
          <c:spPr>
            <a:ln w="28575" cap="rnd">
              <a:solidFill>
                <a:schemeClr val="accent2"/>
              </a:solidFill>
              <a:round/>
            </a:ln>
            <a:effectLst/>
          </c:spPr>
          <c:marker>
            <c:symbol val="none"/>
          </c:marker>
          <c:cat>
            <c:numRef>
              <c:f>'Switzerland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'Switzerland EV uptake'!$AB$4:$AB$13</c:f>
              <c:numCache>
                <c:formatCode>0.00</c:formatCode>
                <c:ptCount val="10"/>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numCache>
            </c:numRef>
          </c:val>
          <c:smooth val="0"/>
          <c:extLst>
            <c:ext xmlns:c16="http://schemas.microsoft.com/office/drawing/2014/chart" uri="{C3380CC4-5D6E-409C-BE32-E72D297353CC}">
              <c16:uniqueId val="{00000001-B7EE-485E-AE4E-145E46619692}"/>
            </c:ext>
          </c:extLst>
        </c:ser>
        <c:dLbls>
          <c:showLegendKey val="0"/>
          <c:showVal val="0"/>
          <c:showCatName val="0"/>
          <c:showSerName val="0"/>
          <c:showPercent val="0"/>
          <c:showBubbleSize val="0"/>
        </c:dLbls>
        <c:smooth val="0"/>
        <c:axId val="597998568"/>
        <c:axId val="597998896"/>
      </c:lineChart>
      <c:catAx>
        <c:axId val="597998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998896"/>
        <c:crosses val="autoZero"/>
        <c:auto val="1"/>
        <c:lblAlgn val="ctr"/>
        <c:lblOffset val="100"/>
        <c:noMultiLvlLbl val="0"/>
      </c:catAx>
      <c:valAx>
        <c:axId val="597998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99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'Bloomberg EV% sales'!$P$3</c:f>
              <c:strCache>
                <c:ptCount val="1"/>
                <c:pt idx="0">
                  <c:v>% logistic</c:v>
                </c:pt>
              </c:strCache>
            </c:strRef>
          </c:tx>
          <c:spPr>
            <a:ln w="28575" cap="rnd">
              <a:solidFill>
                <a:schemeClr val="accent2"/>
              </a:solidFill>
              <a:round/>
            </a:ln>
            <a:effectLst/>
          </c:spPr>
          <c:marker>
            <c:symbol val="none"/>
          </c:marker>
          <c:cat>
            <c:numRef>
              <c:f>'Bloomberg EV% sales'!$N$4:$N$13</c:f>
              <c:numCache>
                <c:formatCode>General</c:formatCode>
                <c:ptCount val="10"/>
                <c:pt idx="0">
                  <c:v>2010</c:v>
                </c:pt>
                <c:pt idx="1">
                  <c:v>2011</c:v>
                </c:pt>
                <c:pt idx="2">
                  <c:v>2012</c:v>
                </c:pt>
                <c:pt idx="3">
                  <c:v>2013</c:v>
                </c:pt>
                <c:pt idx="4">
                  <c:v>2014</c:v>
                </c:pt>
                <c:pt idx="5">
                  <c:v>2015</c:v>
                </c:pt>
                <c:pt idx="6">
                  <c:v>2016</c:v>
                </c:pt>
                <c:pt idx="7">
                  <c:v>2017</c:v>
                </c:pt>
                <c:pt idx="8">
                  <c:v>2030</c:v>
                </c:pt>
                <c:pt idx="9">
                  <c:v>2040</c:v>
                </c:pt>
              </c:numCache>
            </c:numRef>
          </c:cat>
          <c:val>
            <c:numRef>
              <c:f>'Bloomberg EV% sales'!$P$4:$P$13</c:f>
              <c:numCache>
                <c:formatCode>General</c:formatCode>
                <c:ptCount val="10"/>
                <c:pt idx="1">
                  <c:v>-6.4522318049899381</c:v>
                </c:pt>
                <c:pt idx="2">
                  <c:v>-5.6179773840205085</c:v>
                </c:pt>
                <c:pt idx="3">
                  <c:v>-5.1254703541275148</c:v>
                </c:pt>
                <c:pt idx="4">
                  <c:v>-4.7233307968361888</c:v>
                </c:pt>
                <c:pt idx="5">
                  <c:v>-4.2630167138852615</c:v>
                </c:pt>
                <c:pt idx="6">
                  <c:v>-4.0290287249675529</c:v>
                </c:pt>
                <c:pt idx="7">
                  <c:v>-3.6396293800308035</c:v>
                </c:pt>
                <c:pt idx="8">
                  <c:v>5.4902267883891867E-2</c:v>
                </c:pt>
                <c:pt idx="9">
                  <c:v>1.7047480922384253</c:v>
                </c:pt>
              </c:numCache>
            </c:numRef>
          </c:val>
          <c:smooth val="0"/>
          <c:extLst>
            <c:ext xmlns:c16="http://schemas.microsoft.com/office/drawing/2014/chart" uri="{C3380CC4-5D6E-409C-BE32-E72D297353CC}">
              <c16:uniqueId val="{00000001-2A3C-4E32-B9A7-566E7FAC713D}"/>
            </c:ext>
          </c:extLst>
        </c:ser>
        <c:ser>
          <c:idx val="2"/>
          <c:order val="1"/>
          <c:tx>
            <c:strRef>
              <c:f>'Bloomberg EV% sales'!$Q$3</c:f>
              <c:strCache>
                <c:ptCount val="1"/>
                <c:pt idx="0">
                  <c:v>pred</c:v>
                </c:pt>
              </c:strCache>
            </c:strRef>
          </c:tx>
          <c:spPr>
            <a:ln w="28575" cap="rnd">
              <a:solidFill>
                <a:schemeClr val="accent3"/>
              </a:solidFill>
              <a:round/>
            </a:ln>
            <a:effectLst/>
          </c:spPr>
          <c:marker>
            <c:symbol val="none"/>
          </c:marker>
          <c:cat>
            <c:numRef>
              <c:f>'Bloomberg EV% sales'!$N$4:$N$13</c:f>
              <c:numCache>
                <c:formatCode>General</c:formatCode>
                <c:ptCount val="10"/>
                <c:pt idx="0">
                  <c:v>2010</c:v>
                </c:pt>
                <c:pt idx="1">
                  <c:v>2011</c:v>
                </c:pt>
                <c:pt idx="2">
                  <c:v>2012</c:v>
                </c:pt>
                <c:pt idx="3">
                  <c:v>2013</c:v>
                </c:pt>
                <c:pt idx="4">
                  <c:v>2014</c:v>
                </c:pt>
                <c:pt idx="5">
                  <c:v>2015</c:v>
                </c:pt>
                <c:pt idx="6">
                  <c:v>2016</c:v>
                </c:pt>
                <c:pt idx="7">
                  <c:v>2017</c:v>
                </c:pt>
                <c:pt idx="8">
                  <c:v>2030</c:v>
                </c:pt>
                <c:pt idx="9">
                  <c:v>2040</c:v>
                </c:pt>
              </c:numCache>
            </c:numRef>
          </c:cat>
          <c:val>
            <c:numRef>
              <c:f>'Bloomberg EV% sales'!$Q$4:$Q$13</c:f>
              <c:numCache>
                <c:formatCode>General</c:formatCode>
                <c:ptCount val="10"/>
                <c:pt idx="1">
                  <c:v>-6.3062950755108877</c:v>
                </c:pt>
                <c:pt idx="2">
                  <c:v>-5.7638594268202787</c:v>
                </c:pt>
                <c:pt idx="3">
                  <c:v>-5.2214237781296706</c:v>
                </c:pt>
                <c:pt idx="4">
                  <c:v>-4.6789881294390607</c:v>
                </c:pt>
                <c:pt idx="5">
                  <c:v>-4.1365524807484517</c:v>
                </c:pt>
                <c:pt idx="6">
                  <c:v>-3.8909261020705586</c:v>
                </c:pt>
                <c:pt idx="7">
                  <c:v>-3.6452997233926654</c:v>
                </c:pt>
                <c:pt idx="8">
                  <c:v>-0.45215680058005714</c:v>
                </c:pt>
                <c:pt idx="9">
                  <c:v>2.004106986198873</c:v>
                </c:pt>
              </c:numCache>
            </c:numRef>
          </c:val>
          <c:smooth val="0"/>
          <c:extLst>
            <c:ext xmlns:c16="http://schemas.microsoft.com/office/drawing/2014/chart" uri="{C3380CC4-5D6E-409C-BE32-E72D297353CC}">
              <c16:uniqueId val="{00000002-2A3C-4E32-B9A7-566E7FAC713D}"/>
            </c:ext>
          </c:extLst>
        </c:ser>
        <c:dLbls>
          <c:showLegendKey val="0"/>
          <c:showVal val="0"/>
          <c:showCatName val="0"/>
          <c:showSerName val="0"/>
          <c:showPercent val="0"/>
          <c:showBubbleSize val="0"/>
        </c:dLbls>
        <c:smooth val="0"/>
        <c:axId val="781063616"/>
        <c:axId val="781063944"/>
      </c:lineChart>
      <c:catAx>
        <c:axId val="78106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063944"/>
        <c:crosses val="autoZero"/>
        <c:auto val="1"/>
        <c:lblAlgn val="ctr"/>
        <c:lblOffset val="100"/>
        <c:noMultiLvlLbl val="0"/>
      </c:catAx>
      <c:valAx>
        <c:axId val="781063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06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uptake'!$S$3</c:f>
              <c:strCache>
                <c:ptCount val="1"/>
                <c:pt idx="0">
                  <c:v>High</c:v>
                </c:pt>
              </c:strCache>
            </c:strRef>
          </c:tx>
          <c:spPr>
            <a:ln w="28575" cap="rnd">
              <a:solidFill>
                <a:schemeClr val="accent1"/>
              </a:solidFill>
              <a:round/>
            </a:ln>
            <a:effectLst/>
          </c:spPr>
          <c:marker>
            <c:symbol val="none"/>
          </c:marker>
          <c:cat>
            <c:numRef>
              <c:f>'Switzerland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uptake'!$S$4:$S$25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4.0792777376945386</c:v>
                </c:pt>
                <c:pt idx="10" formatCode="0.00">
                  <c:v>5.3295337963467757</c:v>
                </c:pt>
                <c:pt idx="11" formatCode="0.00">
                  <c:v>7.0044967939803922</c:v>
                </c:pt>
                <c:pt idx="12" formatCode="0.00">
                  <c:v>9.4294615859120405</c:v>
                </c:pt>
                <c:pt idx="13" formatCode="0.00">
                  <c:v>11.954347932256995</c:v>
                </c:pt>
                <c:pt idx="14" formatCode="0.00">
                  <c:v>14.975735891228243</c:v>
                </c:pt>
                <c:pt idx="15" formatCode="0.00">
                  <c:v>18.425898288837942</c:v>
                </c:pt>
                <c:pt idx="16" formatCode="0.00">
                  <c:v>22.306487468995464</c:v>
                </c:pt>
                <c:pt idx="17" formatCode="0.00">
                  <c:v>26.499309756021312</c:v>
                </c:pt>
                <c:pt idx="18" formatCode="0.00">
                  <c:v>30.724570954117109</c:v>
                </c:pt>
                <c:pt idx="19" formatCode="0.00">
                  <c:v>34.906259220212</c:v>
                </c:pt>
                <c:pt idx="20" formatCode="0.00">
                  <c:v>38.83636142726867</c:v>
                </c:pt>
                <c:pt idx="21" formatCode="0.00">
                  <c:v>42.410356323960983</c:v>
                </c:pt>
              </c:numCache>
            </c:numRef>
          </c:val>
          <c:smooth val="0"/>
          <c:extLst>
            <c:ext xmlns:c16="http://schemas.microsoft.com/office/drawing/2014/chart" uri="{C3380CC4-5D6E-409C-BE32-E72D297353CC}">
              <c16:uniqueId val="{00000000-70DD-43F1-891B-2C6D7B3991D2}"/>
            </c:ext>
          </c:extLst>
        </c:ser>
        <c:ser>
          <c:idx val="1"/>
          <c:order val="1"/>
          <c:tx>
            <c:strRef>
              <c:f>'Switzerland EV uptake'!$T$3</c:f>
              <c:strCache>
                <c:ptCount val="1"/>
                <c:pt idx="0">
                  <c:v>Medium</c:v>
                </c:pt>
              </c:strCache>
            </c:strRef>
          </c:tx>
          <c:spPr>
            <a:ln w="28575" cap="rnd">
              <a:solidFill>
                <a:schemeClr val="accent2"/>
              </a:solidFill>
              <a:round/>
            </a:ln>
            <a:effectLst/>
          </c:spPr>
          <c:marker>
            <c:symbol val="none"/>
          </c:marker>
          <c:cat>
            <c:numRef>
              <c:f>'Switzerland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uptake'!$T$4:$T$25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4.0792777376945386</c:v>
                </c:pt>
                <c:pt idx="10" formatCode="0.00">
                  <c:v>5.3295337963467757</c:v>
                </c:pt>
                <c:pt idx="11" formatCode="0.00">
                  <c:v>6.833462724122529</c:v>
                </c:pt>
                <c:pt idx="12" formatCode="0.00">
                  <c:v>9.0655879820791885</c:v>
                </c:pt>
                <c:pt idx="13" formatCode="0.00">
                  <c:v>11.340549172193581</c:v>
                </c:pt>
                <c:pt idx="14" formatCode="0.00">
                  <c:v>13.969895796420333</c:v>
                </c:pt>
                <c:pt idx="15" formatCode="0.00">
                  <c:v>17.132598991346192</c:v>
                </c:pt>
                <c:pt idx="16" formatCode="0.00">
                  <c:v>20.673049593959433</c:v>
                </c:pt>
                <c:pt idx="17" formatCode="0.00">
                  <c:v>24.573267650361963</c:v>
                </c:pt>
                <c:pt idx="18" formatCode="0.00">
                  <c:v>28.686021159696825</c:v>
                </c:pt>
                <c:pt idx="19" formatCode="0.00">
                  <c:v>32.989440621710102</c:v>
                </c:pt>
                <c:pt idx="20" formatCode="0.00">
                  <c:v>37.169467984997326</c:v>
                </c:pt>
                <c:pt idx="21" formatCode="0.00">
                  <c:v>41.135504216434143</c:v>
                </c:pt>
              </c:numCache>
            </c:numRef>
          </c:val>
          <c:smooth val="0"/>
          <c:extLst>
            <c:ext xmlns:c16="http://schemas.microsoft.com/office/drawing/2014/chart" uri="{C3380CC4-5D6E-409C-BE32-E72D297353CC}">
              <c16:uniqueId val="{00000001-70DD-43F1-891B-2C6D7B3991D2}"/>
            </c:ext>
          </c:extLst>
        </c:ser>
        <c:ser>
          <c:idx val="2"/>
          <c:order val="2"/>
          <c:tx>
            <c:strRef>
              <c:f>'Switzerland EV uptake'!$U$3</c:f>
              <c:strCache>
                <c:ptCount val="1"/>
                <c:pt idx="0">
                  <c:v>Low</c:v>
                </c:pt>
              </c:strCache>
            </c:strRef>
          </c:tx>
          <c:spPr>
            <a:ln w="28575" cap="rnd">
              <a:solidFill>
                <a:schemeClr val="accent3"/>
              </a:solidFill>
              <a:round/>
            </a:ln>
            <a:effectLst/>
          </c:spPr>
          <c:marker>
            <c:symbol val="none"/>
          </c:marker>
          <c:cat>
            <c:numRef>
              <c:f>'Switzerland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uptake'!$U$4:$U$25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3.7067750247812037</c:v>
                </c:pt>
                <c:pt idx="10" formatCode="0.00">
                  <c:v>4.8471878321012811</c:v>
                </c:pt>
                <c:pt idx="11" formatCode="0.00">
                  <c:v>6.2913444110730534</c:v>
                </c:pt>
                <c:pt idx="12" formatCode="0.00">
                  <c:v>8.6783606156152775</c:v>
                </c:pt>
                <c:pt idx="13" formatCode="0.00">
                  <c:v>11.04433177334008</c:v>
                </c:pt>
                <c:pt idx="14" formatCode="0.00">
                  <c:v>13.764688365177236</c:v>
                </c:pt>
                <c:pt idx="15" formatCode="0.00">
                  <c:v>16.907005997956382</c:v>
                </c:pt>
                <c:pt idx="16" formatCode="0.00">
                  <c:v>20.403433487493835</c:v>
                </c:pt>
                <c:pt idx="17" formatCode="0.00">
                  <c:v>24.198668417554103</c:v>
                </c:pt>
                <c:pt idx="18" formatCode="0.00">
                  <c:v>28.129272468044377</c:v>
                </c:pt>
                <c:pt idx="19" formatCode="0.00">
                  <c:v>32.203968894658189</c:v>
                </c:pt>
                <c:pt idx="20" formatCode="0.00">
                  <c:v>36.383996257945419</c:v>
                </c:pt>
                <c:pt idx="21" formatCode="0.00">
                  <c:v>40.350032489382222</c:v>
                </c:pt>
              </c:numCache>
            </c:numRef>
          </c:val>
          <c:smooth val="0"/>
          <c:extLst>
            <c:ext xmlns:c16="http://schemas.microsoft.com/office/drawing/2014/chart" uri="{C3380CC4-5D6E-409C-BE32-E72D297353CC}">
              <c16:uniqueId val="{00000002-70DD-43F1-891B-2C6D7B3991D2}"/>
            </c:ext>
          </c:extLst>
        </c:ser>
        <c:dLbls>
          <c:showLegendKey val="0"/>
          <c:showVal val="0"/>
          <c:showCatName val="0"/>
          <c:showSerName val="0"/>
          <c:showPercent val="0"/>
          <c:showBubbleSize val="0"/>
        </c:dLbls>
        <c:smooth val="0"/>
        <c:axId val="222698320"/>
        <c:axId val="222703240"/>
      </c:lineChart>
      <c:catAx>
        <c:axId val="22269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703240"/>
        <c:crosses val="autoZero"/>
        <c:auto val="1"/>
        <c:lblAlgn val="ctr"/>
        <c:lblOffset val="100"/>
        <c:noMultiLvlLbl val="0"/>
      </c:catAx>
      <c:valAx>
        <c:axId val="222703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9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uptake'!$X$3</c:f>
              <c:strCache>
                <c:ptCount val="1"/>
                <c:pt idx="0">
                  <c:v>High</c:v>
                </c:pt>
              </c:strCache>
            </c:strRef>
          </c:tx>
          <c:spPr>
            <a:ln w="28575" cap="rnd">
              <a:solidFill>
                <a:schemeClr val="accent1"/>
              </a:solidFill>
              <a:round/>
            </a:ln>
            <a:effectLst/>
          </c:spPr>
          <c:marker>
            <c:symbol val="none"/>
          </c:marker>
          <c:cat>
            <c:numRef>
              <c:f>'Switzerland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uptake'!$X$4:$X$25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3.4077988040413749</c:v>
                </c:pt>
                <c:pt idx="10" formatCode="0.00">
                  <c:v>4.1233242238504975</c:v>
                </c:pt>
                <c:pt idx="11" formatCode="0.00">
                  <c:v>5.0197391644630738</c:v>
                </c:pt>
                <c:pt idx="12" formatCode="0.00">
                  <c:v>6.3446631219240084</c:v>
                </c:pt>
                <c:pt idx="13" formatCode="0.00">
                  <c:v>7.7047757798345158</c:v>
                </c:pt>
                <c:pt idx="14" formatCode="0.00">
                  <c:v>9.3405712485623678</c:v>
                </c:pt>
                <c:pt idx="15" formatCode="0.00">
                  <c:v>11.237454974511561</c:v>
                </c:pt>
                <c:pt idx="16" formatCode="0.00">
                  <c:v>13.475618677178284</c:v>
                </c:pt>
                <c:pt idx="17" formatCode="0.00">
                  <c:v>15.943933303124263</c:v>
                </c:pt>
                <c:pt idx="18" formatCode="0.00">
                  <c:v>18.630824562923493</c:v>
                </c:pt>
                <c:pt idx="19" formatCode="0.00">
                  <c:v>21.516106171943829</c:v>
                </c:pt>
                <c:pt idx="20" formatCode="0.00">
                  <c:v>24.57035717423425</c:v>
                </c:pt>
                <c:pt idx="21" formatCode="0.00">
                  <c:v>27.688167816750827</c:v>
                </c:pt>
              </c:numCache>
            </c:numRef>
          </c:val>
          <c:smooth val="0"/>
          <c:extLst>
            <c:ext xmlns:c16="http://schemas.microsoft.com/office/drawing/2014/chart" uri="{C3380CC4-5D6E-409C-BE32-E72D297353CC}">
              <c16:uniqueId val="{00000000-FC06-4B99-BCC0-324878AC629C}"/>
            </c:ext>
          </c:extLst>
        </c:ser>
        <c:ser>
          <c:idx val="1"/>
          <c:order val="1"/>
          <c:tx>
            <c:strRef>
              <c:f>'Switzerland EV uptake'!$Y$3</c:f>
              <c:strCache>
                <c:ptCount val="1"/>
                <c:pt idx="0">
                  <c:v>Medium</c:v>
                </c:pt>
              </c:strCache>
            </c:strRef>
          </c:tx>
          <c:spPr>
            <a:ln w="28575" cap="rnd">
              <a:solidFill>
                <a:schemeClr val="accent2"/>
              </a:solidFill>
              <a:round/>
            </a:ln>
            <a:effectLst/>
          </c:spPr>
          <c:marker>
            <c:symbol val="none"/>
          </c:marker>
          <c:cat>
            <c:numRef>
              <c:f>'Switzerland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uptake'!$Y$4:$Y$25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4.0792777376945386</c:v>
                </c:pt>
                <c:pt idx="10" formatCode="0.00">
                  <c:v>5.3295337963467757</c:v>
                </c:pt>
                <c:pt idx="11" formatCode="0.00">
                  <c:v>6.833462724122529</c:v>
                </c:pt>
                <c:pt idx="12" formatCode="0.00">
                  <c:v>9.0655879820791885</c:v>
                </c:pt>
                <c:pt idx="13" formatCode="0.00">
                  <c:v>11.340549172193581</c:v>
                </c:pt>
                <c:pt idx="14" formatCode="0.00">
                  <c:v>13.969895796420333</c:v>
                </c:pt>
                <c:pt idx="15" formatCode="0.00">
                  <c:v>17.132598991346192</c:v>
                </c:pt>
                <c:pt idx="16" formatCode="0.00">
                  <c:v>20.673049593959433</c:v>
                </c:pt>
                <c:pt idx="17" formatCode="0.00">
                  <c:v>24.573267650361963</c:v>
                </c:pt>
                <c:pt idx="18" formatCode="0.00">
                  <c:v>28.686021159696825</c:v>
                </c:pt>
                <c:pt idx="19" formatCode="0.00">
                  <c:v>32.989440621710102</c:v>
                </c:pt>
                <c:pt idx="20" formatCode="0.00">
                  <c:v>37.169467984997326</c:v>
                </c:pt>
                <c:pt idx="21" formatCode="0.00">
                  <c:v>41.135504216434143</c:v>
                </c:pt>
              </c:numCache>
            </c:numRef>
          </c:val>
          <c:smooth val="0"/>
          <c:extLst>
            <c:ext xmlns:c16="http://schemas.microsoft.com/office/drawing/2014/chart" uri="{C3380CC4-5D6E-409C-BE32-E72D297353CC}">
              <c16:uniqueId val="{00000001-FC06-4B99-BCC0-324878AC629C}"/>
            </c:ext>
          </c:extLst>
        </c:ser>
        <c:ser>
          <c:idx val="2"/>
          <c:order val="2"/>
          <c:tx>
            <c:strRef>
              <c:f>'Switzerland EV uptake'!$Z$3</c:f>
              <c:strCache>
                <c:ptCount val="1"/>
                <c:pt idx="0">
                  <c:v>Low</c:v>
                </c:pt>
              </c:strCache>
            </c:strRef>
          </c:tx>
          <c:spPr>
            <a:ln w="28575" cap="rnd">
              <a:solidFill>
                <a:schemeClr val="accent3"/>
              </a:solidFill>
              <a:round/>
            </a:ln>
            <a:effectLst/>
          </c:spPr>
          <c:marker>
            <c:symbol val="none"/>
          </c:marker>
          <c:cat>
            <c:numRef>
              <c:f>'Switzerland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 EV uptake'!$Z$4:$Z$25</c:f>
              <c:numCache>
                <c:formatCode>General</c:formatCode>
                <c:ptCount val="22"/>
                <c:pt idx="3" formatCode="0.00">
                  <c:v>0.2429049181160419</c:v>
                </c:pt>
                <c:pt idx="4" formatCode="0.00">
                  <c:v>0.42348472348697969</c:v>
                </c:pt>
                <c:pt idx="5" formatCode="0.00">
                  <c:v>0.73678333887473513</c:v>
                </c:pt>
                <c:pt idx="6" formatCode="0.00">
                  <c:v>1.7272382151998207</c:v>
                </c:pt>
                <c:pt idx="7" formatCode="0.00">
                  <c:v>1.9655495214791945</c:v>
                </c:pt>
                <c:pt idx="8" formatCode="0.00">
                  <c:v>2.5181859041344001</c:v>
                </c:pt>
                <c:pt idx="9" formatCode="0.00">
                  <c:v>4.4598536432359621</c:v>
                </c:pt>
                <c:pt idx="10" formatCode="0.00">
                  <c:v>6.1104522859816743</c:v>
                </c:pt>
                <c:pt idx="11" formatCode="0.00">
                  <c:v>8.3589845623289172</c:v>
                </c:pt>
                <c:pt idx="12" formatCode="0.00">
                  <c:v>11.950068457436364</c:v>
                </c:pt>
                <c:pt idx="13" formatCode="0.00">
                  <c:v>15.581056054288174</c:v>
                </c:pt>
                <c:pt idx="14" formatCode="0.00">
                  <c:v>19.911706727912989</c:v>
                </c:pt>
                <c:pt idx="15" formatCode="0.00">
                  <c:v>24.934230617045475</c:v>
                </c:pt>
                <c:pt idx="16" formatCode="0.00">
                  <c:v>30.407352140646974</c:v>
                </c:pt>
                <c:pt idx="17" formatCode="0.00">
                  <c:v>36.116767954394554</c:v>
                </c:pt>
                <c:pt idx="18" formatCode="0.00">
                  <c:v>41.610202761903103</c:v>
                </c:pt>
                <c:pt idx="19" formatCode="0.00">
                  <c:v>46.814412193288078</c:v>
                </c:pt>
                <c:pt idx="20" formatCode="0.00">
                  <c:v>51.351396839437101</c:v>
                </c:pt>
                <c:pt idx="21" formatCode="0.00">
                  <c:v>55.045179220185808</c:v>
                </c:pt>
              </c:numCache>
            </c:numRef>
          </c:val>
          <c:smooth val="0"/>
          <c:extLst>
            <c:ext xmlns:c16="http://schemas.microsoft.com/office/drawing/2014/chart" uri="{C3380CC4-5D6E-409C-BE32-E72D297353CC}">
              <c16:uniqueId val="{00000002-FC06-4B99-BCC0-324878AC629C}"/>
            </c:ext>
          </c:extLst>
        </c:ser>
        <c:dLbls>
          <c:showLegendKey val="0"/>
          <c:showVal val="0"/>
          <c:showCatName val="0"/>
          <c:showSerName val="0"/>
          <c:showPercent val="0"/>
          <c:showBubbleSize val="0"/>
        </c:dLbls>
        <c:smooth val="0"/>
        <c:axId val="222699632"/>
        <c:axId val="222702256"/>
      </c:lineChart>
      <c:catAx>
        <c:axId val="22269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702256"/>
        <c:crosses val="autoZero"/>
        <c:auto val="1"/>
        <c:lblAlgn val="ctr"/>
        <c:lblOffset val="100"/>
        <c:noMultiLvlLbl val="0"/>
      </c:catAx>
      <c:valAx>
        <c:axId val="22270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uptake'!$B$3</c:f>
              <c:strCache>
                <c:ptCount val="1"/>
                <c:pt idx="0">
                  <c:v> EV %sales</c:v>
                </c:pt>
              </c:strCache>
            </c:strRef>
          </c:tx>
          <c:spPr>
            <a:ln w="47625" cap="rnd">
              <a:solidFill>
                <a:schemeClr val="tx1"/>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uptake'!$B$4:$B$45</c:f>
              <c:numCache>
                <c:formatCode>0.00</c:formatCode>
                <c:ptCount val="42"/>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pt idx="9">
                  <c:v>3.6945206904604002</c:v>
                </c:pt>
              </c:numCache>
            </c:numRef>
          </c:val>
          <c:smooth val="0"/>
          <c:extLst>
            <c:ext xmlns:c16="http://schemas.microsoft.com/office/drawing/2014/chart" uri="{C3380CC4-5D6E-409C-BE32-E72D297353CC}">
              <c16:uniqueId val="{00000000-24A7-4338-BA16-4B7A0C135892}"/>
            </c:ext>
          </c:extLst>
        </c:ser>
        <c:ser>
          <c:idx val="3"/>
          <c:order val="1"/>
          <c:tx>
            <c:strRef>
              <c:f>'Switzerland EV uptake'!$AB$3</c:f>
              <c:strCache>
                <c:ptCount val="1"/>
                <c:pt idx="0">
                  <c:v>predicted raw</c:v>
                </c:pt>
              </c:strCache>
            </c:strRef>
          </c:tx>
          <c:spPr>
            <a:ln w="28575" cap="rnd">
              <a:solidFill>
                <a:schemeClr val="accent4"/>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uptake'!$AB$4:$AB$45</c:f>
              <c:numCache>
                <c:formatCode>0.00</c:formatCode>
                <c:ptCount val="42"/>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pt idx="10">
                  <c:v>4.8724801350553042</c:v>
                </c:pt>
                <c:pt idx="11">
                  <c:v>6.6991954560165095</c:v>
                </c:pt>
                <c:pt idx="12">
                  <c:v>9.1070270327411542</c:v>
                </c:pt>
                <c:pt idx="13">
                  <c:v>12.199197278580884</c:v>
                </c:pt>
                <c:pt idx="14">
                  <c:v>16.039974653046883</c:v>
                </c:pt>
                <c:pt idx="15">
                  <c:v>20.617795513239166</c:v>
                </c:pt>
                <c:pt idx="16">
                  <c:v>25.813294105753002</c:v>
                </c:pt>
                <c:pt idx="17">
                  <c:v>31.39198763842187</c:v>
                </c:pt>
                <c:pt idx="18">
                  <c:v>37.036826165730012</c:v>
                </c:pt>
                <c:pt idx="19">
                  <c:v>42.415652843649568</c:v>
                </c:pt>
                <c:pt idx="20">
                  <c:v>47.255539591428146</c:v>
                </c:pt>
                <c:pt idx="21">
                  <c:v>51.391009635066219</c:v>
                </c:pt>
                <c:pt idx="22">
                  <c:v>54.771299004421564</c:v>
                </c:pt>
                <c:pt idx="23">
                  <c:v>57.435556837430028</c:v>
                </c:pt>
                <c:pt idx="24">
                  <c:v>59.475849898845816</c:v>
                </c:pt>
                <c:pt idx="25">
                  <c:v>61.004118023693003</c:v>
                </c:pt>
                <c:pt idx="26">
                  <c:v>62.129989626255771</c:v>
                </c:pt>
                <c:pt idx="27">
                  <c:v>62.949301624138897</c:v>
                </c:pt>
                <c:pt idx="28">
                  <c:v>63.540217168021101</c:v>
                </c:pt>
                <c:pt idx="29">
                  <c:v>63.963661672656372</c:v>
                </c:pt>
                <c:pt idx="30">
                  <c:v>64.265695582398237</c:v>
                </c:pt>
                <c:pt idx="31">
                  <c:v>64.480418758306072</c:v>
                </c:pt>
                <c:pt idx="32">
                  <c:v>64.632712050467561</c:v>
                </c:pt>
                <c:pt idx="33">
                  <c:v>64.740546611159417</c:v>
                </c:pt>
                <c:pt idx="34">
                  <c:v>64.816811025488292</c:v>
                </c:pt>
                <c:pt idx="35">
                  <c:v>64.870702847490548</c:v>
                </c:pt>
                <c:pt idx="36">
                  <c:v>64.908762710706355</c:v>
                </c:pt>
                <c:pt idx="37">
                  <c:v>64.935630403047924</c:v>
                </c:pt>
                <c:pt idx="38">
                  <c:v>64.954591592525631</c:v>
                </c:pt>
                <c:pt idx="39">
                  <c:v>64.967970187344591</c:v>
                </c:pt>
                <c:pt idx="40">
                  <c:v>64.977408442550114</c:v>
                </c:pt>
                <c:pt idx="41">
                  <c:v>64.98406620026428</c:v>
                </c:pt>
              </c:numCache>
            </c:numRef>
          </c:val>
          <c:smooth val="0"/>
          <c:extLst>
            <c:ext xmlns:c16="http://schemas.microsoft.com/office/drawing/2014/chart" uri="{C3380CC4-5D6E-409C-BE32-E72D297353CC}">
              <c16:uniqueId val="{00000003-24A7-4338-BA16-4B7A0C135892}"/>
            </c:ext>
          </c:extLst>
        </c:ser>
        <c:dLbls>
          <c:showLegendKey val="0"/>
          <c:showVal val="0"/>
          <c:showCatName val="0"/>
          <c:showSerName val="0"/>
          <c:showPercent val="0"/>
          <c:showBubbleSize val="0"/>
        </c:dLbls>
        <c:smooth val="0"/>
        <c:axId val="897267312"/>
        <c:axId val="897272232"/>
      </c:lineChart>
      <c:catAx>
        <c:axId val="89726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2232"/>
        <c:crosses val="autoZero"/>
        <c:auto val="1"/>
        <c:lblAlgn val="ctr"/>
        <c:lblOffset val="100"/>
        <c:noMultiLvlLbl val="0"/>
      </c:catAx>
      <c:valAx>
        <c:axId val="897272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6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uptake'!$B$3</c:f>
              <c:strCache>
                <c:ptCount val="1"/>
                <c:pt idx="0">
                  <c:v> EV %sales</c:v>
                </c:pt>
              </c:strCache>
            </c:strRef>
          </c:tx>
          <c:spPr>
            <a:ln w="47625" cap="rnd">
              <a:solidFill>
                <a:schemeClr val="tx1"/>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uptake'!$B$4:$B$45</c:f>
              <c:numCache>
                <c:formatCode>0.00</c:formatCode>
                <c:ptCount val="42"/>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pt idx="9">
                  <c:v>3.6945206904604002</c:v>
                </c:pt>
              </c:numCache>
            </c:numRef>
          </c:val>
          <c:smooth val="0"/>
          <c:extLst>
            <c:ext xmlns:c16="http://schemas.microsoft.com/office/drawing/2014/chart" uri="{C3380CC4-5D6E-409C-BE32-E72D297353CC}">
              <c16:uniqueId val="{00000000-F5CE-43FD-9B24-D0F0ED2869FE}"/>
            </c:ext>
          </c:extLst>
        </c:ser>
        <c:ser>
          <c:idx val="2"/>
          <c:order val="1"/>
          <c:tx>
            <c:strRef>
              <c:f>'Switzerland EV uptake'!$L$3</c:f>
              <c:strCache>
                <c:ptCount val="1"/>
                <c:pt idx="0">
                  <c:v>Predicted Cost</c:v>
                </c:pt>
              </c:strCache>
            </c:strRef>
          </c:tx>
          <c:spPr>
            <a:ln w="28575" cap="rnd">
              <a:solidFill>
                <a:schemeClr val="accent3"/>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uptake'!$L$4:$L$45</c:f>
              <c:numCache>
                <c:formatCode>0.00</c:formatCode>
                <c:ptCount val="42"/>
                <c:pt idx="3" formatCode="0.000">
                  <c:v>0.2429049181160419</c:v>
                </c:pt>
                <c:pt idx="4" formatCode="0.000">
                  <c:v>0.42348472348697969</c:v>
                </c:pt>
                <c:pt idx="5" formatCode="0.000">
                  <c:v>0.42348472348697969</c:v>
                </c:pt>
                <c:pt idx="6" formatCode="0.000">
                  <c:v>1.7272382151998207</c:v>
                </c:pt>
                <c:pt idx="7" formatCode="0.000">
                  <c:v>1.9655495214791945</c:v>
                </c:pt>
                <c:pt idx="8" formatCode="0.000">
                  <c:v>2.5181859041344001</c:v>
                </c:pt>
                <c:pt idx="9" formatCode="0.000">
                  <c:v>3.9138515212675342</c:v>
                </c:pt>
                <c:pt idx="10" formatCode="0.000">
                  <c:v>5.3421470235199262</c:v>
                </c:pt>
                <c:pt idx="11" formatCode="0.000">
                  <c:v>7.2783492984092222</c:v>
                </c:pt>
                <c:pt idx="12" formatCode="0.000">
                  <c:v>9.7835749110881469</c:v>
                </c:pt>
                <c:pt idx="13" formatCode="0.000">
                  <c:v>12.932637986724922</c:v>
                </c:pt>
                <c:pt idx="14" formatCode="0.000">
                  <c:v>17.871196423205994</c:v>
                </c:pt>
                <c:pt idx="15" formatCode="0.000">
                  <c:v>23.457156249803763</c:v>
                </c:pt>
                <c:pt idx="16" formatCode="0.000">
                  <c:v>29.5004473628175</c:v>
                </c:pt>
                <c:pt idx="17" formatCode="0.000">
                  <c:v>35.743560350493752</c:v>
                </c:pt>
                <c:pt idx="18" formatCode="0.000">
                  <c:v>42.574261048730236</c:v>
                </c:pt>
                <c:pt idx="19" formatCode="0.000">
                  <c:v>47.782974888531861</c:v>
                </c:pt>
                <c:pt idx="20" formatCode="0.000">
                  <c:v>52.27077963515503</c:v>
                </c:pt>
                <c:pt idx="21" formatCode="0.000">
                  <c:v>55.988472671163706</c:v>
                </c:pt>
                <c:pt idx="22" formatCode="0.000">
                  <c:v>58.963362678129236</c:v>
                </c:pt>
                <c:pt idx="23" formatCode="0.000">
                  <c:v>60.598963202072696</c:v>
                </c:pt>
                <c:pt idx="24" formatCode="0.000">
                  <c:v>61.819895268190919</c:v>
                </c:pt>
                <c:pt idx="25" formatCode="0.000">
                  <c:v>62.717457622953035</c:v>
                </c:pt>
                <c:pt idx="26" formatCode="0.000">
                  <c:v>63.369773134694071</c:v>
                </c:pt>
                <c:pt idx="27" formatCode="0.000">
                  <c:v>63.839858961104142</c:v>
                </c:pt>
                <c:pt idx="28" formatCode="0.000">
                  <c:v>64.176541046369863</c:v>
                </c:pt>
                <c:pt idx="29" formatCode="0.000">
                  <c:v>64.416606934997532</c:v>
                </c:pt>
                <c:pt idx="30" formatCode="0.000">
                  <c:v>64.587236805563904</c:v>
                </c:pt>
                <c:pt idx="31" formatCode="0.000">
                  <c:v>64.708238258582384</c:v>
                </c:pt>
                <c:pt idx="32" formatCode="0.000">
                  <c:v>64.793907049062426</c:v>
                </c:pt>
                <c:pt idx="33" formatCode="0.000">
                  <c:v>64.854490719578507</c:v>
                </c:pt>
                <c:pt idx="34" formatCode="0.000">
                  <c:v>64.897299715851744</c:v>
                </c:pt>
                <c:pt idx="35" formatCode="0.000">
                  <c:v>64.927531548223016</c:v>
                </c:pt>
                <c:pt idx="36" formatCode="0.000">
                  <c:v>64.948872667234923</c:v>
                </c:pt>
                <c:pt idx="37" formatCode="0.000">
                  <c:v>64.963933365146517</c:v>
                </c:pt>
                <c:pt idx="38" formatCode="0.000">
                  <c:v>64.974559734242902</c:v>
                </c:pt>
                <c:pt idx="39" formatCode="0.000">
                  <c:v>64.982056302700173</c:v>
                </c:pt>
                <c:pt idx="40" formatCode="0.000">
                  <c:v>64.987344361170713</c:v>
                </c:pt>
                <c:pt idx="41" formatCode="0.000">
                  <c:v>64.991074276994738</c:v>
                </c:pt>
              </c:numCache>
            </c:numRef>
          </c:val>
          <c:smooth val="0"/>
          <c:extLst>
            <c:ext xmlns:c16="http://schemas.microsoft.com/office/drawing/2014/chart" uri="{C3380CC4-5D6E-409C-BE32-E72D297353CC}">
              <c16:uniqueId val="{00000002-F5CE-43FD-9B24-D0F0ED2869FE}"/>
            </c:ext>
          </c:extLst>
        </c:ser>
        <c:ser>
          <c:idx val="3"/>
          <c:order val="2"/>
          <c:tx>
            <c:strRef>
              <c:f>'Switzerland EV uptake'!$AB$3</c:f>
              <c:strCache>
                <c:ptCount val="1"/>
                <c:pt idx="0">
                  <c:v>predicted raw</c:v>
                </c:pt>
              </c:strCache>
            </c:strRef>
          </c:tx>
          <c:spPr>
            <a:ln w="28575" cap="rnd">
              <a:solidFill>
                <a:schemeClr val="accent4"/>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uptake'!$AB$4:$AB$45</c:f>
              <c:numCache>
                <c:formatCode>0.00</c:formatCode>
                <c:ptCount val="42"/>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pt idx="10">
                  <c:v>4.8724801350553042</c:v>
                </c:pt>
                <c:pt idx="11">
                  <c:v>6.6991954560165095</c:v>
                </c:pt>
                <c:pt idx="12">
                  <c:v>9.1070270327411542</c:v>
                </c:pt>
                <c:pt idx="13">
                  <c:v>12.199197278580884</c:v>
                </c:pt>
                <c:pt idx="14">
                  <c:v>16.039974653046883</c:v>
                </c:pt>
                <c:pt idx="15">
                  <c:v>20.617795513239166</c:v>
                </c:pt>
                <c:pt idx="16">
                  <c:v>25.813294105753002</c:v>
                </c:pt>
                <c:pt idx="17">
                  <c:v>31.39198763842187</c:v>
                </c:pt>
                <c:pt idx="18">
                  <c:v>37.036826165730012</c:v>
                </c:pt>
                <c:pt idx="19">
                  <c:v>42.415652843649568</c:v>
                </c:pt>
                <c:pt idx="20">
                  <c:v>47.255539591428146</c:v>
                </c:pt>
                <c:pt idx="21">
                  <c:v>51.391009635066219</c:v>
                </c:pt>
                <c:pt idx="22">
                  <c:v>54.771299004421564</c:v>
                </c:pt>
                <c:pt idx="23">
                  <c:v>57.435556837430028</c:v>
                </c:pt>
                <c:pt idx="24">
                  <c:v>59.475849898845816</c:v>
                </c:pt>
                <c:pt idx="25">
                  <c:v>61.004118023693003</c:v>
                </c:pt>
                <c:pt idx="26">
                  <c:v>62.129989626255771</c:v>
                </c:pt>
                <c:pt idx="27">
                  <c:v>62.949301624138897</c:v>
                </c:pt>
                <c:pt idx="28">
                  <c:v>63.540217168021101</c:v>
                </c:pt>
                <c:pt idx="29">
                  <c:v>63.963661672656372</c:v>
                </c:pt>
                <c:pt idx="30">
                  <c:v>64.265695582398237</c:v>
                </c:pt>
                <c:pt idx="31">
                  <c:v>64.480418758306072</c:v>
                </c:pt>
                <c:pt idx="32">
                  <c:v>64.632712050467561</c:v>
                </c:pt>
                <c:pt idx="33">
                  <c:v>64.740546611159417</c:v>
                </c:pt>
                <c:pt idx="34">
                  <c:v>64.816811025488292</c:v>
                </c:pt>
                <c:pt idx="35">
                  <c:v>64.870702847490548</c:v>
                </c:pt>
                <c:pt idx="36">
                  <c:v>64.908762710706355</c:v>
                </c:pt>
                <c:pt idx="37">
                  <c:v>64.935630403047924</c:v>
                </c:pt>
                <c:pt idx="38">
                  <c:v>64.954591592525631</c:v>
                </c:pt>
                <c:pt idx="39">
                  <c:v>64.967970187344591</c:v>
                </c:pt>
                <c:pt idx="40">
                  <c:v>64.977408442550114</c:v>
                </c:pt>
                <c:pt idx="41">
                  <c:v>64.98406620026428</c:v>
                </c:pt>
              </c:numCache>
            </c:numRef>
          </c:val>
          <c:smooth val="0"/>
          <c:extLst>
            <c:ext xmlns:c16="http://schemas.microsoft.com/office/drawing/2014/chart" uri="{C3380CC4-5D6E-409C-BE32-E72D297353CC}">
              <c16:uniqueId val="{00000003-F5CE-43FD-9B24-D0F0ED2869FE}"/>
            </c:ext>
          </c:extLst>
        </c:ser>
        <c:dLbls>
          <c:showLegendKey val="0"/>
          <c:showVal val="0"/>
          <c:showCatName val="0"/>
          <c:showSerName val="0"/>
          <c:showPercent val="0"/>
          <c:showBubbleSize val="0"/>
        </c:dLbls>
        <c:smooth val="0"/>
        <c:axId val="897267312"/>
        <c:axId val="897272232"/>
      </c:lineChart>
      <c:catAx>
        <c:axId val="89726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2232"/>
        <c:crosses val="autoZero"/>
        <c:auto val="1"/>
        <c:lblAlgn val="ctr"/>
        <c:lblOffset val="100"/>
        <c:noMultiLvlLbl val="0"/>
      </c:catAx>
      <c:valAx>
        <c:axId val="897272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6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 EV uptake'!$B$3</c:f>
              <c:strCache>
                <c:ptCount val="1"/>
                <c:pt idx="0">
                  <c:v> EV %sales</c:v>
                </c:pt>
              </c:strCache>
            </c:strRef>
          </c:tx>
          <c:spPr>
            <a:ln w="47625" cap="rnd">
              <a:solidFill>
                <a:schemeClr val="tx1"/>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uptake'!$B$4:$B$45</c:f>
              <c:numCache>
                <c:formatCode>0.00</c:formatCode>
                <c:ptCount val="42"/>
                <c:pt idx="0">
                  <c:v>0</c:v>
                </c:pt>
                <c:pt idx="1">
                  <c:v>4.1470412714895974E-2</c:v>
                </c:pt>
                <c:pt idx="2">
                  <c:v>0.13294506868320349</c:v>
                </c:pt>
                <c:pt idx="3">
                  <c:v>0.25655226092292954</c:v>
                </c:pt>
                <c:pt idx="4">
                  <c:v>0.43690676507084714</c:v>
                </c:pt>
                <c:pt idx="5">
                  <c:v>0.70521908497078434</c:v>
                </c:pt>
                <c:pt idx="6">
                  <c:v>1.736769602362229</c:v>
                </c:pt>
                <c:pt idx="7">
                  <c:v>1.9299434316058177</c:v>
                </c:pt>
                <c:pt idx="8">
                  <c:v>2.6039079317767841</c:v>
                </c:pt>
                <c:pt idx="9">
                  <c:v>3.6945206904604002</c:v>
                </c:pt>
              </c:numCache>
            </c:numRef>
          </c:val>
          <c:smooth val="0"/>
          <c:extLst>
            <c:ext xmlns:c16="http://schemas.microsoft.com/office/drawing/2014/chart" uri="{C3380CC4-5D6E-409C-BE32-E72D297353CC}">
              <c16:uniqueId val="{00000000-2855-423B-B5A9-F64D0F5995C0}"/>
            </c:ext>
          </c:extLst>
        </c:ser>
        <c:ser>
          <c:idx val="1"/>
          <c:order val="1"/>
          <c:tx>
            <c:strRef>
              <c:f>'Switzerland EV uptake'!$C$3</c:f>
              <c:strCache>
                <c:ptCount val="1"/>
                <c:pt idx="0">
                  <c:v>Predicted Cost Lagged</c:v>
                </c:pt>
              </c:strCache>
            </c:strRef>
          </c:tx>
          <c:spPr>
            <a:ln w="28575" cap="rnd">
              <a:solidFill>
                <a:schemeClr val="accent2"/>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uptake'!$C$4:$C$45</c:f>
              <c:numCache>
                <c:formatCode>0.00</c:formatCode>
                <c:ptCount val="42"/>
                <c:pt idx="3">
                  <c:v>0.2429049181160419</c:v>
                </c:pt>
                <c:pt idx="4">
                  <c:v>0.42348472348697969</c:v>
                </c:pt>
                <c:pt idx="5">
                  <c:v>0.73678333887473513</c:v>
                </c:pt>
                <c:pt idx="6">
                  <c:v>1.7272382151998207</c:v>
                </c:pt>
                <c:pt idx="7">
                  <c:v>1.9655495214791945</c:v>
                </c:pt>
                <c:pt idx="8">
                  <c:v>2.5181859041344001</c:v>
                </c:pt>
                <c:pt idx="9">
                  <c:v>4.0792777376945386</c:v>
                </c:pt>
                <c:pt idx="10">
                  <c:v>5.3295337963467757</c:v>
                </c:pt>
                <c:pt idx="11">
                  <c:v>6.833462724122529</c:v>
                </c:pt>
                <c:pt idx="12">
                  <c:v>9.0655879820791885</c:v>
                </c:pt>
                <c:pt idx="13">
                  <c:v>11.340549172193581</c:v>
                </c:pt>
                <c:pt idx="14">
                  <c:v>13.969895796420333</c:v>
                </c:pt>
                <c:pt idx="15">
                  <c:v>17.132598991346192</c:v>
                </c:pt>
                <c:pt idx="16">
                  <c:v>20.673049593959433</c:v>
                </c:pt>
                <c:pt idx="17">
                  <c:v>24.573267650361963</c:v>
                </c:pt>
                <c:pt idx="18">
                  <c:v>28.686021159696825</c:v>
                </c:pt>
                <c:pt idx="19">
                  <c:v>32.989440621710102</c:v>
                </c:pt>
                <c:pt idx="20">
                  <c:v>37.169467984997326</c:v>
                </c:pt>
                <c:pt idx="21">
                  <c:v>41.135504216434143</c:v>
                </c:pt>
                <c:pt idx="22">
                  <c:v>44.68290315088489</c:v>
                </c:pt>
                <c:pt idx="23">
                  <c:v>47.891592258478695</c:v>
                </c:pt>
                <c:pt idx="24">
                  <c:v>50.704484533454597</c:v>
                </c:pt>
                <c:pt idx="25">
                  <c:v>53.06923354824098</c:v>
                </c:pt>
                <c:pt idx="26">
                  <c:v>54.937576847824054</c:v>
                </c:pt>
                <c:pt idx="27">
                  <c:v>56.553846464532619</c:v>
                </c:pt>
                <c:pt idx="28">
                  <c:v>57.936908496138756</c:v>
                </c:pt>
                <c:pt idx="29">
                  <c:v>59.110854323429628</c:v>
                </c:pt>
                <c:pt idx="30">
                  <c:v>60.100956023586413</c:v>
                </c:pt>
                <c:pt idx="31">
                  <c:v>60.931984632212469</c:v>
                </c:pt>
                <c:pt idx="32">
                  <c:v>61.627097564996483</c:v>
                </c:pt>
                <c:pt idx="33">
                  <c:v>62.20721190073521</c:v>
                </c:pt>
                <c:pt idx="34">
                  <c:v>62.690745151365839</c:v>
                </c:pt>
                <c:pt idx="35">
                  <c:v>63.093606989022319</c:v>
                </c:pt>
                <c:pt idx="36">
                  <c:v>63.428271807956612</c:v>
                </c:pt>
                <c:pt idx="37">
                  <c:v>63.705607935449784</c:v>
                </c:pt>
                <c:pt idx="38">
                  <c:v>63.934973544822398</c:v>
                </c:pt>
                <c:pt idx="39">
                  <c:v>64.124351024333706</c:v>
                </c:pt>
                <c:pt idx="40">
                  <c:v>64.278564934374558</c:v>
                </c:pt>
                <c:pt idx="41">
                  <c:v>64.40108218698748</c:v>
                </c:pt>
              </c:numCache>
            </c:numRef>
          </c:val>
          <c:smooth val="0"/>
          <c:extLst>
            <c:ext xmlns:c16="http://schemas.microsoft.com/office/drawing/2014/chart" uri="{C3380CC4-5D6E-409C-BE32-E72D297353CC}">
              <c16:uniqueId val="{00000001-2855-423B-B5A9-F64D0F5995C0}"/>
            </c:ext>
          </c:extLst>
        </c:ser>
        <c:ser>
          <c:idx val="2"/>
          <c:order val="2"/>
          <c:tx>
            <c:strRef>
              <c:f>'Switzerland EV uptake'!$L$3</c:f>
              <c:strCache>
                <c:ptCount val="1"/>
                <c:pt idx="0">
                  <c:v>Predicted Cost</c:v>
                </c:pt>
              </c:strCache>
            </c:strRef>
          </c:tx>
          <c:spPr>
            <a:ln w="28575" cap="rnd">
              <a:solidFill>
                <a:schemeClr val="accent3"/>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uptake'!$L$4:$L$45</c:f>
              <c:numCache>
                <c:formatCode>0.00</c:formatCode>
                <c:ptCount val="42"/>
                <c:pt idx="3" formatCode="0.000">
                  <c:v>0.2429049181160419</c:v>
                </c:pt>
                <c:pt idx="4" formatCode="0.000">
                  <c:v>0.42348472348697969</c:v>
                </c:pt>
                <c:pt idx="5" formatCode="0.000">
                  <c:v>0.42348472348697969</c:v>
                </c:pt>
                <c:pt idx="6" formatCode="0.000">
                  <c:v>1.7272382151998207</c:v>
                </c:pt>
                <c:pt idx="7" formatCode="0.000">
                  <c:v>1.9655495214791945</c:v>
                </c:pt>
                <c:pt idx="8" formatCode="0.000">
                  <c:v>2.5181859041344001</c:v>
                </c:pt>
                <c:pt idx="9" formatCode="0.000">
                  <c:v>3.9138515212675342</c:v>
                </c:pt>
                <c:pt idx="10" formatCode="0.000">
                  <c:v>5.3421470235199262</c:v>
                </c:pt>
                <c:pt idx="11" formatCode="0.000">
                  <c:v>7.2783492984092222</c:v>
                </c:pt>
                <c:pt idx="12" formatCode="0.000">
                  <c:v>9.7835749110881469</c:v>
                </c:pt>
                <c:pt idx="13" formatCode="0.000">
                  <c:v>12.932637986724922</c:v>
                </c:pt>
                <c:pt idx="14" formatCode="0.000">
                  <c:v>17.871196423205994</c:v>
                </c:pt>
                <c:pt idx="15" formatCode="0.000">
                  <c:v>23.457156249803763</c:v>
                </c:pt>
                <c:pt idx="16" formatCode="0.000">
                  <c:v>29.5004473628175</c:v>
                </c:pt>
                <c:pt idx="17" formatCode="0.000">
                  <c:v>35.743560350493752</c:v>
                </c:pt>
                <c:pt idx="18" formatCode="0.000">
                  <c:v>42.574261048730236</c:v>
                </c:pt>
                <c:pt idx="19" formatCode="0.000">
                  <c:v>47.782974888531861</c:v>
                </c:pt>
                <c:pt idx="20" formatCode="0.000">
                  <c:v>52.27077963515503</c:v>
                </c:pt>
                <c:pt idx="21" formatCode="0.000">
                  <c:v>55.988472671163706</c:v>
                </c:pt>
                <c:pt idx="22" formatCode="0.000">
                  <c:v>58.963362678129236</c:v>
                </c:pt>
                <c:pt idx="23" formatCode="0.000">
                  <c:v>60.598963202072696</c:v>
                </c:pt>
                <c:pt idx="24" formatCode="0.000">
                  <c:v>61.819895268190919</c:v>
                </c:pt>
                <c:pt idx="25" formatCode="0.000">
                  <c:v>62.717457622953035</c:v>
                </c:pt>
                <c:pt idx="26" formatCode="0.000">
                  <c:v>63.369773134694071</c:v>
                </c:pt>
                <c:pt idx="27" formatCode="0.000">
                  <c:v>63.839858961104142</c:v>
                </c:pt>
                <c:pt idx="28" formatCode="0.000">
                  <c:v>64.176541046369863</c:v>
                </c:pt>
                <c:pt idx="29" formatCode="0.000">
                  <c:v>64.416606934997532</c:v>
                </c:pt>
                <c:pt idx="30" formatCode="0.000">
                  <c:v>64.587236805563904</c:v>
                </c:pt>
                <c:pt idx="31" formatCode="0.000">
                  <c:v>64.708238258582384</c:v>
                </c:pt>
                <c:pt idx="32" formatCode="0.000">
                  <c:v>64.793907049062426</c:v>
                </c:pt>
                <c:pt idx="33" formatCode="0.000">
                  <c:v>64.854490719578507</c:v>
                </c:pt>
                <c:pt idx="34" formatCode="0.000">
                  <c:v>64.897299715851744</c:v>
                </c:pt>
                <c:pt idx="35" formatCode="0.000">
                  <c:v>64.927531548223016</c:v>
                </c:pt>
                <c:pt idx="36" formatCode="0.000">
                  <c:v>64.948872667234923</c:v>
                </c:pt>
                <c:pt idx="37" formatCode="0.000">
                  <c:v>64.963933365146517</c:v>
                </c:pt>
                <c:pt idx="38" formatCode="0.000">
                  <c:v>64.974559734242902</c:v>
                </c:pt>
                <c:pt idx="39" formatCode="0.000">
                  <c:v>64.982056302700173</c:v>
                </c:pt>
                <c:pt idx="40" formatCode="0.000">
                  <c:v>64.987344361170713</c:v>
                </c:pt>
                <c:pt idx="41" formatCode="0.000">
                  <c:v>64.991074276994738</c:v>
                </c:pt>
              </c:numCache>
            </c:numRef>
          </c:val>
          <c:smooth val="0"/>
          <c:extLst>
            <c:ext xmlns:c16="http://schemas.microsoft.com/office/drawing/2014/chart" uri="{C3380CC4-5D6E-409C-BE32-E72D297353CC}">
              <c16:uniqueId val="{00000002-2855-423B-B5A9-F64D0F5995C0}"/>
            </c:ext>
          </c:extLst>
        </c:ser>
        <c:ser>
          <c:idx val="3"/>
          <c:order val="3"/>
          <c:tx>
            <c:strRef>
              <c:f>'Switzerland EV uptake'!$AB$3</c:f>
              <c:strCache>
                <c:ptCount val="1"/>
                <c:pt idx="0">
                  <c:v>predicted raw</c:v>
                </c:pt>
              </c:strCache>
            </c:strRef>
          </c:tx>
          <c:spPr>
            <a:ln w="28575" cap="rnd">
              <a:solidFill>
                <a:schemeClr val="accent4"/>
              </a:solidFill>
              <a:round/>
            </a:ln>
            <a:effectLst/>
          </c:spPr>
          <c:marker>
            <c:symbol val="none"/>
          </c:marker>
          <c:cat>
            <c:numRef>
              <c:f>'Switzerland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'Switzerland EV uptake'!$AB$4:$AB$45</c:f>
              <c:numCache>
                <c:formatCode>0.00</c:formatCode>
                <c:ptCount val="42"/>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pt idx="10">
                  <c:v>4.8724801350553042</c:v>
                </c:pt>
                <c:pt idx="11">
                  <c:v>6.6991954560165095</c:v>
                </c:pt>
                <c:pt idx="12">
                  <c:v>9.1070270327411542</c:v>
                </c:pt>
                <c:pt idx="13">
                  <c:v>12.199197278580884</c:v>
                </c:pt>
                <c:pt idx="14">
                  <c:v>16.039974653046883</c:v>
                </c:pt>
                <c:pt idx="15">
                  <c:v>20.617795513239166</c:v>
                </c:pt>
                <c:pt idx="16">
                  <c:v>25.813294105753002</c:v>
                </c:pt>
                <c:pt idx="17">
                  <c:v>31.39198763842187</c:v>
                </c:pt>
                <c:pt idx="18">
                  <c:v>37.036826165730012</c:v>
                </c:pt>
                <c:pt idx="19">
                  <c:v>42.415652843649568</c:v>
                </c:pt>
                <c:pt idx="20">
                  <c:v>47.255539591428146</c:v>
                </c:pt>
                <c:pt idx="21">
                  <c:v>51.391009635066219</c:v>
                </c:pt>
                <c:pt idx="22">
                  <c:v>54.771299004421564</c:v>
                </c:pt>
                <c:pt idx="23">
                  <c:v>57.435556837430028</c:v>
                </c:pt>
                <c:pt idx="24">
                  <c:v>59.475849898845816</c:v>
                </c:pt>
                <c:pt idx="25">
                  <c:v>61.004118023693003</c:v>
                </c:pt>
                <c:pt idx="26">
                  <c:v>62.129989626255771</c:v>
                </c:pt>
                <c:pt idx="27">
                  <c:v>62.949301624138897</c:v>
                </c:pt>
                <c:pt idx="28">
                  <c:v>63.540217168021101</c:v>
                </c:pt>
                <c:pt idx="29">
                  <c:v>63.963661672656372</c:v>
                </c:pt>
                <c:pt idx="30">
                  <c:v>64.265695582398237</c:v>
                </c:pt>
                <c:pt idx="31">
                  <c:v>64.480418758306072</c:v>
                </c:pt>
                <c:pt idx="32">
                  <c:v>64.632712050467561</c:v>
                </c:pt>
                <c:pt idx="33">
                  <c:v>64.740546611159417</c:v>
                </c:pt>
                <c:pt idx="34">
                  <c:v>64.816811025488292</c:v>
                </c:pt>
                <c:pt idx="35">
                  <c:v>64.870702847490548</c:v>
                </c:pt>
                <c:pt idx="36">
                  <c:v>64.908762710706355</c:v>
                </c:pt>
                <c:pt idx="37">
                  <c:v>64.935630403047924</c:v>
                </c:pt>
                <c:pt idx="38">
                  <c:v>64.954591592525631</c:v>
                </c:pt>
                <c:pt idx="39">
                  <c:v>64.967970187344591</c:v>
                </c:pt>
                <c:pt idx="40">
                  <c:v>64.977408442550114</c:v>
                </c:pt>
                <c:pt idx="41">
                  <c:v>64.98406620026428</c:v>
                </c:pt>
              </c:numCache>
            </c:numRef>
          </c:val>
          <c:smooth val="0"/>
          <c:extLst>
            <c:ext xmlns:c16="http://schemas.microsoft.com/office/drawing/2014/chart" uri="{C3380CC4-5D6E-409C-BE32-E72D297353CC}">
              <c16:uniqueId val="{00000003-2855-423B-B5A9-F64D0F5995C0}"/>
            </c:ext>
          </c:extLst>
        </c:ser>
        <c:dLbls>
          <c:showLegendKey val="0"/>
          <c:showVal val="0"/>
          <c:showCatName val="0"/>
          <c:showSerName val="0"/>
          <c:showPercent val="0"/>
          <c:showBubbleSize val="0"/>
        </c:dLbls>
        <c:smooth val="0"/>
        <c:axId val="897267312"/>
        <c:axId val="897272232"/>
      </c:lineChart>
      <c:catAx>
        <c:axId val="89726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72232"/>
        <c:crosses val="autoZero"/>
        <c:auto val="1"/>
        <c:lblAlgn val="ctr"/>
        <c:lblOffset val="100"/>
        <c:noMultiLvlLbl val="0"/>
      </c:catAx>
      <c:valAx>
        <c:axId val="897272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26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Switzerland!$N$2</c:f>
              <c:strCache>
                <c:ptCount val="1"/>
                <c:pt idx="0">
                  <c:v>BEV price</c:v>
                </c:pt>
              </c:strCache>
            </c:strRef>
          </c:tx>
          <c:spPr>
            <a:ln w="60325" cap="rnd">
              <a:solidFill>
                <a:schemeClr val="accent1"/>
              </a:solidFill>
              <a:round/>
            </a:ln>
            <a:effectLst/>
          </c:spPr>
          <c:marker>
            <c:symbol val="none"/>
          </c:marker>
          <c:cat>
            <c:numRef>
              <c:f>Switzerland!$M$3:$M$24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Switzerland!$N$3:$N$24</c:f>
              <c:numCache>
                <c:formatCode>0</c:formatCode>
                <c:ptCount val="22"/>
                <c:pt idx="0">
                  <c:v>38366.489686100416</c:v>
                </c:pt>
                <c:pt idx="1">
                  <c:v>37439.309240117014</c:v>
                </c:pt>
                <c:pt idx="2">
                  <c:v>32318.274419469555</c:v>
                </c:pt>
                <c:pt idx="3">
                  <c:v>35091.713825923427</c:v>
                </c:pt>
                <c:pt idx="4">
                  <c:v>33972.787385640957</c:v>
                </c:pt>
                <c:pt idx="5">
                  <c:v>36147.870763402032</c:v>
                </c:pt>
                <c:pt idx="6">
                  <c:v>33442.401408083824</c:v>
                </c:pt>
                <c:pt idx="7">
                  <c:v>34176.214719242322</c:v>
                </c:pt>
                <c:pt idx="8">
                  <c:v>34211.634416058143</c:v>
                </c:pt>
                <c:pt idx="9">
                  <c:v>34761.398704488587</c:v>
                </c:pt>
                <c:pt idx="10">
                  <c:v>35393.926858227154</c:v>
                </c:pt>
                <c:pt idx="11">
                  <c:v>35190.205623285081</c:v>
                </c:pt>
                <c:pt idx="12">
                  <c:v>34341.749629150945</c:v>
                </c:pt>
                <c:pt idx="13">
                  <c:v>34816.228388715346</c:v>
                </c:pt>
                <c:pt idx="14">
                  <c:v>34510.350369616433</c:v>
                </c:pt>
                <c:pt idx="15">
                  <c:v>33327.919598350592</c:v>
                </c:pt>
                <c:pt idx="16">
                  <c:v>32312.787013730653</c:v>
                </c:pt>
                <c:pt idx="17">
                  <c:v>31734.472294460887</c:v>
                </c:pt>
                <c:pt idx="18">
                  <c:v>31156.157575191122</c:v>
                </c:pt>
                <c:pt idx="19">
                  <c:v>30505.553516012631</c:v>
                </c:pt>
                <c:pt idx="20">
                  <c:v>29927.238796742866</c:v>
                </c:pt>
                <c:pt idx="21">
                  <c:v>29276.634737564382</c:v>
                </c:pt>
              </c:numCache>
            </c:numRef>
          </c:val>
          <c:smooth val="0"/>
          <c:extLst>
            <c:ext xmlns:c16="http://schemas.microsoft.com/office/drawing/2014/chart" uri="{C3380CC4-5D6E-409C-BE32-E72D297353CC}">
              <c16:uniqueId val="{00000000-22EF-4603-BD32-C7C33B69FEF3}"/>
            </c:ext>
          </c:extLst>
        </c:ser>
        <c:ser>
          <c:idx val="1"/>
          <c:order val="1"/>
          <c:tx>
            <c:strRef>
              <c:f>Switzerland!$O$2</c:f>
              <c:strCache>
                <c:ptCount val="1"/>
                <c:pt idx="0">
                  <c:v>PHEV price</c:v>
                </c:pt>
              </c:strCache>
            </c:strRef>
          </c:tx>
          <c:spPr>
            <a:ln w="19050" cap="rnd">
              <a:solidFill>
                <a:schemeClr val="accent2"/>
              </a:solidFill>
              <a:round/>
            </a:ln>
            <a:effectLst/>
          </c:spPr>
          <c:marker>
            <c:symbol val="none"/>
          </c:marker>
          <c:cat>
            <c:numRef>
              <c:f>Switzerland!$M$3:$M$24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Switzerland!$O$3:$O$24</c:f>
              <c:numCache>
                <c:formatCode>0</c:formatCode>
                <c:ptCount val="22"/>
                <c:pt idx="0">
                  <c:v>38366.489686100416</c:v>
                </c:pt>
                <c:pt idx="1">
                  <c:v>37439.309240117014</c:v>
                </c:pt>
                <c:pt idx="2">
                  <c:v>32318.274419469555</c:v>
                </c:pt>
                <c:pt idx="3">
                  <c:v>35091.713825923427</c:v>
                </c:pt>
                <c:pt idx="4">
                  <c:v>33972.787385640957</c:v>
                </c:pt>
                <c:pt idx="5">
                  <c:v>36147.870763402032</c:v>
                </c:pt>
                <c:pt idx="6">
                  <c:v>33442.401408083824</c:v>
                </c:pt>
                <c:pt idx="7">
                  <c:v>34176.214719242322</c:v>
                </c:pt>
                <c:pt idx="8">
                  <c:v>34211.634416058143</c:v>
                </c:pt>
                <c:pt idx="9">
                  <c:v>34761.398704488587</c:v>
                </c:pt>
                <c:pt idx="10">
                  <c:v>35393.926858227154</c:v>
                </c:pt>
                <c:pt idx="11">
                  <c:v>35190.205623285081</c:v>
                </c:pt>
                <c:pt idx="12">
                  <c:v>34341.749629150945</c:v>
                </c:pt>
                <c:pt idx="13">
                  <c:v>34816.228388715346</c:v>
                </c:pt>
                <c:pt idx="14">
                  <c:v>34510.350369616433</c:v>
                </c:pt>
                <c:pt idx="15">
                  <c:v>33327.919598350592</c:v>
                </c:pt>
                <c:pt idx="16">
                  <c:v>32312.787013730653</c:v>
                </c:pt>
                <c:pt idx="17">
                  <c:v>31734.472294460887</c:v>
                </c:pt>
                <c:pt idx="18">
                  <c:v>31156.157575191122</c:v>
                </c:pt>
                <c:pt idx="19">
                  <c:v>30505.553516012631</c:v>
                </c:pt>
                <c:pt idx="20">
                  <c:v>29927.238796742866</c:v>
                </c:pt>
                <c:pt idx="21">
                  <c:v>29276.634737564382</c:v>
                </c:pt>
              </c:numCache>
            </c:numRef>
          </c:val>
          <c:smooth val="0"/>
          <c:extLst>
            <c:ext xmlns:c16="http://schemas.microsoft.com/office/drawing/2014/chart" uri="{C3380CC4-5D6E-409C-BE32-E72D297353CC}">
              <c16:uniqueId val="{00000001-22EF-4603-BD32-C7C33B69FEF3}"/>
            </c:ext>
          </c:extLst>
        </c:ser>
        <c:ser>
          <c:idx val="2"/>
          <c:order val="2"/>
          <c:tx>
            <c:strRef>
              <c:f>Switzerland!$P$2</c:f>
              <c:strCache>
                <c:ptCount val="1"/>
                <c:pt idx="0">
                  <c:v>FFV price</c:v>
                </c:pt>
              </c:strCache>
            </c:strRef>
          </c:tx>
          <c:spPr>
            <a:ln w="28575" cap="rnd">
              <a:solidFill>
                <a:schemeClr val="tx1"/>
              </a:solidFill>
              <a:round/>
            </a:ln>
            <a:effectLst/>
          </c:spPr>
          <c:marker>
            <c:symbol val="none"/>
          </c:marker>
          <c:cat>
            <c:numRef>
              <c:f>Switzerland!$M$3:$M$24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Switzerland!$P$3:$P$24</c:f>
              <c:numCache>
                <c:formatCode>0</c:formatCode>
                <c:ptCount val="22"/>
                <c:pt idx="0">
                  <c:v>28692.309588073113</c:v>
                </c:pt>
                <c:pt idx="1">
                  <c:v>27591.803750756379</c:v>
                </c:pt>
                <c:pt idx="2">
                  <c:v>23665.677054926655</c:v>
                </c:pt>
                <c:pt idx="3">
                  <c:v>25087.472150203288</c:v>
                </c:pt>
                <c:pt idx="4">
                  <c:v>24868.779807975159</c:v>
                </c:pt>
                <c:pt idx="5">
                  <c:v>24638.031516499814</c:v>
                </c:pt>
                <c:pt idx="6">
                  <c:v>25413.451169806074</c:v>
                </c:pt>
                <c:pt idx="7">
                  <c:v>25999.403514759135</c:v>
                </c:pt>
                <c:pt idx="8">
                  <c:v>26021.474162194445</c:v>
                </c:pt>
                <c:pt idx="9">
                  <c:v>25946.044444444444</c:v>
                </c:pt>
                <c:pt idx="10">
                  <c:v>25946.044444444444</c:v>
                </c:pt>
                <c:pt idx="11">
                  <c:v>25946.044444444444</c:v>
                </c:pt>
                <c:pt idx="12">
                  <c:v>25946.044444444444</c:v>
                </c:pt>
                <c:pt idx="13">
                  <c:v>25946.044444444444</c:v>
                </c:pt>
                <c:pt idx="14">
                  <c:v>25946.044444444444</c:v>
                </c:pt>
                <c:pt idx="15">
                  <c:v>25946.044444444444</c:v>
                </c:pt>
                <c:pt idx="16">
                  <c:v>25946.044444444444</c:v>
                </c:pt>
                <c:pt idx="17">
                  <c:v>25946.044444444444</c:v>
                </c:pt>
                <c:pt idx="18">
                  <c:v>25946.044444444444</c:v>
                </c:pt>
                <c:pt idx="19">
                  <c:v>25946.044444444444</c:v>
                </c:pt>
                <c:pt idx="20">
                  <c:v>25946.044444444444</c:v>
                </c:pt>
                <c:pt idx="21">
                  <c:v>25946.044444444444</c:v>
                </c:pt>
              </c:numCache>
            </c:numRef>
          </c:val>
          <c:smooth val="0"/>
          <c:extLst>
            <c:ext xmlns:c16="http://schemas.microsoft.com/office/drawing/2014/chart" uri="{C3380CC4-5D6E-409C-BE32-E72D297353CC}">
              <c16:uniqueId val="{00000002-22EF-4603-BD32-C7C33B69FEF3}"/>
            </c:ext>
          </c:extLst>
        </c:ser>
        <c:dLbls>
          <c:showLegendKey val="0"/>
          <c:showVal val="0"/>
          <c:showCatName val="0"/>
          <c:showSerName val="0"/>
          <c:showPercent val="0"/>
          <c:showBubbleSize val="0"/>
        </c:dLbls>
        <c:smooth val="0"/>
        <c:axId val="581435048"/>
        <c:axId val="581461288"/>
      </c:lineChart>
      <c:catAx>
        <c:axId val="58143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61288"/>
        <c:crosses val="autoZero"/>
        <c:auto val="1"/>
        <c:lblAlgn val="ctr"/>
        <c:lblOffset val="100"/>
        <c:noMultiLvlLbl val="0"/>
      </c:catAx>
      <c:valAx>
        <c:axId val="58146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3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uptake'!$AD$3</c:f>
              <c:strCache>
                <c:ptCount val="1"/>
                <c:pt idx="0">
                  <c:v> Linear Logistic</c:v>
                </c:pt>
              </c:strCache>
            </c:strRef>
          </c:tx>
          <c:spPr>
            <a:ln w="44450" cap="rnd">
              <a:solidFill>
                <a:schemeClr val="tx1"/>
              </a:solidFill>
              <a:round/>
            </a:ln>
            <a:effectLst/>
          </c:spPr>
          <c:marker>
            <c:symbol val="none"/>
          </c:marker>
          <c:cat>
            <c:numRef>
              <c:f>'USA EV uptake'!$A$7:$A$13</c:f>
              <c:numCache>
                <c:formatCode>General</c:formatCode>
                <c:ptCount val="7"/>
                <c:pt idx="0">
                  <c:v>2012</c:v>
                </c:pt>
                <c:pt idx="1">
                  <c:v>2013</c:v>
                </c:pt>
                <c:pt idx="2">
                  <c:v>2014</c:v>
                </c:pt>
                <c:pt idx="3">
                  <c:v>2015</c:v>
                </c:pt>
                <c:pt idx="4">
                  <c:v>2016</c:v>
                </c:pt>
                <c:pt idx="5">
                  <c:v>2017</c:v>
                </c:pt>
                <c:pt idx="6">
                  <c:v>2018</c:v>
                </c:pt>
              </c:numCache>
            </c:numRef>
          </c:cat>
          <c:val>
            <c:numRef>
              <c:f>'USA EV uptake'!$AD$7:$AD$13</c:f>
              <c:numCache>
                <c:formatCode>General</c:formatCode>
                <c:ptCount val="7"/>
                <c:pt idx="0">
                  <c:v>-4.9834430622817418</c:v>
                </c:pt>
                <c:pt idx="1">
                  <c:v>-4.4055295027973616</c:v>
                </c:pt>
                <c:pt idx="2">
                  <c:v>-4.2506964533783416</c:v>
                </c:pt>
                <c:pt idx="3">
                  <c:v>-4.3407828177621823</c:v>
                </c:pt>
                <c:pt idx="4">
                  <c:v>-4.0140772368890962</c:v>
                </c:pt>
                <c:pt idx="5">
                  <c:v>-3.7793164750853769</c:v>
                </c:pt>
                <c:pt idx="6">
                  <c:v>-3.1718045228445266</c:v>
                </c:pt>
              </c:numCache>
            </c:numRef>
          </c:val>
          <c:smooth val="0"/>
          <c:extLst>
            <c:ext xmlns:c16="http://schemas.microsoft.com/office/drawing/2014/chart" uri="{C3380CC4-5D6E-409C-BE32-E72D297353CC}">
              <c16:uniqueId val="{00000000-3632-4D0D-AEBC-E0C190684ABB}"/>
            </c:ext>
          </c:extLst>
        </c:ser>
        <c:ser>
          <c:idx val="1"/>
          <c:order val="1"/>
          <c:tx>
            <c:strRef>
              <c:f>'USA EV uptake'!$AE$3</c:f>
              <c:strCache>
                <c:ptCount val="1"/>
                <c:pt idx="0">
                  <c:v>predicted</c:v>
                </c:pt>
              </c:strCache>
            </c:strRef>
          </c:tx>
          <c:spPr>
            <a:ln w="28575" cap="rnd">
              <a:solidFill>
                <a:schemeClr val="accent2"/>
              </a:solidFill>
              <a:round/>
            </a:ln>
            <a:effectLst/>
          </c:spPr>
          <c:marker>
            <c:symbol val="none"/>
          </c:marker>
          <c:cat>
            <c:numRef>
              <c:f>'USA EV uptake'!$A$7:$A$13</c:f>
              <c:numCache>
                <c:formatCode>General</c:formatCode>
                <c:ptCount val="7"/>
                <c:pt idx="0">
                  <c:v>2012</c:v>
                </c:pt>
                <c:pt idx="1">
                  <c:v>2013</c:v>
                </c:pt>
                <c:pt idx="2">
                  <c:v>2014</c:v>
                </c:pt>
                <c:pt idx="3">
                  <c:v>2015</c:v>
                </c:pt>
                <c:pt idx="4">
                  <c:v>2016</c:v>
                </c:pt>
                <c:pt idx="5">
                  <c:v>2017</c:v>
                </c:pt>
                <c:pt idx="6">
                  <c:v>2018</c:v>
                </c:pt>
              </c:numCache>
            </c:numRef>
          </c:cat>
          <c:val>
            <c:numRef>
              <c:f>'USA EV uptake'!$AE$7:$AE$13</c:f>
              <c:numCache>
                <c:formatCode>General</c:formatCode>
                <c:ptCount val="7"/>
                <c:pt idx="0">
                  <c:v>-4.99423983410699</c:v>
                </c:pt>
                <c:pt idx="1">
                  <c:v>-4.4472521341049163</c:v>
                </c:pt>
                <c:pt idx="2">
                  <c:v>-4.208973822070786</c:v>
                </c:pt>
                <c:pt idx="3">
                  <c:v>-4.2794048980046</c:v>
                </c:pt>
                <c:pt idx="4">
                  <c:v>-4.0411265859704697</c:v>
                </c:pt>
                <c:pt idx="5">
                  <c:v>-3.8028482739363398</c:v>
                </c:pt>
                <c:pt idx="6">
                  <c:v>-3.1718045228445271</c:v>
                </c:pt>
              </c:numCache>
            </c:numRef>
          </c:val>
          <c:smooth val="0"/>
          <c:extLst>
            <c:ext xmlns:c16="http://schemas.microsoft.com/office/drawing/2014/chart" uri="{C3380CC4-5D6E-409C-BE32-E72D297353CC}">
              <c16:uniqueId val="{00000001-3632-4D0D-AEBC-E0C190684ABB}"/>
            </c:ext>
          </c:extLst>
        </c:ser>
        <c:dLbls>
          <c:showLegendKey val="0"/>
          <c:showVal val="0"/>
          <c:showCatName val="0"/>
          <c:showSerName val="0"/>
          <c:showPercent val="0"/>
          <c:showBubbleSize val="0"/>
        </c:dLbls>
        <c:smooth val="0"/>
        <c:axId val="771000480"/>
        <c:axId val="770999168"/>
      </c:lineChart>
      <c:catAx>
        <c:axId val="77100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999168"/>
        <c:crosses val="autoZero"/>
        <c:auto val="1"/>
        <c:lblAlgn val="ctr"/>
        <c:lblOffset val="100"/>
        <c:noMultiLvlLbl val="0"/>
      </c:catAx>
      <c:valAx>
        <c:axId val="77099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100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'USA EV uptake'!$B$3</c:f>
              <c:strCache>
                <c:ptCount val="1"/>
                <c:pt idx="0">
                  <c:v> EV %sales</c:v>
                </c:pt>
              </c:strCache>
            </c:strRef>
          </c:tx>
          <c:spPr>
            <a:ln w="34925" cap="rnd">
              <a:solidFill>
                <a:schemeClr val="tx1"/>
              </a:solidFill>
              <a:round/>
            </a:ln>
            <a:effectLst/>
          </c:spPr>
          <c:marker>
            <c:symbol val="none"/>
          </c:marker>
          <c:cat>
            <c:numRef>
              <c:f>'USA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'USA EV uptake'!$B$4:$B$13</c:f>
              <c:numCache>
                <c:formatCode>0.00</c:formatCode>
                <c:ptCount val="10"/>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pt idx="9">
                  <c:v>2.6156431898055863</c:v>
                </c:pt>
              </c:numCache>
            </c:numRef>
          </c:val>
          <c:smooth val="0"/>
          <c:extLst>
            <c:ext xmlns:c16="http://schemas.microsoft.com/office/drawing/2014/chart" uri="{C3380CC4-5D6E-409C-BE32-E72D297353CC}">
              <c16:uniqueId val="{00000000-F25E-4CA3-AF89-262BBE085738}"/>
            </c:ext>
          </c:extLst>
        </c:ser>
        <c:ser>
          <c:idx val="1"/>
          <c:order val="1"/>
          <c:tx>
            <c:strRef>
              <c:f>'USA EV uptake'!$C$3</c:f>
              <c:strCache>
                <c:ptCount val="1"/>
                <c:pt idx="0">
                  <c:v>Predicted Cost Lagged</c:v>
                </c:pt>
              </c:strCache>
            </c:strRef>
          </c:tx>
          <c:spPr>
            <a:ln w="28575" cap="rnd">
              <a:solidFill>
                <a:schemeClr val="accent2"/>
              </a:solidFill>
              <a:round/>
            </a:ln>
            <a:effectLst/>
          </c:spPr>
          <c:marker>
            <c:symbol val="none"/>
          </c:marker>
          <c:cat>
            <c:numRef>
              <c:f>'USA EV uptake'!$A$4:$A$13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'USA EV uptake'!$C$4:$C$13</c:f>
              <c:numCache>
                <c:formatCode>0.00</c:formatCode>
                <c:ptCount val="10"/>
                <c:pt idx="3">
                  <c:v>0.43753150028238091</c:v>
                </c:pt>
                <c:pt idx="4">
                  <c:v>0.75238469235392802</c:v>
                </c:pt>
                <c:pt idx="5">
                  <c:v>0.75238469235392802</c:v>
                </c:pt>
                <c:pt idx="6">
                  <c:v>0.88800892679070453</c:v>
                </c:pt>
                <c:pt idx="7">
                  <c:v>1.1228114078567422</c:v>
                </c:pt>
                <c:pt idx="8">
                  <c:v>1.4183255938840109</c:v>
                </c:pt>
                <c:pt idx="9">
                  <c:v>2.6156431898055854</c:v>
                </c:pt>
              </c:numCache>
            </c:numRef>
          </c:val>
          <c:smooth val="0"/>
          <c:extLst>
            <c:ext xmlns:c16="http://schemas.microsoft.com/office/drawing/2014/chart" uri="{C3380CC4-5D6E-409C-BE32-E72D297353CC}">
              <c16:uniqueId val="{00000001-F25E-4CA3-AF89-262BBE085738}"/>
            </c:ext>
          </c:extLst>
        </c:ser>
        <c:dLbls>
          <c:showLegendKey val="0"/>
          <c:showVal val="0"/>
          <c:showCatName val="0"/>
          <c:showSerName val="0"/>
          <c:showPercent val="0"/>
          <c:showBubbleSize val="0"/>
        </c:dLbls>
        <c:smooth val="0"/>
        <c:axId val="723831000"/>
        <c:axId val="723837888"/>
      </c:lineChart>
      <c:catAx>
        <c:axId val="72383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837888"/>
        <c:crosses val="autoZero"/>
        <c:auto val="1"/>
        <c:lblAlgn val="ctr"/>
        <c:lblOffset val="100"/>
        <c:noMultiLvlLbl val="0"/>
      </c:catAx>
      <c:valAx>
        <c:axId val="723837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83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uptake'!$B$3</c:f>
              <c:strCache>
                <c:ptCount val="1"/>
                <c:pt idx="0">
                  <c:v> EV %sales</c:v>
                </c:pt>
              </c:strCache>
            </c:strRef>
          </c:tx>
          <c:spPr>
            <a:ln w="44450" cap="rnd">
              <a:solidFill>
                <a:schemeClr val="tx1"/>
              </a:solidFill>
              <a:round/>
            </a:ln>
            <a:effectLst/>
          </c:spPr>
          <c:marker>
            <c:symbol val="none"/>
          </c:marker>
          <c:cat>
            <c:numRef>
              <c:f>'USA EV uptake'!$A$7:$A$13</c:f>
              <c:numCache>
                <c:formatCode>General</c:formatCode>
                <c:ptCount val="7"/>
                <c:pt idx="0">
                  <c:v>2012</c:v>
                </c:pt>
                <c:pt idx="1">
                  <c:v>2013</c:v>
                </c:pt>
                <c:pt idx="2">
                  <c:v>2014</c:v>
                </c:pt>
                <c:pt idx="3">
                  <c:v>2015</c:v>
                </c:pt>
                <c:pt idx="4">
                  <c:v>2016</c:v>
                </c:pt>
                <c:pt idx="5">
                  <c:v>2017</c:v>
                </c:pt>
                <c:pt idx="6">
                  <c:v>2018</c:v>
                </c:pt>
              </c:numCache>
            </c:numRef>
          </c:cat>
          <c:val>
            <c:numRef>
              <c:f>'USA EV uptake'!$B$7:$B$13</c:f>
              <c:numCache>
                <c:formatCode>0.00</c:formatCode>
                <c:ptCount val="7"/>
                <c:pt idx="0">
                  <c:v>0.44224870675064742</c:v>
                </c:pt>
                <c:pt idx="1">
                  <c:v>0.78405356666940451</c:v>
                </c:pt>
                <c:pt idx="2">
                  <c:v>0.91350827091065279</c:v>
                </c:pt>
                <c:pt idx="3">
                  <c:v>0.83582354236066314</c:v>
                </c:pt>
                <c:pt idx="4">
                  <c:v>1.1530510994799494</c:v>
                </c:pt>
                <c:pt idx="5">
                  <c:v>1.4513430776109104</c:v>
                </c:pt>
                <c:pt idx="6">
                  <c:v>2.6156431898055863</c:v>
                </c:pt>
              </c:numCache>
            </c:numRef>
          </c:val>
          <c:smooth val="0"/>
          <c:extLst>
            <c:ext xmlns:c16="http://schemas.microsoft.com/office/drawing/2014/chart" uri="{C3380CC4-5D6E-409C-BE32-E72D297353CC}">
              <c16:uniqueId val="{00000000-42F3-41A6-8B86-B26C0B7FE75A}"/>
            </c:ext>
          </c:extLst>
        </c:ser>
        <c:ser>
          <c:idx val="1"/>
          <c:order val="1"/>
          <c:tx>
            <c:strRef>
              <c:f>'USA EV uptake'!$AB$3</c:f>
              <c:strCache>
                <c:ptCount val="1"/>
                <c:pt idx="0">
                  <c:v>predicted raw</c:v>
                </c:pt>
              </c:strCache>
            </c:strRef>
          </c:tx>
          <c:spPr>
            <a:ln w="28575" cap="rnd">
              <a:solidFill>
                <a:schemeClr val="accent2"/>
              </a:solidFill>
              <a:round/>
            </a:ln>
            <a:effectLst/>
          </c:spPr>
          <c:marker>
            <c:symbol val="none"/>
          </c:marker>
          <c:cat>
            <c:numRef>
              <c:f>'USA EV uptake'!$A$7:$A$13</c:f>
              <c:numCache>
                <c:formatCode>General</c:formatCode>
                <c:ptCount val="7"/>
                <c:pt idx="0">
                  <c:v>2012</c:v>
                </c:pt>
                <c:pt idx="1">
                  <c:v>2013</c:v>
                </c:pt>
                <c:pt idx="2">
                  <c:v>2014</c:v>
                </c:pt>
                <c:pt idx="3">
                  <c:v>2015</c:v>
                </c:pt>
                <c:pt idx="4">
                  <c:v>2016</c:v>
                </c:pt>
                <c:pt idx="5">
                  <c:v>2017</c:v>
                </c:pt>
                <c:pt idx="6">
                  <c:v>2018</c:v>
                </c:pt>
              </c:numCache>
            </c:numRef>
          </c:cat>
          <c:val>
            <c:numRef>
              <c:f>'USA EV uptake'!$AB$7:$AB$13</c:f>
              <c:numCache>
                <c:formatCode>0.00</c:formatCode>
                <c:ptCount val="7"/>
                <c:pt idx="0">
                  <c:v>0.43753150028238091</c:v>
                </c:pt>
                <c:pt idx="1">
                  <c:v>0.75238469235392802</c:v>
                </c:pt>
                <c:pt idx="2">
                  <c:v>0.95185857423565579</c:v>
                </c:pt>
                <c:pt idx="3">
                  <c:v>0.88800892679070453</c:v>
                </c:pt>
                <c:pt idx="4">
                  <c:v>1.1228114078567422</c:v>
                </c:pt>
                <c:pt idx="5">
                  <c:v>1.4183255938840109</c:v>
                </c:pt>
                <c:pt idx="6">
                  <c:v>2.6156431898055854</c:v>
                </c:pt>
              </c:numCache>
            </c:numRef>
          </c:val>
          <c:smooth val="0"/>
          <c:extLst>
            <c:ext xmlns:c16="http://schemas.microsoft.com/office/drawing/2014/chart" uri="{C3380CC4-5D6E-409C-BE32-E72D297353CC}">
              <c16:uniqueId val="{00000001-42F3-41A6-8B86-B26C0B7FE75A}"/>
            </c:ext>
          </c:extLst>
        </c:ser>
        <c:dLbls>
          <c:showLegendKey val="0"/>
          <c:showVal val="0"/>
          <c:showCatName val="0"/>
          <c:showSerName val="0"/>
          <c:showPercent val="0"/>
          <c:showBubbleSize val="0"/>
        </c:dLbls>
        <c:smooth val="0"/>
        <c:axId val="654469856"/>
        <c:axId val="654475104"/>
      </c:lineChart>
      <c:catAx>
        <c:axId val="65446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75104"/>
        <c:crosses val="autoZero"/>
        <c:auto val="1"/>
        <c:lblAlgn val="ctr"/>
        <c:lblOffset val="100"/>
        <c:noMultiLvlLbl val="0"/>
      </c:catAx>
      <c:valAx>
        <c:axId val="654475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6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uptake'!$B$3</c:f>
              <c:strCache>
                <c:ptCount val="1"/>
                <c:pt idx="0">
                  <c:v> EV %sales</c:v>
                </c:pt>
              </c:strCache>
            </c:strRef>
          </c:tx>
          <c:spPr>
            <a:ln w="44450" cap="rnd">
              <a:solidFill>
                <a:schemeClr val="tx1"/>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uptake'!$B$4:$B$45</c:f>
              <c:numCache>
                <c:formatCode>0.00</c:formatCode>
                <c:ptCount val="42"/>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pt idx="9">
                  <c:v>2.6156431898055863</c:v>
                </c:pt>
              </c:numCache>
            </c:numRef>
          </c:val>
          <c:smooth val="0"/>
          <c:extLst>
            <c:ext xmlns:c16="http://schemas.microsoft.com/office/drawing/2014/chart" uri="{C3380CC4-5D6E-409C-BE32-E72D297353CC}">
              <c16:uniqueId val="{00000000-E606-45B8-8DCB-658CD934C898}"/>
            </c:ext>
          </c:extLst>
        </c:ser>
        <c:ser>
          <c:idx val="3"/>
          <c:order val="1"/>
          <c:tx>
            <c:strRef>
              <c:f>'USA EV uptake'!$AB$3</c:f>
              <c:strCache>
                <c:ptCount val="1"/>
                <c:pt idx="0">
                  <c:v>predicted raw</c:v>
                </c:pt>
              </c:strCache>
            </c:strRef>
          </c:tx>
          <c:spPr>
            <a:ln w="28575" cap="rnd">
              <a:solidFill>
                <a:schemeClr val="accent4"/>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uptake'!$AB$4:$AB$45</c:f>
              <c:numCache>
                <c:formatCode>0.00</c:formatCode>
                <c:ptCount val="42"/>
                <c:pt idx="1">
                  <c:v>0.27236607887944386</c:v>
                </c:pt>
                <c:pt idx="2">
                  <c:v>0.3452602736585953</c:v>
                </c:pt>
                <c:pt idx="3">
                  <c:v>0.43753150028238091</c:v>
                </c:pt>
                <c:pt idx="4">
                  <c:v>0.75238469235392802</c:v>
                </c:pt>
                <c:pt idx="5">
                  <c:v>0.95185857423565579</c:v>
                </c:pt>
                <c:pt idx="6">
                  <c:v>0.88800892679070453</c:v>
                </c:pt>
                <c:pt idx="7">
                  <c:v>1.1228114078567422</c:v>
                </c:pt>
                <c:pt idx="8">
                  <c:v>1.4183255938840109</c:v>
                </c:pt>
                <c:pt idx="9">
                  <c:v>2.6156431898055854</c:v>
                </c:pt>
                <c:pt idx="10">
                  <c:v>2.7228670318692854</c:v>
                </c:pt>
                <c:pt idx="11">
                  <c:v>2.8342866355497933</c:v>
                </c:pt>
                <c:pt idx="12">
                  <c:v>3.5551760195496298</c:v>
                </c:pt>
                <c:pt idx="13">
                  <c:v>4.4463065083250726</c:v>
                </c:pt>
                <c:pt idx="14">
                  <c:v>5.5406634902843503</c:v>
                </c:pt>
                <c:pt idx="15">
                  <c:v>6.8737959202792842</c:v>
                </c:pt>
                <c:pt idx="16">
                  <c:v>8.4819345291881394</c:v>
                </c:pt>
                <c:pt idx="17">
                  <c:v>10.39899200101924</c:v>
                </c:pt>
                <c:pt idx="18">
                  <c:v>12.652339034827211</c:v>
                </c:pt>
                <c:pt idx="19">
                  <c:v>15.25751951629652</c:v>
                </c:pt>
                <c:pt idx="20">
                  <c:v>18.212491769628407</c:v>
                </c:pt>
                <c:pt idx="21">
                  <c:v>21.492486800444834</c:v>
                </c:pt>
                <c:pt idx="22">
                  <c:v>25.046966098071962</c:v>
                </c:pt>
                <c:pt idx="23">
                  <c:v>28.800162611632498</c:v>
                </c:pt>
                <c:pt idx="24">
                  <c:v>32.656075477571825</c:v>
                </c:pt>
                <c:pt idx="25">
                  <c:v>36.507599321444729</c:v>
                </c:pt>
                <c:pt idx="26">
                  <c:v>40.248112240310185</c:v>
                </c:pt>
                <c:pt idx="27">
                  <c:v>43.782954090933238</c:v>
                </c:pt>
                <c:pt idx="28">
                  <c:v>47.038267718087994</c:v>
                </c:pt>
                <c:pt idx="29">
                  <c:v>49.965627955048241</c:v>
                </c:pt>
                <c:pt idx="30">
                  <c:v>52.542249014773667</c:v>
                </c:pt>
                <c:pt idx="31">
                  <c:v>54.767714504466355</c:v>
                </c:pt>
                <c:pt idx="32">
                  <c:v>56.65873449403103</c:v>
                </c:pt>
                <c:pt idx="33">
                  <c:v>58.243391224701156</c:v>
                </c:pt>
                <c:pt idx="34">
                  <c:v>59.55592456706546</c:v>
                </c:pt>
                <c:pt idx="35">
                  <c:v>60.632605357771858</c:v>
                </c:pt>
                <c:pt idx="36">
                  <c:v>61.50883213040651</c:v>
                </c:pt>
                <c:pt idx="37">
                  <c:v>62.217330253541057</c:v>
                </c:pt>
                <c:pt idx="38">
                  <c:v>62.787218249582544</c:v>
                </c:pt>
                <c:pt idx="39">
                  <c:v>63.243688387787543</c:v>
                </c:pt>
                <c:pt idx="40">
                  <c:v>63.608081762369522</c:v>
                </c:pt>
                <c:pt idx="41">
                  <c:v>63.89818920908376</c:v>
                </c:pt>
              </c:numCache>
            </c:numRef>
          </c:val>
          <c:smooth val="0"/>
          <c:extLst>
            <c:ext xmlns:c16="http://schemas.microsoft.com/office/drawing/2014/chart" uri="{C3380CC4-5D6E-409C-BE32-E72D297353CC}">
              <c16:uniqueId val="{00000003-E606-45B8-8DCB-658CD934C898}"/>
            </c:ext>
          </c:extLst>
        </c:ser>
        <c:dLbls>
          <c:showLegendKey val="0"/>
          <c:showVal val="0"/>
          <c:showCatName val="0"/>
          <c:showSerName val="0"/>
          <c:showPercent val="0"/>
          <c:showBubbleSize val="0"/>
        </c:dLbls>
        <c:smooth val="0"/>
        <c:axId val="741082496"/>
        <c:axId val="741085448"/>
      </c:lineChart>
      <c:catAx>
        <c:axId val="74108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5448"/>
        <c:crosses val="autoZero"/>
        <c:auto val="1"/>
        <c:lblAlgn val="ctr"/>
        <c:lblOffset val="100"/>
        <c:noMultiLvlLbl val="0"/>
      </c:catAx>
      <c:valAx>
        <c:axId val="741085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EVs %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'Bloomberg EV% sales'!$D$3</c:f>
              <c:strCache>
                <c:ptCount val="1"/>
                <c:pt idx="0">
                  <c:v>EV% sales</c:v>
                </c:pt>
              </c:strCache>
            </c:strRef>
          </c:tx>
          <c:spPr>
            <a:ln w="28575" cap="rnd">
              <a:solidFill>
                <a:schemeClr val="accent1"/>
              </a:solidFill>
              <a:round/>
            </a:ln>
            <a:effectLst/>
          </c:spPr>
          <c:marker>
            <c:symbol val="none"/>
          </c:marker>
          <c:cat>
            <c:numRef>
              <c:f>'Bloomberg EV% sales'!$A$4:$A$44</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'Bloomberg EV% sales'!$D$4:$D$44</c:f>
              <c:numCache>
                <c:formatCode>0.00</c:formatCode>
                <c:ptCount val="41"/>
                <c:pt idx="0">
                  <c:v>1.6964627629336562E-2</c:v>
                </c:pt>
                <c:pt idx="1">
                  <c:v>0.10234351891729328</c:v>
                </c:pt>
                <c:pt idx="2">
                  <c:v>0.23522435592921317</c:v>
                </c:pt>
                <c:pt idx="3">
                  <c:v>0.38403986642724675</c:v>
                </c:pt>
                <c:pt idx="4">
                  <c:v>0.57247293705754376</c:v>
                </c:pt>
                <c:pt idx="5">
                  <c:v>0.90247796151091464</c:v>
                </c:pt>
                <c:pt idx="6">
                  <c:v>1.1362386310898671</c:v>
                </c:pt>
                <c:pt idx="7">
                  <c:v>1.6633518305579627</c:v>
                </c:pt>
                <c:pt idx="20" formatCode="0">
                  <c:v>33.391937820066367</c:v>
                </c:pt>
                <c:pt idx="30" formatCode="General">
                  <c:v>55</c:v>
                </c:pt>
              </c:numCache>
            </c:numRef>
          </c:val>
          <c:smooth val="0"/>
          <c:extLst>
            <c:ext xmlns:c16="http://schemas.microsoft.com/office/drawing/2014/chart" uri="{C3380CC4-5D6E-409C-BE32-E72D297353CC}">
              <c16:uniqueId val="{00000000-6F24-46A0-871B-1D6265BFB55D}"/>
            </c:ext>
          </c:extLst>
        </c:ser>
        <c:ser>
          <c:idx val="1"/>
          <c:order val="1"/>
          <c:tx>
            <c:strRef>
              <c:f>'Bloomberg EV% sales'!$E$3</c:f>
              <c:strCache>
                <c:ptCount val="1"/>
                <c:pt idx="0">
                  <c:v>BBrg logistic%</c:v>
                </c:pt>
              </c:strCache>
            </c:strRef>
          </c:tx>
          <c:spPr>
            <a:ln w="28575" cap="rnd">
              <a:solidFill>
                <a:schemeClr val="accent2"/>
              </a:solidFill>
              <a:round/>
            </a:ln>
            <a:effectLst/>
          </c:spPr>
          <c:marker>
            <c:symbol val="none"/>
          </c:marker>
          <c:cat>
            <c:numRef>
              <c:f>'Bloomberg EV% sales'!$A$4:$A$44</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'Bloomberg EV% sales'!$E$4:$E$44</c:f>
              <c:numCache>
                <c:formatCode>0.00</c:formatCode>
                <c:ptCount val="41"/>
                <c:pt idx="1">
                  <c:v>0.11839474699267491</c:v>
                </c:pt>
                <c:pt idx="2">
                  <c:v>0.20339482987838917</c:v>
                </c:pt>
                <c:pt idx="3">
                  <c:v>0.34909135870790725</c:v>
                </c:pt>
                <c:pt idx="4">
                  <c:v>0.59819027181098239</c:v>
                </c:pt>
                <c:pt idx="5">
                  <c:v>1.0222266627320407</c:v>
                </c:pt>
                <c:pt idx="6">
                  <c:v>1.3011396948522056</c:v>
                </c:pt>
                <c:pt idx="7">
                  <c:v>1.6541860949663403</c:v>
                </c:pt>
                <c:pt idx="8">
                  <c:v>2.0998688777309225</c:v>
                </c:pt>
                <c:pt idx="9">
                  <c:v>2.6605872985799923</c:v>
                </c:pt>
                <c:pt idx="10">
                  <c:v>3.363026530871728</c:v>
                </c:pt>
                <c:pt idx="11">
                  <c:v>4.23831268671566</c:v>
                </c:pt>
                <c:pt idx="12">
                  <c:v>5.3217383017299937</c:v>
                </c:pt>
                <c:pt idx="13">
                  <c:v>6.6517973958262981</c:v>
                </c:pt>
                <c:pt idx="14">
                  <c:v>8.268221622396533</c:v>
                </c:pt>
                <c:pt idx="15">
                  <c:v>10.208720913931371</c:v>
                </c:pt>
                <c:pt idx="16">
                  <c:v>12.504263250870965</c:v>
                </c:pt>
                <c:pt idx="17">
                  <c:v>15.173041135108541</c:v>
                </c:pt>
                <c:pt idx="18">
                  <c:v>18.213789265329375</c:v>
                </c:pt>
                <c:pt idx="19">
                  <c:v>21.599754061996634</c:v>
                </c:pt>
                <c:pt idx="20">
                  <c:v>25.275125845132223</c:v>
                </c:pt>
                <c:pt idx="21">
                  <c:v>29.155759531720811</c:v>
                </c:pt>
                <c:pt idx="22">
                  <c:v>33.135228387777133</c:v>
                </c:pt>
                <c:pt idx="23">
                  <c:v>37.09573303397314</c:v>
                </c:pt>
                <c:pt idx="24">
                  <c:v>40.9216886214029</c:v>
                </c:pt>
                <c:pt idx="25">
                  <c:v>44.512780434420719</c:v>
                </c:pt>
                <c:pt idx="26">
                  <c:v>47.793487903824008</c:v>
                </c:pt>
                <c:pt idx="27">
                  <c:v>50.717409097575548</c:v>
                </c:pt>
                <c:pt idx="28">
                  <c:v>53.266448186970486</c:v>
                </c:pt>
                <c:pt idx="29">
                  <c:v>55.446252217329544</c:v>
                </c:pt>
                <c:pt idx="30">
                  <c:v>57.279794731623511</c:v>
                </c:pt>
                <c:pt idx="31">
                  <c:v>58.800789659404948</c:v>
                </c:pt>
                <c:pt idx="32">
                  <c:v>60.048032190220887</c:v>
                </c:pt>
                <c:pt idx="33">
                  <c:v>61.061146683547925</c:v>
                </c:pt>
                <c:pt idx="34">
                  <c:v>61.877767037998424</c:v>
                </c:pt>
                <c:pt idx="35">
                  <c:v>62.531925350978604</c:v>
                </c:pt>
                <c:pt idx="36">
                  <c:v>63.053338691246402</c:v>
                </c:pt>
                <c:pt idx="37">
                  <c:v>63.467296573378974</c:v>
                </c:pt>
                <c:pt idx="38">
                  <c:v>63.794908653994881</c:v>
                </c:pt>
                <c:pt idx="39">
                  <c:v>64.053538627074005</c:v>
                </c:pt>
                <c:pt idx="40">
                  <c:v>64.257309069447942</c:v>
                </c:pt>
              </c:numCache>
            </c:numRef>
          </c:val>
          <c:smooth val="0"/>
          <c:extLst>
            <c:ext xmlns:c16="http://schemas.microsoft.com/office/drawing/2014/chart" uri="{C3380CC4-5D6E-409C-BE32-E72D297353CC}">
              <c16:uniqueId val="{00000001-6F24-46A0-871B-1D6265BFB55D}"/>
            </c:ext>
          </c:extLst>
        </c:ser>
        <c:dLbls>
          <c:showLegendKey val="0"/>
          <c:showVal val="0"/>
          <c:showCatName val="0"/>
          <c:showSerName val="0"/>
          <c:showPercent val="0"/>
          <c:showBubbleSize val="0"/>
        </c:dLbls>
        <c:smooth val="0"/>
        <c:axId val="591346008"/>
        <c:axId val="591347976"/>
      </c:lineChart>
      <c:catAx>
        <c:axId val="591346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47976"/>
        <c:crosses val="autoZero"/>
        <c:auto val="1"/>
        <c:lblAlgn val="ctr"/>
        <c:lblOffset val="100"/>
        <c:noMultiLvlLbl val="0"/>
      </c:catAx>
      <c:valAx>
        <c:axId val="591347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46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uptake'!$B$3</c:f>
              <c:strCache>
                <c:ptCount val="1"/>
                <c:pt idx="0">
                  <c:v> EV %sales</c:v>
                </c:pt>
              </c:strCache>
            </c:strRef>
          </c:tx>
          <c:spPr>
            <a:ln w="44450" cap="rnd">
              <a:solidFill>
                <a:schemeClr val="tx1"/>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uptake'!$B$4:$B$45</c:f>
              <c:numCache>
                <c:formatCode>0.00</c:formatCode>
                <c:ptCount val="42"/>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pt idx="9">
                  <c:v>2.6156431898055863</c:v>
                </c:pt>
              </c:numCache>
            </c:numRef>
          </c:val>
          <c:smooth val="0"/>
          <c:extLst>
            <c:ext xmlns:c16="http://schemas.microsoft.com/office/drawing/2014/chart" uri="{C3380CC4-5D6E-409C-BE32-E72D297353CC}">
              <c16:uniqueId val="{00000000-2EC2-4DCD-A417-4BFD6BEE683F}"/>
            </c:ext>
          </c:extLst>
        </c:ser>
        <c:ser>
          <c:idx val="2"/>
          <c:order val="1"/>
          <c:tx>
            <c:strRef>
              <c:f>'USA EV uptake'!$L$3</c:f>
              <c:strCache>
                <c:ptCount val="1"/>
                <c:pt idx="0">
                  <c:v>Predicted Cost</c:v>
                </c:pt>
              </c:strCache>
            </c:strRef>
          </c:tx>
          <c:spPr>
            <a:ln w="28575" cap="rnd">
              <a:solidFill>
                <a:schemeClr val="accent3"/>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uptake'!$L$4:$L$45</c:f>
              <c:numCache>
                <c:formatCode>0.00</c:formatCode>
                <c:ptCount val="42"/>
                <c:pt idx="3" formatCode="0.000">
                  <c:v>0.43753150028238091</c:v>
                </c:pt>
                <c:pt idx="4" formatCode="0.000">
                  <c:v>0.75238469235392802</c:v>
                </c:pt>
                <c:pt idx="5" formatCode="0.000">
                  <c:v>0.75238469235392802</c:v>
                </c:pt>
                <c:pt idx="6" formatCode="0.000">
                  <c:v>0.88800892679070453</c:v>
                </c:pt>
                <c:pt idx="7" formatCode="0.000">
                  <c:v>1.1228114078567422</c:v>
                </c:pt>
                <c:pt idx="8" formatCode="0.000">
                  <c:v>1.4183255938840109</c:v>
                </c:pt>
                <c:pt idx="9" formatCode="0.000">
                  <c:v>2.6156431898055854</c:v>
                </c:pt>
                <c:pt idx="10" formatCode="0.000">
                  <c:v>2.6156431898055854</c:v>
                </c:pt>
                <c:pt idx="11" formatCode="0.000">
                  <c:v>2.6370879582183253</c:v>
                </c:pt>
                <c:pt idx="12" formatCode="0.000">
                  <c:v>2.6808166473671671</c:v>
                </c:pt>
                <c:pt idx="13" formatCode="0.000">
                  <c:v>3.0469493110710646</c:v>
                </c:pt>
                <c:pt idx="14" formatCode="0.000">
                  <c:v>3.631953371166817</c:v>
                </c:pt>
                <c:pt idx="15" formatCode="0.000">
                  <c:v>4.4835839172615568</c:v>
                </c:pt>
                <c:pt idx="16" formatCode="0.000">
                  <c:v>5.6353974167253282</c:v>
                </c:pt>
                <c:pt idx="17" formatCode="0.000">
                  <c:v>7.5990078965808125</c:v>
                </c:pt>
                <c:pt idx="18" formatCode="0.000">
                  <c:v>9.7612504981750998</c:v>
                </c:pt>
                <c:pt idx="19" formatCode="0.000">
                  <c:v>12.295616154043913</c:v>
                </c:pt>
                <c:pt idx="20" formatCode="0.000">
                  <c:v>15.219354330077021</c:v>
                </c:pt>
                <c:pt idx="21" formatCode="0.000">
                  <c:v>18.532360643853785</c:v>
                </c:pt>
                <c:pt idx="22" formatCode="0.000">
                  <c:v>21.761925359214846</c:v>
                </c:pt>
                <c:pt idx="23" formatCode="0.000">
                  <c:v>25.241636551469906</c:v>
                </c:pt>
                <c:pt idx="24" formatCode="0.000">
                  <c:v>28.900658061833173</c:v>
                </c:pt>
                <c:pt idx="25" formatCode="0.000">
                  <c:v>32.651783149806235</c:v>
                </c:pt>
                <c:pt idx="26" formatCode="0.000">
                  <c:v>36.398980748378492</c:v>
                </c:pt>
                <c:pt idx="27" formatCode="0.000">
                  <c:v>40.046601769669586</c:v>
                </c:pt>
                <c:pt idx="28" formatCode="0.000">
                  <c:v>43.508512265164875</c:v>
                </c:pt>
                <c:pt idx="29" formatCode="0.000">
                  <c:v>46.715442203830662</c:v>
                </c:pt>
                <c:pt idx="30" formatCode="0.000">
                  <c:v>49.619362656661892</c:v>
                </c:pt>
                <c:pt idx="31" formatCode="0.000">
                  <c:v>52.194518737281456</c:v>
                </c:pt>
                <c:pt idx="32" formatCode="0.000">
                  <c:v>54.435543438604086</c:v>
                </c:pt>
                <c:pt idx="33" formatCode="0.000">
                  <c:v>56.353602761007529</c:v>
                </c:pt>
                <c:pt idx="34" formatCode="0.000">
                  <c:v>57.971674029607172</c:v>
                </c:pt>
                <c:pt idx="35" formatCode="0.000">
                  <c:v>59.319897554795205</c:v>
                </c:pt>
                <c:pt idx="36" formatCode="0.000">
                  <c:v>60.431616706697206</c:v>
                </c:pt>
                <c:pt idx="37" formatCode="0.000">
                  <c:v>61.340382111673492</c:v>
                </c:pt>
                <c:pt idx="38" formatCode="0.000">
                  <c:v>62.077934875817903</c:v>
                </c:pt>
                <c:pt idx="39" formatCode="0.000">
                  <c:v>62.673030156737433</c:v>
                </c:pt>
                <c:pt idx="40" formatCode="0.000">
                  <c:v>63.150901572472876</c:v>
                </c:pt>
                <c:pt idx="41" formatCode="0.000">
                  <c:v>63.533167510580952</c:v>
                </c:pt>
              </c:numCache>
            </c:numRef>
          </c:val>
          <c:smooth val="0"/>
          <c:extLst>
            <c:ext xmlns:c16="http://schemas.microsoft.com/office/drawing/2014/chart" uri="{C3380CC4-5D6E-409C-BE32-E72D297353CC}">
              <c16:uniqueId val="{00000002-2EC2-4DCD-A417-4BFD6BEE683F}"/>
            </c:ext>
          </c:extLst>
        </c:ser>
        <c:ser>
          <c:idx val="3"/>
          <c:order val="2"/>
          <c:tx>
            <c:strRef>
              <c:f>'USA EV uptake'!$AB$3</c:f>
              <c:strCache>
                <c:ptCount val="1"/>
                <c:pt idx="0">
                  <c:v>predicted raw</c:v>
                </c:pt>
              </c:strCache>
            </c:strRef>
          </c:tx>
          <c:spPr>
            <a:ln w="28575" cap="rnd">
              <a:solidFill>
                <a:schemeClr val="accent4"/>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uptake'!$AB$4:$AB$45</c:f>
              <c:numCache>
                <c:formatCode>0.00</c:formatCode>
                <c:ptCount val="42"/>
                <c:pt idx="1">
                  <c:v>0.27236607887944386</c:v>
                </c:pt>
                <c:pt idx="2">
                  <c:v>0.3452602736585953</c:v>
                </c:pt>
                <c:pt idx="3">
                  <c:v>0.43753150028238091</c:v>
                </c:pt>
                <c:pt idx="4">
                  <c:v>0.75238469235392802</c:v>
                </c:pt>
                <c:pt idx="5">
                  <c:v>0.95185857423565579</c:v>
                </c:pt>
                <c:pt idx="6">
                  <c:v>0.88800892679070453</c:v>
                </c:pt>
                <c:pt idx="7">
                  <c:v>1.1228114078567422</c:v>
                </c:pt>
                <c:pt idx="8">
                  <c:v>1.4183255938840109</c:v>
                </c:pt>
                <c:pt idx="9">
                  <c:v>2.6156431898055854</c:v>
                </c:pt>
                <c:pt idx="10">
                  <c:v>2.7228670318692854</c:v>
                </c:pt>
                <c:pt idx="11">
                  <c:v>2.8342866355497933</c:v>
                </c:pt>
                <c:pt idx="12">
                  <c:v>3.5551760195496298</c:v>
                </c:pt>
                <c:pt idx="13">
                  <c:v>4.4463065083250726</c:v>
                </c:pt>
                <c:pt idx="14">
                  <c:v>5.5406634902843503</c:v>
                </c:pt>
                <c:pt idx="15">
                  <c:v>6.8737959202792842</c:v>
                </c:pt>
                <c:pt idx="16">
                  <c:v>8.4819345291881394</c:v>
                </c:pt>
                <c:pt idx="17">
                  <c:v>10.39899200101924</c:v>
                </c:pt>
                <c:pt idx="18">
                  <c:v>12.652339034827211</c:v>
                </c:pt>
                <c:pt idx="19">
                  <c:v>15.25751951629652</c:v>
                </c:pt>
                <c:pt idx="20">
                  <c:v>18.212491769628407</c:v>
                </c:pt>
                <c:pt idx="21">
                  <c:v>21.492486800444834</c:v>
                </c:pt>
                <c:pt idx="22">
                  <c:v>25.046966098071962</c:v>
                </c:pt>
                <c:pt idx="23">
                  <c:v>28.800162611632498</c:v>
                </c:pt>
                <c:pt idx="24">
                  <c:v>32.656075477571825</c:v>
                </c:pt>
                <c:pt idx="25">
                  <c:v>36.507599321444729</c:v>
                </c:pt>
                <c:pt idx="26">
                  <c:v>40.248112240310185</c:v>
                </c:pt>
                <c:pt idx="27">
                  <c:v>43.782954090933238</c:v>
                </c:pt>
                <c:pt idx="28">
                  <c:v>47.038267718087994</c:v>
                </c:pt>
                <c:pt idx="29">
                  <c:v>49.965627955048241</c:v>
                </c:pt>
                <c:pt idx="30">
                  <c:v>52.542249014773667</c:v>
                </c:pt>
                <c:pt idx="31">
                  <c:v>54.767714504466355</c:v>
                </c:pt>
                <c:pt idx="32">
                  <c:v>56.65873449403103</c:v>
                </c:pt>
                <c:pt idx="33">
                  <c:v>58.243391224701156</c:v>
                </c:pt>
                <c:pt idx="34">
                  <c:v>59.55592456706546</c:v>
                </c:pt>
                <c:pt idx="35">
                  <c:v>60.632605357771858</c:v>
                </c:pt>
                <c:pt idx="36">
                  <c:v>61.50883213040651</c:v>
                </c:pt>
                <c:pt idx="37">
                  <c:v>62.217330253541057</c:v>
                </c:pt>
                <c:pt idx="38">
                  <c:v>62.787218249582544</c:v>
                </c:pt>
                <c:pt idx="39">
                  <c:v>63.243688387787543</c:v>
                </c:pt>
                <c:pt idx="40">
                  <c:v>63.608081762369522</c:v>
                </c:pt>
                <c:pt idx="41">
                  <c:v>63.89818920908376</c:v>
                </c:pt>
              </c:numCache>
            </c:numRef>
          </c:val>
          <c:smooth val="0"/>
          <c:extLst>
            <c:ext xmlns:c16="http://schemas.microsoft.com/office/drawing/2014/chart" uri="{C3380CC4-5D6E-409C-BE32-E72D297353CC}">
              <c16:uniqueId val="{00000003-2EC2-4DCD-A417-4BFD6BEE683F}"/>
            </c:ext>
          </c:extLst>
        </c:ser>
        <c:dLbls>
          <c:showLegendKey val="0"/>
          <c:showVal val="0"/>
          <c:showCatName val="0"/>
          <c:showSerName val="0"/>
          <c:showPercent val="0"/>
          <c:showBubbleSize val="0"/>
        </c:dLbls>
        <c:smooth val="0"/>
        <c:axId val="741082496"/>
        <c:axId val="741085448"/>
      </c:lineChart>
      <c:catAx>
        <c:axId val="74108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5448"/>
        <c:crosses val="autoZero"/>
        <c:auto val="1"/>
        <c:lblAlgn val="ctr"/>
        <c:lblOffset val="100"/>
        <c:noMultiLvlLbl val="0"/>
      </c:catAx>
      <c:valAx>
        <c:axId val="741085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uptake'!$B$3</c:f>
              <c:strCache>
                <c:ptCount val="1"/>
                <c:pt idx="0">
                  <c:v> EV %sales</c:v>
                </c:pt>
              </c:strCache>
            </c:strRef>
          </c:tx>
          <c:spPr>
            <a:ln w="44450" cap="rnd">
              <a:solidFill>
                <a:schemeClr val="tx1"/>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uptake'!$B$4:$B$45</c:f>
              <c:numCache>
                <c:formatCode>0.00</c:formatCode>
                <c:ptCount val="42"/>
                <c:pt idx="0">
                  <c:v>1.5372168284789645E-2</c:v>
                </c:pt>
                <c:pt idx="1">
                  <c:v>1.2496929588413098E-2</c:v>
                </c:pt>
                <c:pt idx="2">
                  <c:v>0.16820182853317761</c:v>
                </c:pt>
                <c:pt idx="3">
                  <c:v>0.44224870675064742</c:v>
                </c:pt>
                <c:pt idx="4">
                  <c:v>0.78405356666940451</c:v>
                </c:pt>
                <c:pt idx="5">
                  <c:v>0.91350827091065279</c:v>
                </c:pt>
                <c:pt idx="6">
                  <c:v>0.83582354236066314</c:v>
                </c:pt>
                <c:pt idx="7">
                  <c:v>1.1530510994799494</c:v>
                </c:pt>
                <c:pt idx="8">
                  <c:v>1.4513430776109104</c:v>
                </c:pt>
                <c:pt idx="9">
                  <c:v>2.6156431898055863</c:v>
                </c:pt>
              </c:numCache>
            </c:numRef>
          </c:val>
          <c:smooth val="0"/>
          <c:extLst>
            <c:ext xmlns:c16="http://schemas.microsoft.com/office/drawing/2014/chart" uri="{C3380CC4-5D6E-409C-BE32-E72D297353CC}">
              <c16:uniqueId val="{00000000-7F65-482F-ACCD-8AC4AB794BF4}"/>
            </c:ext>
          </c:extLst>
        </c:ser>
        <c:ser>
          <c:idx val="1"/>
          <c:order val="1"/>
          <c:tx>
            <c:strRef>
              <c:f>'USA EV uptake'!$C$3</c:f>
              <c:strCache>
                <c:ptCount val="1"/>
                <c:pt idx="0">
                  <c:v>Predicted Cost Lagged</c:v>
                </c:pt>
              </c:strCache>
            </c:strRef>
          </c:tx>
          <c:spPr>
            <a:ln w="28575" cap="rnd">
              <a:solidFill>
                <a:schemeClr val="accent2"/>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uptake'!$C$4:$C$45</c:f>
              <c:numCache>
                <c:formatCode>0.00</c:formatCode>
                <c:ptCount val="42"/>
                <c:pt idx="3">
                  <c:v>0.43753150028238091</c:v>
                </c:pt>
                <c:pt idx="4">
                  <c:v>0.75238469235392802</c:v>
                </c:pt>
                <c:pt idx="5">
                  <c:v>0.75238469235392802</c:v>
                </c:pt>
                <c:pt idx="6">
                  <c:v>0.88800892679070453</c:v>
                </c:pt>
                <c:pt idx="7">
                  <c:v>1.1228114078567422</c:v>
                </c:pt>
                <c:pt idx="8">
                  <c:v>1.4183255938840109</c:v>
                </c:pt>
                <c:pt idx="9">
                  <c:v>2.6156431898055854</c:v>
                </c:pt>
                <c:pt idx="10">
                  <c:v>2.3935033158161345</c:v>
                </c:pt>
                <c:pt idx="11">
                  <c:v>2.7192280592535458</c:v>
                </c:pt>
                <c:pt idx="12">
                  <c:v>3.1016682263851574</c:v>
                </c:pt>
                <c:pt idx="13">
                  <c:v>3.5330616873736922</c:v>
                </c:pt>
                <c:pt idx="14">
                  <c:v>4.2449709311987238</c:v>
                </c:pt>
                <c:pt idx="15">
                  <c:v>5.2627084369068342</c:v>
                </c:pt>
                <c:pt idx="16">
                  <c:v>6.6362512235749405</c:v>
                </c:pt>
                <c:pt idx="17">
                  <c:v>8.3751662262900783</c:v>
                </c:pt>
                <c:pt idx="18">
                  <c:v>10.50379583667393</c:v>
                </c:pt>
                <c:pt idx="19">
                  <c:v>12.972130328381544</c:v>
                </c:pt>
                <c:pt idx="20">
                  <c:v>15.773021633345055</c:v>
                </c:pt>
                <c:pt idx="21">
                  <c:v>18.816114514095393</c:v>
                </c:pt>
                <c:pt idx="22">
                  <c:v>22.086190607185557</c:v>
                </c:pt>
                <c:pt idx="23">
                  <c:v>25.529528406376212</c:v>
                </c:pt>
                <c:pt idx="24">
                  <c:v>29.076278040603714</c:v>
                </c:pt>
                <c:pt idx="25">
                  <c:v>32.644299700791024</c:v>
                </c:pt>
                <c:pt idx="26">
                  <c:v>36.209087821450417</c:v>
                </c:pt>
                <c:pt idx="27">
                  <c:v>39.691620122192134</c:v>
                </c:pt>
                <c:pt idx="28">
                  <c:v>43.019314504399027</c:v>
                </c:pt>
                <c:pt idx="29">
                  <c:v>46.131280259941583</c:v>
                </c:pt>
                <c:pt idx="30">
                  <c:v>48.981940547460013</c:v>
                </c:pt>
                <c:pt idx="31">
                  <c:v>51.54266515602253</c:v>
                </c:pt>
                <c:pt idx="32">
                  <c:v>53.80143448311258</c:v>
                </c:pt>
                <c:pt idx="33">
                  <c:v>55.760887983522075</c:v>
                </c:pt>
                <c:pt idx="34">
                  <c:v>57.43531933423801</c:v>
                </c:pt>
                <c:pt idx="35">
                  <c:v>58.847235925457504</c:v>
                </c:pt>
                <c:pt idx="36">
                  <c:v>60.024019742333699</c:v>
                </c:pt>
                <c:pt idx="37">
                  <c:v>60.995062429685902</c:v>
                </c:pt>
                <c:pt idx="38">
                  <c:v>61.789561498396438</c:v>
                </c:pt>
                <c:pt idx="39">
                  <c:v>62.435006443948865</c:v>
                </c:pt>
                <c:pt idx="40">
                  <c:v>62.956277730654051</c:v>
                </c:pt>
                <c:pt idx="41">
                  <c:v>63.375229853366932</c:v>
                </c:pt>
              </c:numCache>
            </c:numRef>
          </c:val>
          <c:smooth val="0"/>
          <c:extLst>
            <c:ext xmlns:c16="http://schemas.microsoft.com/office/drawing/2014/chart" uri="{C3380CC4-5D6E-409C-BE32-E72D297353CC}">
              <c16:uniqueId val="{00000001-7F65-482F-ACCD-8AC4AB794BF4}"/>
            </c:ext>
          </c:extLst>
        </c:ser>
        <c:ser>
          <c:idx val="2"/>
          <c:order val="2"/>
          <c:tx>
            <c:strRef>
              <c:f>'USA EV uptake'!$L$3</c:f>
              <c:strCache>
                <c:ptCount val="1"/>
                <c:pt idx="0">
                  <c:v>Predicted Cost</c:v>
                </c:pt>
              </c:strCache>
            </c:strRef>
          </c:tx>
          <c:spPr>
            <a:ln w="28575" cap="rnd">
              <a:solidFill>
                <a:schemeClr val="accent3"/>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uptake'!$L$4:$L$45</c:f>
              <c:numCache>
                <c:formatCode>0.00</c:formatCode>
                <c:ptCount val="42"/>
                <c:pt idx="3" formatCode="0.000">
                  <c:v>0.43753150028238091</c:v>
                </c:pt>
                <c:pt idx="4" formatCode="0.000">
                  <c:v>0.75238469235392802</c:v>
                </c:pt>
                <c:pt idx="5" formatCode="0.000">
                  <c:v>0.75238469235392802</c:v>
                </c:pt>
                <c:pt idx="6" formatCode="0.000">
                  <c:v>0.88800892679070453</c:v>
                </c:pt>
                <c:pt idx="7" formatCode="0.000">
                  <c:v>1.1228114078567422</c:v>
                </c:pt>
                <c:pt idx="8" formatCode="0.000">
                  <c:v>1.4183255938840109</c:v>
                </c:pt>
                <c:pt idx="9" formatCode="0.000">
                  <c:v>2.6156431898055854</c:v>
                </c:pt>
                <c:pt idx="10" formatCode="0.000">
                  <c:v>2.6156431898055854</c:v>
                </c:pt>
                <c:pt idx="11" formatCode="0.000">
                  <c:v>2.6370879582183253</c:v>
                </c:pt>
                <c:pt idx="12" formatCode="0.000">
                  <c:v>2.6808166473671671</c:v>
                </c:pt>
                <c:pt idx="13" formatCode="0.000">
                  <c:v>3.0469493110710646</c:v>
                </c:pt>
                <c:pt idx="14" formatCode="0.000">
                  <c:v>3.631953371166817</c:v>
                </c:pt>
                <c:pt idx="15" formatCode="0.000">
                  <c:v>4.4835839172615568</c:v>
                </c:pt>
                <c:pt idx="16" formatCode="0.000">
                  <c:v>5.6353974167253282</c:v>
                </c:pt>
                <c:pt idx="17" formatCode="0.000">
                  <c:v>7.5990078965808125</c:v>
                </c:pt>
                <c:pt idx="18" formatCode="0.000">
                  <c:v>9.7612504981750998</c:v>
                </c:pt>
                <c:pt idx="19" formatCode="0.000">
                  <c:v>12.295616154043913</c:v>
                </c:pt>
                <c:pt idx="20" formatCode="0.000">
                  <c:v>15.219354330077021</c:v>
                </c:pt>
                <c:pt idx="21" formatCode="0.000">
                  <c:v>18.532360643853785</c:v>
                </c:pt>
                <c:pt idx="22" formatCode="0.000">
                  <c:v>21.761925359214846</c:v>
                </c:pt>
                <c:pt idx="23" formatCode="0.000">
                  <c:v>25.241636551469906</c:v>
                </c:pt>
                <c:pt idx="24" formatCode="0.000">
                  <c:v>28.900658061833173</c:v>
                </c:pt>
                <c:pt idx="25" formatCode="0.000">
                  <c:v>32.651783149806235</c:v>
                </c:pt>
                <c:pt idx="26" formatCode="0.000">
                  <c:v>36.398980748378492</c:v>
                </c:pt>
                <c:pt idx="27" formatCode="0.000">
                  <c:v>40.046601769669586</c:v>
                </c:pt>
                <c:pt idx="28" formatCode="0.000">
                  <c:v>43.508512265164875</c:v>
                </c:pt>
                <c:pt idx="29" formatCode="0.000">
                  <c:v>46.715442203830662</c:v>
                </c:pt>
                <c:pt idx="30" formatCode="0.000">
                  <c:v>49.619362656661892</c:v>
                </c:pt>
                <c:pt idx="31" formatCode="0.000">
                  <c:v>52.194518737281456</c:v>
                </c:pt>
                <c:pt idx="32" formatCode="0.000">
                  <c:v>54.435543438604086</c:v>
                </c:pt>
                <c:pt idx="33" formatCode="0.000">
                  <c:v>56.353602761007529</c:v>
                </c:pt>
                <c:pt idx="34" formatCode="0.000">
                  <c:v>57.971674029607172</c:v>
                </c:pt>
                <c:pt idx="35" formatCode="0.000">
                  <c:v>59.319897554795205</c:v>
                </c:pt>
                <c:pt idx="36" formatCode="0.000">
                  <c:v>60.431616706697206</c:v>
                </c:pt>
                <c:pt idx="37" formatCode="0.000">
                  <c:v>61.340382111673492</c:v>
                </c:pt>
                <c:pt idx="38" formatCode="0.000">
                  <c:v>62.077934875817903</c:v>
                </c:pt>
                <c:pt idx="39" formatCode="0.000">
                  <c:v>62.673030156737433</c:v>
                </c:pt>
                <c:pt idx="40" formatCode="0.000">
                  <c:v>63.150901572472876</c:v>
                </c:pt>
                <c:pt idx="41" formatCode="0.000">
                  <c:v>63.533167510580952</c:v>
                </c:pt>
              </c:numCache>
            </c:numRef>
          </c:val>
          <c:smooth val="0"/>
          <c:extLst>
            <c:ext xmlns:c16="http://schemas.microsoft.com/office/drawing/2014/chart" uri="{C3380CC4-5D6E-409C-BE32-E72D297353CC}">
              <c16:uniqueId val="{00000002-7F65-482F-ACCD-8AC4AB794BF4}"/>
            </c:ext>
          </c:extLst>
        </c:ser>
        <c:ser>
          <c:idx val="3"/>
          <c:order val="3"/>
          <c:tx>
            <c:strRef>
              <c:f>'USA EV uptake'!$AB$3</c:f>
              <c:strCache>
                <c:ptCount val="1"/>
                <c:pt idx="0">
                  <c:v>predicted raw</c:v>
                </c:pt>
              </c:strCache>
            </c:strRef>
          </c:tx>
          <c:spPr>
            <a:ln w="28575" cap="rnd">
              <a:solidFill>
                <a:schemeClr val="accent4"/>
              </a:solidFill>
              <a:round/>
            </a:ln>
            <a:effectLst/>
          </c:spPr>
          <c:marker>
            <c:symbol val="none"/>
          </c:marker>
          <c:cat>
            <c:numRef>
              <c:f>'USA EV uptake'!$A$4:$A$45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'USA EV uptake'!$AB$4:$AB$45</c:f>
              <c:numCache>
                <c:formatCode>0.00</c:formatCode>
                <c:ptCount val="42"/>
                <c:pt idx="1">
                  <c:v>0.27236607887944386</c:v>
                </c:pt>
                <c:pt idx="2">
                  <c:v>0.3452602736585953</c:v>
                </c:pt>
                <c:pt idx="3">
                  <c:v>0.43753150028238091</c:v>
                </c:pt>
                <c:pt idx="4">
                  <c:v>0.75238469235392802</c:v>
                </c:pt>
                <c:pt idx="5">
                  <c:v>0.95185857423565579</c:v>
                </c:pt>
                <c:pt idx="6">
                  <c:v>0.88800892679070453</c:v>
                </c:pt>
                <c:pt idx="7">
                  <c:v>1.1228114078567422</c:v>
                </c:pt>
                <c:pt idx="8">
                  <c:v>1.4183255938840109</c:v>
                </c:pt>
                <c:pt idx="9">
                  <c:v>2.6156431898055854</c:v>
                </c:pt>
                <c:pt idx="10">
                  <c:v>2.7228670318692854</c:v>
                </c:pt>
                <c:pt idx="11">
                  <c:v>2.8342866355497933</c:v>
                </c:pt>
                <c:pt idx="12">
                  <c:v>3.5551760195496298</c:v>
                </c:pt>
                <c:pt idx="13">
                  <c:v>4.4463065083250726</c:v>
                </c:pt>
                <c:pt idx="14">
                  <c:v>5.5406634902843503</c:v>
                </c:pt>
                <c:pt idx="15">
                  <c:v>6.8737959202792842</c:v>
                </c:pt>
                <c:pt idx="16">
                  <c:v>8.4819345291881394</c:v>
                </c:pt>
                <c:pt idx="17">
                  <c:v>10.39899200101924</c:v>
                </c:pt>
                <c:pt idx="18">
                  <c:v>12.652339034827211</c:v>
                </c:pt>
                <c:pt idx="19">
                  <c:v>15.25751951629652</c:v>
                </c:pt>
                <c:pt idx="20">
                  <c:v>18.212491769628407</c:v>
                </c:pt>
                <c:pt idx="21">
                  <c:v>21.492486800444834</c:v>
                </c:pt>
                <c:pt idx="22">
                  <c:v>25.046966098071962</c:v>
                </c:pt>
                <c:pt idx="23">
                  <c:v>28.800162611632498</c:v>
                </c:pt>
                <c:pt idx="24">
                  <c:v>32.656075477571825</c:v>
                </c:pt>
                <c:pt idx="25">
                  <c:v>36.507599321444729</c:v>
                </c:pt>
                <c:pt idx="26">
                  <c:v>40.248112240310185</c:v>
                </c:pt>
                <c:pt idx="27">
                  <c:v>43.782954090933238</c:v>
                </c:pt>
                <c:pt idx="28">
                  <c:v>47.038267718087994</c:v>
                </c:pt>
                <c:pt idx="29">
                  <c:v>49.965627955048241</c:v>
                </c:pt>
                <c:pt idx="30">
                  <c:v>52.542249014773667</c:v>
                </c:pt>
                <c:pt idx="31">
                  <c:v>54.767714504466355</c:v>
                </c:pt>
                <c:pt idx="32">
                  <c:v>56.65873449403103</c:v>
                </c:pt>
                <c:pt idx="33">
                  <c:v>58.243391224701156</c:v>
                </c:pt>
                <c:pt idx="34">
                  <c:v>59.55592456706546</c:v>
                </c:pt>
                <c:pt idx="35">
                  <c:v>60.632605357771858</c:v>
                </c:pt>
                <c:pt idx="36">
                  <c:v>61.50883213040651</c:v>
                </c:pt>
                <c:pt idx="37">
                  <c:v>62.217330253541057</c:v>
                </c:pt>
                <c:pt idx="38">
                  <c:v>62.787218249582544</c:v>
                </c:pt>
                <c:pt idx="39">
                  <c:v>63.243688387787543</c:v>
                </c:pt>
                <c:pt idx="40">
                  <c:v>63.608081762369522</c:v>
                </c:pt>
                <c:pt idx="41">
                  <c:v>63.89818920908376</c:v>
                </c:pt>
              </c:numCache>
            </c:numRef>
          </c:val>
          <c:smooth val="0"/>
          <c:extLst>
            <c:ext xmlns:c16="http://schemas.microsoft.com/office/drawing/2014/chart" uri="{C3380CC4-5D6E-409C-BE32-E72D297353CC}">
              <c16:uniqueId val="{00000003-7F65-482F-ACCD-8AC4AB794BF4}"/>
            </c:ext>
          </c:extLst>
        </c:ser>
        <c:dLbls>
          <c:showLegendKey val="0"/>
          <c:showVal val="0"/>
          <c:showCatName val="0"/>
          <c:showSerName val="0"/>
          <c:showPercent val="0"/>
          <c:showBubbleSize val="0"/>
        </c:dLbls>
        <c:smooth val="0"/>
        <c:axId val="741082496"/>
        <c:axId val="741085448"/>
      </c:lineChart>
      <c:catAx>
        <c:axId val="74108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5448"/>
        <c:crosses val="autoZero"/>
        <c:auto val="1"/>
        <c:lblAlgn val="ctr"/>
        <c:lblOffset val="100"/>
        <c:noMultiLvlLbl val="0"/>
      </c:catAx>
      <c:valAx>
        <c:axId val="741085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2.2222222222222223E-2"/>
              <c:y val="0.29588327500729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08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uptake'!$S$3</c:f>
              <c:strCache>
                <c:ptCount val="1"/>
                <c:pt idx="0">
                  <c:v>High</c:v>
                </c:pt>
              </c:strCache>
            </c:strRef>
          </c:tx>
          <c:spPr>
            <a:ln w="28575" cap="rnd">
              <a:solidFill>
                <a:schemeClr val="accent1"/>
              </a:solidFill>
              <a:round/>
            </a:ln>
            <a:effectLst/>
          </c:spPr>
          <c:marker>
            <c:symbol val="none"/>
          </c:marker>
          <c:cat>
            <c:numRef>
              <c:f>'USA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uptake'!$S$4:$S$25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2.4398303668356651</c:v>
                </c:pt>
                <c:pt idx="11" formatCode="0.00">
                  <c:v>2.8031364234628375</c:v>
                </c:pt>
                <c:pt idx="12" formatCode="0.00">
                  <c:v>3.3343526375724548</c:v>
                </c:pt>
                <c:pt idx="13" formatCode="0.00">
                  <c:v>3.9251523241248392</c:v>
                </c:pt>
                <c:pt idx="14" formatCode="0.00">
                  <c:v>4.8503046820128484</c:v>
                </c:pt>
                <c:pt idx="15" formatCode="0.00">
                  <c:v>6.1594661248578699</c:v>
                </c:pt>
                <c:pt idx="16" formatCode="0.00">
                  <c:v>7.8594606548577914</c:v>
                </c:pt>
                <c:pt idx="17" formatCode="0.00">
                  <c:v>9.980437134868124</c:v>
                </c:pt>
                <c:pt idx="18" formatCode="0.00">
                  <c:v>12.505499840025298</c:v>
                </c:pt>
                <c:pt idx="19" formatCode="0.00">
                  <c:v>15.363119358438372</c:v>
                </c:pt>
                <c:pt idx="20" formatCode="0.00">
                  <c:v>18.527321796461361</c:v>
                </c:pt>
                <c:pt idx="21" formatCode="0.00">
                  <c:v>21.893046575716301</c:v>
                </c:pt>
              </c:numCache>
            </c:numRef>
          </c:val>
          <c:smooth val="0"/>
          <c:extLst>
            <c:ext xmlns:c16="http://schemas.microsoft.com/office/drawing/2014/chart" uri="{C3380CC4-5D6E-409C-BE32-E72D297353CC}">
              <c16:uniqueId val="{00000000-C9BE-48B6-A259-0A5D758C197A}"/>
            </c:ext>
          </c:extLst>
        </c:ser>
        <c:ser>
          <c:idx val="1"/>
          <c:order val="1"/>
          <c:tx>
            <c:strRef>
              <c:f>'USA EV uptake'!$T$3</c:f>
              <c:strCache>
                <c:ptCount val="1"/>
                <c:pt idx="0">
                  <c:v>Medium</c:v>
                </c:pt>
              </c:strCache>
            </c:strRef>
          </c:tx>
          <c:spPr>
            <a:ln w="28575" cap="rnd">
              <a:solidFill>
                <a:schemeClr val="accent2"/>
              </a:solidFill>
              <a:round/>
            </a:ln>
            <a:effectLst/>
          </c:spPr>
          <c:marker>
            <c:symbol val="none"/>
          </c:marker>
          <c:cat>
            <c:numRef>
              <c:f>'USA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uptake'!$T$4:$T$25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2.3935033158161345</c:v>
                </c:pt>
                <c:pt idx="11" formatCode="0.00">
                  <c:v>2.7192280592535458</c:v>
                </c:pt>
                <c:pt idx="12" formatCode="0.00">
                  <c:v>3.1016682263851574</c:v>
                </c:pt>
                <c:pt idx="13" formatCode="0.00">
                  <c:v>3.5330616873736922</c:v>
                </c:pt>
                <c:pt idx="14" formatCode="0.00">
                  <c:v>4.2449709311987238</c:v>
                </c:pt>
                <c:pt idx="15" formatCode="0.00">
                  <c:v>5.2627084369068342</c:v>
                </c:pt>
                <c:pt idx="16" formatCode="0.00">
                  <c:v>6.6362512235749405</c:v>
                </c:pt>
                <c:pt idx="17" formatCode="0.00">
                  <c:v>8.3751662262900783</c:v>
                </c:pt>
                <c:pt idx="18" formatCode="0.00">
                  <c:v>10.50379583667393</c:v>
                </c:pt>
                <c:pt idx="19" formatCode="0.00">
                  <c:v>12.972130328381544</c:v>
                </c:pt>
                <c:pt idx="20" formatCode="0.00">
                  <c:v>15.773021633345055</c:v>
                </c:pt>
                <c:pt idx="21" formatCode="0.00">
                  <c:v>18.816114514095393</c:v>
                </c:pt>
              </c:numCache>
            </c:numRef>
          </c:val>
          <c:smooth val="0"/>
          <c:extLst>
            <c:ext xmlns:c16="http://schemas.microsoft.com/office/drawing/2014/chart" uri="{C3380CC4-5D6E-409C-BE32-E72D297353CC}">
              <c16:uniqueId val="{00000001-C9BE-48B6-A259-0A5D758C197A}"/>
            </c:ext>
          </c:extLst>
        </c:ser>
        <c:ser>
          <c:idx val="2"/>
          <c:order val="2"/>
          <c:tx>
            <c:strRef>
              <c:f>'USA EV uptake'!$U$3</c:f>
              <c:strCache>
                <c:ptCount val="1"/>
                <c:pt idx="0">
                  <c:v>Low</c:v>
                </c:pt>
              </c:strCache>
            </c:strRef>
          </c:tx>
          <c:spPr>
            <a:ln w="28575" cap="rnd">
              <a:solidFill>
                <a:schemeClr val="accent3"/>
              </a:solidFill>
              <a:round/>
            </a:ln>
            <a:effectLst/>
          </c:spPr>
          <c:marker>
            <c:symbol val="none"/>
          </c:marker>
          <c:cat>
            <c:numRef>
              <c:f>'USA EV uptake'!$R$4:$R$25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uptake'!$U$4:$U$25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1.8536488820983255</c:v>
                </c:pt>
                <c:pt idx="11" formatCode="0.00">
                  <c:v>2.0391972604812243</c:v>
                </c:pt>
                <c:pt idx="12" formatCode="0.00">
                  <c:v>2.4176830312942319</c:v>
                </c:pt>
                <c:pt idx="13" formatCode="0.00">
                  <c:v>2.7510753635853331</c:v>
                </c:pt>
                <c:pt idx="14" formatCode="0.00">
                  <c:v>3.4748309229838017</c:v>
                </c:pt>
                <c:pt idx="15" formatCode="0.00">
                  <c:v>4.3900872773375381</c:v>
                </c:pt>
                <c:pt idx="16" formatCode="0.00">
                  <c:v>5.6111718935743555</c:v>
                </c:pt>
                <c:pt idx="17" formatCode="0.00">
                  <c:v>7.1332558770591268</c:v>
                </c:pt>
                <c:pt idx="18" formatCode="0.00">
                  <c:v>8.9405561850243451</c:v>
                </c:pt>
                <c:pt idx="19" formatCode="0.00">
                  <c:v>11.048588955865345</c:v>
                </c:pt>
                <c:pt idx="20" formatCode="0.00">
                  <c:v>13.450379790632708</c:v>
                </c:pt>
                <c:pt idx="21" formatCode="0.00">
                  <c:v>16.129954368032227</c:v>
                </c:pt>
              </c:numCache>
            </c:numRef>
          </c:val>
          <c:smooth val="0"/>
          <c:extLst>
            <c:ext xmlns:c16="http://schemas.microsoft.com/office/drawing/2014/chart" uri="{C3380CC4-5D6E-409C-BE32-E72D297353CC}">
              <c16:uniqueId val="{00000002-C9BE-48B6-A259-0A5D758C197A}"/>
            </c:ext>
          </c:extLst>
        </c:ser>
        <c:dLbls>
          <c:showLegendKey val="0"/>
          <c:showVal val="0"/>
          <c:showCatName val="0"/>
          <c:showSerName val="0"/>
          <c:showPercent val="0"/>
          <c:showBubbleSize val="0"/>
        </c:dLbls>
        <c:smooth val="0"/>
        <c:axId val="598042520"/>
        <c:axId val="598048752"/>
      </c:lineChart>
      <c:catAx>
        <c:axId val="598042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048752"/>
        <c:crosses val="autoZero"/>
        <c:auto val="1"/>
        <c:lblAlgn val="ctr"/>
        <c:lblOffset val="100"/>
        <c:noMultiLvlLbl val="0"/>
      </c:catAx>
      <c:valAx>
        <c:axId val="598048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042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 EV uptake'!$X$3</c:f>
              <c:strCache>
                <c:ptCount val="1"/>
                <c:pt idx="0">
                  <c:v>High</c:v>
                </c:pt>
              </c:strCache>
            </c:strRef>
          </c:tx>
          <c:spPr>
            <a:ln w="28575" cap="rnd">
              <a:solidFill>
                <a:schemeClr val="accent1"/>
              </a:solidFill>
              <a:round/>
            </a:ln>
            <a:effectLst/>
          </c:spPr>
          <c:marker>
            <c:symbol val="none"/>
          </c:marker>
          <c:cat>
            <c:numRef>
              <c:f>'USA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uptake'!$X$4:$X$25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1.8536488820983255</c:v>
                </c:pt>
                <c:pt idx="11" formatCode="0.00">
                  <c:v>2.0103616851212309</c:v>
                </c:pt>
                <c:pt idx="12" formatCode="0.00">
                  <c:v>2.2737034281082411</c:v>
                </c:pt>
                <c:pt idx="13" formatCode="0.00">
                  <c:v>2.4457343920096757</c:v>
                </c:pt>
                <c:pt idx="14" formatCode="0.00">
                  <c:v>2.9074086949973355</c:v>
                </c:pt>
                <c:pt idx="15" formatCode="0.00">
                  <c:v>3.4620262180362857</c:v>
                </c:pt>
                <c:pt idx="16" formatCode="0.00">
                  <c:v>4.2091178022011189</c:v>
                </c:pt>
                <c:pt idx="17" formatCode="0.00">
                  <c:v>5.1502114287898495</c:v>
                </c:pt>
                <c:pt idx="18" formatCode="0.00">
                  <c:v>6.3078766439599088</c:v>
                </c:pt>
                <c:pt idx="19" formatCode="0.00">
                  <c:v>7.7029908572701986</c:v>
                </c:pt>
                <c:pt idx="20" formatCode="0.00">
                  <c:v>9.3862631268884282</c:v>
                </c:pt>
                <c:pt idx="21" formatCode="0.00">
                  <c:v>11.369450973896452</c:v>
                </c:pt>
              </c:numCache>
            </c:numRef>
          </c:val>
          <c:smooth val="0"/>
          <c:extLst>
            <c:ext xmlns:c16="http://schemas.microsoft.com/office/drawing/2014/chart" uri="{C3380CC4-5D6E-409C-BE32-E72D297353CC}">
              <c16:uniqueId val="{00000000-EB4D-4868-896A-A6ABBF1B49CB}"/>
            </c:ext>
          </c:extLst>
        </c:ser>
        <c:ser>
          <c:idx val="1"/>
          <c:order val="1"/>
          <c:tx>
            <c:strRef>
              <c:f>'USA EV uptake'!$Y$3</c:f>
              <c:strCache>
                <c:ptCount val="1"/>
                <c:pt idx="0">
                  <c:v>Medium</c:v>
                </c:pt>
              </c:strCache>
            </c:strRef>
          </c:tx>
          <c:spPr>
            <a:ln w="28575" cap="rnd">
              <a:solidFill>
                <a:schemeClr val="accent2"/>
              </a:solidFill>
              <a:round/>
            </a:ln>
            <a:effectLst/>
          </c:spPr>
          <c:marker>
            <c:symbol val="none"/>
          </c:marker>
          <c:cat>
            <c:numRef>
              <c:f>'USA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uptake'!$Y$4:$Y$25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2.3935033158161345</c:v>
                </c:pt>
                <c:pt idx="11" formatCode="0.00">
                  <c:v>2.7192280592535458</c:v>
                </c:pt>
                <c:pt idx="12" formatCode="0.00">
                  <c:v>3.1016682263851574</c:v>
                </c:pt>
                <c:pt idx="13" formatCode="0.00">
                  <c:v>3.5330616873736922</c:v>
                </c:pt>
                <c:pt idx="14" formatCode="0.00">
                  <c:v>4.2449709311987238</c:v>
                </c:pt>
                <c:pt idx="15" formatCode="0.00">
                  <c:v>5.2627084369068342</c:v>
                </c:pt>
                <c:pt idx="16" formatCode="0.00">
                  <c:v>6.6362512235749405</c:v>
                </c:pt>
                <c:pt idx="17" formatCode="0.00">
                  <c:v>8.3751662262900783</c:v>
                </c:pt>
                <c:pt idx="18" formatCode="0.00">
                  <c:v>10.50379583667393</c:v>
                </c:pt>
                <c:pt idx="19" formatCode="0.00">
                  <c:v>12.972130328381544</c:v>
                </c:pt>
                <c:pt idx="20" formatCode="0.00">
                  <c:v>15.773021633345055</c:v>
                </c:pt>
                <c:pt idx="21" formatCode="0.00">
                  <c:v>18.816114514095393</c:v>
                </c:pt>
              </c:numCache>
            </c:numRef>
          </c:val>
          <c:smooth val="0"/>
          <c:extLst>
            <c:ext xmlns:c16="http://schemas.microsoft.com/office/drawing/2014/chart" uri="{C3380CC4-5D6E-409C-BE32-E72D297353CC}">
              <c16:uniqueId val="{00000001-EB4D-4868-896A-A6ABBF1B49CB}"/>
            </c:ext>
          </c:extLst>
        </c:ser>
        <c:ser>
          <c:idx val="2"/>
          <c:order val="2"/>
          <c:tx>
            <c:strRef>
              <c:f>'USA EV uptake'!$Z$3</c:f>
              <c:strCache>
                <c:ptCount val="1"/>
                <c:pt idx="0">
                  <c:v>Low</c:v>
                </c:pt>
              </c:strCache>
            </c:strRef>
          </c:tx>
          <c:spPr>
            <a:ln w="28575" cap="rnd">
              <a:solidFill>
                <a:schemeClr val="accent3"/>
              </a:solidFill>
              <a:round/>
            </a:ln>
            <a:effectLst/>
          </c:spPr>
          <c:marker>
            <c:symbol val="none"/>
          </c:marker>
          <c:cat>
            <c:numRef>
              <c:f>'USA EV uptake'!$W$4:$W$25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 EV uptake'!$Z$4:$Z$25</c:f>
              <c:numCache>
                <c:formatCode>General</c:formatCode>
                <c:ptCount val="22"/>
                <c:pt idx="3" formatCode="0.00">
                  <c:v>0.43753150028238091</c:v>
                </c:pt>
                <c:pt idx="4" formatCode="0.00">
                  <c:v>0.75238469235392802</c:v>
                </c:pt>
                <c:pt idx="5" formatCode="0.00">
                  <c:v>0.75238469235392802</c:v>
                </c:pt>
                <c:pt idx="6" formatCode="0.00">
                  <c:v>0.88800892679070453</c:v>
                </c:pt>
                <c:pt idx="7" formatCode="0.00">
                  <c:v>1.1228114078567422</c:v>
                </c:pt>
                <c:pt idx="8" formatCode="0.00">
                  <c:v>1.4183255938840109</c:v>
                </c:pt>
                <c:pt idx="9" formatCode="0.00">
                  <c:v>2.6156431898055854</c:v>
                </c:pt>
                <c:pt idx="10" formatCode="0.00">
                  <c:v>2.4754755863866831</c:v>
                </c:pt>
                <c:pt idx="11" formatCode="0.00">
                  <c:v>2.9182011418432441</c:v>
                </c:pt>
                <c:pt idx="12" formatCode="0.00">
                  <c:v>3.6766648544475524</c:v>
                </c:pt>
                <c:pt idx="13" formatCode="0.00">
                  <c:v>4.5637277143357071</c:v>
                </c:pt>
                <c:pt idx="14" formatCode="0.00">
                  <c:v>5.8441101531182422</c:v>
                </c:pt>
                <c:pt idx="15" formatCode="0.00">
                  <c:v>7.6725050296144834</c:v>
                </c:pt>
                <c:pt idx="16" formatCode="0.00">
                  <c:v>10.029116042222864</c:v>
                </c:pt>
                <c:pt idx="17" formatCode="0.00">
                  <c:v>12.93807171700478</c:v>
                </c:pt>
                <c:pt idx="18" formatCode="0.00">
                  <c:v>16.28656420509429</c:v>
                </c:pt>
                <c:pt idx="19" formatCode="0.00">
                  <c:v>20.045327993227566</c:v>
                </c:pt>
                <c:pt idx="20" formatCode="0.00">
                  <c:v>23.984456213135541</c:v>
                </c:pt>
                <c:pt idx="21" formatCode="0.00">
                  <c:v>28.051353571476433</c:v>
                </c:pt>
              </c:numCache>
            </c:numRef>
          </c:val>
          <c:smooth val="0"/>
          <c:extLst>
            <c:ext xmlns:c16="http://schemas.microsoft.com/office/drawing/2014/chart" uri="{C3380CC4-5D6E-409C-BE32-E72D297353CC}">
              <c16:uniqueId val="{00000002-EB4D-4868-896A-A6ABBF1B49CB}"/>
            </c:ext>
          </c:extLst>
        </c:ser>
        <c:dLbls>
          <c:showLegendKey val="0"/>
          <c:showVal val="0"/>
          <c:showCatName val="0"/>
          <c:showSerName val="0"/>
          <c:showPercent val="0"/>
          <c:showBubbleSize val="0"/>
        </c:dLbls>
        <c:smooth val="0"/>
        <c:axId val="920832168"/>
        <c:axId val="920838728"/>
      </c:lineChart>
      <c:catAx>
        <c:axId val="92083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838728"/>
        <c:crosses val="autoZero"/>
        <c:auto val="1"/>
        <c:lblAlgn val="ctr"/>
        <c:lblOffset val="100"/>
        <c:noMultiLvlLbl val="0"/>
      </c:catAx>
      <c:valAx>
        <c:axId val="920838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832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USA!$O$2</c:f>
              <c:strCache>
                <c:ptCount val="1"/>
                <c:pt idx="0">
                  <c:v>BEV price</c:v>
                </c:pt>
              </c:strCache>
            </c:strRef>
          </c:tx>
          <c:spPr>
            <a:ln w="60325" cap="rnd">
              <a:solidFill>
                <a:schemeClr val="accent1"/>
              </a:solidFill>
              <a:round/>
            </a:ln>
            <a:effectLst/>
          </c:spPr>
          <c:marker>
            <c:symbol val="none"/>
          </c:marker>
          <c:cat>
            <c:numRef>
              <c:f>USA!$N$3:$N$24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USA!$O$3:$O$24</c:f>
              <c:numCache>
                <c:formatCode>0</c:formatCode>
                <c:ptCount val="22"/>
                <c:pt idx="0">
                  <c:v>21936.055885885999</c:v>
                </c:pt>
                <c:pt idx="1">
                  <c:v>22534.484216240518</c:v>
                </c:pt>
                <c:pt idx="2">
                  <c:v>22841.837877204933</c:v>
                </c:pt>
                <c:pt idx="3">
                  <c:v>23928.626692113739</c:v>
                </c:pt>
                <c:pt idx="4">
                  <c:v>24382.209851024934</c:v>
                </c:pt>
                <c:pt idx="5">
                  <c:v>27077.833989882325</c:v>
                </c:pt>
                <c:pt idx="6">
                  <c:v>23343.765573699748</c:v>
                </c:pt>
                <c:pt idx="7">
                  <c:v>23461.241176470587</c:v>
                </c:pt>
                <c:pt idx="8">
                  <c:v>23652.941176470587</c:v>
                </c:pt>
                <c:pt idx="9">
                  <c:v>24319.576552346047</c:v>
                </c:pt>
                <c:pt idx="10">
                  <c:v>27473.317379971733</c:v>
                </c:pt>
                <c:pt idx="11">
                  <c:v>29812.00696769348</c:v>
                </c:pt>
                <c:pt idx="12">
                  <c:v>31522.104639754263</c:v>
                </c:pt>
                <c:pt idx="13">
                  <c:v>32019.101459082125</c:v>
                </c:pt>
                <c:pt idx="14">
                  <c:v>31755.531881467308</c:v>
                </c:pt>
                <c:pt idx="15">
                  <c:v>30637.775813632299</c:v>
                </c:pt>
                <c:pt idx="16">
                  <c:v>29682.013314614196</c:v>
                </c:pt>
                <c:pt idx="17">
                  <c:v>29150.636064379163</c:v>
                </c:pt>
                <c:pt idx="18">
                  <c:v>28618.437180599925</c:v>
                </c:pt>
                <c:pt idx="19">
                  <c:v>28015.066570928007</c:v>
                </c:pt>
                <c:pt idx="20">
                  <c:v>27481.287965735773</c:v>
                </c:pt>
                <c:pt idx="21">
                  <c:v>26876.378716331703</c:v>
                </c:pt>
              </c:numCache>
            </c:numRef>
          </c:val>
          <c:smooth val="0"/>
          <c:extLst>
            <c:ext xmlns:c16="http://schemas.microsoft.com/office/drawing/2014/chart" uri="{C3380CC4-5D6E-409C-BE32-E72D297353CC}">
              <c16:uniqueId val="{00000000-0348-443F-BC1F-6725ED9B6BF2}"/>
            </c:ext>
          </c:extLst>
        </c:ser>
        <c:ser>
          <c:idx val="1"/>
          <c:order val="1"/>
          <c:tx>
            <c:strRef>
              <c:f>USA!$P$2</c:f>
              <c:strCache>
                <c:ptCount val="1"/>
                <c:pt idx="0">
                  <c:v>PHEV price</c:v>
                </c:pt>
              </c:strCache>
            </c:strRef>
          </c:tx>
          <c:spPr>
            <a:ln w="28575" cap="rnd">
              <a:solidFill>
                <a:schemeClr val="accent2"/>
              </a:solidFill>
              <a:round/>
            </a:ln>
            <a:effectLst/>
          </c:spPr>
          <c:marker>
            <c:symbol val="none"/>
          </c:marker>
          <c:cat>
            <c:numRef>
              <c:f>USA!$N$3:$N$24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USA!$P$3:$P$24</c:f>
              <c:numCache>
                <c:formatCode>0</c:formatCode>
                <c:ptCount val="22"/>
                <c:pt idx="0">
                  <c:v>28507.036126651554</c:v>
                </c:pt>
                <c:pt idx="1">
                  <c:v>28999.053940831953</c:v>
                </c:pt>
                <c:pt idx="2">
                  <c:v>29110.042762846879</c:v>
                </c:pt>
                <c:pt idx="3">
                  <c:v>30073.02857829885</c:v>
                </c:pt>
                <c:pt idx="4">
                  <c:v>30440.982563772071</c:v>
                </c:pt>
                <c:pt idx="5">
                  <c:v>33038.263865308909</c:v>
                </c:pt>
                <c:pt idx="6">
                  <c:v>29291.294431025563</c:v>
                </c:pt>
                <c:pt idx="7">
                  <c:v>29333.716176470589</c:v>
                </c:pt>
                <c:pt idx="8">
                  <c:v>29402.941176470587</c:v>
                </c:pt>
                <c:pt idx="9">
                  <c:v>30050.072315470621</c:v>
                </c:pt>
                <c:pt idx="10">
                  <c:v>31518.149459895671</c:v>
                </c:pt>
                <c:pt idx="11">
                  <c:v>32171.66939416399</c:v>
                </c:pt>
                <c:pt idx="12">
                  <c:v>32197.078594954262</c:v>
                </c:pt>
                <c:pt idx="13">
                  <c:v>32676.522278406177</c:v>
                </c:pt>
                <c:pt idx="14">
                  <c:v>32395.85604560878</c:v>
                </c:pt>
                <c:pt idx="15">
                  <c:v>31261.447932207808</c:v>
                </c:pt>
                <c:pt idx="16">
                  <c:v>30289.466434878639</c:v>
                </c:pt>
                <c:pt idx="17">
                  <c:v>29742.291971912469</c:v>
                </c:pt>
                <c:pt idx="18">
                  <c:v>29194.706692174201</c:v>
                </c:pt>
                <c:pt idx="19">
                  <c:v>28576.349819758507</c:v>
                </c:pt>
                <c:pt idx="20">
                  <c:v>28027.974679313738</c:v>
                </c:pt>
                <c:pt idx="21">
                  <c:v>27408.84848703197</c:v>
                </c:pt>
              </c:numCache>
            </c:numRef>
          </c:val>
          <c:smooth val="0"/>
          <c:extLst>
            <c:ext xmlns:c16="http://schemas.microsoft.com/office/drawing/2014/chart" uri="{C3380CC4-5D6E-409C-BE32-E72D297353CC}">
              <c16:uniqueId val="{00000001-0348-443F-BC1F-6725ED9B6BF2}"/>
            </c:ext>
          </c:extLst>
        </c:ser>
        <c:ser>
          <c:idx val="2"/>
          <c:order val="2"/>
          <c:tx>
            <c:strRef>
              <c:f>USA!$Q$2</c:f>
              <c:strCache>
                <c:ptCount val="1"/>
                <c:pt idx="0">
                  <c:v>FFV price</c:v>
                </c:pt>
              </c:strCache>
            </c:strRef>
          </c:tx>
          <c:spPr>
            <a:ln w="28575" cap="rnd">
              <a:solidFill>
                <a:schemeClr val="tx1"/>
              </a:solidFill>
              <a:round/>
            </a:ln>
            <a:effectLst/>
          </c:spPr>
          <c:marker>
            <c:symbol val="none"/>
          </c:marker>
          <c:cat>
            <c:numRef>
              <c:f>USA!$N$3:$N$24</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USA!$Q$3:$Q$24</c:f>
              <c:numCache>
                <c:formatCode>0</c:formatCode>
                <c:ptCount val="22"/>
                <c:pt idx="0">
                  <c:v>24380</c:v>
                </c:pt>
                <c:pt idx="1">
                  <c:v>24380</c:v>
                </c:pt>
                <c:pt idx="2">
                  <c:v>24380</c:v>
                </c:pt>
                <c:pt idx="3">
                  <c:v>24380</c:v>
                </c:pt>
                <c:pt idx="4">
                  <c:v>24380</c:v>
                </c:pt>
                <c:pt idx="5">
                  <c:v>24380</c:v>
                </c:pt>
                <c:pt idx="6">
                  <c:v>24380</c:v>
                </c:pt>
                <c:pt idx="7">
                  <c:v>24380</c:v>
                </c:pt>
                <c:pt idx="8">
                  <c:v>24380</c:v>
                </c:pt>
                <c:pt idx="9">
                  <c:v>24380</c:v>
                </c:pt>
                <c:pt idx="10">
                  <c:v>24380</c:v>
                </c:pt>
                <c:pt idx="11">
                  <c:v>24380</c:v>
                </c:pt>
                <c:pt idx="12">
                  <c:v>24380</c:v>
                </c:pt>
                <c:pt idx="13">
                  <c:v>24380</c:v>
                </c:pt>
                <c:pt idx="14">
                  <c:v>24380</c:v>
                </c:pt>
                <c:pt idx="15">
                  <c:v>24380</c:v>
                </c:pt>
                <c:pt idx="16">
                  <c:v>24380</c:v>
                </c:pt>
                <c:pt idx="17">
                  <c:v>24380</c:v>
                </c:pt>
                <c:pt idx="18">
                  <c:v>24380</c:v>
                </c:pt>
                <c:pt idx="19">
                  <c:v>24380</c:v>
                </c:pt>
                <c:pt idx="20">
                  <c:v>24380</c:v>
                </c:pt>
                <c:pt idx="21">
                  <c:v>24380</c:v>
                </c:pt>
              </c:numCache>
            </c:numRef>
          </c:val>
          <c:smooth val="0"/>
          <c:extLst>
            <c:ext xmlns:c16="http://schemas.microsoft.com/office/drawing/2014/chart" uri="{C3380CC4-5D6E-409C-BE32-E72D297353CC}">
              <c16:uniqueId val="{00000002-0348-443F-BC1F-6725ED9B6BF2}"/>
            </c:ext>
          </c:extLst>
        </c:ser>
        <c:dLbls>
          <c:showLegendKey val="0"/>
          <c:showVal val="0"/>
          <c:showCatName val="0"/>
          <c:showSerName val="0"/>
          <c:showPercent val="0"/>
          <c:showBubbleSize val="0"/>
        </c:dLbls>
        <c:smooth val="0"/>
        <c:axId val="581409464"/>
        <c:axId val="581409792"/>
      </c:lineChart>
      <c:catAx>
        <c:axId val="58140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09792"/>
        <c:crosses val="autoZero"/>
        <c:auto val="1"/>
        <c:lblAlgn val="ctr"/>
        <c:lblOffset val="100"/>
        <c:noMultiLvlLbl val="0"/>
      </c:catAx>
      <c:valAx>
        <c:axId val="58140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0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'Rest Europe EV takeup'!$Q$3</c:f>
              <c:strCache>
                <c:ptCount val="1"/>
                <c:pt idx="0">
                  <c:v> Linear Logistic</c:v>
                </c:pt>
              </c:strCache>
            </c:strRef>
          </c:tx>
          <c:spPr>
            <a:ln w="57150" cap="rnd">
              <a:solidFill>
                <a:schemeClr val="tx1"/>
              </a:solidFill>
              <a:round/>
            </a:ln>
            <a:effectLst/>
          </c:spPr>
          <c:marker>
            <c:symbol val="none"/>
          </c:marker>
          <c:cat>
            <c:numRef>
              <c:f>'Rest Europe EV takeup'!$A$7:$A$12</c:f>
              <c:numCache>
                <c:formatCode>General</c:formatCode>
                <c:ptCount val="6"/>
                <c:pt idx="0">
                  <c:v>2012</c:v>
                </c:pt>
                <c:pt idx="1">
                  <c:v>2013</c:v>
                </c:pt>
                <c:pt idx="2">
                  <c:v>2014</c:v>
                </c:pt>
                <c:pt idx="3">
                  <c:v>2015</c:v>
                </c:pt>
                <c:pt idx="4">
                  <c:v>2016</c:v>
                </c:pt>
                <c:pt idx="5">
                  <c:v>2017</c:v>
                </c:pt>
              </c:numCache>
            </c:numRef>
          </c:cat>
          <c:val>
            <c:numRef>
              <c:f>'Rest Europe EV takeup'!$Q$7:$Q$12</c:f>
              <c:numCache>
                <c:formatCode>General</c:formatCode>
                <c:ptCount val="6"/>
                <c:pt idx="0">
                  <c:v>-7.4280798959918419</c:v>
                </c:pt>
                <c:pt idx="1">
                  <c:v>-7.6815399938657007</c:v>
                </c:pt>
                <c:pt idx="2">
                  <c:v>-6.742406268277704</c:v>
                </c:pt>
                <c:pt idx="3">
                  <c:v>-6.3351505585105325</c:v>
                </c:pt>
                <c:pt idx="4">
                  <c:v>-6.1688428224830902</c:v>
                </c:pt>
                <c:pt idx="5">
                  <c:v>-5.3174188372422897</c:v>
                </c:pt>
              </c:numCache>
            </c:numRef>
          </c:val>
          <c:smooth val="0"/>
          <c:extLst>
            <c:ext xmlns:c16="http://schemas.microsoft.com/office/drawing/2014/chart" uri="{C3380CC4-5D6E-409C-BE32-E72D297353CC}">
              <c16:uniqueId val="{00000000-8F4A-413A-968C-ED91FCD8DCF4}"/>
            </c:ext>
          </c:extLst>
        </c:ser>
        <c:ser>
          <c:idx val="1"/>
          <c:order val="1"/>
          <c:tx>
            <c:strRef>
              <c:f>'Rest Europe EV takeup'!$R$3</c:f>
              <c:strCache>
                <c:ptCount val="1"/>
                <c:pt idx="0">
                  <c:v>predicted</c:v>
                </c:pt>
              </c:strCache>
            </c:strRef>
          </c:tx>
          <c:spPr>
            <a:ln w="28575" cap="rnd">
              <a:solidFill>
                <a:schemeClr val="accent2"/>
              </a:solidFill>
              <a:round/>
            </a:ln>
            <a:effectLst/>
          </c:spPr>
          <c:marker>
            <c:symbol val="none"/>
          </c:marker>
          <c:cat>
            <c:numRef>
              <c:f>'Rest Europe EV takeup'!$A$7:$A$12</c:f>
              <c:numCache>
                <c:formatCode>General</c:formatCode>
                <c:ptCount val="6"/>
                <c:pt idx="0">
                  <c:v>2012</c:v>
                </c:pt>
                <c:pt idx="1">
                  <c:v>2013</c:v>
                </c:pt>
                <c:pt idx="2">
                  <c:v>2014</c:v>
                </c:pt>
                <c:pt idx="3">
                  <c:v>2015</c:v>
                </c:pt>
                <c:pt idx="4">
                  <c:v>2016</c:v>
                </c:pt>
                <c:pt idx="5">
                  <c:v>2017</c:v>
                </c:pt>
              </c:numCache>
            </c:numRef>
          </c:cat>
          <c:val>
            <c:numRef>
              <c:f>'Rest Europe EV takeup'!$R$7:$R$12</c:f>
              <c:numCache>
                <c:formatCode>General</c:formatCode>
                <c:ptCount val="6"/>
                <c:pt idx="0">
                  <c:v>-7.5628104984100766</c:v>
                </c:pt>
                <c:pt idx="1">
                  <c:v>-7.5894193732170869</c:v>
                </c:pt>
                <c:pt idx="2">
                  <c:v>-6.6771732116864904</c:v>
                </c:pt>
                <c:pt idx="3">
                  <c:v>-6.2343545683246964</c:v>
                </c:pt>
                <c:pt idx="4">
                  <c:v>-6.2609634431317067</c:v>
                </c:pt>
                <c:pt idx="5">
                  <c:v>-5.3487172816011102</c:v>
                </c:pt>
              </c:numCache>
            </c:numRef>
          </c:val>
          <c:smooth val="0"/>
          <c:extLst>
            <c:ext xmlns:c16="http://schemas.microsoft.com/office/drawing/2014/chart" uri="{C3380CC4-5D6E-409C-BE32-E72D297353CC}">
              <c16:uniqueId val="{00000001-8F4A-413A-968C-ED91FCD8DCF4}"/>
            </c:ext>
          </c:extLst>
        </c:ser>
        <c:dLbls>
          <c:showLegendKey val="0"/>
          <c:showVal val="0"/>
          <c:showCatName val="0"/>
          <c:showSerName val="0"/>
          <c:showPercent val="0"/>
          <c:showBubbleSize val="0"/>
        </c:dLbls>
        <c:smooth val="0"/>
        <c:axId val="696498056"/>
        <c:axId val="696511504"/>
      </c:lineChart>
      <c:catAx>
        <c:axId val="696498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11504"/>
        <c:crosses val="autoZero"/>
        <c:auto val="1"/>
        <c:lblAlgn val="ctr"/>
        <c:lblOffset val="100"/>
        <c:noMultiLvlLbl val="0"/>
      </c:catAx>
      <c:valAx>
        <c:axId val="696511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498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'Rest Europe EV takeup'!$B$3</c:f>
              <c:strCache>
                <c:ptCount val="1"/>
                <c:pt idx="0">
                  <c:v> EV %sales</c:v>
                </c:pt>
              </c:strCache>
            </c:strRef>
          </c:tx>
          <c:spPr>
            <a:ln w="44450" cap="rnd">
              <a:solidFill>
                <a:schemeClr val="tx1"/>
              </a:solidFill>
              <a:round/>
            </a:ln>
            <a:effectLst/>
          </c:spPr>
          <c:marker>
            <c:symbol val="none"/>
          </c:marker>
          <c:cat>
            <c:numRef>
              <c:f>'Rest Europe 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'Rest Europe EV takeup'!$B$4:$B$12</c:f>
              <c:numCache>
                <c:formatCode>0.00</c:formatCode>
                <c:ptCount val="9"/>
                <c:pt idx="0">
                  <c:v>0</c:v>
                </c:pt>
                <c:pt idx="1">
                  <c:v>1.4700472362928204E-4</c:v>
                </c:pt>
                <c:pt idx="2">
                  <c:v>1.5641205443559392E-2</c:v>
                </c:pt>
                <c:pt idx="3">
                  <c:v>3.8608347201689146E-2</c:v>
                </c:pt>
                <c:pt idx="4">
                  <c:v>2.9968337191406656E-2</c:v>
                </c:pt>
                <c:pt idx="5">
                  <c:v>7.6596943297003478E-2</c:v>
                </c:pt>
                <c:pt idx="6">
                  <c:v>0.11503318836033208</c:v>
                </c:pt>
                <c:pt idx="7">
                  <c:v>0.13580340082546269</c:v>
                </c:pt>
                <c:pt idx="8">
                  <c:v>0.31729448102144603</c:v>
                </c:pt>
              </c:numCache>
            </c:numRef>
          </c:val>
          <c:smooth val="0"/>
          <c:extLst>
            <c:ext xmlns:c16="http://schemas.microsoft.com/office/drawing/2014/chart" uri="{C3380CC4-5D6E-409C-BE32-E72D297353CC}">
              <c16:uniqueId val="{00000000-C54F-4F05-8E23-8877B0ED2445}"/>
            </c:ext>
          </c:extLst>
        </c:ser>
        <c:ser>
          <c:idx val="1"/>
          <c:order val="1"/>
          <c:tx>
            <c:strRef>
              <c:f>'Rest Europe EV takeup'!$O$3</c:f>
              <c:strCache>
                <c:ptCount val="1"/>
                <c:pt idx="0">
                  <c:v>predicted raw</c:v>
                </c:pt>
              </c:strCache>
            </c:strRef>
          </c:tx>
          <c:spPr>
            <a:ln w="28575" cap="rnd">
              <a:solidFill>
                <a:schemeClr val="accent2"/>
              </a:solidFill>
              <a:round/>
            </a:ln>
            <a:effectLst/>
          </c:spPr>
          <c:marker>
            <c:symbol val="none"/>
          </c:marker>
          <c:cat>
            <c:numRef>
              <c:f>'Rest Europe EV takeup'!$A$4:$A$12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'Rest Europe EV takeup'!$O$4:$O$12</c:f>
              <c:numCache>
                <c:formatCode>0.00</c:formatCode>
                <c:ptCount val="9"/>
                <c:pt idx="1">
                  <c:v>1.3922142440185525E-2</c:v>
                </c:pt>
                <c:pt idx="2">
                  <c:v>2.1675441318295498E-2</c:v>
                </c:pt>
                <c:pt idx="3">
                  <c:v>3.3744342442585909E-2</c:v>
                </c:pt>
                <c:pt idx="4">
                  <c:v>5.2527783932434013E-2</c:v>
                </c:pt>
                <c:pt idx="5">
                  <c:v>8.175367776141565E-2</c:v>
                </c:pt>
                <c:pt idx="6">
                  <c:v>0.12720869508644847</c:v>
                </c:pt>
                <c:pt idx="7">
                  <c:v>0.12387481770399303</c:v>
                </c:pt>
                <c:pt idx="8">
                  <c:v>0.30756372069793464</c:v>
                </c:pt>
              </c:numCache>
            </c:numRef>
          </c:val>
          <c:smooth val="0"/>
          <c:extLst>
            <c:ext xmlns:c16="http://schemas.microsoft.com/office/drawing/2014/chart" uri="{C3380CC4-5D6E-409C-BE32-E72D297353CC}">
              <c16:uniqueId val="{00000001-C54F-4F05-8E23-8877B0ED2445}"/>
            </c:ext>
          </c:extLst>
        </c:ser>
        <c:dLbls>
          <c:showLegendKey val="0"/>
          <c:showVal val="0"/>
          <c:showCatName val="0"/>
          <c:showSerName val="0"/>
          <c:showPercent val="0"/>
          <c:showBubbleSize val="0"/>
        </c:dLbls>
        <c:smooth val="0"/>
        <c:axId val="693411536"/>
        <c:axId val="693415800"/>
      </c:lineChart>
      <c:catAx>
        <c:axId val="69341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15800"/>
        <c:crosses val="autoZero"/>
        <c:auto val="1"/>
        <c:lblAlgn val="ctr"/>
        <c:lblOffset val="100"/>
        <c:noMultiLvlLbl val="0"/>
      </c:catAx>
      <c:valAx>
        <c:axId val="693415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1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'Rest Europe EV takeup'!$B$3</c:f>
              <c:strCache>
                <c:ptCount val="1"/>
                <c:pt idx="0">
                  <c:v> EV %sales</c:v>
                </c:pt>
              </c:strCache>
            </c:strRef>
          </c:tx>
          <c:spPr>
            <a:ln w="60325" cap="rnd">
              <a:solidFill>
                <a:schemeClr val="tx1"/>
              </a:solidFill>
              <a:round/>
            </a:ln>
            <a:effectLst/>
          </c:spPr>
          <c:marker>
            <c:symbol val="none"/>
          </c:marker>
          <c:cat>
            <c:numRef>
              <c:f>'Rest Europe EV takeup'!$A$4:$A$45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'Rest Europe EV takeup'!$B$4:$B$45</c:f>
              <c:numCache>
                <c:formatCode>0.00</c:formatCode>
                <c:ptCount val="42"/>
                <c:pt idx="0">
                  <c:v>0</c:v>
                </c:pt>
                <c:pt idx="1">
                  <c:v>1.4700472362928204E-4</c:v>
                </c:pt>
                <c:pt idx="2">
                  <c:v>1.5641205443559392E-2</c:v>
                </c:pt>
                <c:pt idx="3">
                  <c:v>3.8608347201689146E-2</c:v>
                </c:pt>
                <c:pt idx="4">
                  <c:v>2.9968337191406656E-2</c:v>
                </c:pt>
                <c:pt idx="5">
                  <c:v>7.6596943297003478E-2</c:v>
                </c:pt>
                <c:pt idx="6">
                  <c:v>0.11503318836033208</c:v>
                </c:pt>
                <c:pt idx="7">
                  <c:v>0.13580340082546269</c:v>
                </c:pt>
                <c:pt idx="8">
                  <c:v>0.31729448102144603</c:v>
                </c:pt>
              </c:numCache>
            </c:numRef>
          </c:val>
          <c:smooth val="0"/>
          <c:extLst>
            <c:ext xmlns:c16="http://schemas.microsoft.com/office/drawing/2014/chart" uri="{C3380CC4-5D6E-409C-BE32-E72D297353CC}">
              <c16:uniqueId val="{00000000-3949-4B58-86D0-E1B667D4D78E}"/>
            </c:ext>
          </c:extLst>
        </c:ser>
        <c:ser>
          <c:idx val="1"/>
          <c:order val="1"/>
          <c:tx>
            <c:strRef>
              <c:f>'Rest Europe EV takeup'!$C$3</c:f>
              <c:strCache>
                <c:ptCount val="1"/>
                <c:pt idx="0">
                  <c:v>Predicted Cost Lagged</c:v>
                </c:pt>
              </c:strCache>
            </c:strRef>
          </c:tx>
          <c:spPr>
            <a:ln w="28575" cap="rnd">
              <a:solidFill>
                <a:schemeClr val="accent2"/>
              </a:solidFill>
              <a:round/>
            </a:ln>
            <a:effectLst/>
          </c:spPr>
          <c:marker>
            <c:symbol val="none"/>
          </c:marker>
          <c:cat>
            <c:numRef>
              <c:f>'Rest Europe EV takeup'!$A$4:$A$45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'Rest Europe EV takeup'!$C$4:$C$45</c:f>
              <c:numCache>
                <c:formatCode>0.00</c:formatCode>
                <c:ptCount val="42"/>
                <c:pt idx="3">
                  <c:v>3.3744342442585909E-2</c:v>
                </c:pt>
                <c:pt idx="4">
                  <c:v>5.2527783932434013E-2</c:v>
                </c:pt>
                <c:pt idx="5">
                  <c:v>8.175367776141565E-2</c:v>
                </c:pt>
                <c:pt idx="6">
                  <c:v>0.12720869508644847</c:v>
                </c:pt>
                <c:pt idx="7">
                  <c:v>0.12387481770399303</c:v>
                </c:pt>
                <c:pt idx="8">
                  <c:v>0.30756372069793464</c:v>
                </c:pt>
                <c:pt idx="9">
                  <c:v>0.53770724711563977</c:v>
                </c:pt>
                <c:pt idx="10">
                  <c:v>0.80231503714945585</c:v>
                </c:pt>
                <c:pt idx="11">
                  <c:v>1.1409432358500173</c:v>
                </c:pt>
                <c:pt idx="12">
                  <c:v>1.7397763277109062</c:v>
                </c:pt>
                <c:pt idx="13">
                  <c:v>2.3882958574109643</c:v>
                </c:pt>
                <c:pt idx="14">
                  <c:v>3.235463946736632</c:v>
                </c:pt>
                <c:pt idx="15">
                  <c:v>4.3373109947000348</c:v>
                </c:pt>
                <c:pt idx="16">
                  <c:v>5.7460928041321813</c:v>
                </c:pt>
                <c:pt idx="17">
                  <c:v>7.5123484183964866</c:v>
                </c:pt>
                <c:pt idx="18">
                  <c:v>9.6782153372011557</c:v>
                </c:pt>
                <c:pt idx="19">
                  <c:v>12.269378694505548</c:v>
                </c:pt>
                <c:pt idx="20">
                  <c:v>15.287046255962554</c:v>
                </c:pt>
                <c:pt idx="21">
                  <c:v>18.701877305538918</c:v>
                </c:pt>
                <c:pt idx="22">
                  <c:v>22.451750711328952</c:v>
                </c:pt>
                <c:pt idx="23">
                  <c:v>26.444523671266914</c:v>
                </c:pt>
                <c:pt idx="24">
                  <c:v>30.5657574927612</c:v>
                </c:pt>
                <c:pt idx="25">
                  <c:v>34.690210331963065</c:v>
                </c:pt>
                <c:pt idx="26">
                  <c:v>38.695058871007866</c:v>
                </c:pt>
                <c:pt idx="27">
                  <c:v>42.472445808493127</c:v>
                </c:pt>
                <c:pt idx="28">
                  <c:v>45.939101265020064</c:v>
                </c:pt>
                <c:pt idx="29">
                  <c:v>49.04663284859231</c:v>
                </c:pt>
                <c:pt idx="30">
                  <c:v>51.774010485656405</c:v>
                </c:pt>
                <c:pt idx="31">
                  <c:v>54.124354992857789</c:v>
                </c:pt>
                <c:pt idx="32">
                  <c:v>56.119195802829772</c:v>
                </c:pt>
                <c:pt idx="33">
                  <c:v>57.791904511216536</c:v>
                </c:pt>
                <c:pt idx="34">
                  <c:v>59.181687041037826</c:v>
                </c:pt>
                <c:pt idx="35">
                  <c:v>60.328909368396388</c:v>
                </c:pt>
                <c:pt idx="36">
                  <c:v>61.266804393390196</c:v>
                </c:pt>
                <c:pt idx="37">
                  <c:v>62.027431587602983</c:v>
                </c:pt>
                <c:pt idx="38">
                  <c:v>62.640231103336525</c:v>
                </c:pt>
                <c:pt idx="39">
                  <c:v>63.131279137563055</c:v>
                </c:pt>
                <c:pt idx="40">
                  <c:v>63.523052740152814</c:v>
                </c:pt>
                <c:pt idx="41">
                  <c:v>63.834527550878875</c:v>
                </c:pt>
              </c:numCache>
            </c:numRef>
          </c:val>
          <c:smooth val="0"/>
          <c:extLst>
            <c:ext xmlns:c16="http://schemas.microsoft.com/office/drawing/2014/chart" uri="{C3380CC4-5D6E-409C-BE32-E72D297353CC}">
              <c16:uniqueId val="{00000001-3949-4B58-86D0-E1B667D4D78E}"/>
            </c:ext>
          </c:extLst>
        </c:ser>
        <c:ser>
          <c:idx val="2"/>
          <c:order val="2"/>
          <c:tx>
            <c:strRef>
              <c:f>'Rest Europe EV takeup'!$O$3</c:f>
              <c:strCache>
                <c:ptCount val="1"/>
                <c:pt idx="0">
                  <c:v>predicted raw</c:v>
                </c:pt>
              </c:strCache>
            </c:strRef>
          </c:tx>
          <c:spPr>
            <a:ln w="28575" cap="rnd">
              <a:solidFill>
                <a:schemeClr val="accent3"/>
              </a:solidFill>
              <a:round/>
            </a:ln>
            <a:effectLst/>
          </c:spPr>
          <c:marker>
            <c:symbol val="none"/>
          </c:marker>
          <c:cat>
            <c:numRef>
              <c:f>'Rest Europe EV takeup'!$A$4:$A$45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'Rest Europe EV takeup'!$O$4:$O$45</c:f>
              <c:numCache>
                <c:formatCode>0.00</c:formatCode>
                <c:ptCount val="42"/>
                <c:pt idx="1">
                  <c:v>1.3922142440185525E-2</c:v>
                </c:pt>
                <c:pt idx="2">
                  <c:v>2.1675441318295498E-2</c:v>
                </c:pt>
                <c:pt idx="3">
                  <c:v>3.3744342442585909E-2</c:v>
                </c:pt>
                <c:pt idx="4">
                  <c:v>5.2527783932434013E-2</c:v>
                </c:pt>
                <c:pt idx="5">
                  <c:v>8.175367776141565E-2</c:v>
                </c:pt>
                <c:pt idx="6">
                  <c:v>0.12720869508644847</c:v>
                </c:pt>
                <c:pt idx="7">
                  <c:v>0.12387481770399303</c:v>
                </c:pt>
                <c:pt idx="8">
                  <c:v>0.30756372069793464</c:v>
                </c:pt>
                <c:pt idx="9">
                  <c:v>0.47764529154494301</c:v>
                </c:pt>
                <c:pt idx="10">
                  <c:v>0.74070443711545286</c:v>
                </c:pt>
                <c:pt idx="11">
                  <c:v>1.1460678396135278</c:v>
                </c:pt>
                <c:pt idx="12">
                  <c:v>1.7671726185362033</c:v>
                </c:pt>
                <c:pt idx="13">
                  <c:v>2.7105926994601921</c:v>
                </c:pt>
                <c:pt idx="14">
                  <c:v>4.1248112477580197</c:v>
                </c:pt>
                <c:pt idx="15">
                  <c:v>6.2033984467536163</c:v>
                </c:pt>
                <c:pt idx="16">
                  <c:v>9.1716221571704377</c:v>
                </c:pt>
                <c:pt idx="17">
                  <c:v>13.240269993680185</c:v>
                </c:pt>
                <c:pt idx="18">
                  <c:v>18.515233276278042</c:v>
                </c:pt>
                <c:pt idx="19">
                  <c:v>24.881512508231992</c:v>
                </c:pt>
                <c:pt idx="20">
                  <c:v>31.933037154333675</c:v>
                </c:pt>
                <c:pt idx="21">
                  <c:v>39.038366136989417</c:v>
                </c:pt>
                <c:pt idx="22">
                  <c:v>45.547003618162918</c:v>
                </c:pt>
                <c:pt idx="23">
                  <c:v>51.008720535160165</c:v>
                </c:pt>
                <c:pt idx="24">
                  <c:v>55.264742203913279</c:v>
                </c:pt>
                <c:pt idx="25">
                  <c:v>58.393791321865343</c:v>
                </c:pt>
                <c:pt idx="26">
                  <c:v>60.597242333125578</c:v>
                </c:pt>
                <c:pt idx="27">
                  <c:v>62.102220364826763</c:v>
                </c:pt>
                <c:pt idx="28">
                  <c:v>63.1088126931933</c:v>
                </c:pt>
                <c:pt idx="29">
                  <c:v>63.77265865505985</c:v>
                </c:pt>
                <c:pt idx="30">
                  <c:v>64.206411174684547</c:v>
                </c:pt>
                <c:pt idx="31">
                  <c:v>64.488102447689897</c:v>
                </c:pt>
                <c:pt idx="32">
                  <c:v>64.670318361099916</c:v>
                </c:pt>
                <c:pt idx="33">
                  <c:v>64.787885735303334</c:v>
                </c:pt>
                <c:pt idx="34">
                  <c:v>64.863615966401042</c:v>
                </c:pt>
                <c:pt idx="35">
                  <c:v>64.912345143880017</c:v>
                </c:pt>
                <c:pt idx="36">
                  <c:v>64.943678803247096</c:v>
                </c:pt>
                <c:pt idx="37">
                  <c:v>64.963817977787613</c:v>
                </c:pt>
                <c:pt idx="38">
                  <c:v>64.976758420301763</c:v>
                </c:pt>
                <c:pt idx="39">
                  <c:v>64.985071797707363</c:v>
                </c:pt>
                <c:pt idx="40">
                  <c:v>64.990411967331198</c:v>
                </c:pt>
                <c:pt idx="41">
                  <c:v>64.993842013502658</c:v>
                </c:pt>
              </c:numCache>
            </c:numRef>
          </c:val>
          <c:smooth val="0"/>
          <c:extLst>
            <c:ext xmlns:c16="http://schemas.microsoft.com/office/drawing/2014/chart" uri="{C3380CC4-5D6E-409C-BE32-E72D297353CC}">
              <c16:uniqueId val="{00000002-3949-4B58-86D0-E1B667D4D78E}"/>
            </c:ext>
          </c:extLst>
        </c:ser>
        <c:dLbls>
          <c:showLegendKey val="0"/>
          <c:showVal val="0"/>
          <c:showCatName val="0"/>
          <c:showSerName val="0"/>
          <c:showPercent val="0"/>
          <c:showBubbleSize val="0"/>
        </c:dLbls>
        <c:smooth val="0"/>
        <c:axId val="693417112"/>
        <c:axId val="693421704"/>
      </c:lineChart>
      <c:catAx>
        <c:axId val="693417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21704"/>
        <c:crosses val="autoZero"/>
        <c:auto val="1"/>
        <c:lblAlgn val="ctr"/>
        <c:lblOffset val="100"/>
        <c:noMultiLvlLbl val="0"/>
      </c:catAx>
      <c:valAx>
        <c:axId val="693421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17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'Rest Europe EV takeup'!$B$3</c:f>
              <c:strCache>
                <c:ptCount val="1"/>
                <c:pt idx="0">
                  <c:v> EV %sales</c:v>
                </c:pt>
              </c:strCache>
            </c:strRef>
          </c:tx>
          <c:spPr>
            <a:ln w="60325" cap="rnd">
              <a:solidFill>
                <a:schemeClr val="tx1"/>
              </a:solidFill>
              <a:round/>
            </a:ln>
            <a:effectLst/>
          </c:spPr>
          <c:marker>
            <c:symbol val="none"/>
          </c:marker>
          <c:cat>
            <c:numRef>
              <c:f>'Rest Europe EV takeup'!$A$4:$A$45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'Rest Europe EV takeup'!$B$4:$B$45</c:f>
              <c:numCache>
                <c:formatCode>0.00</c:formatCode>
                <c:ptCount val="42"/>
                <c:pt idx="0">
                  <c:v>0</c:v>
                </c:pt>
                <c:pt idx="1">
                  <c:v>1.4700472362928204E-4</c:v>
                </c:pt>
                <c:pt idx="2">
                  <c:v>1.5641205443559392E-2</c:v>
                </c:pt>
                <c:pt idx="3">
                  <c:v>3.8608347201689146E-2</c:v>
                </c:pt>
                <c:pt idx="4">
                  <c:v>2.9968337191406656E-2</c:v>
                </c:pt>
                <c:pt idx="5">
                  <c:v>7.6596943297003478E-2</c:v>
                </c:pt>
                <c:pt idx="6">
                  <c:v>0.11503318836033208</c:v>
                </c:pt>
                <c:pt idx="7">
                  <c:v>0.13580340082546269</c:v>
                </c:pt>
                <c:pt idx="8">
                  <c:v>0.31729448102144603</c:v>
                </c:pt>
              </c:numCache>
            </c:numRef>
          </c:val>
          <c:smooth val="0"/>
          <c:extLst>
            <c:ext xmlns:c16="http://schemas.microsoft.com/office/drawing/2014/chart" uri="{C3380CC4-5D6E-409C-BE32-E72D297353CC}">
              <c16:uniqueId val="{00000000-4EED-4867-BCE0-699F8E4F7328}"/>
            </c:ext>
          </c:extLst>
        </c:ser>
        <c:ser>
          <c:idx val="2"/>
          <c:order val="1"/>
          <c:tx>
            <c:strRef>
              <c:f>'Rest Europe EV takeup'!$O$3</c:f>
              <c:strCache>
                <c:ptCount val="1"/>
                <c:pt idx="0">
                  <c:v>predicted raw</c:v>
                </c:pt>
              </c:strCache>
            </c:strRef>
          </c:tx>
          <c:spPr>
            <a:ln w="28575" cap="rnd">
              <a:solidFill>
                <a:schemeClr val="accent3"/>
              </a:solidFill>
              <a:round/>
            </a:ln>
            <a:effectLst/>
          </c:spPr>
          <c:marker>
            <c:symbol val="none"/>
          </c:marker>
          <c:cat>
            <c:numRef>
              <c:f>'Rest Europe EV takeup'!$A$4:$A$45</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'Rest Europe EV takeup'!$O$4:$O$45</c:f>
              <c:numCache>
                <c:formatCode>0.00</c:formatCode>
                <c:ptCount val="42"/>
                <c:pt idx="1">
                  <c:v>1.3922142440185525E-2</c:v>
                </c:pt>
                <c:pt idx="2">
                  <c:v>2.1675441318295498E-2</c:v>
                </c:pt>
                <c:pt idx="3">
                  <c:v>3.3744342442585909E-2</c:v>
                </c:pt>
                <c:pt idx="4">
                  <c:v>5.2527783932434013E-2</c:v>
                </c:pt>
                <c:pt idx="5">
                  <c:v>8.175367776141565E-2</c:v>
                </c:pt>
                <c:pt idx="6">
                  <c:v>0.12720869508644847</c:v>
                </c:pt>
                <c:pt idx="7">
                  <c:v>0.12387481770399303</c:v>
                </c:pt>
                <c:pt idx="8">
                  <c:v>0.30756372069793464</c:v>
                </c:pt>
                <c:pt idx="9">
                  <c:v>0.47764529154494301</c:v>
                </c:pt>
                <c:pt idx="10">
                  <c:v>0.74070443711545286</c:v>
                </c:pt>
                <c:pt idx="11">
                  <c:v>1.1460678396135278</c:v>
                </c:pt>
                <c:pt idx="12">
                  <c:v>1.7671726185362033</c:v>
                </c:pt>
                <c:pt idx="13">
                  <c:v>2.7105926994601921</c:v>
                </c:pt>
                <c:pt idx="14">
                  <c:v>4.1248112477580197</c:v>
                </c:pt>
                <c:pt idx="15">
                  <c:v>6.2033984467536163</c:v>
                </c:pt>
                <c:pt idx="16">
                  <c:v>9.1716221571704377</c:v>
                </c:pt>
                <c:pt idx="17">
                  <c:v>13.240269993680185</c:v>
                </c:pt>
                <c:pt idx="18">
                  <c:v>18.515233276278042</c:v>
                </c:pt>
                <c:pt idx="19">
                  <c:v>24.881512508231992</c:v>
                </c:pt>
                <c:pt idx="20">
                  <c:v>31.933037154333675</c:v>
                </c:pt>
                <c:pt idx="21">
                  <c:v>39.038366136989417</c:v>
                </c:pt>
                <c:pt idx="22">
                  <c:v>45.547003618162918</c:v>
                </c:pt>
                <c:pt idx="23">
                  <c:v>51.008720535160165</c:v>
                </c:pt>
                <c:pt idx="24">
                  <c:v>55.264742203913279</c:v>
                </c:pt>
                <c:pt idx="25">
                  <c:v>58.393791321865343</c:v>
                </c:pt>
                <c:pt idx="26">
                  <c:v>60.597242333125578</c:v>
                </c:pt>
                <c:pt idx="27">
                  <c:v>62.102220364826763</c:v>
                </c:pt>
                <c:pt idx="28">
                  <c:v>63.1088126931933</c:v>
                </c:pt>
                <c:pt idx="29">
                  <c:v>63.77265865505985</c:v>
                </c:pt>
                <c:pt idx="30">
                  <c:v>64.206411174684547</c:v>
                </c:pt>
                <c:pt idx="31">
                  <c:v>64.488102447689897</c:v>
                </c:pt>
                <c:pt idx="32">
                  <c:v>64.670318361099916</c:v>
                </c:pt>
                <c:pt idx="33">
                  <c:v>64.787885735303334</c:v>
                </c:pt>
                <c:pt idx="34">
                  <c:v>64.863615966401042</c:v>
                </c:pt>
                <c:pt idx="35">
                  <c:v>64.912345143880017</c:v>
                </c:pt>
                <c:pt idx="36">
                  <c:v>64.943678803247096</c:v>
                </c:pt>
                <c:pt idx="37">
                  <c:v>64.963817977787613</c:v>
                </c:pt>
                <c:pt idx="38">
                  <c:v>64.976758420301763</c:v>
                </c:pt>
                <c:pt idx="39">
                  <c:v>64.985071797707363</c:v>
                </c:pt>
                <c:pt idx="40">
                  <c:v>64.990411967331198</c:v>
                </c:pt>
                <c:pt idx="41">
                  <c:v>64.993842013502658</c:v>
                </c:pt>
              </c:numCache>
            </c:numRef>
          </c:val>
          <c:smooth val="0"/>
          <c:extLst>
            <c:ext xmlns:c16="http://schemas.microsoft.com/office/drawing/2014/chart" uri="{C3380CC4-5D6E-409C-BE32-E72D297353CC}">
              <c16:uniqueId val="{00000002-4EED-4867-BCE0-699F8E4F7328}"/>
            </c:ext>
          </c:extLst>
        </c:ser>
        <c:dLbls>
          <c:showLegendKey val="0"/>
          <c:showVal val="0"/>
          <c:showCatName val="0"/>
          <c:showSerName val="0"/>
          <c:showPercent val="0"/>
          <c:showBubbleSize val="0"/>
        </c:dLbls>
        <c:smooth val="0"/>
        <c:axId val="693417112"/>
        <c:axId val="693421704"/>
      </c:lineChart>
      <c:catAx>
        <c:axId val="693417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21704"/>
        <c:crosses val="autoZero"/>
        <c:auto val="1"/>
        <c:lblAlgn val="ctr"/>
        <c:lblOffset val="100"/>
        <c:noMultiLvlLbl val="0"/>
      </c:catAx>
      <c:valAx>
        <c:axId val="693421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417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'Bloomberg EV% sales'!$D$3</c:f>
              <c:strCache>
                <c:ptCount val="1"/>
                <c:pt idx="0">
                  <c:v>EV% sales</c:v>
                </c:pt>
              </c:strCache>
            </c:strRef>
          </c:tx>
          <c:spPr>
            <a:ln w="28575" cap="rnd">
              <a:solidFill>
                <a:schemeClr val="accent1"/>
              </a:solidFill>
              <a:round/>
            </a:ln>
            <a:effectLst/>
          </c:spPr>
          <c:marker>
            <c:symbol val="none"/>
          </c:marker>
          <c:cat>
            <c:numRef>
              <c:f>'Bloomberg EV% sales'!$A$4:$A$11</c:f>
              <c:numCache>
                <c:formatCode>General</c:formatCode>
                <c:ptCount val="8"/>
                <c:pt idx="0">
                  <c:v>2010</c:v>
                </c:pt>
                <c:pt idx="1">
                  <c:v>2011</c:v>
                </c:pt>
                <c:pt idx="2">
                  <c:v>2012</c:v>
                </c:pt>
                <c:pt idx="3">
                  <c:v>2013</c:v>
                </c:pt>
                <c:pt idx="4">
                  <c:v>2014</c:v>
                </c:pt>
                <c:pt idx="5">
                  <c:v>2015</c:v>
                </c:pt>
                <c:pt idx="6">
                  <c:v>2016</c:v>
                </c:pt>
                <c:pt idx="7">
                  <c:v>2017</c:v>
                </c:pt>
              </c:numCache>
            </c:numRef>
          </c:cat>
          <c:val>
            <c:numRef>
              <c:f>'Bloomberg EV% sales'!$D$4:$D$11</c:f>
              <c:numCache>
                <c:formatCode>0.00</c:formatCode>
                <c:ptCount val="8"/>
                <c:pt idx="0">
                  <c:v>1.6964627629336562E-2</c:v>
                </c:pt>
                <c:pt idx="1">
                  <c:v>0.10234351891729328</c:v>
                </c:pt>
                <c:pt idx="2">
                  <c:v>0.23522435592921317</c:v>
                </c:pt>
                <c:pt idx="3">
                  <c:v>0.38403986642724675</c:v>
                </c:pt>
                <c:pt idx="4">
                  <c:v>0.57247293705754376</c:v>
                </c:pt>
                <c:pt idx="5">
                  <c:v>0.90247796151091464</c:v>
                </c:pt>
                <c:pt idx="6">
                  <c:v>1.1362386310898671</c:v>
                </c:pt>
                <c:pt idx="7">
                  <c:v>1.6633518305579627</c:v>
                </c:pt>
              </c:numCache>
            </c:numRef>
          </c:val>
          <c:smooth val="0"/>
          <c:extLst>
            <c:ext xmlns:c16="http://schemas.microsoft.com/office/drawing/2014/chart" uri="{C3380CC4-5D6E-409C-BE32-E72D297353CC}">
              <c16:uniqueId val="{00000000-A934-431D-A855-D44CE9D612B0}"/>
            </c:ext>
          </c:extLst>
        </c:ser>
        <c:ser>
          <c:idx val="1"/>
          <c:order val="1"/>
          <c:tx>
            <c:strRef>
              <c:f>'Bloomberg EV% sales'!$E$3</c:f>
              <c:strCache>
                <c:ptCount val="1"/>
                <c:pt idx="0">
                  <c:v>BBrg logistic%</c:v>
                </c:pt>
              </c:strCache>
            </c:strRef>
          </c:tx>
          <c:spPr>
            <a:ln w="28575" cap="rnd">
              <a:solidFill>
                <a:schemeClr val="accent2"/>
              </a:solidFill>
              <a:round/>
            </a:ln>
            <a:effectLst/>
          </c:spPr>
          <c:marker>
            <c:symbol val="none"/>
          </c:marker>
          <c:cat>
            <c:numRef>
              <c:f>'Bloomberg EV% sales'!$A$4:$A$11</c:f>
              <c:numCache>
                <c:formatCode>General</c:formatCode>
                <c:ptCount val="8"/>
                <c:pt idx="0">
                  <c:v>2010</c:v>
                </c:pt>
                <c:pt idx="1">
                  <c:v>2011</c:v>
                </c:pt>
                <c:pt idx="2">
                  <c:v>2012</c:v>
                </c:pt>
                <c:pt idx="3">
                  <c:v>2013</c:v>
                </c:pt>
                <c:pt idx="4">
                  <c:v>2014</c:v>
                </c:pt>
                <c:pt idx="5">
                  <c:v>2015</c:v>
                </c:pt>
                <c:pt idx="6">
                  <c:v>2016</c:v>
                </c:pt>
                <c:pt idx="7">
                  <c:v>2017</c:v>
                </c:pt>
              </c:numCache>
            </c:numRef>
          </c:cat>
          <c:val>
            <c:numRef>
              <c:f>'Bloomberg EV% sales'!$E$4:$E$11</c:f>
              <c:numCache>
                <c:formatCode>0.00</c:formatCode>
                <c:ptCount val="8"/>
                <c:pt idx="1">
                  <c:v>0.11839474699267491</c:v>
                </c:pt>
                <c:pt idx="2">
                  <c:v>0.20339482987838917</c:v>
                </c:pt>
                <c:pt idx="3">
                  <c:v>0.34909135870790725</c:v>
                </c:pt>
                <c:pt idx="4">
                  <c:v>0.59819027181098239</c:v>
                </c:pt>
                <c:pt idx="5">
                  <c:v>1.0222266627320407</c:v>
                </c:pt>
                <c:pt idx="6">
                  <c:v>1.3011396948522056</c:v>
                </c:pt>
                <c:pt idx="7">
                  <c:v>1.6541860949663403</c:v>
                </c:pt>
              </c:numCache>
            </c:numRef>
          </c:val>
          <c:smooth val="0"/>
          <c:extLst>
            <c:ext xmlns:c16="http://schemas.microsoft.com/office/drawing/2014/chart" uri="{C3380CC4-5D6E-409C-BE32-E72D297353CC}">
              <c16:uniqueId val="{00000001-A934-431D-A855-D44CE9D612B0}"/>
            </c:ext>
          </c:extLst>
        </c:ser>
        <c:dLbls>
          <c:showLegendKey val="0"/>
          <c:showVal val="0"/>
          <c:showCatName val="0"/>
          <c:showSerName val="0"/>
          <c:showPercent val="0"/>
          <c:showBubbleSize val="0"/>
        </c:dLbls>
        <c:smooth val="0"/>
        <c:axId val="770715688"/>
        <c:axId val="770713392"/>
      </c:lineChart>
      <c:catAx>
        <c:axId val="77071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713392"/>
        <c:crosses val="autoZero"/>
        <c:auto val="1"/>
        <c:lblAlgn val="ctr"/>
        <c:lblOffset val="100"/>
        <c:noMultiLvlLbl val="0"/>
      </c:catAx>
      <c:valAx>
        <c:axId val="7707133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71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sales% to 2017'!$H$3</c:f>
              <c:strCache>
                <c:ptCount val="1"/>
                <c:pt idx="0">
                  <c:v>logistic</c:v>
                </c:pt>
              </c:strCache>
            </c:strRef>
          </c:tx>
          <c:spPr>
            <a:ln w="28575" cap="rnd">
              <a:solidFill>
                <a:schemeClr val="accent1"/>
              </a:solidFill>
              <a:round/>
            </a:ln>
            <a:effectLst/>
          </c:spPr>
          <c:marker>
            <c:symbol val="none"/>
          </c:marker>
          <c:cat>
            <c:numRef>
              <c:f>'Global EV sales% to 2017'!$A$14:$A$21</c:f>
              <c:numCache>
                <c:formatCode>General</c:formatCode>
                <c:ptCount val="8"/>
                <c:pt idx="0">
                  <c:v>2010</c:v>
                </c:pt>
                <c:pt idx="1">
                  <c:v>2011</c:v>
                </c:pt>
                <c:pt idx="2">
                  <c:v>2012</c:v>
                </c:pt>
                <c:pt idx="3">
                  <c:v>2013</c:v>
                </c:pt>
                <c:pt idx="4">
                  <c:v>2014</c:v>
                </c:pt>
                <c:pt idx="5">
                  <c:v>2015</c:v>
                </c:pt>
                <c:pt idx="6">
                  <c:v>2016</c:v>
                </c:pt>
                <c:pt idx="7">
                  <c:v>2017</c:v>
                </c:pt>
              </c:numCache>
            </c:numRef>
          </c:cat>
          <c:val>
            <c:numRef>
              <c:f>'Global EV sales% to 2017'!$H$14:$H$21</c:f>
              <c:numCache>
                <c:formatCode>General</c:formatCode>
                <c:ptCount val="8"/>
                <c:pt idx="0">
                  <c:v>-8.2507510718928216</c:v>
                </c:pt>
                <c:pt idx="1">
                  <c:v>-6.4522318049899381</c:v>
                </c:pt>
                <c:pt idx="2">
                  <c:v>-5.6179773840205085</c:v>
                </c:pt>
                <c:pt idx="3">
                  <c:v>-5.1254703541275148</c:v>
                </c:pt>
                <c:pt idx="4">
                  <c:v>-4.7233307968361888</c:v>
                </c:pt>
                <c:pt idx="5">
                  <c:v>-4.2630167138852615</c:v>
                </c:pt>
                <c:pt idx="6">
                  <c:v>-4.0290287249675529</c:v>
                </c:pt>
                <c:pt idx="7">
                  <c:v>-3.6396293800308035</c:v>
                </c:pt>
              </c:numCache>
            </c:numRef>
          </c:val>
          <c:smooth val="0"/>
          <c:extLst>
            <c:ext xmlns:c16="http://schemas.microsoft.com/office/drawing/2014/chart" uri="{C3380CC4-5D6E-409C-BE32-E72D297353CC}">
              <c16:uniqueId val="{00000000-5676-44B0-AD12-C9E1EE70E7F3}"/>
            </c:ext>
          </c:extLst>
        </c:ser>
        <c:ser>
          <c:idx val="1"/>
          <c:order val="1"/>
          <c:tx>
            <c:strRef>
              <c:f>'Global EV sales% to 2017'!$I$3</c:f>
              <c:strCache>
                <c:ptCount val="1"/>
                <c:pt idx="0">
                  <c:v>pred</c:v>
                </c:pt>
              </c:strCache>
            </c:strRef>
          </c:tx>
          <c:spPr>
            <a:ln w="28575" cap="rnd">
              <a:solidFill>
                <a:schemeClr val="accent2"/>
              </a:solidFill>
              <a:round/>
            </a:ln>
            <a:effectLst/>
          </c:spPr>
          <c:marker>
            <c:symbol val="none"/>
          </c:marker>
          <c:cat>
            <c:numRef>
              <c:f>'Global EV sales% to 2017'!$A$14:$A$21</c:f>
              <c:numCache>
                <c:formatCode>General</c:formatCode>
                <c:ptCount val="8"/>
                <c:pt idx="0">
                  <c:v>2010</c:v>
                </c:pt>
                <c:pt idx="1">
                  <c:v>2011</c:v>
                </c:pt>
                <c:pt idx="2">
                  <c:v>2012</c:v>
                </c:pt>
                <c:pt idx="3">
                  <c:v>2013</c:v>
                </c:pt>
                <c:pt idx="4">
                  <c:v>2014</c:v>
                </c:pt>
                <c:pt idx="5">
                  <c:v>2015</c:v>
                </c:pt>
                <c:pt idx="6">
                  <c:v>2016</c:v>
                </c:pt>
                <c:pt idx="7">
                  <c:v>2017</c:v>
                </c:pt>
              </c:numCache>
            </c:numRef>
          </c:cat>
          <c:val>
            <c:numRef>
              <c:f>'Global EV sales% to 2017'!$I$14:$I$21</c:f>
              <c:numCache>
                <c:formatCode>General</c:formatCode>
                <c:ptCount val="8"/>
                <c:pt idx="0">
                  <c:v>-6.2124866988879948</c:v>
                </c:pt>
                <c:pt idx="1">
                  <c:v>-5.8458784512585149</c:v>
                </c:pt>
                <c:pt idx="2">
                  <c:v>-5.4792702036290342</c:v>
                </c:pt>
                <c:pt idx="3">
                  <c:v>-5.1126619559995534</c:v>
                </c:pt>
                <c:pt idx="4">
                  <c:v>-4.7460537083700736</c:v>
                </c:pt>
                <c:pt idx="5">
                  <c:v>-4.3794454607405928</c:v>
                </c:pt>
                <c:pt idx="6">
                  <c:v>-4.0128372131111121</c:v>
                </c:pt>
                <c:pt idx="7">
                  <c:v>-3.6462289654816318</c:v>
                </c:pt>
              </c:numCache>
            </c:numRef>
          </c:val>
          <c:smooth val="0"/>
          <c:extLst>
            <c:ext xmlns:c16="http://schemas.microsoft.com/office/drawing/2014/chart" uri="{C3380CC4-5D6E-409C-BE32-E72D297353CC}">
              <c16:uniqueId val="{00000001-5676-44B0-AD12-C9E1EE70E7F3}"/>
            </c:ext>
          </c:extLst>
        </c:ser>
        <c:dLbls>
          <c:showLegendKey val="0"/>
          <c:showVal val="0"/>
          <c:showCatName val="0"/>
          <c:showSerName val="0"/>
          <c:showPercent val="0"/>
          <c:showBubbleSize val="0"/>
        </c:dLbls>
        <c:smooth val="0"/>
        <c:axId val="584424672"/>
        <c:axId val="584425000"/>
      </c:lineChart>
      <c:catAx>
        <c:axId val="58442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425000"/>
        <c:crosses val="autoZero"/>
        <c:auto val="1"/>
        <c:lblAlgn val="ctr"/>
        <c:lblOffset val="100"/>
        <c:noMultiLvlLbl val="0"/>
      </c:catAx>
      <c:valAx>
        <c:axId val="584425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42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'Global EV sales% to 2017'!$C$3</c:f>
              <c:strCache>
                <c:ptCount val="1"/>
                <c:pt idx="0">
                  <c:v>EV% sales</c:v>
                </c:pt>
              </c:strCache>
            </c:strRef>
          </c:tx>
          <c:spPr>
            <a:ln w="28575" cap="rnd">
              <a:solidFill>
                <a:schemeClr val="tx1"/>
              </a:solidFill>
              <a:round/>
            </a:ln>
            <a:effectLst/>
          </c:spPr>
          <c:marker>
            <c:symbol val="none"/>
          </c:marker>
          <c:cat>
            <c:numRef>
              <c:f>'Global EV sales% to 2017'!$A$9:$A$22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'Global EV sales% to 2017'!$C$9:$C$22</c:f>
              <c:numCache>
                <c:formatCode>0.000</c:formatCode>
                <c:ptCount val="14"/>
                <c:pt idx="0">
                  <c:v>4.1633996954347852E-3</c:v>
                </c:pt>
                <c:pt idx="1">
                  <c:v>4.5329727620648788E-3</c:v>
                </c:pt>
                <c:pt idx="2">
                  <c:v>4.9570702875317615E-3</c:v>
                </c:pt>
                <c:pt idx="3">
                  <c:v>5.2600745219215433E-3</c:v>
                </c:pt>
                <c:pt idx="4">
                  <c:v>9.0944063654437145E-3</c:v>
                </c:pt>
                <c:pt idx="5">
                  <c:v>1.6964627629336562E-2</c:v>
                </c:pt>
                <c:pt idx="6">
                  <c:v>0.10234351891729328</c:v>
                </c:pt>
                <c:pt idx="7">
                  <c:v>0.23522435592921317</c:v>
                </c:pt>
                <c:pt idx="8">
                  <c:v>0.38403986642724675</c:v>
                </c:pt>
                <c:pt idx="9">
                  <c:v>0.57247293705754376</c:v>
                </c:pt>
                <c:pt idx="10">
                  <c:v>0.90247796151091464</c:v>
                </c:pt>
                <c:pt idx="11">
                  <c:v>1.1362386310898671</c:v>
                </c:pt>
                <c:pt idx="12">
                  <c:v>1.6633518305579627</c:v>
                </c:pt>
              </c:numCache>
            </c:numRef>
          </c:val>
          <c:smooth val="0"/>
          <c:extLst>
            <c:ext xmlns:c16="http://schemas.microsoft.com/office/drawing/2014/chart" uri="{C3380CC4-5D6E-409C-BE32-E72D297353CC}">
              <c16:uniqueId val="{00000000-7B79-4BE8-A7CF-D0C94B1F003F}"/>
            </c:ext>
          </c:extLst>
        </c:ser>
        <c:ser>
          <c:idx val="1"/>
          <c:order val="1"/>
          <c:tx>
            <c:strRef>
              <c:f>'Global EV sales% to 2017'!$D$3</c:f>
              <c:strCache>
                <c:ptCount val="1"/>
                <c:pt idx="0">
                  <c:v>pred</c:v>
                </c:pt>
              </c:strCache>
            </c:strRef>
          </c:tx>
          <c:spPr>
            <a:ln w="28575" cap="rnd">
              <a:solidFill>
                <a:schemeClr val="accent2"/>
              </a:solidFill>
              <a:round/>
            </a:ln>
            <a:effectLst/>
          </c:spPr>
          <c:marker>
            <c:symbol val="none"/>
          </c:marker>
          <c:cat>
            <c:numRef>
              <c:f>'Global EV sales% to 2017'!$A$9:$A$22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'Global EV sales% to 2017'!$D$9:$D$22</c:f>
              <c:numCache>
                <c:formatCode>0.00</c:formatCode>
                <c:ptCount val="14"/>
                <c:pt idx="0">
                  <c:v>2.0827914516630151E-2</c:v>
                </c:pt>
                <c:pt idx="1">
                  <c:v>3.0046929983012196E-2</c:v>
                </c:pt>
                <c:pt idx="2">
                  <c:v>4.3343816715103574E-2</c:v>
                </c:pt>
                <c:pt idx="3">
                  <c:v>6.2519409142010068E-2</c:v>
                </c:pt>
                <c:pt idx="4">
                  <c:v>9.0166635172873461E-2</c:v>
                </c:pt>
                <c:pt idx="5">
                  <c:v>0.13001549147017241</c:v>
                </c:pt>
                <c:pt idx="6">
                  <c:v>0.18742457119529951</c:v>
                </c:pt>
                <c:pt idx="7">
                  <c:v>0.27007741817859471</c:v>
                </c:pt>
                <c:pt idx="8">
                  <c:v>0.38896081441691255</c:v>
                </c:pt>
                <c:pt idx="9">
                  <c:v>0.55972211714310749</c:v>
                </c:pt>
                <c:pt idx="10">
                  <c:v>0.80451745358244764</c:v>
                </c:pt>
                <c:pt idx="11">
                  <c:v>1.1544563866954389</c:v>
                </c:pt>
                <c:pt idx="12">
                  <c:v>1.6526887347117452</c:v>
                </c:pt>
                <c:pt idx="13">
                  <c:v>2.3580033170782158</c:v>
                </c:pt>
              </c:numCache>
            </c:numRef>
          </c:val>
          <c:smooth val="0"/>
          <c:extLst>
            <c:ext xmlns:c16="http://schemas.microsoft.com/office/drawing/2014/chart" uri="{C3380CC4-5D6E-409C-BE32-E72D297353CC}">
              <c16:uniqueId val="{00000001-7B79-4BE8-A7CF-D0C94B1F003F}"/>
            </c:ext>
          </c:extLst>
        </c:ser>
        <c:dLbls>
          <c:showLegendKey val="0"/>
          <c:showVal val="0"/>
          <c:showCatName val="0"/>
          <c:showSerName val="0"/>
          <c:showPercent val="0"/>
          <c:showBubbleSize val="0"/>
        </c:dLbls>
        <c:smooth val="0"/>
        <c:axId val="782875640"/>
        <c:axId val="782876952"/>
      </c:lineChart>
      <c:catAx>
        <c:axId val="78287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876952"/>
        <c:crosses val="autoZero"/>
        <c:auto val="1"/>
        <c:lblAlgn val="ctr"/>
        <c:lblOffset val="100"/>
        <c:noMultiLvlLbl val="0"/>
      </c:catAx>
      <c:valAx>
        <c:axId val="78287695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87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sales% to 2017'!$C$3</c:f>
              <c:strCache>
                <c:ptCount val="1"/>
                <c:pt idx="0">
                  <c:v>EV% sales</c:v>
                </c:pt>
              </c:strCache>
            </c:strRef>
          </c:tx>
          <c:spPr>
            <a:ln w="47625" cap="rnd">
              <a:solidFill>
                <a:schemeClr val="tx1"/>
              </a:solidFill>
              <a:round/>
            </a:ln>
            <a:effectLst/>
          </c:spPr>
          <c:marker>
            <c:symbol val="none"/>
          </c:marker>
          <c:cat>
            <c:numRef>
              <c:f>'Global EV sales% to 2017'!$A$4:$A$54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'Global EV sales% to 2017'!$C$4:$C$54</c:f>
              <c:numCache>
                <c:formatCode>General</c:formatCode>
                <c:ptCount val="51"/>
                <c:pt idx="5" formatCode="0.000">
                  <c:v>4.1633996954347852E-3</c:v>
                </c:pt>
                <c:pt idx="6" formatCode="0.000">
                  <c:v>4.5329727620648788E-3</c:v>
                </c:pt>
                <c:pt idx="7" formatCode="0.000">
                  <c:v>4.9570702875317615E-3</c:v>
                </c:pt>
                <c:pt idx="8" formatCode="0.000">
                  <c:v>5.2600745219215433E-3</c:v>
                </c:pt>
                <c:pt idx="9" formatCode="0.000">
                  <c:v>9.0944063654437145E-3</c:v>
                </c:pt>
                <c:pt idx="10" formatCode="0.000">
                  <c:v>1.6964627629336562E-2</c:v>
                </c:pt>
                <c:pt idx="11" formatCode="0.000">
                  <c:v>0.10234351891729328</c:v>
                </c:pt>
                <c:pt idx="12" formatCode="0.000">
                  <c:v>0.23522435592921317</c:v>
                </c:pt>
                <c:pt idx="13" formatCode="0.000">
                  <c:v>0.38403986642724675</c:v>
                </c:pt>
                <c:pt idx="14" formatCode="0.000">
                  <c:v>0.57247293705754376</c:v>
                </c:pt>
                <c:pt idx="15" formatCode="0.000">
                  <c:v>0.90247796151091464</c:v>
                </c:pt>
                <c:pt idx="16" formatCode="0.000">
                  <c:v>1.1362386310898671</c:v>
                </c:pt>
                <c:pt idx="17" formatCode="0.000">
                  <c:v>1.6633518305579627</c:v>
                </c:pt>
              </c:numCache>
            </c:numRef>
          </c:val>
          <c:smooth val="0"/>
          <c:extLst>
            <c:ext xmlns:c16="http://schemas.microsoft.com/office/drawing/2014/chart" uri="{C3380CC4-5D6E-409C-BE32-E72D297353CC}">
              <c16:uniqueId val="{00000000-2F75-4786-B091-7D1272571803}"/>
            </c:ext>
          </c:extLst>
        </c:ser>
        <c:ser>
          <c:idx val="1"/>
          <c:order val="1"/>
          <c:tx>
            <c:strRef>
              <c:f>'Global EV sales% to 2017'!$D$3</c:f>
              <c:strCache>
                <c:ptCount val="1"/>
                <c:pt idx="0">
                  <c:v>pred</c:v>
                </c:pt>
              </c:strCache>
            </c:strRef>
          </c:tx>
          <c:spPr>
            <a:ln w="28575" cap="rnd">
              <a:solidFill>
                <a:schemeClr val="accent2"/>
              </a:solidFill>
              <a:round/>
            </a:ln>
            <a:effectLst/>
          </c:spPr>
          <c:marker>
            <c:symbol val="none"/>
          </c:marker>
          <c:cat>
            <c:numRef>
              <c:f>'Global EV sales% to 2017'!$A$4:$A$54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'Global EV sales% to 2017'!$D$4:$D$54</c:f>
              <c:numCache>
                <c:formatCode>General</c:formatCode>
                <c:ptCount val="51"/>
                <c:pt idx="5" formatCode="0.00">
                  <c:v>2.0827914516630151E-2</c:v>
                </c:pt>
                <c:pt idx="6" formatCode="0.00">
                  <c:v>3.0046929983012196E-2</c:v>
                </c:pt>
                <c:pt idx="7" formatCode="0.00">
                  <c:v>4.3343816715103574E-2</c:v>
                </c:pt>
                <c:pt idx="8" formatCode="0.00">
                  <c:v>6.2519409142010068E-2</c:v>
                </c:pt>
                <c:pt idx="9" formatCode="0.00">
                  <c:v>9.0166635172873461E-2</c:v>
                </c:pt>
                <c:pt idx="10" formatCode="0.00">
                  <c:v>0.13001549147017241</c:v>
                </c:pt>
                <c:pt idx="11" formatCode="0.00">
                  <c:v>0.18742457119529951</c:v>
                </c:pt>
                <c:pt idx="12" formatCode="0.00">
                  <c:v>0.27007741817859471</c:v>
                </c:pt>
                <c:pt idx="13" formatCode="0.00">
                  <c:v>0.38896081441691255</c:v>
                </c:pt>
                <c:pt idx="14" formatCode="0.00">
                  <c:v>0.55972211714310749</c:v>
                </c:pt>
                <c:pt idx="15" formatCode="0.00">
                  <c:v>0.80451745358244764</c:v>
                </c:pt>
                <c:pt idx="16" formatCode="0.00">
                  <c:v>1.1544563866954389</c:v>
                </c:pt>
                <c:pt idx="17" formatCode="0.00">
                  <c:v>1.6526887347117452</c:v>
                </c:pt>
                <c:pt idx="18" formatCode="0.00">
                  <c:v>2.3580033170782158</c:v>
                </c:pt>
                <c:pt idx="19" formatCode="0.00">
                  <c:v>3.34841299651052</c:v>
                </c:pt>
                <c:pt idx="20" formatCode="0.00">
                  <c:v>4.7234475988346576</c:v>
                </c:pt>
                <c:pt idx="21" formatCode="0.00">
                  <c:v>6.6026704862246941</c:v>
                </c:pt>
                <c:pt idx="22" formatCode="0.00">
                  <c:v>9.1164645792244201</c:v>
                </c:pt>
                <c:pt idx="23" formatCode="0.00">
                  <c:v>12.384355469332712</c:v>
                </c:pt>
                <c:pt idx="24" formatCode="0.00">
                  <c:v>16.478244949635386</c:v>
                </c:pt>
                <c:pt idx="25" formatCode="0.00">
                  <c:v>21.375651040598999</c:v>
                </c:pt>
                <c:pt idx="26" formatCode="0.00">
                  <c:v>26.921024619852549</c:v>
                </c:pt>
                <c:pt idx="27" formatCode="0.00">
                  <c:v>32.822608954104034</c:v>
                </c:pt>
                <c:pt idx="28" formatCode="0.00">
                  <c:v>38.702992269121204</c:v>
                </c:pt>
                <c:pt idx="29" formatCode="0.00">
                  <c:v>44.190072539410274</c:v>
                </c:pt>
                <c:pt idx="30" formatCode="0.00">
                  <c:v>49.005387010926725</c:v>
                </c:pt>
                <c:pt idx="31" formatCode="0.00">
                  <c:v>53.008815756606822</c:v>
                </c:pt>
                <c:pt idx="32" formatCode="0.00">
                  <c:v>56.190330401607504</c:v>
                </c:pt>
                <c:pt idx="33" formatCode="0.00">
                  <c:v>58.629172308092471</c:v>
                </c:pt>
                <c:pt idx="34" formatCode="0.00">
                  <c:v>60.447553162190509</c:v>
                </c:pt>
                <c:pt idx="35" formatCode="0.00">
                  <c:v>61.77547102644764</c:v>
                </c:pt>
                <c:pt idx="36" formatCode="0.00">
                  <c:v>62.73058653479324</c:v>
                </c:pt>
                <c:pt idx="37" formatCode="0.00">
                  <c:v>63.410075111560168</c:v>
                </c:pt>
                <c:pt idx="38" formatCode="0.00">
                  <c:v>63.889717815656091</c:v>
                </c:pt>
                <c:pt idx="39" formatCode="0.00">
                  <c:v>64.226428898413403</c:v>
                </c:pt>
                <c:pt idx="40" formatCode="0.00">
                  <c:v>64.461886934023255</c:v>
                </c:pt>
                <c:pt idx="41" formatCode="0.00">
                  <c:v>64.626093950352441</c:v>
                </c:pt>
                <c:pt idx="42" formatCode="0.00">
                  <c:v>64.740394441882728</c:v>
                </c:pt>
                <c:pt idx="43" formatCode="0.00">
                  <c:v>64.819851463695812</c:v>
                </c:pt>
                <c:pt idx="44" formatCode="0.00">
                  <c:v>64.87503615477651</c:v>
                </c:pt>
                <c:pt idx="45" formatCode="0.00">
                  <c:v>64.913338784551527</c:v>
                </c:pt>
                <c:pt idx="46" formatCode="0.00">
                  <c:v>64.939912160862633</c:v>
                </c:pt>
                <c:pt idx="47" formatCode="0.00">
                  <c:v>64.958342434599018</c:v>
                </c:pt>
                <c:pt idx="48" formatCode="0.00">
                  <c:v>64.971122248162814</c:v>
                </c:pt>
                <c:pt idx="49" formatCode="0.00">
                  <c:v>64.979982646276667</c:v>
                </c:pt>
                <c:pt idx="50" formatCode="0.00">
                  <c:v>64.986125038860663</c:v>
                </c:pt>
              </c:numCache>
            </c:numRef>
          </c:val>
          <c:smooth val="0"/>
          <c:extLst>
            <c:ext xmlns:c16="http://schemas.microsoft.com/office/drawing/2014/chart" uri="{C3380CC4-5D6E-409C-BE32-E72D297353CC}">
              <c16:uniqueId val="{00000001-2F75-4786-B091-7D1272571803}"/>
            </c:ext>
          </c:extLst>
        </c:ser>
        <c:ser>
          <c:idx val="2"/>
          <c:order val="2"/>
          <c:tx>
            <c:strRef>
              <c:f>'Global EV sales% to 2017'!$E$3</c:f>
              <c:strCache>
                <c:ptCount val="1"/>
                <c:pt idx="0">
                  <c:v>Bloomberg</c:v>
                </c:pt>
              </c:strCache>
            </c:strRef>
          </c:tx>
          <c:spPr>
            <a:ln w="28575" cap="rnd">
              <a:solidFill>
                <a:schemeClr val="accent3"/>
              </a:solidFill>
              <a:round/>
            </a:ln>
            <a:effectLst/>
          </c:spPr>
          <c:marker>
            <c:symbol val="none"/>
          </c:marker>
          <c:cat>
            <c:numRef>
              <c:f>'Global EV sales% to 2017'!$A$4:$A$54</c:f>
              <c:numCache>
                <c:formatCode>General</c:formatCode>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numCache>
            </c:numRef>
          </c:cat>
          <c:val>
            <c:numRef>
              <c:f>'Global EV sales% to 2017'!$E$4:$E$54</c:f>
              <c:numCache>
                <c:formatCode>General</c:formatCode>
                <c:ptCount val="51"/>
                <c:pt idx="11" formatCode="0.00">
                  <c:v>0.11839474699267491</c:v>
                </c:pt>
                <c:pt idx="12" formatCode="0.00">
                  <c:v>0.20339482987838917</c:v>
                </c:pt>
                <c:pt idx="13" formatCode="0.00">
                  <c:v>0.34909135870790725</c:v>
                </c:pt>
                <c:pt idx="14" formatCode="0.00">
                  <c:v>0.59819027181098239</c:v>
                </c:pt>
                <c:pt idx="15" formatCode="0.00">
                  <c:v>1.0222266627320407</c:v>
                </c:pt>
                <c:pt idx="16" formatCode="0.00">
                  <c:v>1.3011396948522056</c:v>
                </c:pt>
                <c:pt idx="17" formatCode="0.00">
                  <c:v>1.6541860949663403</c:v>
                </c:pt>
                <c:pt idx="18" formatCode="0.00">
                  <c:v>2.0998688777309225</c:v>
                </c:pt>
                <c:pt idx="19" formatCode="0.00">
                  <c:v>2.6605872985799923</c:v>
                </c:pt>
                <c:pt idx="20" formatCode="0.00">
                  <c:v>3.363026530871728</c:v>
                </c:pt>
                <c:pt idx="21" formatCode="0.00">
                  <c:v>4.23831268671566</c:v>
                </c:pt>
                <c:pt idx="22" formatCode="0.00">
                  <c:v>5.3217383017299937</c:v>
                </c:pt>
                <c:pt idx="23" formatCode="0.00">
                  <c:v>6.6517973958262981</c:v>
                </c:pt>
                <c:pt idx="24" formatCode="0.00">
                  <c:v>8.268221622396533</c:v>
                </c:pt>
                <c:pt idx="25" formatCode="0.00">
                  <c:v>10.208720913931371</c:v>
                </c:pt>
                <c:pt idx="26" formatCode="0.00">
                  <c:v>12.504263250870965</c:v>
                </c:pt>
                <c:pt idx="27" formatCode="0.00">
                  <c:v>15.173041135108541</c:v>
                </c:pt>
                <c:pt idx="28" formatCode="0.00">
                  <c:v>18.213789265329375</c:v>
                </c:pt>
                <c:pt idx="29" formatCode="0.00">
                  <c:v>21.599754061996634</c:v>
                </c:pt>
                <c:pt idx="30" formatCode="0.00">
                  <c:v>25.275125845132223</c:v>
                </c:pt>
                <c:pt idx="31" formatCode="0.00">
                  <c:v>29.155759531720811</c:v>
                </c:pt>
                <c:pt idx="32" formatCode="0.00">
                  <c:v>33.135228387777133</c:v>
                </c:pt>
                <c:pt idx="33" formatCode="0.00">
                  <c:v>37.09573303397314</c:v>
                </c:pt>
                <c:pt idx="34" formatCode="0.00">
                  <c:v>40.9216886214029</c:v>
                </c:pt>
                <c:pt idx="35" formatCode="0.00">
                  <c:v>44.512780434420719</c:v>
                </c:pt>
                <c:pt idx="36" formatCode="0.00">
                  <c:v>47.793487903824008</c:v>
                </c:pt>
                <c:pt idx="37" formatCode="0.00">
                  <c:v>50.717409097575548</c:v>
                </c:pt>
                <c:pt idx="38" formatCode="0.00">
                  <c:v>53.266448186970486</c:v>
                </c:pt>
                <c:pt idx="39" formatCode="0.00">
                  <c:v>55.446252217329544</c:v>
                </c:pt>
                <c:pt idx="40" formatCode="0.00">
                  <c:v>57.279794731623511</c:v>
                </c:pt>
                <c:pt idx="41" formatCode="0.00">
                  <c:v>58.800789659404948</c:v>
                </c:pt>
                <c:pt idx="42" formatCode="0.00">
                  <c:v>60.048032190220887</c:v>
                </c:pt>
                <c:pt idx="43" formatCode="0.00">
                  <c:v>61.061146683547925</c:v>
                </c:pt>
                <c:pt idx="44" formatCode="0.00">
                  <c:v>61.877767037998424</c:v>
                </c:pt>
                <c:pt idx="45" formatCode="0.00">
                  <c:v>62.531925350978604</c:v>
                </c:pt>
                <c:pt idx="46" formatCode="0.00">
                  <c:v>63.053338691246402</c:v>
                </c:pt>
                <c:pt idx="47" formatCode="0.00">
                  <c:v>63.467296573378974</c:v>
                </c:pt>
                <c:pt idx="48" formatCode="0.00">
                  <c:v>63.794908653994881</c:v>
                </c:pt>
                <c:pt idx="49" formatCode="0.00">
                  <c:v>64.053538627074005</c:v>
                </c:pt>
                <c:pt idx="50" formatCode="0.00">
                  <c:v>64.257309069447942</c:v>
                </c:pt>
              </c:numCache>
            </c:numRef>
          </c:val>
          <c:smooth val="0"/>
          <c:extLst>
            <c:ext xmlns:c16="http://schemas.microsoft.com/office/drawing/2014/chart" uri="{C3380CC4-5D6E-409C-BE32-E72D297353CC}">
              <c16:uniqueId val="{00000002-2F75-4786-B091-7D1272571803}"/>
            </c:ext>
          </c:extLst>
        </c:ser>
        <c:ser>
          <c:idx val="3"/>
          <c:order val="3"/>
          <c:tx>
            <c:strRef>
              <c:f>'Global EV sales% to 2017'!$O$3</c:f>
              <c:strCache>
                <c:ptCount val="1"/>
                <c:pt idx="0">
                  <c:v>Norway logistic</c:v>
                </c:pt>
              </c:strCache>
            </c:strRef>
          </c:tx>
          <c:spPr>
            <a:ln w="28575" cap="rnd">
              <a:solidFill>
                <a:schemeClr val="accent4"/>
              </a:solidFill>
              <a:round/>
            </a:ln>
            <a:effectLst/>
          </c:spPr>
          <c:marker>
            <c:symbol val="none"/>
          </c:marker>
          <c:val>
            <c:numRef>
              <c:f>'Global EV sales% to 2017'!$O$4:$O$54</c:f>
              <c:numCache>
                <c:formatCode>0.00</c:formatCode>
                <c:ptCount val="51"/>
                <c:pt idx="0">
                  <c:v>1.2947720192725987E-3</c:v>
                </c:pt>
                <c:pt idx="1">
                  <c:v>2.5094145378495112E-3</c:v>
                </c:pt>
                <c:pt idx="2">
                  <c:v>4.8634437857841203E-3</c:v>
                </c:pt>
                <c:pt idx="3">
                  <c:v>9.4254183688098226E-3</c:v>
                </c:pt>
                <c:pt idx="4">
                  <c:v>1.8265382867910188E-2</c:v>
                </c:pt>
                <c:pt idx="5">
                  <c:v>3.5391708155787099E-2</c:v>
                </c:pt>
                <c:pt idx="6">
                  <c:v>6.8559392134657435E-2</c:v>
                </c:pt>
                <c:pt idx="7">
                  <c:v>0.13274697913279793</c:v>
                </c:pt>
                <c:pt idx="8">
                  <c:v>0.2567914610014122</c:v>
                </c:pt>
                <c:pt idx="9">
                  <c:v>0.49586237167526709</c:v>
                </c:pt>
                <c:pt idx="10">
                  <c:v>0.95422607071705978</c:v>
                </c:pt>
                <c:pt idx="11">
                  <c:v>1.8243074485334112</c:v>
                </c:pt>
                <c:pt idx="12">
                  <c:v>3.4450702320769109</c:v>
                </c:pt>
                <c:pt idx="13">
                  <c:v>6.3607835641863382</c:v>
                </c:pt>
                <c:pt idx="14">
                  <c:v>11.291522864493412</c:v>
                </c:pt>
                <c:pt idx="15">
                  <c:v>18.81788217034801</c:v>
                </c:pt>
                <c:pt idx="16">
                  <c:v>28.681875004731538</c:v>
                </c:pt>
                <c:pt idx="17">
                  <c:v>39.314736357294422</c:v>
                </c:pt>
                <c:pt idx="18">
                  <c:v>48.613157762113936</c:v>
                </c:pt>
                <c:pt idx="19">
                  <c:v>55.369953598215368</c:v>
                </c:pt>
                <c:pt idx="20">
                  <c:v>59.647470933153592</c:v>
                </c:pt>
                <c:pt idx="21">
                  <c:v>62.123681562857406</c:v>
                </c:pt>
                <c:pt idx="22">
                  <c:v>63.483462457791383</c:v>
                </c:pt>
                <c:pt idx="23">
                  <c:v>64.208595508841753</c:v>
                </c:pt>
                <c:pt idx="24">
                  <c:v>64.589249257811147</c:v>
                </c:pt>
                <c:pt idx="25">
                  <c:v>64.78742039856111</c:v>
                </c:pt>
                <c:pt idx="26">
                  <c:v>64.890144344344137</c:v>
                </c:pt>
                <c:pt idx="27">
                  <c:v>64.943272893507597</c:v>
                </c:pt>
                <c:pt idx="28">
                  <c:v>64.970718932031488</c:v>
                </c:pt>
                <c:pt idx="29">
                  <c:v>64.984888958391409</c:v>
                </c:pt>
                <c:pt idx="30">
                  <c:v>64.992202487941555</c:v>
                </c:pt>
                <c:pt idx="31" formatCode="General">
                  <c:v>65</c:v>
                </c:pt>
                <c:pt idx="32" formatCode="General">
                  <c:v>65</c:v>
                </c:pt>
                <c:pt idx="33" formatCode="General">
                  <c:v>65</c:v>
                </c:pt>
                <c:pt idx="34" formatCode="General">
                  <c:v>65</c:v>
                </c:pt>
                <c:pt idx="35" formatCode="General">
                  <c:v>65</c:v>
                </c:pt>
                <c:pt idx="36" formatCode="General">
                  <c:v>65</c:v>
                </c:pt>
                <c:pt idx="37" formatCode="General">
                  <c:v>65</c:v>
                </c:pt>
                <c:pt idx="38" formatCode="General">
                  <c:v>65</c:v>
                </c:pt>
                <c:pt idx="39" formatCode="General">
                  <c:v>65</c:v>
                </c:pt>
                <c:pt idx="40" formatCode="General">
                  <c:v>65</c:v>
                </c:pt>
                <c:pt idx="41" formatCode="General">
                  <c:v>65</c:v>
                </c:pt>
                <c:pt idx="42" formatCode="General">
                  <c:v>65</c:v>
                </c:pt>
                <c:pt idx="43" formatCode="General">
                  <c:v>65</c:v>
                </c:pt>
                <c:pt idx="44" formatCode="General">
                  <c:v>65</c:v>
                </c:pt>
                <c:pt idx="45" formatCode="General">
                  <c:v>65</c:v>
                </c:pt>
                <c:pt idx="46" formatCode="General">
                  <c:v>65</c:v>
                </c:pt>
                <c:pt idx="47" formatCode="General">
                  <c:v>65</c:v>
                </c:pt>
                <c:pt idx="48" formatCode="General">
                  <c:v>65</c:v>
                </c:pt>
                <c:pt idx="49" formatCode="General">
                  <c:v>65</c:v>
                </c:pt>
                <c:pt idx="50" formatCode="General">
                  <c:v>65</c:v>
                </c:pt>
              </c:numCache>
            </c:numRef>
          </c:val>
          <c:smooth val="0"/>
          <c:extLst>
            <c:ext xmlns:c16="http://schemas.microsoft.com/office/drawing/2014/chart" uri="{C3380CC4-5D6E-409C-BE32-E72D297353CC}">
              <c16:uniqueId val="{00000003-2F75-4786-B091-7D1272571803}"/>
            </c:ext>
          </c:extLst>
        </c:ser>
        <c:dLbls>
          <c:showLegendKey val="0"/>
          <c:showVal val="0"/>
          <c:showCatName val="0"/>
          <c:showSerName val="0"/>
          <c:showPercent val="0"/>
          <c:showBubbleSize val="0"/>
        </c:dLbls>
        <c:smooth val="0"/>
        <c:axId val="704549240"/>
        <c:axId val="704550224"/>
      </c:lineChart>
      <c:catAx>
        <c:axId val="70454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550224"/>
        <c:crosses val="autoZero"/>
        <c:auto val="1"/>
        <c:lblAlgn val="ctr"/>
        <c:lblOffset val="100"/>
        <c:noMultiLvlLbl val="0"/>
      </c:catAx>
      <c:valAx>
        <c:axId val="70455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54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'Global EV sales% to 2017'!$R$9:$R$28</c:f>
              <c:numCache>
                <c:formatCode>0.00</c:formatCode>
                <c:ptCount val="20"/>
                <c:pt idx="0">
                  <c:v>1</c:v>
                </c:pt>
                <c:pt idx="1">
                  <c:v>2.004187981144014</c:v>
                </c:pt>
                <c:pt idx="2">
                  <c:v>3</c:v>
                </c:pt>
                <c:pt idx="3">
                  <c:v>3.8392559039150456</c:v>
                </c:pt>
                <c:pt idx="4">
                  <c:v>4.5</c:v>
                </c:pt>
                <c:pt idx="5">
                  <c:v>5.4278135496465438</c:v>
                </c:pt>
                <c:pt idx="6">
                  <c:v>6</c:v>
                </c:pt>
                <c:pt idx="7">
                  <c:v>6.888528244302961</c:v>
                </c:pt>
                <c:pt idx="8">
                  <c:v>7.7770564886059219</c:v>
                </c:pt>
                <c:pt idx="9">
                  <c:v>8.6655847329091102</c:v>
                </c:pt>
                <c:pt idx="10">
                  <c:v>9.480885851281073</c:v>
                </c:pt>
                <c:pt idx="11">
                  <c:v>10.296186969653036</c:v>
                </c:pt>
                <c:pt idx="12">
                  <c:v>11.111488088024771</c:v>
                </c:pt>
                <c:pt idx="13">
                  <c:v>11.924759632782752</c:v>
                </c:pt>
                <c:pt idx="14">
                  <c:v>12.738031177540734</c:v>
                </c:pt>
                <c:pt idx="15">
                  <c:v>13.551302722298715</c:v>
                </c:pt>
                <c:pt idx="16">
                  <c:v>14.364574267056923</c:v>
                </c:pt>
                <c:pt idx="17">
                  <c:v>15.182287133528462</c:v>
                </c:pt>
                <c:pt idx="18">
                  <c:v>16</c:v>
                </c:pt>
                <c:pt idx="19">
                  <c:v>16.775620473686558</c:v>
                </c:pt>
              </c:numCache>
            </c:numRef>
          </c:val>
          <c:smooth val="0"/>
          <c:extLst>
            <c:ext xmlns:c16="http://schemas.microsoft.com/office/drawing/2014/chart" uri="{C3380CC4-5D6E-409C-BE32-E72D297353CC}">
              <c16:uniqueId val="{00000000-62EA-4863-B948-1B1656B21CB0}"/>
            </c:ext>
          </c:extLst>
        </c:ser>
        <c:dLbls>
          <c:showLegendKey val="0"/>
          <c:showVal val="0"/>
          <c:showCatName val="0"/>
          <c:showSerName val="0"/>
          <c:showPercent val="0"/>
          <c:showBubbleSize val="0"/>
        </c:dLbls>
        <c:smooth val="0"/>
        <c:axId val="781061976"/>
        <c:axId val="781062304"/>
      </c:lineChart>
      <c:catAx>
        <c:axId val="781061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062304"/>
        <c:crosses val="autoZero"/>
        <c:auto val="1"/>
        <c:lblAlgn val="ctr"/>
        <c:lblOffset val="100"/>
        <c:noMultiLvlLbl val="0"/>
      </c:catAx>
      <c:valAx>
        <c:axId val="7810623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061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'Global EV sales% to 2017'!$T$10:$T$28</c:f>
              <c:numCache>
                <c:formatCode>0.000</c:formatCode>
                <c:ptCount val="19"/>
                <c:pt idx="0">
                  <c:v>1.004187981144014</c:v>
                </c:pt>
                <c:pt idx="1">
                  <c:v>0.99581201885598603</c:v>
                </c:pt>
                <c:pt idx="2">
                  <c:v>0.83925590391504556</c:v>
                </c:pt>
                <c:pt idx="3">
                  <c:v>0.66074409608495444</c:v>
                </c:pt>
                <c:pt idx="4">
                  <c:v>0.92781354964654383</c:v>
                </c:pt>
                <c:pt idx="5">
                  <c:v>0.57218645035345617</c:v>
                </c:pt>
                <c:pt idx="6">
                  <c:v>0.88852824430296096</c:v>
                </c:pt>
                <c:pt idx="7">
                  <c:v>0.88852824430296096</c:v>
                </c:pt>
                <c:pt idx="8">
                  <c:v>0.88852824430318833</c:v>
                </c:pt>
                <c:pt idx="9">
                  <c:v>0.81530111837196273</c:v>
                </c:pt>
                <c:pt idx="10">
                  <c:v>0.81530111837196273</c:v>
                </c:pt>
                <c:pt idx="11">
                  <c:v>0.81530111837173536</c:v>
                </c:pt>
                <c:pt idx="12">
                  <c:v>0.81327154475798125</c:v>
                </c:pt>
                <c:pt idx="13">
                  <c:v>0.81327154475798125</c:v>
                </c:pt>
                <c:pt idx="14">
                  <c:v>0.81327154475798125</c:v>
                </c:pt>
                <c:pt idx="15">
                  <c:v>0.81327154475820862</c:v>
                </c:pt>
                <c:pt idx="16">
                  <c:v>0.81771286647153829</c:v>
                </c:pt>
                <c:pt idx="17">
                  <c:v>0.81771286647153829</c:v>
                </c:pt>
                <c:pt idx="18">
                  <c:v>0.7756204736865584</c:v>
                </c:pt>
              </c:numCache>
            </c:numRef>
          </c:val>
          <c:smooth val="0"/>
          <c:extLst>
            <c:ext xmlns:c16="http://schemas.microsoft.com/office/drawing/2014/chart" uri="{C3380CC4-5D6E-409C-BE32-E72D297353CC}">
              <c16:uniqueId val="{00000000-2CE8-432E-AB93-E555AC5C66D8}"/>
            </c:ext>
          </c:extLst>
        </c:ser>
        <c:ser>
          <c:idx val="1"/>
          <c:order val="1"/>
          <c:spPr>
            <a:ln w="28575" cap="rnd">
              <a:solidFill>
                <a:schemeClr val="accent2"/>
              </a:solidFill>
              <a:round/>
            </a:ln>
            <a:effectLst/>
          </c:spPr>
          <c:marker>
            <c:symbol val="none"/>
          </c:marker>
          <c:val>
            <c:numRef>
              <c:f>'Global EV sales% to 2017'!$U$10:$U$28</c:f>
              <c:numCache>
                <c:formatCode>0.000</c:formatCode>
                <c:ptCount val="19"/>
                <c:pt idx="0">
                  <c:v>0.83029581440455569</c:v>
                </c:pt>
                <c:pt idx="1">
                  <c:v>0.83029581440455569</c:v>
                </c:pt>
                <c:pt idx="2">
                  <c:v>0.83029581440455569</c:v>
                </c:pt>
                <c:pt idx="3">
                  <c:v>0.83029581440455569</c:v>
                </c:pt>
                <c:pt idx="4">
                  <c:v>0.83029581440455569</c:v>
                </c:pt>
                <c:pt idx="5">
                  <c:v>0.83029581440455569</c:v>
                </c:pt>
                <c:pt idx="6">
                  <c:v>0.83029581440455569</c:v>
                </c:pt>
                <c:pt idx="7">
                  <c:v>0.83029581440455569</c:v>
                </c:pt>
                <c:pt idx="8">
                  <c:v>0.83029581440455569</c:v>
                </c:pt>
                <c:pt idx="9">
                  <c:v>0.83029581440455569</c:v>
                </c:pt>
                <c:pt idx="10">
                  <c:v>0.83029581440455569</c:v>
                </c:pt>
                <c:pt idx="11">
                  <c:v>0.83029581440455569</c:v>
                </c:pt>
                <c:pt idx="12">
                  <c:v>0.83029581440455569</c:v>
                </c:pt>
                <c:pt idx="13">
                  <c:v>0.83029581440455569</c:v>
                </c:pt>
                <c:pt idx="14">
                  <c:v>0.83029581440455569</c:v>
                </c:pt>
                <c:pt idx="15">
                  <c:v>0.83029581440455569</c:v>
                </c:pt>
                <c:pt idx="16">
                  <c:v>0.83029581440455569</c:v>
                </c:pt>
                <c:pt idx="17">
                  <c:v>0.83029581440455569</c:v>
                </c:pt>
                <c:pt idx="18">
                  <c:v>0.83029581440455569</c:v>
                </c:pt>
              </c:numCache>
            </c:numRef>
          </c:val>
          <c:smooth val="0"/>
          <c:extLst>
            <c:ext xmlns:c16="http://schemas.microsoft.com/office/drawing/2014/chart" uri="{C3380CC4-5D6E-409C-BE32-E72D297353CC}">
              <c16:uniqueId val="{00000002-2CE8-432E-AB93-E555AC5C66D8}"/>
            </c:ext>
          </c:extLst>
        </c:ser>
        <c:dLbls>
          <c:showLegendKey val="0"/>
          <c:showVal val="0"/>
          <c:showCatName val="0"/>
          <c:showSerName val="0"/>
          <c:showPercent val="0"/>
          <c:showBubbleSize val="0"/>
        </c:dLbls>
        <c:smooth val="0"/>
        <c:axId val="856973864"/>
        <c:axId val="856976160"/>
      </c:lineChart>
      <c:catAx>
        <c:axId val="856973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6160"/>
        <c:crosses val="autoZero"/>
        <c:auto val="1"/>
        <c:lblAlgn val="ctr"/>
        <c:lblOffset val="100"/>
        <c:noMultiLvlLbl val="0"/>
      </c:catAx>
      <c:valAx>
        <c:axId val="85697616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7888690623129"/>
          <c:y val="8.8379629629629641E-2"/>
          <c:w val="0.85658773029018742"/>
          <c:h val="0.75269284047827345"/>
        </c:manualLayout>
      </c:layout>
      <c:lineChart>
        <c:grouping val="standard"/>
        <c:varyColors val="0"/>
        <c:ser>
          <c:idx val="4"/>
          <c:order val="0"/>
          <c:tx>
            <c:strRef>
              <c:f>'Lithium Battery costs'!$I$2</c:f>
              <c:strCache>
                <c:ptCount val="1"/>
                <c:pt idx="0">
                  <c:v>small orders</c:v>
                </c:pt>
              </c:strCache>
            </c:strRef>
          </c:tx>
          <c:spPr>
            <a:ln w="57150" cap="rnd">
              <a:solidFill>
                <a:schemeClr val="tx1"/>
              </a:solidFill>
              <a:round/>
            </a:ln>
            <a:effectLst/>
          </c:spPr>
          <c:marker>
            <c:symbol val="none"/>
          </c:marker>
          <c:val>
            <c:numRef>
              <c:f>'Lithium Battery costs'!$I$12:$I$38</c:f>
              <c:numCache>
                <c:formatCode>General</c:formatCode>
                <c:ptCount val="27"/>
                <c:pt idx="0">
                  <c:v>2888</c:v>
                </c:pt>
                <c:pt idx="1">
                  <c:v>2648</c:v>
                </c:pt>
                <c:pt idx="2">
                  <c:v>2563</c:v>
                </c:pt>
                <c:pt idx="3">
                  <c:v>2188</c:v>
                </c:pt>
                <c:pt idx="4">
                  <c:v>1485</c:v>
                </c:pt>
                <c:pt idx="5">
                  <c:v>1300</c:v>
                </c:pt>
                <c:pt idx="6">
                  <c:v>1000</c:v>
                </c:pt>
                <c:pt idx="7" formatCode="0">
                  <c:v>833.75</c:v>
                </c:pt>
                <c:pt idx="8" formatCode="0">
                  <c:v>667.5</c:v>
                </c:pt>
                <c:pt idx="9" formatCode="0">
                  <c:v>501.25</c:v>
                </c:pt>
                <c:pt idx="10">
                  <c:v>335</c:v>
                </c:pt>
                <c:pt idx="11">
                  <c:v>280</c:v>
                </c:pt>
                <c:pt idx="12">
                  <c:v>250</c:v>
                </c:pt>
                <c:pt idx="13">
                  <c:v>200</c:v>
                </c:pt>
                <c:pt idx="14">
                  <c:v>185</c:v>
                </c:pt>
                <c:pt idx="15">
                  <c:v>175</c:v>
                </c:pt>
                <c:pt idx="16">
                  <c:v>165</c:v>
                </c:pt>
                <c:pt idx="17">
                  <c:v>155</c:v>
                </c:pt>
                <c:pt idx="18">
                  <c:v>150</c:v>
                </c:pt>
                <c:pt idx="19">
                  <c:v>145</c:v>
                </c:pt>
                <c:pt idx="20">
                  <c:v>140</c:v>
                </c:pt>
                <c:pt idx="21">
                  <c:v>137</c:v>
                </c:pt>
                <c:pt idx="22">
                  <c:v>129</c:v>
                </c:pt>
                <c:pt idx="23">
                  <c:v>121</c:v>
                </c:pt>
                <c:pt idx="24">
                  <c:v>112</c:v>
                </c:pt>
                <c:pt idx="25">
                  <c:v>104</c:v>
                </c:pt>
                <c:pt idx="26">
                  <c:v>95</c:v>
                </c:pt>
              </c:numCache>
            </c:numRef>
          </c:val>
          <c:smooth val="0"/>
          <c:extLst>
            <c:ext xmlns:c16="http://schemas.microsoft.com/office/drawing/2014/chart" uri="{C3380CC4-5D6E-409C-BE32-E72D297353CC}">
              <c16:uniqueId val="{00000001-49A7-4702-B17A-E8BAAD9A96FA}"/>
            </c:ext>
          </c:extLst>
        </c:ser>
        <c:ser>
          <c:idx val="0"/>
          <c:order val="1"/>
          <c:tx>
            <c:strRef>
              <c:f>'Lithium Battery costs'!$C$2</c:f>
              <c:strCache>
                <c:ptCount val="1"/>
                <c:pt idx="0">
                  <c:v> Consumer Lag9</c:v>
                </c:pt>
              </c:strCache>
            </c:strRef>
          </c:tx>
          <c:spPr>
            <a:ln w="28575" cap="rnd">
              <a:solidFill>
                <a:schemeClr val="accent1"/>
              </a:solidFill>
              <a:round/>
            </a:ln>
            <a:effectLst/>
          </c:spPr>
          <c:marker>
            <c:symbol val="none"/>
          </c:marker>
          <c:cat>
            <c:numRef>
              <c:f>'Lithium Battery costs'!$A$12:$A$38</c:f>
              <c:numCache>
                <c:formatCode>General</c:formatCode>
                <c:ptCount val="2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'Lithium Battery costs'!$C$12:$C$38</c:f>
              <c:numCache>
                <c:formatCode>General</c:formatCode>
                <c:ptCount val="27"/>
                <c:pt idx="0">
                  <c:v>3185</c:v>
                </c:pt>
                <c:pt idx="1">
                  <c:v>2945</c:v>
                </c:pt>
                <c:pt idx="2">
                  <c:v>2860</c:v>
                </c:pt>
                <c:pt idx="3">
                  <c:v>2485</c:v>
                </c:pt>
                <c:pt idx="4">
                  <c:v>1782</c:v>
                </c:pt>
                <c:pt idx="5">
                  <c:v>1597</c:v>
                </c:pt>
                <c:pt idx="6">
                  <c:v>1369</c:v>
                </c:pt>
                <c:pt idx="7">
                  <c:v>994</c:v>
                </c:pt>
                <c:pt idx="8" formatCode="0">
                  <c:v>862.66666666666663</c:v>
                </c:pt>
                <c:pt idx="9" formatCode="0">
                  <c:v>731.33333333333326</c:v>
                </c:pt>
                <c:pt idx="10">
                  <c:v>600</c:v>
                </c:pt>
                <c:pt idx="11">
                  <c:v>552</c:v>
                </c:pt>
                <c:pt idx="12" formatCode="0">
                  <c:v>513</c:v>
                </c:pt>
                <c:pt idx="13" formatCode="0">
                  <c:v>474</c:v>
                </c:pt>
                <c:pt idx="14">
                  <c:v>435</c:v>
                </c:pt>
                <c:pt idx="15">
                  <c:v>366</c:v>
                </c:pt>
                <c:pt idx="16">
                  <c:v>320</c:v>
                </c:pt>
              </c:numCache>
            </c:numRef>
          </c:val>
          <c:smooth val="0"/>
          <c:extLst>
            <c:ext xmlns:c16="http://schemas.microsoft.com/office/drawing/2014/chart" uri="{C3380CC4-5D6E-409C-BE32-E72D297353CC}">
              <c16:uniqueId val="{00000000-FB7A-47F3-A01A-3EA305032E5C}"/>
            </c:ext>
          </c:extLst>
        </c:ser>
        <c:ser>
          <c:idx val="3"/>
          <c:order val="2"/>
          <c:tx>
            <c:strRef>
              <c:f>'Lithium Battery costs'!$F$2</c:f>
              <c:strCache>
                <c:ptCount val="1"/>
                <c:pt idx="0">
                  <c:v> UBS</c:v>
                </c:pt>
              </c:strCache>
            </c:strRef>
          </c:tx>
          <c:spPr>
            <a:ln w="28575" cap="rnd">
              <a:solidFill>
                <a:schemeClr val="accent4"/>
              </a:solidFill>
              <a:round/>
            </a:ln>
            <a:effectLst/>
          </c:spPr>
          <c:marker>
            <c:symbol val="none"/>
          </c:marker>
          <c:val>
            <c:numRef>
              <c:f>'Lithium Battery costs'!$F$12:$F$38</c:f>
              <c:numCache>
                <c:formatCode>General</c:formatCode>
                <c:ptCount val="27"/>
                <c:pt idx="5">
                  <c:v>1300</c:v>
                </c:pt>
                <c:pt idx="6">
                  <c:v>1000</c:v>
                </c:pt>
                <c:pt idx="7" formatCode="0">
                  <c:v>833.75</c:v>
                </c:pt>
                <c:pt idx="8" formatCode="0">
                  <c:v>667.5</c:v>
                </c:pt>
                <c:pt idx="9" formatCode="0">
                  <c:v>501.25</c:v>
                </c:pt>
                <c:pt idx="10">
                  <c:v>335</c:v>
                </c:pt>
                <c:pt idx="11">
                  <c:v>280</c:v>
                </c:pt>
                <c:pt idx="12">
                  <c:v>250</c:v>
                </c:pt>
                <c:pt idx="13">
                  <c:v>200</c:v>
                </c:pt>
                <c:pt idx="14">
                  <c:v>185</c:v>
                </c:pt>
                <c:pt idx="15">
                  <c:v>175</c:v>
                </c:pt>
                <c:pt idx="16">
                  <c:v>165</c:v>
                </c:pt>
                <c:pt idx="17">
                  <c:v>155</c:v>
                </c:pt>
                <c:pt idx="18">
                  <c:v>150</c:v>
                </c:pt>
                <c:pt idx="19">
                  <c:v>145</c:v>
                </c:pt>
                <c:pt idx="20">
                  <c:v>140</c:v>
                </c:pt>
                <c:pt idx="21">
                  <c:v>135</c:v>
                </c:pt>
              </c:numCache>
            </c:numRef>
          </c:val>
          <c:smooth val="0"/>
          <c:extLst>
            <c:ext xmlns:c16="http://schemas.microsoft.com/office/drawing/2014/chart" uri="{C3380CC4-5D6E-409C-BE32-E72D297353CC}">
              <c16:uniqueId val="{00000000-49A7-4702-B17A-E8BAAD9A96FA}"/>
            </c:ext>
          </c:extLst>
        </c:ser>
        <c:ser>
          <c:idx val="5"/>
          <c:order val="3"/>
          <c:tx>
            <c:strRef>
              <c:f>'Lithium Battery costs'!$G$2</c:f>
              <c:strCache>
                <c:ptCount val="1"/>
                <c:pt idx="0">
                  <c:v>large orders</c:v>
                </c:pt>
              </c:strCache>
            </c:strRef>
          </c:tx>
          <c:spPr>
            <a:ln w="28575" cap="rnd">
              <a:solidFill>
                <a:schemeClr val="accent6"/>
              </a:solidFill>
              <a:round/>
            </a:ln>
            <a:effectLst/>
          </c:spPr>
          <c:marker>
            <c:symbol val="none"/>
          </c:marker>
          <c:val>
            <c:numRef>
              <c:f>'Lithium Battery costs'!$G$12:$G$38</c:f>
              <c:numCache>
                <c:formatCode>0</c:formatCode>
                <c:ptCount val="27"/>
                <c:pt idx="0">
                  <c:v>2599.2000000000003</c:v>
                </c:pt>
                <c:pt idx="1">
                  <c:v>2383.2000000000003</c:v>
                </c:pt>
                <c:pt idx="2">
                  <c:v>2306.7000000000003</c:v>
                </c:pt>
                <c:pt idx="3">
                  <c:v>1969.2</c:v>
                </c:pt>
                <c:pt idx="4">
                  <c:v>1336.5</c:v>
                </c:pt>
                <c:pt idx="5">
                  <c:v>1170</c:v>
                </c:pt>
                <c:pt idx="6">
                  <c:v>870.66167290886403</c:v>
                </c:pt>
                <c:pt idx="7">
                  <c:v>701.45333957553066</c:v>
                </c:pt>
                <c:pt idx="8" formatCode="General">
                  <c:v>542</c:v>
                </c:pt>
                <c:pt idx="9">
                  <c:v>395.2797425093633</c:v>
                </c:pt>
                <c:pt idx="10">
                  <c:v>256.33898876404493</c:v>
                </c:pt>
                <c:pt idx="11">
                  <c:v>207.70232209737824</c:v>
                </c:pt>
                <c:pt idx="12">
                  <c:v>179.59925093632955</c:v>
                </c:pt>
                <c:pt idx="13" formatCode="General">
                  <c:v>139</c:v>
                </c:pt>
                <c:pt idx="14">
                  <c:v>122.71666666666667</c:v>
                </c:pt>
                <c:pt idx="15">
                  <c:v>110.54166666666667</c:v>
                </c:pt>
                <c:pt idx="16">
                  <c:v>99</c:v>
                </c:pt>
                <c:pt idx="17">
                  <c:v>89.899999999999991</c:v>
                </c:pt>
                <c:pt idx="18">
                  <c:v>83.999999999999986</c:v>
                </c:pt>
                <c:pt idx="19">
                  <c:v>78.299999999999983</c:v>
                </c:pt>
                <c:pt idx="20">
                  <c:v>72.799999999999983</c:v>
                </c:pt>
                <c:pt idx="21">
                  <c:v>68.5</c:v>
                </c:pt>
                <c:pt idx="22">
                  <c:v>64.5</c:v>
                </c:pt>
                <c:pt idx="23">
                  <c:v>60.5</c:v>
                </c:pt>
                <c:pt idx="24">
                  <c:v>56</c:v>
                </c:pt>
                <c:pt idx="25">
                  <c:v>52</c:v>
                </c:pt>
                <c:pt idx="26">
                  <c:v>47.5</c:v>
                </c:pt>
              </c:numCache>
            </c:numRef>
          </c:val>
          <c:smooth val="0"/>
          <c:extLst>
            <c:ext xmlns:c16="http://schemas.microsoft.com/office/drawing/2014/chart" uri="{C3380CC4-5D6E-409C-BE32-E72D297353CC}">
              <c16:uniqueId val="{00000000-F15A-4FE3-9A34-12592CBE0524}"/>
            </c:ext>
          </c:extLst>
        </c:ser>
        <c:dLbls>
          <c:showLegendKey val="0"/>
          <c:showVal val="0"/>
          <c:showCatName val="0"/>
          <c:showSerName val="0"/>
          <c:showPercent val="0"/>
          <c:showBubbleSize val="0"/>
        </c:dLbls>
        <c:smooth val="0"/>
        <c:axId val="544499088"/>
        <c:axId val="544495808"/>
      </c:lineChart>
      <c:catAx>
        <c:axId val="54449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5808"/>
        <c:crosses val="autoZero"/>
        <c:auto val="1"/>
        <c:lblAlgn val="ctr"/>
        <c:lblOffset val="100"/>
        <c:noMultiLvlLbl val="0"/>
      </c:catAx>
      <c:valAx>
        <c:axId val="54449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US$/kWh</a:t>
                </a:r>
              </a:p>
            </c:rich>
          </c:tx>
          <c:layout>
            <c:manualLayout>
              <c:xMode val="edge"/>
              <c:yMode val="edge"/>
              <c:x val="1.5008160273326255E-2"/>
              <c:y val="0.39941070497488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9088"/>
        <c:crosses val="autoZero"/>
        <c:crossBetween val="between"/>
      </c:valAx>
      <c:spPr>
        <a:noFill/>
        <a:ln>
          <a:noFill/>
        </a:ln>
        <a:effectLst/>
      </c:spPr>
    </c:plotArea>
    <c:legend>
      <c:legendPos val="b"/>
      <c:layout>
        <c:manualLayout>
          <c:xMode val="edge"/>
          <c:yMode val="edge"/>
          <c:x val="0.78823760419781408"/>
          <c:y val="9.0641770911173009E-2"/>
          <c:w val="0.21176239580218595"/>
          <c:h val="0.318978484710266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'Global EV sales% to 2017'!$C$16:$C$21</c:f>
              <c:numCache>
                <c:formatCode>0.000</c:formatCode>
                <c:ptCount val="6"/>
                <c:pt idx="0">
                  <c:v>0.23522435592921317</c:v>
                </c:pt>
                <c:pt idx="1">
                  <c:v>0.38403986642724675</c:v>
                </c:pt>
                <c:pt idx="2">
                  <c:v>0.57247293705754376</c:v>
                </c:pt>
                <c:pt idx="3">
                  <c:v>0.90247796151091464</c:v>
                </c:pt>
                <c:pt idx="4">
                  <c:v>1.1362386310898671</c:v>
                </c:pt>
                <c:pt idx="5">
                  <c:v>1.6633518305579627</c:v>
                </c:pt>
              </c:numCache>
            </c:numRef>
          </c:val>
          <c:smooth val="0"/>
          <c:extLst>
            <c:ext xmlns:c16="http://schemas.microsoft.com/office/drawing/2014/chart" uri="{C3380CC4-5D6E-409C-BE32-E72D297353CC}">
              <c16:uniqueId val="{00000000-EE9F-47D2-9BEB-C988F160A855}"/>
            </c:ext>
          </c:extLst>
        </c:ser>
        <c:ser>
          <c:idx val="1"/>
          <c:order val="1"/>
          <c:spPr>
            <a:ln w="28575" cap="rnd">
              <a:solidFill>
                <a:schemeClr val="accent2"/>
              </a:solidFill>
              <a:round/>
            </a:ln>
            <a:effectLst/>
          </c:spPr>
          <c:marker>
            <c:symbol val="none"/>
          </c:marker>
          <c:val>
            <c:numRef>
              <c:f>'Global EV sales% to 2017'!$D$16:$D$21</c:f>
              <c:numCache>
                <c:formatCode>0.00</c:formatCode>
                <c:ptCount val="6"/>
                <c:pt idx="0">
                  <c:v>0.27007741817859471</c:v>
                </c:pt>
                <c:pt idx="1">
                  <c:v>0.38896081441691255</c:v>
                </c:pt>
                <c:pt idx="2">
                  <c:v>0.55972211714310749</c:v>
                </c:pt>
                <c:pt idx="3">
                  <c:v>0.80451745358244764</c:v>
                </c:pt>
                <c:pt idx="4">
                  <c:v>1.1544563866954389</c:v>
                </c:pt>
                <c:pt idx="5">
                  <c:v>1.6526887347117452</c:v>
                </c:pt>
              </c:numCache>
            </c:numRef>
          </c:val>
          <c:smooth val="0"/>
          <c:extLst>
            <c:ext xmlns:c16="http://schemas.microsoft.com/office/drawing/2014/chart" uri="{C3380CC4-5D6E-409C-BE32-E72D297353CC}">
              <c16:uniqueId val="{00000001-EE9F-47D2-9BEB-C988F160A855}"/>
            </c:ext>
          </c:extLst>
        </c:ser>
        <c:ser>
          <c:idx val="2"/>
          <c:order val="2"/>
          <c:spPr>
            <a:ln w="28575" cap="rnd">
              <a:solidFill>
                <a:schemeClr val="accent3"/>
              </a:solidFill>
              <a:round/>
            </a:ln>
            <a:effectLst/>
          </c:spPr>
          <c:marker>
            <c:symbol val="none"/>
          </c:marker>
          <c:val>
            <c:numRef>
              <c:f>'Global EV sales% to 2017'!$E$16:$E$21</c:f>
              <c:numCache>
                <c:formatCode>0.00</c:formatCode>
                <c:ptCount val="6"/>
                <c:pt idx="0">
                  <c:v>0.20339482987838917</c:v>
                </c:pt>
                <c:pt idx="1">
                  <c:v>0.34909135870790725</c:v>
                </c:pt>
                <c:pt idx="2">
                  <c:v>0.59819027181098239</c:v>
                </c:pt>
                <c:pt idx="3">
                  <c:v>1.0222266627320407</c:v>
                </c:pt>
                <c:pt idx="4">
                  <c:v>1.3011396948522056</c:v>
                </c:pt>
                <c:pt idx="5">
                  <c:v>1.6541860949663403</c:v>
                </c:pt>
              </c:numCache>
            </c:numRef>
          </c:val>
          <c:smooth val="0"/>
          <c:extLst>
            <c:ext xmlns:c16="http://schemas.microsoft.com/office/drawing/2014/chart" uri="{C3380CC4-5D6E-409C-BE32-E72D297353CC}">
              <c16:uniqueId val="{00000002-EE9F-47D2-9BEB-C988F160A855}"/>
            </c:ext>
          </c:extLst>
        </c:ser>
        <c:dLbls>
          <c:showLegendKey val="0"/>
          <c:showVal val="0"/>
          <c:showCatName val="0"/>
          <c:showSerName val="0"/>
          <c:showPercent val="0"/>
          <c:showBubbleSize val="0"/>
        </c:dLbls>
        <c:smooth val="0"/>
        <c:axId val="716436120"/>
        <c:axId val="716440712"/>
      </c:lineChart>
      <c:catAx>
        <c:axId val="716436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440712"/>
        <c:crosses val="autoZero"/>
        <c:auto val="1"/>
        <c:lblAlgn val="ctr"/>
        <c:lblOffset val="100"/>
        <c:noMultiLvlLbl val="0"/>
      </c:catAx>
      <c:valAx>
        <c:axId val="7164407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436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spPr>
            <a:ln w="28575" cap="rnd">
              <a:solidFill>
                <a:schemeClr val="accent2"/>
              </a:solidFill>
              <a:round/>
            </a:ln>
            <a:effectLst/>
          </c:spPr>
          <c:marker>
            <c:symbol val="none"/>
          </c:marker>
          <c:val>
            <c:numRef>
              <c:f>'Major Europe'!$AI$38:$AI$41</c:f>
              <c:numCache>
                <c:formatCode>General</c:formatCode>
                <c:ptCount val="4"/>
                <c:pt idx="0">
                  <c:v>76.328000000000003</c:v>
                </c:pt>
                <c:pt idx="1">
                  <c:v>106.67100000000001</c:v>
                </c:pt>
                <c:pt idx="2">
                  <c:v>126.937</c:v>
                </c:pt>
                <c:pt idx="3">
                  <c:v>164.42</c:v>
                </c:pt>
              </c:numCache>
            </c:numRef>
          </c:val>
          <c:smooth val="0"/>
          <c:extLst>
            <c:ext xmlns:c16="http://schemas.microsoft.com/office/drawing/2014/chart" uri="{C3380CC4-5D6E-409C-BE32-E72D297353CC}">
              <c16:uniqueId val="{00000001-5371-4CC3-A714-5064D3DC7F6F}"/>
            </c:ext>
          </c:extLst>
        </c:ser>
        <c:dLbls>
          <c:showLegendKey val="0"/>
          <c:showVal val="0"/>
          <c:showCatName val="0"/>
          <c:showSerName val="0"/>
          <c:showPercent val="0"/>
          <c:showBubbleSize val="0"/>
        </c:dLbls>
        <c:marker val="1"/>
        <c:smooth val="0"/>
        <c:axId val="591323216"/>
        <c:axId val="591320920"/>
      </c:lineChart>
      <c:lineChart>
        <c:grouping val="standard"/>
        <c:varyColors val="0"/>
        <c:ser>
          <c:idx val="0"/>
          <c:order val="0"/>
          <c:spPr>
            <a:ln w="28575" cap="rnd">
              <a:solidFill>
                <a:schemeClr val="accent1"/>
              </a:solidFill>
              <a:round/>
            </a:ln>
            <a:effectLst/>
          </c:spPr>
          <c:marker>
            <c:symbol val="none"/>
          </c:marker>
          <c:val>
            <c:numRef>
              <c:f>'Major Europe'!$AH$38:$AH$41</c:f>
              <c:numCache>
                <c:formatCode>0.000</c:formatCode>
                <c:ptCount val="4"/>
                <c:pt idx="0">
                  <c:v>45</c:v>
                </c:pt>
                <c:pt idx="1">
                  <c:v>50</c:v>
                </c:pt>
                <c:pt idx="2">
                  <c:v>60</c:v>
                </c:pt>
                <c:pt idx="3">
                  <c:v>68.333333333333343</c:v>
                </c:pt>
              </c:numCache>
            </c:numRef>
          </c:val>
          <c:smooth val="0"/>
          <c:extLst>
            <c:ext xmlns:c16="http://schemas.microsoft.com/office/drawing/2014/chart" uri="{C3380CC4-5D6E-409C-BE32-E72D297353CC}">
              <c16:uniqueId val="{00000000-5371-4CC3-A714-5064D3DC7F6F}"/>
            </c:ext>
          </c:extLst>
        </c:ser>
        <c:dLbls>
          <c:showLegendKey val="0"/>
          <c:showVal val="0"/>
          <c:showCatName val="0"/>
          <c:showSerName val="0"/>
          <c:showPercent val="0"/>
          <c:showBubbleSize val="0"/>
        </c:dLbls>
        <c:marker val="1"/>
        <c:smooth val="0"/>
        <c:axId val="639505128"/>
        <c:axId val="639507424"/>
      </c:lineChart>
      <c:catAx>
        <c:axId val="591323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20920"/>
        <c:crosses val="autoZero"/>
        <c:auto val="1"/>
        <c:lblAlgn val="ctr"/>
        <c:lblOffset val="100"/>
        <c:noMultiLvlLbl val="0"/>
      </c:catAx>
      <c:valAx>
        <c:axId val="591320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23216"/>
        <c:crosses val="autoZero"/>
        <c:crossBetween val="between"/>
      </c:valAx>
      <c:valAx>
        <c:axId val="639507424"/>
        <c:scaling>
          <c:orientation val="minMax"/>
        </c:scaling>
        <c:delete val="0"/>
        <c:axPos val="r"/>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505128"/>
        <c:crosses val="max"/>
        <c:crossBetween val="between"/>
      </c:valAx>
      <c:catAx>
        <c:axId val="639505128"/>
        <c:scaling>
          <c:orientation val="minMax"/>
        </c:scaling>
        <c:delete val="1"/>
        <c:axPos val="b"/>
        <c:majorTickMark val="out"/>
        <c:minorTickMark val="none"/>
        <c:tickLblPos val="nextTo"/>
        <c:crossAx val="639507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2050840659616"/>
          <c:y val="5.0925925925925923E-2"/>
          <c:w val="0.83259063330960015"/>
          <c:h val="0.80917486741072731"/>
        </c:manualLayout>
      </c:layout>
      <c:scatterChart>
        <c:scatterStyle val="lineMarker"/>
        <c:varyColors val="0"/>
        <c:ser>
          <c:idx val="0"/>
          <c:order val="0"/>
          <c:tx>
            <c:strRef>
              <c:f>'BEV model year data'!$I$3</c:f>
              <c:strCache>
                <c:ptCount val="1"/>
                <c:pt idx="0">
                  <c:v>kWh</c:v>
                </c:pt>
              </c:strCache>
            </c:strRef>
          </c:tx>
          <c:spPr>
            <a:ln w="28575" cap="rnd">
              <a:noFill/>
              <a:round/>
            </a:ln>
            <a:effectLst/>
          </c:spPr>
          <c:marker>
            <c:symbol val="circle"/>
            <c:size val="5"/>
            <c:spPr>
              <a:solidFill>
                <a:schemeClr val="accent1"/>
              </a:solidFill>
              <a:ln w="9525">
                <a:solidFill>
                  <a:schemeClr val="accent1"/>
                </a:solidFill>
              </a:ln>
              <a:effectLst/>
            </c:spPr>
          </c:marker>
          <c:xVal>
            <c:numRef>
              <c:f>'BEV model year data'!$D$4:$D$87</c:f>
              <c:numCache>
                <c:formatCode>General</c:formatCode>
                <c:ptCount val="84"/>
                <c:pt idx="0">
                  <c:v>110</c:v>
                </c:pt>
                <c:pt idx="1">
                  <c:v>100</c:v>
                </c:pt>
                <c:pt idx="2">
                  <c:v>110</c:v>
                </c:pt>
                <c:pt idx="3">
                  <c:v>110</c:v>
                </c:pt>
                <c:pt idx="4">
                  <c:v>80</c:v>
                </c:pt>
                <c:pt idx="5">
                  <c:v>110</c:v>
                </c:pt>
                <c:pt idx="6">
                  <c:v>100</c:v>
                </c:pt>
                <c:pt idx="7">
                  <c:v>120</c:v>
                </c:pt>
                <c:pt idx="8">
                  <c:v>385</c:v>
                </c:pt>
                <c:pt idx="9">
                  <c:v>460</c:v>
                </c:pt>
                <c:pt idx="10">
                  <c:v>110</c:v>
                </c:pt>
                <c:pt idx="11">
                  <c:v>200</c:v>
                </c:pt>
                <c:pt idx="12">
                  <c:v>135</c:v>
                </c:pt>
                <c:pt idx="13">
                  <c:v>170</c:v>
                </c:pt>
                <c:pt idx="14">
                  <c:v>135</c:v>
                </c:pt>
                <c:pt idx="15">
                  <c:v>120</c:v>
                </c:pt>
                <c:pt idx="16">
                  <c:v>140</c:v>
                </c:pt>
                <c:pt idx="17">
                  <c:v>135</c:v>
                </c:pt>
                <c:pt idx="18">
                  <c:v>135</c:v>
                </c:pt>
                <c:pt idx="19">
                  <c:v>145</c:v>
                </c:pt>
                <c:pt idx="20">
                  <c:v>180</c:v>
                </c:pt>
                <c:pt idx="21">
                  <c:v>140</c:v>
                </c:pt>
                <c:pt idx="22">
                  <c:v>160</c:v>
                </c:pt>
                <c:pt idx="23">
                  <c:v>170</c:v>
                </c:pt>
                <c:pt idx="24">
                  <c:v>420</c:v>
                </c:pt>
                <c:pt idx="25">
                  <c:v>145</c:v>
                </c:pt>
                <c:pt idx="26">
                  <c:v>135</c:v>
                </c:pt>
                <c:pt idx="27">
                  <c:v>250</c:v>
                </c:pt>
                <c:pt idx="28">
                  <c:v>185</c:v>
                </c:pt>
                <c:pt idx="29">
                  <c:v>100</c:v>
                </c:pt>
                <c:pt idx="30">
                  <c:v>385</c:v>
                </c:pt>
                <c:pt idx="31">
                  <c:v>131</c:v>
                </c:pt>
                <c:pt idx="32">
                  <c:v>110</c:v>
                </c:pt>
                <c:pt idx="33">
                  <c:v>300</c:v>
                </c:pt>
                <c:pt idx="34">
                  <c:v>200</c:v>
                </c:pt>
                <c:pt idx="35">
                  <c:v>380</c:v>
                </c:pt>
                <c:pt idx="36">
                  <c:v>200</c:v>
                </c:pt>
                <c:pt idx="37">
                  <c:v>110</c:v>
                </c:pt>
                <c:pt idx="38">
                  <c:v>110</c:v>
                </c:pt>
                <c:pt idx="39">
                  <c:v>130</c:v>
                </c:pt>
                <c:pt idx="40">
                  <c:v>160</c:v>
                </c:pt>
                <c:pt idx="41">
                  <c:v>350</c:v>
                </c:pt>
                <c:pt idx="42">
                  <c:v>500</c:v>
                </c:pt>
                <c:pt idx="43">
                  <c:v>240</c:v>
                </c:pt>
                <c:pt idx="44">
                  <c:v>240</c:v>
                </c:pt>
                <c:pt idx="45">
                  <c:v>360</c:v>
                </c:pt>
                <c:pt idx="46">
                  <c:v>500</c:v>
                </c:pt>
                <c:pt idx="47">
                  <c:v>160</c:v>
                </c:pt>
                <c:pt idx="48">
                  <c:v>200</c:v>
                </c:pt>
                <c:pt idx="49">
                  <c:v>380</c:v>
                </c:pt>
                <c:pt idx="50">
                  <c:v>350</c:v>
                </c:pt>
                <c:pt idx="51">
                  <c:v>385</c:v>
                </c:pt>
                <c:pt idx="52">
                  <c:v>128</c:v>
                </c:pt>
                <c:pt idx="53">
                  <c:v>385</c:v>
                </c:pt>
                <c:pt idx="54">
                  <c:v>200</c:v>
                </c:pt>
                <c:pt idx="55">
                  <c:v>355</c:v>
                </c:pt>
                <c:pt idx="56">
                  <c:v>480</c:v>
                </c:pt>
                <c:pt idx="57">
                  <c:v>450</c:v>
                </c:pt>
                <c:pt idx="58">
                  <c:v>400</c:v>
                </c:pt>
                <c:pt idx="59">
                  <c:v>500</c:v>
                </c:pt>
                <c:pt idx="60">
                  <c:v>350</c:v>
                </c:pt>
                <c:pt idx="61">
                  <c:v>185</c:v>
                </c:pt>
                <c:pt idx="62">
                  <c:v>200</c:v>
                </c:pt>
                <c:pt idx="63">
                  <c:v>600</c:v>
                </c:pt>
                <c:pt idx="64">
                  <c:v>300</c:v>
                </c:pt>
                <c:pt idx="65">
                  <c:v>645</c:v>
                </c:pt>
                <c:pt idx="66">
                  <c:v>350</c:v>
                </c:pt>
                <c:pt idx="67">
                  <c:v>300</c:v>
                </c:pt>
                <c:pt idx="68">
                  <c:v>500</c:v>
                </c:pt>
                <c:pt idx="69">
                  <c:v>500</c:v>
                </c:pt>
                <c:pt idx="70">
                  <c:v>540</c:v>
                </c:pt>
                <c:pt idx="71">
                  <c:v>400</c:v>
                </c:pt>
                <c:pt idx="72">
                  <c:v>500</c:v>
                </c:pt>
                <c:pt idx="73">
                  <c:v>600</c:v>
                </c:pt>
                <c:pt idx="74">
                  <c:v>500</c:v>
                </c:pt>
                <c:pt idx="75">
                  <c:v>500</c:v>
                </c:pt>
                <c:pt idx="76">
                  <c:v>500</c:v>
                </c:pt>
                <c:pt idx="77">
                  <c:v>600</c:v>
                </c:pt>
                <c:pt idx="78">
                  <c:v>650</c:v>
                </c:pt>
                <c:pt idx="79">
                  <c:v>600</c:v>
                </c:pt>
                <c:pt idx="80">
                  <c:v>600</c:v>
                </c:pt>
                <c:pt idx="81">
                  <c:v>485</c:v>
                </c:pt>
                <c:pt idx="82">
                  <c:v>560</c:v>
                </c:pt>
                <c:pt idx="83">
                  <c:v>645</c:v>
                </c:pt>
              </c:numCache>
            </c:numRef>
          </c:xVal>
          <c:yVal>
            <c:numRef>
              <c:f>'BEV model year data'!$I$4:$I$87</c:f>
              <c:numCache>
                <c:formatCode>General</c:formatCode>
                <c:ptCount val="84"/>
                <c:pt idx="0">
                  <c:v>18</c:v>
                </c:pt>
                <c:pt idx="1">
                  <c:v>16</c:v>
                </c:pt>
                <c:pt idx="2">
                  <c:v>15</c:v>
                </c:pt>
                <c:pt idx="3">
                  <c:v>15</c:v>
                </c:pt>
                <c:pt idx="4">
                  <c:v>6</c:v>
                </c:pt>
                <c:pt idx="5">
                  <c:v>22</c:v>
                </c:pt>
                <c:pt idx="6">
                  <c:v>22</c:v>
                </c:pt>
                <c:pt idx="7">
                  <c:v>24</c:v>
                </c:pt>
                <c:pt idx="8">
                  <c:v>80</c:v>
                </c:pt>
                <c:pt idx="9">
                  <c:v>90</c:v>
                </c:pt>
                <c:pt idx="10">
                  <c:v>23</c:v>
                </c:pt>
                <c:pt idx="11">
                  <c:v>30</c:v>
                </c:pt>
                <c:pt idx="12">
                  <c:v>20</c:v>
                </c:pt>
                <c:pt idx="13">
                  <c:v>22</c:v>
                </c:pt>
                <c:pt idx="14">
                  <c:v>19</c:v>
                </c:pt>
                <c:pt idx="15">
                  <c:v>19</c:v>
                </c:pt>
                <c:pt idx="16">
                  <c:v>24</c:v>
                </c:pt>
                <c:pt idx="17">
                  <c:v>19</c:v>
                </c:pt>
                <c:pt idx="18">
                  <c:v>24</c:v>
                </c:pt>
                <c:pt idx="19">
                  <c:v>22</c:v>
                </c:pt>
                <c:pt idx="20">
                  <c:v>42</c:v>
                </c:pt>
                <c:pt idx="21">
                  <c:v>28</c:v>
                </c:pt>
                <c:pt idx="22">
                  <c:v>27</c:v>
                </c:pt>
                <c:pt idx="23">
                  <c:v>24</c:v>
                </c:pt>
                <c:pt idx="24">
                  <c:v>75</c:v>
                </c:pt>
                <c:pt idx="25">
                  <c:v>24</c:v>
                </c:pt>
                <c:pt idx="26">
                  <c:v>24</c:v>
                </c:pt>
                <c:pt idx="27">
                  <c:v>30</c:v>
                </c:pt>
                <c:pt idx="28">
                  <c:v>30</c:v>
                </c:pt>
                <c:pt idx="29">
                  <c:v>30</c:v>
                </c:pt>
                <c:pt idx="30">
                  <c:v>60</c:v>
                </c:pt>
                <c:pt idx="31">
                  <c:v>19</c:v>
                </c:pt>
                <c:pt idx="32">
                  <c:v>18</c:v>
                </c:pt>
                <c:pt idx="33">
                  <c:v>41</c:v>
                </c:pt>
                <c:pt idx="34">
                  <c:v>28</c:v>
                </c:pt>
                <c:pt idx="35">
                  <c:v>60</c:v>
                </c:pt>
                <c:pt idx="36">
                  <c:v>36</c:v>
                </c:pt>
                <c:pt idx="37">
                  <c:v>18</c:v>
                </c:pt>
                <c:pt idx="38">
                  <c:v>18</c:v>
                </c:pt>
                <c:pt idx="39">
                  <c:v>26</c:v>
                </c:pt>
                <c:pt idx="40">
                  <c:v>30</c:v>
                </c:pt>
                <c:pt idx="41">
                  <c:v>50</c:v>
                </c:pt>
                <c:pt idx="42">
                  <c:v>95</c:v>
                </c:pt>
                <c:pt idx="43">
                  <c:v>40</c:v>
                </c:pt>
                <c:pt idx="44">
                  <c:v>41</c:v>
                </c:pt>
                <c:pt idx="45">
                  <c:v>64</c:v>
                </c:pt>
                <c:pt idx="46">
                  <c:v>95</c:v>
                </c:pt>
                <c:pt idx="47">
                  <c:v>19</c:v>
                </c:pt>
                <c:pt idx="48">
                  <c:v>36</c:v>
                </c:pt>
                <c:pt idx="49">
                  <c:v>60</c:v>
                </c:pt>
                <c:pt idx="50">
                  <c:v>64</c:v>
                </c:pt>
                <c:pt idx="51">
                  <c:v>65</c:v>
                </c:pt>
                <c:pt idx="52">
                  <c:v>16</c:v>
                </c:pt>
                <c:pt idx="53">
                  <c:v>60</c:v>
                </c:pt>
                <c:pt idx="54">
                  <c:v>33</c:v>
                </c:pt>
                <c:pt idx="55">
                  <c:v>70</c:v>
                </c:pt>
                <c:pt idx="56">
                  <c:v>90</c:v>
                </c:pt>
                <c:pt idx="57">
                  <c:v>90</c:v>
                </c:pt>
                <c:pt idx="58">
                  <c:v>70</c:v>
                </c:pt>
                <c:pt idx="59">
                  <c:v>100</c:v>
                </c:pt>
                <c:pt idx="60">
                  <c:v>70</c:v>
                </c:pt>
                <c:pt idx="61">
                  <c:v>30</c:v>
                </c:pt>
                <c:pt idx="62">
                  <c:v>28</c:v>
                </c:pt>
                <c:pt idx="63">
                  <c:v>130</c:v>
                </c:pt>
                <c:pt idx="64">
                  <c:v>61</c:v>
                </c:pt>
                <c:pt idx="65">
                  <c:v>130</c:v>
                </c:pt>
                <c:pt idx="66">
                  <c:v>50</c:v>
                </c:pt>
                <c:pt idx="67">
                  <c:v>41</c:v>
                </c:pt>
                <c:pt idx="69">
                  <c:v>100</c:v>
                </c:pt>
                <c:pt idx="70">
                  <c:v>100</c:v>
                </c:pt>
                <c:pt idx="71">
                  <c:v>75</c:v>
                </c:pt>
                <c:pt idx="73">
                  <c:v>125</c:v>
                </c:pt>
                <c:pt idx="74">
                  <c:v>83</c:v>
                </c:pt>
                <c:pt idx="76">
                  <c:v>83</c:v>
                </c:pt>
                <c:pt idx="78">
                  <c:v>120</c:v>
                </c:pt>
                <c:pt idx="79">
                  <c:v>130</c:v>
                </c:pt>
                <c:pt idx="80">
                  <c:v>111</c:v>
                </c:pt>
                <c:pt idx="81">
                  <c:v>100</c:v>
                </c:pt>
                <c:pt idx="82">
                  <c:v>111</c:v>
                </c:pt>
              </c:numCache>
            </c:numRef>
          </c:yVal>
          <c:smooth val="0"/>
          <c:extLst>
            <c:ext xmlns:c16="http://schemas.microsoft.com/office/drawing/2014/chart" uri="{C3380CC4-5D6E-409C-BE32-E72D297353CC}">
              <c16:uniqueId val="{00000000-0A99-47E1-BEE8-B8E03C236227}"/>
            </c:ext>
          </c:extLst>
        </c:ser>
        <c:dLbls>
          <c:showLegendKey val="0"/>
          <c:showVal val="0"/>
          <c:showCatName val="0"/>
          <c:showSerName val="0"/>
          <c:showPercent val="0"/>
          <c:showBubbleSize val="0"/>
        </c:dLbls>
        <c:axId val="444510304"/>
        <c:axId val="444511288"/>
      </c:scatterChart>
      <c:valAx>
        <c:axId val="444510304"/>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range (kilometres)</a:t>
                </a:r>
              </a:p>
            </c:rich>
          </c:tx>
          <c:layout>
            <c:manualLayout>
              <c:xMode val="edge"/>
              <c:yMode val="edge"/>
              <c:x val="0.4291515995322488"/>
              <c:y val="0.93466435005636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511288"/>
        <c:crosses val="autoZero"/>
        <c:crossBetween val="midCat"/>
      </c:valAx>
      <c:valAx>
        <c:axId val="444511288"/>
        <c:scaling>
          <c:orientation val="minMax"/>
          <c:max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kWh battery</a:t>
                </a:r>
                <a:r>
                  <a:rPr lang="en-US" baseline="0"/>
                  <a:t> capacity </a:t>
                </a:r>
                <a:endParaRPr lang="en-US"/>
              </a:p>
            </c:rich>
          </c:tx>
          <c:layout>
            <c:manualLayout>
              <c:xMode val="edge"/>
              <c:yMode val="edge"/>
              <c:x val="1.6666666666666666E-2"/>
              <c:y val="0.365512904636920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510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69619422572175E-2"/>
          <c:y val="3.6666666666666667E-2"/>
          <c:w val="0.88518454724409446"/>
          <c:h val="0.83223884514435698"/>
        </c:manualLayout>
      </c:layout>
      <c:lineChart>
        <c:grouping val="standard"/>
        <c:varyColors val="0"/>
        <c:ser>
          <c:idx val="0"/>
          <c:order val="0"/>
          <c:tx>
            <c:strRef>
              <c:f>'BEV time series'!$C$3</c:f>
              <c:strCache>
                <c:ptCount val="1"/>
                <c:pt idx="0">
                  <c:v> top 1/3 Range</c:v>
                </c:pt>
              </c:strCache>
            </c:strRef>
          </c:tx>
          <c:spPr>
            <a:ln w="50800" cap="rnd">
              <a:solidFill>
                <a:schemeClr val="tx1"/>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series'!$C$4:$C$16</c:f>
              <c:numCache>
                <c:formatCode>0</c:formatCode>
                <c:ptCount val="13"/>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numCache>
            </c:numRef>
          </c:val>
          <c:smooth val="0"/>
          <c:extLst>
            <c:ext xmlns:c16="http://schemas.microsoft.com/office/drawing/2014/chart" uri="{C3380CC4-5D6E-409C-BE32-E72D297353CC}">
              <c16:uniqueId val="{00000000-29E8-4802-A840-D86A882913F2}"/>
            </c:ext>
          </c:extLst>
        </c:ser>
        <c:ser>
          <c:idx val="1"/>
          <c:order val="1"/>
          <c:tx>
            <c:strRef>
              <c:f>'BEV time series'!$D$3</c:f>
              <c:strCache>
                <c:ptCount val="1"/>
                <c:pt idx="0">
                  <c:v> smth'd Range</c:v>
                </c:pt>
              </c:strCache>
            </c:strRef>
          </c:tx>
          <c:spPr>
            <a:ln w="28575" cap="rnd">
              <a:solidFill>
                <a:schemeClr val="accent2"/>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series'!$D$4:$D$25</c:f>
              <c:numCache>
                <c:formatCode>0</c:formatCode>
                <c:ptCount val="22"/>
                <c:pt idx="0">
                  <c:v>110</c:v>
                </c:pt>
                <c:pt idx="1">
                  <c:v>110</c:v>
                </c:pt>
                <c:pt idx="2">
                  <c:v>120</c:v>
                </c:pt>
                <c:pt idx="3">
                  <c:v>145</c:v>
                </c:pt>
                <c:pt idx="4">
                  <c:v>170</c:v>
                </c:pt>
                <c:pt idx="5">
                  <c:v>210</c:v>
                </c:pt>
                <c:pt idx="6">
                  <c:v>250</c:v>
                </c:pt>
                <c:pt idx="7">
                  <c:v>297.77777777777777</c:v>
                </c:pt>
                <c:pt idx="8">
                  <c:v>345.55555555555554</c:v>
                </c:pt>
                <c:pt idx="9">
                  <c:v>393.33333333333331</c:v>
                </c:pt>
                <c:pt idx="10">
                  <c:v>470.55555555555554</c:v>
                </c:pt>
                <c:pt idx="11">
                  <c:v>547.77777777777783</c:v>
                </c:pt>
                <c:pt idx="12">
                  <c:v>625</c:v>
                </c:pt>
                <c:pt idx="13">
                  <c:v>703.27855980540699</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5-29E8-4802-A840-D86A882913F2}"/>
            </c:ext>
          </c:extLst>
        </c:ser>
        <c:dLbls>
          <c:showLegendKey val="0"/>
          <c:showVal val="0"/>
          <c:showCatName val="0"/>
          <c:showSerName val="0"/>
          <c:showPercent val="0"/>
          <c:showBubbleSize val="0"/>
        </c:dLbls>
        <c:smooth val="0"/>
        <c:axId val="587472024"/>
        <c:axId val="587472680"/>
      </c:lineChart>
      <c:catAx>
        <c:axId val="58747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680"/>
        <c:crosses val="autoZero"/>
        <c:auto val="1"/>
        <c:lblAlgn val="ctr"/>
        <c:lblOffset val="100"/>
        <c:noMultiLvlLbl val="0"/>
      </c:catAx>
      <c:valAx>
        <c:axId val="58747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024"/>
        <c:crosses val="autoZero"/>
        <c:crossBetween val="between"/>
        <c:majorUnit val="100"/>
      </c:valAx>
      <c:spPr>
        <a:noFill/>
        <a:ln>
          <a:noFill/>
        </a:ln>
        <a:effectLst/>
      </c:spPr>
    </c:plotArea>
    <c:legend>
      <c:legendPos val="b"/>
      <c:layout>
        <c:manualLayout>
          <c:xMode val="edge"/>
          <c:yMode val="edge"/>
          <c:x val="7.9594441871236613E-2"/>
          <c:y val="4.0416272965879234E-2"/>
          <c:w val="0.29136174154701255"/>
          <c:h val="0.204167454068241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'BEV time series'!$C$3</c:f>
              <c:strCache>
                <c:ptCount val="1"/>
                <c:pt idx="0">
                  <c:v> top 1/3 Range</c:v>
                </c:pt>
              </c:strCache>
            </c:strRef>
          </c:tx>
          <c:spPr>
            <a:ln w="28575" cap="rnd">
              <a:solidFill>
                <a:schemeClr val="tx1"/>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series'!$C$4:$C$25</c:f>
              <c:numCache>
                <c:formatCode>0</c:formatCode>
                <c:ptCount val="22"/>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pt idx="13">
                  <c:v>703.27855980540699</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0-DB33-4721-8D76-E6CCE8E2C55C}"/>
            </c:ext>
          </c:extLst>
        </c:ser>
        <c:ser>
          <c:idx val="2"/>
          <c:order val="1"/>
          <c:tx>
            <c:strRef>
              <c:f>'BEV time series'!$AA$3</c:f>
              <c:strCache>
                <c:ptCount val="1"/>
                <c:pt idx="0">
                  <c:v>Median Range</c:v>
                </c:pt>
              </c:strCache>
            </c:strRef>
          </c:tx>
          <c:spPr>
            <a:ln w="28575" cap="rnd">
              <a:solidFill>
                <a:schemeClr val="bg2">
                  <a:lumMod val="75000"/>
                </a:schemeClr>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series'!$AA$4:$AA$25</c:f>
              <c:numCache>
                <c:formatCode>0</c:formatCode>
                <c:ptCount val="22"/>
                <c:pt idx="0">
                  <c:v>110</c:v>
                </c:pt>
                <c:pt idx="1">
                  <c:v>110</c:v>
                </c:pt>
                <c:pt idx="2">
                  <c:v>110</c:v>
                </c:pt>
                <c:pt idx="3">
                  <c:v>120</c:v>
                </c:pt>
                <c:pt idx="4">
                  <c:v>137.5</c:v>
                </c:pt>
                <c:pt idx="5">
                  <c:v>140</c:v>
                </c:pt>
                <c:pt idx="6">
                  <c:v>152.5</c:v>
                </c:pt>
                <c:pt idx="7">
                  <c:v>165</c:v>
                </c:pt>
                <c:pt idx="8">
                  <c:v>160</c:v>
                </c:pt>
                <c:pt idx="9">
                  <c:v>240</c:v>
                </c:pt>
                <c:pt idx="10">
                  <c:v>352.5</c:v>
                </c:pt>
                <c:pt idx="11">
                  <c:v>446.25</c:v>
                </c:pt>
                <c:pt idx="12">
                  <c:v>540</c:v>
                </c:pt>
                <c:pt idx="13">
                  <c:v>607.63267567187165</c:v>
                </c:pt>
                <c:pt idx="14">
                  <c:v>648</c:v>
                </c:pt>
                <c:pt idx="15">
                  <c:v>648</c:v>
                </c:pt>
                <c:pt idx="16">
                  <c:v>648</c:v>
                </c:pt>
                <c:pt idx="17">
                  <c:v>648</c:v>
                </c:pt>
                <c:pt idx="18">
                  <c:v>648</c:v>
                </c:pt>
                <c:pt idx="19">
                  <c:v>648</c:v>
                </c:pt>
                <c:pt idx="20">
                  <c:v>648</c:v>
                </c:pt>
                <c:pt idx="21">
                  <c:v>648</c:v>
                </c:pt>
              </c:numCache>
            </c:numRef>
          </c:val>
          <c:smooth val="0"/>
          <c:extLst>
            <c:ext xmlns:c16="http://schemas.microsoft.com/office/drawing/2014/chart" uri="{C3380CC4-5D6E-409C-BE32-E72D297353CC}">
              <c16:uniqueId val="{00000002-DB33-4721-8D76-E6CCE8E2C55C}"/>
            </c:ext>
          </c:extLst>
        </c:ser>
        <c:dLbls>
          <c:showLegendKey val="0"/>
          <c:showVal val="0"/>
          <c:showCatName val="0"/>
          <c:showSerName val="0"/>
          <c:showPercent val="0"/>
          <c:showBubbleSize val="0"/>
        </c:dLbls>
        <c:smooth val="0"/>
        <c:axId val="457072552"/>
        <c:axId val="457072880"/>
      </c:lineChart>
      <c:catAx>
        <c:axId val="45707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072880"/>
        <c:crosses val="autoZero"/>
        <c:auto val="1"/>
        <c:lblAlgn val="ctr"/>
        <c:lblOffset val="100"/>
        <c:noMultiLvlLbl val="0"/>
      </c:catAx>
      <c:valAx>
        <c:axId val="45707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072552"/>
        <c:crosses val="autoZero"/>
        <c:crossBetween val="between"/>
      </c:valAx>
      <c:spPr>
        <a:noFill/>
        <a:ln>
          <a:noFill/>
        </a:ln>
        <a:effectLst/>
      </c:spPr>
    </c:plotArea>
    <c:legend>
      <c:legendPos val="b"/>
      <c:layout>
        <c:manualLayout>
          <c:xMode val="edge"/>
          <c:yMode val="edge"/>
          <c:x val="9.7518186100039303E-2"/>
          <c:y val="3.9882490432014958E-2"/>
          <c:w val="0.26904564252765018"/>
          <c:h val="0.154194786976350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'BEV time series'!$C$3</c:f>
              <c:strCache>
                <c:ptCount val="1"/>
                <c:pt idx="0">
                  <c:v> top 1/3 Range</c:v>
                </c:pt>
              </c:strCache>
            </c:strRef>
          </c:tx>
          <c:spPr>
            <a:ln w="28575" cap="rnd">
              <a:solidFill>
                <a:schemeClr val="tx1"/>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series'!$C$4:$C$25</c:f>
              <c:numCache>
                <c:formatCode>0</c:formatCode>
                <c:ptCount val="22"/>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pt idx="13">
                  <c:v>703.27855980540699</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0-CD5D-454A-85DB-5D13794DF49F}"/>
            </c:ext>
          </c:extLst>
        </c:ser>
        <c:dLbls>
          <c:showLegendKey val="0"/>
          <c:showVal val="0"/>
          <c:showCatName val="0"/>
          <c:showSerName val="0"/>
          <c:showPercent val="0"/>
          <c:showBubbleSize val="0"/>
        </c:dLbls>
        <c:marker val="1"/>
        <c:smooth val="0"/>
        <c:axId val="587472024"/>
        <c:axId val="587472680"/>
      </c:lineChart>
      <c:lineChart>
        <c:grouping val="standard"/>
        <c:varyColors val="0"/>
        <c:ser>
          <c:idx val="1"/>
          <c:order val="1"/>
          <c:tx>
            <c:strRef>
              <c:f>'BEV time series'!$F$3</c:f>
              <c:strCache>
                <c:ptCount val="1"/>
                <c:pt idx="0">
                  <c:v>  top 1/3 kWh</c:v>
                </c:pt>
              </c:strCache>
            </c:strRef>
          </c:tx>
          <c:spPr>
            <a:ln w="28575" cap="rnd">
              <a:solidFill>
                <a:schemeClr val="bg1">
                  <a:lumMod val="75000"/>
                </a:schemeClr>
              </a:solidFill>
              <a:round/>
            </a:ln>
            <a:effectLst/>
          </c:spPr>
          <c:marker>
            <c:symbol val="none"/>
          </c:marker>
          <c:cat>
            <c:numRef>
              <c:f>'BEV time series'!$A$4:$A$15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'BEV time series'!$F$4:$F$25</c:f>
              <c:numCache>
                <c:formatCode>0</c:formatCode>
                <c:ptCount val="22"/>
                <c:pt idx="0">
                  <c:v>18</c:v>
                </c:pt>
                <c:pt idx="1">
                  <c:v>15</c:v>
                </c:pt>
                <c:pt idx="2">
                  <c:v>24</c:v>
                </c:pt>
                <c:pt idx="3">
                  <c:v>30</c:v>
                </c:pt>
                <c:pt idx="4">
                  <c:v>22</c:v>
                </c:pt>
                <c:pt idx="5">
                  <c:v>42</c:v>
                </c:pt>
                <c:pt idx="6">
                  <c:v>30</c:v>
                </c:pt>
                <c:pt idx="7">
                  <c:v>50.5</c:v>
                </c:pt>
                <c:pt idx="8">
                  <c:v>47.25</c:v>
                </c:pt>
                <c:pt idx="9">
                  <c:v>68</c:v>
                </c:pt>
                <c:pt idx="10">
                  <c:v>100</c:v>
                </c:pt>
                <c:pt idx="11">
                  <c:v>111.25</c:v>
                </c:pt>
                <c:pt idx="12">
                  <c:v>122.5</c:v>
                </c:pt>
                <c:pt idx="13">
                  <c:v>143.48158948999028</c:v>
                </c:pt>
                <c:pt idx="14">
                  <c:v>154.3864585425319</c:v>
                </c:pt>
                <c:pt idx="15">
                  <c:v>154.3864585425319</c:v>
                </c:pt>
                <c:pt idx="16">
                  <c:v>154.3864585425319</c:v>
                </c:pt>
                <c:pt idx="17">
                  <c:v>154.3864585425319</c:v>
                </c:pt>
                <c:pt idx="18">
                  <c:v>154.3864585425319</c:v>
                </c:pt>
                <c:pt idx="19">
                  <c:v>154.3864585425319</c:v>
                </c:pt>
                <c:pt idx="20">
                  <c:v>154.3864585425319</c:v>
                </c:pt>
                <c:pt idx="21">
                  <c:v>154.3864585425319</c:v>
                </c:pt>
              </c:numCache>
            </c:numRef>
          </c:val>
          <c:smooth val="0"/>
          <c:extLst>
            <c:ext xmlns:c16="http://schemas.microsoft.com/office/drawing/2014/chart" uri="{C3380CC4-5D6E-409C-BE32-E72D297353CC}">
              <c16:uniqueId val="{00000003-CD5D-454A-85DB-5D13794DF49F}"/>
            </c:ext>
          </c:extLst>
        </c:ser>
        <c:dLbls>
          <c:showLegendKey val="0"/>
          <c:showVal val="0"/>
          <c:showCatName val="0"/>
          <c:showSerName val="0"/>
          <c:showPercent val="0"/>
          <c:showBubbleSize val="0"/>
        </c:dLbls>
        <c:marker val="1"/>
        <c:smooth val="0"/>
        <c:axId val="587474976"/>
        <c:axId val="457078128"/>
      </c:lineChart>
      <c:catAx>
        <c:axId val="58747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680"/>
        <c:crosses val="autoZero"/>
        <c:auto val="1"/>
        <c:lblAlgn val="ctr"/>
        <c:lblOffset val="100"/>
        <c:noMultiLvlLbl val="0"/>
      </c:catAx>
      <c:valAx>
        <c:axId val="587472680"/>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024"/>
        <c:crosses val="autoZero"/>
        <c:crossBetween val="between"/>
      </c:valAx>
      <c:valAx>
        <c:axId val="457078128"/>
        <c:scaling>
          <c:orientation val="minMax"/>
          <c:max val="165"/>
          <c:min val="-1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4976"/>
        <c:crosses val="max"/>
        <c:crossBetween val="between"/>
      </c:valAx>
      <c:catAx>
        <c:axId val="587474976"/>
        <c:scaling>
          <c:orientation val="minMax"/>
        </c:scaling>
        <c:delete val="1"/>
        <c:axPos val="b"/>
        <c:numFmt formatCode="General" sourceLinked="1"/>
        <c:majorTickMark val="out"/>
        <c:minorTickMark val="none"/>
        <c:tickLblPos val="nextTo"/>
        <c:crossAx val="4570781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2050840659616"/>
          <c:y val="5.0925925925925923E-2"/>
          <c:w val="0.83259063330960015"/>
          <c:h val="0.80917486741072731"/>
        </c:manualLayout>
      </c:layout>
      <c:scatterChart>
        <c:scatterStyle val="lineMarker"/>
        <c:varyColors val="0"/>
        <c:ser>
          <c:idx val="0"/>
          <c:order val="0"/>
          <c:tx>
            <c:strRef>
              <c:f>'BEV model year data'!$I$3</c:f>
              <c:strCache>
                <c:ptCount val="1"/>
                <c:pt idx="0">
                  <c:v>kWh</c:v>
                </c:pt>
              </c:strCache>
            </c:strRef>
          </c:tx>
          <c:spPr>
            <a:ln w="28575" cap="rnd">
              <a:noFill/>
              <a:round/>
            </a:ln>
            <a:effectLst/>
          </c:spPr>
          <c:marker>
            <c:symbol val="circle"/>
            <c:size val="5"/>
            <c:spPr>
              <a:solidFill>
                <a:schemeClr val="accent1"/>
              </a:solidFill>
              <a:ln w="9525">
                <a:solidFill>
                  <a:schemeClr val="accent1"/>
                </a:solidFill>
              </a:ln>
              <a:effectLst/>
            </c:spPr>
          </c:marker>
          <c:xVal>
            <c:numRef>
              <c:f>'BEV model year data'!$D$4:$D$87</c:f>
              <c:numCache>
                <c:formatCode>General</c:formatCode>
                <c:ptCount val="84"/>
                <c:pt idx="0">
                  <c:v>110</c:v>
                </c:pt>
                <c:pt idx="1">
                  <c:v>100</c:v>
                </c:pt>
                <c:pt idx="2">
                  <c:v>110</c:v>
                </c:pt>
                <c:pt idx="3">
                  <c:v>110</c:v>
                </c:pt>
                <c:pt idx="4">
                  <c:v>80</c:v>
                </c:pt>
                <c:pt idx="5">
                  <c:v>110</c:v>
                </c:pt>
                <c:pt idx="6">
                  <c:v>100</c:v>
                </c:pt>
                <c:pt idx="7">
                  <c:v>120</c:v>
                </c:pt>
                <c:pt idx="8">
                  <c:v>385</c:v>
                </c:pt>
                <c:pt idx="9">
                  <c:v>460</c:v>
                </c:pt>
                <c:pt idx="10">
                  <c:v>110</c:v>
                </c:pt>
                <c:pt idx="11">
                  <c:v>200</c:v>
                </c:pt>
                <c:pt idx="12">
                  <c:v>135</c:v>
                </c:pt>
                <c:pt idx="13">
                  <c:v>170</c:v>
                </c:pt>
                <c:pt idx="14">
                  <c:v>135</c:v>
                </c:pt>
                <c:pt idx="15">
                  <c:v>120</c:v>
                </c:pt>
                <c:pt idx="16">
                  <c:v>140</c:v>
                </c:pt>
                <c:pt idx="17">
                  <c:v>135</c:v>
                </c:pt>
                <c:pt idx="18">
                  <c:v>135</c:v>
                </c:pt>
                <c:pt idx="19">
                  <c:v>145</c:v>
                </c:pt>
                <c:pt idx="20">
                  <c:v>180</c:v>
                </c:pt>
                <c:pt idx="21">
                  <c:v>140</c:v>
                </c:pt>
                <c:pt idx="22">
                  <c:v>160</c:v>
                </c:pt>
                <c:pt idx="23">
                  <c:v>170</c:v>
                </c:pt>
                <c:pt idx="24">
                  <c:v>420</c:v>
                </c:pt>
                <c:pt idx="25">
                  <c:v>145</c:v>
                </c:pt>
                <c:pt idx="26">
                  <c:v>135</c:v>
                </c:pt>
                <c:pt idx="27">
                  <c:v>250</c:v>
                </c:pt>
                <c:pt idx="28">
                  <c:v>185</c:v>
                </c:pt>
                <c:pt idx="29">
                  <c:v>100</c:v>
                </c:pt>
                <c:pt idx="30">
                  <c:v>385</c:v>
                </c:pt>
                <c:pt idx="31">
                  <c:v>131</c:v>
                </c:pt>
                <c:pt idx="32">
                  <c:v>110</c:v>
                </c:pt>
                <c:pt idx="33">
                  <c:v>300</c:v>
                </c:pt>
                <c:pt idx="34">
                  <c:v>200</c:v>
                </c:pt>
                <c:pt idx="35">
                  <c:v>380</c:v>
                </c:pt>
                <c:pt idx="36">
                  <c:v>200</c:v>
                </c:pt>
                <c:pt idx="37">
                  <c:v>110</c:v>
                </c:pt>
                <c:pt idx="38">
                  <c:v>110</c:v>
                </c:pt>
                <c:pt idx="39">
                  <c:v>130</c:v>
                </c:pt>
                <c:pt idx="40">
                  <c:v>160</c:v>
                </c:pt>
                <c:pt idx="41">
                  <c:v>350</c:v>
                </c:pt>
                <c:pt idx="42">
                  <c:v>500</c:v>
                </c:pt>
                <c:pt idx="43">
                  <c:v>240</c:v>
                </c:pt>
                <c:pt idx="44">
                  <c:v>240</c:v>
                </c:pt>
                <c:pt idx="45">
                  <c:v>360</c:v>
                </c:pt>
                <c:pt idx="46">
                  <c:v>500</c:v>
                </c:pt>
                <c:pt idx="47">
                  <c:v>160</c:v>
                </c:pt>
                <c:pt idx="48">
                  <c:v>200</c:v>
                </c:pt>
                <c:pt idx="49">
                  <c:v>380</c:v>
                </c:pt>
                <c:pt idx="50">
                  <c:v>350</c:v>
                </c:pt>
                <c:pt idx="51">
                  <c:v>385</c:v>
                </c:pt>
                <c:pt idx="52">
                  <c:v>128</c:v>
                </c:pt>
                <c:pt idx="53">
                  <c:v>385</c:v>
                </c:pt>
                <c:pt idx="54">
                  <c:v>200</c:v>
                </c:pt>
                <c:pt idx="55">
                  <c:v>355</c:v>
                </c:pt>
                <c:pt idx="56">
                  <c:v>480</c:v>
                </c:pt>
                <c:pt idx="57">
                  <c:v>450</c:v>
                </c:pt>
                <c:pt idx="58">
                  <c:v>400</c:v>
                </c:pt>
                <c:pt idx="59">
                  <c:v>500</c:v>
                </c:pt>
                <c:pt idx="60">
                  <c:v>350</c:v>
                </c:pt>
                <c:pt idx="61">
                  <c:v>185</c:v>
                </c:pt>
                <c:pt idx="62">
                  <c:v>200</c:v>
                </c:pt>
                <c:pt idx="63">
                  <c:v>600</c:v>
                </c:pt>
                <c:pt idx="64">
                  <c:v>300</c:v>
                </c:pt>
                <c:pt idx="65">
                  <c:v>645</c:v>
                </c:pt>
                <c:pt idx="66">
                  <c:v>350</c:v>
                </c:pt>
                <c:pt idx="67">
                  <c:v>300</c:v>
                </c:pt>
                <c:pt idx="68">
                  <c:v>500</c:v>
                </c:pt>
                <c:pt idx="69">
                  <c:v>500</c:v>
                </c:pt>
                <c:pt idx="70">
                  <c:v>540</c:v>
                </c:pt>
                <c:pt idx="71">
                  <c:v>400</c:v>
                </c:pt>
                <c:pt idx="72">
                  <c:v>500</c:v>
                </c:pt>
                <c:pt idx="73">
                  <c:v>600</c:v>
                </c:pt>
                <c:pt idx="74">
                  <c:v>500</c:v>
                </c:pt>
                <c:pt idx="75">
                  <c:v>500</c:v>
                </c:pt>
                <c:pt idx="76">
                  <c:v>500</c:v>
                </c:pt>
                <c:pt idx="77">
                  <c:v>600</c:v>
                </c:pt>
                <c:pt idx="78">
                  <c:v>650</c:v>
                </c:pt>
                <c:pt idx="79">
                  <c:v>600</c:v>
                </c:pt>
                <c:pt idx="80">
                  <c:v>600</c:v>
                </c:pt>
                <c:pt idx="81">
                  <c:v>485</c:v>
                </c:pt>
                <c:pt idx="82">
                  <c:v>560</c:v>
                </c:pt>
                <c:pt idx="83">
                  <c:v>645</c:v>
                </c:pt>
              </c:numCache>
            </c:numRef>
          </c:xVal>
          <c:yVal>
            <c:numRef>
              <c:f>'BEV model year data'!$I$4:$I$87</c:f>
              <c:numCache>
                <c:formatCode>General</c:formatCode>
                <c:ptCount val="84"/>
                <c:pt idx="0">
                  <c:v>18</c:v>
                </c:pt>
                <c:pt idx="1">
                  <c:v>16</c:v>
                </c:pt>
                <c:pt idx="2">
                  <c:v>15</c:v>
                </c:pt>
                <c:pt idx="3">
                  <c:v>15</c:v>
                </c:pt>
                <c:pt idx="4">
                  <c:v>6</c:v>
                </c:pt>
                <c:pt idx="5">
                  <c:v>22</c:v>
                </c:pt>
                <c:pt idx="6">
                  <c:v>22</c:v>
                </c:pt>
                <c:pt idx="7">
                  <c:v>24</c:v>
                </c:pt>
                <c:pt idx="8">
                  <c:v>80</c:v>
                </c:pt>
                <c:pt idx="9">
                  <c:v>90</c:v>
                </c:pt>
                <c:pt idx="10">
                  <c:v>23</c:v>
                </c:pt>
                <c:pt idx="11">
                  <c:v>30</c:v>
                </c:pt>
                <c:pt idx="12">
                  <c:v>20</c:v>
                </c:pt>
                <c:pt idx="13">
                  <c:v>22</c:v>
                </c:pt>
                <c:pt idx="14">
                  <c:v>19</c:v>
                </c:pt>
                <c:pt idx="15">
                  <c:v>19</c:v>
                </c:pt>
                <c:pt idx="16">
                  <c:v>24</c:v>
                </c:pt>
                <c:pt idx="17">
                  <c:v>19</c:v>
                </c:pt>
                <c:pt idx="18">
                  <c:v>24</c:v>
                </c:pt>
                <c:pt idx="19">
                  <c:v>22</c:v>
                </c:pt>
                <c:pt idx="20">
                  <c:v>42</c:v>
                </c:pt>
                <c:pt idx="21">
                  <c:v>28</c:v>
                </c:pt>
                <c:pt idx="22">
                  <c:v>27</c:v>
                </c:pt>
                <c:pt idx="23">
                  <c:v>24</c:v>
                </c:pt>
                <c:pt idx="24">
                  <c:v>75</c:v>
                </c:pt>
                <c:pt idx="25">
                  <c:v>24</c:v>
                </c:pt>
                <c:pt idx="26">
                  <c:v>24</c:v>
                </c:pt>
                <c:pt idx="27">
                  <c:v>30</c:v>
                </c:pt>
                <c:pt idx="28">
                  <c:v>30</c:v>
                </c:pt>
                <c:pt idx="29">
                  <c:v>30</c:v>
                </c:pt>
                <c:pt idx="30">
                  <c:v>60</c:v>
                </c:pt>
                <c:pt idx="31">
                  <c:v>19</c:v>
                </c:pt>
                <c:pt idx="32">
                  <c:v>18</c:v>
                </c:pt>
                <c:pt idx="33">
                  <c:v>41</c:v>
                </c:pt>
                <c:pt idx="34">
                  <c:v>28</c:v>
                </c:pt>
                <c:pt idx="35">
                  <c:v>60</c:v>
                </c:pt>
                <c:pt idx="36">
                  <c:v>36</c:v>
                </c:pt>
                <c:pt idx="37">
                  <c:v>18</c:v>
                </c:pt>
                <c:pt idx="38">
                  <c:v>18</c:v>
                </c:pt>
                <c:pt idx="39">
                  <c:v>26</c:v>
                </c:pt>
                <c:pt idx="40">
                  <c:v>30</c:v>
                </c:pt>
                <c:pt idx="41">
                  <c:v>50</c:v>
                </c:pt>
                <c:pt idx="42">
                  <c:v>95</c:v>
                </c:pt>
                <c:pt idx="43">
                  <c:v>40</c:v>
                </c:pt>
                <c:pt idx="44">
                  <c:v>41</c:v>
                </c:pt>
                <c:pt idx="45">
                  <c:v>64</c:v>
                </c:pt>
                <c:pt idx="46">
                  <c:v>95</c:v>
                </c:pt>
                <c:pt idx="47">
                  <c:v>19</c:v>
                </c:pt>
                <c:pt idx="48">
                  <c:v>36</c:v>
                </c:pt>
                <c:pt idx="49">
                  <c:v>60</c:v>
                </c:pt>
                <c:pt idx="50">
                  <c:v>64</c:v>
                </c:pt>
                <c:pt idx="51">
                  <c:v>65</c:v>
                </c:pt>
                <c:pt idx="52">
                  <c:v>16</c:v>
                </c:pt>
                <c:pt idx="53">
                  <c:v>60</c:v>
                </c:pt>
                <c:pt idx="54">
                  <c:v>33</c:v>
                </c:pt>
                <c:pt idx="55">
                  <c:v>70</c:v>
                </c:pt>
                <c:pt idx="56">
                  <c:v>90</c:v>
                </c:pt>
                <c:pt idx="57">
                  <c:v>90</c:v>
                </c:pt>
                <c:pt idx="58">
                  <c:v>70</c:v>
                </c:pt>
                <c:pt idx="59">
                  <c:v>100</c:v>
                </c:pt>
                <c:pt idx="60">
                  <c:v>70</c:v>
                </c:pt>
                <c:pt idx="61">
                  <c:v>30</c:v>
                </c:pt>
                <c:pt idx="62">
                  <c:v>28</c:v>
                </c:pt>
                <c:pt idx="63">
                  <c:v>130</c:v>
                </c:pt>
                <c:pt idx="64">
                  <c:v>61</c:v>
                </c:pt>
                <c:pt idx="65">
                  <c:v>130</c:v>
                </c:pt>
                <c:pt idx="66">
                  <c:v>50</c:v>
                </c:pt>
                <c:pt idx="67">
                  <c:v>41</c:v>
                </c:pt>
                <c:pt idx="69">
                  <c:v>100</c:v>
                </c:pt>
                <c:pt idx="70">
                  <c:v>100</c:v>
                </c:pt>
                <c:pt idx="71">
                  <c:v>75</c:v>
                </c:pt>
                <c:pt idx="73">
                  <c:v>125</c:v>
                </c:pt>
                <c:pt idx="74">
                  <c:v>83</c:v>
                </c:pt>
                <c:pt idx="76">
                  <c:v>83</c:v>
                </c:pt>
                <c:pt idx="78">
                  <c:v>120</c:v>
                </c:pt>
                <c:pt idx="79">
                  <c:v>130</c:v>
                </c:pt>
                <c:pt idx="80">
                  <c:v>111</c:v>
                </c:pt>
                <c:pt idx="81">
                  <c:v>100</c:v>
                </c:pt>
                <c:pt idx="82">
                  <c:v>111</c:v>
                </c:pt>
              </c:numCache>
            </c:numRef>
          </c:yVal>
          <c:smooth val="0"/>
          <c:extLst>
            <c:ext xmlns:c16="http://schemas.microsoft.com/office/drawing/2014/chart" uri="{C3380CC4-5D6E-409C-BE32-E72D297353CC}">
              <c16:uniqueId val="{00000000-360F-4303-BA5B-515968322FB6}"/>
            </c:ext>
          </c:extLst>
        </c:ser>
        <c:dLbls>
          <c:showLegendKey val="0"/>
          <c:showVal val="0"/>
          <c:showCatName val="0"/>
          <c:showSerName val="0"/>
          <c:showPercent val="0"/>
          <c:showBubbleSize val="0"/>
        </c:dLbls>
        <c:axId val="444510304"/>
        <c:axId val="444511288"/>
      </c:scatterChart>
      <c:valAx>
        <c:axId val="444510304"/>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range (kilometres)</a:t>
                </a:r>
              </a:p>
            </c:rich>
          </c:tx>
          <c:layout>
            <c:manualLayout>
              <c:xMode val="edge"/>
              <c:yMode val="edge"/>
              <c:x val="0.4291515995322488"/>
              <c:y val="0.93466435005636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511288"/>
        <c:crosses val="autoZero"/>
        <c:crossBetween val="midCat"/>
      </c:valAx>
      <c:valAx>
        <c:axId val="444511288"/>
        <c:scaling>
          <c:orientation val="minMax"/>
          <c:max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kWh battery</a:t>
                </a:r>
                <a:r>
                  <a:rPr lang="en-US" baseline="0"/>
                  <a:t> capacity </a:t>
                </a:r>
                <a:endParaRPr lang="en-US"/>
              </a:p>
            </c:rich>
          </c:tx>
          <c:layout>
            <c:manualLayout>
              <c:xMode val="edge"/>
              <c:yMode val="edge"/>
              <c:x val="1.6666666666666666E-2"/>
              <c:y val="0.365512904636920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510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'BEV time series'!$AA$3</c:f>
              <c:strCache>
                <c:ptCount val="1"/>
                <c:pt idx="0">
                  <c:v>Median Range</c:v>
                </c:pt>
              </c:strCache>
            </c:strRef>
          </c:tx>
          <c:spPr>
            <a:ln w="28575" cap="rnd">
              <a:solidFill>
                <a:schemeClr val="accent2"/>
              </a:solidFill>
              <a:round/>
            </a:ln>
            <a:effectLst/>
          </c:spPr>
          <c:marker>
            <c:symbol val="none"/>
          </c:marker>
          <c:cat>
            <c:numRef>
              <c:f>'BEV time series'!$A$4:$A$13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'BEV time series'!$AA$4:$AA$14</c:f>
              <c:numCache>
                <c:formatCode>0</c:formatCode>
                <c:ptCount val="11"/>
                <c:pt idx="0">
                  <c:v>110</c:v>
                </c:pt>
                <c:pt idx="1">
                  <c:v>110</c:v>
                </c:pt>
                <c:pt idx="2">
                  <c:v>110</c:v>
                </c:pt>
                <c:pt idx="3">
                  <c:v>120</c:v>
                </c:pt>
                <c:pt idx="4">
                  <c:v>137.5</c:v>
                </c:pt>
                <c:pt idx="5">
                  <c:v>140</c:v>
                </c:pt>
                <c:pt idx="6">
                  <c:v>152.5</c:v>
                </c:pt>
                <c:pt idx="7">
                  <c:v>165</c:v>
                </c:pt>
                <c:pt idx="8">
                  <c:v>160</c:v>
                </c:pt>
                <c:pt idx="9">
                  <c:v>240</c:v>
                </c:pt>
                <c:pt idx="10">
                  <c:v>352.5</c:v>
                </c:pt>
              </c:numCache>
            </c:numRef>
          </c:val>
          <c:smooth val="0"/>
          <c:extLst>
            <c:ext xmlns:c16="http://schemas.microsoft.com/office/drawing/2014/chart" uri="{C3380CC4-5D6E-409C-BE32-E72D297353CC}">
              <c16:uniqueId val="{00000001-6513-452E-8CAA-399BECEDD0A3}"/>
            </c:ext>
          </c:extLst>
        </c:ser>
        <c:dLbls>
          <c:showLegendKey val="0"/>
          <c:showVal val="0"/>
          <c:showCatName val="0"/>
          <c:showSerName val="0"/>
          <c:showPercent val="0"/>
          <c:showBubbleSize val="0"/>
        </c:dLbls>
        <c:marker val="1"/>
        <c:smooth val="0"/>
        <c:axId val="593144808"/>
        <c:axId val="593151040"/>
      </c:lineChart>
      <c:lineChart>
        <c:grouping val="standard"/>
        <c:varyColors val="0"/>
        <c:ser>
          <c:idx val="0"/>
          <c:order val="0"/>
          <c:tx>
            <c:strRef>
              <c:f>'BEV time series'!$W$3</c:f>
              <c:strCache>
                <c:ptCount val="1"/>
                <c:pt idx="0">
                  <c:v>median cost</c:v>
                </c:pt>
              </c:strCache>
            </c:strRef>
          </c:tx>
          <c:spPr>
            <a:ln w="28575" cap="rnd">
              <a:solidFill>
                <a:schemeClr val="accent1"/>
              </a:solidFill>
              <a:round/>
            </a:ln>
            <a:effectLst/>
          </c:spPr>
          <c:marker>
            <c:symbol val="none"/>
          </c:marker>
          <c:cat>
            <c:numRef>
              <c:f>'BEV time series'!$A$4:$A$13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'BEV time series'!$W$4:$W$14</c:f>
              <c:numCache>
                <c:formatCode>0</c:formatCode>
                <c:ptCount val="11"/>
                <c:pt idx="0">
                  <c:v>26</c:v>
                </c:pt>
                <c:pt idx="1">
                  <c:v>22</c:v>
                </c:pt>
                <c:pt idx="2">
                  <c:v>22</c:v>
                </c:pt>
                <c:pt idx="3">
                  <c:v>29</c:v>
                </c:pt>
                <c:pt idx="4">
                  <c:v>31</c:v>
                </c:pt>
                <c:pt idx="5">
                  <c:v>32</c:v>
                </c:pt>
                <c:pt idx="6">
                  <c:v>39</c:v>
                </c:pt>
                <c:pt idx="7">
                  <c:v>34</c:v>
                </c:pt>
                <c:pt idx="8">
                  <c:v>30</c:v>
                </c:pt>
                <c:pt idx="9">
                  <c:v>35</c:v>
                </c:pt>
                <c:pt idx="10">
                  <c:v>38</c:v>
                </c:pt>
              </c:numCache>
            </c:numRef>
          </c:val>
          <c:smooth val="0"/>
          <c:extLst>
            <c:ext xmlns:c16="http://schemas.microsoft.com/office/drawing/2014/chart" uri="{C3380CC4-5D6E-409C-BE32-E72D297353CC}">
              <c16:uniqueId val="{00000000-6513-452E-8CAA-399BECEDD0A3}"/>
            </c:ext>
          </c:extLst>
        </c:ser>
        <c:dLbls>
          <c:showLegendKey val="0"/>
          <c:showVal val="0"/>
          <c:showCatName val="0"/>
          <c:showSerName val="0"/>
          <c:showPercent val="0"/>
          <c:showBubbleSize val="0"/>
        </c:dLbls>
        <c:marker val="1"/>
        <c:smooth val="0"/>
        <c:axId val="593153664"/>
        <c:axId val="593163504"/>
      </c:lineChart>
      <c:catAx>
        <c:axId val="593144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51040"/>
        <c:crosses val="autoZero"/>
        <c:auto val="1"/>
        <c:lblAlgn val="ctr"/>
        <c:lblOffset val="100"/>
        <c:noMultiLvlLbl val="0"/>
      </c:catAx>
      <c:valAx>
        <c:axId val="593151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44808"/>
        <c:crosses val="autoZero"/>
        <c:crossBetween val="between"/>
      </c:valAx>
      <c:valAx>
        <c:axId val="5931635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53664"/>
        <c:crosses val="max"/>
        <c:crossBetween val="between"/>
      </c:valAx>
      <c:catAx>
        <c:axId val="593153664"/>
        <c:scaling>
          <c:orientation val="minMax"/>
        </c:scaling>
        <c:delete val="1"/>
        <c:axPos val="b"/>
        <c:numFmt formatCode="General" sourceLinked="1"/>
        <c:majorTickMark val="out"/>
        <c:minorTickMark val="none"/>
        <c:tickLblPos val="nextTo"/>
        <c:crossAx val="593163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 stock data'!$C$11</c:f>
              <c:strCache>
                <c:ptCount val="1"/>
                <c:pt idx="0">
                  <c:v>BEV sales</c:v>
                </c:pt>
              </c:strCache>
            </c:strRef>
          </c:tx>
          <c:spPr>
            <a:ln w="28575" cap="rnd">
              <a:solidFill>
                <a:schemeClr val="accent1"/>
              </a:solidFill>
              <a:round/>
            </a:ln>
            <a:effectLst/>
          </c:spPr>
          <c:marker>
            <c:symbol val="none"/>
          </c:marker>
          <c:cat>
            <c:numRef>
              <c:f>'DC stock data'!$F$3:$N$3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'DC stock data'!$F$11:$N$11</c:f>
              <c:numCache>
                <c:formatCode>General</c:formatCode>
                <c:ptCount val="9"/>
                <c:pt idx="0">
                  <c:v>0</c:v>
                </c:pt>
                <c:pt idx="1">
                  <c:v>25</c:v>
                </c:pt>
                <c:pt idx="2">
                  <c:v>136</c:v>
                </c:pt>
                <c:pt idx="3">
                  <c:v>118</c:v>
                </c:pt>
                <c:pt idx="4">
                  <c:v>195</c:v>
                </c:pt>
                <c:pt idx="5">
                  <c:v>176</c:v>
                </c:pt>
                <c:pt idx="6">
                  <c:v>602</c:v>
                </c:pt>
                <c:pt idx="7">
                  <c:v>818</c:v>
                </c:pt>
                <c:pt idx="8">
                  <c:v>705</c:v>
                </c:pt>
              </c:numCache>
            </c:numRef>
          </c:val>
          <c:smooth val="0"/>
          <c:extLst>
            <c:ext xmlns:c16="http://schemas.microsoft.com/office/drawing/2014/chart" uri="{C3380CC4-5D6E-409C-BE32-E72D297353CC}">
              <c16:uniqueId val="{00000000-0AA9-48FB-AD27-32EF22F523C2}"/>
            </c:ext>
          </c:extLst>
        </c:ser>
        <c:dLbls>
          <c:showLegendKey val="0"/>
          <c:showVal val="0"/>
          <c:showCatName val="0"/>
          <c:showSerName val="0"/>
          <c:showPercent val="0"/>
          <c:showBubbleSize val="0"/>
        </c:dLbls>
        <c:smooth val="0"/>
        <c:axId val="595621960"/>
        <c:axId val="595617696"/>
      </c:lineChart>
      <c:catAx>
        <c:axId val="59562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617696"/>
        <c:crosses val="autoZero"/>
        <c:auto val="1"/>
        <c:lblAlgn val="ctr"/>
        <c:lblOffset val="100"/>
        <c:noMultiLvlLbl val="0"/>
      </c:catAx>
      <c:valAx>
        <c:axId val="59561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621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'BEV time series'!$U$3</c:f>
              <c:strCache>
                <c:ptCount val="1"/>
                <c:pt idx="0">
                  <c:v>top 1/3 Cost 2017$000</c:v>
                </c:pt>
              </c:strCache>
            </c:strRef>
          </c:tx>
          <c:spPr>
            <a:ln w="28575" cap="rnd">
              <a:solidFill>
                <a:schemeClr val="accent1"/>
              </a:solidFill>
              <a:round/>
            </a:ln>
            <a:effectLst/>
          </c:spPr>
          <c:marker>
            <c:symbol val="none"/>
          </c:marker>
          <c:cat>
            <c:numRef>
              <c:f>'BEV time series'!$A$4:$A$16</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'BEV time series'!$U$4:$U$16</c:f>
              <c:numCache>
                <c:formatCode>0</c:formatCode>
                <c:ptCount val="13"/>
                <c:pt idx="0">
                  <c:v>29.592572886961211</c:v>
                </c:pt>
                <c:pt idx="1">
                  <c:v>29.592572886961211</c:v>
                </c:pt>
                <c:pt idx="2">
                  <c:v>31.480731780282646</c:v>
                </c:pt>
                <c:pt idx="3">
                  <c:v>34.883963278792592</c:v>
                </c:pt>
                <c:pt idx="4">
                  <c:v>37.5</c:v>
                </c:pt>
                <c:pt idx="5">
                  <c:v>41.819246327530593</c:v>
                </c:pt>
                <c:pt idx="6">
                  <c:v>42.289361955194806</c:v>
                </c:pt>
                <c:pt idx="7">
                  <c:v>37.555</c:v>
                </c:pt>
                <c:pt idx="8">
                  <c:v>37.416249999999998</c:v>
                </c:pt>
                <c:pt idx="9">
                  <c:v>39.714285714285715</c:v>
                </c:pt>
                <c:pt idx="10">
                  <c:v>40.333333333333336</c:v>
                </c:pt>
                <c:pt idx="11">
                  <c:v>39.166666666666671</c:v>
                </c:pt>
                <c:pt idx="12">
                  <c:v>38</c:v>
                </c:pt>
              </c:numCache>
            </c:numRef>
          </c:val>
          <c:smooth val="0"/>
          <c:extLst>
            <c:ext xmlns:c16="http://schemas.microsoft.com/office/drawing/2014/chart" uri="{C3380CC4-5D6E-409C-BE32-E72D297353CC}">
              <c16:uniqueId val="{00000000-21F4-42C5-AD17-2122A55D45EC}"/>
            </c:ext>
          </c:extLst>
        </c:ser>
        <c:ser>
          <c:idx val="1"/>
          <c:order val="1"/>
          <c:tx>
            <c:strRef>
              <c:f>'BEV time series'!$X$3</c:f>
              <c:strCache>
                <c:ptCount val="1"/>
                <c:pt idx="0">
                  <c:v>median cost 2017$</c:v>
                </c:pt>
              </c:strCache>
            </c:strRef>
          </c:tx>
          <c:spPr>
            <a:ln w="28575" cap="rnd">
              <a:solidFill>
                <a:schemeClr val="accent2"/>
              </a:solidFill>
              <a:round/>
            </a:ln>
            <a:effectLst/>
          </c:spPr>
          <c:marker>
            <c:symbol val="none"/>
          </c:marker>
          <c:cat>
            <c:numRef>
              <c:f>'BEV time series'!$A$4:$A$16</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'BEV time series'!$X$4:$X$16</c:f>
              <c:numCache>
                <c:formatCode>0</c:formatCode>
                <c:ptCount val="13"/>
                <c:pt idx="0">
                  <c:v>29.592572886961211</c:v>
                </c:pt>
                <c:pt idx="1">
                  <c:v>30</c:v>
                </c:pt>
                <c:pt idx="2">
                  <c:v>30</c:v>
                </c:pt>
                <c:pt idx="3">
                  <c:v>30.842462459493706</c:v>
                </c:pt>
                <c:pt idx="4">
                  <c:v>31.143929334439989</c:v>
                </c:pt>
                <c:pt idx="5">
                  <c:v>33.541755956678692</c:v>
                </c:pt>
                <c:pt idx="6">
                  <c:v>30</c:v>
                </c:pt>
                <c:pt idx="7">
                  <c:v>30</c:v>
                </c:pt>
                <c:pt idx="8">
                  <c:v>30</c:v>
                </c:pt>
              </c:numCache>
            </c:numRef>
          </c:val>
          <c:smooth val="0"/>
          <c:extLst>
            <c:ext xmlns:c16="http://schemas.microsoft.com/office/drawing/2014/chart" uri="{C3380CC4-5D6E-409C-BE32-E72D297353CC}">
              <c16:uniqueId val="{00000001-21F4-42C5-AD17-2122A55D45EC}"/>
            </c:ext>
          </c:extLst>
        </c:ser>
        <c:dLbls>
          <c:showLegendKey val="0"/>
          <c:showVal val="0"/>
          <c:showCatName val="0"/>
          <c:showSerName val="0"/>
          <c:showPercent val="0"/>
          <c:showBubbleSize val="0"/>
        </c:dLbls>
        <c:smooth val="0"/>
        <c:axId val="593158912"/>
        <c:axId val="593155960"/>
      </c:lineChart>
      <c:catAx>
        <c:axId val="59315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55960"/>
        <c:crosses val="autoZero"/>
        <c:auto val="1"/>
        <c:lblAlgn val="ctr"/>
        <c:lblOffset val="100"/>
        <c:noMultiLvlLbl val="0"/>
      </c:catAx>
      <c:valAx>
        <c:axId val="593155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5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5008936800274"/>
          <c:y val="8.8379629629629641E-2"/>
          <c:w val="0.84611652782841607"/>
          <c:h val="0.80031196155532602"/>
        </c:manualLayout>
      </c:layout>
      <c:lineChart>
        <c:grouping val="standard"/>
        <c:varyColors val="0"/>
        <c:ser>
          <c:idx val="5"/>
          <c:order val="0"/>
          <c:tx>
            <c:strRef>
              <c:f>'Lithium Battery costs'!$S$2</c:f>
              <c:strCache>
                <c:ptCount val="1"/>
                <c:pt idx="0">
                  <c:v> large orders</c:v>
                </c:pt>
              </c:strCache>
            </c:strRef>
          </c:tx>
          <c:spPr>
            <a:ln w="28575" cap="rnd">
              <a:solidFill>
                <a:schemeClr val="accent6"/>
              </a:solidFill>
              <a:round/>
            </a:ln>
            <a:effectLst/>
          </c:spPr>
          <c:marker>
            <c:symbol val="none"/>
          </c:marker>
          <c:val>
            <c:numRef>
              <c:f>'Lithium Battery costs'!$S$12:$S$38</c:f>
              <c:numCache>
                <c:formatCode>0</c:formatCode>
                <c:ptCount val="27"/>
                <c:pt idx="6">
                  <c:v>974.97384902806664</c:v>
                </c:pt>
                <c:pt idx="7">
                  <c:v>761.45739446761399</c:v>
                </c:pt>
                <c:pt idx="8">
                  <c:v>576.43498803605485</c:v>
                </c:pt>
                <c:pt idx="9">
                  <c:v>414.32427055837047</c:v>
                </c:pt>
                <c:pt idx="10">
                  <c:v>264.40029948954418</c:v>
                </c:pt>
                <c:pt idx="11">
                  <c:v>213.98012478277144</c:v>
                </c:pt>
                <c:pt idx="12">
                  <c:v>182.29323970037447</c:v>
                </c:pt>
                <c:pt idx="13">
                  <c:v>139</c:v>
                </c:pt>
                <c:pt idx="14">
                  <c:v>122.71666666666667</c:v>
                </c:pt>
                <c:pt idx="15">
                  <c:v>110.54166666666667</c:v>
                </c:pt>
                <c:pt idx="16">
                  <c:v>99</c:v>
                </c:pt>
                <c:pt idx="17">
                  <c:v>89.899999999999991</c:v>
                </c:pt>
                <c:pt idx="18">
                  <c:v>83.999999999999986</c:v>
                </c:pt>
                <c:pt idx="19">
                  <c:v>78.299999999999983</c:v>
                </c:pt>
                <c:pt idx="20">
                  <c:v>72.799999999999983</c:v>
                </c:pt>
                <c:pt idx="21">
                  <c:v>68.5</c:v>
                </c:pt>
                <c:pt idx="22">
                  <c:v>64.5</c:v>
                </c:pt>
                <c:pt idx="23">
                  <c:v>60.5</c:v>
                </c:pt>
                <c:pt idx="24">
                  <c:v>56</c:v>
                </c:pt>
                <c:pt idx="25">
                  <c:v>52</c:v>
                </c:pt>
                <c:pt idx="26">
                  <c:v>47.5</c:v>
                </c:pt>
              </c:numCache>
            </c:numRef>
          </c:val>
          <c:smooth val="0"/>
          <c:extLst>
            <c:ext xmlns:c16="http://schemas.microsoft.com/office/drawing/2014/chart" uri="{C3380CC4-5D6E-409C-BE32-E72D297353CC}">
              <c16:uniqueId val="{00000000-2EBA-4AAB-BAFA-48D90EF041B7}"/>
            </c:ext>
          </c:extLst>
        </c:ser>
        <c:ser>
          <c:idx val="4"/>
          <c:order val="1"/>
          <c:tx>
            <c:strRef>
              <c:f>'Lithium Battery costs'!$T$2</c:f>
              <c:strCache>
                <c:ptCount val="1"/>
                <c:pt idx="0">
                  <c:v> small orders composite</c:v>
                </c:pt>
              </c:strCache>
            </c:strRef>
          </c:tx>
          <c:spPr>
            <a:ln w="57150" cap="rnd">
              <a:solidFill>
                <a:schemeClr val="tx1"/>
              </a:solidFill>
              <a:round/>
            </a:ln>
            <a:effectLst/>
          </c:spPr>
          <c:marker>
            <c:symbol val="none"/>
          </c:marker>
          <c:val>
            <c:numRef>
              <c:f>'Lithium Battery costs'!$T$12:$T$38</c:f>
              <c:numCache>
                <c:formatCode>0</c:formatCode>
                <c:ptCount val="27"/>
                <c:pt idx="0">
                  <c:v>3733.161792094229</c:v>
                </c:pt>
                <c:pt idx="1">
                  <c:v>3310.7570978422932</c:v>
                </c:pt>
                <c:pt idx="2">
                  <c:v>3104.3427078793397</c:v>
                </c:pt>
                <c:pt idx="3">
                  <c:v>2576.7460299847589</c:v>
                </c:pt>
                <c:pt idx="4">
                  <c:v>1684.1778593662184</c:v>
                </c:pt>
                <c:pt idx="5">
                  <c:v>1479.6286443480606</c:v>
                </c:pt>
                <c:pt idx="6">
                  <c:v>1119.8079338564401</c:v>
                </c:pt>
                <c:pt idx="7">
                  <c:v>905.07103868312618</c:v>
                </c:pt>
                <c:pt idx="8">
                  <c:v>709.90840316248443</c:v>
                </c:pt>
                <c:pt idx="9">
                  <c:v>525.40016166516227</c:v>
                </c:pt>
                <c:pt idx="10">
                  <c:v>345.53503060951857</c:v>
                </c:pt>
                <c:pt idx="11">
                  <c:v>288.46299999999991</c:v>
                </c:pt>
                <c:pt idx="12">
                  <c:v>253.74999999999994</c:v>
                </c:pt>
                <c:pt idx="13">
                  <c:v>200</c:v>
                </c:pt>
                <c:pt idx="14">
                  <c:v>185</c:v>
                </c:pt>
                <c:pt idx="15">
                  <c:v>175</c:v>
                </c:pt>
                <c:pt idx="16">
                  <c:v>165</c:v>
                </c:pt>
                <c:pt idx="17">
                  <c:v>155</c:v>
                </c:pt>
                <c:pt idx="18">
                  <c:v>150</c:v>
                </c:pt>
                <c:pt idx="19">
                  <c:v>145</c:v>
                </c:pt>
                <c:pt idx="20">
                  <c:v>140</c:v>
                </c:pt>
                <c:pt idx="21">
                  <c:v>137</c:v>
                </c:pt>
                <c:pt idx="22">
                  <c:v>129</c:v>
                </c:pt>
                <c:pt idx="23">
                  <c:v>121</c:v>
                </c:pt>
                <c:pt idx="24">
                  <c:v>112</c:v>
                </c:pt>
                <c:pt idx="25">
                  <c:v>104</c:v>
                </c:pt>
                <c:pt idx="26">
                  <c:v>95</c:v>
                </c:pt>
              </c:numCache>
            </c:numRef>
          </c:val>
          <c:smooth val="0"/>
          <c:extLst>
            <c:ext xmlns:c16="http://schemas.microsoft.com/office/drawing/2014/chart" uri="{C3380CC4-5D6E-409C-BE32-E72D297353CC}">
              <c16:uniqueId val="{00000001-72EE-4DA6-B7DC-8C9745DAB7A2}"/>
            </c:ext>
          </c:extLst>
        </c:ser>
        <c:ser>
          <c:idx val="0"/>
          <c:order val="2"/>
          <c:tx>
            <c:strRef>
              <c:f>'Lithium Battery costs'!$O$2</c:f>
              <c:strCache>
                <c:ptCount val="1"/>
                <c:pt idx="0">
                  <c:v> Consumer Lag9</c:v>
                </c:pt>
              </c:strCache>
            </c:strRef>
          </c:tx>
          <c:spPr>
            <a:ln w="28575" cap="rnd">
              <a:solidFill>
                <a:schemeClr val="accent1"/>
              </a:solidFill>
              <a:round/>
            </a:ln>
            <a:effectLst/>
          </c:spPr>
          <c:marker>
            <c:symbol val="none"/>
          </c:marker>
          <c:cat>
            <c:numRef>
              <c:f>'Lithium Battery costs'!$A$12:$A$38</c:f>
              <c:numCache>
                <c:formatCode>General</c:formatCode>
                <c:ptCount val="2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'Lithium Battery costs'!$O$12:$O$38</c:f>
              <c:numCache>
                <c:formatCode>0</c:formatCode>
                <c:ptCount val="27"/>
                <c:pt idx="0">
                  <c:v>4117.0776689127833</c:v>
                </c:pt>
                <c:pt idx="1">
                  <c:v>3682.0920140277767</c:v>
                </c:pt>
                <c:pt idx="2">
                  <c:v>3464.0734079340273</c:v>
                </c:pt>
                <c:pt idx="3">
                  <c:v>2926.5145724461272</c:v>
                </c:pt>
                <c:pt idx="4">
                  <c:v>2021.0134312394621</c:v>
                </c:pt>
                <c:pt idx="5">
                  <c:v>1817.666880787579</c:v>
                </c:pt>
                <c:pt idx="6">
                  <c:v>1533.0170614494664</c:v>
                </c:pt>
                <c:pt idx="7">
                  <c:v>1079.0292203310673</c:v>
                </c:pt>
                <c:pt idx="8">
                  <c:v>917.47463040424941</c:v>
                </c:pt>
                <c:pt idx="9">
                  <c:v>766.56888092659426</c:v>
                </c:pt>
                <c:pt idx="10">
                  <c:v>618.86871153943616</c:v>
                </c:pt>
                <c:pt idx="11">
                  <c:v>568.68419999999992</c:v>
                </c:pt>
                <c:pt idx="12">
                  <c:v>520.69499999999994</c:v>
                </c:pt>
                <c:pt idx="13">
                  <c:v>474</c:v>
                </c:pt>
                <c:pt idx="14">
                  <c:v>435</c:v>
                </c:pt>
                <c:pt idx="15">
                  <c:v>366</c:v>
                </c:pt>
                <c:pt idx="16">
                  <c:v>320</c:v>
                </c:pt>
              </c:numCache>
            </c:numRef>
          </c:val>
          <c:smooth val="0"/>
          <c:extLst>
            <c:ext xmlns:c16="http://schemas.microsoft.com/office/drawing/2014/chart" uri="{C3380CC4-5D6E-409C-BE32-E72D297353CC}">
              <c16:uniqueId val="{00000000-61F8-4F69-9C17-D109D416B030}"/>
            </c:ext>
          </c:extLst>
        </c:ser>
        <c:ser>
          <c:idx val="3"/>
          <c:order val="3"/>
          <c:tx>
            <c:strRef>
              <c:f>'Lithium Battery costs'!$R$2</c:f>
              <c:strCache>
                <c:ptCount val="1"/>
                <c:pt idx="0">
                  <c:v> UBS</c:v>
                </c:pt>
              </c:strCache>
            </c:strRef>
          </c:tx>
          <c:spPr>
            <a:ln w="28575" cap="rnd">
              <a:solidFill>
                <a:srgbClr val="C00000"/>
              </a:solidFill>
              <a:round/>
            </a:ln>
            <a:effectLst/>
          </c:spPr>
          <c:marker>
            <c:symbol val="none"/>
          </c:marker>
          <c:cat>
            <c:numRef>
              <c:f>'Lithium Battery costs'!$A$12:$A$38</c:f>
              <c:numCache>
                <c:formatCode>General</c:formatCode>
                <c:ptCount val="2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'Lithium Battery costs'!$R$12:$R$38</c:f>
              <c:numCache>
                <c:formatCode>General</c:formatCode>
                <c:ptCount val="27"/>
                <c:pt idx="6" formatCode="0">
                  <c:v>1119.8079338564401</c:v>
                </c:pt>
                <c:pt idx="7" formatCode="0">
                  <c:v>878.51783705804689</c:v>
                </c:pt>
                <c:pt idx="8" formatCode="0">
                  <c:v>689.08093199299628</c:v>
                </c:pt>
                <c:pt idx="9" formatCode="0">
                  <c:v>509.98583966139677</c:v>
                </c:pt>
                <c:pt idx="10" formatCode="0">
                  <c:v>345.53503060951857</c:v>
                </c:pt>
                <c:pt idx="11" formatCode="0">
                  <c:v>288.46299999999991</c:v>
                </c:pt>
                <c:pt idx="12" formatCode="0">
                  <c:v>253.74999999999994</c:v>
                </c:pt>
                <c:pt idx="13" formatCode="0">
                  <c:v>200</c:v>
                </c:pt>
                <c:pt idx="14" formatCode="0">
                  <c:v>185</c:v>
                </c:pt>
                <c:pt idx="15" formatCode="0">
                  <c:v>175</c:v>
                </c:pt>
                <c:pt idx="16" formatCode="0">
                  <c:v>165</c:v>
                </c:pt>
                <c:pt idx="17" formatCode="0">
                  <c:v>155</c:v>
                </c:pt>
                <c:pt idx="18" formatCode="0">
                  <c:v>150</c:v>
                </c:pt>
                <c:pt idx="19" formatCode="0">
                  <c:v>145</c:v>
                </c:pt>
                <c:pt idx="20" formatCode="0">
                  <c:v>140</c:v>
                </c:pt>
                <c:pt idx="21" formatCode="0">
                  <c:v>135</c:v>
                </c:pt>
              </c:numCache>
            </c:numRef>
          </c:val>
          <c:smooth val="0"/>
          <c:extLst>
            <c:ext xmlns:c16="http://schemas.microsoft.com/office/drawing/2014/chart" uri="{C3380CC4-5D6E-409C-BE32-E72D297353CC}">
              <c16:uniqueId val="{00000000-72EE-4DA6-B7DC-8C9745DAB7A2}"/>
            </c:ext>
          </c:extLst>
        </c:ser>
        <c:ser>
          <c:idx val="1"/>
          <c:order val="4"/>
          <c:tx>
            <c:strRef>
              <c:f>'Lithium Battery costs'!$Q$2</c:f>
              <c:strCache>
                <c:ptCount val="1"/>
                <c:pt idx="0">
                  <c:v>Bloomberg</c:v>
                </c:pt>
              </c:strCache>
            </c:strRef>
          </c:tx>
          <c:spPr>
            <a:ln w="28575" cap="rnd">
              <a:solidFill>
                <a:srgbClr val="92D050"/>
              </a:solidFill>
              <a:round/>
            </a:ln>
            <a:effectLst/>
          </c:spPr>
          <c:marker>
            <c:symbol val="none"/>
          </c:marker>
          <c:val>
            <c:numRef>
              <c:f>'Lithium Battery costs'!$Q$12:$Q$38</c:f>
              <c:numCache>
                <c:formatCode>0</c:formatCode>
                <c:ptCount val="27"/>
                <c:pt idx="22">
                  <c:v>129</c:v>
                </c:pt>
                <c:pt idx="23">
                  <c:v>121</c:v>
                </c:pt>
                <c:pt idx="24">
                  <c:v>112</c:v>
                </c:pt>
                <c:pt idx="25">
                  <c:v>104</c:v>
                </c:pt>
                <c:pt idx="26">
                  <c:v>95</c:v>
                </c:pt>
              </c:numCache>
            </c:numRef>
          </c:val>
          <c:smooth val="0"/>
          <c:extLst>
            <c:ext xmlns:c16="http://schemas.microsoft.com/office/drawing/2014/chart" uri="{C3380CC4-5D6E-409C-BE32-E72D297353CC}">
              <c16:uniqueId val="{00000000-5360-4F01-A103-5EA6E1BACE43}"/>
            </c:ext>
          </c:extLst>
        </c:ser>
        <c:dLbls>
          <c:showLegendKey val="0"/>
          <c:showVal val="0"/>
          <c:showCatName val="0"/>
          <c:showSerName val="0"/>
          <c:showPercent val="0"/>
          <c:showBubbleSize val="0"/>
        </c:dLbls>
        <c:smooth val="0"/>
        <c:axId val="544499088"/>
        <c:axId val="544495808"/>
      </c:lineChart>
      <c:catAx>
        <c:axId val="54449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5808"/>
        <c:crosses val="autoZero"/>
        <c:auto val="1"/>
        <c:lblAlgn val="ctr"/>
        <c:lblOffset val="100"/>
        <c:noMultiLvlLbl val="0"/>
      </c:catAx>
      <c:valAx>
        <c:axId val="54449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Real 2017 US$/kWh</a:t>
                </a:r>
              </a:p>
            </c:rich>
          </c:tx>
          <c:layout>
            <c:manualLayout>
              <c:xMode val="edge"/>
              <c:yMode val="edge"/>
              <c:x val="1.9410476248427053E-2"/>
              <c:y val="0.346147415950799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9088"/>
        <c:crosses val="autoZero"/>
        <c:crossBetween val="between"/>
      </c:valAx>
      <c:spPr>
        <a:noFill/>
        <a:ln>
          <a:noFill/>
        </a:ln>
        <a:effectLst/>
      </c:spPr>
    </c:plotArea>
    <c:legend>
      <c:legendPos val="b"/>
      <c:layout>
        <c:manualLayout>
          <c:xMode val="edge"/>
          <c:yMode val="edge"/>
          <c:x val="0.70330081678556944"/>
          <c:y val="8.7840645520449095E-2"/>
          <c:w val="0.23334122120559392"/>
          <c:h val="0.44556358864232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69619422572175E-2"/>
          <c:y val="3.6666666666666667E-2"/>
          <c:w val="0.88518454724409446"/>
          <c:h val="0.83223884514435698"/>
        </c:manualLayout>
      </c:layout>
      <c:lineChart>
        <c:grouping val="standard"/>
        <c:varyColors val="0"/>
        <c:ser>
          <c:idx val="0"/>
          <c:order val="0"/>
          <c:tx>
            <c:strRef>
              <c:f>'BEV time series'!$C$3</c:f>
              <c:strCache>
                <c:ptCount val="1"/>
                <c:pt idx="0">
                  <c:v> top 1/3 Range</c:v>
                </c:pt>
              </c:strCache>
            </c:strRef>
          </c:tx>
          <c:spPr>
            <a:ln w="50800" cap="rnd">
              <a:solidFill>
                <a:schemeClr val="tx1"/>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series'!$C$4:$C$16</c:f>
              <c:numCache>
                <c:formatCode>0</c:formatCode>
                <c:ptCount val="13"/>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numCache>
            </c:numRef>
          </c:val>
          <c:smooth val="0"/>
          <c:extLst>
            <c:ext xmlns:c16="http://schemas.microsoft.com/office/drawing/2014/chart" uri="{C3380CC4-5D6E-409C-BE32-E72D297353CC}">
              <c16:uniqueId val="{00000000-3ACE-48C7-8A5D-920241761C18}"/>
            </c:ext>
          </c:extLst>
        </c:ser>
        <c:ser>
          <c:idx val="1"/>
          <c:order val="1"/>
          <c:tx>
            <c:strRef>
              <c:f>'BEV time series'!$D$3</c:f>
              <c:strCache>
                <c:ptCount val="1"/>
                <c:pt idx="0">
                  <c:v> smth'd Range</c:v>
                </c:pt>
              </c:strCache>
            </c:strRef>
          </c:tx>
          <c:spPr>
            <a:ln w="28575" cap="rnd">
              <a:solidFill>
                <a:schemeClr val="accent2"/>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series'!$D$4:$D$25</c:f>
              <c:numCache>
                <c:formatCode>0</c:formatCode>
                <c:ptCount val="22"/>
                <c:pt idx="0">
                  <c:v>110</c:v>
                </c:pt>
                <c:pt idx="1">
                  <c:v>110</c:v>
                </c:pt>
                <c:pt idx="2">
                  <c:v>120</c:v>
                </c:pt>
                <c:pt idx="3">
                  <c:v>145</c:v>
                </c:pt>
                <c:pt idx="4">
                  <c:v>170</c:v>
                </c:pt>
                <c:pt idx="5">
                  <c:v>210</c:v>
                </c:pt>
                <c:pt idx="6">
                  <c:v>250</c:v>
                </c:pt>
                <c:pt idx="7">
                  <c:v>297.77777777777777</c:v>
                </c:pt>
                <c:pt idx="8">
                  <c:v>345.55555555555554</c:v>
                </c:pt>
                <c:pt idx="9">
                  <c:v>393.33333333333331</c:v>
                </c:pt>
                <c:pt idx="10">
                  <c:v>470.55555555555554</c:v>
                </c:pt>
                <c:pt idx="11">
                  <c:v>547.77777777777783</c:v>
                </c:pt>
                <c:pt idx="12">
                  <c:v>625</c:v>
                </c:pt>
                <c:pt idx="13">
                  <c:v>703.27855980540699</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1-3ACE-48C7-8A5D-920241761C18}"/>
            </c:ext>
          </c:extLst>
        </c:ser>
        <c:ser>
          <c:idx val="3"/>
          <c:order val="2"/>
          <c:tx>
            <c:strRef>
              <c:f>'BEV time series'!$AA$3</c:f>
              <c:strCache>
                <c:ptCount val="1"/>
                <c:pt idx="0">
                  <c:v>Median Range</c:v>
                </c:pt>
              </c:strCache>
            </c:strRef>
          </c:tx>
          <c:spPr>
            <a:ln w="31750" cap="rnd">
              <a:solidFill>
                <a:schemeClr val="tx1"/>
              </a:solidFill>
              <a:round/>
            </a:ln>
            <a:effectLst/>
          </c:spPr>
          <c:marker>
            <c:symbol val="none"/>
          </c:marker>
          <c:val>
            <c:numRef>
              <c:f>'BEV time series'!$AA$4:$AA$16</c:f>
              <c:numCache>
                <c:formatCode>0</c:formatCode>
                <c:ptCount val="13"/>
                <c:pt idx="0">
                  <c:v>110</c:v>
                </c:pt>
                <c:pt idx="1">
                  <c:v>110</c:v>
                </c:pt>
                <c:pt idx="2">
                  <c:v>110</c:v>
                </c:pt>
                <c:pt idx="3">
                  <c:v>120</c:v>
                </c:pt>
                <c:pt idx="4">
                  <c:v>137.5</c:v>
                </c:pt>
                <c:pt idx="5">
                  <c:v>140</c:v>
                </c:pt>
                <c:pt idx="6">
                  <c:v>152.5</c:v>
                </c:pt>
                <c:pt idx="7">
                  <c:v>165</c:v>
                </c:pt>
                <c:pt idx="8">
                  <c:v>160</c:v>
                </c:pt>
                <c:pt idx="9">
                  <c:v>240</c:v>
                </c:pt>
                <c:pt idx="10">
                  <c:v>352.5</c:v>
                </c:pt>
                <c:pt idx="11">
                  <c:v>446.25</c:v>
                </c:pt>
                <c:pt idx="12">
                  <c:v>540</c:v>
                </c:pt>
              </c:numCache>
            </c:numRef>
          </c:val>
          <c:smooth val="0"/>
          <c:extLst>
            <c:ext xmlns:c16="http://schemas.microsoft.com/office/drawing/2014/chart" uri="{C3380CC4-5D6E-409C-BE32-E72D297353CC}">
              <c16:uniqueId val="{00000000-9CFC-4371-88D2-225C77C6A0B8}"/>
            </c:ext>
          </c:extLst>
        </c:ser>
        <c:ser>
          <c:idx val="2"/>
          <c:order val="3"/>
          <c:tx>
            <c:v>smth'd median range</c:v>
          </c:tx>
          <c:spPr>
            <a:ln w="28575" cap="rnd">
              <a:solidFill>
                <a:schemeClr val="accent3"/>
              </a:solidFill>
              <a:round/>
            </a:ln>
            <a:effectLst/>
          </c:spPr>
          <c:marker>
            <c:symbol val="none"/>
          </c:marker>
          <c:val>
            <c:numRef>
              <c:f>'BEV time series'!$AB$4:$AB$25</c:f>
              <c:numCache>
                <c:formatCode>0</c:formatCode>
                <c:ptCount val="22"/>
                <c:pt idx="0">
                  <c:v>110</c:v>
                </c:pt>
                <c:pt idx="1">
                  <c:v>110</c:v>
                </c:pt>
                <c:pt idx="2">
                  <c:v>110</c:v>
                </c:pt>
                <c:pt idx="3">
                  <c:v>110</c:v>
                </c:pt>
                <c:pt idx="4">
                  <c:v>135</c:v>
                </c:pt>
                <c:pt idx="5">
                  <c:v>140</c:v>
                </c:pt>
                <c:pt idx="6">
                  <c:v>145</c:v>
                </c:pt>
                <c:pt idx="7">
                  <c:v>145</c:v>
                </c:pt>
                <c:pt idx="8">
                  <c:v>160</c:v>
                </c:pt>
                <c:pt idx="9">
                  <c:v>220</c:v>
                </c:pt>
                <c:pt idx="10">
                  <c:v>350</c:v>
                </c:pt>
                <c:pt idx="11">
                  <c:v>440</c:v>
                </c:pt>
                <c:pt idx="12">
                  <c:v>530</c:v>
                </c:pt>
                <c:pt idx="13">
                  <c:v>607.63267567187165</c:v>
                </c:pt>
                <c:pt idx="14">
                  <c:v>648</c:v>
                </c:pt>
                <c:pt idx="15">
                  <c:v>648</c:v>
                </c:pt>
                <c:pt idx="16">
                  <c:v>648</c:v>
                </c:pt>
                <c:pt idx="17">
                  <c:v>648</c:v>
                </c:pt>
                <c:pt idx="18">
                  <c:v>648</c:v>
                </c:pt>
                <c:pt idx="19">
                  <c:v>648</c:v>
                </c:pt>
                <c:pt idx="20">
                  <c:v>648</c:v>
                </c:pt>
                <c:pt idx="21">
                  <c:v>648</c:v>
                </c:pt>
              </c:numCache>
            </c:numRef>
          </c:val>
          <c:smooth val="0"/>
          <c:extLst>
            <c:ext xmlns:c16="http://schemas.microsoft.com/office/drawing/2014/chart" uri="{C3380CC4-5D6E-409C-BE32-E72D297353CC}">
              <c16:uniqueId val="{00000002-3ACE-48C7-8A5D-920241761C18}"/>
            </c:ext>
          </c:extLst>
        </c:ser>
        <c:dLbls>
          <c:showLegendKey val="0"/>
          <c:showVal val="0"/>
          <c:showCatName val="0"/>
          <c:showSerName val="0"/>
          <c:showPercent val="0"/>
          <c:showBubbleSize val="0"/>
        </c:dLbls>
        <c:smooth val="0"/>
        <c:axId val="587472024"/>
        <c:axId val="587472680"/>
      </c:lineChart>
      <c:catAx>
        <c:axId val="58747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680"/>
        <c:crosses val="autoZero"/>
        <c:auto val="1"/>
        <c:lblAlgn val="ctr"/>
        <c:lblOffset val="100"/>
        <c:noMultiLvlLbl val="0"/>
      </c:catAx>
      <c:valAx>
        <c:axId val="58747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72024"/>
        <c:crosses val="autoZero"/>
        <c:crossBetween val="between"/>
        <c:majorUnit val="100"/>
      </c:valAx>
      <c:spPr>
        <a:noFill/>
        <a:ln>
          <a:noFill/>
        </a:ln>
        <a:effectLst/>
      </c:spPr>
    </c:plotArea>
    <c:legend>
      <c:legendPos val="b"/>
      <c:layout>
        <c:manualLayout>
          <c:xMode val="edge"/>
          <c:yMode val="edge"/>
          <c:x val="7.9594441871236613E-2"/>
          <c:y val="4.0416272965879234E-2"/>
          <c:w val="0.25520226377952754"/>
          <c:h val="0.407609090669686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79477617381160692"/>
        </c:manualLayout>
      </c:layout>
      <c:lineChart>
        <c:grouping val="standard"/>
        <c:varyColors val="0"/>
        <c:ser>
          <c:idx val="0"/>
          <c:order val="0"/>
          <c:tx>
            <c:strRef>
              <c:f>'BEV time series'!$F$3</c:f>
              <c:strCache>
                <c:ptCount val="1"/>
                <c:pt idx="0">
                  <c:v>  top 1/3 kWh</c:v>
                </c:pt>
              </c:strCache>
            </c:strRef>
          </c:tx>
          <c:spPr>
            <a:ln w="47625" cap="rnd">
              <a:solidFill>
                <a:schemeClr val="tx1"/>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series'!$F$4:$F$16</c:f>
              <c:numCache>
                <c:formatCode>0</c:formatCode>
                <c:ptCount val="13"/>
                <c:pt idx="0">
                  <c:v>18</c:v>
                </c:pt>
                <c:pt idx="1">
                  <c:v>15</c:v>
                </c:pt>
                <c:pt idx="2">
                  <c:v>24</c:v>
                </c:pt>
                <c:pt idx="3">
                  <c:v>30</c:v>
                </c:pt>
                <c:pt idx="4">
                  <c:v>22</c:v>
                </c:pt>
                <c:pt idx="5">
                  <c:v>42</c:v>
                </c:pt>
                <c:pt idx="6">
                  <c:v>30</c:v>
                </c:pt>
                <c:pt idx="7">
                  <c:v>50.5</c:v>
                </c:pt>
                <c:pt idx="8">
                  <c:v>47.25</c:v>
                </c:pt>
                <c:pt idx="9">
                  <c:v>68</c:v>
                </c:pt>
                <c:pt idx="10">
                  <c:v>100</c:v>
                </c:pt>
                <c:pt idx="11">
                  <c:v>111.25</c:v>
                </c:pt>
                <c:pt idx="12">
                  <c:v>122.5</c:v>
                </c:pt>
              </c:numCache>
            </c:numRef>
          </c:val>
          <c:smooth val="0"/>
          <c:extLst>
            <c:ext xmlns:c16="http://schemas.microsoft.com/office/drawing/2014/chart" uri="{C3380CC4-5D6E-409C-BE32-E72D297353CC}">
              <c16:uniqueId val="{00000000-CF98-4400-8711-99A04E8BE5F9}"/>
            </c:ext>
          </c:extLst>
        </c:ser>
        <c:ser>
          <c:idx val="1"/>
          <c:order val="1"/>
          <c:tx>
            <c:strRef>
              <c:f>'BEV time series'!$G$3</c:f>
              <c:strCache>
                <c:ptCount val="1"/>
                <c:pt idx="0">
                  <c:v>  predicted</c:v>
                </c:pt>
              </c:strCache>
            </c:strRef>
          </c:tx>
          <c:spPr>
            <a:ln w="28575" cap="rnd">
              <a:solidFill>
                <a:schemeClr val="accent2"/>
              </a:solidFill>
              <a:round/>
            </a:ln>
            <a:effectLst/>
          </c:spPr>
          <c:marker>
            <c:symbol val="none"/>
          </c:marker>
          <c:cat>
            <c:numRef>
              <c:f>'BEV time series'!$A$4:$A$25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series'!$G$4:$G$25</c:f>
              <c:numCache>
                <c:formatCode>0</c:formatCode>
                <c:ptCount val="22"/>
                <c:pt idx="0">
                  <c:v>16.581641932700208</c:v>
                </c:pt>
                <c:pt idx="1">
                  <c:v>16.581641932700208</c:v>
                </c:pt>
                <c:pt idx="2">
                  <c:v>18.089063926582043</c:v>
                </c:pt>
                <c:pt idx="3">
                  <c:v>21.857618911286636</c:v>
                </c:pt>
                <c:pt idx="4">
                  <c:v>25.626173895991229</c:v>
                </c:pt>
                <c:pt idx="5">
                  <c:v>31.655861871518578</c:v>
                </c:pt>
                <c:pt idx="6">
                  <c:v>37.685549847045927</c:v>
                </c:pt>
                <c:pt idx="7">
                  <c:v>48.836970011281245</c:v>
                </c:pt>
                <c:pt idx="8">
                  <c:v>59.988390175516578</c:v>
                </c:pt>
                <c:pt idx="9">
                  <c:v>71.139810339751904</c:v>
                </c:pt>
                <c:pt idx="10">
                  <c:v>89.163617349388076</c:v>
                </c:pt>
                <c:pt idx="11">
                  <c:v>107.18742435902425</c:v>
                </c:pt>
                <c:pt idx="12">
                  <c:v>125.21123136866039</c:v>
                </c:pt>
                <c:pt idx="13">
                  <c:v>143.48158948999028</c:v>
                </c:pt>
                <c:pt idx="14">
                  <c:v>154.3864585425319</c:v>
                </c:pt>
                <c:pt idx="15">
                  <c:v>154.3864585425319</c:v>
                </c:pt>
                <c:pt idx="16">
                  <c:v>154.3864585425319</c:v>
                </c:pt>
                <c:pt idx="17">
                  <c:v>154.3864585425319</c:v>
                </c:pt>
                <c:pt idx="18">
                  <c:v>154.3864585425319</c:v>
                </c:pt>
                <c:pt idx="19">
                  <c:v>154.3864585425319</c:v>
                </c:pt>
                <c:pt idx="20">
                  <c:v>154.3864585425319</c:v>
                </c:pt>
                <c:pt idx="21">
                  <c:v>154.3864585425319</c:v>
                </c:pt>
              </c:numCache>
            </c:numRef>
          </c:val>
          <c:smooth val="0"/>
          <c:extLst>
            <c:ext xmlns:c16="http://schemas.microsoft.com/office/drawing/2014/chart" uri="{C3380CC4-5D6E-409C-BE32-E72D297353CC}">
              <c16:uniqueId val="{00000001-CF98-4400-8711-99A04E8BE5F9}"/>
            </c:ext>
          </c:extLst>
        </c:ser>
        <c:dLbls>
          <c:showLegendKey val="0"/>
          <c:showVal val="0"/>
          <c:showCatName val="0"/>
          <c:showSerName val="0"/>
          <c:showPercent val="0"/>
          <c:showBubbleSize val="0"/>
        </c:dLbls>
        <c:smooth val="0"/>
        <c:axId val="433534200"/>
        <c:axId val="433534528"/>
      </c:lineChart>
      <c:catAx>
        <c:axId val="43353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534528"/>
        <c:crosses val="autoZero"/>
        <c:auto val="1"/>
        <c:lblAlgn val="ctr"/>
        <c:lblOffset val="100"/>
        <c:noMultiLvlLbl val="0"/>
      </c:catAx>
      <c:valAx>
        <c:axId val="43353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534200"/>
        <c:crosses val="autoZero"/>
        <c:crossBetween val="between"/>
      </c:valAx>
      <c:spPr>
        <a:noFill/>
        <a:ln>
          <a:noFill/>
        </a:ln>
        <a:effectLst/>
      </c:spPr>
    </c:plotArea>
    <c:legend>
      <c:legendPos val="b"/>
      <c:layout>
        <c:manualLayout>
          <c:xMode val="edge"/>
          <c:yMode val="edge"/>
          <c:x val="0.13214845247742987"/>
          <c:y val="5.830384671222124E-2"/>
          <c:w val="0.21211697149643483"/>
          <c:h val="0.18055623906554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'BEV time series'!$N$3</c:f>
              <c:strCache>
                <c:ptCount val="1"/>
                <c:pt idx="0">
                  <c:v>fraction large</c:v>
                </c:pt>
              </c:strCache>
            </c:strRef>
          </c:tx>
          <c:spPr>
            <a:ln w="28575" cap="rnd">
              <a:solidFill>
                <a:schemeClr val="accent1"/>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series'!$N$4:$N$25</c:f>
              <c:numCache>
                <c:formatCode>0.00</c:formatCode>
                <c:ptCount val="22"/>
                <c:pt idx="0">
                  <c:v>0</c:v>
                </c:pt>
                <c:pt idx="1">
                  <c:v>0</c:v>
                </c:pt>
                <c:pt idx="2">
                  <c:v>0</c:v>
                </c:pt>
                <c:pt idx="3">
                  <c:v>0.1</c:v>
                </c:pt>
                <c:pt idx="4">
                  <c:v>0.11666666666666667</c:v>
                </c:pt>
                <c:pt idx="5">
                  <c:v>0.13333333333333333</c:v>
                </c:pt>
                <c:pt idx="6">
                  <c:v>0.15</c:v>
                </c:pt>
                <c:pt idx="7">
                  <c:v>0.16666666666666666</c:v>
                </c:pt>
                <c:pt idx="8">
                  <c:v>0.18333333333333332</c:v>
                </c:pt>
                <c:pt idx="9">
                  <c:v>0.2</c:v>
                </c:pt>
                <c:pt idx="10">
                  <c:v>0.41666666666666663</c:v>
                </c:pt>
                <c:pt idx="11">
                  <c:v>0.6333333333333333</c:v>
                </c:pt>
                <c:pt idx="12">
                  <c:v>0.85</c:v>
                </c:pt>
                <c:pt idx="13">
                  <c:v>0.875</c:v>
                </c:pt>
                <c:pt idx="14">
                  <c:v>0.9</c:v>
                </c:pt>
                <c:pt idx="15">
                  <c:v>0.92500000000000004</c:v>
                </c:pt>
                <c:pt idx="16">
                  <c:v>0.95</c:v>
                </c:pt>
                <c:pt idx="17">
                  <c:v>0.95</c:v>
                </c:pt>
                <c:pt idx="18">
                  <c:v>0.95</c:v>
                </c:pt>
                <c:pt idx="19">
                  <c:v>0.95</c:v>
                </c:pt>
                <c:pt idx="20">
                  <c:v>0.95</c:v>
                </c:pt>
                <c:pt idx="21">
                  <c:v>0.95</c:v>
                </c:pt>
              </c:numCache>
            </c:numRef>
          </c:val>
          <c:smooth val="0"/>
          <c:extLst>
            <c:ext xmlns:c16="http://schemas.microsoft.com/office/drawing/2014/chart" uri="{C3380CC4-5D6E-409C-BE32-E72D297353CC}">
              <c16:uniqueId val="{00000000-CFB2-470B-984D-D3DA6D401F98}"/>
            </c:ext>
          </c:extLst>
        </c:ser>
        <c:dLbls>
          <c:showLegendKey val="0"/>
          <c:showVal val="0"/>
          <c:showCatName val="0"/>
          <c:showSerName val="0"/>
          <c:showPercent val="0"/>
          <c:showBubbleSize val="0"/>
        </c:dLbls>
        <c:smooth val="0"/>
        <c:axId val="812762304"/>
        <c:axId val="812767552"/>
      </c:lineChart>
      <c:catAx>
        <c:axId val="81276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767552"/>
        <c:crosses val="autoZero"/>
        <c:auto val="1"/>
        <c:lblAlgn val="ctr"/>
        <c:lblOffset val="100"/>
        <c:noMultiLvlLbl val="0"/>
      </c:catAx>
      <c:valAx>
        <c:axId val="812767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76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'BEV time series'!$L$3</c:f>
              <c:strCache>
                <c:ptCount val="1"/>
                <c:pt idx="0">
                  <c:v>small orders</c:v>
                </c:pt>
              </c:strCache>
            </c:strRef>
          </c:tx>
          <c:spPr>
            <a:ln w="28575" cap="rnd">
              <a:solidFill>
                <a:schemeClr val="accent1"/>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series'!$L$4:$L$25</c:f>
              <c:numCache>
                <c:formatCode>0</c:formatCode>
                <c:ptCount val="22"/>
                <c:pt idx="0">
                  <c:v>1300</c:v>
                </c:pt>
                <c:pt idx="1">
                  <c:v>1000</c:v>
                </c:pt>
                <c:pt idx="2">
                  <c:v>833.75</c:v>
                </c:pt>
                <c:pt idx="3">
                  <c:v>667.5</c:v>
                </c:pt>
                <c:pt idx="4">
                  <c:v>501.25</c:v>
                </c:pt>
                <c:pt idx="5">
                  <c:v>335</c:v>
                </c:pt>
                <c:pt idx="6">
                  <c:v>280</c:v>
                </c:pt>
                <c:pt idx="7">
                  <c:v>250</c:v>
                </c:pt>
                <c:pt idx="8">
                  <c:v>200</c:v>
                </c:pt>
                <c:pt idx="9">
                  <c:v>185</c:v>
                </c:pt>
                <c:pt idx="10">
                  <c:v>175</c:v>
                </c:pt>
                <c:pt idx="11">
                  <c:v>165</c:v>
                </c:pt>
                <c:pt idx="12">
                  <c:v>155</c:v>
                </c:pt>
                <c:pt idx="13">
                  <c:v>150</c:v>
                </c:pt>
                <c:pt idx="14">
                  <c:v>145</c:v>
                </c:pt>
                <c:pt idx="15">
                  <c:v>140</c:v>
                </c:pt>
                <c:pt idx="16">
                  <c:v>137</c:v>
                </c:pt>
                <c:pt idx="17">
                  <c:v>129</c:v>
                </c:pt>
                <c:pt idx="18">
                  <c:v>121</c:v>
                </c:pt>
                <c:pt idx="19">
                  <c:v>112</c:v>
                </c:pt>
                <c:pt idx="20">
                  <c:v>104</c:v>
                </c:pt>
                <c:pt idx="21">
                  <c:v>95</c:v>
                </c:pt>
              </c:numCache>
            </c:numRef>
          </c:val>
          <c:smooth val="0"/>
          <c:extLst>
            <c:ext xmlns:c16="http://schemas.microsoft.com/office/drawing/2014/chart" uri="{C3380CC4-5D6E-409C-BE32-E72D297353CC}">
              <c16:uniqueId val="{00000000-AC86-4E16-98F2-219686D309A2}"/>
            </c:ext>
          </c:extLst>
        </c:ser>
        <c:ser>
          <c:idx val="1"/>
          <c:order val="1"/>
          <c:tx>
            <c:strRef>
              <c:f>'BEV time series'!$M$3</c:f>
              <c:strCache>
                <c:ptCount val="1"/>
                <c:pt idx="0">
                  <c:v>large orders</c:v>
                </c:pt>
              </c:strCache>
            </c:strRef>
          </c:tx>
          <c:spPr>
            <a:ln w="28575" cap="rnd">
              <a:solidFill>
                <a:schemeClr val="accent2"/>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series'!$M$4:$M$25</c:f>
              <c:numCache>
                <c:formatCode>0</c:formatCode>
                <c:ptCount val="22"/>
                <c:pt idx="3">
                  <c:v>542</c:v>
                </c:pt>
                <c:pt idx="4">
                  <c:v>395.2797425093633</c:v>
                </c:pt>
                <c:pt idx="5">
                  <c:v>256.33898876404493</c:v>
                </c:pt>
                <c:pt idx="6">
                  <c:v>207.70232209737824</c:v>
                </c:pt>
                <c:pt idx="7">
                  <c:v>179.59925093632955</c:v>
                </c:pt>
                <c:pt idx="8">
                  <c:v>139</c:v>
                </c:pt>
                <c:pt idx="9">
                  <c:v>122.71666666666667</c:v>
                </c:pt>
                <c:pt idx="10">
                  <c:v>110.54166666666667</c:v>
                </c:pt>
                <c:pt idx="11">
                  <c:v>99</c:v>
                </c:pt>
                <c:pt idx="12">
                  <c:v>89.899999999999991</c:v>
                </c:pt>
                <c:pt idx="13">
                  <c:v>83.999999999999986</c:v>
                </c:pt>
                <c:pt idx="14">
                  <c:v>78.299999999999983</c:v>
                </c:pt>
                <c:pt idx="15">
                  <c:v>72.799999999999983</c:v>
                </c:pt>
                <c:pt idx="16">
                  <c:v>68.5</c:v>
                </c:pt>
                <c:pt idx="17">
                  <c:v>64.5</c:v>
                </c:pt>
                <c:pt idx="18">
                  <c:v>60.5</c:v>
                </c:pt>
                <c:pt idx="19">
                  <c:v>56</c:v>
                </c:pt>
                <c:pt idx="20">
                  <c:v>52</c:v>
                </c:pt>
                <c:pt idx="21">
                  <c:v>47.5</c:v>
                </c:pt>
              </c:numCache>
            </c:numRef>
          </c:val>
          <c:smooth val="0"/>
          <c:extLst>
            <c:ext xmlns:c16="http://schemas.microsoft.com/office/drawing/2014/chart" uri="{C3380CC4-5D6E-409C-BE32-E72D297353CC}">
              <c16:uniqueId val="{00000001-AC86-4E16-98F2-219686D309A2}"/>
            </c:ext>
          </c:extLst>
        </c:ser>
        <c:ser>
          <c:idx val="2"/>
          <c:order val="2"/>
          <c:tx>
            <c:strRef>
              <c:f>'BEV time series'!$O$3</c:f>
              <c:strCache>
                <c:ptCount val="1"/>
                <c:pt idx="0">
                  <c:v> weighted Cost/kWh</c:v>
                </c:pt>
              </c:strCache>
            </c:strRef>
          </c:tx>
          <c:spPr>
            <a:ln w="28575" cap="rnd">
              <a:solidFill>
                <a:schemeClr val="tx1"/>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series'!$O$4:$O$25</c:f>
              <c:numCache>
                <c:formatCode>0</c:formatCode>
                <c:ptCount val="22"/>
                <c:pt idx="0">
                  <c:v>1300</c:v>
                </c:pt>
                <c:pt idx="1">
                  <c:v>1000</c:v>
                </c:pt>
                <c:pt idx="2">
                  <c:v>833.75</c:v>
                </c:pt>
                <c:pt idx="3">
                  <c:v>654.95000000000005</c:v>
                </c:pt>
                <c:pt idx="4">
                  <c:v>488.88680329275905</c:v>
                </c:pt>
                <c:pt idx="5">
                  <c:v>324.51186516853937</c:v>
                </c:pt>
                <c:pt idx="6">
                  <c:v>269.15534831460673</c:v>
                </c:pt>
                <c:pt idx="7">
                  <c:v>238.26654182272159</c:v>
                </c:pt>
                <c:pt idx="8">
                  <c:v>188.81666666666666</c:v>
                </c:pt>
                <c:pt idx="9">
                  <c:v>172.54333333333335</c:v>
                </c:pt>
                <c:pt idx="10">
                  <c:v>148.14236111111111</c:v>
                </c:pt>
                <c:pt idx="11">
                  <c:v>123.2</c:v>
                </c:pt>
                <c:pt idx="12">
                  <c:v>99.664999999999992</c:v>
                </c:pt>
                <c:pt idx="13">
                  <c:v>92.249999999999986</c:v>
                </c:pt>
                <c:pt idx="14">
                  <c:v>84.969999999999985</c:v>
                </c:pt>
                <c:pt idx="15">
                  <c:v>77.839999999999975</c:v>
                </c:pt>
                <c:pt idx="16">
                  <c:v>71.925000000000011</c:v>
                </c:pt>
                <c:pt idx="17">
                  <c:v>67.725000000000009</c:v>
                </c:pt>
                <c:pt idx="18">
                  <c:v>63.524999999999999</c:v>
                </c:pt>
                <c:pt idx="19">
                  <c:v>58.8</c:v>
                </c:pt>
                <c:pt idx="20">
                  <c:v>54.6</c:v>
                </c:pt>
                <c:pt idx="21">
                  <c:v>49.875000000000007</c:v>
                </c:pt>
              </c:numCache>
            </c:numRef>
          </c:val>
          <c:smooth val="0"/>
          <c:extLst>
            <c:ext xmlns:c16="http://schemas.microsoft.com/office/drawing/2014/chart" uri="{C3380CC4-5D6E-409C-BE32-E72D297353CC}">
              <c16:uniqueId val="{00000002-AC86-4E16-98F2-219686D309A2}"/>
            </c:ext>
          </c:extLst>
        </c:ser>
        <c:dLbls>
          <c:showLegendKey val="0"/>
          <c:showVal val="0"/>
          <c:showCatName val="0"/>
          <c:showSerName val="0"/>
          <c:showPercent val="0"/>
          <c:showBubbleSize val="0"/>
        </c:dLbls>
        <c:smooth val="0"/>
        <c:axId val="593922064"/>
        <c:axId val="593924032"/>
      </c:lineChart>
      <c:catAx>
        <c:axId val="5939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924032"/>
        <c:crosses val="autoZero"/>
        <c:auto val="1"/>
        <c:lblAlgn val="ctr"/>
        <c:lblOffset val="100"/>
        <c:noMultiLvlLbl val="0"/>
      </c:catAx>
      <c:valAx>
        <c:axId val="59392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922064"/>
        <c:crosses val="autoZero"/>
        <c:crossBetween val="between"/>
      </c:valAx>
      <c:spPr>
        <a:noFill/>
        <a:ln>
          <a:noFill/>
        </a:ln>
        <a:effectLst/>
      </c:spPr>
    </c:plotArea>
    <c:legend>
      <c:legendPos val="b"/>
      <c:layout>
        <c:manualLayout>
          <c:xMode val="edge"/>
          <c:yMode val="edge"/>
          <c:x val="0.68142152474560169"/>
          <c:y val="4.1663963346517639E-2"/>
          <c:w val="0.28216836874509021"/>
          <c:h val="0.28417714276951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11002495000522E-2"/>
          <c:y val="5.0925925925925923E-2"/>
          <c:w val="0.82809658765289507"/>
          <c:h val="0.78088728492271797"/>
        </c:manualLayout>
      </c:layout>
      <c:lineChart>
        <c:grouping val="standard"/>
        <c:varyColors val="0"/>
        <c:ser>
          <c:idx val="1"/>
          <c:order val="1"/>
          <c:tx>
            <c:strRef>
              <c:f>'BEV time series'!$P$3</c:f>
              <c:strCache>
                <c:ptCount val="1"/>
                <c:pt idx="0">
                  <c:v>kWh </c:v>
                </c:pt>
              </c:strCache>
            </c:strRef>
          </c:tx>
          <c:spPr>
            <a:ln w="28575" cap="rnd">
              <a:solidFill>
                <a:schemeClr val="accent2"/>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series'!$P$4:$P$25</c:f>
              <c:numCache>
                <c:formatCode>0</c:formatCode>
                <c:ptCount val="22"/>
                <c:pt idx="0">
                  <c:v>16.581641932700208</c:v>
                </c:pt>
                <c:pt idx="1">
                  <c:v>16.581641932700208</c:v>
                </c:pt>
                <c:pt idx="2">
                  <c:v>18.089063926582043</c:v>
                </c:pt>
                <c:pt idx="3">
                  <c:v>21.857618911286636</c:v>
                </c:pt>
                <c:pt idx="4">
                  <c:v>25.626173895991229</c:v>
                </c:pt>
                <c:pt idx="5">
                  <c:v>31.655861871518578</c:v>
                </c:pt>
                <c:pt idx="6">
                  <c:v>37.685549847045927</c:v>
                </c:pt>
                <c:pt idx="7">
                  <c:v>48.836970011281245</c:v>
                </c:pt>
                <c:pt idx="8">
                  <c:v>59.988390175516578</c:v>
                </c:pt>
                <c:pt idx="9">
                  <c:v>71.139810339751904</c:v>
                </c:pt>
                <c:pt idx="10">
                  <c:v>89.163617349388076</c:v>
                </c:pt>
                <c:pt idx="11">
                  <c:v>107.18742435902425</c:v>
                </c:pt>
                <c:pt idx="12">
                  <c:v>125.21123136866039</c:v>
                </c:pt>
                <c:pt idx="13">
                  <c:v>143.48158948999028</c:v>
                </c:pt>
                <c:pt idx="14">
                  <c:v>154.3864585425319</c:v>
                </c:pt>
                <c:pt idx="15">
                  <c:v>154.3864585425319</c:v>
                </c:pt>
                <c:pt idx="16">
                  <c:v>154.3864585425319</c:v>
                </c:pt>
                <c:pt idx="17">
                  <c:v>154.3864585425319</c:v>
                </c:pt>
                <c:pt idx="18">
                  <c:v>154.3864585425319</c:v>
                </c:pt>
                <c:pt idx="19">
                  <c:v>154.3864585425319</c:v>
                </c:pt>
                <c:pt idx="20">
                  <c:v>154.3864585425319</c:v>
                </c:pt>
                <c:pt idx="21">
                  <c:v>154.3864585425319</c:v>
                </c:pt>
              </c:numCache>
            </c:numRef>
          </c:val>
          <c:smooth val="0"/>
          <c:extLst>
            <c:ext xmlns:c16="http://schemas.microsoft.com/office/drawing/2014/chart" uri="{C3380CC4-5D6E-409C-BE32-E72D297353CC}">
              <c16:uniqueId val="{00000001-0C3D-4BCB-8F2F-BB53A7776595}"/>
            </c:ext>
          </c:extLst>
        </c:ser>
        <c:ser>
          <c:idx val="0"/>
          <c:order val="2"/>
          <c:tx>
            <c:strRef>
              <c:f>'BEV time series'!$O$3</c:f>
              <c:strCache>
                <c:ptCount val="1"/>
                <c:pt idx="0">
                  <c:v> weighted Cost/kWh</c:v>
                </c:pt>
              </c:strCache>
            </c:strRef>
          </c:tx>
          <c:spPr>
            <a:ln w="28575" cap="rnd">
              <a:solidFill>
                <a:schemeClr val="accent1"/>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series'!$O$4:$O$25</c:f>
              <c:numCache>
                <c:formatCode>0</c:formatCode>
                <c:ptCount val="22"/>
                <c:pt idx="0">
                  <c:v>1300</c:v>
                </c:pt>
                <c:pt idx="1">
                  <c:v>1000</c:v>
                </c:pt>
                <c:pt idx="2">
                  <c:v>833.75</c:v>
                </c:pt>
                <c:pt idx="3">
                  <c:v>654.95000000000005</c:v>
                </c:pt>
                <c:pt idx="4">
                  <c:v>488.88680329275905</c:v>
                </c:pt>
                <c:pt idx="5">
                  <c:v>324.51186516853937</c:v>
                </c:pt>
                <c:pt idx="6">
                  <c:v>269.15534831460673</c:v>
                </c:pt>
                <c:pt idx="7">
                  <c:v>238.26654182272159</c:v>
                </c:pt>
                <c:pt idx="8">
                  <c:v>188.81666666666666</c:v>
                </c:pt>
                <c:pt idx="9">
                  <c:v>172.54333333333335</c:v>
                </c:pt>
                <c:pt idx="10">
                  <c:v>148.14236111111111</c:v>
                </c:pt>
                <c:pt idx="11">
                  <c:v>123.2</c:v>
                </c:pt>
                <c:pt idx="12">
                  <c:v>99.664999999999992</c:v>
                </c:pt>
                <c:pt idx="13">
                  <c:v>92.249999999999986</c:v>
                </c:pt>
                <c:pt idx="14">
                  <c:v>84.969999999999985</c:v>
                </c:pt>
                <c:pt idx="15">
                  <c:v>77.839999999999975</c:v>
                </c:pt>
                <c:pt idx="16">
                  <c:v>71.925000000000011</c:v>
                </c:pt>
                <c:pt idx="17">
                  <c:v>67.725000000000009</c:v>
                </c:pt>
                <c:pt idx="18">
                  <c:v>63.524999999999999</c:v>
                </c:pt>
                <c:pt idx="19">
                  <c:v>58.8</c:v>
                </c:pt>
                <c:pt idx="20">
                  <c:v>54.6</c:v>
                </c:pt>
                <c:pt idx="21">
                  <c:v>49.875000000000007</c:v>
                </c:pt>
              </c:numCache>
            </c:numRef>
          </c:val>
          <c:smooth val="0"/>
          <c:extLst>
            <c:ext xmlns:c16="http://schemas.microsoft.com/office/drawing/2014/chart" uri="{C3380CC4-5D6E-409C-BE32-E72D297353CC}">
              <c16:uniqueId val="{00000000-0C3D-4BCB-8F2F-BB53A7776595}"/>
            </c:ext>
          </c:extLst>
        </c:ser>
        <c:dLbls>
          <c:showLegendKey val="0"/>
          <c:showVal val="0"/>
          <c:showCatName val="0"/>
          <c:showSerName val="0"/>
          <c:showPercent val="0"/>
          <c:showBubbleSize val="0"/>
        </c:dLbls>
        <c:marker val="1"/>
        <c:smooth val="0"/>
        <c:axId val="838496264"/>
        <c:axId val="838489048"/>
      </c:lineChart>
      <c:lineChart>
        <c:grouping val="standard"/>
        <c:varyColors val="0"/>
        <c:ser>
          <c:idx val="2"/>
          <c:order val="0"/>
          <c:tx>
            <c:strRef>
              <c:f>'BEV time series'!$Q$3</c:f>
              <c:strCache>
                <c:ptCount val="1"/>
                <c:pt idx="0">
                  <c:v>battery pack cost</c:v>
                </c:pt>
              </c:strCache>
            </c:strRef>
          </c:tx>
          <c:spPr>
            <a:ln w="28575" cap="rnd">
              <a:solidFill>
                <a:schemeClr val="tx1"/>
              </a:solidFill>
              <a:round/>
            </a:ln>
            <a:effectLst/>
          </c:spPr>
          <c:marker>
            <c:symbol val="none"/>
          </c:marker>
          <c:cat>
            <c:numRef>
              <c:f>'BEV time series'!$K$4:$K$25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'BEV time series'!$Q$4:$Q$25</c:f>
              <c:numCache>
                <c:formatCode>0</c:formatCode>
                <c:ptCount val="22"/>
                <c:pt idx="0">
                  <c:v>21556.134512510271</c:v>
                </c:pt>
                <c:pt idx="1">
                  <c:v>16581.641932700208</c:v>
                </c:pt>
                <c:pt idx="2">
                  <c:v>15081.757048787778</c:v>
                </c:pt>
                <c:pt idx="3">
                  <c:v>14315.647505947183</c:v>
                </c:pt>
                <c:pt idx="4">
                  <c:v>12528.298236635501</c:v>
                </c:pt>
                <c:pt idx="5">
                  <c:v>10272.702779444144</c:v>
                </c:pt>
                <c:pt idx="6">
                  <c:v>10143.26729550912</c:v>
                </c:pt>
                <c:pt idx="7">
                  <c:v>11636.215957687942</c:v>
                </c:pt>
                <c:pt idx="8">
                  <c:v>11326.807871640454</c:v>
                </c:pt>
                <c:pt idx="9">
                  <c:v>12274.700008721928</c:v>
                </c:pt>
                <c:pt idx="10">
                  <c:v>13208.90879934598</c:v>
                </c:pt>
                <c:pt idx="11">
                  <c:v>13205.490681031788</c:v>
                </c:pt>
                <c:pt idx="12">
                  <c:v>12479.177374357538</c:v>
                </c:pt>
                <c:pt idx="13">
                  <c:v>13236.176630451602</c:v>
                </c:pt>
                <c:pt idx="14">
                  <c:v>13118.217382358933</c:v>
                </c:pt>
                <c:pt idx="15">
                  <c:v>12017.441932950678</c:v>
                </c:pt>
                <c:pt idx="16">
                  <c:v>11104.246030671609</c:v>
                </c:pt>
                <c:pt idx="17">
                  <c:v>10455.822904792974</c:v>
                </c:pt>
                <c:pt idx="18">
                  <c:v>9807.3997789143377</c:v>
                </c:pt>
                <c:pt idx="19">
                  <c:v>9077.9237623008758</c:v>
                </c:pt>
                <c:pt idx="20">
                  <c:v>8429.5006364222427</c:v>
                </c:pt>
                <c:pt idx="21">
                  <c:v>7700.0246198087798</c:v>
                </c:pt>
              </c:numCache>
            </c:numRef>
          </c:val>
          <c:smooth val="0"/>
          <c:extLst>
            <c:ext xmlns:c16="http://schemas.microsoft.com/office/drawing/2014/chart" uri="{C3380CC4-5D6E-409C-BE32-E72D297353CC}">
              <c16:uniqueId val="{00000002-0C3D-4BCB-8F2F-BB53A7776595}"/>
            </c:ext>
          </c:extLst>
        </c:ser>
        <c:dLbls>
          <c:showLegendKey val="0"/>
          <c:showVal val="0"/>
          <c:showCatName val="0"/>
          <c:showSerName val="0"/>
          <c:showPercent val="0"/>
          <c:showBubbleSize val="0"/>
        </c:dLbls>
        <c:marker val="1"/>
        <c:smooth val="0"/>
        <c:axId val="799870416"/>
        <c:axId val="799871072"/>
      </c:lineChart>
      <c:catAx>
        <c:axId val="838496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89048"/>
        <c:crosses val="autoZero"/>
        <c:auto val="1"/>
        <c:lblAlgn val="ctr"/>
        <c:lblOffset val="100"/>
        <c:noMultiLvlLbl val="0"/>
      </c:catAx>
      <c:valAx>
        <c:axId val="838489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96264"/>
        <c:crosses val="autoZero"/>
        <c:crossBetween val="between"/>
      </c:valAx>
      <c:valAx>
        <c:axId val="7998710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870416"/>
        <c:crosses val="max"/>
        <c:crossBetween val="between"/>
      </c:valAx>
      <c:catAx>
        <c:axId val="799870416"/>
        <c:scaling>
          <c:orientation val="minMax"/>
        </c:scaling>
        <c:delete val="1"/>
        <c:axPos val="b"/>
        <c:numFmt formatCode="General" sourceLinked="1"/>
        <c:majorTickMark val="out"/>
        <c:minorTickMark val="none"/>
        <c:tickLblPos val="nextTo"/>
        <c:crossAx val="799871072"/>
        <c:crosses val="autoZero"/>
        <c:auto val="1"/>
        <c:lblAlgn val="ctr"/>
        <c:lblOffset val="100"/>
        <c:noMultiLvlLbl val="0"/>
      </c:catAx>
      <c:spPr>
        <a:noFill/>
        <a:ln>
          <a:noFill/>
        </a:ln>
        <a:effectLst/>
      </c:spPr>
    </c:plotArea>
    <c:legend>
      <c:legendPos val="b"/>
      <c:layout>
        <c:manualLayout>
          <c:xMode val="edge"/>
          <c:yMode val="edge"/>
          <c:x val="0.63010847004746018"/>
          <c:y val="6.0367203977563094E-2"/>
          <c:w val="0.26226169625975715"/>
          <c:h val="0.321189812948159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08325977190071"/>
          <c:y val="4.1198501872659173E-2"/>
          <c:w val="0.87325306309805462"/>
          <c:h val="0.82744050252145451"/>
        </c:manualLayout>
      </c:layout>
      <c:lineChart>
        <c:grouping val="standard"/>
        <c:varyColors val="0"/>
        <c:ser>
          <c:idx val="0"/>
          <c:order val="0"/>
          <c:tx>
            <c:strRef>
              <c:f>'BEV time series'!$L$3</c:f>
              <c:strCache>
                <c:ptCount val="1"/>
                <c:pt idx="0">
                  <c:v>small orders</c:v>
                </c:pt>
              </c:strCache>
            </c:strRef>
          </c:tx>
          <c:spPr>
            <a:ln w="28575" cap="rnd">
              <a:solidFill>
                <a:schemeClr val="accent1"/>
              </a:solidFill>
              <a:round/>
            </a:ln>
            <a:effectLst/>
          </c:spPr>
          <c:marker>
            <c:symbol val="none"/>
          </c:marker>
          <c:cat>
            <c:numRef>
              <c:f>'BEV time series'!$K$12:$K$25</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'BEV time series'!$L$12:$L$25</c:f>
              <c:numCache>
                <c:formatCode>0</c:formatCode>
                <c:ptCount val="14"/>
                <c:pt idx="0">
                  <c:v>200</c:v>
                </c:pt>
                <c:pt idx="1">
                  <c:v>185</c:v>
                </c:pt>
                <c:pt idx="2">
                  <c:v>175</c:v>
                </c:pt>
                <c:pt idx="3">
                  <c:v>165</c:v>
                </c:pt>
                <c:pt idx="4">
                  <c:v>155</c:v>
                </c:pt>
                <c:pt idx="5">
                  <c:v>150</c:v>
                </c:pt>
                <c:pt idx="6">
                  <c:v>145</c:v>
                </c:pt>
                <c:pt idx="7">
                  <c:v>140</c:v>
                </c:pt>
                <c:pt idx="8">
                  <c:v>137</c:v>
                </c:pt>
                <c:pt idx="9">
                  <c:v>129</c:v>
                </c:pt>
                <c:pt idx="10">
                  <c:v>121</c:v>
                </c:pt>
                <c:pt idx="11">
                  <c:v>112</c:v>
                </c:pt>
                <c:pt idx="12">
                  <c:v>104</c:v>
                </c:pt>
                <c:pt idx="13">
                  <c:v>95</c:v>
                </c:pt>
              </c:numCache>
            </c:numRef>
          </c:val>
          <c:smooth val="0"/>
          <c:extLst>
            <c:ext xmlns:c16="http://schemas.microsoft.com/office/drawing/2014/chart" uri="{C3380CC4-5D6E-409C-BE32-E72D297353CC}">
              <c16:uniqueId val="{00000000-DF81-4EB9-B4D3-9B0F1F0B5B2F}"/>
            </c:ext>
          </c:extLst>
        </c:ser>
        <c:ser>
          <c:idx val="1"/>
          <c:order val="1"/>
          <c:tx>
            <c:strRef>
              <c:f>'BEV time series'!$M$3</c:f>
              <c:strCache>
                <c:ptCount val="1"/>
                <c:pt idx="0">
                  <c:v>large orders</c:v>
                </c:pt>
              </c:strCache>
            </c:strRef>
          </c:tx>
          <c:spPr>
            <a:ln w="28575" cap="rnd">
              <a:solidFill>
                <a:schemeClr val="accent2"/>
              </a:solidFill>
              <a:round/>
            </a:ln>
            <a:effectLst/>
          </c:spPr>
          <c:marker>
            <c:symbol val="none"/>
          </c:marker>
          <c:cat>
            <c:numRef>
              <c:f>'BEV time series'!$K$12:$K$25</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'BEV time series'!$M$12:$M$25</c:f>
              <c:numCache>
                <c:formatCode>0</c:formatCode>
                <c:ptCount val="14"/>
                <c:pt idx="0">
                  <c:v>139</c:v>
                </c:pt>
                <c:pt idx="1">
                  <c:v>122.71666666666667</c:v>
                </c:pt>
                <c:pt idx="2">
                  <c:v>110.54166666666667</c:v>
                </c:pt>
                <c:pt idx="3">
                  <c:v>99</c:v>
                </c:pt>
                <c:pt idx="4">
                  <c:v>89.899999999999991</c:v>
                </c:pt>
                <c:pt idx="5">
                  <c:v>83.999999999999986</c:v>
                </c:pt>
                <c:pt idx="6">
                  <c:v>78.299999999999983</c:v>
                </c:pt>
                <c:pt idx="7">
                  <c:v>72.799999999999983</c:v>
                </c:pt>
                <c:pt idx="8">
                  <c:v>68.5</c:v>
                </c:pt>
                <c:pt idx="9">
                  <c:v>64.5</c:v>
                </c:pt>
                <c:pt idx="10">
                  <c:v>60.5</c:v>
                </c:pt>
                <c:pt idx="11">
                  <c:v>56</c:v>
                </c:pt>
                <c:pt idx="12">
                  <c:v>52</c:v>
                </c:pt>
                <c:pt idx="13">
                  <c:v>47.5</c:v>
                </c:pt>
              </c:numCache>
            </c:numRef>
          </c:val>
          <c:smooth val="0"/>
          <c:extLst>
            <c:ext xmlns:c16="http://schemas.microsoft.com/office/drawing/2014/chart" uri="{C3380CC4-5D6E-409C-BE32-E72D297353CC}">
              <c16:uniqueId val="{00000001-DF81-4EB9-B4D3-9B0F1F0B5B2F}"/>
            </c:ext>
          </c:extLst>
        </c:ser>
        <c:ser>
          <c:idx val="2"/>
          <c:order val="2"/>
          <c:tx>
            <c:strRef>
              <c:f>'BEV time series'!$O$3</c:f>
              <c:strCache>
                <c:ptCount val="1"/>
                <c:pt idx="0">
                  <c:v> weighted Cost/kWh</c:v>
                </c:pt>
              </c:strCache>
            </c:strRef>
          </c:tx>
          <c:spPr>
            <a:ln w="38100" cap="rnd">
              <a:solidFill>
                <a:schemeClr val="tx1"/>
              </a:solidFill>
              <a:round/>
            </a:ln>
            <a:effectLst/>
          </c:spPr>
          <c:marker>
            <c:symbol val="none"/>
          </c:marker>
          <c:cat>
            <c:numRef>
              <c:f>'BEV time series'!$K$12:$K$25</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'BEV time series'!$O$12:$O$25</c:f>
              <c:numCache>
                <c:formatCode>0</c:formatCode>
                <c:ptCount val="14"/>
                <c:pt idx="0">
                  <c:v>188.81666666666666</c:v>
                </c:pt>
                <c:pt idx="1">
                  <c:v>172.54333333333335</c:v>
                </c:pt>
                <c:pt idx="2">
                  <c:v>148.14236111111111</c:v>
                </c:pt>
                <c:pt idx="3">
                  <c:v>123.2</c:v>
                </c:pt>
                <c:pt idx="4">
                  <c:v>99.664999999999992</c:v>
                </c:pt>
                <c:pt idx="5">
                  <c:v>92.249999999999986</c:v>
                </c:pt>
                <c:pt idx="6">
                  <c:v>84.969999999999985</c:v>
                </c:pt>
                <c:pt idx="7">
                  <c:v>77.839999999999975</c:v>
                </c:pt>
                <c:pt idx="8">
                  <c:v>71.925000000000011</c:v>
                </c:pt>
                <c:pt idx="9">
                  <c:v>67.725000000000009</c:v>
                </c:pt>
                <c:pt idx="10">
                  <c:v>63.524999999999999</c:v>
                </c:pt>
                <c:pt idx="11">
                  <c:v>58.8</c:v>
                </c:pt>
                <c:pt idx="12">
                  <c:v>54.6</c:v>
                </c:pt>
                <c:pt idx="13">
                  <c:v>49.875000000000007</c:v>
                </c:pt>
              </c:numCache>
            </c:numRef>
          </c:val>
          <c:smooth val="0"/>
          <c:extLst>
            <c:ext xmlns:c16="http://schemas.microsoft.com/office/drawing/2014/chart" uri="{C3380CC4-5D6E-409C-BE32-E72D297353CC}">
              <c16:uniqueId val="{00000002-DF81-4EB9-B4D3-9B0F1F0B5B2F}"/>
            </c:ext>
          </c:extLst>
        </c:ser>
        <c:dLbls>
          <c:showLegendKey val="0"/>
          <c:showVal val="0"/>
          <c:showCatName val="0"/>
          <c:showSerName val="0"/>
          <c:showPercent val="0"/>
          <c:showBubbleSize val="0"/>
        </c:dLbls>
        <c:smooth val="0"/>
        <c:axId val="593922064"/>
        <c:axId val="593924032"/>
      </c:lineChart>
      <c:catAx>
        <c:axId val="5939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924032"/>
        <c:crosses val="autoZero"/>
        <c:auto val="1"/>
        <c:lblAlgn val="ctr"/>
        <c:lblOffset val="100"/>
        <c:noMultiLvlLbl val="0"/>
      </c:catAx>
      <c:valAx>
        <c:axId val="59392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2017 US$/kWh</a:t>
                </a:r>
              </a:p>
            </c:rich>
          </c:tx>
          <c:layout>
            <c:manualLayout>
              <c:xMode val="edge"/>
              <c:yMode val="edge"/>
              <c:x val="4.0245754034108966E-3"/>
              <c:y val="0.3253773334512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922064"/>
        <c:crosses val="autoZero"/>
        <c:crossBetween val="between"/>
      </c:valAx>
      <c:spPr>
        <a:noFill/>
        <a:ln>
          <a:noFill/>
        </a:ln>
        <a:effectLst/>
      </c:spPr>
    </c:plotArea>
    <c:legend>
      <c:legendPos val="b"/>
      <c:layout>
        <c:manualLayout>
          <c:xMode val="edge"/>
          <c:yMode val="edge"/>
          <c:x val="0.71746354295399173"/>
          <c:y val="5.6133712452610049E-2"/>
          <c:w val="0.26255658345397409"/>
          <c:h val="0.23969447639269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'BEV time series'!$Q$3</c:f>
              <c:strCache>
                <c:ptCount val="1"/>
                <c:pt idx="0">
                  <c:v>battery pack cost</c:v>
                </c:pt>
              </c:strCache>
            </c:strRef>
          </c:tx>
          <c:spPr>
            <a:ln w="28575" cap="rnd">
              <a:solidFill>
                <a:schemeClr val="accent1"/>
              </a:solidFill>
              <a:round/>
            </a:ln>
            <a:effectLst/>
          </c:spPr>
          <c:marker>
            <c:symbol val="none"/>
          </c:marker>
          <c:cat>
            <c:numRef>
              <c:f>'BEV time series'!$K$4:$K$16</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'BEV time series'!$Q$4:$Q$16</c:f>
              <c:numCache>
                <c:formatCode>0</c:formatCode>
                <c:ptCount val="13"/>
                <c:pt idx="0">
                  <c:v>21556.134512510271</c:v>
                </c:pt>
                <c:pt idx="1">
                  <c:v>16581.641932700208</c:v>
                </c:pt>
                <c:pt idx="2">
                  <c:v>15081.757048787778</c:v>
                </c:pt>
                <c:pt idx="3">
                  <c:v>14315.647505947183</c:v>
                </c:pt>
                <c:pt idx="4">
                  <c:v>12528.298236635501</c:v>
                </c:pt>
                <c:pt idx="5">
                  <c:v>10272.702779444144</c:v>
                </c:pt>
                <c:pt idx="6">
                  <c:v>10143.26729550912</c:v>
                </c:pt>
                <c:pt idx="7">
                  <c:v>11636.215957687942</c:v>
                </c:pt>
                <c:pt idx="8">
                  <c:v>11326.807871640454</c:v>
                </c:pt>
                <c:pt idx="9">
                  <c:v>12274.700008721928</c:v>
                </c:pt>
                <c:pt idx="10">
                  <c:v>13208.90879934598</c:v>
                </c:pt>
                <c:pt idx="11">
                  <c:v>13205.490681031788</c:v>
                </c:pt>
                <c:pt idx="12">
                  <c:v>12479.177374357538</c:v>
                </c:pt>
              </c:numCache>
            </c:numRef>
          </c:val>
          <c:smooth val="0"/>
          <c:extLst>
            <c:ext xmlns:c16="http://schemas.microsoft.com/office/drawing/2014/chart" uri="{C3380CC4-5D6E-409C-BE32-E72D297353CC}">
              <c16:uniqueId val="{00000000-2375-4ABB-8C09-2E20933370CD}"/>
            </c:ext>
          </c:extLst>
        </c:ser>
        <c:ser>
          <c:idx val="1"/>
          <c:order val="1"/>
          <c:tx>
            <c:strRef>
              <c:f>'BEV time series'!$T$3</c:f>
              <c:strCache>
                <c:ptCount val="1"/>
                <c:pt idx="0">
                  <c:v>top 1/3 Cost 2017$</c:v>
                </c:pt>
              </c:strCache>
            </c:strRef>
          </c:tx>
          <c:spPr>
            <a:ln w="28575" cap="rnd">
              <a:solidFill>
                <a:schemeClr val="accent2"/>
              </a:solidFill>
              <a:round/>
            </a:ln>
            <a:effectLst/>
          </c:spPr>
          <c:marker>
            <c:symbol val="none"/>
          </c:marker>
          <c:cat>
            <c:numRef>
              <c:f>'BEV time series'!$K$4:$K$16</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'BEV time series'!$T$4:$T$16</c:f>
              <c:numCache>
                <c:formatCode>0</c:formatCode>
                <c:ptCount val="13"/>
                <c:pt idx="0">
                  <c:v>29592.57288696121</c:v>
                </c:pt>
                <c:pt idx="1">
                  <c:v>29592.57288696121</c:v>
                </c:pt>
                <c:pt idx="2">
                  <c:v>31480.731780282647</c:v>
                </c:pt>
                <c:pt idx="3">
                  <c:v>34883.963278792595</c:v>
                </c:pt>
                <c:pt idx="4">
                  <c:v>37500</c:v>
                </c:pt>
                <c:pt idx="5">
                  <c:v>41819.246327530593</c:v>
                </c:pt>
                <c:pt idx="6">
                  <c:v>42289.361955194807</c:v>
                </c:pt>
                <c:pt idx="7">
                  <c:v>37555</c:v>
                </c:pt>
                <c:pt idx="8">
                  <c:v>37416.25</c:v>
                </c:pt>
                <c:pt idx="9">
                  <c:v>39714.285714285717</c:v>
                </c:pt>
                <c:pt idx="10">
                  <c:v>40333.333333333336</c:v>
                </c:pt>
                <c:pt idx="11">
                  <c:v>39166.666666666672</c:v>
                </c:pt>
                <c:pt idx="12">
                  <c:v>38000</c:v>
                </c:pt>
              </c:numCache>
            </c:numRef>
          </c:val>
          <c:smooth val="0"/>
          <c:extLst>
            <c:ext xmlns:c16="http://schemas.microsoft.com/office/drawing/2014/chart" uri="{C3380CC4-5D6E-409C-BE32-E72D297353CC}">
              <c16:uniqueId val="{00000001-2375-4ABB-8C09-2E20933370CD}"/>
            </c:ext>
          </c:extLst>
        </c:ser>
        <c:dLbls>
          <c:showLegendKey val="0"/>
          <c:showVal val="0"/>
          <c:showCatName val="0"/>
          <c:showSerName val="0"/>
          <c:showPercent val="0"/>
          <c:showBubbleSize val="0"/>
        </c:dLbls>
        <c:smooth val="0"/>
        <c:axId val="617754944"/>
        <c:axId val="617749696"/>
      </c:lineChart>
      <c:catAx>
        <c:axId val="61775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749696"/>
        <c:crosses val="autoZero"/>
        <c:auto val="1"/>
        <c:lblAlgn val="ctr"/>
        <c:lblOffset val="100"/>
        <c:noMultiLvlLbl val="0"/>
      </c:catAx>
      <c:valAx>
        <c:axId val="6177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75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'Country Petrol Prices'!$B$71</c:f>
              <c:strCache>
                <c:ptCount val="1"/>
                <c:pt idx="0">
                  <c:v>Australia</c:v>
                </c:pt>
              </c:strCache>
            </c:strRef>
          </c:tx>
          <c:spPr>
            <a:ln w="28575" cap="rnd">
              <a:solidFill>
                <a:schemeClr val="accent1"/>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Prices'!$B$72:$B$89</c:f>
              <c:numCache>
                <c:formatCode>0.00</c:formatCode>
                <c:ptCount val="18"/>
                <c:pt idx="0">
                  <c:v>0.71706581231903288</c:v>
                </c:pt>
                <c:pt idx="1">
                  <c:v>0.62086243982739509</c:v>
                </c:pt>
                <c:pt idx="2">
                  <c:v>0.63309348160300616</c:v>
                </c:pt>
                <c:pt idx="3">
                  <c:v>0.77235550561655553</c:v>
                </c:pt>
                <c:pt idx="4">
                  <c:v>0.92422002512006196</c:v>
                </c:pt>
                <c:pt idx="5">
                  <c:v>1.0539088927816254</c:v>
                </c:pt>
                <c:pt idx="6">
                  <c:v>1.1331648826286855</c:v>
                </c:pt>
                <c:pt idx="7">
                  <c:v>1.224802976360948</c:v>
                </c:pt>
                <c:pt idx="8">
                  <c:v>1.3413415818825576</c:v>
                </c:pt>
                <c:pt idx="9">
                  <c:v>1.0617563963130383</c:v>
                </c:pt>
                <c:pt idx="10">
                  <c:v>1.2979420067869214</c:v>
                </c:pt>
                <c:pt idx="11">
                  <c:v>1.5933600659455225</c:v>
                </c:pt>
                <c:pt idx="12">
                  <c:v>1.5848079562476622</c:v>
                </c:pt>
                <c:pt idx="13">
                  <c:v>1.4702006698064385</c:v>
                </c:pt>
                <c:pt idx="14">
                  <c:v>1.3627440853301607</c:v>
                </c:pt>
                <c:pt idx="15">
                  <c:v>0.98453848442253189</c:v>
                </c:pt>
                <c:pt idx="16">
                  <c:v>0.88044494434141485</c:v>
                </c:pt>
                <c:pt idx="17">
                  <c:v>0.98467215336698788</c:v>
                </c:pt>
              </c:numCache>
            </c:numRef>
          </c:val>
          <c:smooth val="0"/>
          <c:extLst>
            <c:ext xmlns:c16="http://schemas.microsoft.com/office/drawing/2014/chart" uri="{C3380CC4-5D6E-409C-BE32-E72D297353CC}">
              <c16:uniqueId val="{00000000-DFA6-42ED-B20B-2B6E45052BEE}"/>
            </c:ext>
          </c:extLst>
        </c:ser>
        <c:ser>
          <c:idx val="1"/>
          <c:order val="1"/>
          <c:tx>
            <c:strRef>
              <c:f>'Country Petrol Prices'!$C$71</c:f>
              <c:strCache>
                <c:ptCount val="1"/>
                <c:pt idx="0">
                  <c:v>Austria</c:v>
                </c:pt>
              </c:strCache>
            </c:strRef>
          </c:tx>
          <c:spPr>
            <a:ln w="28575" cap="rnd">
              <a:solidFill>
                <a:schemeClr val="accent2"/>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Prices'!$C$72:$C$89</c:f>
              <c:numCache>
                <c:formatCode>0.00</c:formatCode>
                <c:ptCount val="18"/>
                <c:pt idx="0">
                  <c:v>1.2110675040869499</c:v>
                </c:pt>
                <c:pt idx="1">
                  <c:v>1.1017753734428211</c:v>
                </c:pt>
                <c:pt idx="2">
                  <c:v>1.0961414852533407</c:v>
                </c:pt>
                <c:pt idx="3">
                  <c:v>1.2913532466173059</c:v>
                </c:pt>
                <c:pt idx="4">
                  <c:v>1.4942957198927556</c:v>
                </c:pt>
                <c:pt idx="5">
                  <c:v>1.5797275129231403</c:v>
                </c:pt>
                <c:pt idx="6">
                  <c:v>1.6303679464666974</c:v>
                </c:pt>
                <c:pt idx="7">
                  <c:v>1.7794718226998492</c:v>
                </c:pt>
                <c:pt idx="8">
                  <c:v>2.003525198046217</c:v>
                </c:pt>
                <c:pt idx="9">
                  <c:v>1.649131156561781</c:v>
                </c:pt>
                <c:pt idx="10">
                  <c:v>1.7520262470927024</c:v>
                </c:pt>
                <c:pt idx="11">
                  <c:v>2.0596024152562276</c:v>
                </c:pt>
                <c:pt idx="12">
                  <c:v>1.9923575048004516</c:v>
                </c:pt>
                <c:pt idx="13">
                  <c:v>1.9424688662887521</c:v>
                </c:pt>
                <c:pt idx="14">
                  <c:v>1.8380792259278311</c:v>
                </c:pt>
                <c:pt idx="15">
                  <c:v>1.3670157922872173</c:v>
                </c:pt>
                <c:pt idx="16">
                  <c:v>1.2441080081802447</c:v>
                </c:pt>
                <c:pt idx="17">
                  <c:v>1.3348649124832646</c:v>
                </c:pt>
              </c:numCache>
            </c:numRef>
          </c:val>
          <c:smooth val="0"/>
          <c:extLst>
            <c:ext xmlns:c16="http://schemas.microsoft.com/office/drawing/2014/chart" uri="{C3380CC4-5D6E-409C-BE32-E72D297353CC}">
              <c16:uniqueId val="{00000001-DFA6-42ED-B20B-2B6E45052BEE}"/>
            </c:ext>
          </c:extLst>
        </c:ser>
        <c:ser>
          <c:idx val="2"/>
          <c:order val="2"/>
          <c:tx>
            <c:strRef>
              <c:f>'Country Petrol Prices'!$D$71</c:f>
              <c:strCache>
                <c:ptCount val="1"/>
                <c:pt idx="0">
                  <c:v>Belgium</c:v>
                </c:pt>
              </c:strCache>
            </c:strRef>
          </c:tx>
          <c:spPr>
            <a:ln w="28575" cap="rnd">
              <a:solidFill>
                <a:schemeClr val="accent3"/>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Prices'!$D$72:$D$89</c:f>
              <c:numCache>
                <c:formatCode>0.00</c:formatCode>
                <c:ptCount val="18"/>
                <c:pt idx="0">
                  <c:v>1.365227121651416</c:v>
                </c:pt>
                <c:pt idx="1">
                  <c:v>1.243661339787641</c:v>
                </c:pt>
                <c:pt idx="2">
                  <c:v>1.2507255408659914</c:v>
                </c:pt>
                <c:pt idx="3">
                  <c:v>1.5250552262835468</c:v>
                </c:pt>
                <c:pt idx="4">
                  <c:v>1.8313549048309712</c:v>
                </c:pt>
                <c:pt idx="5">
                  <c:v>1.9902078902968701</c:v>
                </c:pt>
                <c:pt idx="6">
                  <c:v>2.0558134497385292</c:v>
                </c:pt>
                <c:pt idx="7">
                  <c:v>2.2307871400512598</c:v>
                </c:pt>
                <c:pt idx="8">
                  <c:v>2.4188496586693966</c:v>
                </c:pt>
                <c:pt idx="9">
                  <c:v>2.0807829357960732</c:v>
                </c:pt>
                <c:pt idx="10">
                  <c:v>2.1490734757935761</c:v>
                </c:pt>
                <c:pt idx="11">
                  <c:v>2.4359872142159631</c:v>
                </c:pt>
                <c:pt idx="12">
                  <c:v>2.3513193486889699</c:v>
                </c:pt>
                <c:pt idx="13">
                  <c:v>2.2931581933446146</c:v>
                </c:pt>
                <c:pt idx="14">
                  <c:v>2.1718548578611205</c:v>
                </c:pt>
                <c:pt idx="15">
                  <c:v>1.6145111265709406</c:v>
                </c:pt>
                <c:pt idx="16">
                  <c:v>1.4699352441198299</c:v>
                </c:pt>
                <c:pt idx="17">
                  <c:v>1.5913859132727608</c:v>
                </c:pt>
              </c:numCache>
            </c:numRef>
          </c:val>
          <c:smooth val="0"/>
          <c:extLst>
            <c:ext xmlns:c16="http://schemas.microsoft.com/office/drawing/2014/chart" uri="{C3380CC4-5D6E-409C-BE32-E72D297353CC}">
              <c16:uniqueId val="{00000002-DFA6-42ED-B20B-2B6E45052BEE}"/>
            </c:ext>
          </c:extLst>
        </c:ser>
        <c:ser>
          <c:idx val="3"/>
          <c:order val="3"/>
          <c:tx>
            <c:strRef>
              <c:f>'Country Petrol Prices'!$E$71</c:f>
              <c:strCache>
                <c:ptCount val="1"/>
                <c:pt idx="0">
                  <c:v>Canada</c:v>
                </c:pt>
              </c:strCache>
            </c:strRef>
          </c:tx>
          <c:spPr>
            <a:ln w="28575" cap="rnd">
              <a:solidFill>
                <a:schemeClr val="accent4"/>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Prices'!$E$72:$E$89</c:f>
              <c:numCache>
                <c:formatCode>0.00</c:formatCode>
                <c:ptCount val="18"/>
                <c:pt idx="0">
                  <c:v>0.6951062462100065</c:v>
                </c:pt>
                <c:pt idx="1">
                  <c:v>0.62673120969852636</c:v>
                </c:pt>
                <c:pt idx="2">
                  <c:v>0.60809716553370396</c:v>
                </c:pt>
                <c:pt idx="3">
                  <c:v>0.698234843325236</c:v>
                </c:pt>
                <c:pt idx="4">
                  <c:v>0.80776768358953444</c:v>
                </c:pt>
                <c:pt idx="5">
                  <c:v>0.95337443534477972</c:v>
                </c:pt>
                <c:pt idx="6">
                  <c:v>1.0431900525384985</c:v>
                </c:pt>
                <c:pt idx="7">
                  <c:v>1.1172596187800128</c:v>
                </c:pt>
                <c:pt idx="8">
                  <c:v>1.2244280751673049</c:v>
                </c:pt>
                <c:pt idx="9">
                  <c:v>0.94491154267910094</c:v>
                </c:pt>
                <c:pt idx="10">
                  <c:v>1.116230030799813</c:v>
                </c:pt>
                <c:pt idx="11">
                  <c:v>1.3481854528418624</c:v>
                </c:pt>
                <c:pt idx="12">
                  <c:v>1.3459495766316971</c:v>
                </c:pt>
                <c:pt idx="13">
                  <c:v>1.2852786336541411</c:v>
                </c:pt>
                <c:pt idx="14">
                  <c:v>1.1869437115042327</c:v>
                </c:pt>
                <c:pt idx="15">
                  <c:v>0.8490841628841681</c:v>
                </c:pt>
                <c:pt idx="16">
                  <c:v>0.77158209666689281</c:v>
                </c:pt>
                <c:pt idx="17">
                  <c:v>0.86069830772822509</c:v>
                </c:pt>
              </c:numCache>
            </c:numRef>
          </c:val>
          <c:smooth val="0"/>
          <c:extLst>
            <c:ext xmlns:c16="http://schemas.microsoft.com/office/drawing/2014/chart" uri="{C3380CC4-5D6E-409C-BE32-E72D297353CC}">
              <c16:uniqueId val="{00000003-DFA6-42ED-B20B-2B6E45052BEE}"/>
            </c:ext>
          </c:extLst>
        </c:ser>
        <c:ser>
          <c:idx val="4"/>
          <c:order val="4"/>
          <c:tx>
            <c:strRef>
              <c:f>'Country Petrol Prices'!$F$71</c:f>
              <c:strCache>
                <c:ptCount val="1"/>
                <c:pt idx="0">
                  <c:v>China</c:v>
                </c:pt>
              </c:strCache>
            </c:strRef>
          </c:tx>
          <c:spPr>
            <a:ln w="28575" cap="rnd">
              <a:solidFill>
                <a:schemeClr val="accent5"/>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Prices'!$F$72:$F$89</c:f>
              <c:numCache>
                <c:formatCode>0.00</c:formatCode>
                <c:ptCount val="18"/>
                <c:pt idx="0">
                  <c:v>0.56720287764227628</c:v>
                </c:pt>
                <c:pt idx="1">
                  <c:v>0.55150951739130438</c:v>
                </c:pt>
                <c:pt idx="2">
                  <c:v>0.5701353808455637</c:v>
                </c:pt>
                <c:pt idx="3">
                  <c:v>0.55749049960045649</c:v>
                </c:pt>
                <c:pt idx="4">
                  <c:v>0.62047010394917934</c:v>
                </c:pt>
                <c:pt idx="5">
                  <c:v>0.62514295654121843</c:v>
                </c:pt>
                <c:pt idx="6">
                  <c:v>0.83573799002604143</c:v>
                </c:pt>
                <c:pt idx="7">
                  <c:v>0.81259358349610766</c:v>
                </c:pt>
                <c:pt idx="8">
                  <c:v>0.97979280755385745</c:v>
                </c:pt>
                <c:pt idx="9">
                  <c:v>0.99971530985308643</c:v>
                </c:pt>
                <c:pt idx="10">
                  <c:v>1.1248532314386279</c:v>
                </c:pt>
                <c:pt idx="11">
                  <c:v>1.2773460722401093</c:v>
                </c:pt>
                <c:pt idx="12">
                  <c:v>1.3309959900580419</c:v>
                </c:pt>
                <c:pt idx="13">
                  <c:v>1.2862764063345584</c:v>
                </c:pt>
                <c:pt idx="14">
                  <c:v>1.2067939875019005</c:v>
                </c:pt>
                <c:pt idx="15">
                  <c:v>0.82417999999999991</c:v>
                </c:pt>
                <c:pt idx="16">
                  <c:v>0.75212473390241319</c:v>
                </c:pt>
                <c:pt idx="17">
                  <c:v>0.72</c:v>
                </c:pt>
              </c:numCache>
            </c:numRef>
          </c:val>
          <c:smooth val="0"/>
          <c:extLst>
            <c:ext xmlns:c16="http://schemas.microsoft.com/office/drawing/2014/chart" uri="{C3380CC4-5D6E-409C-BE32-E72D297353CC}">
              <c16:uniqueId val="{00000004-DFA6-42ED-B20B-2B6E45052BEE}"/>
            </c:ext>
          </c:extLst>
        </c:ser>
        <c:ser>
          <c:idx val="5"/>
          <c:order val="5"/>
          <c:tx>
            <c:strRef>
              <c:f>'Country Petrol Prices'!$G$71</c:f>
              <c:strCache>
                <c:ptCount val="1"/>
                <c:pt idx="0">
                  <c:v>Denmark</c:v>
                </c:pt>
              </c:strCache>
            </c:strRef>
          </c:tx>
          <c:spPr>
            <a:ln w="28575" cap="rnd">
              <a:solidFill>
                <a:schemeClr val="accent6"/>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Prices'!$G$72:$G$89</c:f>
              <c:numCache>
                <c:formatCode>0.00</c:formatCode>
                <c:ptCount val="18"/>
                <c:pt idx="0">
                  <c:v>1.4560504594844619</c:v>
                </c:pt>
                <c:pt idx="1">
                  <c:v>1.350144111833228</c:v>
                </c:pt>
                <c:pt idx="2">
                  <c:v>1.3962029464051535</c:v>
                </c:pt>
                <c:pt idx="3">
                  <c:v>1.6461840947651085</c:v>
                </c:pt>
                <c:pt idx="4">
                  <c:v>1.7994592035661454</c:v>
                </c:pt>
                <c:pt idx="5">
                  <c:v>1.8701405624479039</c:v>
                </c:pt>
                <c:pt idx="6">
                  <c:v>1.9389925023967212</c:v>
                </c:pt>
                <c:pt idx="7">
                  <c:v>2.0941388405217576</c:v>
                </c:pt>
                <c:pt idx="8">
                  <c:v>2.2713096002275619</c:v>
                </c:pt>
                <c:pt idx="9">
                  <c:v>2.0105926064492308</c:v>
                </c:pt>
                <c:pt idx="10">
                  <c:v>2.1284808916170013</c:v>
                </c:pt>
                <c:pt idx="11">
                  <c:v>2.4432490003729019</c:v>
                </c:pt>
                <c:pt idx="12">
                  <c:v>2.3366383063651321</c:v>
                </c:pt>
                <c:pt idx="13">
                  <c:v>2.3373643972157425</c:v>
                </c:pt>
                <c:pt idx="14">
                  <c:v>2.2421325911611842</c:v>
                </c:pt>
                <c:pt idx="15">
                  <c:v>1.7083009325255996</c:v>
                </c:pt>
                <c:pt idx="16">
                  <c:v>1.5821874360007044</c:v>
                </c:pt>
                <c:pt idx="17">
                  <c:v>1.6875646198514307</c:v>
                </c:pt>
              </c:numCache>
            </c:numRef>
          </c:val>
          <c:smooth val="0"/>
          <c:extLst>
            <c:ext xmlns:c16="http://schemas.microsoft.com/office/drawing/2014/chart" uri="{C3380CC4-5D6E-409C-BE32-E72D297353CC}">
              <c16:uniqueId val="{00000005-DFA6-42ED-B20B-2B6E45052BEE}"/>
            </c:ext>
          </c:extLst>
        </c:ser>
        <c:ser>
          <c:idx val="6"/>
          <c:order val="6"/>
          <c:tx>
            <c:strRef>
              <c:f>'Country Petrol Prices'!$H$71</c:f>
              <c:strCache>
                <c:ptCount val="1"/>
                <c:pt idx="0">
                  <c:v>Finland</c:v>
                </c:pt>
              </c:strCache>
            </c:strRef>
          </c:tx>
          <c:spPr>
            <a:ln w="28575" cap="rnd">
              <a:solidFill>
                <a:schemeClr val="accent1">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Prices'!$H$72:$H$89</c:f>
              <c:numCache>
                <c:formatCode>0.00</c:formatCode>
                <c:ptCount val="18"/>
                <c:pt idx="0">
                  <c:v>1.4828064909802459</c:v>
                </c:pt>
                <c:pt idx="1">
                  <c:v>1.3682742319687442</c:v>
                </c:pt>
                <c:pt idx="2">
                  <c:v>1.373370742013218</c:v>
                </c:pt>
                <c:pt idx="3">
                  <c:v>1.6419062161166671</c:v>
                </c:pt>
                <c:pt idx="4">
                  <c:v>1.8313549048309712</c:v>
                </c:pt>
                <c:pt idx="5">
                  <c:v>1.8921987192400926</c:v>
                </c:pt>
                <c:pt idx="6">
                  <c:v>1.9561447782187598</c:v>
                </c:pt>
                <c:pt idx="7">
                  <c:v>2.0927770870555582</c:v>
                </c:pt>
                <c:pt idx="8">
                  <c:v>2.4016108117103392</c:v>
                </c:pt>
                <c:pt idx="9">
                  <c:v>2.0195048270221077</c:v>
                </c:pt>
                <c:pt idx="10">
                  <c:v>2.1048081770623774</c:v>
                </c:pt>
                <c:pt idx="11">
                  <c:v>2.3666916652450523</c:v>
                </c:pt>
                <c:pt idx="12">
                  <c:v>2.2960111979052882</c:v>
                </c:pt>
                <c:pt idx="13">
                  <c:v>2.2904603878689622</c:v>
                </c:pt>
                <c:pt idx="14">
                  <c:v>2.1889359908497772</c:v>
                </c:pt>
                <c:pt idx="15">
                  <c:v>1.6695128863871047</c:v>
                </c:pt>
                <c:pt idx="16">
                  <c:v>1.5456929891630606</c:v>
                </c:pt>
                <c:pt idx="17">
                  <c:v>1.660101057079336</c:v>
                </c:pt>
              </c:numCache>
            </c:numRef>
          </c:val>
          <c:smooth val="0"/>
          <c:extLst>
            <c:ext xmlns:c16="http://schemas.microsoft.com/office/drawing/2014/chart" uri="{C3380CC4-5D6E-409C-BE32-E72D297353CC}">
              <c16:uniqueId val="{00000006-DFA6-42ED-B20B-2B6E45052BEE}"/>
            </c:ext>
          </c:extLst>
        </c:ser>
        <c:ser>
          <c:idx val="7"/>
          <c:order val="7"/>
          <c:tx>
            <c:strRef>
              <c:f>'Country Petrol Prices'!$I$71</c:f>
              <c:strCache>
                <c:ptCount val="1"/>
                <c:pt idx="0">
                  <c:v>France</c:v>
                </c:pt>
              </c:strCache>
            </c:strRef>
          </c:tx>
          <c:spPr>
            <a:ln w="28575" cap="rnd">
              <a:solidFill>
                <a:schemeClr val="accent2">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Prices'!$I$72:$I$89</c:f>
              <c:numCache>
                <c:formatCode>0.00</c:formatCode>
                <c:ptCount val="18"/>
                <c:pt idx="0">
                  <c:v>1.4240168063158309</c:v>
                </c:pt>
                <c:pt idx="1">
                  <c:v>1.2782074881150756</c:v>
                </c:pt>
                <c:pt idx="2">
                  <c:v>1.2954399371175844</c:v>
                </c:pt>
                <c:pt idx="3">
                  <c:v>1.5235571366703016</c:v>
                </c:pt>
                <c:pt idx="4">
                  <c:v>1.7029514058068889</c:v>
                </c:pt>
                <c:pt idx="5">
                  <c:v>1.8051807504958328</c:v>
                </c:pt>
                <c:pt idx="6">
                  <c:v>1.8795574555259129</c:v>
                </c:pt>
                <c:pt idx="7">
                  <c:v>2.0518728535298072</c:v>
                </c:pt>
                <c:pt idx="8">
                  <c:v>2.2527198744201251</c:v>
                </c:pt>
                <c:pt idx="9">
                  <c:v>1.9084384525120519</c:v>
                </c:pt>
                <c:pt idx="10">
                  <c:v>1.9837601315017626</c:v>
                </c:pt>
                <c:pt idx="11">
                  <c:v>2.2731058310238241</c:v>
                </c:pt>
                <c:pt idx="12">
                  <c:v>2.152650868104923</c:v>
                </c:pt>
                <c:pt idx="13">
                  <c:v>2.143565733228745</c:v>
                </c:pt>
                <c:pt idx="14">
                  <c:v>2.0317586081027579</c:v>
                </c:pt>
                <c:pt idx="15">
                  <c:v>1.54247431852093</c:v>
                </c:pt>
                <c:pt idx="16">
                  <c:v>1.4565085947014338</c:v>
                </c:pt>
                <c:pt idx="17">
                  <c:v>1.5592651548032868</c:v>
                </c:pt>
              </c:numCache>
            </c:numRef>
          </c:val>
          <c:smooth val="0"/>
          <c:extLst>
            <c:ext xmlns:c16="http://schemas.microsoft.com/office/drawing/2014/chart" uri="{C3380CC4-5D6E-409C-BE32-E72D297353CC}">
              <c16:uniqueId val="{00000007-DFA6-42ED-B20B-2B6E45052BEE}"/>
            </c:ext>
          </c:extLst>
        </c:ser>
        <c:ser>
          <c:idx val="8"/>
          <c:order val="8"/>
          <c:tx>
            <c:strRef>
              <c:f>'Country Petrol Prices'!$J$71</c:f>
              <c:strCache>
                <c:ptCount val="1"/>
                <c:pt idx="0">
                  <c:v>Germany</c:v>
                </c:pt>
              </c:strCache>
            </c:strRef>
          </c:tx>
          <c:spPr>
            <a:ln w="28575" cap="rnd">
              <a:solidFill>
                <a:schemeClr val="accent3">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Prices'!$J$72:$J$89</c:f>
              <c:numCache>
                <c:formatCode>0.00</c:formatCode>
                <c:ptCount val="18"/>
                <c:pt idx="0">
                  <c:v>1.2920666251801438</c:v>
                </c:pt>
                <c:pt idx="1">
                  <c:v>1.2374923847291708</c:v>
                </c:pt>
                <c:pt idx="2">
                  <c:v>1.3133256956182215</c:v>
                </c:pt>
                <c:pt idx="3">
                  <c:v>1.605952065398784</c:v>
                </c:pt>
                <c:pt idx="4">
                  <c:v>1.7896237676481443</c:v>
                </c:pt>
                <c:pt idx="5">
                  <c:v>1.8995331684072365</c:v>
                </c:pt>
                <c:pt idx="6">
                  <c:v>1.9499742679639456</c:v>
                </c:pt>
                <c:pt idx="7">
                  <c:v>2.1525273534979981</c:v>
                </c:pt>
                <c:pt idx="8">
                  <c:v>2.314772739240988</c:v>
                </c:pt>
                <c:pt idx="9">
                  <c:v>1.9954328880192707</c:v>
                </c:pt>
                <c:pt idx="10">
                  <c:v>2.0532080023590473</c:v>
                </c:pt>
                <c:pt idx="11">
                  <c:v>2.3168320886063012</c:v>
                </c:pt>
                <c:pt idx="12">
                  <c:v>2.269255344647505</c:v>
                </c:pt>
                <c:pt idx="13">
                  <c:v>2.2326894695824211</c:v>
                </c:pt>
                <c:pt idx="14">
                  <c:v>2.1015553136543872</c:v>
                </c:pt>
                <c:pt idx="15">
                  <c:v>1.5887247642019198</c:v>
                </c:pt>
                <c:pt idx="16">
                  <c:v>1.4612688956817899</c:v>
                </c:pt>
                <c:pt idx="17">
                  <c:v>1.5575691380983383</c:v>
                </c:pt>
              </c:numCache>
            </c:numRef>
          </c:val>
          <c:smooth val="0"/>
          <c:extLst>
            <c:ext xmlns:c16="http://schemas.microsoft.com/office/drawing/2014/chart" uri="{C3380CC4-5D6E-409C-BE32-E72D297353CC}">
              <c16:uniqueId val="{00000008-DFA6-42ED-B20B-2B6E45052BEE}"/>
            </c:ext>
          </c:extLst>
        </c:ser>
        <c:ser>
          <c:idx val="9"/>
          <c:order val="9"/>
          <c:tx>
            <c:strRef>
              <c:f>'Country Petrol Prices'!$K$71</c:f>
              <c:strCache>
                <c:ptCount val="1"/>
                <c:pt idx="0">
                  <c:v>India</c:v>
                </c:pt>
              </c:strCache>
            </c:strRef>
          </c:tx>
          <c:spPr>
            <a:ln w="28575" cap="rnd">
              <a:solidFill>
                <a:schemeClr val="accent4">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Prices'!$K$72:$K$89</c:f>
              <c:numCache>
                <c:formatCode>0.00</c:formatCode>
                <c:ptCount val="18"/>
                <c:pt idx="0">
                  <c:v>0.84055733223947515</c:v>
                </c:pt>
                <c:pt idx="1">
                  <c:v>0.83800948481207271</c:v>
                </c:pt>
                <c:pt idx="2">
                  <c:v>0.79206430290785657</c:v>
                </c:pt>
                <c:pt idx="3">
                  <c:v>0.89436318864031461</c:v>
                </c:pt>
                <c:pt idx="4">
                  <c:v>1.0082092744602578</c:v>
                </c:pt>
                <c:pt idx="5">
                  <c:v>1.1416858145598696</c:v>
                </c:pt>
                <c:pt idx="6">
                  <c:v>1.2227558279733879</c:v>
                </c:pt>
                <c:pt idx="7">
                  <c:v>1.2438359534762837</c:v>
                </c:pt>
                <c:pt idx="8">
                  <c:v>1.2500793958854637</c:v>
                </c:pt>
                <c:pt idx="9">
                  <c:v>1.0139380515912297</c:v>
                </c:pt>
                <c:pt idx="10">
                  <c:v>1.2107149928049521</c:v>
                </c:pt>
                <c:pt idx="11">
                  <c:v>1.4432896988413582</c:v>
                </c:pt>
                <c:pt idx="12">
                  <c:v>1.3396210581986554</c:v>
                </c:pt>
                <c:pt idx="13">
                  <c:v>1.2381046949878041</c:v>
                </c:pt>
                <c:pt idx="14">
                  <c:v>1.1810142424611467</c:v>
                </c:pt>
                <c:pt idx="15">
                  <c:v>0.99435121858197106</c:v>
                </c:pt>
                <c:pt idx="16">
                  <c:v>0.95121173406078063</c:v>
                </c:pt>
                <c:pt idx="17">
                  <c:v>1.0515620829548709</c:v>
                </c:pt>
              </c:numCache>
            </c:numRef>
          </c:val>
          <c:smooth val="0"/>
          <c:extLst>
            <c:ext xmlns:c16="http://schemas.microsoft.com/office/drawing/2014/chart" uri="{C3380CC4-5D6E-409C-BE32-E72D297353CC}">
              <c16:uniqueId val="{00000009-DFA6-42ED-B20B-2B6E45052BEE}"/>
            </c:ext>
          </c:extLst>
        </c:ser>
        <c:ser>
          <c:idx val="10"/>
          <c:order val="10"/>
          <c:tx>
            <c:strRef>
              <c:f>'Country Petrol Prices'!$L$71</c:f>
              <c:strCache>
                <c:ptCount val="1"/>
                <c:pt idx="0">
                  <c:v>Ireland</c:v>
                </c:pt>
              </c:strCache>
            </c:strRef>
          </c:tx>
          <c:spPr>
            <a:ln w="28575" cap="rnd">
              <a:solidFill>
                <a:schemeClr val="accent5">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Prices'!$L$72:$L$89</c:f>
              <c:numCache>
                <c:formatCode>0.00</c:formatCode>
                <c:ptCount val="18"/>
                <c:pt idx="0">
                  <c:v>1.1679550686663787</c:v>
                </c:pt>
                <c:pt idx="1">
                  <c:v>1.0968402093960448</c:v>
                </c:pt>
                <c:pt idx="2">
                  <c:v>1.0923088227174897</c:v>
                </c:pt>
                <c:pt idx="3">
                  <c:v>1.304836053136512</c:v>
                </c:pt>
                <c:pt idx="4">
                  <c:v>1.5296066821243781</c:v>
                </c:pt>
                <c:pt idx="5">
                  <c:v>1.6306250488931058</c:v>
                </c:pt>
                <c:pt idx="6">
                  <c:v>1.6998904550917304</c:v>
                </c:pt>
                <c:pt idx="7">
                  <c:v>1.8061823210737085</c:v>
                </c:pt>
                <c:pt idx="8">
                  <c:v>2.0545507746370659</c:v>
                </c:pt>
                <c:pt idx="9">
                  <c:v>1.7483003858422739</c:v>
                </c:pt>
                <c:pt idx="10">
                  <c:v>1.9195385480414588</c:v>
                </c:pt>
                <c:pt idx="11">
                  <c:v>2.2478659241082517</c:v>
                </c:pt>
                <c:pt idx="12">
                  <c:v>2.2206850571942964</c:v>
                </c:pt>
                <c:pt idx="13">
                  <c:v>2.2145235039322504</c:v>
                </c:pt>
                <c:pt idx="14">
                  <c:v>2.0834310492737709</c:v>
                </c:pt>
                <c:pt idx="15">
                  <c:v>1.5568365482058133</c:v>
                </c:pt>
                <c:pt idx="16">
                  <c:v>1.4361924101054515</c:v>
                </c:pt>
                <c:pt idx="17">
                  <c:v>1.5461414319580415</c:v>
                </c:pt>
              </c:numCache>
            </c:numRef>
          </c:val>
          <c:smooth val="0"/>
          <c:extLst>
            <c:ext xmlns:c16="http://schemas.microsoft.com/office/drawing/2014/chart" uri="{C3380CC4-5D6E-409C-BE32-E72D297353CC}">
              <c16:uniqueId val="{0000000A-DFA6-42ED-B20B-2B6E45052BEE}"/>
            </c:ext>
          </c:extLst>
        </c:ser>
        <c:ser>
          <c:idx val="11"/>
          <c:order val="11"/>
          <c:tx>
            <c:strRef>
              <c:f>'Country Petrol Prices'!$M$71</c:f>
              <c:strCache>
                <c:ptCount val="1"/>
                <c:pt idx="0">
                  <c:v>Italy</c:v>
                </c:pt>
              </c:strCache>
            </c:strRef>
          </c:tx>
          <c:spPr>
            <a:ln w="28575" cap="rnd">
              <a:solidFill>
                <a:schemeClr val="accent6">
                  <a:lumMod val="6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Prices'!$M$72:$M$89</c:f>
              <c:numCache>
                <c:formatCode>0.00</c:formatCode>
                <c:ptCount val="18"/>
                <c:pt idx="0">
                  <c:v>1.4122588693829479</c:v>
                </c:pt>
                <c:pt idx="1">
                  <c:v>1.2991819353138752</c:v>
                </c:pt>
                <c:pt idx="2">
                  <c:v>1.3388767791905607</c:v>
                </c:pt>
                <c:pt idx="3">
                  <c:v>1.5879749900398425</c:v>
                </c:pt>
                <c:pt idx="4">
                  <c:v>1.8072792487639557</c:v>
                </c:pt>
                <c:pt idx="5">
                  <c:v>1.8969168954392042</c:v>
                </c:pt>
                <c:pt idx="6">
                  <c:v>1.9524909703725124</c:v>
                </c:pt>
                <c:pt idx="7">
                  <c:v>2.0921688640076122</c:v>
                </c:pt>
                <c:pt idx="8">
                  <c:v>2.2909325213118086</c:v>
                </c:pt>
                <c:pt idx="9">
                  <c:v>1.9479670037239831</c:v>
                </c:pt>
                <c:pt idx="10">
                  <c:v>2.0118043595512667</c:v>
                </c:pt>
                <c:pt idx="11">
                  <c:v>2.353728924681934</c:v>
                </c:pt>
                <c:pt idx="12">
                  <c:v>2.4574544458885539</c:v>
                </c:pt>
                <c:pt idx="13">
                  <c:v>2.438581607326002</c:v>
                </c:pt>
                <c:pt idx="14">
                  <c:v>2.3372057695760837</c:v>
                </c:pt>
                <c:pt idx="15">
                  <c:v>1.7486657511493757</c:v>
                </c:pt>
                <c:pt idx="16">
                  <c:v>1.6155386468996658</c:v>
                </c:pt>
                <c:pt idx="17">
                  <c:v>1.7318856443368991</c:v>
                </c:pt>
              </c:numCache>
            </c:numRef>
          </c:val>
          <c:smooth val="0"/>
          <c:extLst>
            <c:ext xmlns:c16="http://schemas.microsoft.com/office/drawing/2014/chart" uri="{C3380CC4-5D6E-409C-BE32-E72D297353CC}">
              <c16:uniqueId val="{0000000B-DFA6-42ED-B20B-2B6E45052BEE}"/>
            </c:ext>
          </c:extLst>
        </c:ser>
        <c:ser>
          <c:idx val="12"/>
          <c:order val="12"/>
          <c:tx>
            <c:strRef>
              <c:f>'Country Petrol Prices'!$N$71</c:f>
              <c:strCache>
                <c:ptCount val="1"/>
                <c:pt idx="0">
                  <c:v>Japan</c:v>
                </c:pt>
              </c:strCache>
            </c:strRef>
          </c:tx>
          <c:spPr>
            <a:ln w="28575" cap="rnd">
              <a:solidFill>
                <a:schemeClr val="accent1">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Prices'!$N$72:$N$89</c:f>
              <c:numCache>
                <c:formatCode>0.00</c:formatCode>
                <c:ptCount val="18"/>
                <c:pt idx="0">
                  <c:v>1.3671502572039278</c:v>
                </c:pt>
                <c:pt idx="1">
                  <c:v>1.1901140545538065</c:v>
                </c:pt>
                <c:pt idx="2">
                  <c:v>1.1280814197323459</c:v>
                </c:pt>
                <c:pt idx="3">
                  <c:v>1.217066674132566</c:v>
                </c:pt>
                <c:pt idx="4">
                  <c:v>1.3417148189172134</c:v>
                </c:pt>
                <c:pt idx="5">
                  <c:v>1.4122974122082002</c:v>
                </c:pt>
                <c:pt idx="6">
                  <c:v>1.4320156731017377</c:v>
                </c:pt>
                <c:pt idx="7">
                  <c:v>1.3981565471021982</c:v>
                </c:pt>
                <c:pt idx="8">
                  <c:v>1.7216154236734202</c:v>
                </c:pt>
                <c:pt idx="9">
                  <c:v>1.4620989056138896</c:v>
                </c:pt>
                <c:pt idx="10">
                  <c:v>1.7087867591831254</c:v>
                </c:pt>
                <c:pt idx="11">
                  <c:v>1.9853109580677133</c:v>
                </c:pt>
                <c:pt idx="12">
                  <c:v>1.9560621008573718</c:v>
                </c:pt>
                <c:pt idx="13">
                  <c:v>1.6715541066765489</c:v>
                </c:pt>
                <c:pt idx="14">
                  <c:v>1.5839290360129055</c:v>
                </c:pt>
                <c:pt idx="15">
                  <c:v>1.1711880103687171</c:v>
                </c:pt>
                <c:pt idx="16">
                  <c:v>1.1348941941040496</c:v>
                </c:pt>
                <c:pt idx="17">
                  <c:v>1.1920999013176987</c:v>
                </c:pt>
              </c:numCache>
            </c:numRef>
          </c:val>
          <c:smooth val="0"/>
          <c:extLst>
            <c:ext xmlns:c16="http://schemas.microsoft.com/office/drawing/2014/chart" uri="{C3380CC4-5D6E-409C-BE32-E72D297353CC}">
              <c16:uniqueId val="{0000000C-DFA6-42ED-B20B-2B6E45052BEE}"/>
            </c:ext>
          </c:extLst>
        </c:ser>
        <c:ser>
          <c:idx val="13"/>
          <c:order val="13"/>
          <c:tx>
            <c:strRef>
              <c:f>'Country Petrol Prices'!$O$71</c:f>
              <c:strCache>
                <c:ptCount val="1"/>
                <c:pt idx="0">
                  <c:v>Korea</c:v>
                </c:pt>
              </c:strCache>
            </c:strRef>
          </c:tx>
          <c:spPr>
            <a:ln w="28575" cap="rnd">
              <a:solidFill>
                <a:schemeClr val="accent2">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Prices'!$O$72:$O$89</c:f>
              <c:numCache>
                <c:formatCode>0.00</c:formatCode>
                <c:ptCount val="18"/>
                <c:pt idx="0">
                  <c:v>1.564752934006421</c:v>
                </c:pt>
                <c:pt idx="1">
                  <c:v>1.3670365034989997</c:v>
                </c:pt>
                <c:pt idx="2">
                  <c:v>1.4061937106573557</c:v>
                </c:pt>
                <c:pt idx="3">
                  <c:v>1.4414126115946988</c:v>
                </c:pt>
                <c:pt idx="4">
                  <c:v>1.5405841669624898</c:v>
                </c:pt>
                <c:pt idx="5">
                  <c:v>1.7433584774066708</c:v>
                </c:pt>
                <c:pt idx="6">
                  <c:v>1.8888933370618612</c:v>
                </c:pt>
                <c:pt idx="7">
                  <c:v>1.9326726478384471</c:v>
                </c:pt>
                <c:pt idx="8">
                  <c:v>1.7443350350140181</c:v>
                </c:pt>
                <c:pt idx="9">
                  <c:v>1.4100962798145262</c:v>
                </c:pt>
                <c:pt idx="10">
                  <c:v>1.6529727791230953</c:v>
                </c:pt>
                <c:pt idx="11">
                  <c:v>1.8015616225314599</c:v>
                </c:pt>
                <c:pt idx="12">
                  <c:v>1.8577810198013387</c:v>
                </c:pt>
                <c:pt idx="13">
                  <c:v>1.7595050969036685</c:v>
                </c:pt>
                <c:pt idx="14">
                  <c:v>1.6851819616081065</c:v>
                </c:pt>
                <c:pt idx="15">
                  <c:v>1.3879200313629982</c:v>
                </c:pt>
                <c:pt idx="16">
                  <c:v>1.2192218597334059</c:v>
                </c:pt>
                <c:pt idx="17">
                  <c:v>1.3249214967578729</c:v>
                </c:pt>
              </c:numCache>
            </c:numRef>
          </c:val>
          <c:smooth val="0"/>
          <c:extLst>
            <c:ext xmlns:c16="http://schemas.microsoft.com/office/drawing/2014/chart" uri="{C3380CC4-5D6E-409C-BE32-E72D297353CC}">
              <c16:uniqueId val="{0000000D-DFA6-42ED-B20B-2B6E45052BEE}"/>
            </c:ext>
          </c:extLst>
        </c:ser>
        <c:ser>
          <c:idx val="14"/>
          <c:order val="14"/>
          <c:tx>
            <c:strRef>
              <c:f>'Country Petrol Prices'!$P$71</c:f>
              <c:strCache>
                <c:ptCount val="1"/>
                <c:pt idx="0">
                  <c:v>Netherlands</c:v>
                </c:pt>
              </c:strCache>
            </c:strRef>
          </c:tx>
          <c:spPr>
            <a:ln w="28575" cap="rnd">
              <a:solidFill>
                <a:schemeClr val="accent3">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Prices'!$P$72:$P$89</c:f>
              <c:numCache>
                <c:formatCode>0.00</c:formatCode>
                <c:ptCount val="18"/>
                <c:pt idx="0">
                  <c:v>1.5154674269049209</c:v>
                </c:pt>
                <c:pt idx="1">
                  <c:v>1.4163920814248137</c:v>
                </c:pt>
                <c:pt idx="2">
                  <c:v>1.4615219803377872</c:v>
                </c:pt>
                <c:pt idx="3">
                  <c:v>1.7362858617511105</c:v>
                </c:pt>
                <c:pt idx="4">
                  <c:v>2.0095147597268848</c:v>
                </c:pt>
                <c:pt idx="5">
                  <c:v>2.1021570841260693</c:v>
                </c:pt>
                <c:pt idx="6">
                  <c:v>2.1500192397487203</c:v>
                </c:pt>
                <c:pt idx="7">
                  <c:v>2.3516751714846738</c:v>
                </c:pt>
                <c:pt idx="8">
                  <c:v>2.5534147839113066</c:v>
                </c:pt>
                <c:pt idx="9">
                  <c:v>2.1234737711049592</c:v>
                </c:pt>
                <c:pt idx="10">
                  <c:v>2.2184460399160337</c:v>
                </c:pt>
                <c:pt idx="11">
                  <c:v>2.486791323411055</c:v>
                </c:pt>
                <c:pt idx="12">
                  <c:v>2.4192451803106314</c:v>
                </c:pt>
                <c:pt idx="13">
                  <c:v>2.4231058312845137</c:v>
                </c:pt>
                <c:pt idx="14">
                  <c:v>2.3177352202071262</c:v>
                </c:pt>
                <c:pt idx="15">
                  <c:v>1.777849270862959</c:v>
                </c:pt>
                <c:pt idx="16">
                  <c:v>1.6533331486586718</c:v>
                </c:pt>
                <c:pt idx="17">
                  <c:v>1.7596286683944824</c:v>
                </c:pt>
              </c:numCache>
            </c:numRef>
          </c:val>
          <c:smooth val="0"/>
          <c:extLst>
            <c:ext xmlns:c16="http://schemas.microsoft.com/office/drawing/2014/chart" uri="{C3380CC4-5D6E-409C-BE32-E72D297353CC}">
              <c16:uniqueId val="{0000000E-DFA6-42ED-B20B-2B6E45052BEE}"/>
            </c:ext>
          </c:extLst>
        </c:ser>
        <c:ser>
          <c:idx val="15"/>
          <c:order val="15"/>
          <c:tx>
            <c:strRef>
              <c:f>'Country Petrol Prices'!$Q$71</c:f>
              <c:strCache>
                <c:ptCount val="1"/>
                <c:pt idx="0">
                  <c:v>NZ</c:v>
                </c:pt>
              </c:strCache>
            </c:strRef>
          </c:tx>
          <c:spPr>
            <a:ln w="28575" cap="rnd">
              <a:solidFill>
                <a:schemeClr val="accent4">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Prices'!$Q$72:$Q$89</c:f>
              <c:numCache>
                <c:formatCode>0.00</c:formatCode>
                <c:ptCount val="18"/>
                <c:pt idx="0">
                  <c:v>0.68930681584312248</c:v>
                </c:pt>
                <c:pt idx="1">
                  <c:v>0.60686333653042102</c:v>
                </c:pt>
                <c:pt idx="2">
                  <c:v>0.64602633583155555</c:v>
                </c:pt>
                <c:pt idx="3">
                  <c:v>0.81008861699873591</c:v>
                </c:pt>
                <c:pt idx="4">
                  <c:v>0.99732216379666982</c:v>
                </c:pt>
                <c:pt idx="5">
                  <c:v>1.1620166625140407</c:v>
                </c:pt>
                <c:pt idx="6">
                  <c:v>1.2205927780216346</c:v>
                </c:pt>
                <c:pt idx="7">
                  <c:v>1.3449907918514648</c:v>
                </c:pt>
                <c:pt idx="8">
                  <c:v>1.444432342312437</c:v>
                </c:pt>
                <c:pt idx="9">
                  <c:v>1.1403099600432409</c:v>
                </c:pt>
                <c:pt idx="10">
                  <c:v>1.4246050834604584</c:v>
                </c:pt>
                <c:pt idx="11">
                  <c:v>1.7992798988852605</c:v>
                </c:pt>
                <c:pt idx="12">
                  <c:v>1.857850791678008</c:v>
                </c:pt>
                <c:pt idx="13">
                  <c:v>1.8486508864823998</c:v>
                </c:pt>
                <c:pt idx="14">
                  <c:v>1.8470272587602219</c:v>
                </c:pt>
                <c:pt idx="15">
                  <c:v>1.408044062737672</c:v>
                </c:pt>
                <c:pt idx="16">
                  <c:v>1.33087893718232</c:v>
                </c:pt>
                <c:pt idx="17">
                  <c:v>1.4380459588444365</c:v>
                </c:pt>
              </c:numCache>
            </c:numRef>
          </c:val>
          <c:smooth val="0"/>
          <c:extLst>
            <c:ext xmlns:c16="http://schemas.microsoft.com/office/drawing/2014/chart" uri="{C3380CC4-5D6E-409C-BE32-E72D297353CC}">
              <c16:uniqueId val="{0000000F-DFA6-42ED-B20B-2B6E45052BEE}"/>
            </c:ext>
          </c:extLst>
        </c:ser>
        <c:ser>
          <c:idx val="16"/>
          <c:order val="16"/>
          <c:tx>
            <c:strRef>
              <c:f>'Country Petrol Prices'!$R$71</c:f>
              <c:strCache>
                <c:ptCount val="1"/>
                <c:pt idx="0">
                  <c:v>Norway</c:v>
                </c:pt>
              </c:strCache>
            </c:strRef>
          </c:tx>
          <c:spPr>
            <a:ln w="28575" cap="rnd">
              <a:solidFill>
                <a:schemeClr val="accent5">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Prices'!$R$72:$R$89</c:f>
              <c:numCache>
                <c:formatCode>0.00</c:formatCode>
                <c:ptCount val="18"/>
                <c:pt idx="0">
                  <c:v>1.7022195373831754</c:v>
                </c:pt>
                <c:pt idx="1">
                  <c:v>1.4697576985858136</c:v>
                </c:pt>
                <c:pt idx="2">
                  <c:v>1.5234498100781031</c:v>
                </c:pt>
                <c:pt idx="3">
                  <c:v>1.757007874202281</c:v>
                </c:pt>
                <c:pt idx="4">
                  <c:v>1.9145681113665425</c:v>
                </c:pt>
                <c:pt idx="5">
                  <c:v>2.0978798169066581</c:v>
                </c:pt>
                <c:pt idx="6">
                  <c:v>2.1639453282998824</c:v>
                </c:pt>
                <c:pt idx="7">
                  <c:v>2.3472389851368778</c:v>
                </c:pt>
                <c:pt idx="8">
                  <c:v>2.5192086613343823</c:v>
                </c:pt>
                <c:pt idx="9">
                  <c:v>2.1502576133219375</c:v>
                </c:pt>
                <c:pt idx="10">
                  <c:v>2.3500474995433609</c:v>
                </c:pt>
                <c:pt idx="11">
                  <c:v>2.652913764391188</c:v>
                </c:pt>
                <c:pt idx="12">
                  <c:v>2.6907389662937611</c:v>
                </c:pt>
                <c:pt idx="13">
                  <c:v>2.7355550465779297</c:v>
                </c:pt>
                <c:pt idx="14">
                  <c:v>2.5676527580507567</c:v>
                </c:pt>
                <c:pt idx="15">
                  <c:v>1.9223538702431777</c:v>
                </c:pt>
                <c:pt idx="16">
                  <c:v>1.7846744414431119</c:v>
                </c:pt>
                <c:pt idx="17">
                  <c:v>1.9648927935342015</c:v>
                </c:pt>
              </c:numCache>
            </c:numRef>
          </c:val>
          <c:smooth val="0"/>
          <c:extLst>
            <c:ext xmlns:c16="http://schemas.microsoft.com/office/drawing/2014/chart" uri="{C3380CC4-5D6E-409C-BE32-E72D297353CC}">
              <c16:uniqueId val="{00000010-DFA6-42ED-B20B-2B6E45052BEE}"/>
            </c:ext>
          </c:extLst>
        </c:ser>
        <c:ser>
          <c:idx val="17"/>
          <c:order val="17"/>
          <c:tx>
            <c:strRef>
              <c:f>'Country Petrol Prices'!$S$71</c:f>
              <c:strCache>
                <c:ptCount val="1"/>
                <c:pt idx="0">
                  <c:v>Spain</c:v>
                </c:pt>
              </c:strCache>
            </c:strRef>
          </c:tx>
          <c:spPr>
            <a:ln w="28575" cap="rnd">
              <a:solidFill>
                <a:schemeClr val="accent6">
                  <a:lumMod val="80000"/>
                  <a:lumOff val="2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Prices'!$S$72:$S$89</c:f>
              <c:numCache>
                <c:formatCode>0.00</c:formatCode>
                <c:ptCount val="18"/>
                <c:pt idx="0">
                  <c:v>1.0699722608923536</c:v>
                </c:pt>
                <c:pt idx="1">
                  <c:v>0.99566934643712957</c:v>
                </c:pt>
                <c:pt idx="2">
                  <c:v>1.0399291013941947</c:v>
                </c:pt>
                <c:pt idx="3">
                  <c:v>1.2239392140212748</c:v>
                </c:pt>
                <c:pt idx="4">
                  <c:v>1.394783008149092</c:v>
                </c:pt>
                <c:pt idx="5">
                  <c:v>1.4848816681511803</c:v>
                </c:pt>
                <c:pt idx="6">
                  <c:v>1.5498371904902435</c:v>
                </c:pt>
                <c:pt idx="7">
                  <c:v>1.6682548337811081</c:v>
                </c:pt>
                <c:pt idx="8">
                  <c:v>1.8407202564274723</c:v>
                </c:pt>
                <c:pt idx="9">
                  <c:v>1.5843043325742137</c:v>
                </c:pt>
                <c:pt idx="10">
                  <c:v>1.7195539830353819</c:v>
                </c:pt>
                <c:pt idx="11">
                  <c:v>1.9990195166142131</c:v>
                </c:pt>
                <c:pt idx="12">
                  <c:v>1.9591951111237218</c:v>
                </c:pt>
                <c:pt idx="13">
                  <c:v>1.996634936191374</c:v>
                </c:pt>
                <c:pt idx="14">
                  <c:v>1.8965739746151142</c:v>
                </c:pt>
                <c:pt idx="15">
                  <c:v>1.4007622975517426</c:v>
                </c:pt>
                <c:pt idx="16">
                  <c:v>1.2866928104648911</c:v>
                </c:pt>
                <c:pt idx="17">
                  <c:v>1.3795778534189864</c:v>
                </c:pt>
              </c:numCache>
            </c:numRef>
          </c:val>
          <c:smooth val="0"/>
          <c:extLst>
            <c:ext xmlns:c16="http://schemas.microsoft.com/office/drawing/2014/chart" uri="{C3380CC4-5D6E-409C-BE32-E72D297353CC}">
              <c16:uniqueId val="{00000011-DFA6-42ED-B20B-2B6E45052BEE}"/>
            </c:ext>
          </c:extLst>
        </c:ser>
        <c:ser>
          <c:idx val="18"/>
          <c:order val="18"/>
          <c:tx>
            <c:strRef>
              <c:f>'Country Petrol Prices'!$T$71</c:f>
              <c:strCache>
                <c:ptCount val="1"/>
                <c:pt idx="0">
                  <c:v>Sweden </c:v>
                </c:pt>
              </c:strCache>
            </c:strRef>
          </c:tx>
          <c:spPr>
            <a:ln w="28575" cap="rnd">
              <a:solidFill>
                <a:schemeClr val="accent1">
                  <a:lumMod val="8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Prices'!$T$72:$T$89</c:f>
              <c:numCache>
                <c:formatCode>0.00</c:formatCode>
                <c:ptCount val="18"/>
                <c:pt idx="0">
                  <c:v>1.4721383013688061</c:v>
                </c:pt>
                <c:pt idx="1">
                  <c:v>1.2614276508475628</c:v>
                </c:pt>
                <c:pt idx="2">
                  <c:v>1.2975015760819619</c:v>
                </c:pt>
                <c:pt idx="3">
                  <c:v>1.5436575142797941</c:v>
                </c:pt>
                <c:pt idx="4">
                  <c:v>1.7526354648314302</c:v>
                </c:pt>
                <c:pt idx="5">
                  <c:v>1.8395864487757054</c:v>
                </c:pt>
                <c:pt idx="6">
                  <c:v>1.8749756258253567</c:v>
                </c:pt>
                <c:pt idx="7">
                  <c:v>2.0054403929153075</c:v>
                </c:pt>
                <c:pt idx="8">
                  <c:v>2.1775196476475838</c:v>
                </c:pt>
                <c:pt idx="9">
                  <c:v>1.7779894900865321</c:v>
                </c:pt>
                <c:pt idx="10">
                  <c:v>1.9784699839936477</c:v>
                </c:pt>
                <c:pt idx="11">
                  <c:v>2.3413706289513456</c:v>
                </c:pt>
                <c:pt idx="12">
                  <c:v>2.3505221822526932</c:v>
                </c:pt>
                <c:pt idx="13">
                  <c:v>2.3282371612980781</c:v>
                </c:pt>
                <c:pt idx="14">
                  <c:v>2.1417293026087112</c:v>
                </c:pt>
                <c:pt idx="15">
                  <c:v>1.6028569995487234</c:v>
                </c:pt>
                <c:pt idx="16">
                  <c:v>1.5497194206699836</c:v>
                </c:pt>
                <c:pt idx="17">
                  <c:v>1.6501249417070989</c:v>
                </c:pt>
              </c:numCache>
            </c:numRef>
          </c:val>
          <c:smooth val="0"/>
          <c:extLst>
            <c:ext xmlns:c16="http://schemas.microsoft.com/office/drawing/2014/chart" uri="{C3380CC4-5D6E-409C-BE32-E72D297353CC}">
              <c16:uniqueId val="{00000012-DFA6-42ED-B20B-2B6E45052BEE}"/>
            </c:ext>
          </c:extLst>
        </c:ser>
        <c:ser>
          <c:idx val="19"/>
          <c:order val="19"/>
          <c:tx>
            <c:strRef>
              <c:f>'Country Petrol Prices'!$U$71</c:f>
              <c:strCache>
                <c:ptCount val="1"/>
                <c:pt idx="0">
                  <c:v>Switzerland</c:v>
                </c:pt>
              </c:strCache>
            </c:strRef>
          </c:tx>
          <c:spPr>
            <a:ln w="28575" cap="rnd">
              <a:solidFill>
                <a:schemeClr val="accent2">
                  <a:lumMod val="8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Prices'!$U$72:$U$89</c:f>
              <c:numCache>
                <c:formatCode>0.00</c:formatCode>
                <c:ptCount val="18"/>
                <c:pt idx="0">
                  <c:v>1.1730320240773862</c:v>
                </c:pt>
                <c:pt idx="1">
                  <c:v>1.1017685695913628</c:v>
                </c:pt>
                <c:pt idx="2">
                  <c:v>1.1447613401785668</c:v>
                </c:pt>
                <c:pt idx="3">
                  <c:v>1.3040666940208439</c:v>
                </c:pt>
                <c:pt idx="4">
                  <c:v>1.4646639733985314</c:v>
                </c:pt>
                <c:pt idx="5">
                  <c:v>1.5326830082903549</c:v>
                </c:pt>
                <c:pt idx="6">
                  <c:v>1.5871213955680408</c:v>
                </c:pt>
                <c:pt idx="7">
                  <c:v>1.6521728199006338</c:v>
                </c:pt>
                <c:pt idx="8">
                  <c:v>1.8691084725854228</c:v>
                </c:pt>
                <c:pt idx="9">
                  <c:v>1.576293881676083</c:v>
                </c:pt>
                <c:pt idx="10">
                  <c:v>1.7658618213712656</c:v>
                </c:pt>
                <c:pt idx="11">
                  <c:v>2.1183934016875248</c:v>
                </c:pt>
                <c:pt idx="12">
                  <c:v>2.0084358546427397</c:v>
                </c:pt>
                <c:pt idx="13">
                  <c:v>1.984246329586574</c:v>
                </c:pt>
                <c:pt idx="14">
                  <c:v>1.9084860353838804</c:v>
                </c:pt>
                <c:pt idx="15">
                  <c:v>1.5512504674422107</c:v>
                </c:pt>
                <c:pt idx="16">
                  <c:v>1.4377125277865987</c:v>
                </c:pt>
                <c:pt idx="17">
                  <c:v>1.5261753844457913</c:v>
                </c:pt>
              </c:numCache>
            </c:numRef>
          </c:val>
          <c:smooth val="0"/>
          <c:extLst>
            <c:ext xmlns:c16="http://schemas.microsoft.com/office/drawing/2014/chart" uri="{C3380CC4-5D6E-409C-BE32-E72D297353CC}">
              <c16:uniqueId val="{00000013-DFA6-42ED-B20B-2B6E45052BEE}"/>
            </c:ext>
          </c:extLst>
        </c:ser>
        <c:ser>
          <c:idx val="20"/>
          <c:order val="20"/>
          <c:tx>
            <c:strRef>
              <c:f>'Country Petrol Prices'!$V$71</c:f>
              <c:strCache>
                <c:ptCount val="1"/>
                <c:pt idx="0">
                  <c:v>UK</c:v>
                </c:pt>
              </c:strCache>
            </c:strRef>
          </c:tx>
          <c:spPr>
            <a:ln w="28575" cap="rnd">
              <a:solidFill>
                <a:schemeClr val="accent3">
                  <a:lumMod val="8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Prices'!$V$72:$V$89</c:f>
              <c:numCache>
                <c:formatCode>0.00</c:formatCode>
                <c:ptCount val="18"/>
                <c:pt idx="0">
                  <c:v>1.7142299999401551</c:v>
                </c:pt>
                <c:pt idx="1">
                  <c:v>1.5045030057460491</c:v>
                </c:pt>
                <c:pt idx="2">
                  <c:v>1.4912884988898125</c:v>
                </c:pt>
                <c:pt idx="3">
                  <c:v>1.6470831852074053</c:v>
                </c:pt>
                <c:pt idx="4">
                  <c:v>1.8980961075379676</c:v>
                </c:pt>
                <c:pt idx="5">
                  <c:v>1.9709124153950974</c:v>
                </c:pt>
                <c:pt idx="6">
                  <c:v>2.034710708235214</c:v>
                </c:pt>
                <c:pt idx="7">
                  <c:v>2.224458825167249</c:v>
                </c:pt>
                <c:pt idx="8">
                  <c:v>2.2329511154226549</c:v>
                </c:pt>
                <c:pt idx="9">
                  <c:v>1.7606717500274409</c:v>
                </c:pt>
                <c:pt idx="10">
                  <c:v>2.0194038794336047</c:v>
                </c:pt>
                <c:pt idx="11">
                  <c:v>2.3329638293825687</c:v>
                </c:pt>
                <c:pt idx="12">
                  <c:v>2.3048697972868433</c:v>
                </c:pt>
                <c:pt idx="13">
                  <c:v>2.2064694410828536</c:v>
                </c:pt>
                <c:pt idx="14">
                  <c:v>2.1604144264250151</c:v>
                </c:pt>
                <c:pt idx="15">
                  <c:v>1.7461975475313363</c:v>
                </c:pt>
                <c:pt idx="16">
                  <c:v>1.4897523445426626</c:v>
                </c:pt>
                <c:pt idx="17">
                  <c:v>1.5203168567427807</c:v>
                </c:pt>
              </c:numCache>
            </c:numRef>
          </c:val>
          <c:smooth val="0"/>
          <c:extLst>
            <c:ext xmlns:c16="http://schemas.microsoft.com/office/drawing/2014/chart" uri="{C3380CC4-5D6E-409C-BE32-E72D297353CC}">
              <c16:uniqueId val="{00000014-DFA6-42ED-B20B-2B6E45052BEE}"/>
            </c:ext>
          </c:extLst>
        </c:ser>
        <c:ser>
          <c:idx val="21"/>
          <c:order val="21"/>
          <c:tx>
            <c:strRef>
              <c:f>'Country Petrol Prices'!$W$71</c:f>
              <c:strCache>
                <c:ptCount val="1"/>
                <c:pt idx="0">
                  <c:v>USA</c:v>
                </c:pt>
              </c:strCache>
            </c:strRef>
          </c:tx>
          <c:spPr>
            <a:ln w="28575" cap="rnd">
              <a:solidFill>
                <a:schemeClr val="accent4">
                  <a:lumMod val="80000"/>
                </a:schemeClr>
              </a:solidFill>
              <a:round/>
            </a:ln>
            <a:effectLst/>
          </c:spPr>
          <c:marker>
            <c:symbol val="none"/>
          </c:marker>
          <c:cat>
            <c:numRef>
              <c:f>'Country Petrol Prices'!$A$72:$A$89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'Country Petrol Prices'!$W$72:$W$89</c:f>
              <c:numCache>
                <c:formatCode>0.00</c:formatCode>
                <c:ptCount val="18"/>
                <c:pt idx="0">
                  <c:v>0.55687297145248371</c:v>
                </c:pt>
                <c:pt idx="1">
                  <c:v>0.51877686121514399</c:v>
                </c:pt>
                <c:pt idx="2">
                  <c:v>0.48165922469026273</c:v>
                </c:pt>
                <c:pt idx="3">
                  <c:v>0.54604292162724555</c:v>
                </c:pt>
                <c:pt idx="4">
                  <c:v>0.63174683340622262</c:v>
                </c:pt>
                <c:pt idx="5">
                  <c:v>0.74954075848933166</c:v>
                </c:pt>
                <c:pt idx="6">
                  <c:v>0.82366567388070899</c:v>
                </c:pt>
                <c:pt idx="7">
                  <c:v>0.87235978459054719</c:v>
                </c:pt>
                <c:pt idx="8">
                  <c:v>0.97503435426336726</c:v>
                </c:pt>
                <c:pt idx="9">
                  <c:v>0.70592554685770581</c:v>
                </c:pt>
                <c:pt idx="10">
                  <c:v>0.82231229276191264</c:v>
                </c:pt>
                <c:pt idx="11">
                  <c:v>1.0100068112840681</c:v>
                </c:pt>
                <c:pt idx="12">
                  <c:v>1.0186875388201744</c:v>
                </c:pt>
                <c:pt idx="13">
                  <c:v>0.97087660796480113</c:v>
                </c:pt>
                <c:pt idx="14">
                  <c:v>0.91644141700464832</c:v>
                </c:pt>
                <c:pt idx="15">
                  <c:v>0.65917229583333325</c:v>
                </c:pt>
                <c:pt idx="16">
                  <c:v>0.58421708333333333</c:v>
                </c:pt>
                <c:pt idx="17">
                  <c:v>0.6386666666666666</c:v>
                </c:pt>
              </c:numCache>
            </c:numRef>
          </c:val>
          <c:smooth val="0"/>
          <c:extLst>
            <c:ext xmlns:c16="http://schemas.microsoft.com/office/drawing/2014/chart" uri="{C3380CC4-5D6E-409C-BE32-E72D297353CC}">
              <c16:uniqueId val="{00000015-DFA6-42ED-B20B-2B6E45052BEE}"/>
            </c:ext>
          </c:extLst>
        </c:ser>
        <c:dLbls>
          <c:showLegendKey val="0"/>
          <c:showVal val="0"/>
          <c:showCatName val="0"/>
          <c:showSerName val="0"/>
          <c:showPercent val="0"/>
          <c:showBubbleSize val="0"/>
        </c:dLbls>
        <c:smooth val="0"/>
        <c:axId val="705618536"/>
        <c:axId val="705617552"/>
      </c:lineChart>
      <c:catAx>
        <c:axId val="70561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617552"/>
        <c:crosses val="autoZero"/>
        <c:auto val="1"/>
        <c:lblAlgn val="ctr"/>
        <c:lblOffset val="100"/>
        <c:noMultiLvlLbl val="0"/>
      </c:catAx>
      <c:valAx>
        <c:axId val="705617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618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'Country Petrol Prices'!$B$71</c:f>
              <c:strCache>
                <c:ptCount val="1"/>
                <c:pt idx="0">
                  <c:v>Australia</c:v>
                </c:pt>
              </c:strCache>
            </c:strRef>
          </c:tx>
          <c:spPr>
            <a:ln w="28575" cap="rnd">
              <a:solidFill>
                <a:schemeClr val="accent1"/>
              </a:solidFill>
              <a:prstDash val="sys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Prices'!$B$81:$B$89</c:f>
              <c:numCache>
                <c:formatCode>0.00</c:formatCode>
                <c:ptCount val="9"/>
                <c:pt idx="0">
                  <c:v>1.0617563963130383</c:v>
                </c:pt>
                <c:pt idx="1">
                  <c:v>1.2979420067869214</c:v>
                </c:pt>
                <c:pt idx="2">
                  <c:v>1.5933600659455225</c:v>
                </c:pt>
                <c:pt idx="3">
                  <c:v>1.5848079562476622</c:v>
                </c:pt>
                <c:pt idx="4">
                  <c:v>1.4702006698064385</c:v>
                </c:pt>
                <c:pt idx="5">
                  <c:v>1.3627440853301607</c:v>
                </c:pt>
                <c:pt idx="6">
                  <c:v>0.98453848442253189</c:v>
                </c:pt>
                <c:pt idx="7">
                  <c:v>0.88044494434141485</c:v>
                </c:pt>
                <c:pt idx="8">
                  <c:v>0.98467215336698788</c:v>
                </c:pt>
              </c:numCache>
            </c:numRef>
          </c:val>
          <c:smooth val="0"/>
          <c:extLst>
            <c:ext xmlns:c16="http://schemas.microsoft.com/office/drawing/2014/chart" uri="{C3380CC4-5D6E-409C-BE32-E72D297353CC}">
              <c16:uniqueId val="{00000000-ACD8-4D96-A756-54DB47863E4C}"/>
            </c:ext>
          </c:extLst>
        </c:ser>
        <c:ser>
          <c:idx val="1"/>
          <c:order val="1"/>
          <c:tx>
            <c:strRef>
              <c:f>'Country Petrol Prices'!$C$71</c:f>
              <c:strCache>
                <c:ptCount val="1"/>
                <c:pt idx="0">
                  <c:v>Austria</c:v>
                </c:pt>
              </c:strCache>
            </c:strRef>
          </c:tx>
          <c:spPr>
            <a:ln w="28575" cap="rnd">
              <a:solidFill>
                <a:srgbClr val="92D050"/>
              </a:solidFill>
              <a:prstDash val="dashDot"/>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Prices'!$C$81:$C$89</c:f>
              <c:numCache>
                <c:formatCode>0.00</c:formatCode>
                <c:ptCount val="9"/>
                <c:pt idx="0">
                  <c:v>1.649131156561781</c:v>
                </c:pt>
                <c:pt idx="1">
                  <c:v>1.7520262470927024</c:v>
                </c:pt>
                <c:pt idx="2">
                  <c:v>2.0596024152562276</c:v>
                </c:pt>
                <c:pt idx="3">
                  <c:v>1.9923575048004516</c:v>
                </c:pt>
                <c:pt idx="4">
                  <c:v>1.9424688662887521</c:v>
                </c:pt>
                <c:pt idx="5">
                  <c:v>1.8380792259278311</c:v>
                </c:pt>
                <c:pt idx="6">
                  <c:v>1.3670157922872173</c:v>
                </c:pt>
                <c:pt idx="7">
                  <c:v>1.2441080081802447</c:v>
                </c:pt>
                <c:pt idx="8">
                  <c:v>1.3348649124832646</c:v>
                </c:pt>
              </c:numCache>
            </c:numRef>
          </c:val>
          <c:smooth val="0"/>
          <c:extLst>
            <c:ext xmlns:c16="http://schemas.microsoft.com/office/drawing/2014/chart" uri="{C3380CC4-5D6E-409C-BE32-E72D297353CC}">
              <c16:uniqueId val="{00000001-ACD8-4D96-A756-54DB47863E4C}"/>
            </c:ext>
          </c:extLst>
        </c:ser>
        <c:ser>
          <c:idx val="2"/>
          <c:order val="2"/>
          <c:tx>
            <c:strRef>
              <c:f>'Country Petrol Prices'!$D$71</c:f>
              <c:strCache>
                <c:ptCount val="1"/>
                <c:pt idx="0">
                  <c:v>Belgium</c:v>
                </c:pt>
              </c:strCache>
            </c:strRef>
          </c:tx>
          <c:spPr>
            <a:ln w="28575" cap="rnd">
              <a:solidFill>
                <a:schemeClr val="accent3"/>
              </a:solidFill>
              <a:prstDash val="sysDot"/>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Prices'!$D$81:$D$89</c:f>
              <c:numCache>
                <c:formatCode>0.00</c:formatCode>
                <c:ptCount val="9"/>
                <c:pt idx="0">
                  <c:v>2.0807829357960732</c:v>
                </c:pt>
                <c:pt idx="1">
                  <c:v>2.1490734757935761</c:v>
                </c:pt>
                <c:pt idx="2">
                  <c:v>2.4359872142159631</c:v>
                </c:pt>
                <c:pt idx="3">
                  <c:v>2.3513193486889699</c:v>
                </c:pt>
                <c:pt idx="4">
                  <c:v>2.2931581933446146</c:v>
                </c:pt>
                <c:pt idx="5">
                  <c:v>2.1718548578611205</c:v>
                </c:pt>
                <c:pt idx="6">
                  <c:v>1.6145111265709406</c:v>
                </c:pt>
                <c:pt idx="7">
                  <c:v>1.4699352441198299</c:v>
                </c:pt>
                <c:pt idx="8">
                  <c:v>1.5913859132727608</c:v>
                </c:pt>
              </c:numCache>
            </c:numRef>
          </c:val>
          <c:smooth val="0"/>
          <c:extLst>
            <c:ext xmlns:c16="http://schemas.microsoft.com/office/drawing/2014/chart" uri="{C3380CC4-5D6E-409C-BE32-E72D297353CC}">
              <c16:uniqueId val="{00000002-ACD8-4D96-A756-54DB47863E4C}"/>
            </c:ext>
          </c:extLst>
        </c:ser>
        <c:ser>
          <c:idx val="3"/>
          <c:order val="3"/>
          <c:tx>
            <c:strRef>
              <c:f>'Country Petrol Prices'!$E$71</c:f>
              <c:strCache>
                <c:ptCount val="1"/>
                <c:pt idx="0">
                  <c:v>Canada</c:v>
                </c:pt>
              </c:strCache>
            </c:strRef>
          </c:tx>
          <c:spPr>
            <a:ln w="28575" cap="rnd">
              <a:solidFill>
                <a:srgbClr val="92D050"/>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Prices'!$E$81:$E$89</c:f>
              <c:numCache>
                <c:formatCode>0.00</c:formatCode>
                <c:ptCount val="9"/>
                <c:pt idx="0">
                  <c:v>0.94491154267910094</c:v>
                </c:pt>
                <c:pt idx="1">
                  <c:v>1.116230030799813</c:v>
                </c:pt>
                <c:pt idx="2">
                  <c:v>1.3481854528418624</c:v>
                </c:pt>
                <c:pt idx="3">
                  <c:v>1.3459495766316971</c:v>
                </c:pt>
                <c:pt idx="4">
                  <c:v>1.2852786336541411</c:v>
                </c:pt>
                <c:pt idx="5">
                  <c:v>1.1869437115042327</c:v>
                </c:pt>
                <c:pt idx="6">
                  <c:v>0.8490841628841681</c:v>
                </c:pt>
                <c:pt idx="7">
                  <c:v>0.77158209666689281</c:v>
                </c:pt>
                <c:pt idx="8">
                  <c:v>0.86069830772822509</c:v>
                </c:pt>
              </c:numCache>
            </c:numRef>
          </c:val>
          <c:smooth val="0"/>
          <c:extLst>
            <c:ext xmlns:c16="http://schemas.microsoft.com/office/drawing/2014/chart" uri="{C3380CC4-5D6E-409C-BE32-E72D297353CC}">
              <c16:uniqueId val="{00000003-ACD8-4D96-A756-54DB47863E4C}"/>
            </c:ext>
          </c:extLst>
        </c:ser>
        <c:ser>
          <c:idx val="4"/>
          <c:order val="4"/>
          <c:tx>
            <c:strRef>
              <c:f>'Country Petrol Prices'!$F$71</c:f>
              <c:strCache>
                <c:ptCount val="1"/>
                <c:pt idx="0">
                  <c:v>China</c:v>
                </c:pt>
              </c:strCache>
            </c:strRef>
          </c:tx>
          <c:spPr>
            <a:ln w="28575" cap="rnd">
              <a:solidFill>
                <a:schemeClr val="accent5"/>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Prices'!$F$81:$F$89</c:f>
              <c:numCache>
                <c:formatCode>0.00</c:formatCode>
                <c:ptCount val="9"/>
                <c:pt idx="0">
                  <c:v>0.99971530985308643</c:v>
                </c:pt>
                <c:pt idx="1">
                  <c:v>1.1248532314386279</c:v>
                </c:pt>
                <c:pt idx="2">
                  <c:v>1.2773460722401093</c:v>
                </c:pt>
                <c:pt idx="3">
                  <c:v>1.3309959900580419</c:v>
                </c:pt>
                <c:pt idx="4">
                  <c:v>1.2862764063345584</c:v>
                </c:pt>
                <c:pt idx="5">
                  <c:v>1.2067939875019005</c:v>
                </c:pt>
                <c:pt idx="6">
                  <c:v>0.82417999999999991</c:v>
                </c:pt>
                <c:pt idx="7">
                  <c:v>0.75212473390241319</c:v>
                </c:pt>
                <c:pt idx="8">
                  <c:v>0.72</c:v>
                </c:pt>
              </c:numCache>
            </c:numRef>
          </c:val>
          <c:smooth val="0"/>
          <c:extLst>
            <c:ext xmlns:c16="http://schemas.microsoft.com/office/drawing/2014/chart" uri="{C3380CC4-5D6E-409C-BE32-E72D297353CC}">
              <c16:uniqueId val="{00000004-ACD8-4D96-A756-54DB47863E4C}"/>
            </c:ext>
          </c:extLst>
        </c:ser>
        <c:ser>
          <c:idx val="5"/>
          <c:order val="5"/>
          <c:tx>
            <c:strRef>
              <c:f>'Country Petrol Prices'!$G$71</c:f>
              <c:strCache>
                <c:ptCount val="1"/>
                <c:pt idx="0">
                  <c:v>Denmark</c:v>
                </c:pt>
              </c:strCache>
            </c:strRef>
          </c:tx>
          <c:spPr>
            <a:ln w="28575" cap="rnd">
              <a:solidFill>
                <a:schemeClr val="accent6"/>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Prices'!$G$81:$G$89</c:f>
              <c:numCache>
                <c:formatCode>0.00</c:formatCode>
                <c:ptCount val="9"/>
                <c:pt idx="0">
                  <c:v>2.0105926064492308</c:v>
                </c:pt>
                <c:pt idx="1">
                  <c:v>2.1284808916170013</c:v>
                </c:pt>
                <c:pt idx="2">
                  <c:v>2.4432490003729019</c:v>
                </c:pt>
                <c:pt idx="3">
                  <c:v>2.3366383063651321</c:v>
                </c:pt>
                <c:pt idx="4">
                  <c:v>2.3373643972157425</c:v>
                </c:pt>
                <c:pt idx="5">
                  <c:v>2.2421325911611842</c:v>
                </c:pt>
                <c:pt idx="6">
                  <c:v>1.7083009325255996</c:v>
                </c:pt>
                <c:pt idx="7">
                  <c:v>1.5821874360007044</c:v>
                </c:pt>
                <c:pt idx="8">
                  <c:v>1.6875646198514307</c:v>
                </c:pt>
              </c:numCache>
            </c:numRef>
          </c:val>
          <c:smooth val="0"/>
          <c:extLst>
            <c:ext xmlns:c16="http://schemas.microsoft.com/office/drawing/2014/chart" uri="{C3380CC4-5D6E-409C-BE32-E72D297353CC}">
              <c16:uniqueId val="{00000005-ACD8-4D96-A756-54DB47863E4C}"/>
            </c:ext>
          </c:extLst>
        </c:ser>
        <c:ser>
          <c:idx val="6"/>
          <c:order val="6"/>
          <c:tx>
            <c:strRef>
              <c:f>'Country Petrol Prices'!$H$71</c:f>
              <c:strCache>
                <c:ptCount val="1"/>
                <c:pt idx="0">
                  <c:v>Finland</c:v>
                </c:pt>
              </c:strCache>
            </c:strRef>
          </c:tx>
          <c:spPr>
            <a:ln w="28575" cap="rnd">
              <a:solidFill>
                <a:schemeClr val="accent1">
                  <a:lumMod val="6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Prices'!$H$81:$H$89</c:f>
              <c:numCache>
                <c:formatCode>0.00</c:formatCode>
                <c:ptCount val="9"/>
                <c:pt idx="0">
                  <c:v>2.0195048270221077</c:v>
                </c:pt>
                <c:pt idx="1">
                  <c:v>2.1048081770623774</c:v>
                </c:pt>
                <c:pt idx="2">
                  <c:v>2.3666916652450523</c:v>
                </c:pt>
                <c:pt idx="3">
                  <c:v>2.2960111979052882</c:v>
                </c:pt>
                <c:pt idx="4">
                  <c:v>2.2904603878689622</c:v>
                </c:pt>
                <c:pt idx="5">
                  <c:v>2.1889359908497772</c:v>
                </c:pt>
                <c:pt idx="6">
                  <c:v>1.6695128863871047</c:v>
                </c:pt>
                <c:pt idx="7">
                  <c:v>1.5456929891630606</c:v>
                </c:pt>
                <c:pt idx="8">
                  <c:v>1.660101057079336</c:v>
                </c:pt>
              </c:numCache>
            </c:numRef>
          </c:val>
          <c:smooth val="0"/>
          <c:extLst>
            <c:ext xmlns:c16="http://schemas.microsoft.com/office/drawing/2014/chart" uri="{C3380CC4-5D6E-409C-BE32-E72D297353CC}">
              <c16:uniqueId val="{00000006-ACD8-4D96-A756-54DB47863E4C}"/>
            </c:ext>
          </c:extLst>
        </c:ser>
        <c:ser>
          <c:idx val="7"/>
          <c:order val="7"/>
          <c:tx>
            <c:strRef>
              <c:f>'Country Petrol Prices'!$I$71</c:f>
              <c:strCache>
                <c:ptCount val="1"/>
                <c:pt idx="0">
                  <c:v>France</c:v>
                </c:pt>
              </c:strCache>
            </c:strRef>
          </c:tx>
          <c:spPr>
            <a:ln w="28575" cap="rnd">
              <a:solidFill>
                <a:schemeClr val="accent2">
                  <a:lumMod val="6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Prices'!$I$81:$I$89</c:f>
              <c:numCache>
                <c:formatCode>0.00</c:formatCode>
                <c:ptCount val="9"/>
                <c:pt idx="0">
                  <c:v>1.9084384525120519</c:v>
                </c:pt>
                <c:pt idx="1">
                  <c:v>1.9837601315017626</c:v>
                </c:pt>
                <c:pt idx="2">
                  <c:v>2.2731058310238241</c:v>
                </c:pt>
                <c:pt idx="3">
                  <c:v>2.152650868104923</c:v>
                </c:pt>
                <c:pt idx="4">
                  <c:v>2.143565733228745</c:v>
                </c:pt>
                <c:pt idx="5">
                  <c:v>2.0317586081027579</c:v>
                </c:pt>
                <c:pt idx="6">
                  <c:v>1.54247431852093</c:v>
                </c:pt>
                <c:pt idx="7">
                  <c:v>1.4565085947014338</c:v>
                </c:pt>
                <c:pt idx="8">
                  <c:v>1.5592651548032868</c:v>
                </c:pt>
              </c:numCache>
            </c:numRef>
          </c:val>
          <c:smooth val="0"/>
          <c:extLst>
            <c:ext xmlns:c16="http://schemas.microsoft.com/office/drawing/2014/chart" uri="{C3380CC4-5D6E-409C-BE32-E72D297353CC}">
              <c16:uniqueId val="{00000007-ACD8-4D96-A756-54DB47863E4C}"/>
            </c:ext>
          </c:extLst>
        </c:ser>
        <c:ser>
          <c:idx val="8"/>
          <c:order val="8"/>
          <c:tx>
            <c:strRef>
              <c:f>'Country Petrol Prices'!$J$71</c:f>
              <c:strCache>
                <c:ptCount val="1"/>
                <c:pt idx="0">
                  <c:v>Germany</c:v>
                </c:pt>
              </c:strCache>
            </c:strRef>
          </c:tx>
          <c:spPr>
            <a:ln w="28575" cap="rnd">
              <a:solidFill>
                <a:srgbClr val="00B0F0"/>
              </a:solidFill>
              <a:prstDash val="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Prices'!$J$81:$J$89</c:f>
              <c:numCache>
                <c:formatCode>0.00</c:formatCode>
                <c:ptCount val="9"/>
                <c:pt idx="0">
                  <c:v>1.9954328880192707</c:v>
                </c:pt>
                <c:pt idx="1">
                  <c:v>2.0532080023590473</c:v>
                </c:pt>
                <c:pt idx="2">
                  <c:v>2.3168320886063012</c:v>
                </c:pt>
                <c:pt idx="3">
                  <c:v>2.269255344647505</c:v>
                </c:pt>
                <c:pt idx="4">
                  <c:v>2.2326894695824211</c:v>
                </c:pt>
                <c:pt idx="5">
                  <c:v>2.1015553136543872</c:v>
                </c:pt>
                <c:pt idx="6">
                  <c:v>1.5887247642019198</c:v>
                </c:pt>
                <c:pt idx="7">
                  <c:v>1.4612688956817899</c:v>
                </c:pt>
                <c:pt idx="8">
                  <c:v>1.5575691380983383</c:v>
                </c:pt>
              </c:numCache>
            </c:numRef>
          </c:val>
          <c:smooth val="0"/>
          <c:extLst>
            <c:ext xmlns:c16="http://schemas.microsoft.com/office/drawing/2014/chart" uri="{C3380CC4-5D6E-409C-BE32-E72D297353CC}">
              <c16:uniqueId val="{00000008-ACD8-4D96-A756-54DB47863E4C}"/>
            </c:ext>
          </c:extLst>
        </c:ser>
        <c:ser>
          <c:idx val="9"/>
          <c:order val="9"/>
          <c:tx>
            <c:strRef>
              <c:f>'Country Petrol Prices'!$K$71</c:f>
              <c:strCache>
                <c:ptCount val="1"/>
                <c:pt idx="0">
                  <c:v>India</c:v>
                </c:pt>
              </c:strCache>
            </c:strRef>
          </c:tx>
          <c:spPr>
            <a:ln w="28575" cap="rnd">
              <a:solidFill>
                <a:schemeClr val="accent2">
                  <a:lumMod val="40000"/>
                  <a:lumOff val="60000"/>
                </a:schemeClr>
              </a:solidFill>
              <a:prstDash val="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Prices'!$K$81:$K$89</c:f>
              <c:numCache>
                <c:formatCode>0.00</c:formatCode>
                <c:ptCount val="9"/>
                <c:pt idx="0">
                  <c:v>1.0139380515912297</c:v>
                </c:pt>
                <c:pt idx="1">
                  <c:v>1.2107149928049521</c:v>
                </c:pt>
                <c:pt idx="2">
                  <c:v>1.4432896988413582</c:v>
                </c:pt>
                <c:pt idx="3">
                  <c:v>1.3396210581986554</c:v>
                </c:pt>
                <c:pt idx="4">
                  <c:v>1.2381046949878041</c:v>
                </c:pt>
                <c:pt idx="5">
                  <c:v>1.1810142424611467</c:v>
                </c:pt>
                <c:pt idx="6">
                  <c:v>0.99435121858197106</c:v>
                </c:pt>
                <c:pt idx="7">
                  <c:v>0.95121173406078063</c:v>
                </c:pt>
                <c:pt idx="8">
                  <c:v>1.0515620829548709</c:v>
                </c:pt>
              </c:numCache>
            </c:numRef>
          </c:val>
          <c:smooth val="0"/>
          <c:extLst>
            <c:ext xmlns:c16="http://schemas.microsoft.com/office/drawing/2014/chart" uri="{C3380CC4-5D6E-409C-BE32-E72D297353CC}">
              <c16:uniqueId val="{00000009-ACD8-4D96-A756-54DB47863E4C}"/>
            </c:ext>
          </c:extLst>
        </c:ser>
        <c:ser>
          <c:idx val="10"/>
          <c:order val="10"/>
          <c:tx>
            <c:strRef>
              <c:f>'Country Petrol Prices'!$L$71</c:f>
              <c:strCache>
                <c:ptCount val="1"/>
                <c:pt idx="0">
                  <c:v>Ireland</c:v>
                </c:pt>
              </c:strCache>
            </c:strRef>
          </c:tx>
          <c:spPr>
            <a:ln w="28575" cap="rnd">
              <a:solidFill>
                <a:schemeClr val="accent5">
                  <a:lumMod val="60000"/>
                </a:schemeClr>
              </a:solidFill>
              <a:prstDash val="lgDashDotDot"/>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Prices'!$L$81:$L$89</c:f>
              <c:numCache>
                <c:formatCode>0.00</c:formatCode>
                <c:ptCount val="9"/>
                <c:pt idx="0">
                  <c:v>1.7483003858422739</c:v>
                </c:pt>
                <c:pt idx="1">
                  <c:v>1.9195385480414588</c:v>
                </c:pt>
                <c:pt idx="2">
                  <c:v>2.2478659241082517</c:v>
                </c:pt>
                <c:pt idx="3">
                  <c:v>2.2206850571942964</c:v>
                </c:pt>
                <c:pt idx="4">
                  <c:v>2.2145235039322504</c:v>
                </c:pt>
                <c:pt idx="5">
                  <c:v>2.0834310492737709</c:v>
                </c:pt>
                <c:pt idx="6">
                  <c:v>1.5568365482058133</c:v>
                </c:pt>
                <c:pt idx="7">
                  <c:v>1.4361924101054515</c:v>
                </c:pt>
                <c:pt idx="8">
                  <c:v>1.5461414319580415</c:v>
                </c:pt>
              </c:numCache>
            </c:numRef>
          </c:val>
          <c:smooth val="0"/>
          <c:extLst>
            <c:ext xmlns:c16="http://schemas.microsoft.com/office/drawing/2014/chart" uri="{C3380CC4-5D6E-409C-BE32-E72D297353CC}">
              <c16:uniqueId val="{0000000A-ACD8-4D96-A756-54DB47863E4C}"/>
            </c:ext>
          </c:extLst>
        </c:ser>
        <c:ser>
          <c:idx val="11"/>
          <c:order val="11"/>
          <c:tx>
            <c:strRef>
              <c:f>'Country Petrol Prices'!$M$71</c:f>
              <c:strCache>
                <c:ptCount val="1"/>
                <c:pt idx="0">
                  <c:v>Italy</c:v>
                </c:pt>
              </c:strCache>
            </c:strRef>
          </c:tx>
          <c:spPr>
            <a:ln w="28575" cap="rnd">
              <a:solidFill>
                <a:srgbClr val="C00000"/>
              </a:solidFill>
              <a:prstDash val="lgDashDot"/>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Prices'!$M$81:$M$89</c:f>
              <c:numCache>
                <c:formatCode>0.00</c:formatCode>
                <c:ptCount val="9"/>
                <c:pt idx="0">
                  <c:v>1.9479670037239831</c:v>
                </c:pt>
                <c:pt idx="1">
                  <c:v>2.0118043595512667</c:v>
                </c:pt>
                <c:pt idx="2">
                  <c:v>2.353728924681934</c:v>
                </c:pt>
                <c:pt idx="3">
                  <c:v>2.4574544458885539</c:v>
                </c:pt>
                <c:pt idx="4">
                  <c:v>2.438581607326002</c:v>
                </c:pt>
                <c:pt idx="5">
                  <c:v>2.3372057695760837</c:v>
                </c:pt>
                <c:pt idx="6">
                  <c:v>1.7486657511493757</c:v>
                </c:pt>
                <c:pt idx="7">
                  <c:v>1.6155386468996658</c:v>
                </c:pt>
                <c:pt idx="8">
                  <c:v>1.7318856443368991</c:v>
                </c:pt>
              </c:numCache>
            </c:numRef>
          </c:val>
          <c:smooth val="0"/>
          <c:extLst>
            <c:ext xmlns:c16="http://schemas.microsoft.com/office/drawing/2014/chart" uri="{C3380CC4-5D6E-409C-BE32-E72D297353CC}">
              <c16:uniqueId val="{0000000B-ACD8-4D96-A756-54DB47863E4C}"/>
            </c:ext>
          </c:extLst>
        </c:ser>
        <c:ser>
          <c:idx val="12"/>
          <c:order val="12"/>
          <c:tx>
            <c:strRef>
              <c:f>'Country Petrol Prices'!$N$71</c:f>
              <c:strCache>
                <c:ptCount val="1"/>
                <c:pt idx="0">
                  <c:v>Japan</c:v>
                </c:pt>
              </c:strCache>
            </c:strRef>
          </c:tx>
          <c:spPr>
            <a:ln w="28575" cap="rnd">
              <a:solidFill>
                <a:schemeClr val="accent1">
                  <a:lumMod val="80000"/>
                  <a:lumOff val="20000"/>
                </a:schemeClr>
              </a:solidFill>
              <a:prstDash val="sysDot"/>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Prices'!$N$81:$N$89</c:f>
              <c:numCache>
                <c:formatCode>0.00</c:formatCode>
                <c:ptCount val="9"/>
                <c:pt idx="0">
                  <c:v>1.4620989056138896</c:v>
                </c:pt>
                <c:pt idx="1">
                  <c:v>1.7087867591831254</c:v>
                </c:pt>
                <c:pt idx="2">
                  <c:v>1.9853109580677133</c:v>
                </c:pt>
                <c:pt idx="3">
                  <c:v>1.9560621008573718</c:v>
                </c:pt>
                <c:pt idx="4">
                  <c:v>1.6715541066765489</c:v>
                </c:pt>
                <c:pt idx="5">
                  <c:v>1.5839290360129055</c:v>
                </c:pt>
                <c:pt idx="6">
                  <c:v>1.1711880103687171</c:v>
                </c:pt>
                <c:pt idx="7">
                  <c:v>1.1348941941040496</c:v>
                </c:pt>
                <c:pt idx="8">
                  <c:v>1.1920999013176987</c:v>
                </c:pt>
              </c:numCache>
            </c:numRef>
          </c:val>
          <c:smooth val="0"/>
          <c:extLst>
            <c:ext xmlns:c16="http://schemas.microsoft.com/office/drawing/2014/chart" uri="{C3380CC4-5D6E-409C-BE32-E72D297353CC}">
              <c16:uniqueId val="{0000000C-ACD8-4D96-A756-54DB47863E4C}"/>
            </c:ext>
          </c:extLst>
        </c:ser>
        <c:ser>
          <c:idx val="13"/>
          <c:order val="13"/>
          <c:tx>
            <c:strRef>
              <c:f>'Country Petrol Prices'!$O$71</c:f>
              <c:strCache>
                <c:ptCount val="1"/>
                <c:pt idx="0">
                  <c:v>Korea</c:v>
                </c:pt>
              </c:strCache>
            </c:strRef>
          </c:tx>
          <c:spPr>
            <a:ln w="28575" cap="rnd">
              <a:solidFill>
                <a:schemeClr val="accent2">
                  <a:lumMod val="80000"/>
                  <a:lumOff val="2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Prices'!$O$81:$O$89</c:f>
              <c:numCache>
                <c:formatCode>0.00</c:formatCode>
                <c:ptCount val="9"/>
                <c:pt idx="0">
                  <c:v>1.4100962798145262</c:v>
                </c:pt>
                <c:pt idx="1">
                  <c:v>1.6529727791230953</c:v>
                </c:pt>
                <c:pt idx="2">
                  <c:v>1.8015616225314599</c:v>
                </c:pt>
                <c:pt idx="3">
                  <c:v>1.8577810198013387</c:v>
                </c:pt>
                <c:pt idx="4">
                  <c:v>1.7595050969036685</c:v>
                </c:pt>
                <c:pt idx="5">
                  <c:v>1.6851819616081065</c:v>
                </c:pt>
                <c:pt idx="6">
                  <c:v>1.3879200313629982</c:v>
                </c:pt>
                <c:pt idx="7">
                  <c:v>1.2192218597334059</c:v>
                </c:pt>
                <c:pt idx="8">
                  <c:v>1.3249214967578729</c:v>
                </c:pt>
              </c:numCache>
            </c:numRef>
          </c:val>
          <c:smooth val="0"/>
          <c:extLst>
            <c:ext xmlns:c16="http://schemas.microsoft.com/office/drawing/2014/chart" uri="{C3380CC4-5D6E-409C-BE32-E72D297353CC}">
              <c16:uniqueId val="{0000000D-ACD8-4D96-A756-54DB47863E4C}"/>
            </c:ext>
          </c:extLst>
        </c:ser>
        <c:ser>
          <c:idx val="14"/>
          <c:order val="14"/>
          <c:tx>
            <c:strRef>
              <c:f>'Country Petrol Prices'!$P$71</c:f>
              <c:strCache>
                <c:ptCount val="1"/>
                <c:pt idx="0">
                  <c:v>Netherlands</c:v>
                </c:pt>
              </c:strCache>
            </c:strRef>
          </c:tx>
          <c:spPr>
            <a:ln w="28575" cap="rnd">
              <a:solidFill>
                <a:schemeClr val="accent3">
                  <a:lumMod val="80000"/>
                  <a:lumOff val="20000"/>
                </a:schemeClr>
              </a:solidFill>
              <a:prstDash val="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Prices'!$P$81:$P$89</c:f>
              <c:numCache>
                <c:formatCode>0.00</c:formatCode>
                <c:ptCount val="9"/>
                <c:pt idx="0">
                  <c:v>2.1234737711049592</c:v>
                </c:pt>
                <c:pt idx="1">
                  <c:v>2.2184460399160337</c:v>
                </c:pt>
                <c:pt idx="2">
                  <c:v>2.486791323411055</c:v>
                </c:pt>
                <c:pt idx="3">
                  <c:v>2.4192451803106314</c:v>
                </c:pt>
                <c:pt idx="4">
                  <c:v>2.4231058312845137</c:v>
                </c:pt>
                <c:pt idx="5">
                  <c:v>2.3177352202071262</c:v>
                </c:pt>
                <c:pt idx="6">
                  <c:v>1.777849270862959</c:v>
                </c:pt>
                <c:pt idx="7">
                  <c:v>1.6533331486586718</c:v>
                </c:pt>
                <c:pt idx="8">
                  <c:v>1.7596286683944824</c:v>
                </c:pt>
              </c:numCache>
            </c:numRef>
          </c:val>
          <c:smooth val="0"/>
          <c:extLst>
            <c:ext xmlns:c16="http://schemas.microsoft.com/office/drawing/2014/chart" uri="{C3380CC4-5D6E-409C-BE32-E72D297353CC}">
              <c16:uniqueId val="{0000000E-ACD8-4D96-A756-54DB47863E4C}"/>
            </c:ext>
          </c:extLst>
        </c:ser>
        <c:ser>
          <c:idx val="15"/>
          <c:order val="15"/>
          <c:tx>
            <c:strRef>
              <c:f>'Country Petrol Prices'!$Q$71</c:f>
              <c:strCache>
                <c:ptCount val="1"/>
                <c:pt idx="0">
                  <c:v>NZ</c:v>
                </c:pt>
              </c:strCache>
            </c:strRef>
          </c:tx>
          <c:spPr>
            <a:ln w="28575" cap="rnd">
              <a:solidFill>
                <a:schemeClr val="accent4">
                  <a:lumMod val="80000"/>
                  <a:lumOff val="20000"/>
                </a:schemeClr>
              </a:solidFill>
              <a:prstDash val="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Prices'!$Q$81:$Q$89</c:f>
              <c:numCache>
                <c:formatCode>0.00</c:formatCode>
                <c:ptCount val="9"/>
                <c:pt idx="0">
                  <c:v>1.1403099600432409</c:v>
                </c:pt>
                <c:pt idx="1">
                  <c:v>1.4246050834604584</c:v>
                </c:pt>
                <c:pt idx="2">
                  <c:v>1.7992798988852605</c:v>
                </c:pt>
                <c:pt idx="3">
                  <c:v>1.857850791678008</c:v>
                </c:pt>
                <c:pt idx="4">
                  <c:v>1.8486508864823998</c:v>
                </c:pt>
                <c:pt idx="5">
                  <c:v>1.8470272587602219</c:v>
                </c:pt>
                <c:pt idx="6">
                  <c:v>1.408044062737672</c:v>
                </c:pt>
                <c:pt idx="7">
                  <c:v>1.33087893718232</c:v>
                </c:pt>
                <c:pt idx="8">
                  <c:v>1.4380459588444365</c:v>
                </c:pt>
              </c:numCache>
            </c:numRef>
          </c:val>
          <c:smooth val="0"/>
          <c:extLst>
            <c:ext xmlns:c16="http://schemas.microsoft.com/office/drawing/2014/chart" uri="{C3380CC4-5D6E-409C-BE32-E72D297353CC}">
              <c16:uniqueId val="{0000000F-ACD8-4D96-A756-54DB47863E4C}"/>
            </c:ext>
          </c:extLst>
        </c:ser>
        <c:ser>
          <c:idx val="16"/>
          <c:order val="16"/>
          <c:tx>
            <c:strRef>
              <c:f>'Country Petrol Prices'!$R$71</c:f>
              <c:strCache>
                <c:ptCount val="1"/>
                <c:pt idx="0">
                  <c:v>Norway</c:v>
                </c:pt>
              </c:strCache>
            </c:strRef>
          </c:tx>
          <c:spPr>
            <a:ln w="28575" cap="rnd">
              <a:solidFill>
                <a:schemeClr val="accent5">
                  <a:lumMod val="80000"/>
                  <a:lumOff val="2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Prices'!$R$81:$R$89</c:f>
              <c:numCache>
                <c:formatCode>0.00</c:formatCode>
                <c:ptCount val="9"/>
                <c:pt idx="0">
                  <c:v>2.1502576133219375</c:v>
                </c:pt>
                <c:pt idx="1">
                  <c:v>2.3500474995433609</c:v>
                </c:pt>
                <c:pt idx="2">
                  <c:v>2.652913764391188</c:v>
                </c:pt>
                <c:pt idx="3">
                  <c:v>2.6907389662937611</c:v>
                </c:pt>
                <c:pt idx="4">
                  <c:v>2.7355550465779297</c:v>
                </c:pt>
                <c:pt idx="5">
                  <c:v>2.5676527580507567</c:v>
                </c:pt>
                <c:pt idx="6">
                  <c:v>1.9223538702431777</c:v>
                </c:pt>
                <c:pt idx="7">
                  <c:v>1.7846744414431119</c:v>
                </c:pt>
                <c:pt idx="8">
                  <c:v>1.9648927935342015</c:v>
                </c:pt>
              </c:numCache>
            </c:numRef>
          </c:val>
          <c:smooth val="0"/>
          <c:extLst>
            <c:ext xmlns:c16="http://schemas.microsoft.com/office/drawing/2014/chart" uri="{C3380CC4-5D6E-409C-BE32-E72D297353CC}">
              <c16:uniqueId val="{00000010-ACD8-4D96-A756-54DB47863E4C}"/>
            </c:ext>
          </c:extLst>
        </c:ser>
        <c:ser>
          <c:idx val="17"/>
          <c:order val="17"/>
          <c:tx>
            <c:strRef>
              <c:f>'Country Petrol Prices'!$S$71</c:f>
              <c:strCache>
                <c:ptCount val="1"/>
                <c:pt idx="0">
                  <c:v>Spain</c:v>
                </c:pt>
              </c:strCache>
            </c:strRef>
          </c:tx>
          <c:spPr>
            <a:ln w="28575" cap="rnd">
              <a:solidFill>
                <a:schemeClr val="accent6">
                  <a:lumMod val="80000"/>
                  <a:lumOff val="2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Prices'!$S$81:$S$89</c:f>
              <c:numCache>
                <c:formatCode>0.00</c:formatCode>
                <c:ptCount val="9"/>
                <c:pt idx="0">
                  <c:v>1.5843043325742137</c:v>
                </c:pt>
                <c:pt idx="1">
                  <c:v>1.7195539830353819</c:v>
                </c:pt>
                <c:pt idx="2">
                  <c:v>1.9990195166142131</c:v>
                </c:pt>
                <c:pt idx="3">
                  <c:v>1.9591951111237218</c:v>
                </c:pt>
                <c:pt idx="4">
                  <c:v>1.996634936191374</c:v>
                </c:pt>
                <c:pt idx="5">
                  <c:v>1.8965739746151142</c:v>
                </c:pt>
                <c:pt idx="6">
                  <c:v>1.4007622975517426</c:v>
                </c:pt>
                <c:pt idx="7">
                  <c:v>1.2866928104648911</c:v>
                </c:pt>
                <c:pt idx="8">
                  <c:v>1.3795778534189864</c:v>
                </c:pt>
              </c:numCache>
            </c:numRef>
          </c:val>
          <c:smooth val="0"/>
          <c:extLst>
            <c:ext xmlns:c16="http://schemas.microsoft.com/office/drawing/2014/chart" uri="{C3380CC4-5D6E-409C-BE32-E72D297353CC}">
              <c16:uniqueId val="{00000011-ACD8-4D96-A756-54DB47863E4C}"/>
            </c:ext>
          </c:extLst>
        </c:ser>
        <c:ser>
          <c:idx val="18"/>
          <c:order val="18"/>
          <c:tx>
            <c:strRef>
              <c:f>'Country Petrol Prices'!$T$71</c:f>
              <c:strCache>
                <c:ptCount val="1"/>
                <c:pt idx="0">
                  <c:v>Sweden </c:v>
                </c:pt>
              </c:strCache>
            </c:strRef>
          </c:tx>
          <c:spPr>
            <a:ln w="28575" cap="rnd">
              <a:solidFill>
                <a:srgbClr val="FF0000"/>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Prices'!$T$81:$T$89</c:f>
              <c:numCache>
                <c:formatCode>0.00</c:formatCode>
                <c:ptCount val="9"/>
                <c:pt idx="0">
                  <c:v>1.7779894900865321</c:v>
                </c:pt>
                <c:pt idx="1">
                  <c:v>1.9784699839936477</c:v>
                </c:pt>
                <c:pt idx="2">
                  <c:v>2.3413706289513456</c:v>
                </c:pt>
                <c:pt idx="3">
                  <c:v>2.3505221822526932</c:v>
                </c:pt>
                <c:pt idx="4">
                  <c:v>2.3282371612980781</c:v>
                </c:pt>
                <c:pt idx="5">
                  <c:v>2.1417293026087112</c:v>
                </c:pt>
                <c:pt idx="6">
                  <c:v>1.6028569995487234</c:v>
                </c:pt>
                <c:pt idx="7">
                  <c:v>1.5497194206699836</c:v>
                </c:pt>
                <c:pt idx="8">
                  <c:v>1.6501249417070989</c:v>
                </c:pt>
              </c:numCache>
            </c:numRef>
          </c:val>
          <c:smooth val="0"/>
          <c:extLst>
            <c:ext xmlns:c16="http://schemas.microsoft.com/office/drawing/2014/chart" uri="{C3380CC4-5D6E-409C-BE32-E72D297353CC}">
              <c16:uniqueId val="{00000012-ACD8-4D96-A756-54DB47863E4C}"/>
            </c:ext>
          </c:extLst>
        </c:ser>
        <c:ser>
          <c:idx val="19"/>
          <c:order val="19"/>
          <c:tx>
            <c:strRef>
              <c:f>'Country Petrol Prices'!$U$71</c:f>
              <c:strCache>
                <c:ptCount val="1"/>
                <c:pt idx="0">
                  <c:v>Switzerland</c:v>
                </c:pt>
              </c:strCache>
            </c:strRef>
          </c:tx>
          <c:spPr>
            <a:ln w="28575" cap="rnd">
              <a:solidFill>
                <a:schemeClr val="accent2">
                  <a:lumMod val="80000"/>
                </a:schemeClr>
              </a:solidFill>
              <a:prstDash val="dash"/>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Prices'!$U$81:$U$89</c:f>
              <c:numCache>
                <c:formatCode>0.00</c:formatCode>
                <c:ptCount val="9"/>
                <c:pt idx="0">
                  <c:v>1.576293881676083</c:v>
                </c:pt>
                <c:pt idx="1">
                  <c:v>1.7658618213712656</c:v>
                </c:pt>
                <c:pt idx="2">
                  <c:v>2.1183934016875248</c:v>
                </c:pt>
                <c:pt idx="3">
                  <c:v>2.0084358546427397</c:v>
                </c:pt>
                <c:pt idx="4">
                  <c:v>1.984246329586574</c:v>
                </c:pt>
                <c:pt idx="5">
                  <c:v>1.9084860353838804</c:v>
                </c:pt>
                <c:pt idx="6">
                  <c:v>1.5512504674422107</c:v>
                </c:pt>
                <c:pt idx="7">
                  <c:v>1.4377125277865987</c:v>
                </c:pt>
                <c:pt idx="8">
                  <c:v>1.5261753844457913</c:v>
                </c:pt>
              </c:numCache>
            </c:numRef>
          </c:val>
          <c:smooth val="0"/>
          <c:extLst>
            <c:ext xmlns:c16="http://schemas.microsoft.com/office/drawing/2014/chart" uri="{C3380CC4-5D6E-409C-BE32-E72D297353CC}">
              <c16:uniqueId val="{00000013-ACD8-4D96-A756-54DB47863E4C}"/>
            </c:ext>
          </c:extLst>
        </c:ser>
        <c:ser>
          <c:idx val="20"/>
          <c:order val="20"/>
          <c:tx>
            <c:strRef>
              <c:f>'Country Petrol Prices'!$V$71</c:f>
              <c:strCache>
                <c:ptCount val="1"/>
                <c:pt idx="0">
                  <c:v>UK</c:v>
                </c:pt>
              </c:strCache>
            </c:strRef>
          </c:tx>
          <c:spPr>
            <a:ln w="28575" cap="rnd">
              <a:solidFill>
                <a:schemeClr val="accent3">
                  <a:lumMod val="8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Prices'!$V$81:$V$89</c:f>
              <c:numCache>
                <c:formatCode>0.00</c:formatCode>
                <c:ptCount val="9"/>
                <c:pt idx="0">
                  <c:v>1.7606717500274409</c:v>
                </c:pt>
                <c:pt idx="1">
                  <c:v>2.0194038794336047</c:v>
                </c:pt>
                <c:pt idx="2">
                  <c:v>2.3329638293825687</c:v>
                </c:pt>
                <c:pt idx="3">
                  <c:v>2.3048697972868433</c:v>
                </c:pt>
                <c:pt idx="4">
                  <c:v>2.2064694410828536</c:v>
                </c:pt>
                <c:pt idx="5">
                  <c:v>2.1604144264250151</c:v>
                </c:pt>
                <c:pt idx="6">
                  <c:v>1.7461975475313363</c:v>
                </c:pt>
                <c:pt idx="7">
                  <c:v>1.4897523445426626</c:v>
                </c:pt>
                <c:pt idx="8">
                  <c:v>1.5203168567427807</c:v>
                </c:pt>
              </c:numCache>
            </c:numRef>
          </c:val>
          <c:smooth val="0"/>
          <c:extLst>
            <c:ext xmlns:c16="http://schemas.microsoft.com/office/drawing/2014/chart" uri="{C3380CC4-5D6E-409C-BE32-E72D297353CC}">
              <c16:uniqueId val="{00000014-ACD8-4D96-A756-54DB47863E4C}"/>
            </c:ext>
          </c:extLst>
        </c:ser>
        <c:ser>
          <c:idx val="21"/>
          <c:order val="21"/>
          <c:tx>
            <c:strRef>
              <c:f>'Country Petrol Prices'!$W$71</c:f>
              <c:strCache>
                <c:ptCount val="1"/>
                <c:pt idx="0">
                  <c:v>USA</c:v>
                </c:pt>
              </c:strCache>
            </c:strRef>
          </c:tx>
          <c:spPr>
            <a:ln w="28575" cap="rnd">
              <a:solidFill>
                <a:schemeClr val="accent4">
                  <a:lumMod val="80000"/>
                </a:schemeClr>
              </a:solidFill>
              <a:round/>
            </a:ln>
            <a:effectLst/>
          </c:spPr>
          <c:marker>
            <c:symbol val="none"/>
          </c:marker>
          <c:cat>
            <c:numRef>
              <c:f>'Country Petrol Prices'!$A$81:$A$89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'Country Petrol Prices'!$W$81:$W$89</c:f>
              <c:numCache>
                <c:formatCode>0.00</c:formatCode>
                <c:ptCount val="9"/>
                <c:pt idx="0">
                  <c:v>0.70592554685770581</c:v>
                </c:pt>
                <c:pt idx="1">
                  <c:v>0.82231229276191264</c:v>
                </c:pt>
                <c:pt idx="2">
                  <c:v>1.0100068112840681</c:v>
                </c:pt>
                <c:pt idx="3">
                  <c:v>1.0186875388201744</c:v>
                </c:pt>
                <c:pt idx="4">
                  <c:v>0.97087660796480113</c:v>
                </c:pt>
                <c:pt idx="5">
                  <c:v>0.91644141700464832</c:v>
                </c:pt>
                <c:pt idx="6">
                  <c:v>0.65917229583333325</c:v>
                </c:pt>
                <c:pt idx="7">
                  <c:v>0.58421708333333333</c:v>
                </c:pt>
                <c:pt idx="8">
                  <c:v>0.6386666666666666</c:v>
                </c:pt>
              </c:numCache>
            </c:numRef>
          </c:val>
          <c:smooth val="0"/>
          <c:extLst>
            <c:ext xmlns:c16="http://schemas.microsoft.com/office/drawing/2014/chart" uri="{C3380CC4-5D6E-409C-BE32-E72D297353CC}">
              <c16:uniqueId val="{00000015-ACD8-4D96-A756-54DB47863E4C}"/>
            </c:ext>
          </c:extLst>
        </c:ser>
        <c:dLbls>
          <c:showLegendKey val="0"/>
          <c:showVal val="0"/>
          <c:showCatName val="0"/>
          <c:showSerName val="0"/>
          <c:showPercent val="0"/>
          <c:showBubbleSize val="0"/>
        </c:dLbls>
        <c:smooth val="0"/>
        <c:axId val="705618536"/>
        <c:axId val="705617552"/>
      </c:lineChart>
      <c:catAx>
        <c:axId val="70561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617552"/>
        <c:crosses val="autoZero"/>
        <c:auto val="1"/>
        <c:lblAlgn val="ctr"/>
        <c:lblOffset val="100"/>
        <c:noMultiLvlLbl val="0"/>
      </c:catAx>
      <c:valAx>
        <c:axId val="705617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2017US$ per litre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618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Petrol price vs USA</a:t>
            </a:r>
            <a:r>
              <a:rPr lang="en-AU" sz="1400" b="0" i="0" u="none" strike="noStrike" baseline="0"/>
              <a:t> </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86482939632541E-2"/>
          <c:y val="7.0179743564874053E-2"/>
          <c:w val="0.89655796150481193"/>
          <c:h val="0.85990735033673515"/>
        </c:manualLayout>
      </c:layout>
      <c:lineChart>
        <c:grouping val="standard"/>
        <c:varyColors val="0"/>
        <c:ser>
          <c:idx val="0"/>
          <c:order val="0"/>
          <c:tx>
            <c:strRef>
              <c:f>'Country Petrol Prices'!$B$107</c:f>
              <c:strCache>
                <c:ptCount val="1"/>
                <c:pt idx="0">
                  <c:v>Australia</c:v>
                </c:pt>
              </c:strCache>
            </c:strRef>
          </c:tx>
          <c:spPr>
            <a:ln w="28575" cap="rnd">
              <a:solidFill>
                <a:schemeClr val="accent1"/>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Prices'!$B$108:$B$117</c:f>
              <c:numCache>
                <c:formatCode>0.0</c:formatCode>
                <c:ptCount val="10"/>
                <c:pt idx="0">
                  <c:v>1.5040628590922178</c:v>
                </c:pt>
                <c:pt idx="1">
                  <c:v>1.57840520956765</c:v>
                </c:pt>
                <c:pt idx="2">
                  <c:v>1.5775735847957406</c:v>
                </c:pt>
                <c:pt idx="3">
                  <c:v>1.5557350962427188</c:v>
                </c:pt>
                <c:pt idx="4">
                  <c:v>1.514302289029648</c:v>
                </c:pt>
                <c:pt idx="5">
                  <c:v>1.4869953060221073</c:v>
                </c:pt>
                <c:pt idx="6">
                  <c:v>1.4935980936180986</c:v>
                </c:pt>
                <c:pt idx="7">
                  <c:v>1.5070510080224144</c:v>
                </c:pt>
                <c:pt idx="8">
                  <c:v>1.5417622443115677</c:v>
                </c:pt>
              </c:numCache>
            </c:numRef>
          </c:val>
          <c:smooth val="0"/>
          <c:extLst>
            <c:ext xmlns:c16="http://schemas.microsoft.com/office/drawing/2014/chart" uri="{C3380CC4-5D6E-409C-BE32-E72D297353CC}">
              <c16:uniqueId val="{00000000-CE0D-4E9F-A4D9-2B0D6904A72D}"/>
            </c:ext>
          </c:extLst>
        </c:ser>
        <c:ser>
          <c:idx val="1"/>
          <c:order val="1"/>
          <c:tx>
            <c:strRef>
              <c:f>'Country Petrol Prices'!$C$107</c:f>
              <c:strCache>
                <c:ptCount val="1"/>
                <c:pt idx="0">
                  <c:v>Austria</c:v>
                </c:pt>
              </c:strCache>
            </c:strRef>
          </c:tx>
          <c:spPr>
            <a:ln w="28575" cap="rnd">
              <a:solidFill>
                <a:schemeClr val="accent2"/>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Prices'!$C$108:$C$117</c:f>
              <c:numCache>
                <c:formatCode>0.0</c:formatCode>
                <c:ptCount val="10"/>
                <c:pt idx="0">
                  <c:v>2.3361261876731572</c:v>
                </c:pt>
                <c:pt idx="1">
                  <c:v>2.1306093348162722</c:v>
                </c:pt>
                <c:pt idx="2">
                  <c:v>2.0391965601081048</c:v>
                </c:pt>
                <c:pt idx="3">
                  <c:v>1.9558082619798847</c:v>
                </c:pt>
                <c:pt idx="4">
                  <c:v>2.0007371177277102</c:v>
                </c:pt>
                <c:pt idx="5">
                  <c:v>2.0056701845007385</c:v>
                </c:pt>
                <c:pt idx="6">
                  <c:v>2.0738368419428492</c:v>
                </c:pt>
                <c:pt idx="7">
                  <c:v>2.1295303469761793</c:v>
                </c:pt>
                <c:pt idx="8">
                  <c:v>2.0900807606731702</c:v>
                </c:pt>
              </c:numCache>
            </c:numRef>
          </c:val>
          <c:smooth val="0"/>
          <c:extLst>
            <c:ext xmlns:c16="http://schemas.microsoft.com/office/drawing/2014/chart" uri="{C3380CC4-5D6E-409C-BE32-E72D297353CC}">
              <c16:uniqueId val="{00000001-CE0D-4E9F-A4D9-2B0D6904A72D}"/>
            </c:ext>
          </c:extLst>
        </c:ser>
        <c:ser>
          <c:idx val="2"/>
          <c:order val="2"/>
          <c:tx>
            <c:strRef>
              <c:f>'Country Petrol Prices'!$D$107</c:f>
              <c:strCache>
                <c:ptCount val="1"/>
                <c:pt idx="0">
                  <c:v>Belgium</c:v>
                </c:pt>
              </c:strCache>
            </c:strRef>
          </c:tx>
          <c:spPr>
            <a:ln w="28575" cap="rnd">
              <a:solidFill>
                <a:schemeClr val="accent3"/>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Prices'!$D$108:$D$117</c:f>
              <c:numCache>
                <c:formatCode>0.0</c:formatCode>
                <c:ptCount val="10"/>
                <c:pt idx="0">
                  <c:v>2.9475954582721724</c:v>
                </c:pt>
                <c:pt idx="1">
                  <c:v>2.613451719875731</c:v>
                </c:pt>
                <c:pt idx="2">
                  <c:v>2.4118522637673903</c:v>
                </c:pt>
                <c:pt idx="3">
                  <c:v>2.3081850509452835</c:v>
                </c:pt>
                <c:pt idx="4">
                  <c:v>2.3619460748484244</c:v>
                </c:pt>
                <c:pt idx="5">
                  <c:v>2.3698785514951304</c:v>
                </c:pt>
                <c:pt idx="6">
                  <c:v>2.4493006407829339</c:v>
                </c:pt>
                <c:pt idx="7">
                  <c:v>2.516077133063118</c:v>
                </c:pt>
                <c:pt idx="8">
                  <c:v>2.4917315969824023</c:v>
                </c:pt>
              </c:numCache>
            </c:numRef>
          </c:val>
          <c:smooth val="0"/>
          <c:extLst>
            <c:ext xmlns:c16="http://schemas.microsoft.com/office/drawing/2014/chart" uri="{C3380CC4-5D6E-409C-BE32-E72D297353CC}">
              <c16:uniqueId val="{00000002-CE0D-4E9F-A4D9-2B0D6904A72D}"/>
            </c:ext>
          </c:extLst>
        </c:ser>
        <c:ser>
          <c:idx val="3"/>
          <c:order val="3"/>
          <c:tx>
            <c:strRef>
              <c:f>'Country Petrol Prices'!$E$107</c:f>
              <c:strCache>
                <c:ptCount val="1"/>
                <c:pt idx="0">
                  <c:v>Canada</c:v>
                </c:pt>
              </c:strCache>
            </c:strRef>
          </c:tx>
          <c:spPr>
            <a:ln w="28575" cap="rnd">
              <a:solidFill>
                <a:schemeClr val="accent4"/>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Prices'!$E$108:$E$117</c:f>
              <c:numCache>
                <c:formatCode>0.0</c:formatCode>
                <c:ptCount val="10"/>
                <c:pt idx="0">
                  <c:v>1.3385427781799315</c:v>
                </c:pt>
                <c:pt idx="1">
                  <c:v>1.3574283646553724</c:v>
                </c:pt>
                <c:pt idx="2">
                  <c:v>1.3348280801471548</c:v>
                </c:pt>
                <c:pt idx="3">
                  <c:v>1.3212585069908205</c:v>
                </c:pt>
                <c:pt idx="4">
                  <c:v>1.3238331453349204</c:v>
                </c:pt>
                <c:pt idx="5">
                  <c:v>1.2951659423945616</c:v>
                </c:pt>
                <c:pt idx="6">
                  <c:v>1.2881065667523937</c:v>
                </c:pt>
                <c:pt idx="7">
                  <c:v>1.3207112881131819</c:v>
                </c:pt>
                <c:pt idx="8">
                  <c:v>1.3476487072988912</c:v>
                </c:pt>
              </c:numCache>
            </c:numRef>
          </c:val>
          <c:smooth val="0"/>
          <c:extLst>
            <c:ext xmlns:c16="http://schemas.microsoft.com/office/drawing/2014/chart" uri="{C3380CC4-5D6E-409C-BE32-E72D297353CC}">
              <c16:uniqueId val="{00000003-CE0D-4E9F-A4D9-2B0D6904A72D}"/>
            </c:ext>
          </c:extLst>
        </c:ser>
        <c:ser>
          <c:idx val="4"/>
          <c:order val="4"/>
          <c:tx>
            <c:strRef>
              <c:f>'Country Petrol Prices'!$F$107</c:f>
              <c:strCache>
                <c:ptCount val="1"/>
                <c:pt idx="0">
                  <c:v>China</c:v>
                </c:pt>
              </c:strCache>
            </c:strRef>
          </c:tx>
          <c:spPr>
            <a:ln w="28575" cap="rnd">
              <a:solidFill>
                <a:schemeClr val="accent5"/>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Prices'!$F$108:$F$117</c:f>
              <c:numCache>
                <c:formatCode>0.0</c:formatCode>
                <c:ptCount val="10"/>
                <c:pt idx="0">
                  <c:v>1.4161766978162644</c:v>
                </c:pt>
                <c:pt idx="1">
                  <c:v>1.3679148923586761</c:v>
                </c:pt>
                <c:pt idx="2">
                  <c:v>1.2646905525480174</c:v>
                </c:pt>
                <c:pt idx="3">
                  <c:v>1.3065792397927805</c:v>
                </c:pt>
                <c:pt idx="4">
                  <c:v>1.3248608482090363</c:v>
                </c:pt>
                <c:pt idx="5">
                  <c:v>1.3168261114237478</c:v>
                </c:pt>
                <c:pt idx="6">
                  <c:v>1.2503256056264653</c:v>
                </c:pt>
                <c:pt idx="7">
                  <c:v>1.2874062661965633</c:v>
                </c:pt>
                <c:pt idx="8">
                  <c:v>1.1273486430062631</c:v>
                </c:pt>
              </c:numCache>
            </c:numRef>
          </c:val>
          <c:smooth val="0"/>
          <c:extLst>
            <c:ext xmlns:c16="http://schemas.microsoft.com/office/drawing/2014/chart" uri="{C3380CC4-5D6E-409C-BE32-E72D297353CC}">
              <c16:uniqueId val="{00000004-CE0D-4E9F-A4D9-2B0D6904A72D}"/>
            </c:ext>
          </c:extLst>
        </c:ser>
        <c:ser>
          <c:idx val="5"/>
          <c:order val="5"/>
          <c:tx>
            <c:strRef>
              <c:f>'Country Petrol Prices'!$G$107</c:f>
              <c:strCache>
                <c:ptCount val="1"/>
                <c:pt idx="0">
                  <c:v>Denmark</c:v>
                </c:pt>
              </c:strCache>
            </c:strRef>
          </c:tx>
          <c:spPr>
            <a:ln w="28575" cap="rnd">
              <a:solidFill>
                <a:schemeClr val="accent6"/>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Prices'!$G$108:$G$117</c:f>
              <c:numCache>
                <c:formatCode>0.0</c:formatCode>
                <c:ptCount val="10"/>
                <c:pt idx="0">
                  <c:v>2.8481652426364281</c:v>
                </c:pt>
                <c:pt idx="1">
                  <c:v>2.5884094283304955</c:v>
                </c:pt>
                <c:pt idx="2">
                  <c:v>2.4190421025643256</c:v>
                </c:pt>
                <c:pt idx="3">
                  <c:v>2.2937733282488022</c:v>
                </c:pt>
                <c:pt idx="4">
                  <c:v>2.4074783325096685</c:v>
                </c:pt>
                <c:pt idx="5">
                  <c:v>2.4465640133217721</c:v>
                </c:pt>
                <c:pt idx="6">
                  <c:v>2.5915848456069375</c:v>
                </c:pt>
                <c:pt idx="7">
                  <c:v>2.7082183680307836</c:v>
                </c:pt>
                <c:pt idx="8">
                  <c:v>2.6423245613540147</c:v>
                </c:pt>
              </c:numCache>
            </c:numRef>
          </c:val>
          <c:smooth val="0"/>
          <c:extLst>
            <c:ext xmlns:c16="http://schemas.microsoft.com/office/drawing/2014/chart" uri="{C3380CC4-5D6E-409C-BE32-E72D297353CC}">
              <c16:uniqueId val="{00000005-CE0D-4E9F-A4D9-2B0D6904A72D}"/>
            </c:ext>
          </c:extLst>
        </c:ser>
        <c:ser>
          <c:idx val="6"/>
          <c:order val="6"/>
          <c:tx>
            <c:strRef>
              <c:f>'Country Petrol Prices'!$H$107</c:f>
              <c:strCache>
                <c:ptCount val="1"/>
                <c:pt idx="0">
                  <c:v>Finland</c:v>
                </c:pt>
              </c:strCache>
            </c:strRef>
          </c:tx>
          <c:spPr>
            <a:ln w="28575" cap="rnd">
              <a:solidFill>
                <a:schemeClr val="accent1">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Prices'!$H$108:$H$117</c:f>
              <c:numCache>
                <c:formatCode>0.0</c:formatCode>
                <c:ptCount val="10"/>
                <c:pt idx="0">
                  <c:v>2.8607901159145634</c:v>
                </c:pt>
                <c:pt idx="1">
                  <c:v>2.5596214425944268</c:v>
                </c:pt>
                <c:pt idx="2">
                  <c:v>2.343243272029194</c:v>
                </c:pt>
                <c:pt idx="3">
                  <c:v>2.2538915127640484</c:v>
                </c:pt>
                <c:pt idx="4">
                  <c:v>2.3591673432840627</c:v>
                </c:pt>
                <c:pt idx="5">
                  <c:v>2.3885170947470118</c:v>
                </c:pt>
                <c:pt idx="6">
                  <c:v>2.5327412831822476</c:v>
                </c:pt>
                <c:pt idx="7">
                  <c:v>2.6457510970817393</c:v>
                </c:pt>
                <c:pt idx="8">
                  <c:v>2.5993231582661838</c:v>
                </c:pt>
              </c:numCache>
            </c:numRef>
          </c:val>
          <c:smooth val="0"/>
          <c:extLst>
            <c:ext xmlns:c16="http://schemas.microsoft.com/office/drawing/2014/chart" uri="{C3380CC4-5D6E-409C-BE32-E72D297353CC}">
              <c16:uniqueId val="{00000006-CE0D-4E9F-A4D9-2B0D6904A72D}"/>
            </c:ext>
          </c:extLst>
        </c:ser>
        <c:ser>
          <c:idx val="7"/>
          <c:order val="7"/>
          <c:tx>
            <c:strRef>
              <c:f>'Country Petrol Prices'!$I$107</c:f>
              <c:strCache>
                <c:ptCount val="1"/>
                <c:pt idx="0">
                  <c:v>France</c:v>
                </c:pt>
              </c:strCache>
            </c:strRef>
          </c:tx>
          <c:spPr>
            <a:ln w="28575" cap="rnd">
              <a:solidFill>
                <a:schemeClr val="accent2">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Prices'!$I$108:$I$117</c:f>
              <c:numCache>
                <c:formatCode>0.0</c:formatCode>
                <c:ptCount val="10"/>
                <c:pt idx="0">
                  <c:v>2.7034557128681702</c:v>
                </c:pt>
                <c:pt idx="1">
                  <c:v>2.4124169721929825</c:v>
                </c:pt>
                <c:pt idx="2">
                  <c:v>2.250584655101405</c:v>
                </c:pt>
                <c:pt idx="3">
                  <c:v>2.1131610882352447</c:v>
                </c:pt>
                <c:pt idx="4">
                  <c:v>2.2078662887163301</c:v>
                </c:pt>
                <c:pt idx="5">
                  <c:v>2.2170087147997726</c:v>
                </c:pt>
                <c:pt idx="6">
                  <c:v>2.3400169094954393</c:v>
                </c:pt>
                <c:pt idx="7">
                  <c:v>2.4930948379515327</c:v>
                </c:pt>
                <c:pt idx="8">
                  <c:v>2.4414381338256059</c:v>
                </c:pt>
              </c:numCache>
            </c:numRef>
          </c:val>
          <c:smooth val="0"/>
          <c:extLst>
            <c:ext xmlns:c16="http://schemas.microsoft.com/office/drawing/2014/chart" uri="{C3380CC4-5D6E-409C-BE32-E72D297353CC}">
              <c16:uniqueId val="{00000007-CE0D-4E9F-A4D9-2B0D6904A72D}"/>
            </c:ext>
          </c:extLst>
        </c:ser>
        <c:ser>
          <c:idx val="8"/>
          <c:order val="8"/>
          <c:tx>
            <c:strRef>
              <c:f>'Country Petrol Prices'!$J$107</c:f>
              <c:strCache>
                <c:ptCount val="1"/>
                <c:pt idx="0">
                  <c:v>Germany</c:v>
                </c:pt>
              </c:strCache>
            </c:strRef>
          </c:tx>
          <c:spPr>
            <a:ln w="28575" cap="rnd">
              <a:solidFill>
                <a:schemeClr val="accent3">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Prices'!$J$108:$J$117</c:f>
              <c:numCache>
                <c:formatCode>0.0</c:formatCode>
                <c:ptCount val="10"/>
                <c:pt idx="0">
                  <c:v>2.8266902889427405</c:v>
                </c:pt>
                <c:pt idx="1">
                  <c:v>2.4968713473355808</c:v>
                </c:pt>
                <c:pt idx="2">
                  <c:v>2.2938776874789646</c:v>
                </c:pt>
                <c:pt idx="3">
                  <c:v>2.2276264881729246</c:v>
                </c:pt>
                <c:pt idx="4">
                  <c:v>2.2996634703793033</c:v>
                </c:pt>
                <c:pt idx="5">
                  <c:v>2.2931692901039278</c:v>
                </c:pt>
                <c:pt idx="6">
                  <c:v>2.4101813353569956</c:v>
                </c:pt>
                <c:pt idx="7">
                  <c:v>2.5012430094380553</c:v>
                </c:pt>
                <c:pt idx="8">
                  <c:v>2.438782575310551</c:v>
                </c:pt>
              </c:numCache>
            </c:numRef>
          </c:val>
          <c:smooth val="0"/>
          <c:extLst>
            <c:ext xmlns:c16="http://schemas.microsoft.com/office/drawing/2014/chart" uri="{C3380CC4-5D6E-409C-BE32-E72D297353CC}">
              <c16:uniqueId val="{00000008-CE0D-4E9F-A4D9-2B0D6904A72D}"/>
            </c:ext>
          </c:extLst>
        </c:ser>
        <c:ser>
          <c:idx val="9"/>
          <c:order val="9"/>
          <c:tx>
            <c:strRef>
              <c:f>'Country Petrol Prices'!$K$107</c:f>
              <c:strCache>
                <c:ptCount val="1"/>
                <c:pt idx="0">
                  <c:v>India</c:v>
                </c:pt>
              </c:strCache>
            </c:strRef>
          </c:tx>
          <c:spPr>
            <a:ln w="28575" cap="rnd">
              <a:solidFill>
                <a:schemeClr val="accent4">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Prices'!$K$108:$K$117</c:f>
              <c:numCache>
                <c:formatCode>0.0</c:formatCode>
                <c:ptCount val="10"/>
                <c:pt idx="0">
                  <c:v>1.4363243490826807</c:v>
                </c:pt>
                <c:pt idx="1">
                  <c:v>1.4723299207147997</c:v>
                </c:pt>
                <c:pt idx="2">
                  <c:v>1.428990064934748</c:v>
                </c:pt>
                <c:pt idx="3">
                  <c:v>1.3150460834636108</c:v>
                </c:pt>
                <c:pt idx="4">
                  <c:v>1.2752441297181725</c:v>
                </c:pt>
                <c:pt idx="5">
                  <c:v>1.2886958408331697</c:v>
                </c:pt>
                <c:pt idx="6">
                  <c:v>1.5084845417007411</c:v>
                </c:pt>
                <c:pt idx="7">
                  <c:v>1.6281819912446027</c:v>
                </c:pt>
                <c:pt idx="8">
                  <c:v>1.6464959545222406</c:v>
                </c:pt>
              </c:numCache>
            </c:numRef>
          </c:val>
          <c:smooth val="0"/>
          <c:extLst>
            <c:ext xmlns:c16="http://schemas.microsoft.com/office/drawing/2014/chart" uri="{C3380CC4-5D6E-409C-BE32-E72D297353CC}">
              <c16:uniqueId val="{00000009-CE0D-4E9F-A4D9-2B0D6904A72D}"/>
            </c:ext>
          </c:extLst>
        </c:ser>
        <c:ser>
          <c:idx val="10"/>
          <c:order val="10"/>
          <c:tx>
            <c:strRef>
              <c:f>'Country Petrol Prices'!$L$107</c:f>
              <c:strCache>
                <c:ptCount val="1"/>
                <c:pt idx="0">
                  <c:v>Ireland</c:v>
                </c:pt>
              </c:strCache>
            </c:strRef>
          </c:tx>
          <c:spPr>
            <a:ln w="28575" cap="rnd">
              <a:solidFill>
                <a:schemeClr val="accent5">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Prices'!$L$108:$L$117</c:f>
              <c:numCache>
                <c:formatCode>0.0</c:formatCode>
                <c:ptCount val="10"/>
                <c:pt idx="0">
                  <c:v>2.4766073329184679</c:v>
                </c:pt>
                <c:pt idx="1">
                  <c:v>2.3343181963074828</c:v>
                </c:pt>
                <c:pt idx="2">
                  <c:v>2.2255948167819151</c:v>
                </c:pt>
                <c:pt idx="3">
                  <c:v>2.1799472090983403</c:v>
                </c:pt>
                <c:pt idx="4">
                  <c:v>2.2809525801372867</c:v>
                </c:pt>
                <c:pt idx="5">
                  <c:v>2.2733925056370552</c:v>
                </c:pt>
                <c:pt idx="6">
                  <c:v>2.3618051881832236</c:v>
                </c:pt>
                <c:pt idx="7">
                  <c:v>2.4583197771469676</c:v>
                </c:pt>
                <c:pt idx="8">
                  <c:v>2.4208895072411925</c:v>
                </c:pt>
              </c:numCache>
            </c:numRef>
          </c:val>
          <c:smooth val="0"/>
          <c:extLst>
            <c:ext xmlns:c16="http://schemas.microsoft.com/office/drawing/2014/chart" uri="{C3380CC4-5D6E-409C-BE32-E72D297353CC}">
              <c16:uniqueId val="{0000000A-CE0D-4E9F-A4D9-2B0D6904A72D}"/>
            </c:ext>
          </c:extLst>
        </c:ser>
        <c:ser>
          <c:idx val="11"/>
          <c:order val="11"/>
          <c:tx>
            <c:strRef>
              <c:f>'Country Petrol Prices'!$M$107</c:f>
              <c:strCache>
                <c:ptCount val="1"/>
                <c:pt idx="0">
                  <c:v>Italy</c:v>
                </c:pt>
              </c:strCache>
            </c:strRef>
          </c:tx>
          <c:spPr>
            <a:ln w="28575" cap="rnd">
              <a:solidFill>
                <a:schemeClr val="accent6">
                  <a:lumMod val="6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Prices'!$M$108:$M$117</c:f>
              <c:numCache>
                <c:formatCode>0.0</c:formatCode>
                <c:ptCount val="10"/>
                <c:pt idx="0">
                  <c:v>2.7594510673186288</c:v>
                </c:pt>
                <c:pt idx="1">
                  <c:v>2.4465210811748772</c:v>
                </c:pt>
                <c:pt idx="2">
                  <c:v>2.3304089619846526</c:v>
                </c:pt>
                <c:pt idx="3">
                  <c:v>2.4123731293844366</c:v>
                </c:pt>
                <c:pt idx="4">
                  <c:v>2.511731755941546</c:v>
                </c:pt>
                <c:pt idx="5">
                  <c:v>2.5503057000797127</c:v>
                </c:pt>
                <c:pt idx="6">
                  <c:v>2.6528204571138603</c:v>
                </c:pt>
                <c:pt idx="7">
                  <c:v>2.7653053855973897</c:v>
                </c:pt>
                <c:pt idx="8">
                  <c:v>2.7117207374794874</c:v>
                </c:pt>
              </c:numCache>
            </c:numRef>
          </c:val>
          <c:smooth val="0"/>
          <c:extLst>
            <c:ext xmlns:c16="http://schemas.microsoft.com/office/drawing/2014/chart" uri="{C3380CC4-5D6E-409C-BE32-E72D297353CC}">
              <c16:uniqueId val="{0000000B-CE0D-4E9F-A4D9-2B0D6904A72D}"/>
            </c:ext>
          </c:extLst>
        </c:ser>
        <c:ser>
          <c:idx val="12"/>
          <c:order val="12"/>
          <c:tx>
            <c:strRef>
              <c:f>'Country Petrol Prices'!$N$107</c:f>
              <c:strCache>
                <c:ptCount val="1"/>
                <c:pt idx="0">
                  <c:v>Japan</c:v>
                </c:pt>
              </c:strCache>
            </c:strRef>
          </c:tx>
          <c:spPr>
            <a:ln w="28575" cap="rnd">
              <a:solidFill>
                <a:schemeClr val="accent1">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Prices'!$N$108:$N$117</c:f>
              <c:numCache>
                <c:formatCode>0.0</c:formatCode>
                <c:ptCount val="10"/>
                <c:pt idx="0">
                  <c:v>2.0711800445842292</c:v>
                </c:pt>
                <c:pt idx="1">
                  <c:v>2.0780265286364594</c:v>
                </c:pt>
                <c:pt idx="2">
                  <c:v>1.9656411579479312</c:v>
                </c:pt>
                <c:pt idx="3">
                  <c:v>1.9201786871005095</c:v>
                </c:pt>
                <c:pt idx="4">
                  <c:v>1.7216957262782777</c:v>
                </c:pt>
                <c:pt idx="5">
                  <c:v>1.7283472861690532</c:v>
                </c:pt>
                <c:pt idx="6">
                  <c:v>1.776755512590358</c:v>
                </c:pt>
                <c:pt idx="7">
                  <c:v>1.9425898805093988</c:v>
                </c:pt>
                <c:pt idx="8">
                  <c:v>1.8665447306644554</c:v>
                </c:pt>
              </c:numCache>
            </c:numRef>
          </c:val>
          <c:smooth val="0"/>
          <c:extLst>
            <c:ext xmlns:c16="http://schemas.microsoft.com/office/drawing/2014/chart" uri="{C3380CC4-5D6E-409C-BE32-E72D297353CC}">
              <c16:uniqueId val="{0000000C-CE0D-4E9F-A4D9-2B0D6904A72D}"/>
            </c:ext>
          </c:extLst>
        </c:ser>
        <c:ser>
          <c:idx val="13"/>
          <c:order val="13"/>
          <c:tx>
            <c:strRef>
              <c:f>'Country Petrol Prices'!$O$107</c:f>
              <c:strCache>
                <c:ptCount val="1"/>
                <c:pt idx="0">
                  <c:v>Korea</c:v>
                </c:pt>
              </c:strCache>
            </c:strRef>
          </c:tx>
          <c:spPr>
            <a:ln w="28575" cap="rnd">
              <a:solidFill>
                <a:schemeClr val="accent2">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Prices'!$O$108:$O$117</c:f>
              <c:numCache>
                <c:formatCode>0.0</c:formatCode>
                <c:ptCount val="10"/>
                <c:pt idx="0">
                  <c:v>1.9975141657520448</c:v>
                </c:pt>
                <c:pt idx="1">
                  <c:v>2.0101520963176056</c:v>
                </c:pt>
                <c:pt idx="2">
                  <c:v>1.7837123496633174</c:v>
                </c:pt>
                <c:pt idx="3">
                  <c:v>1.8237005450689887</c:v>
                </c:pt>
                <c:pt idx="4">
                  <c:v>1.8122849829413739</c:v>
                </c:pt>
                <c:pt idx="5">
                  <c:v>1.8388321722910075</c:v>
                </c:pt>
                <c:pt idx="6">
                  <c:v>2.1055497024618939</c:v>
                </c:pt>
                <c:pt idx="7">
                  <c:v>2.0869329133221557</c:v>
                </c:pt>
                <c:pt idx="8">
                  <c:v>2.0745117381386322</c:v>
                </c:pt>
              </c:numCache>
            </c:numRef>
          </c:val>
          <c:smooth val="0"/>
          <c:extLst>
            <c:ext xmlns:c16="http://schemas.microsoft.com/office/drawing/2014/chart" uri="{C3380CC4-5D6E-409C-BE32-E72D297353CC}">
              <c16:uniqueId val="{0000000D-CE0D-4E9F-A4D9-2B0D6904A72D}"/>
            </c:ext>
          </c:extLst>
        </c:ser>
        <c:ser>
          <c:idx val="14"/>
          <c:order val="14"/>
          <c:tx>
            <c:strRef>
              <c:f>'Country Petrol Prices'!$P$107</c:f>
              <c:strCache>
                <c:ptCount val="1"/>
                <c:pt idx="0">
                  <c:v>Netherlands</c:v>
                </c:pt>
              </c:strCache>
            </c:strRef>
          </c:tx>
          <c:spPr>
            <a:ln w="28575" cap="rnd">
              <a:solidFill>
                <a:schemeClr val="accent3">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Prices'!$P$108:$P$117</c:f>
              <c:numCache>
                <c:formatCode>0.0</c:formatCode>
                <c:ptCount val="10"/>
                <c:pt idx="0">
                  <c:v>3.0080704410786683</c:v>
                </c:pt>
                <c:pt idx="1">
                  <c:v>2.6978145157783131</c:v>
                </c:pt>
                <c:pt idx="2">
                  <c:v>2.4621530227597996</c:v>
                </c:pt>
                <c:pt idx="3">
                  <c:v>2.3748648021281951</c:v>
                </c:pt>
                <c:pt idx="4">
                  <c:v>2.4957917529437097</c:v>
                </c:pt>
                <c:pt idx="5">
                  <c:v>2.5290598800985555</c:v>
                </c:pt>
                <c:pt idx="6">
                  <c:v>2.6970934338424848</c:v>
                </c:pt>
                <c:pt idx="7">
                  <c:v>2.8299979508051103</c:v>
                </c:pt>
                <c:pt idx="8">
                  <c:v>2.7551597104297745</c:v>
                </c:pt>
              </c:numCache>
            </c:numRef>
          </c:val>
          <c:smooth val="0"/>
          <c:extLst>
            <c:ext xmlns:c16="http://schemas.microsoft.com/office/drawing/2014/chart" uri="{C3380CC4-5D6E-409C-BE32-E72D297353CC}">
              <c16:uniqueId val="{0000000E-CE0D-4E9F-A4D9-2B0D6904A72D}"/>
            </c:ext>
          </c:extLst>
        </c:ser>
        <c:ser>
          <c:idx val="15"/>
          <c:order val="15"/>
          <c:tx>
            <c:strRef>
              <c:f>'Country Petrol Prices'!$Q$107</c:f>
              <c:strCache>
                <c:ptCount val="1"/>
                <c:pt idx="0">
                  <c:v>NZ</c:v>
                </c:pt>
              </c:strCache>
            </c:strRef>
          </c:tx>
          <c:spPr>
            <a:ln w="28575" cap="rnd">
              <a:solidFill>
                <a:schemeClr val="accent4">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Prices'!$Q$108:$Q$117</c:f>
              <c:numCache>
                <c:formatCode>0.0</c:formatCode>
                <c:ptCount val="10"/>
                <c:pt idx="0">
                  <c:v>1.6153402651584368</c:v>
                </c:pt>
                <c:pt idx="1">
                  <c:v>1.7324380238505446</c:v>
                </c:pt>
                <c:pt idx="2">
                  <c:v>1.7814532325754846</c:v>
                </c:pt>
                <c:pt idx="3">
                  <c:v>1.8237690370000379</c:v>
                </c:pt>
                <c:pt idx="4">
                  <c:v>1.9041048793601403</c:v>
                </c:pt>
                <c:pt idx="5">
                  <c:v>2.0154340741137124</c:v>
                </c:pt>
                <c:pt idx="6">
                  <c:v>2.1360789457293659</c:v>
                </c:pt>
                <c:pt idx="7">
                  <c:v>2.2780554953799053</c:v>
                </c:pt>
                <c:pt idx="8">
                  <c:v>2.2516377226165503</c:v>
                </c:pt>
              </c:numCache>
            </c:numRef>
          </c:val>
          <c:smooth val="0"/>
          <c:extLst>
            <c:ext xmlns:c16="http://schemas.microsoft.com/office/drawing/2014/chart" uri="{C3380CC4-5D6E-409C-BE32-E72D297353CC}">
              <c16:uniqueId val="{0000000F-CE0D-4E9F-A4D9-2B0D6904A72D}"/>
            </c:ext>
          </c:extLst>
        </c:ser>
        <c:ser>
          <c:idx val="16"/>
          <c:order val="16"/>
          <c:tx>
            <c:strRef>
              <c:f>'Country Petrol Prices'!$R$107</c:f>
              <c:strCache>
                <c:ptCount val="1"/>
                <c:pt idx="0">
                  <c:v>Norway</c:v>
                </c:pt>
              </c:strCache>
            </c:strRef>
          </c:tx>
          <c:spPr>
            <a:ln w="28575" cap="rnd">
              <a:solidFill>
                <a:schemeClr val="accent5">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Prices'!$R$108:$R$117</c:f>
              <c:numCache>
                <c:formatCode>0.0</c:formatCode>
                <c:ptCount val="10"/>
                <c:pt idx="0">
                  <c:v>3.046011895862677</c:v>
                </c:pt>
                <c:pt idx="1">
                  <c:v>2.8578528136192896</c:v>
                </c:pt>
                <c:pt idx="2">
                  <c:v>2.6266295778920705</c:v>
                </c:pt>
                <c:pt idx="3">
                  <c:v>2.6413781103184268</c:v>
                </c:pt>
                <c:pt idx="4">
                  <c:v>2.8176135094163341</c:v>
                </c:pt>
                <c:pt idx="5">
                  <c:v>2.8017642048992348</c:v>
                </c:pt>
                <c:pt idx="6">
                  <c:v>2.916314721347498</c:v>
                </c:pt>
                <c:pt idx="7">
                  <c:v>3.0548138566239782</c:v>
                </c:pt>
                <c:pt idx="8">
                  <c:v>3.0765544783938439</c:v>
                </c:pt>
              </c:numCache>
            </c:numRef>
          </c:val>
          <c:smooth val="0"/>
          <c:extLst>
            <c:ext xmlns:c16="http://schemas.microsoft.com/office/drawing/2014/chart" uri="{C3380CC4-5D6E-409C-BE32-E72D297353CC}">
              <c16:uniqueId val="{00000010-CE0D-4E9F-A4D9-2B0D6904A72D}"/>
            </c:ext>
          </c:extLst>
        </c:ser>
        <c:ser>
          <c:idx val="17"/>
          <c:order val="17"/>
          <c:tx>
            <c:strRef>
              <c:f>'Country Petrol Prices'!$S$107</c:f>
              <c:strCache>
                <c:ptCount val="1"/>
                <c:pt idx="0">
                  <c:v>Spain</c:v>
                </c:pt>
              </c:strCache>
            </c:strRef>
          </c:tx>
          <c:spPr>
            <a:ln w="28575" cap="rnd">
              <a:solidFill>
                <a:schemeClr val="accent6">
                  <a:lumMod val="80000"/>
                  <a:lumOff val="2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Prices'!$S$108:$S$117</c:f>
              <c:numCache>
                <c:formatCode>0.0</c:formatCode>
                <c:ptCount val="10"/>
                <c:pt idx="0">
                  <c:v>2.2442938063744045</c:v>
                </c:pt>
                <c:pt idx="1">
                  <c:v>2.0911203665214466</c:v>
                </c:pt>
                <c:pt idx="2">
                  <c:v>1.9792138966595361</c:v>
                </c:pt>
                <c:pt idx="3">
                  <c:v>1.9232542231672201</c:v>
                </c:pt>
                <c:pt idx="4">
                  <c:v>2.0565280075877177</c:v>
                </c:pt>
                <c:pt idx="5">
                  <c:v>2.0694983219047316</c:v>
                </c:pt>
                <c:pt idx="6">
                  <c:v>2.1250321143744104</c:v>
                </c:pt>
                <c:pt idx="7">
                  <c:v>2.2024224336670937</c:v>
                </c:pt>
                <c:pt idx="8">
                  <c:v>2.1600905846852609</c:v>
                </c:pt>
              </c:numCache>
            </c:numRef>
          </c:val>
          <c:smooth val="0"/>
          <c:extLst>
            <c:ext xmlns:c16="http://schemas.microsoft.com/office/drawing/2014/chart" uri="{C3380CC4-5D6E-409C-BE32-E72D297353CC}">
              <c16:uniqueId val="{00000011-CE0D-4E9F-A4D9-2B0D6904A72D}"/>
            </c:ext>
          </c:extLst>
        </c:ser>
        <c:ser>
          <c:idx val="18"/>
          <c:order val="18"/>
          <c:tx>
            <c:strRef>
              <c:f>'Country Petrol Prices'!$T$107</c:f>
              <c:strCache>
                <c:ptCount val="1"/>
                <c:pt idx="0">
                  <c:v>Sweden </c:v>
                </c:pt>
              </c:strCache>
            </c:strRef>
          </c:tx>
          <c:spPr>
            <a:ln w="28575" cap="rnd">
              <a:solidFill>
                <a:schemeClr val="accent1">
                  <a:lumMod val="8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Prices'!$T$108:$T$117</c:f>
              <c:numCache>
                <c:formatCode>0.0</c:formatCode>
                <c:ptCount val="10"/>
                <c:pt idx="0">
                  <c:v>2.5186643237391202</c:v>
                </c:pt>
                <c:pt idx="1">
                  <c:v>2.405983713740349</c:v>
                </c:pt>
                <c:pt idx="2">
                  <c:v>2.3181731081344426</c:v>
                </c:pt>
                <c:pt idx="3">
                  <c:v>2.3074025083049761</c:v>
                </c:pt>
                <c:pt idx="4">
                  <c:v>2.3980773068357704</c:v>
                </c:pt>
                <c:pt idx="5">
                  <c:v>2.3370062317882434</c:v>
                </c:pt>
                <c:pt idx="6">
                  <c:v>2.4316207002030827</c:v>
                </c:pt>
                <c:pt idx="7">
                  <c:v>2.6526431096944991</c:v>
                </c:pt>
                <c:pt idx="8">
                  <c:v>2.5837029358670653</c:v>
                </c:pt>
              </c:numCache>
            </c:numRef>
          </c:val>
          <c:smooth val="0"/>
          <c:extLst>
            <c:ext xmlns:c16="http://schemas.microsoft.com/office/drawing/2014/chart" uri="{C3380CC4-5D6E-409C-BE32-E72D297353CC}">
              <c16:uniqueId val="{00000012-CE0D-4E9F-A4D9-2B0D6904A72D}"/>
            </c:ext>
          </c:extLst>
        </c:ser>
        <c:ser>
          <c:idx val="19"/>
          <c:order val="19"/>
          <c:tx>
            <c:strRef>
              <c:f>'Country Petrol Prices'!$U$107</c:f>
              <c:strCache>
                <c:ptCount val="1"/>
                <c:pt idx="0">
                  <c:v>Switzerland</c:v>
                </c:pt>
              </c:strCache>
            </c:strRef>
          </c:tx>
          <c:spPr>
            <a:ln w="28575" cap="rnd">
              <a:solidFill>
                <a:schemeClr val="accent2">
                  <a:lumMod val="8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Prices'!$U$108:$U$117</c:f>
              <c:numCache>
                <c:formatCode>0.0</c:formatCode>
                <c:ptCount val="10"/>
                <c:pt idx="0">
                  <c:v>2.2329463619678553</c:v>
                </c:pt>
                <c:pt idx="1">
                  <c:v>2.1474345414930367</c:v>
                </c:pt>
                <c:pt idx="2">
                  <c:v>2.0974050650156646</c:v>
                </c:pt>
                <c:pt idx="3">
                  <c:v>1.9715916589780553</c:v>
                </c:pt>
                <c:pt idx="4">
                  <c:v>2.0437677798685949</c:v>
                </c:pt>
                <c:pt idx="5">
                  <c:v>2.0824964912887611</c:v>
                </c:pt>
                <c:pt idx="6">
                  <c:v>2.3533308017460017</c:v>
                </c:pt>
                <c:pt idx="7">
                  <c:v>2.4609217511811301</c:v>
                </c:pt>
                <c:pt idx="8">
                  <c:v>2.3896274286729509</c:v>
                </c:pt>
              </c:numCache>
            </c:numRef>
          </c:val>
          <c:smooth val="0"/>
          <c:extLst>
            <c:ext xmlns:c16="http://schemas.microsoft.com/office/drawing/2014/chart" uri="{C3380CC4-5D6E-409C-BE32-E72D297353CC}">
              <c16:uniqueId val="{00000013-CE0D-4E9F-A4D9-2B0D6904A72D}"/>
            </c:ext>
          </c:extLst>
        </c:ser>
        <c:ser>
          <c:idx val="20"/>
          <c:order val="20"/>
          <c:tx>
            <c:strRef>
              <c:f>'Country Petrol Prices'!$V$107</c:f>
              <c:strCache>
                <c:ptCount val="1"/>
                <c:pt idx="0">
                  <c:v>UK</c:v>
                </c:pt>
              </c:strCache>
            </c:strRef>
          </c:tx>
          <c:spPr>
            <a:ln w="28575" cap="rnd">
              <a:solidFill>
                <a:schemeClr val="accent3">
                  <a:lumMod val="8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Prices'!$V$108:$V$117</c:f>
              <c:numCache>
                <c:formatCode>0.0</c:formatCode>
                <c:ptCount val="10"/>
                <c:pt idx="0">
                  <c:v>2.4941323598001781</c:v>
                </c:pt>
                <c:pt idx="1">
                  <c:v>2.4557627281127008</c:v>
                </c:pt>
                <c:pt idx="2">
                  <c:v>2.309849600337412</c:v>
                </c:pt>
                <c:pt idx="3">
                  <c:v>2.2625876036103301</c:v>
                </c:pt>
                <c:pt idx="4">
                  <c:v>2.2726569195112885</c:v>
                </c:pt>
                <c:pt idx="5">
                  <c:v>2.3573950132963679</c:v>
                </c:pt>
                <c:pt idx="6">
                  <c:v>2.6490760588227893</c:v>
                </c:pt>
                <c:pt idx="7">
                  <c:v>2.5499979152315602</c:v>
                </c:pt>
                <c:pt idx="8">
                  <c:v>2.3804543685951685</c:v>
                </c:pt>
              </c:numCache>
            </c:numRef>
          </c:val>
          <c:smooth val="0"/>
          <c:extLst>
            <c:ext xmlns:c16="http://schemas.microsoft.com/office/drawing/2014/chart" uri="{C3380CC4-5D6E-409C-BE32-E72D297353CC}">
              <c16:uniqueId val="{00000014-CE0D-4E9F-A4D9-2B0D6904A72D}"/>
            </c:ext>
          </c:extLst>
        </c:ser>
        <c:ser>
          <c:idx val="21"/>
          <c:order val="21"/>
          <c:tx>
            <c:strRef>
              <c:f>'Country Petrol Prices'!$W$107</c:f>
              <c:strCache>
                <c:ptCount val="1"/>
                <c:pt idx="0">
                  <c:v>USA</c:v>
                </c:pt>
              </c:strCache>
            </c:strRef>
          </c:tx>
          <c:spPr>
            <a:ln w="28575" cap="rnd">
              <a:solidFill>
                <a:schemeClr val="accent4">
                  <a:lumMod val="80000"/>
                </a:schemeClr>
              </a:solidFill>
              <a:round/>
            </a:ln>
            <a:effectLst/>
          </c:spPr>
          <c:marker>
            <c:symbol val="none"/>
          </c:marker>
          <c:cat>
            <c:numRef>
              <c:f>'Country Petrol Prices'!$A$108:$A$117</c:f>
              <c:numCache>
                <c:formatCode>General</c:formatCode>
                <c:ptCount val="10"/>
                <c:pt idx="0">
                  <c:v>2009</c:v>
                </c:pt>
                <c:pt idx="1">
                  <c:v>2010</c:v>
                </c:pt>
                <c:pt idx="2">
                  <c:v>2011</c:v>
                </c:pt>
                <c:pt idx="3">
                  <c:v>2012</c:v>
                </c:pt>
                <c:pt idx="4">
                  <c:v>2013</c:v>
                </c:pt>
                <c:pt idx="5">
                  <c:v>2014</c:v>
                </c:pt>
                <c:pt idx="6">
                  <c:v>2015</c:v>
                </c:pt>
                <c:pt idx="7">
                  <c:v>2016</c:v>
                </c:pt>
                <c:pt idx="8">
                  <c:v>2017</c:v>
                </c:pt>
              </c:numCache>
            </c:numRef>
          </c:cat>
          <c:val>
            <c:numRef>
              <c:f>'Country Petrol Prices'!$W$108:$W$117</c:f>
              <c:numCache>
                <c:formatCode>0.0</c:formatCode>
                <c:ptCount val="10"/>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15-CE0D-4E9F-A4D9-2B0D6904A72D}"/>
            </c:ext>
          </c:extLst>
        </c:ser>
        <c:dLbls>
          <c:showLegendKey val="0"/>
          <c:showVal val="0"/>
          <c:showCatName val="0"/>
          <c:showSerName val="0"/>
          <c:showPercent val="0"/>
          <c:showBubbleSize val="0"/>
        </c:dLbls>
        <c:smooth val="0"/>
        <c:axId val="682938744"/>
        <c:axId val="682931856"/>
      </c:lineChart>
      <c:catAx>
        <c:axId val="68293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931856"/>
        <c:crosses val="autoZero"/>
        <c:auto val="1"/>
        <c:lblAlgn val="ctr"/>
        <c:lblOffset val="100"/>
        <c:noMultiLvlLbl val="0"/>
      </c:catAx>
      <c:valAx>
        <c:axId val="682931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938744"/>
        <c:crosses val="autoZero"/>
        <c:crossBetween val="between"/>
      </c:valAx>
      <c:spPr>
        <a:noFill/>
        <a:ln>
          <a:noFill/>
        </a:ln>
        <a:effectLst/>
      </c:spPr>
    </c:plotArea>
    <c:legend>
      <c:legendPos val="b"/>
      <c:layout>
        <c:manualLayout>
          <c:xMode val="edge"/>
          <c:yMode val="edge"/>
          <c:x val="0.12494400699912508"/>
          <c:y val="0.71854174739952659"/>
          <c:w val="0.61955643044619435"/>
          <c:h val="0.188743034625848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0617233685349"/>
          <c:y val="5.0925925925925923E-2"/>
          <c:w val="0.84543838597731724"/>
          <c:h val="0.80403543307086611"/>
        </c:manualLayout>
      </c:layout>
      <c:lineChart>
        <c:grouping val="standard"/>
        <c:varyColors val="0"/>
        <c:ser>
          <c:idx val="1"/>
          <c:order val="0"/>
          <c:tx>
            <c:strRef>
              <c:f>'Lithium Battery costs'!$T$2</c:f>
              <c:strCache>
                <c:ptCount val="1"/>
                <c:pt idx="0">
                  <c:v> small orders composite</c:v>
                </c:pt>
              </c:strCache>
            </c:strRef>
          </c:tx>
          <c:spPr>
            <a:ln w="28575" cap="rnd">
              <a:solidFill>
                <a:schemeClr val="tx1"/>
              </a:solidFill>
              <a:round/>
            </a:ln>
            <a:effectLst/>
          </c:spPr>
          <c:marker>
            <c:symbol val="none"/>
          </c:marker>
          <c:cat>
            <c:numRef>
              <c:f>'Lithium Battery costs'!$N$25:$N$38</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'Lithium Battery costs'!$T$25:$T$38</c:f>
              <c:numCache>
                <c:formatCode>0</c:formatCode>
                <c:ptCount val="14"/>
                <c:pt idx="0">
                  <c:v>200</c:v>
                </c:pt>
                <c:pt idx="1">
                  <c:v>185</c:v>
                </c:pt>
                <c:pt idx="2">
                  <c:v>175</c:v>
                </c:pt>
                <c:pt idx="3">
                  <c:v>165</c:v>
                </c:pt>
                <c:pt idx="4">
                  <c:v>155</c:v>
                </c:pt>
                <c:pt idx="5">
                  <c:v>150</c:v>
                </c:pt>
                <c:pt idx="6">
                  <c:v>145</c:v>
                </c:pt>
                <c:pt idx="7">
                  <c:v>140</c:v>
                </c:pt>
                <c:pt idx="8">
                  <c:v>137</c:v>
                </c:pt>
                <c:pt idx="9">
                  <c:v>129</c:v>
                </c:pt>
                <c:pt idx="10">
                  <c:v>121</c:v>
                </c:pt>
                <c:pt idx="11">
                  <c:v>112</c:v>
                </c:pt>
                <c:pt idx="12">
                  <c:v>104</c:v>
                </c:pt>
                <c:pt idx="13">
                  <c:v>95</c:v>
                </c:pt>
              </c:numCache>
            </c:numRef>
          </c:val>
          <c:smooth val="0"/>
          <c:extLst>
            <c:ext xmlns:c16="http://schemas.microsoft.com/office/drawing/2014/chart" uri="{C3380CC4-5D6E-409C-BE32-E72D297353CC}">
              <c16:uniqueId val="{00000001-AEB3-4077-96FA-34942C358452}"/>
            </c:ext>
          </c:extLst>
        </c:ser>
        <c:ser>
          <c:idx val="0"/>
          <c:order val="1"/>
          <c:tx>
            <c:strRef>
              <c:f>'Lithium Battery costs'!$S$2</c:f>
              <c:strCache>
                <c:ptCount val="1"/>
                <c:pt idx="0">
                  <c:v> large orders</c:v>
                </c:pt>
              </c:strCache>
            </c:strRef>
          </c:tx>
          <c:spPr>
            <a:ln w="28575" cap="rnd">
              <a:solidFill>
                <a:srgbClr val="F68B32"/>
              </a:solidFill>
              <a:round/>
            </a:ln>
            <a:effectLst/>
          </c:spPr>
          <c:marker>
            <c:symbol val="none"/>
          </c:marker>
          <c:cat>
            <c:numRef>
              <c:f>'Lithium Battery costs'!$N$25:$N$38</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'Lithium Battery costs'!$S$25:$S$38</c:f>
              <c:numCache>
                <c:formatCode>0</c:formatCode>
                <c:ptCount val="14"/>
                <c:pt idx="0">
                  <c:v>139</c:v>
                </c:pt>
                <c:pt idx="1">
                  <c:v>122.71666666666667</c:v>
                </c:pt>
                <c:pt idx="2">
                  <c:v>110.54166666666667</c:v>
                </c:pt>
                <c:pt idx="3">
                  <c:v>99</c:v>
                </c:pt>
                <c:pt idx="4">
                  <c:v>89.899999999999991</c:v>
                </c:pt>
                <c:pt idx="5">
                  <c:v>83.999999999999986</c:v>
                </c:pt>
                <c:pt idx="6">
                  <c:v>78.299999999999983</c:v>
                </c:pt>
                <c:pt idx="7">
                  <c:v>72.799999999999983</c:v>
                </c:pt>
                <c:pt idx="8">
                  <c:v>68.5</c:v>
                </c:pt>
                <c:pt idx="9">
                  <c:v>64.5</c:v>
                </c:pt>
                <c:pt idx="10">
                  <c:v>60.5</c:v>
                </c:pt>
                <c:pt idx="11">
                  <c:v>56</c:v>
                </c:pt>
                <c:pt idx="12">
                  <c:v>52</c:v>
                </c:pt>
                <c:pt idx="13">
                  <c:v>47.5</c:v>
                </c:pt>
              </c:numCache>
            </c:numRef>
          </c:val>
          <c:smooth val="0"/>
          <c:extLst>
            <c:ext xmlns:c16="http://schemas.microsoft.com/office/drawing/2014/chart" uri="{C3380CC4-5D6E-409C-BE32-E72D297353CC}">
              <c16:uniqueId val="{00000000-AEB3-4077-96FA-34942C358452}"/>
            </c:ext>
          </c:extLst>
        </c:ser>
        <c:dLbls>
          <c:showLegendKey val="0"/>
          <c:showVal val="0"/>
          <c:showCatName val="0"/>
          <c:showSerName val="0"/>
          <c:showPercent val="0"/>
          <c:showBubbleSize val="0"/>
        </c:dLbls>
        <c:smooth val="0"/>
        <c:axId val="442487656"/>
        <c:axId val="442488312"/>
      </c:lineChart>
      <c:catAx>
        <c:axId val="44248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88312"/>
        <c:crosses val="autoZero"/>
        <c:auto val="1"/>
        <c:lblAlgn val="ctr"/>
        <c:lblOffset val="100"/>
        <c:noMultiLvlLbl val="0"/>
      </c:catAx>
      <c:valAx>
        <c:axId val="44248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87656"/>
        <c:crosses val="autoZero"/>
        <c:crossBetween val="between"/>
      </c:valAx>
      <c:spPr>
        <a:noFill/>
        <a:ln>
          <a:noFill/>
        </a:ln>
        <a:effectLst/>
      </c:spPr>
    </c:plotArea>
    <c:legend>
      <c:legendPos val="b"/>
      <c:layout>
        <c:manualLayout>
          <c:xMode val="edge"/>
          <c:yMode val="edge"/>
          <c:x val="0.69074321976883968"/>
          <c:y val="5.7184752088770795E-2"/>
          <c:w val="0.22235126859142604"/>
          <c:h val="0.2643615993461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Country/USA petrol price ratios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'Country Petrol Prices'!$A$122</c:f>
              <c:strCache>
                <c:ptCount val="1"/>
                <c:pt idx="0">
                  <c:v>country average</c:v>
                </c:pt>
              </c:strCache>
            </c:strRef>
          </c:tx>
          <c:spPr>
            <a:solidFill>
              <a:schemeClr val="accent1"/>
            </a:solidFill>
            <a:ln>
              <a:noFill/>
            </a:ln>
            <a:effectLst/>
          </c:spPr>
          <c:invertIfNegative val="0"/>
          <c:cat>
            <c:strRef>
              <c:f>'Country Petrol Prices'!$B$121:$V$121</c:f>
              <c:strCache>
                <c:ptCount val="21"/>
                <c:pt idx="0">
                  <c:v>Australia</c:v>
                </c:pt>
                <c:pt idx="1">
                  <c:v>Austria</c:v>
                </c:pt>
                <c:pt idx="2">
                  <c:v>Belgium</c:v>
                </c:pt>
                <c:pt idx="3">
                  <c:v>Canada</c:v>
                </c:pt>
                <c:pt idx="4">
                  <c:v>Denmark</c:v>
                </c:pt>
                <c:pt idx="5">
                  <c:v>Finland</c:v>
                </c:pt>
                <c:pt idx="6">
                  <c:v>France</c:v>
                </c:pt>
                <c:pt idx="7">
                  <c:v>Germany</c:v>
                </c:pt>
                <c:pt idx="8">
                  <c:v>India</c:v>
                </c:pt>
                <c:pt idx="9">
                  <c:v>Ireland</c:v>
                </c:pt>
                <c:pt idx="10">
                  <c:v>Italy</c:v>
                </c:pt>
                <c:pt idx="11">
                  <c:v>Japan</c:v>
                </c:pt>
                <c:pt idx="12">
                  <c:v>Korea</c:v>
                </c:pt>
                <c:pt idx="13">
                  <c:v>Netherlands</c:v>
                </c:pt>
                <c:pt idx="14">
                  <c:v>NZ</c:v>
                </c:pt>
                <c:pt idx="15">
                  <c:v>Norway</c:v>
                </c:pt>
                <c:pt idx="16">
                  <c:v>Spain</c:v>
                </c:pt>
                <c:pt idx="17">
                  <c:v>Sweden </c:v>
                </c:pt>
                <c:pt idx="18">
                  <c:v>Switzerland</c:v>
                </c:pt>
                <c:pt idx="19">
                  <c:v>UK</c:v>
                </c:pt>
                <c:pt idx="20">
                  <c:v>USA</c:v>
                </c:pt>
              </c:strCache>
            </c:strRef>
          </c:cat>
          <c:val>
            <c:numRef>
              <c:f>'Country Petrol Prices'!$B$122:$V$122</c:f>
              <c:numCache>
                <c:formatCode>0.0</c:formatCode>
                <c:ptCount val="21"/>
                <c:pt idx="0">
                  <c:v>1.5288317434113514</c:v>
                </c:pt>
                <c:pt idx="1">
                  <c:v>2.0846217329331185</c:v>
                </c:pt>
                <c:pt idx="2">
                  <c:v>2.4966687211147316</c:v>
                </c:pt>
                <c:pt idx="3">
                  <c:v>1.3252803755408031</c:v>
                </c:pt>
                <c:pt idx="4">
                  <c:v>2.5495066914003588</c:v>
                </c:pt>
                <c:pt idx="5">
                  <c:v>2.5047829244292754</c:v>
                </c:pt>
                <c:pt idx="6">
                  <c:v>2.3532270347984983</c:v>
                </c:pt>
                <c:pt idx="7">
                  <c:v>2.4209006102798938</c:v>
                </c:pt>
                <c:pt idx="8">
                  <c:v>1.4444214306905294</c:v>
                </c:pt>
                <c:pt idx="9">
                  <c:v>2.3346474570502149</c:v>
                </c:pt>
                <c:pt idx="10">
                  <c:v>2.5711820306749549</c:v>
                </c:pt>
                <c:pt idx="11">
                  <c:v>1.8967732838311855</c:v>
                </c:pt>
                <c:pt idx="12">
                  <c:v>1.9481322962174465</c:v>
                </c:pt>
                <c:pt idx="13">
                  <c:v>2.6500006122071795</c:v>
                </c:pt>
                <c:pt idx="14">
                  <c:v>1.9487012973093532</c:v>
                </c:pt>
                <c:pt idx="15">
                  <c:v>2.8709925742637057</c:v>
                </c:pt>
                <c:pt idx="16">
                  <c:v>2.0946059727713133</c:v>
                </c:pt>
                <c:pt idx="17">
                  <c:v>2.4392526598119502</c:v>
                </c:pt>
                <c:pt idx="18">
                  <c:v>2.1977246533568948</c:v>
                </c:pt>
                <c:pt idx="19">
                  <c:v>2.4146569519241989</c:v>
                </c:pt>
                <c:pt idx="20">
                  <c:v>1</c:v>
                </c:pt>
              </c:numCache>
            </c:numRef>
          </c:val>
          <c:extLst>
            <c:ext xmlns:c16="http://schemas.microsoft.com/office/drawing/2014/chart" uri="{C3380CC4-5D6E-409C-BE32-E72D297353CC}">
              <c16:uniqueId val="{00000000-BEAA-4C89-A937-A68A8BCC2612}"/>
            </c:ext>
          </c:extLst>
        </c:ser>
        <c:ser>
          <c:idx val="1"/>
          <c:order val="1"/>
          <c:tx>
            <c:strRef>
              <c:f>'Country Petrol Prices'!$A$123</c:f>
              <c:strCache>
                <c:ptCount val="1"/>
                <c:pt idx="0">
                  <c:v>USA</c:v>
                </c:pt>
              </c:strCache>
            </c:strRef>
          </c:tx>
          <c:spPr>
            <a:solidFill>
              <a:schemeClr val="accent2"/>
            </a:solidFill>
            <a:ln>
              <a:noFill/>
            </a:ln>
            <a:effectLst/>
          </c:spPr>
          <c:invertIfNegative val="0"/>
          <c:cat>
            <c:strRef>
              <c:f>'Country Petrol Prices'!$B$121:$V$121</c:f>
              <c:strCache>
                <c:ptCount val="21"/>
                <c:pt idx="0">
                  <c:v>Australia</c:v>
                </c:pt>
                <c:pt idx="1">
                  <c:v>Austria</c:v>
                </c:pt>
                <c:pt idx="2">
                  <c:v>Belgium</c:v>
                </c:pt>
                <c:pt idx="3">
                  <c:v>Canada</c:v>
                </c:pt>
                <c:pt idx="4">
                  <c:v>Denmark</c:v>
                </c:pt>
                <c:pt idx="5">
                  <c:v>Finland</c:v>
                </c:pt>
                <c:pt idx="6">
                  <c:v>France</c:v>
                </c:pt>
                <c:pt idx="7">
                  <c:v>Germany</c:v>
                </c:pt>
                <c:pt idx="8">
                  <c:v>India</c:v>
                </c:pt>
                <c:pt idx="9">
                  <c:v>Ireland</c:v>
                </c:pt>
                <c:pt idx="10">
                  <c:v>Italy</c:v>
                </c:pt>
                <c:pt idx="11">
                  <c:v>Japan</c:v>
                </c:pt>
                <c:pt idx="12">
                  <c:v>Korea</c:v>
                </c:pt>
                <c:pt idx="13">
                  <c:v>Netherlands</c:v>
                </c:pt>
                <c:pt idx="14">
                  <c:v>NZ</c:v>
                </c:pt>
                <c:pt idx="15">
                  <c:v>Norway</c:v>
                </c:pt>
                <c:pt idx="16">
                  <c:v>Spain</c:v>
                </c:pt>
                <c:pt idx="17">
                  <c:v>Sweden </c:v>
                </c:pt>
                <c:pt idx="18">
                  <c:v>Switzerland</c:v>
                </c:pt>
                <c:pt idx="19">
                  <c:v>UK</c:v>
                </c:pt>
                <c:pt idx="20">
                  <c:v>USA</c:v>
                </c:pt>
              </c:strCache>
            </c:strRef>
          </c:cat>
          <c:val>
            <c:numRef>
              <c:f>'Country Petrol Prices'!$B$123:$V$123</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Cache>
            </c:numRef>
          </c:val>
          <c:extLst>
            <c:ext xmlns:c16="http://schemas.microsoft.com/office/drawing/2014/chart" uri="{C3380CC4-5D6E-409C-BE32-E72D297353CC}">
              <c16:uniqueId val="{00000001-BEAA-4C89-A937-A68A8BCC2612}"/>
            </c:ext>
          </c:extLst>
        </c:ser>
        <c:dLbls>
          <c:showLegendKey val="0"/>
          <c:showVal val="0"/>
          <c:showCatName val="0"/>
          <c:showSerName val="0"/>
          <c:showPercent val="0"/>
          <c:showBubbleSize val="0"/>
        </c:dLbls>
        <c:gapWidth val="182"/>
        <c:axId val="855621096"/>
        <c:axId val="855623064"/>
      </c:barChart>
      <c:catAx>
        <c:axId val="855621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3064"/>
        <c:crosses val="autoZero"/>
        <c:auto val="1"/>
        <c:lblAlgn val="ctr"/>
        <c:lblOffset val="100"/>
        <c:noMultiLvlLbl val="0"/>
      </c:catAx>
      <c:valAx>
        <c:axId val="855623064"/>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1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BEV</a:t>
            </a:r>
            <a:r>
              <a:rPr lang="en-AU"/>
              <a:t> to FFV price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'Country Vehicle Prices'!$B$80</c:f>
              <c:strCache>
                <c:ptCount val="1"/>
                <c:pt idx="0">
                  <c:v>Australia</c:v>
                </c:pt>
              </c:strCache>
            </c:strRef>
          </c:tx>
          <c:spPr>
            <a:ln w="28575" cap="rnd">
              <a:solidFill>
                <a:schemeClr val="accent1"/>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Prices'!$B$81:$B$89</c:f>
              <c:numCache>
                <c:formatCode>0.00</c:formatCode>
                <c:ptCount val="9"/>
                <c:pt idx="0">
                  <c:v>1.3526519162558128</c:v>
                </c:pt>
                <c:pt idx="1">
                  <c:v>1.3822189944850582</c:v>
                </c:pt>
                <c:pt idx="2">
                  <c:v>1.3924388226240862</c:v>
                </c:pt>
                <c:pt idx="3">
                  <c:v>1.4289470018941086</c:v>
                </c:pt>
                <c:pt idx="4">
                  <c:v>1.4353494349589788</c:v>
                </c:pt>
                <c:pt idx="5">
                  <c:v>1.5344357149306243</c:v>
                </c:pt>
                <c:pt idx="6">
                  <c:v>1.3675361036296012</c:v>
                </c:pt>
                <c:pt idx="7">
                  <c:v>1.3672758112094396</c:v>
                </c:pt>
                <c:pt idx="8">
                  <c:v>1.3694547903039631</c:v>
                </c:pt>
              </c:numCache>
            </c:numRef>
          </c:val>
          <c:smooth val="0"/>
          <c:extLst>
            <c:ext xmlns:c16="http://schemas.microsoft.com/office/drawing/2014/chart" uri="{C3380CC4-5D6E-409C-BE32-E72D297353CC}">
              <c16:uniqueId val="{00000000-D40E-411D-95C4-DF3AFCD14CE8}"/>
            </c:ext>
          </c:extLst>
        </c:ser>
        <c:ser>
          <c:idx val="1"/>
          <c:order val="1"/>
          <c:tx>
            <c:strRef>
              <c:f>'Country Vehicle Prices'!$C$80</c:f>
              <c:strCache>
                <c:ptCount val="1"/>
                <c:pt idx="0">
                  <c:v>Austria</c:v>
                </c:pt>
              </c:strCache>
            </c:strRef>
          </c:tx>
          <c:spPr>
            <a:ln w="28575" cap="rnd">
              <a:solidFill>
                <a:schemeClr val="accent2"/>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Prices'!$C$81:$C$89</c:f>
              <c:numCache>
                <c:formatCode>0.00</c:formatCode>
                <c:ptCount val="9"/>
                <c:pt idx="0">
                  <c:v>1.2980554310690098</c:v>
                </c:pt>
                <c:pt idx="1">
                  <c:v>1.3114016058662419</c:v>
                </c:pt>
                <c:pt idx="2">
                  <c:v>1.3153964091869899</c:v>
                </c:pt>
                <c:pt idx="3">
                  <c:v>1.3450710200945637</c:v>
                </c:pt>
                <c:pt idx="4">
                  <c:v>1.3604872743374117</c:v>
                </c:pt>
                <c:pt idx="5">
                  <c:v>1.46118833860523</c:v>
                </c:pt>
                <c:pt idx="6">
                  <c:v>1.3043218911226606</c:v>
                </c:pt>
                <c:pt idx="7">
                  <c:v>1.3054407650045763</c:v>
                </c:pt>
                <c:pt idx="8">
                  <c:v>1.1505671408207065</c:v>
                </c:pt>
              </c:numCache>
            </c:numRef>
          </c:val>
          <c:smooth val="0"/>
          <c:extLst>
            <c:ext xmlns:c16="http://schemas.microsoft.com/office/drawing/2014/chart" uri="{C3380CC4-5D6E-409C-BE32-E72D297353CC}">
              <c16:uniqueId val="{00000001-D40E-411D-95C4-DF3AFCD14CE8}"/>
            </c:ext>
          </c:extLst>
        </c:ser>
        <c:ser>
          <c:idx val="2"/>
          <c:order val="2"/>
          <c:tx>
            <c:strRef>
              <c:f>'Country Vehicle Prices'!$D$80</c:f>
              <c:strCache>
                <c:ptCount val="1"/>
                <c:pt idx="0">
                  <c:v>Belgium</c:v>
                </c:pt>
              </c:strCache>
            </c:strRef>
          </c:tx>
          <c:spPr>
            <a:ln w="28575" cap="rnd">
              <a:solidFill>
                <a:schemeClr val="accent3"/>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Prices'!$D$81:$D$89</c:f>
              <c:numCache>
                <c:formatCode>0.00</c:formatCode>
                <c:ptCount val="9"/>
                <c:pt idx="0">
                  <c:v>0.8430452146440679</c:v>
                </c:pt>
                <c:pt idx="1">
                  <c:v>0.89394646536909372</c:v>
                </c:pt>
                <c:pt idx="2">
                  <c:v>0.88641866599860597</c:v>
                </c:pt>
                <c:pt idx="3">
                  <c:v>0.96706461943553501</c:v>
                </c:pt>
                <c:pt idx="4">
                  <c:v>1.1739578676154765</c:v>
                </c:pt>
                <c:pt idx="5">
                  <c:v>1.2804856294079321</c:v>
                </c:pt>
                <c:pt idx="6">
                  <c:v>1.156789584484412</c:v>
                </c:pt>
                <c:pt idx="7">
                  <c:v>1.2007923001061624</c:v>
                </c:pt>
                <c:pt idx="8">
                  <c:v>1.2412060165550893</c:v>
                </c:pt>
              </c:numCache>
            </c:numRef>
          </c:val>
          <c:smooth val="0"/>
          <c:extLst>
            <c:ext xmlns:c16="http://schemas.microsoft.com/office/drawing/2014/chart" uri="{C3380CC4-5D6E-409C-BE32-E72D297353CC}">
              <c16:uniqueId val="{00000002-D40E-411D-95C4-DF3AFCD14CE8}"/>
            </c:ext>
          </c:extLst>
        </c:ser>
        <c:ser>
          <c:idx val="3"/>
          <c:order val="3"/>
          <c:tx>
            <c:strRef>
              <c:f>'Country Vehicle Prices'!$E$80</c:f>
              <c:strCache>
                <c:ptCount val="1"/>
                <c:pt idx="0">
                  <c:v>Canada</c:v>
                </c:pt>
              </c:strCache>
            </c:strRef>
          </c:tx>
          <c:spPr>
            <a:ln w="28575" cap="rnd">
              <a:solidFill>
                <a:schemeClr val="accent4"/>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Prices'!$E$81:$E$89</c:f>
              <c:numCache>
                <c:formatCode>0.00</c:formatCode>
                <c:ptCount val="9"/>
                <c:pt idx="0">
                  <c:v>1.3542592098542399</c:v>
                </c:pt>
                <c:pt idx="1">
                  <c:v>1.3067342481296691</c:v>
                </c:pt>
                <c:pt idx="2">
                  <c:v>1.3019081238128738</c:v>
                </c:pt>
                <c:pt idx="3">
                  <c:v>1.2358608905069175</c:v>
                </c:pt>
                <c:pt idx="4">
                  <c:v>1.2541333116177427</c:v>
                </c:pt>
                <c:pt idx="5">
                  <c:v>1.3679139932532995</c:v>
                </c:pt>
                <c:pt idx="6">
                  <c:v>1.2281104749924368</c:v>
                </c:pt>
                <c:pt idx="7">
                  <c:v>1.2130651479613528</c:v>
                </c:pt>
                <c:pt idx="8">
                  <c:v>1.2050028554140417</c:v>
                </c:pt>
              </c:numCache>
            </c:numRef>
          </c:val>
          <c:smooth val="0"/>
          <c:extLst>
            <c:ext xmlns:c16="http://schemas.microsoft.com/office/drawing/2014/chart" uri="{C3380CC4-5D6E-409C-BE32-E72D297353CC}">
              <c16:uniqueId val="{00000003-D40E-411D-95C4-DF3AFCD14CE8}"/>
            </c:ext>
          </c:extLst>
        </c:ser>
        <c:ser>
          <c:idx val="5"/>
          <c:order val="4"/>
          <c:tx>
            <c:strRef>
              <c:f>'Country Vehicle Prices'!$G$80</c:f>
              <c:strCache>
                <c:ptCount val="1"/>
                <c:pt idx="0">
                  <c:v>Denmark</c:v>
                </c:pt>
              </c:strCache>
            </c:strRef>
          </c:tx>
          <c:spPr>
            <a:ln w="28575" cap="rnd">
              <a:solidFill>
                <a:schemeClr val="accent6"/>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Prices'!$G$81:$G$89</c:f>
              <c:numCache>
                <c:formatCode>0.00</c:formatCode>
                <c:ptCount val="9"/>
                <c:pt idx="0">
                  <c:v>0.69882023748843092</c:v>
                </c:pt>
                <c:pt idx="1">
                  <c:v>0.69768619708523649</c:v>
                </c:pt>
                <c:pt idx="2">
                  <c:v>0.70835023206638703</c:v>
                </c:pt>
                <c:pt idx="3">
                  <c:v>0.71081602625970686</c:v>
                </c:pt>
                <c:pt idx="4">
                  <c:v>0.72412587463767608</c:v>
                </c:pt>
                <c:pt idx="5">
                  <c:v>0.77810114160882993</c:v>
                </c:pt>
                <c:pt idx="6">
                  <c:v>0.66520028992021507</c:v>
                </c:pt>
                <c:pt idx="7">
                  <c:v>0.88650923670330362</c:v>
                </c:pt>
                <c:pt idx="8">
                  <c:v>1.0247815712065862</c:v>
                </c:pt>
              </c:numCache>
            </c:numRef>
          </c:val>
          <c:smooth val="0"/>
          <c:extLst>
            <c:ext xmlns:c16="http://schemas.microsoft.com/office/drawing/2014/chart" uri="{C3380CC4-5D6E-409C-BE32-E72D297353CC}">
              <c16:uniqueId val="{00000005-D40E-411D-95C4-DF3AFCD14CE8}"/>
            </c:ext>
          </c:extLst>
        </c:ser>
        <c:ser>
          <c:idx val="6"/>
          <c:order val="5"/>
          <c:tx>
            <c:strRef>
              <c:f>'Country Vehicle Prices'!$H$80</c:f>
              <c:strCache>
                <c:ptCount val="1"/>
                <c:pt idx="0">
                  <c:v>Finland</c:v>
                </c:pt>
              </c:strCache>
            </c:strRef>
          </c:tx>
          <c:spPr>
            <a:ln w="28575" cap="rnd">
              <a:solidFill>
                <a:schemeClr val="accent1">
                  <a:lumMod val="60000"/>
                </a:schemeClr>
              </a:solidFill>
              <a:prstDash val="sysDot"/>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Prices'!$H$81:$H$89</c:f>
              <c:numCache>
                <c:formatCode>0.00</c:formatCode>
                <c:ptCount val="9"/>
                <c:pt idx="0">
                  <c:v>1.1662743624735659</c:v>
                </c:pt>
                <c:pt idx="1">
                  <c:v>1.1782528473573879</c:v>
                </c:pt>
                <c:pt idx="2">
                  <c:v>1.1826153893959339</c:v>
                </c:pt>
                <c:pt idx="3">
                  <c:v>1.1629089057475723</c:v>
                </c:pt>
                <c:pt idx="4">
                  <c:v>1.1764472661801539</c:v>
                </c:pt>
                <c:pt idx="5">
                  <c:v>1.2616398582860264</c:v>
                </c:pt>
                <c:pt idx="6">
                  <c:v>1.1261466457206428</c:v>
                </c:pt>
                <c:pt idx="7">
                  <c:v>1.1245161722736696</c:v>
                </c:pt>
                <c:pt idx="8">
                  <c:v>1.1243853540831028</c:v>
                </c:pt>
              </c:numCache>
            </c:numRef>
          </c:val>
          <c:smooth val="0"/>
          <c:extLst>
            <c:ext xmlns:c16="http://schemas.microsoft.com/office/drawing/2014/chart" uri="{C3380CC4-5D6E-409C-BE32-E72D297353CC}">
              <c16:uniqueId val="{00000006-D40E-411D-95C4-DF3AFCD14CE8}"/>
            </c:ext>
          </c:extLst>
        </c:ser>
        <c:ser>
          <c:idx val="7"/>
          <c:order val="6"/>
          <c:tx>
            <c:strRef>
              <c:f>'Country Vehicle Prices'!$I$80</c:f>
              <c:strCache>
                <c:ptCount val="1"/>
                <c:pt idx="0">
                  <c:v>France</c:v>
                </c:pt>
              </c:strCache>
            </c:strRef>
          </c:tx>
          <c:spPr>
            <a:ln w="28575" cap="rnd">
              <a:solidFill>
                <a:srgbClr val="00B05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Prices'!$I$81:$I$89</c:f>
              <c:numCache>
                <c:formatCode>0.00</c:formatCode>
                <c:ptCount val="9"/>
                <c:pt idx="0">
                  <c:v>1.0861814354184989</c:v>
                </c:pt>
                <c:pt idx="1">
                  <c:v>1.1214924209896286</c:v>
                </c:pt>
                <c:pt idx="2">
                  <c:v>1.1197818232861896</c:v>
                </c:pt>
                <c:pt idx="3">
                  <c:v>1.1763589744240772</c:v>
                </c:pt>
                <c:pt idx="4">
                  <c:v>1.0919400202355272</c:v>
                </c:pt>
                <c:pt idx="5">
                  <c:v>1.2317326814755041</c:v>
                </c:pt>
                <c:pt idx="6">
                  <c:v>1.1115016774673685</c:v>
                </c:pt>
                <c:pt idx="7">
                  <c:v>1.1106794342051036</c:v>
                </c:pt>
                <c:pt idx="8">
                  <c:v>1.1218955954817147</c:v>
                </c:pt>
              </c:numCache>
            </c:numRef>
          </c:val>
          <c:smooth val="0"/>
          <c:extLst>
            <c:ext xmlns:c16="http://schemas.microsoft.com/office/drawing/2014/chart" uri="{C3380CC4-5D6E-409C-BE32-E72D297353CC}">
              <c16:uniqueId val="{00000007-D40E-411D-95C4-DF3AFCD14CE8}"/>
            </c:ext>
          </c:extLst>
        </c:ser>
        <c:ser>
          <c:idx val="8"/>
          <c:order val="7"/>
          <c:tx>
            <c:strRef>
              <c:f>'Country Vehicle Prices'!$J$80</c:f>
              <c:strCache>
                <c:ptCount val="1"/>
                <c:pt idx="0">
                  <c:v>Germany</c:v>
                </c:pt>
              </c:strCache>
            </c:strRef>
          </c:tx>
          <c:spPr>
            <a:ln w="28575" cap="rnd">
              <a:solidFill>
                <a:srgbClr val="00B050"/>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Prices'!$J$81:$J$89</c:f>
              <c:numCache>
                <c:formatCode>0.00</c:formatCode>
                <c:ptCount val="9"/>
                <c:pt idx="0">
                  <c:v>1.3595253351406733</c:v>
                </c:pt>
                <c:pt idx="1">
                  <c:v>1.3723432309208583</c:v>
                </c:pt>
                <c:pt idx="2">
                  <c:v>1.3751940641573301</c:v>
                </c:pt>
                <c:pt idx="3">
                  <c:v>1.4054424798561698</c:v>
                </c:pt>
                <c:pt idx="4">
                  <c:v>1.182716624079144</c:v>
                </c:pt>
                <c:pt idx="5">
                  <c:v>1.2891415524503289</c:v>
                </c:pt>
                <c:pt idx="6">
                  <c:v>1.180723818763511</c:v>
                </c:pt>
                <c:pt idx="7">
                  <c:v>1.1802187651668663</c:v>
                </c:pt>
                <c:pt idx="8">
                  <c:v>1.1810546755883036</c:v>
                </c:pt>
              </c:numCache>
            </c:numRef>
          </c:val>
          <c:smooth val="0"/>
          <c:extLst>
            <c:ext xmlns:c16="http://schemas.microsoft.com/office/drawing/2014/chart" uri="{C3380CC4-5D6E-409C-BE32-E72D297353CC}">
              <c16:uniqueId val="{00000008-D40E-411D-95C4-DF3AFCD14CE8}"/>
            </c:ext>
          </c:extLst>
        </c:ser>
        <c:ser>
          <c:idx val="9"/>
          <c:order val="8"/>
          <c:tx>
            <c:strRef>
              <c:f>'Country Vehicle Prices'!$K$80</c:f>
              <c:strCache>
                <c:ptCount val="1"/>
                <c:pt idx="0">
                  <c:v>India</c:v>
                </c:pt>
              </c:strCache>
            </c:strRef>
          </c:tx>
          <c:spPr>
            <a:ln w="28575" cap="rnd">
              <a:solidFill>
                <a:schemeClr val="accent4">
                  <a:lumMod val="60000"/>
                </a:schemeClr>
              </a:solidFill>
              <a:prstDash val="lgDashDot"/>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Prices'!$K$81:$K$89</c:f>
              <c:numCache>
                <c:formatCode>0.00</c:formatCode>
                <c:ptCount val="9"/>
                <c:pt idx="0">
                  <c:v>1.3616801690975244</c:v>
                </c:pt>
                <c:pt idx="1">
                  <c:v>1.1520150571731487</c:v>
                </c:pt>
                <c:pt idx="2">
                  <c:v>1.1563176370773567</c:v>
                </c:pt>
                <c:pt idx="3">
                  <c:v>1.1809653001544056</c:v>
                </c:pt>
                <c:pt idx="4">
                  <c:v>1.4239766804731573</c:v>
                </c:pt>
                <c:pt idx="5">
                  <c:v>1.4271669183630469</c:v>
                </c:pt>
                <c:pt idx="6">
                  <c:v>1.2724863959143449</c:v>
                </c:pt>
                <c:pt idx="7">
                  <c:v>1.2807237822058057</c:v>
                </c:pt>
                <c:pt idx="8">
                  <c:v>1.2817018632767603</c:v>
                </c:pt>
              </c:numCache>
            </c:numRef>
          </c:val>
          <c:smooth val="0"/>
          <c:extLst>
            <c:ext xmlns:c16="http://schemas.microsoft.com/office/drawing/2014/chart" uri="{C3380CC4-5D6E-409C-BE32-E72D297353CC}">
              <c16:uniqueId val="{00000009-D40E-411D-95C4-DF3AFCD14CE8}"/>
            </c:ext>
          </c:extLst>
        </c:ser>
        <c:ser>
          <c:idx val="10"/>
          <c:order val="9"/>
          <c:tx>
            <c:strRef>
              <c:f>'Country Vehicle Prices'!$L$80</c:f>
              <c:strCache>
                <c:ptCount val="1"/>
                <c:pt idx="0">
                  <c:v>Ireland</c:v>
                </c:pt>
              </c:strCache>
            </c:strRef>
          </c:tx>
          <c:spPr>
            <a:ln w="28575" cap="rnd">
              <a:solidFill>
                <a:schemeClr val="accent5">
                  <a:lumMod val="6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Prices'!$L$81:$L$89</c:f>
              <c:numCache>
                <c:formatCode>0.00</c:formatCode>
                <c:ptCount val="9"/>
                <c:pt idx="0">
                  <c:v>1.1312146560477128</c:v>
                </c:pt>
                <c:pt idx="1">
                  <c:v>1.1549303438347978</c:v>
                </c:pt>
                <c:pt idx="2">
                  <c:v>1.1258037259259652</c:v>
                </c:pt>
                <c:pt idx="3">
                  <c:v>0.99064452088532351</c:v>
                </c:pt>
                <c:pt idx="4">
                  <c:v>0.99547815907848991</c:v>
                </c:pt>
                <c:pt idx="5">
                  <c:v>1.1032487678715348</c:v>
                </c:pt>
                <c:pt idx="6">
                  <c:v>1.0064644504454208</c:v>
                </c:pt>
                <c:pt idx="7">
                  <c:v>1.0067343334923067</c:v>
                </c:pt>
                <c:pt idx="8">
                  <c:v>0.99960739704071999</c:v>
                </c:pt>
              </c:numCache>
            </c:numRef>
          </c:val>
          <c:smooth val="0"/>
          <c:extLst>
            <c:ext xmlns:c16="http://schemas.microsoft.com/office/drawing/2014/chart" uri="{C3380CC4-5D6E-409C-BE32-E72D297353CC}">
              <c16:uniqueId val="{0000000A-D40E-411D-95C4-DF3AFCD14CE8}"/>
            </c:ext>
          </c:extLst>
        </c:ser>
        <c:ser>
          <c:idx val="11"/>
          <c:order val="10"/>
          <c:tx>
            <c:strRef>
              <c:f>'Country Vehicle Prices'!$M$80</c:f>
              <c:strCache>
                <c:ptCount val="1"/>
                <c:pt idx="0">
                  <c:v>Italy</c:v>
                </c:pt>
              </c:strCache>
            </c:strRef>
          </c:tx>
          <c:spPr>
            <a:ln w="28575" cap="rnd">
              <a:solidFill>
                <a:schemeClr val="accent6">
                  <a:lumMod val="6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Prices'!$M$81:$M$89</c:f>
              <c:numCache>
                <c:formatCode>0.00</c:formatCode>
                <c:ptCount val="9"/>
                <c:pt idx="0">
                  <c:v>1.3596163885513175</c:v>
                </c:pt>
                <c:pt idx="1">
                  <c:v>1.3735955126661048</c:v>
                </c:pt>
                <c:pt idx="2">
                  <c:v>1.3777797716229467</c:v>
                </c:pt>
                <c:pt idx="3">
                  <c:v>1.4083006826842031</c:v>
                </c:pt>
                <c:pt idx="4">
                  <c:v>1.4233990540569008</c:v>
                </c:pt>
                <c:pt idx="5">
                  <c:v>1.385403942408554</c:v>
                </c:pt>
                <c:pt idx="6">
                  <c:v>1.3613889168167475</c:v>
                </c:pt>
                <c:pt idx="7">
                  <c:v>1.3613372374528663</c:v>
                </c:pt>
                <c:pt idx="8">
                  <c:v>1.3629318053696959</c:v>
                </c:pt>
              </c:numCache>
            </c:numRef>
          </c:val>
          <c:smooth val="0"/>
          <c:extLst>
            <c:ext xmlns:c16="http://schemas.microsoft.com/office/drawing/2014/chart" uri="{C3380CC4-5D6E-409C-BE32-E72D297353CC}">
              <c16:uniqueId val="{0000000B-D40E-411D-95C4-DF3AFCD14CE8}"/>
            </c:ext>
          </c:extLst>
        </c:ser>
        <c:ser>
          <c:idx val="12"/>
          <c:order val="11"/>
          <c:tx>
            <c:strRef>
              <c:f>'Country Vehicle Prices'!$N$80</c:f>
              <c:strCache>
                <c:ptCount val="1"/>
                <c:pt idx="0">
                  <c:v>Japan</c:v>
                </c:pt>
              </c:strCache>
            </c:strRef>
          </c:tx>
          <c:spPr>
            <a:ln w="28575" cap="rnd">
              <a:solidFill>
                <a:schemeClr val="accent1">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Prices'!$N$81:$N$89</c:f>
              <c:numCache>
                <c:formatCode>0.00</c:formatCode>
                <c:ptCount val="9"/>
                <c:pt idx="0">
                  <c:v>1.225894440104347</c:v>
                </c:pt>
                <c:pt idx="1">
                  <c:v>1.2363273826197061</c:v>
                </c:pt>
                <c:pt idx="2">
                  <c:v>1.2253948467836018</c:v>
                </c:pt>
                <c:pt idx="3">
                  <c:v>1.2704971657985424</c:v>
                </c:pt>
                <c:pt idx="4">
                  <c:v>0.92994574091300453</c:v>
                </c:pt>
                <c:pt idx="5">
                  <c:v>1.1352611013483924</c:v>
                </c:pt>
                <c:pt idx="6">
                  <c:v>1.0175407741404585</c:v>
                </c:pt>
                <c:pt idx="7">
                  <c:v>1.0129610164909109</c:v>
                </c:pt>
                <c:pt idx="8">
                  <c:v>1.0110761873811431</c:v>
                </c:pt>
              </c:numCache>
            </c:numRef>
          </c:val>
          <c:smooth val="0"/>
          <c:extLst>
            <c:ext xmlns:c16="http://schemas.microsoft.com/office/drawing/2014/chart" uri="{C3380CC4-5D6E-409C-BE32-E72D297353CC}">
              <c16:uniqueId val="{0000000C-D40E-411D-95C4-DF3AFCD14CE8}"/>
            </c:ext>
          </c:extLst>
        </c:ser>
        <c:ser>
          <c:idx val="13"/>
          <c:order val="12"/>
          <c:tx>
            <c:strRef>
              <c:f>'Country Vehicle Prices'!$O$80</c:f>
              <c:strCache>
                <c:ptCount val="1"/>
                <c:pt idx="0">
                  <c:v>Korea</c:v>
                </c:pt>
              </c:strCache>
            </c:strRef>
          </c:tx>
          <c:spPr>
            <a:ln w="28575" cap="rnd">
              <a:solidFill>
                <a:srgbClr val="C0000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Prices'!$O$81:$O$89</c:f>
              <c:numCache>
                <c:formatCode>0.00</c:formatCode>
                <c:ptCount val="9"/>
                <c:pt idx="0">
                  <c:v>1.228105606237007</c:v>
                </c:pt>
                <c:pt idx="1">
                  <c:v>1.2403605595166944</c:v>
                </c:pt>
                <c:pt idx="2">
                  <c:v>0.93388513577979393</c:v>
                </c:pt>
                <c:pt idx="3">
                  <c:v>0.96836902678420889</c:v>
                </c:pt>
                <c:pt idx="4">
                  <c:v>0.97478174160342512</c:v>
                </c:pt>
                <c:pt idx="5">
                  <c:v>1.0585319390217911</c:v>
                </c:pt>
                <c:pt idx="6">
                  <c:v>0.929851544619263</c:v>
                </c:pt>
                <c:pt idx="7">
                  <c:v>0.88810667699999934</c:v>
                </c:pt>
                <c:pt idx="8">
                  <c:v>0.87796206288479028</c:v>
                </c:pt>
              </c:numCache>
            </c:numRef>
          </c:val>
          <c:smooth val="0"/>
          <c:extLst>
            <c:ext xmlns:c16="http://schemas.microsoft.com/office/drawing/2014/chart" uri="{C3380CC4-5D6E-409C-BE32-E72D297353CC}">
              <c16:uniqueId val="{0000000D-D40E-411D-95C4-DF3AFCD14CE8}"/>
            </c:ext>
          </c:extLst>
        </c:ser>
        <c:ser>
          <c:idx val="14"/>
          <c:order val="13"/>
          <c:tx>
            <c:strRef>
              <c:f>'Country Vehicle Prices'!$P$80</c:f>
              <c:strCache>
                <c:ptCount val="1"/>
                <c:pt idx="0">
                  <c:v>Netherlands</c:v>
                </c:pt>
              </c:strCache>
            </c:strRef>
          </c:tx>
          <c:spPr>
            <a:ln w="28575" cap="rnd">
              <a:solidFill>
                <a:schemeClr val="accent3">
                  <a:lumMod val="80000"/>
                  <a:lumOff val="2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Prices'!$P$81:$P$89</c:f>
              <c:numCache>
                <c:formatCode>0.00</c:formatCode>
                <c:ptCount val="9"/>
                <c:pt idx="0">
                  <c:v>1.1426074541039533</c:v>
                </c:pt>
                <c:pt idx="1">
                  <c:v>1.1583387410772226</c:v>
                </c:pt>
                <c:pt idx="2">
                  <c:v>1.1583387410772226</c:v>
                </c:pt>
                <c:pt idx="3">
                  <c:v>1.1908673045683811</c:v>
                </c:pt>
                <c:pt idx="4">
                  <c:v>1.2047363968885034</c:v>
                </c:pt>
                <c:pt idx="5">
                  <c:v>1.3403834701358177</c:v>
                </c:pt>
                <c:pt idx="6">
                  <c:v>1.1988491048593348</c:v>
                </c:pt>
                <c:pt idx="7">
                  <c:v>1.1988491048593348</c:v>
                </c:pt>
                <c:pt idx="8">
                  <c:v>1.198849104859335</c:v>
                </c:pt>
              </c:numCache>
            </c:numRef>
          </c:val>
          <c:smooth val="0"/>
          <c:extLst>
            <c:ext xmlns:c16="http://schemas.microsoft.com/office/drawing/2014/chart" uri="{C3380CC4-5D6E-409C-BE32-E72D297353CC}">
              <c16:uniqueId val="{0000000E-D40E-411D-95C4-DF3AFCD14CE8}"/>
            </c:ext>
          </c:extLst>
        </c:ser>
        <c:ser>
          <c:idx val="15"/>
          <c:order val="14"/>
          <c:tx>
            <c:strRef>
              <c:f>'Country Vehicle Prices'!$Q$80</c:f>
              <c:strCache>
                <c:ptCount val="1"/>
                <c:pt idx="0">
                  <c:v>NZ</c:v>
                </c:pt>
              </c:strCache>
            </c:strRef>
          </c:tx>
          <c:spPr>
            <a:ln w="28575" cap="rnd">
              <a:solidFill>
                <a:schemeClr val="accent4">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Prices'!$Q$81:$Q$89</c:f>
              <c:numCache>
                <c:formatCode>0.00</c:formatCode>
                <c:ptCount val="9"/>
                <c:pt idx="0">
                  <c:v>1.3597502727528628</c:v>
                </c:pt>
                <c:pt idx="1">
                  <c:v>1.3724461167676587</c:v>
                </c:pt>
                <c:pt idx="2">
                  <c:v>1.3750965455913311</c:v>
                </c:pt>
                <c:pt idx="3">
                  <c:v>1.4057986794518145</c:v>
                </c:pt>
                <c:pt idx="4">
                  <c:v>1.4210783841305445</c:v>
                </c:pt>
                <c:pt idx="5">
                  <c:v>1.5249995366318347</c:v>
                </c:pt>
                <c:pt idx="6">
                  <c:v>1.3611069001128164</c:v>
                </c:pt>
                <c:pt idx="7">
                  <c:v>1.3614842356970773</c:v>
                </c:pt>
                <c:pt idx="8">
                  <c:v>1.3624919435325828</c:v>
                </c:pt>
              </c:numCache>
            </c:numRef>
          </c:val>
          <c:smooth val="0"/>
          <c:extLst>
            <c:ext xmlns:c16="http://schemas.microsoft.com/office/drawing/2014/chart" uri="{C3380CC4-5D6E-409C-BE32-E72D297353CC}">
              <c16:uniqueId val="{0000000F-D40E-411D-95C4-DF3AFCD14CE8}"/>
            </c:ext>
          </c:extLst>
        </c:ser>
        <c:ser>
          <c:idx val="16"/>
          <c:order val="15"/>
          <c:tx>
            <c:strRef>
              <c:f>'Country Vehicle Prices'!$R$80</c:f>
              <c:strCache>
                <c:ptCount val="1"/>
                <c:pt idx="0">
                  <c:v>Norway</c:v>
                </c:pt>
              </c:strCache>
            </c:strRef>
          </c:tx>
          <c:spPr>
            <a:ln w="28575" cap="rnd">
              <a:solidFill>
                <a:schemeClr val="accent5">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Prices'!$R$81:$R$89</c:f>
              <c:numCache>
                <c:formatCode>0.00</c:formatCode>
                <c:ptCount val="9"/>
                <c:pt idx="0">
                  <c:v>0.86953143949131351</c:v>
                </c:pt>
                <c:pt idx="1">
                  <c:v>0.87797019037495239</c:v>
                </c:pt>
                <c:pt idx="2">
                  <c:v>0.88108889270303348</c:v>
                </c:pt>
                <c:pt idx="3">
                  <c:v>0.90016041403720137</c:v>
                </c:pt>
                <c:pt idx="4">
                  <c:v>0.90996081827869157</c:v>
                </c:pt>
                <c:pt idx="5">
                  <c:v>0.97561614819887621</c:v>
                </c:pt>
                <c:pt idx="6">
                  <c:v>0.86958069149008743</c:v>
                </c:pt>
                <c:pt idx="7">
                  <c:v>0.86954153072987939</c:v>
                </c:pt>
                <c:pt idx="8">
                  <c:v>0.87074983685319152</c:v>
                </c:pt>
              </c:numCache>
            </c:numRef>
          </c:val>
          <c:smooth val="0"/>
          <c:extLst>
            <c:ext xmlns:c16="http://schemas.microsoft.com/office/drawing/2014/chart" uri="{C3380CC4-5D6E-409C-BE32-E72D297353CC}">
              <c16:uniqueId val="{00000010-D40E-411D-95C4-DF3AFCD14CE8}"/>
            </c:ext>
          </c:extLst>
        </c:ser>
        <c:ser>
          <c:idx val="17"/>
          <c:order val="16"/>
          <c:tx>
            <c:strRef>
              <c:f>'Country Vehicle Prices'!$S$80</c:f>
              <c:strCache>
                <c:ptCount val="1"/>
                <c:pt idx="0">
                  <c:v>Spain</c:v>
                </c:pt>
              </c:strCache>
            </c:strRef>
          </c:tx>
          <c:spPr>
            <a:ln w="28575" cap="rnd">
              <a:solidFill>
                <a:schemeClr val="accent6">
                  <a:lumMod val="80000"/>
                  <a:lumOff val="2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Prices'!$S$81:$S$89</c:f>
              <c:numCache>
                <c:formatCode>0.00</c:formatCode>
                <c:ptCount val="9"/>
                <c:pt idx="0">
                  <c:v>1.3591630793291409</c:v>
                </c:pt>
                <c:pt idx="1">
                  <c:v>1.0890206652815377</c:v>
                </c:pt>
                <c:pt idx="2">
                  <c:v>1.1052768433894078</c:v>
                </c:pt>
                <c:pt idx="3">
                  <c:v>1.1355251687485859</c:v>
                </c:pt>
                <c:pt idx="4">
                  <c:v>1.1565779509720371</c:v>
                </c:pt>
                <c:pt idx="5">
                  <c:v>1.2553175036144069</c:v>
                </c:pt>
                <c:pt idx="6">
                  <c:v>1.1334819829326388</c:v>
                </c:pt>
                <c:pt idx="7">
                  <c:v>1.1263676479449638</c:v>
                </c:pt>
                <c:pt idx="8">
                  <c:v>1.1259974214809438</c:v>
                </c:pt>
              </c:numCache>
            </c:numRef>
          </c:val>
          <c:smooth val="0"/>
          <c:extLst>
            <c:ext xmlns:c16="http://schemas.microsoft.com/office/drawing/2014/chart" uri="{C3380CC4-5D6E-409C-BE32-E72D297353CC}">
              <c16:uniqueId val="{00000011-D40E-411D-95C4-DF3AFCD14CE8}"/>
            </c:ext>
          </c:extLst>
        </c:ser>
        <c:ser>
          <c:idx val="18"/>
          <c:order val="17"/>
          <c:tx>
            <c:strRef>
              <c:f>'Country Vehicle Prices'!$T$80</c:f>
              <c:strCache>
                <c:ptCount val="1"/>
                <c:pt idx="0">
                  <c:v>Sweden </c:v>
                </c:pt>
              </c:strCache>
            </c:strRef>
          </c:tx>
          <c:spPr>
            <a:ln w="28575" cap="rnd">
              <a:solidFill>
                <a:schemeClr val="accent1">
                  <a:lumMod val="8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Prices'!$T$81:$T$89</c:f>
              <c:numCache>
                <c:formatCode>0.00</c:formatCode>
                <c:ptCount val="9"/>
                <c:pt idx="0">
                  <c:v>1.2866336037809223</c:v>
                </c:pt>
                <c:pt idx="1">
                  <c:v>1.3043478260869563</c:v>
                </c:pt>
                <c:pt idx="2">
                  <c:v>1.3043478260869565</c:v>
                </c:pt>
                <c:pt idx="3">
                  <c:v>1.1303200217848572</c:v>
                </c:pt>
                <c:pt idx="4">
                  <c:v>1.1350194365181765</c:v>
                </c:pt>
                <c:pt idx="5">
                  <c:v>1.2497640035008819</c:v>
                </c:pt>
                <c:pt idx="6">
                  <c:v>1.1348202674991703</c:v>
                </c:pt>
                <c:pt idx="7">
                  <c:v>1.1389514419014488</c:v>
                </c:pt>
                <c:pt idx="8">
                  <c:v>1.1414307239956785</c:v>
                </c:pt>
              </c:numCache>
            </c:numRef>
          </c:val>
          <c:smooth val="0"/>
          <c:extLst>
            <c:ext xmlns:c16="http://schemas.microsoft.com/office/drawing/2014/chart" uri="{C3380CC4-5D6E-409C-BE32-E72D297353CC}">
              <c16:uniqueId val="{00000012-D40E-411D-95C4-DF3AFCD14CE8}"/>
            </c:ext>
          </c:extLst>
        </c:ser>
        <c:ser>
          <c:idx val="19"/>
          <c:order val="18"/>
          <c:tx>
            <c:strRef>
              <c:f>'Country Vehicle Prices'!$U$80</c:f>
              <c:strCache>
                <c:ptCount val="1"/>
                <c:pt idx="0">
                  <c:v>Switzerland</c:v>
                </c:pt>
              </c:strCache>
            </c:strRef>
          </c:tx>
          <c:spPr>
            <a:ln w="28575" cap="rnd">
              <a:solidFill>
                <a:schemeClr val="accent2">
                  <a:lumMod val="60000"/>
                  <a:lumOff val="4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Prices'!$U$81:$U$89</c:f>
              <c:numCache>
                <c:formatCode>0.00</c:formatCode>
                <c:ptCount val="9"/>
                <c:pt idx="0">
                  <c:v>1.3371697934713729</c:v>
                </c:pt>
                <c:pt idx="1">
                  <c:v>1.3568996640566018</c:v>
                </c:pt>
                <c:pt idx="2">
                  <c:v>1.3656179937071198</c:v>
                </c:pt>
                <c:pt idx="3">
                  <c:v>1.3987744008572451</c:v>
                </c:pt>
                <c:pt idx="4">
                  <c:v>1.366081796049609</c:v>
                </c:pt>
                <c:pt idx="5">
                  <c:v>1.4671574203967637</c:v>
                </c:pt>
                <c:pt idx="6">
                  <c:v>1.3159330932516955</c:v>
                </c:pt>
                <c:pt idx="7">
                  <c:v>1.3144999538101496</c:v>
                </c:pt>
                <c:pt idx="8">
                  <c:v>1.3147462054921875</c:v>
                </c:pt>
              </c:numCache>
            </c:numRef>
          </c:val>
          <c:smooth val="0"/>
          <c:extLst>
            <c:ext xmlns:c16="http://schemas.microsoft.com/office/drawing/2014/chart" uri="{C3380CC4-5D6E-409C-BE32-E72D297353CC}">
              <c16:uniqueId val="{00000013-D40E-411D-95C4-DF3AFCD14CE8}"/>
            </c:ext>
          </c:extLst>
        </c:ser>
        <c:ser>
          <c:idx val="20"/>
          <c:order val="19"/>
          <c:tx>
            <c:strRef>
              <c:f>'Country Vehicle Prices'!$V$80</c:f>
              <c:strCache>
                <c:ptCount val="1"/>
                <c:pt idx="0">
                  <c:v>UK</c:v>
                </c:pt>
              </c:strCache>
            </c:strRef>
          </c:tx>
          <c:spPr>
            <a:ln w="28575" cap="rnd">
              <a:solidFill>
                <a:srgbClr val="FF000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Prices'!$V$81:$V$89</c:f>
              <c:numCache>
                <c:formatCode>0.00</c:formatCode>
                <c:ptCount val="9"/>
                <c:pt idx="0">
                  <c:v>1.3573101533733274</c:v>
                </c:pt>
                <c:pt idx="1">
                  <c:v>1.3728462656876153</c:v>
                </c:pt>
                <c:pt idx="2">
                  <c:v>1.0739009826893009</c:v>
                </c:pt>
                <c:pt idx="3">
                  <c:v>1.1100029924135257</c:v>
                </c:pt>
                <c:pt idx="4">
                  <c:v>1.1264569687315749</c:v>
                </c:pt>
                <c:pt idx="5">
                  <c:v>1.2220626540353225</c:v>
                </c:pt>
                <c:pt idx="6">
                  <c:v>1.0901984948129477</c:v>
                </c:pt>
                <c:pt idx="7">
                  <c:v>1.1136953333433439</c:v>
                </c:pt>
                <c:pt idx="8">
                  <c:v>1.1257861942607745</c:v>
                </c:pt>
              </c:numCache>
            </c:numRef>
          </c:val>
          <c:smooth val="0"/>
          <c:extLst>
            <c:ext xmlns:c16="http://schemas.microsoft.com/office/drawing/2014/chart" uri="{C3380CC4-5D6E-409C-BE32-E72D297353CC}">
              <c16:uniqueId val="{00000014-D40E-411D-95C4-DF3AFCD14CE8}"/>
            </c:ext>
          </c:extLst>
        </c:ser>
        <c:ser>
          <c:idx val="21"/>
          <c:order val="20"/>
          <c:tx>
            <c:strRef>
              <c:f>'Country Vehicle Prices'!$W$80</c:f>
              <c:strCache>
                <c:ptCount val="1"/>
                <c:pt idx="0">
                  <c:v>USA</c:v>
                </c:pt>
              </c:strCache>
            </c:strRef>
          </c:tx>
          <c:spPr>
            <a:ln w="28575" cap="rnd">
              <a:solidFill>
                <a:schemeClr val="accent4">
                  <a:lumMod val="8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Prices'!$W$81:$W$89</c:f>
              <c:numCache>
                <c:formatCode>0.00</c:formatCode>
                <c:ptCount val="9"/>
                <c:pt idx="0">
                  <c:v>0.89975618892067266</c:v>
                </c:pt>
                <c:pt idx="1">
                  <c:v>0.92430205973094826</c:v>
                </c:pt>
                <c:pt idx="2">
                  <c:v>0.93690885468436969</c:v>
                </c:pt>
                <c:pt idx="3">
                  <c:v>0.98148591846241751</c:v>
                </c:pt>
                <c:pt idx="4">
                  <c:v>1.0000906419616462</c:v>
                </c:pt>
                <c:pt idx="5">
                  <c:v>1.1106576698064941</c:v>
                </c:pt>
                <c:pt idx="6">
                  <c:v>0.9574965370672579</c:v>
                </c:pt>
                <c:pt idx="7">
                  <c:v>0.96231506056072957</c:v>
                </c:pt>
                <c:pt idx="8">
                  <c:v>0.97017806302176324</c:v>
                </c:pt>
              </c:numCache>
            </c:numRef>
          </c:val>
          <c:smooth val="0"/>
          <c:extLst>
            <c:ext xmlns:c16="http://schemas.microsoft.com/office/drawing/2014/chart" uri="{C3380CC4-5D6E-409C-BE32-E72D297353CC}">
              <c16:uniqueId val="{00000015-D40E-411D-95C4-DF3AFCD14CE8}"/>
            </c:ext>
          </c:extLst>
        </c:ser>
        <c:ser>
          <c:idx val="23"/>
          <c:order val="21"/>
          <c:tx>
            <c:strRef>
              <c:f>'Country Vehicle Prices'!$Y$80</c:f>
              <c:strCache>
                <c:ptCount val="1"/>
                <c:pt idx="0">
                  <c:v>EQUALITY</c:v>
                </c:pt>
              </c:strCache>
            </c:strRef>
          </c:tx>
          <c:spPr>
            <a:ln w="38100" cap="rnd">
              <a:solidFill>
                <a:schemeClr val="tx1"/>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Prices'!$Y$81:$Y$89</c:f>
              <c:numCache>
                <c:formatCode>0.00</c:formatCode>
                <c:ptCount val="9"/>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17-D40E-411D-95C4-DF3AFCD14CE8}"/>
            </c:ext>
          </c:extLst>
        </c:ser>
        <c:dLbls>
          <c:showLegendKey val="0"/>
          <c:showVal val="0"/>
          <c:showCatName val="0"/>
          <c:showSerName val="0"/>
          <c:showPercent val="0"/>
          <c:showBubbleSize val="0"/>
        </c:dLbls>
        <c:smooth val="0"/>
        <c:axId val="767464616"/>
        <c:axId val="767466256"/>
      </c:lineChart>
      <c:catAx>
        <c:axId val="767464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466256"/>
        <c:crosses val="autoZero"/>
        <c:auto val="1"/>
        <c:lblAlgn val="ctr"/>
        <c:lblOffset val="100"/>
        <c:noMultiLvlLbl val="0"/>
      </c:catAx>
      <c:valAx>
        <c:axId val="767466256"/>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464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PHEV</a:t>
            </a:r>
            <a:r>
              <a:rPr lang="en-AU"/>
              <a:t> to FFV price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'Country Vehicle Prices'!$B$80</c:f>
              <c:strCache>
                <c:ptCount val="1"/>
                <c:pt idx="0">
                  <c:v>Australia</c:v>
                </c:pt>
              </c:strCache>
            </c:strRef>
          </c:tx>
          <c:spPr>
            <a:ln w="28575" cap="rnd">
              <a:solidFill>
                <a:schemeClr val="accent1"/>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Prices'!$B$107:$B$115</c:f>
              <c:numCache>
                <c:formatCode>0.00</c:formatCode>
                <c:ptCount val="9"/>
                <c:pt idx="0">
                  <c:v>1.3526519162558128</c:v>
                </c:pt>
                <c:pt idx="1">
                  <c:v>1.3822189944850582</c:v>
                </c:pt>
                <c:pt idx="2">
                  <c:v>1.3924388226240862</c:v>
                </c:pt>
                <c:pt idx="3">
                  <c:v>1.4289470018941086</c:v>
                </c:pt>
                <c:pt idx="4">
                  <c:v>1.4353494349589788</c:v>
                </c:pt>
                <c:pt idx="5">
                  <c:v>1.5344357149306243</c:v>
                </c:pt>
                <c:pt idx="6">
                  <c:v>1.3675361036296012</c:v>
                </c:pt>
                <c:pt idx="7">
                  <c:v>1.3672758112094396</c:v>
                </c:pt>
                <c:pt idx="8">
                  <c:v>1.3694547903039631</c:v>
                </c:pt>
              </c:numCache>
            </c:numRef>
          </c:val>
          <c:smooth val="0"/>
          <c:extLst>
            <c:ext xmlns:c16="http://schemas.microsoft.com/office/drawing/2014/chart" uri="{C3380CC4-5D6E-409C-BE32-E72D297353CC}">
              <c16:uniqueId val="{00000000-744C-466F-8204-4E6AF3902FD7}"/>
            </c:ext>
          </c:extLst>
        </c:ser>
        <c:ser>
          <c:idx val="1"/>
          <c:order val="1"/>
          <c:tx>
            <c:strRef>
              <c:f>'Country Vehicle Prices'!$C$80</c:f>
              <c:strCache>
                <c:ptCount val="1"/>
                <c:pt idx="0">
                  <c:v>Austria</c:v>
                </c:pt>
              </c:strCache>
            </c:strRef>
          </c:tx>
          <c:spPr>
            <a:ln w="28575" cap="rnd">
              <a:solidFill>
                <a:schemeClr val="accent2"/>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Prices'!$C$107:$C$115</c:f>
              <c:numCache>
                <c:formatCode>0.00</c:formatCode>
                <c:ptCount val="9"/>
                <c:pt idx="0">
                  <c:v>1.2980554310690098</c:v>
                </c:pt>
                <c:pt idx="1">
                  <c:v>1.3114016058662419</c:v>
                </c:pt>
                <c:pt idx="2">
                  <c:v>1.3153964091869899</c:v>
                </c:pt>
                <c:pt idx="3">
                  <c:v>1.3450710200945637</c:v>
                </c:pt>
                <c:pt idx="4">
                  <c:v>1.3604872743374117</c:v>
                </c:pt>
                <c:pt idx="5">
                  <c:v>1.46118833860523</c:v>
                </c:pt>
                <c:pt idx="6">
                  <c:v>1.3043218911226606</c:v>
                </c:pt>
                <c:pt idx="7">
                  <c:v>1.3054407650045763</c:v>
                </c:pt>
                <c:pt idx="8">
                  <c:v>1.2490597459472406</c:v>
                </c:pt>
              </c:numCache>
            </c:numRef>
          </c:val>
          <c:smooth val="0"/>
          <c:extLst>
            <c:ext xmlns:c16="http://schemas.microsoft.com/office/drawing/2014/chart" uri="{C3380CC4-5D6E-409C-BE32-E72D297353CC}">
              <c16:uniqueId val="{00000001-744C-466F-8204-4E6AF3902FD7}"/>
            </c:ext>
          </c:extLst>
        </c:ser>
        <c:ser>
          <c:idx val="2"/>
          <c:order val="2"/>
          <c:tx>
            <c:strRef>
              <c:f>'Country Vehicle Prices'!$D$80</c:f>
              <c:strCache>
                <c:ptCount val="1"/>
                <c:pt idx="0">
                  <c:v>Belgium</c:v>
                </c:pt>
              </c:strCache>
            </c:strRef>
          </c:tx>
          <c:spPr>
            <a:ln w="28575" cap="rnd">
              <a:solidFill>
                <a:schemeClr val="accent3"/>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Prices'!$D$107:$D$115</c:f>
              <c:numCache>
                <c:formatCode>0.00</c:formatCode>
                <c:ptCount val="9"/>
                <c:pt idx="0">
                  <c:v>1.3590132250408185</c:v>
                </c:pt>
                <c:pt idx="1">
                  <c:v>1.3730232177356985</c:v>
                </c:pt>
                <c:pt idx="2">
                  <c:v>1.3771728960400047</c:v>
                </c:pt>
                <c:pt idx="3">
                  <c:v>1.4083006826842031</c:v>
                </c:pt>
                <c:pt idx="4">
                  <c:v>1.4233990540569008</c:v>
                </c:pt>
                <c:pt idx="5">
                  <c:v>1.527128983096419</c:v>
                </c:pt>
                <c:pt idx="6">
                  <c:v>1.3618603307897208</c:v>
                </c:pt>
                <c:pt idx="7">
                  <c:v>1.3618082243236589</c:v>
                </c:pt>
                <c:pt idx="8">
                  <c:v>1.3634159704877353</c:v>
                </c:pt>
              </c:numCache>
            </c:numRef>
          </c:val>
          <c:smooth val="0"/>
          <c:extLst>
            <c:ext xmlns:c16="http://schemas.microsoft.com/office/drawing/2014/chart" uri="{C3380CC4-5D6E-409C-BE32-E72D297353CC}">
              <c16:uniqueId val="{00000002-744C-466F-8204-4E6AF3902FD7}"/>
            </c:ext>
          </c:extLst>
        </c:ser>
        <c:ser>
          <c:idx val="3"/>
          <c:order val="3"/>
          <c:tx>
            <c:strRef>
              <c:f>'Country Vehicle Prices'!$E$80</c:f>
              <c:strCache>
                <c:ptCount val="1"/>
                <c:pt idx="0">
                  <c:v>Canada</c:v>
                </c:pt>
              </c:strCache>
            </c:strRef>
          </c:tx>
          <c:spPr>
            <a:ln w="28575" cap="rnd">
              <a:solidFill>
                <a:schemeClr val="accent4"/>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Prices'!$E$107:$E$115</c:f>
              <c:numCache>
                <c:formatCode>0.00</c:formatCode>
                <c:ptCount val="9"/>
                <c:pt idx="0">
                  <c:v>1.3542592098542399</c:v>
                </c:pt>
                <c:pt idx="1">
                  <c:v>1.3312536143097573</c:v>
                </c:pt>
                <c:pt idx="2">
                  <c:v>1.3267553320284622</c:v>
                </c:pt>
                <c:pt idx="3">
                  <c:v>1.3257878911166807</c:v>
                </c:pt>
                <c:pt idx="4">
                  <c:v>1.3401890295988532</c:v>
                </c:pt>
                <c:pt idx="5">
                  <c:v>1.4468029448407334</c:v>
                </c:pt>
                <c:pt idx="6">
                  <c:v>1.2951597582152219</c:v>
                </c:pt>
                <c:pt idx="7">
                  <c:v>1.2864896471965082</c:v>
                </c:pt>
                <c:pt idx="8">
                  <c:v>1.2875152895277584</c:v>
                </c:pt>
              </c:numCache>
            </c:numRef>
          </c:val>
          <c:smooth val="0"/>
          <c:extLst>
            <c:ext xmlns:c16="http://schemas.microsoft.com/office/drawing/2014/chart" uri="{C3380CC4-5D6E-409C-BE32-E72D297353CC}">
              <c16:uniqueId val="{00000003-744C-466F-8204-4E6AF3902FD7}"/>
            </c:ext>
          </c:extLst>
        </c:ser>
        <c:ser>
          <c:idx val="5"/>
          <c:order val="4"/>
          <c:tx>
            <c:strRef>
              <c:f>'Country Vehicle Prices'!$G$80</c:f>
              <c:strCache>
                <c:ptCount val="1"/>
                <c:pt idx="0">
                  <c:v>Denmark</c:v>
                </c:pt>
              </c:strCache>
            </c:strRef>
          </c:tx>
          <c:spPr>
            <a:ln w="28575" cap="rnd">
              <a:solidFill>
                <a:schemeClr val="accent6"/>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Prices'!$G$107:$G$115</c:f>
              <c:numCache>
                <c:formatCode>0.00</c:formatCode>
                <c:ptCount val="9"/>
                <c:pt idx="0">
                  <c:v>0.69882023748843092</c:v>
                </c:pt>
                <c:pt idx="1">
                  <c:v>0.69768619708523649</c:v>
                </c:pt>
                <c:pt idx="2">
                  <c:v>0.70835023206638703</c:v>
                </c:pt>
                <c:pt idx="3">
                  <c:v>0.71081602625970686</c:v>
                </c:pt>
                <c:pt idx="4">
                  <c:v>0.72412587463767608</c:v>
                </c:pt>
                <c:pt idx="5">
                  <c:v>0.77810114160882993</c:v>
                </c:pt>
                <c:pt idx="6">
                  <c:v>0.66520028992021507</c:v>
                </c:pt>
                <c:pt idx="7">
                  <c:v>0.88650923670330362</c:v>
                </c:pt>
                <c:pt idx="8">
                  <c:v>1.0247815712065862</c:v>
                </c:pt>
              </c:numCache>
            </c:numRef>
          </c:val>
          <c:smooth val="0"/>
          <c:extLst>
            <c:ext xmlns:c16="http://schemas.microsoft.com/office/drawing/2014/chart" uri="{C3380CC4-5D6E-409C-BE32-E72D297353CC}">
              <c16:uniqueId val="{00000004-744C-466F-8204-4E6AF3902FD7}"/>
            </c:ext>
          </c:extLst>
        </c:ser>
        <c:ser>
          <c:idx val="6"/>
          <c:order val="5"/>
          <c:tx>
            <c:strRef>
              <c:f>'Country Vehicle Prices'!$H$80</c:f>
              <c:strCache>
                <c:ptCount val="1"/>
                <c:pt idx="0">
                  <c:v>Finland</c:v>
                </c:pt>
              </c:strCache>
            </c:strRef>
          </c:tx>
          <c:spPr>
            <a:ln w="28575" cap="rnd">
              <a:solidFill>
                <a:schemeClr val="accent1">
                  <a:lumMod val="60000"/>
                </a:schemeClr>
              </a:solidFill>
              <a:prstDash val="sysDot"/>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Prices'!$H$107:$H$115</c:f>
              <c:numCache>
                <c:formatCode>0.00</c:formatCode>
                <c:ptCount val="9"/>
                <c:pt idx="0">
                  <c:v>1.1662743624735659</c:v>
                </c:pt>
                <c:pt idx="1">
                  <c:v>1.1782528473573879</c:v>
                </c:pt>
                <c:pt idx="2">
                  <c:v>1.1826153893959339</c:v>
                </c:pt>
                <c:pt idx="3">
                  <c:v>1.1629089057475723</c:v>
                </c:pt>
                <c:pt idx="4">
                  <c:v>1.1764472661801539</c:v>
                </c:pt>
                <c:pt idx="5">
                  <c:v>1.2616398582860264</c:v>
                </c:pt>
                <c:pt idx="6">
                  <c:v>1.1261466457206428</c:v>
                </c:pt>
                <c:pt idx="7">
                  <c:v>1.1245161722736696</c:v>
                </c:pt>
                <c:pt idx="8">
                  <c:v>1.1243853540831028</c:v>
                </c:pt>
              </c:numCache>
            </c:numRef>
          </c:val>
          <c:smooth val="0"/>
          <c:extLst>
            <c:ext xmlns:c16="http://schemas.microsoft.com/office/drawing/2014/chart" uri="{C3380CC4-5D6E-409C-BE32-E72D297353CC}">
              <c16:uniqueId val="{00000005-744C-466F-8204-4E6AF3902FD7}"/>
            </c:ext>
          </c:extLst>
        </c:ser>
        <c:ser>
          <c:idx val="7"/>
          <c:order val="6"/>
          <c:tx>
            <c:strRef>
              <c:f>'Country Vehicle Prices'!$I$80</c:f>
              <c:strCache>
                <c:ptCount val="1"/>
                <c:pt idx="0">
                  <c:v>France</c:v>
                </c:pt>
              </c:strCache>
            </c:strRef>
          </c:tx>
          <c:spPr>
            <a:ln w="28575" cap="rnd">
              <a:solidFill>
                <a:srgbClr val="00B05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Prices'!$I$107:$I$115</c:f>
              <c:numCache>
                <c:formatCode>0.00</c:formatCode>
                <c:ptCount val="9"/>
                <c:pt idx="0">
                  <c:v>1.1956089703522446</c:v>
                </c:pt>
                <c:pt idx="1">
                  <c:v>1.2218738993008407</c:v>
                </c:pt>
                <c:pt idx="2">
                  <c:v>1.2219077122082462</c:v>
                </c:pt>
                <c:pt idx="3">
                  <c:v>1.2681348564351722</c:v>
                </c:pt>
                <c:pt idx="4">
                  <c:v>1.2800190853183939</c:v>
                </c:pt>
                <c:pt idx="5">
                  <c:v>1.3853486532240584</c:v>
                </c:pt>
                <c:pt idx="6">
                  <c:v>1.2422472702816507</c:v>
                </c:pt>
                <c:pt idx="7">
                  <c:v>1.3216739497459704</c:v>
                </c:pt>
                <c:pt idx="8">
                  <c:v>1.3223925521907716</c:v>
                </c:pt>
              </c:numCache>
            </c:numRef>
          </c:val>
          <c:smooth val="0"/>
          <c:extLst>
            <c:ext xmlns:c16="http://schemas.microsoft.com/office/drawing/2014/chart" uri="{C3380CC4-5D6E-409C-BE32-E72D297353CC}">
              <c16:uniqueId val="{00000006-744C-466F-8204-4E6AF3902FD7}"/>
            </c:ext>
          </c:extLst>
        </c:ser>
        <c:ser>
          <c:idx val="8"/>
          <c:order val="7"/>
          <c:tx>
            <c:strRef>
              <c:f>'Country Vehicle Prices'!$J$80</c:f>
              <c:strCache>
                <c:ptCount val="1"/>
                <c:pt idx="0">
                  <c:v>Germany</c:v>
                </c:pt>
              </c:strCache>
            </c:strRef>
          </c:tx>
          <c:spPr>
            <a:ln w="28575" cap="rnd">
              <a:solidFill>
                <a:srgbClr val="00B050"/>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Prices'!$J$107:$J$115</c:f>
              <c:numCache>
                <c:formatCode>0.00</c:formatCode>
                <c:ptCount val="9"/>
                <c:pt idx="0">
                  <c:v>1.3595253351406733</c:v>
                </c:pt>
                <c:pt idx="1">
                  <c:v>1.3723432309208583</c:v>
                </c:pt>
                <c:pt idx="2">
                  <c:v>1.3751940641573301</c:v>
                </c:pt>
                <c:pt idx="3">
                  <c:v>1.4054424798561698</c:v>
                </c:pt>
                <c:pt idx="4">
                  <c:v>1.3017981546914488</c:v>
                </c:pt>
                <c:pt idx="5">
                  <c:v>1.4071311039104573</c:v>
                </c:pt>
                <c:pt idx="6">
                  <c:v>1.270985082873237</c:v>
                </c:pt>
                <c:pt idx="7">
                  <c:v>1.271050859213225</c:v>
                </c:pt>
                <c:pt idx="8">
                  <c:v>1.2720086390709164</c:v>
                </c:pt>
              </c:numCache>
            </c:numRef>
          </c:val>
          <c:smooth val="0"/>
          <c:extLst>
            <c:ext xmlns:c16="http://schemas.microsoft.com/office/drawing/2014/chart" uri="{C3380CC4-5D6E-409C-BE32-E72D297353CC}">
              <c16:uniqueId val="{00000007-744C-466F-8204-4E6AF3902FD7}"/>
            </c:ext>
          </c:extLst>
        </c:ser>
        <c:ser>
          <c:idx val="9"/>
          <c:order val="8"/>
          <c:tx>
            <c:strRef>
              <c:f>'Country Vehicle Prices'!$K$80</c:f>
              <c:strCache>
                <c:ptCount val="1"/>
                <c:pt idx="0">
                  <c:v>India</c:v>
                </c:pt>
              </c:strCache>
            </c:strRef>
          </c:tx>
          <c:spPr>
            <a:ln w="28575" cap="rnd">
              <a:solidFill>
                <a:schemeClr val="accent4">
                  <a:lumMod val="60000"/>
                </a:schemeClr>
              </a:solidFill>
              <a:prstDash val="lgDashDot"/>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Prices'!$K$107:$K$115</c:f>
              <c:numCache>
                <c:formatCode>0.00</c:formatCode>
                <c:ptCount val="9"/>
                <c:pt idx="0">
                  <c:v>1.3616801690975244</c:v>
                </c:pt>
                <c:pt idx="1">
                  <c:v>1.1520150571731487</c:v>
                </c:pt>
                <c:pt idx="2">
                  <c:v>1.1563176370773565</c:v>
                </c:pt>
                <c:pt idx="3">
                  <c:v>1.1809653001544056</c:v>
                </c:pt>
                <c:pt idx="4">
                  <c:v>1.4239766804731573</c:v>
                </c:pt>
                <c:pt idx="5">
                  <c:v>1.4271669183630469</c:v>
                </c:pt>
                <c:pt idx="6">
                  <c:v>1.2724863959143449</c:v>
                </c:pt>
                <c:pt idx="7">
                  <c:v>1.2807237822058057</c:v>
                </c:pt>
                <c:pt idx="8">
                  <c:v>1.2817018632767603</c:v>
                </c:pt>
              </c:numCache>
            </c:numRef>
          </c:val>
          <c:smooth val="0"/>
          <c:extLst>
            <c:ext xmlns:c16="http://schemas.microsoft.com/office/drawing/2014/chart" uri="{C3380CC4-5D6E-409C-BE32-E72D297353CC}">
              <c16:uniqueId val="{00000008-744C-466F-8204-4E6AF3902FD7}"/>
            </c:ext>
          </c:extLst>
        </c:ser>
        <c:ser>
          <c:idx val="10"/>
          <c:order val="9"/>
          <c:tx>
            <c:strRef>
              <c:f>'Country Vehicle Prices'!$L$80</c:f>
              <c:strCache>
                <c:ptCount val="1"/>
                <c:pt idx="0">
                  <c:v>Ireland</c:v>
                </c:pt>
              </c:strCache>
            </c:strRef>
          </c:tx>
          <c:spPr>
            <a:ln w="28575" cap="rnd">
              <a:solidFill>
                <a:schemeClr val="accent5">
                  <a:lumMod val="6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Prices'!$L$107:$L$115</c:f>
              <c:numCache>
                <c:formatCode>0.00</c:formatCode>
                <c:ptCount val="9"/>
                <c:pt idx="0">
                  <c:v>1.3466502847639437</c:v>
                </c:pt>
                <c:pt idx="1">
                  <c:v>1.3612929855147293</c:v>
                </c:pt>
                <c:pt idx="2">
                  <c:v>1.2223374320251872</c:v>
                </c:pt>
                <c:pt idx="3">
                  <c:v>1.2421636593993772</c:v>
                </c:pt>
                <c:pt idx="4">
                  <c:v>1.2564595184382217</c:v>
                </c:pt>
                <c:pt idx="5">
                  <c:v>1.3419674155610477</c:v>
                </c:pt>
                <c:pt idx="6">
                  <c:v>1.0301710867705227</c:v>
                </c:pt>
                <c:pt idx="7">
                  <c:v>1.0302198729280698</c:v>
                </c:pt>
                <c:pt idx="8">
                  <c:v>1.0290656092870138</c:v>
                </c:pt>
              </c:numCache>
            </c:numRef>
          </c:val>
          <c:smooth val="0"/>
          <c:extLst>
            <c:ext xmlns:c16="http://schemas.microsoft.com/office/drawing/2014/chart" uri="{C3380CC4-5D6E-409C-BE32-E72D297353CC}">
              <c16:uniqueId val="{00000009-744C-466F-8204-4E6AF3902FD7}"/>
            </c:ext>
          </c:extLst>
        </c:ser>
        <c:ser>
          <c:idx val="11"/>
          <c:order val="10"/>
          <c:tx>
            <c:strRef>
              <c:f>'Country Vehicle Prices'!$M$80</c:f>
              <c:strCache>
                <c:ptCount val="1"/>
                <c:pt idx="0">
                  <c:v>Italy</c:v>
                </c:pt>
              </c:strCache>
            </c:strRef>
          </c:tx>
          <c:spPr>
            <a:ln w="28575" cap="rnd">
              <a:solidFill>
                <a:schemeClr val="accent6">
                  <a:lumMod val="6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Prices'!$M$107:$M$115</c:f>
              <c:numCache>
                <c:formatCode>0.00</c:formatCode>
                <c:ptCount val="9"/>
                <c:pt idx="0">
                  <c:v>1.3596163885513175</c:v>
                </c:pt>
                <c:pt idx="1">
                  <c:v>1.3735955126661048</c:v>
                </c:pt>
                <c:pt idx="2">
                  <c:v>1.3777797716229467</c:v>
                </c:pt>
                <c:pt idx="3">
                  <c:v>1.4083006826842031</c:v>
                </c:pt>
                <c:pt idx="4">
                  <c:v>1.4233990540569008</c:v>
                </c:pt>
                <c:pt idx="5">
                  <c:v>1.385403942408554</c:v>
                </c:pt>
                <c:pt idx="6">
                  <c:v>1.3613889168167475</c:v>
                </c:pt>
                <c:pt idx="7">
                  <c:v>1.3613372374528663</c:v>
                </c:pt>
                <c:pt idx="8">
                  <c:v>1.3629318053696959</c:v>
                </c:pt>
              </c:numCache>
            </c:numRef>
          </c:val>
          <c:smooth val="0"/>
          <c:extLst>
            <c:ext xmlns:c16="http://schemas.microsoft.com/office/drawing/2014/chart" uri="{C3380CC4-5D6E-409C-BE32-E72D297353CC}">
              <c16:uniqueId val="{0000000A-744C-466F-8204-4E6AF3902FD7}"/>
            </c:ext>
          </c:extLst>
        </c:ser>
        <c:ser>
          <c:idx val="12"/>
          <c:order val="11"/>
          <c:tx>
            <c:strRef>
              <c:f>'Country Vehicle Prices'!$N$80</c:f>
              <c:strCache>
                <c:ptCount val="1"/>
                <c:pt idx="0">
                  <c:v>Japan</c:v>
                </c:pt>
              </c:strCache>
            </c:strRef>
          </c:tx>
          <c:spPr>
            <a:ln w="28575" cap="rnd">
              <a:solidFill>
                <a:schemeClr val="accent1">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Prices'!$N$107:$N$115</c:f>
              <c:numCache>
                <c:formatCode>0.00</c:formatCode>
                <c:ptCount val="9"/>
                <c:pt idx="0">
                  <c:v>1.2392137400255037</c:v>
                </c:pt>
                <c:pt idx="1">
                  <c:v>1.2496095086826431</c:v>
                </c:pt>
                <c:pt idx="2">
                  <c:v>1.2461804769453648</c:v>
                </c:pt>
                <c:pt idx="3">
                  <c:v>1.2773730663256175</c:v>
                </c:pt>
                <c:pt idx="4">
                  <c:v>0.93667221128220035</c:v>
                </c:pt>
                <c:pt idx="5">
                  <c:v>1.1352611013483924</c:v>
                </c:pt>
                <c:pt idx="6">
                  <c:v>1.0175407741404585</c:v>
                </c:pt>
                <c:pt idx="7">
                  <c:v>1.0129610164909109</c:v>
                </c:pt>
                <c:pt idx="8">
                  <c:v>1.0110761873811431</c:v>
                </c:pt>
              </c:numCache>
            </c:numRef>
          </c:val>
          <c:smooth val="0"/>
          <c:extLst>
            <c:ext xmlns:c16="http://schemas.microsoft.com/office/drawing/2014/chart" uri="{C3380CC4-5D6E-409C-BE32-E72D297353CC}">
              <c16:uniqueId val="{0000000B-744C-466F-8204-4E6AF3902FD7}"/>
            </c:ext>
          </c:extLst>
        </c:ser>
        <c:ser>
          <c:idx val="13"/>
          <c:order val="12"/>
          <c:tx>
            <c:strRef>
              <c:f>'Country Vehicle Prices'!$O$80</c:f>
              <c:strCache>
                <c:ptCount val="1"/>
                <c:pt idx="0">
                  <c:v>Korea</c:v>
                </c:pt>
              </c:strCache>
            </c:strRef>
          </c:tx>
          <c:spPr>
            <a:ln w="28575" cap="rnd">
              <a:solidFill>
                <a:srgbClr val="C0000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Prices'!$O$107:$O$115</c:f>
              <c:numCache>
                <c:formatCode>0.00</c:formatCode>
                <c:ptCount val="9"/>
                <c:pt idx="0">
                  <c:v>1.228105606237007</c:v>
                </c:pt>
                <c:pt idx="1">
                  <c:v>1.2403605595166944</c:v>
                </c:pt>
                <c:pt idx="2">
                  <c:v>0.93388513577979393</c:v>
                </c:pt>
                <c:pt idx="3">
                  <c:v>0.96836902678420889</c:v>
                </c:pt>
                <c:pt idx="4">
                  <c:v>0.97478174160342512</c:v>
                </c:pt>
                <c:pt idx="5">
                  <c:v>1.0585319390217911</c:v>
                </c:pt>
                <c:pt idx="6">
                  <c:v>0.929851544619263</c:v>
                </c:pt>
                <c:pt idx="7">
                  <c:v>0.88810667699999934</c:v>
                </c:pt>
                <c:pt idx="8">
                  <c:v>0.87796206288479028</c:v>
                </c:pt>
              </c:numCache>
            </c:numRef>
          </c:val>
          <c:smooth val="0"/>
          <c:extLst>
            <c:ext xmlns:c16="http://schemas.microsoft.com/office/drawing/2014/chart" uri="{C3380CC4-5D6E-409C-BE32-E72D297353CC}">
              <c16:uniqueId val="{0000000C-744C-466F-8204-4E6AF3902FD7}"/>
            </c:ext>
          </c:extLst>
        </c:ser>
        <c:ser>
          <c:idx val="14"/>
          <c:order val="13"/>
          <c:tx>
            <c:strRef>
              <c:f>'Country Vehicle Prices'!$P$80</c:f>
              <c:strCache>
                <c:ptCount val="1"/>
                <c:pt idx="0">
                  <c:v>Netherlands</c:v>
                </c:pt>
              </c:strCache>
            </c:strRef>
          </c:tx>
          <c:spPr>
            <a:ln w="28575" cap="rnd">
              <a:solidFill>
                <a:schemeClr val="accent3">
                  <a:lumMod val="80000"/>
                  <a:lumOff val="2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Prices'!$P$107:$P$115</c:f>
              <c:numCache>
                <c:formatCode>0.00</c:formatCode>
                <c:ptCount val="9"/>
                <c:pt idx="0">
                  <c:v>1.1628908837364871</c:v>
                </c:pt>
                <c:pt idx="1">
                  <c:v>1.1775841094522819</c:v>
                </c:pt>
                <c:pt idx="2">
                  <c:v>1.1787470018026136</c:v>
                </c:pt>
                <c:pt idx="3">
                  <c:v>1.2097339784792158</c:v>
                </c:pt>
                <c:pt idx="4">
                  <c:v>1.2238753979220827</c:v>
                </c:pt>
                <c:pt idx="5">
                  <c:v>1.3403834701358177</c:v>
                </c:pt>
                <c:pt idx="6">
                  <c:v>1.2276214833759591</c:v>
                </c:pt>
                <c:pt idx="7">
                  <c:v>1.3043478260869565</c:v>
                </c:pt>
                <c:pt idx="8">
                  <c:v>1.3043478260869563</c:v>
                </c:pt>
              </c:numCache>
            </c:numRef>
          </c:val>
          <c:smooth val="0"/>
          <c:extLst>
            <c:ext xmlns:c16="http://schemas.microsoft.com/office/drawing/2014/chart" uri="{C3380CC4-5D6E-409C-BE32-E72D297353CC}">
              <c16:uniqueId val="{0000000D-744C-466F-8204-4E6AF3902FD7}"/>
            </c:ext>
          </c:extLst>
        </c:ser>
        <c:ser>
          <c:idx val="15"/>
          <c:order val="14"/>
          <c:tx>
            <c:strRef>
              <c:f>'Country Vehicle Prices'!$Q$80</c:f>
              <c:strCache>
                <c:ptCount val="1"/>
                <c:pt idx="0">
                  <c:v>NZ</c:v>
                </c:pt>
              </c:strCache>
            </c:strRef>
          </c:tx>
          <c:spPr>
            <a:ln w="28575" cap="rnd">
              <a:solidFill>
                <a:schemeClr val="accent4">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Prices'!$Q$107:$Q$115</c:f>
              <c:numCache>
                <c:formatCode>0.00</c:formatCode>
                <c:ptCount val="9"/>
                <c:pt idx="0">
                  <c:v>1.3597502727528628</c:v>
                </c:pt>
                <c:pt idx="1">
                  <c:v>1.3724461167676587</c:v>
                </c:pt>
                <c:pt idx="2">
                  <c:v>1.3750965455913311</c:v>
                </c:pt>
                <c:pt idx="3">
                  <c:v>1.4057986794518145</c:v>
                </c:pt>
                <c:pt idx="4">
                  <c:v>1.4210783841305445</c:v>
                </c:pt>
                <c:pt idx="5">
                  <c:v>1.5249995366318347</c:v>
                </c:pt>
                <c:pt idx="6">
                  <c:v>1.3611069001128164</c:v>
                </c:pt>
                <c:pt idx="7">
                  <c:v>1.3614842356970773</c:v>
                </c:pt>
                <c:pt idx="8">
                  <c:v>1.3624919435325828</c:v>
                </c:pt>
              </c:numCache>
            </c:numRef>
          </c:val>
          <c:smooth val="0"/>
          <c:extLst>
            <c:ext xmlns:c16="http://schemas.microsoft.com/office/drawing/2014/chart" uri="{C3380CC4-5D6E-409C-BE32-E72D297353CC}">
              <c16:uniqueId val="{0000000E-744C-466F-8204-4E6AF3902FD7}"/>
            </c:ext>
          </c:extLst>
        </c:ser>
        <c:ser>
          <c:idx val="16"/>
          <c:order val="15"/>
          <c:tx>
            <c:strRef>
              <c:f>'Country Vehicle Prices'!$R$80</c:f>
              <c:strCache>
                <c:ptCount val="1"/>
                <c:pt idx="0">
                  <c:v>Norway</c:v>
                </c:pt>
              </c:strCache>
            </c:strRef>
          </c:tx>
          <c:spPr>
            <a:ln w="28575" cap="rnd">
              <a:solidFill>
                <a:schemeClr val="accent5">
                  <a:lumMod val="80000"/>
                  <a:lumOff val="2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Prices'!$R$107:$R$115</c:f>
              <c:numCache>
                <c:formatCode>0.00</c:formatCode>
                <c:ptCount val="9"/>
                <c:pt idx="0">
                  <c:v>1.2769387245034947</c:v>
                </c:pt>
                <c:pt idx="1">
                  <c:v>1.2879080785737105</c:v>
                </c:pt>
                <c:pt idx="2">
                  <c:v>1.2910267809017912</c:v>
                </c:pt>
                <c:pt idx="3">
                  <c:v>1.315330988319771</c:v>
                </c:pt>
                <c:pt idx="4">
                  <c:v>0.92678173609367398</c:v>
                </c:pt>
                <c:pt idx="5">
                  <c:v>0.99373213845363095</c:v>
                </c:pt>
                <c:pt idx="6">
                  <c:v>0.88578377007501852</c:v>
                </c:pt>
                <c:pt idx="7">
                  <c:v>0.88574460931481047</c:v>
                </c:pt>
                <c:pt idx="8">
                  <c:v>0.88695291543812271</c:v>
                </c:pt>
              </c:numCache>
            </c:numRef>
          </c:val>
          <c:smooth val="0"/>
          <c:extLst>
            <c:ext xmlns:c16="http://schemas.microsoft.com/office/drawing/2014/chart" uri="{C3380CC4-5D6E-409C-BE32-E72D297353CC}">
              <c16:uniqueId val="{0000000F-744C-466F-8204-4E6AF3902FD7}"/>
            </c:ext>
          </c:extLst>
        </c:ser>
        <c:ser>
          <c:idx val="17"/>
          <c:order val="16"/>
          <c:tx>
            <c:strRef>
              <c:f>'Country Vehicle Prices'!$S$80</c:f>
              <c:strCache>
                <c:ptCount val="1"/>
                <c:pt idx="0">
                  <c:v>Spain</c:v>
                </c:pt>
              </c:strCache>
            </c:strRef>
          </c:tx>
          <c:spPr>
            <a:ln w="28575" cap="rnd">
              <a:solidFill>
                <a:schemeClr val="accent6">
                  <a:lumMod val="80000"/>
                  <a:lumOff val="2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Prices'!$S$107:$S$115</c:f>
              <c:numCache>
                <c:formatCode>0.00</c:formatCode>
                <c:ptCount val="9"/>
                <c:pt idx="0">
                  <c:v>1.2591224234005629</c:v>
                </c:pt>
                <c:pt idx="1">
                  <c:v>1.2732908843597863</c:v>
                </c:pt>
                <c:pt idx="2">
                  <c:v>1.2751777083229736</c:v>
                </c:pt>
                <c:pt idx="3">
                  <c:v>1.3162382329655595</c:v>
                </c:pt>
                <c:pt idx="4">
                  <c:v>1.3304933026255783</c:v>
                </c:pt>
                <c:pt idx="5">
                  <c:v>1.4347928258082674</c:v>
                </c:pt>
                <c:pt idx="6">
                  <c:v>1.2842859211470323</c:v>
                </c:pt>
                <c:pt idx="7">
                  <c:v>1.2818810506646277</c:v>
                </c:pt>
                <c:pt idx="8">
                  <c:v>1.2827889859697461</c:v>
                </c:pt>
              </c:numCache>
            </c:numRef>
          </c:val>
          <c:smooth val="0"/>
          <c:extLst>
            <c:ext xmlns:c16="http://schemas.microsoft.com/office/drawing/2014/chart" uri="{C3380CC4-5D6E-409C-BE32-E72D297353CC}">
              <c16:uniqueId val="{00000010-744C-466F-8204-4E6AF3902FD7}"/>
            </c:ext>
          </c:extLst>
        </c:ser>
        <c:ser>
          <c:idx val="18"/>
          <c:order val="17"/>
          <c:tx>
            <c:strRef>
              <c:f>'Country Vehicle Prices'!$T$80</c:f>
              <c:strCache>
                <c:ptCount val="1"/>
                <c:pt idx="0">
                  <c:v>Sweden </c:v>
                </c:pt>
              </c:strCache>
            </c:strRef>
          </c:tx>
          <c:spPr>
            <a:ln w="28575" cap="rnd">
              <a:solidFill>
                <a:schemeClr val="accent1">
                  <a:lumMod val="80000"/>
                </a:schemeClr>
              </a:solidFill>
              <a:prstDash val="sysDash"/>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Prices'!$T$107:$T$115</c:f>
              <c:numCache>
                <c:formatCode>0.00</c:formatCode>
                <c:ptCount val="9"/>
                <c:pt idx="0">
                  <c:v>1.2866336037809223</c:v>
                </c:pt>
                <c:pt idx="1">
                  <c:v>1.3043478260869563</c:v>
                </c:pt>
                <c:pt idx="2">
                  <c:v>1.3043478260869565</c:v>
                </c:pt>
                <c:pt idx="3">
                  <c:v>1.1303200217848572</c:v>
                </c:pt>
                <c:pt idx="4">
                  <c:v>1.1350194365181765</c:v>
                </c:pt>
                <c:pt idx="5">
                  <c:v>1.2497640035008819</c:v>
                </c:pt>
                <c:pt idx="6">
                  <c:v>1.1348202674991703</c:v>
                </c:pt>
                <c:pt idx="7">
                  <c:v>1.2216496339942027</c:v>
                </c:pt>
                <c:pt idx="8">
                  <c:v>1.2228892750413176</c:v>
                </c:pt>
              </c:numCache>
            </c:numRef>
          </c:val>
          <c:smooth val="0"/>
          <c:extLst>
            <c:ext xmlns:c16="http://schemas.microsoft.com/office/drawing/2014/chart" uri="{C3380CC4-5D6E-409C-BE32-E72D297353CC}">
              <c16:uniqueId val="{00000011-744C-466F-8204-4E6AF3902FD7}"/>
            </c:ext>
          </c:extLst>
        </c:ser>
        <c:ser>
          <c:idx val="19"/>
          <c:order val="18"/>
          <c:tx>
            <c:strRef>
              <c:f>'Country Vehicle Prices'!$U$80</c:f>
              <c:strCache>
                <c:ptCount val="1"/>
                <c:pt idx="0">
                  <c:v>Switzerland</c:v>
                </c:pt>
              </c:strCache>
            </c:strRef>
          </c:tx>
          <c:spPr>
            <a:ln w="28575" cap="rnd">
              <a:solidFill>
                <a:schemeClr val="accent2">
                  <a:lumMod val="60000"/>
                  <a:lumOff val="4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Prices'!$U$107:$U$115</c:f>
              <c:numCache>
                <c:formatCode>0.00</c:formatCode>
                <c:ptCount val="9"/>
                <c:pt idx="0">
                  <c:v>1.3371697934713729</c:v>
                </c:pt>
                <c:pt idx="1">
                  <c:v>1.3568996640566018</c:v>
                </c:pt>
                <c:pt idx="2">
                  <c:v>1.3656179937071198</c:v>
                </c:pt>
                <c:pt idx="3">
                  <c:v>1.3987744008572451</c:v>
                </c:pt>
                <c:pt idx="4">
                  <c:v>1.366081796049609</c:v>
                </c:pt>
                <c:pt idx="5">
                  <c:v>1.4671574203967637</c:v>
                </c:pt>
                <c:pt idx="6">
                  <c:v>1.3159330932516955</c:v>
                </c:pt>
                <c:pt idx="7">
                  <c:v>1.3144999538101496</c:v>
                </c:pt>
                <c:pt idx="8">
                  <c:v>1.3147462054921875</c:v>
                </c:pt>
              </c:numCache>
            </c:numRef>
          </c:val>
          <c:smooth val="0"/>
          <c:extLst>
            <c:ext xmlns:c16="http://schemas.microsoft.com/office/drawing/2014/chart" uri="{C3380CC4-5D6E-409C-BE32-E72D297353CC}">
              <c16:uniqueId val="{00000012-744C-466F-8204-4E6AF3902FD7}"/>
            </c:ext>
          </c:extLst>
        </c:ser>
        <c:ser>
          <c:idx val="20"/>
          <c:order val="19"/>
          <c:tx>
            <c:strRef>
              <c:f>'Country Vehicle Prices'!$V$80</c:f>
              <c:strCache>
                <c:ptCount val="1"/>
                <c:pt idx="0">
                  <c:v>UK</c:v>
                </c:pt>
              </c:strCache>
            </c:strRef>
          </c:tx>
          <c:spPr>
            <a:ln w="28575" cap="rnd">
              <a:solidFill>
                <a:srgbClr val="FF0000"/>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Prices'!$V$107:$V$115</c:f>
              <c:numCache>
                <c:formatCode>0.00</c:formatCode>
                <c:ptCount val="9"/>
                <c:pt idx="0">
                  <c:v>1.3573101533733274</c:v>
                </c:pt>
                <c:pt idx="1">
                  <c:v>1.3728462656876153</c:v>
                </c:pt>
                <c:pt idx="2">
                  <c:v>1.2134986553192131</c:v>
                </c:pt>
                <c:pt idx="3">
                  <c:v>1.2552371032100509</c:v>
                </c:pt>
                <c:pt idx="4">
                  <c:v>1.2737062466674134</c:v>
                </c:pt>
                <c:pt idx="5">
                  <c:v>1.3759676475476617</c:v>
                </c:pt>
                <c:pt idx="6">
                  <c:v>1.2280382588450902</c:v>
                </c:pt>
                <c:pt idx="7">
                  <c:v>1.238143650908166</c:v>
                </c:pt>
                <c:pt idx="8">
                  <c:v>1.2432609520411575</c:v>
                </c:pt>
              </c:numCache>
            </c:numRef>
          </c:val>
          <c:smooth val="0"/>
          <c:extLst>
            <c:ext xmlns:c16="http://schemas.microsoft.com/office/drawing/2014/chart" uri="{C3380CC4-5D6E-409C-BE32-E72D297353CC}">
              <c16:uniqueId val="{00000013-744C-466F-8204-4E6AF3902FD7}"/>
            </c:ext>
          </c:extLst>
        </c:ser>
        <c:ser>
          <c:idx val="21"/>
          <c:order val="20"/>
          <c:tx>
            <c:strRef>
              <c:f>'Country Vehicle Prices'!$W$80</c:f>
              <c:strCache>
                <c:ptCount val="1"/>
                <c:pt idx="0">
                  <c:v>USA</c:v>
                </c:pt>
              </c:strCache>
            </c:strRef>
          </c:tx>
          <c:spPr>
            <a:ln w="28575" cap="rnd">
              <a:solidFill>
                <a:schemeClr val="accent4">
                  <a:lumMod val="80000"/>
                </a:schemeClr>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Prices'!$W$107:$W$115</c:f>
              <c:numCache>
                <c:formatCode>0.00</c:formatCode>
                <c:ptCount val="9"/>
                <c:pt idx="0">
                  <c:v>1.1692795786157324</c:v>
                </c:pt>
                <c:pt idx="1">
                  <c:v>1.1894607851038537</c:v>
                </c:pt>
                <c:pt idx="2">
                  <c:v>1.1940132388370335</c:v>
                </c:pt>
                <c:pt idx="3">
                  <c:v>1.2335122468539315</c:v>
                </c:pt>
                <c:pt idx="4">
                  <c:v>1.248604699088272</c:v>
                </c:pt>
                <c:pt idx="5">
                  <c:v>1.3551379764277649</c:v>
                </c:pt>
                <c:pt idx="6">
                  <c:v>1.2014476796975211</c:v>
                </c:pt>
                <c:pt idx="7">
                  <c:v>1.2031877020701636</c:v>
                </c:pt>
                <c:pt idx="8">
                  <c:v>1.2060271196255368</c:v>
                </c:pt>
              </c:numCache>
            </c:numRef>
          </c:val>
          <c:smooth val="0"/>
          <c:extLst>
            <c:ext xmlns:c16="http://schemas.microsoft.com/office/drawing/2014/chart" uri="{C3380CC4-5D6E-409C-BE32-E72D297353CC}">
              <c16:uniqueId val="{00000014-744C-466F-8204-4E6AF3902FD7}"/>
            </c:ext>
          </c:extLst>
        </c:ser>
        <c:ser>
          <c:idx val="23"/>
          <c:order val="21"/>
          <c:tx>
            <c:strRef>
              <c:f>'Country Vehicle Prices'!$Y$80</c:f>
              <c:strCache>
                <c:ptCount val="1"/>
                <c:pt idx="0">
                  <c:v>EQUALITY</c:v>
                </c:pt>
              </c:strCache>
            </c:strRef>
          </c:tx>
          <c:spPr>
            <a:ln w="38100" cap="rnd">
              <a:solidFill>
                <a:schemeClr val="tx1"/>
              </a:solidFill>
              <a:round/>
            </a:ln>
            <a:effectLst/>
          </c:spPr>
          <c:marker>
            <c:symbol val="none"/>
          </c:marker>
          <c:cat>
            <c:numRef>
              <c:f>'Country Vehicle Prices'!$A$81:$A$89</c:f>
              <c:numCache>
                <c:formatCode>0</c:formatCode>
                <c:ptCount val="9"/>
                <c:pt idx="0">
                  <c:v>2009</c:v>
                </c:pt>
                <c:pt idx="1">
                  <c:v>2010</c:v>
                </c:pt>
                <c:pt idx="2">
                  <c:v>2011</c:v>
                </c:pt>
                <c:pt idx="3">
                  <c:v>2012</c:v>
                </c:pt>
                <c:pt idx="4">
                  <c:v>2013</c:v>
                </c:pt>
                <c:pt idx="5">
                  <c:v>2014</c:v>
                </c:pt>
                <c:pt idx="6">
                  <c:v>2015</c:v>
                </c:pt>
                <c:pt idx="7">
                  <c:v>2016</c:v>
                </c:pt>
                <c:pt idx="8">
                  <c:v>2017</c:v>
                </c:pt>
              </c:numCache>
            </c:numRef>
          </c:cat>
          <c:val>
            <c:numRef>
              <c:f>'Country Vehicle Prices'!$Y$81:$Y$89</c:f>
              <c:numCache>
                <c:formatCode>0.00</c:formatCode>
                <c:ptCount val="9"/>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15-744C-466F-8204-4E6AF3902FD7}"/>
            </c:ext>
          </c:extLst>
        </c:ser>
        <c:dLbls>
          <c:showLegendKey val="0"/>
          <c:showVal val="0"/>
          <c:showCatName val="0"/>
          <c:showSerName val="0"/>
          <c:showPercent val="0"/>
          <c:showBubbleSize val="0"/>
        </c:dLbls>
        <c:smooth val="0"/>
        <c:axId val="767464616"/>
        <c:axId val="767466256"/>
      </c:lineChart>
      <c:catAx>
        <c:axId val="767464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466256"/>
        <c:crosses val="autoZero"/>
        <c:auto val="1"/>
        <c:lblAlgn val="ctr"/>
        <c:lblOffset val="100"/>
        <c:noMultiLvlLbl val="0"/>
      </c:catAx>
      <c:valAx>
        <c:axId val="767466256"/>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464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'Country Vehicle Prices'!$Z$80</c:f>
              <c:strCache>
                <c:ptCount val="1"/>
                <c:pt idx="0">
                  <c:v>global median</c:v>
                </c:pt>
              </c:strCache>
            </c:strRef>
          </c:tx>
          <c:spPr>
            <a:ln w="28575" cap="rnd">
              <a:solidFill>
                <a:schemeClr val="accent2"/>
              </a:solidFill>
              <a:round/>
            </a:ln>
            <a:effectLst/>
          </c:spPr>
          <c:marker>
            <c:symbol val="none"/>
          </c:marker>
          <c:cat>
            <c:numRef>
              <c:f>'Country Vehicle Prices'!$A$81:$A$102</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Prices'!$Z$81:$Z$102</c:f>
              <c:numCache>
                <c:formatCode>0.00</c:formatCode>
                <c:ptCount val="22"/>
                <c:pt idx="0">
                  <c:v>1.2866336037809223</c:v>
                </c:pt>
                <c:pt idx="1">
                  <c:v>1.1782528473573879</c:v>
                </c:pt>
                <c:pt idx="2">
                  <c:v>1.1563176370773567</c:v>
                </c:pt>
                <c:pt idx="3">
                  <c:v>1.1629089057475723</c:v>
                </c:pt>
                <c:pt idx="4">
                  <c:v>1.1565779509720371</c:v>
                </c:pt>
                <c:pt idx="5">
                  <c:v>1.2553175036144069</c:v>
                </c:pt>
                <c:pt idx="6">
                  <c:v>1.1334819829326388</c:v>
                </c:pt>
                <c:pt idx="7">
                  <c:v>1.1263676479449638</c:v>
                </c:pt>
                <c:pt idx="8">
                  <c:v>1.1259974214809438</c:v>
                </c:pt>
                <c:pt idx="9">
                  <c:v>1.1758346965568536</c:v>
                </c:pt>
                <c:pt idx="10">
                  <c:v>1.2030781202565817</c:v>
                </c:pt>
                <c:pt idx="11">
                  <c:v>1.2008217460236046</c:v>
                </c:pt>
                <c:pt idx="12">
                  <c:v>1.1810847948575875</c:v>
                </c:pt>
                <c:pt idx="13">
                  <c:v>1.1947147380455168</c:v>
                </c:pt>
                <c:pt idx="14">
                  <c:v>1.1869667434909617</c:v>
                </c:pt>
                <c:pt idx="15">
                  <c:v>1.1564491451327357</c:v>
                </c:pt>
                <c:pt idx="16">
                  <c:v>1.1201780565668946</c:v>
                </c:pt>
                <c:pt idx="17">
                  <c:v>1.1012422874734829</c:v>
                </c:pt>
                <c:pt idx="18">
                  <c:v>1.0822027862601133</c:v>
                </c:pt>
                <c:pt idx="19">
                  <c:v>1.0601757000404226</c:v>
                </c:pt>
                <c:pt idx="20">
                  <c:v>1.0409364377285457</c:v>
                </c:pt>
                <c:pt idx="21">
                  <c:v>1.0187145766468151</c:v>
                </c:pt>
              </c:numCache>
            </c:numRef>
          </c:val>
          <c:smooth val="0"/>
          <c:extLst>
            <c:ext xmlns:c16="http://schemas.microsoft.com/office/drawing/2014/chart" uri="{C3380CC4-5D6E-409C-BE32-E72D297353CC}">
              <c16:uniqueId val="{00000001-105E-4EE4-B250-1A7BCA33968D}"/>
            </c:ext>
          </c:extLst>
        </c:ser>
        <c:ser>
          <c:idx val="0"/>
          <c:order val="1"/>
          <c:tx>
            <c:strRef>
              <c:f>'Country Vehicle Prices'!$Y$80</c:f>
              <c:strCache>
                <c:ptCount val="1"/>
                <c:pt idx="0">
                  <c:v>EQUALITY</c:v>
                </c:pt>
              </c:strCache>
            </c:strRef>
          </c:tx>
          <c:spPr>
            <a:ln w="28575" cap="rnd">
              <a:solidFill>
                <a:schemeClr val="tx1"/>
              </a:solidFill>
              <a:round/>
            </a:ln>
            <a:effectLst/>
          </c:spPr>
          <c:marker>
            <c:symbol val="none"/>
          </c:marker>
          <c:val>
            <c:numRef>
              <c:f>'Country Vehicle Prices'!$Y$81:$Y$102</c:f>
              <c:numCache>
                <c:formatCode>0.00</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smooth val="0"/>
          <c:extLst>
            <c:ext xmlns:c16="http://schemas.microsoft.com/office/drawing/2014/chart" uri="{C3380CC4-5D6E-409C-BE32-E72D297353CC}">
              <c16:uniqueId val="{00000000-9DDB-4DD3-AA63-3FDCCB2E45AB}"/>
            </c:ext>
          </c:extLst>
        </c:ser>
        <c:dLbls>
          <c:showLegendKey val="0"/>
          <c:showVal val="0"/>
          <c:showCatName val="0"/>
          <c:showSerName val="0"/>
          <c:showPercent val="0"/>
          <c:showBubbleSize val="0"/>
        </c:dLbls>
        <c:smooth val="0"/>
        <c:axId val="723515592"/>
        <c:axId val="723521168"/>
      </c:lineChart>
      <c:catAx>
        <c:axId val="7235155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521168"/>
        <c:crosses val="autoZero"/>
        <c:auto val="1"/>
        <c:lblAlgn val="ctr"/>
        <c:lblOffset val="100"/>
        <c:noMultiLvlLbl val="0"/>
      </c:catAx>
      <c:valAx>
        <c:axId val="723521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515592"/>
        <c:crosses val="autoZero"/>
        <c:crossBetween val="between"/>
      </c:valAx>
      <c:spPr>
        <a:noFill/>
        <a:ln>
          <a:noFill/>
        </a:ln>
        <a:effectLst/>
      </c:spPr>
    </c:plotArea>
    <c:legend>
      <c:legendPos val="b"/>
      <c:layout>
        <c:manualLayout>
          <c:xMode val="edge"/>
          <c:yMode val="edge"/>
          <c:x val="0.35952690288713918"/>
          <c:y val="0.45891149023038785"/>
          <c:w val="0.26983486439195098"/>
          <c:h val="0.207755176436278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'Country Vehicle Prices'!$Z$106</c:f>
              <c:strCache>
                <c:ptCount val="1"/>
                <c:pt idx="0">
                  <c:v>global median</c:v>
                </c:pt>
              </c:strCache>
            </c:strRef>
          </c:tx>
          <c:spPr>
            <a:ln w="28575" cap="rnd">
              <a:solidFill>
                <a:schemeClr val="accent2"/>
              </a:solidFill>
              <a:round/>
            </a:ln>
            <a:effectLst/>
          </c:spPr>
          <c:marker>
            <c:symbol val="none"/>
          </c:marker>
          <c:cat>
            <c:numRef>
              <c:f>'Country Vehicle Prices'!$A$107:$A$128</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Prices'!$Z$107:$Z$128</c:f>
              <c:numCache>
                <c:formatCode>0.00</c:formatCode>
                <c:ptCount val="22"/>
                <c:pt idx="0">
                  <c:v>1.2866336037809223</c:v>
                </c:pt>
                <c:pt idx="1">
                  <c:v>1.2879080785737105</c:v>
                </c:pt>
                <c:pt idx="2">
                  <c:v>1.2751777083229736</c:v>
                </c:pt>
                <c:pt idx="3">
                  <c:v>1.2773730663256175</c:v>
                </c:pt>
                <c:pt idx="4">
                  <c:v>1.2800190853183939</c:v>
                </c:pt>
                <c:pt idx="5">
                  <c:v>1.3853486532240584</c:v>
                </c:pt>
                <c:pt idx="6">
                  <c:v>1.2422472702816507</c:v>
                </c:pt>
                <c:pt idx="7">
                  <c:v>1.2807237822058057</c:v>
                </c:pt>
                <c:pt idx="8">
                  <c:v>1.2720086390709164</c:v>
                </c:pt>
                <c:pt idx="9">
                  <c:v>1.2740407297607947</c:v>
                </c:pt>
                <c:pt idx="10">
                  <c:v>1.3020526111832813</c:v>
                </c:pt>
                <c:pt idx="11">
                  <c:v>1.297160338288476</c:v>
                </c:pt>
                <c:pt idx="12">
                  <c:v>1.2668441640845371</c:v>
                </c:pt>
                <c:pt idx="13">
                  <c:v>1.2873250518681127</c:v>
                </c:pt>
                <c:pt idx="14">
                  <c:v>1.2777663280730094</c:v>
                </c:pt>
                <c:pt idx="15">
                  <c:v>1.2343867969190097</c:v>
                </c:pt>
                <c:pt idx="16">
                  <c:v>1.1973532310943849</c:v>
                </c:pt>
                <c:pt idx="17">
                  <c:v>1.1770837375558063</c:v>
                </c:pt>
                <c:pt idx="18">
                  <c:v>1.1567498767991771</c:v>
                </c:pt>
                <c:pt idx="19">
                  <c:v>1.133558336267084</c:v>
                </c:pt>
                <c:pt idx="20">
                  <c:v>1.1130961269309148</c:v>
                </c:pt>
                <c:pt idx="21">
                  <c:v>1.0897735407597156</c:v>
                </c:pt>
              </c:numCache>
            </c:numRef>
          </c:val>
          <c:smooth val="0"/>
          <c:extLst>
            <c:ext xmlns:c16="http://schemas.microsoft.com/office/drawing/2014/chart" uri="{C3380CC4-5D6E-409C-BE32-E72D297353CC}">
              <c16:uniqueId val="{00000001-092F-4DE8-A933-50EDCC2E7B6A}"/>
            </c:ext>
          </c:extLst>
        </c:ser>
        <c:ser>
          <c:idx val="0"/>
          <c:order val="1"/>
          <c:tx>
            <c:strRef>
              <c:f>'Country Vehicle Prices'!$Y$106</c:f>
              <c:strCache>
                <c:ptCount val="1"/>
                <c:pt idx="0">
                  <c:v>EQUALITY</c:v>
                </c:pt>
              </c:strCache>
            </c:strRef>
          </c:tx>
          <c:spPr>
            <a:ln w="28575" cap="rnd">
              <a:solidFill>
                <a:schemeClr val="tx1"/>
              </a:solidFill>
              <a:round/>
            </a:ln>
            <a:effectLst/>
          </c:spPr>
          <c:marker>
            <c:symbol val="none"/>
          </c:marker>
          <c:cat>
            <c:numRef>
              <c:f>'Country Vehicle Prices'!$A$107:$A$128</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Prices'!$Y$107:$Y$128</c:f>
              <c:numCache>
                <c:formatCode>0.00</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smooth val="0"/>
          <c:extLst>
            <c:ext xmlns:c16="http://schemas.microsoft.com/office/drawing/2014/chart" uri="{C3380CC4-5D6E-409C-BE32-E72D297353CC}">
              <c16:uniqueId val="{00000000-3DDC-4B89-90B8-B02D395AAB19}"/>
            </c:ext>
          </c:extLst>
        </c:ser>
        <c:dLbls>
          <c:showLegendKey val="0"/>
          <c:showVal val="0"/>
          <c:showCatName val="0"/>
          <c:showSerName val="0"/>
          <c:showPercent val="0"/>
          <c:showBubbleSize val="0"/>
        </c:dLbls>
        <c:smooth val="0"/>
        <c:axId val="754400904"/>
        <c:axId val="754395656"/>
      </c:lineChart>
      <c:catAx>
        <c:axId val="7544009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395656"/>
        <c:crosses val="autoZero"/>
        <c:auto val="1"/>
        <c:lblAlgn val="ctr"/>
        <c:lblOffset val="100"/>
        <c:noMultiLvlLbl val="0"/>
      </c:catAx>
      <c:valAx>
        <c:axId val="754395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400904"/>
        <c:crosses val="autoZero"/>
        <c:crossBetween val="between"/>
      </c:valAx>
      <c:spPr>
        <a:noFill/>
        <a:ln>
          <a:noFill/>
        </a:ln>
        <a:effectLst/>
      </c:spPr>
    </c:plotArea>
    <c:legend>
      <c:legendPos val="b"/>
      <c:layout>
        <c:manualLayout>
          <c:xMode val="edge"/>
          <c:yMode val="edge"/>
          <c:x val="0.39008245844269474"/>
          <c:y val="0.43113371245261006"/>
          <c:w val="0.31427930883639538"/>
          <c:h val="0.207755176436278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'Country Vehicle Prices'!$AA$80</c:f>
              <c:strCache>
                <c:ptCount val="1"/>
                <c:pt idx="0">
                  <c:v>global wgt'd aver</c:v>
                </c:pt>
              </c:strCache>
            </c:strRef>
          </c:tx>
          <c:spPr>
            <a:ln w="28575" cap="rnd">
              <a:solidFill>
                <a:schemeClr val="accent1"/>
              </a:solidFill>
              <a:round/>
            </a:ln>
            <a:effectLst/>
          </c:spPr>
          <c:marker>
            <c:symbol val="none"/>
          </c:marker>
          <c:cat>
            <c:numRef>
              <c:f>'Country Vehicle Prices'!$A$81:$A$102</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Prices'!$AA$81:$AA$102</c:f>
              <c:numCache>
                <c:formatCode>0.000</c:formatCode>
                <c:ptCount val="22"/>
                <c:pt idx="0">
                  <c:v>1.1341594874123231</c:v>
                </c:pt>
                <c:pt idx="1">
                  <c:v>1.1102658421736264</c:v>
                </c:pt>
                <c:pt idx="2">
                  <c:v>1.0907760927849703</c:v>
                </c:pt>
                <c:pt idx="3">
                  <c:v>1.1215387294623813</c:v>
                </c:pt>
                <c:pt idx="4">
                  <c:v>1.0560417316488009</c:v>
                </c:pt>
                <c:pt idx="5">
                  <c:v>1.1616922897145678</c:v>
                </c:pt>
                <c:pt idx="6">
                  <c:v>1.0186879728624845</c:v>
                </c:pt>
                <c:pt idx="7">
                  <c:v>1.0196816192462943</c:v>
                </c:pt>
                <c:pt idx="8">
                  <c:v>1.0233110583208087</c:v>
                </c:pt>
                <c:pt idx="9">
                  <c:v>1.0465372838847229</c:v>
                </c:pt>
                <c:pt idx="10">
                  <c:v>1.0945846547618083</c:v>
                </c:pt>
                <c:pt idx="11">
                  <c:v>1.1078196994035434</c:v>
                </c:pt>
                <c:pt idx="12">
                  <c:v>1.096003196350571</c:v>
                </c:pt>
                <c:pt idx="13">
                  <c:v>1.1156664814479202</c:v>
                </c:pt>
                <c:pt idx="14">
                  <c:v>1.1048310491086633</c:v>
                </c:pt>
                <c:pt idx="15">
                  <c:v>1.0597402747864022</c:v>
                </c:pt>
                <c:pt idx="16">
                  <c:v>1.02116014308101</c:v>
                </c:pt>
                <c:pt idx="17">
                  <c:v>0.99961693101710691</c:v>
                </c:pt>
                <c:pt idx="18">
                  <c:v>0.9780519855902513</c:v>
                </c:pt>
                <c:pt idx="19">
                  <c:v>0.95364260611689899</c:v>
                </c:pt>
                <c:pt idx="20">
                  <c:v>0.93203560061381652</c:v>
                </c:pt>
                <c:pt idx="21">
                  <c:v>0.90775383358615391</c:v>
                </c:pt>
              </c:numCache>
            </c:numRef>
          </c:val>
          <c:smooth val="0"/>
          <c:extLst>
            <c:ext xmlns:c16="http://schemas.microsoft.com/office/drawing/2014/chart" uri="{C3380CC4-5D6E-409C-BE32-E72D297353CC}">
              <c16:uniqueId val="{00000000-8300-4102-8FAA-9C593E83208A}"/>
            </c:ext>
          </c:extLst>
        </c:ser>
        <c:ser>
          <c:idx val="1"/>
          <c:order val="1"/>
          <c:tx>
            <c:strRef>
              <c:f>'Country Vehicle Prices'!$AB$80</c:f>
              <c:strCache>
                <c:ptCount val="1"/>
                <c:pt idx="0">
                  <c:v> BEVsmoothed</c:v>
                </c:pt>
              </c:strCache>
            </c:strRef>
          </c:tx>
          <c:spPr>
            <a:ln w="28575" cap="rnd">
              <a:solidFill>
                <a:schemeClr val="accent2"/>
              </a:solidFill>
              <a:round/>
            </a:ln>
            <a:effectLst/>
          </c:spPr>
          <c:marker>
            <c:symbol val="none"/>
          </c:marker>
          <c:cat>
            <c:numRef>
              <c:f>'Country Vehicle Prices'!$A$81:$A$102</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Prices'!$AB$81:$AB$102</c:f>
              <c:numCache>
                <c:formatCode>0.000</c:formatCode>
                <c:ptCount val="22"/>
                <c:pt idx="0">
                  <c:v>1.1341594874123231</c:v>
                </c:pt>
                <c:pt idx="1">
                  <c:v>1.1117338074569731</c:v>
                </c:pt>
                <c:pt idx="2">
                  <c:v>1.107526888140326</c:v>
                </c:pt>
                <c:pt idx="3">
                  <c:v>1.0894521846320508</c:v>
                </c:pt>
                <c:pt idx="4">
                  <c:v>1.1130909169419165</c:v>
                </c:pt>
                <c:pt idx="5">
                  <c:v>1.078807331408618</c:v>
                </c:pt>
                <c:pt idx="6">
                  <c:v>1.0666872939411156</c:v>
                </c:pt>
                <c:pt idx="7">
                  <c:v>1.0196816192462943</c:v>
                </c:pt>
                <c:pt idx="8">
                  <c:v>1.0233110583208087</c:v>
                </c:pt>
                <c:pt idx="9">
                  <c:v>1.0465372838847229</c:v>
                </c:pt>
                <c:pt idx="10">
                  <c:v>1.0945846547618083</c:v>
                </c:pt>
                <c:pt idx="11">
                  <c:v>1.1078196994035434</c:v>
                </c:pt>
                <c:pt idx="12">
                  <c:v>1.096003196350571</c:v>
                </c:pt>
                <c:pt idx="13">
                  <c:v>1.1156664814479202</c:v>
                </c:pt>
                <c:pt idx="14">
                  <c:v>1.1048310491086633</c:v>
                </c:pt>
                <c:pt idx="15">
                  <c:v>1.0597402747864022</c:v>
                </c:pt>
                <c:pt idx="16">
                  <c:v>1.02116014308101</c:v>
                </c:pt>
                <c:pt idx="17">
                  <c:v>0.99961693101710691</c:v>
                </c:pt>
                <c:pt idx="18">
                  <c:v>0.9780519855902513</c:v>
                </c:pt>
                <c:pt idx="19">
                  <c:v>0.95364260611689899</c:v>
                </c:pt>
                <c:pt idx="20">
                  <c:v>0.93203560061381652</c:v>
                </c:pt>
                <c:pt idx="21">
                  <c:v>0.90775383358615391</c:v>
                </c:pt>
              </c:numCache>
            </c:numRef>
          </c:val>
          <c:smooth val="0"/>
          <c:extLst>
            <c:ext xmlns:c16="http://schemas.microsoft.com/office/drawing/2014/chart" uri="{C3380CC4-5D6E-409C-BE32-E72D297353CC}">
              <c16:uniqueId val="{00000001-8300-4102-8FAA-9C593E83208A}"/>
            </c:ext>
          </c:extLst>
        </c:ser>
        <c:dLbls>
          <c:showLegendKey val="0"/>
          <c:showVal val="0"/>
          <c:showCatName val="0"/>
          <c:showSerName val="0"/>
          <c:showPercent val="0"/>
          <c:showBubbleSize val="0"/>
        </c:dLbls>
        <c:smooth val="0"/>
        <c:axId val="723369936"/>
        <c:axId val="723365016"/>
      </c:lineChart>
      <c:catAx>
        <c:axId val="7233699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365016"/>
        <c:crosses val="autoZero"/>
        <c:auto val="1"/>
        <c:lblAlgn val="ctr"/>
        <c:lblOffset val="100"/>
        <c:noMultiLvlLbl val="0"/>
      </c:catAx>
      <c:valAx>
        <c:axId val="72336501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369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'Country Vehicle Prices'!$AA$106</c:f>
              <c:strCache>
                <c:ptCount val="1"/>
                <c:pt idx="0">
                  <c:v>global wgt'd aver</c:v>
                </c:pt>
              </c:strCache>
            </c:strRef>
          </c:tx>
          <c:spPr>
            <a:ln w="28575" cap="rnd">
              <a:solidFill>
                <a:schemeClr val="accent1"/>
              </a:solidFill>
              <a:round/>
            </a:ln>
            <a:effectLst/>
          </c:spPr>
          <c:marker>
            <c:symbol val="none"/>
          </c:marker>
          <c:cat>
            <c:numRef>
              <c:f>'Country Vehicle Prices'!$A$107:$A$128</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Prices'!$AA$107:$AA$128</c:f>
              <c:numCache>
                <c:formatCode>0.000</c:formatCode>
                <c:ptCount val="22"/>
                <c:pt idx="0">
                  <c:v>1.2078067073353769</c:v>
                </c:pt>
                <c:pt idx="1">
                  <c:v>1.2088287518481786</c:v>
                </c:pt>
                <c:pt idx="2">
                  <c:v>1.194765512087218</c:v>
                </c:pt>
                <c:pt idx="3">
                  <c:v>1.2247561454995102</c:v>
                </c:pt>
                <c:pt idx="4">
                  <c:v>1.2094077466245627</c:v>
                </c:pt>
                <c:pt idx="5">
                  <c:v>1.3135144406720662</c:v>
                </c:pt>
                <c:pt idx="6">
                  <c:v>1.166130083472837</c:v>
                </c:pt>
                <c:pt idx="7">
                  <c:v>1.1698975589098324</c:v>
                </c:pt>
                <c:pt idx="8">
                  <c:v>1.1708082266466149</c:v>
                </c:pt>
                <c:pt idx="9">
                  <c:v>1.1922758916232998</c:v>
                </c:pt>
                <c:pt idx="10">
                  <c:v>1.225975650914541</c:v>
                </c:pt>
                <c:pt idx="11">
                  <c:v>1.2251608664735061</c:v>
                </c:pt>
                <c:pt idx="12">
                  <c:v>1.1996220649537188</c:v>
                </c:pt>
                <c:pt idx="13">
                  <c:v>1.2187096367349122</c:v>
                </c:pt>
                <c:pt idx="14">
                  <c:v>1.2073035522466715</c:v>
                </c:pt>
                <c:pt idx="15">
                  <c:v>1.1616461079971883</c:v>
                </c:pt>
                <c:pt idx="16">
                  <c:v>1.1225120089791076</c:v>
                </c:pt>
                <c:pt idx="17">
                  <c:v>1.1004296061516023</c:v>
                </c:pt>
                <c:pt idx="18">
                  <c:v>1.0783362579666449</c:v>
                </c:pt>
                <c:pt idx="19">
                  <c:v>1.053408411982079</c:v>
                </c:pt>
                <c:pt idx="20">
                  <c:v>1.0312938926268536</c:v>
                </c:pt>
                <c:pt idx="21">
                  <c:v>1.0063453271547436</c:v>
                </c:pt>
              </c:numCache>
            </c:numRef>
          </c:val>
          <c:smooth val="0"/>
          <c:extLst>
            <c:ext xmlns:c16="http://schemas.microsoft.com/office/drawing/2014/chart" uri="{C3380CC4-5D6E-409C-BE32-E72D297353CC}">
              <c16:uniqueId val="{00000000-A327-4467-8F02-746CD4A70123}"/>
            </c:ext>
          </c:extLst>
        </c:ser>
        <c:ser>
          <c:idx val="1"/>
          <c:order val="1"/>
          <c:tx>
            <c:strRef>
              <c:f>'Country Vehicle Prices'!$AB$106</c:f>
              <c:strCache>
                <c:ptCount val="1"/>
                <c:pt idx="0">
                  <c:v>smoothed</c:v>
                </c:pt>
              </c:strCache>
            </c:strRef>
          </c:tx>
          <c:spPr>
            <a:ln w="28575" cap="rnd">
              <a:solidFill>
                <a:schemeClr val="accent2"/>
              </a:solidFill>
              <a:round/>
            </a:ln>
            <a:effectLst/>
          </c:spPr>
          <c:marker>
            <c:symbol val="none"/>
          </c:marker>
          <c:cat>
            <c:numRef>
              <c:f>'Country Vehicle Prices'!$A$107:$A$128</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Prices'!$AB$107:$AB$128</c:f>
              <c:numCache>
                <c:formatCode>0.000</c:formatCode>
                <c:ptCount val="22"/>
                <c:pt idx="0">
                  <c:v>1.2078067073353769</c:v>
                </c:pt>
                <c:pt idx="1">
                  <c:v>1.2088287518481786</c:v>
                </c:pt>
                <c:pt idx="2">
                  <c:v>1.2094501364783021</c:v>
                </c:pt>
                <c:pt idx="3">
                  <c:v>1.2096431347370971</c:v>
                </c:pt>
                <c:pt idx="4" formatCode="0.00">
                  <c:v>1.219663612496793</c:v>
                </c:pt>
                <c:pt idx="5">
                  <c:v>1.2296840902564887</c:v>
                </c:pt>
                <c:pt idx="6">
                  <c:v>1.2165140276849118</c:v>
                </c:pt>
                <c:pt idx="7">
                  <c:v>1.1689452896764281</c:v>
                </c:pt>
                <c:pt idx="8">
                  <c:v>1.1708082266466149</c:v>
                </c:pt>
                <c:pt idx="9">
                  <c:v>1.1922758916232998</c:v>
                </c:pt>
                <c:pt idx="10">
                  <c:v>1.225975650914541</c:v>
                </c:pt>
                <c:pt idx="11">
                  <c:v>1.2251608664735061</c:v>
                </c:pt>
                <c:pt idx="12" formatCode="0.00">
                  <c:v>1.2219352516042092</c:v>
                </c:pt>
                <c:pt idx="13">
                  <c:v>1.2187096367349122</c:v>
                </c:pt>
                <c:pt idx="14">
                  <c:v>1.2073035522466715</c:v>
                </c:pt>
                <c:pt idx="15">
                  <c:v>1.1616461079971883</c:v>
                </c:pt>
                <c:pt idx="16">
                  <c:v>1.1225120089791076</c:v>
                </c:pt>
                <c:pt idx="17">
                  <c:v>1.1004296061516023</c:v>
                </c:pt>
                <c:pt idx="18">
                  <c:v>1.0783362579666449</c:v>
                </c:pt>
                <c:pt idx="19">
                  <c:v>1.053408411982079</c:v>
                </c:pt>
                <c:pt idx="20">
                  <c:v>1.0312938926268536</c:v>
                </c:pt>
                <c:pt idx="21">
                  <c:v>1.0063453271547436</c:v>
                </c:pt>
              </c:numCache>
            </c:numRef>
          </c:val>
          <c:smooth val="0"/>
          <c:extLst>
            <c:ext xmlns:c16="http://schemas.microsoft.com/office/drawing/2014/chart" uri="{C3380CC4-5D6E-409C-BE32-E72D297353CC}">
              <c16:uniqueId val="{00000001-A327-4467-8F02-746CD4A70123}"/>
            </c:ext>
          </c:extLst>
        </c:ser>
        <c:dLbls>
          <c:showLegendKey val="0"/>
          <c:showVal val="0"/>
          <c:showCatName val="0"/>
          <c:showSerName val="0"/>
          <c:showPercent val="0"/>
          <c:showBubbleSize val="0"/>
        </c:dLbls>
        <c:smooth val="0"/>
        <c:axId val="723048928"/>
        <c:axId val="723051880"/>
      </c:lineChart>
      <c:catAx>
        <c:axId val="723048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051880"/>
        <c:crosses val="autoZero"/>
        <c:auto val="1"/>
        <c:lblAlgn val="ctr"/>
        <c:lblOffset val="100"/>
        <c:noMultiLvlLbl val="0"/>
      </c:catAx>
      <c:valAx>
        <c:axId val="72305188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04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'Country Vehicle Prices'!$AB$80</c:f>
              <c:strCache>
                <c:ptCount val="1"/>
                <c:pt idx="0">
                  <c:v> BEVsmoothed</c:v>
                </c:pt>
              </c:strCache>
            </c:strRef>
          </c:tx>
          <c:spPr>
            <a:ln w="28575" cap="rnd">
              <a:solidFill>
                <a:schemeClr val="accent1"/>
              </a:solidFill>
              <a:round/>
            </a:ln>
            <a:effectLst/>
          </c:spPr>
          <c:marker>
            <c:symbol val="none"/>
          </c:marker>
          <c:cat>
            <c:numRef>
              <c:f>'Country Vehicle Prices'!$A$81:$A$102</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Prices'!$AB$81:$AB$102</c:f>
              <c:numCache>
                <c:formatCode>0.000</c:formatCode>
                <c:ptCount val="22"/>
                <c:pt idx="0">
                  <c:v>1.1341594874123231</c:v>
                </c:pt>
                <c:pt idx="1">
                  <c:v>1.1117338074569731</c:v>
                </c:pt>
                <c:pt idx="2">
                  <c:v>1.107526888140326</c:v>
                </c:pt>
                <c:pt idx="3">
                  <c:v>1.0894521846320508</c:v>
                </c:pt>
                <c:pt idx="4">
                  <c:v>1.1130909169419165</c:v>
                </c:pt>
                <c:pt idx="5">
                  <c:v>1.078807331408618</c:v>
                </c:pt>
                <c:pt idx="6">
                  <c:v>1.0666872939411156</c:v>
                </c:pt>
                <c:pt idx="7">
                  <c:v>1.0196816192462943</c:v>
                </c:pt>
                <c:pt idx="8">
                  <c:v>1.0233110583208087</c:v>
                </c:pt>
                <c:pt idx="9">
                  <c:v>1.0465372838847229</c:v>
                </c:pt>
                <c:pt idx="10">
                  <c:v>1.0945846547618083</c:v>
                </c:pt>
                <c:pt idx="11">
                  <c:v>1.1078196994035434</c:v>
                </c:pt>
                <c:pt idx="12">
                  <c:v>1.096003196350571</c:v>
                </c:pt>
                <c:pt idx="13">
                  <c:v>1.1156664814479202</c:v>
                </c:pt>
                <c:pt idx="14">
                  <c:v>1.1048310491086633</c:v>
                </c:pt>
                <c:pt idx="15">
                  <c:v>1.0597402747864022</c:v>
                </c:pt>
                <c:pt idx="16">
                  <c:v>1.02116014308101</c:v>
                </c:pt>
                <c:pt idx="17">
                  <c:v>0.99961693101710691</c:v>
                </c:pt>
                <c:pt idx="18">
                  <c:v>0.9780519855902513</c:v>
                </c:pt>
                <c:pt idx="19">
                  <c:v>0.95364260611689899</c:v>
                </c:pt>
                <c:pt idx="20">
                  <c:v>0.93203560061381652</c:v>
                </c:pt>
                <c:pt idx="21">
                  <c:v>0.90775383358615391</c:v>
                </c:pt>
              </c:numCache>
            </c:numRef>
          </c:val>
          <c:smooth val="0"/>
          <c:extLst>
            <c:ext xmlns:c16="http://schemas.microsoft.com/office/drawing/2014/chart" uri="{C3380CC4-5D6E-409C-BE32-E72D297353CC}">
              <c16:uniqueId val="{00000000-E801-43CA-8BD2-770618356058}"/>
            </c:ext>
          </c:extLst>
        </c:ser>
        <c:ser>
          <c:idx val="1"/>
          <c:order val="1"/>
          <c:tx>
            <c:strRef>
              <c:f>'Country Vehicle Prices'!$AC$80</c:f>
              <c:strCache>
                <c:ptCount val="1"/>
                <c:pt idx="0">
                  <c:v>PHEV smoothed</c:v>
                </c:pt>
              </c:strCache>
            </c:strRef>
          </c:tx>
          <c:spPr>
            <a:ln w="28575" cap="rnd">
              <a:solidFill>
                <a:schemeClr val="accent2"/>
              </a:solidFill>
              <a:round/>
            </a:ln>
            <a:effectLst/>
          </c:spPr>
          <c:marker>
            <c:symbol val="none"/>
          </c:marker>
          <c:cat>
            <c:numRef>
              <c:f>'Country Vehicle Prices'!$A$81:$A$102</c:f>
              <c:numCache>
                <c:formatCode>0</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'Country Vehicle Prices'!$AC$81:$AC$102</c:f>
              <c:numCache>
                <c:formatCode>0.000</c:formatCode>
                <c:ptCount val="22"/>
                <c:pt idx="0">
                  <c:v>1.2078067073353769</c:v>
                </c:pt>
                <c:pt idx="1">
                  <c:v>1.2088287518481786</c:v>
                </c:pt>
                <c:pt idx="2">
                  <c:v>1.2094501364783021</c:v>
                </c:pt>
                <c:pt idx="3">
                  <c:v>1.2096431347370971</c:v>
                </c:pt>
                <c:pt idx="4">
                  <c:v>1.219663612496793</c:v>
                </c:pt>
                <c:pt idx="5">
                  <c:v>1.2296840902564887</c:v>
                </c:pt>
                <c:pt idx="6">
                  <c:v>1.2165140276849118</c:v>
                </c:pt>
                <c:pt idx="7">
                  <c:v>1.1689452896764281</c:v>
                </c:pt>
                <c:pt idx="8">
                  <c:v>1.1708082266466149</c:v>
                </c:pt>
                <c:pt idx="9">
                  <c:v>1.1922758916232998</c:v>
                </c:pt>
                <c:pt idx="10">
                  <c:v>1.225975650914541</c:v>
                </c:pt>
                <c:pt idx="11">
                  <c:v>1.2251608664735061</c:v>
                </c:pt>
                <c:pt idx="12">
                  <c:v>1.2219352516042092</c:v>
                </c:pt>
                <c:pt idx="13">
                  <c:v>1.2187096367349122</c:v>
                </c:pt>
                <c:pt idx="14">
                  <c:v>1.2073035522466715</c:v>
                </c:pt>
                <c:pt idx="15">
                  <c:v>1.1616461079971883</c:v>
                </c:pt>
                <c:pt idx="16">
                  <c:v>1.1225120089791076</c:v>
                </c:pt>
                <c:pt idx="17">
                  <c:v>1.1004296061516023</c:v>
                </c:pt>
                <c:pt idx="18">
                  <c:v>1.0783362579666449</c:v>
                </c:pt>
                <c:pt idx="19">
                  <c:v>1.053408411982079</c:v>
                </c:pt>
                <c:pt idx="20">
                  <c:v>1.0312938926268536</c:v>
                </c:pt>
                <c:pt idx="21">
                  <c:v>1.0063453271547436</c:v>
                </c:pt>
              </c:numCache>
            </c:numRef>
          </c:val>
          <c:smooth val="0"/>
          <c:extLst>
            <c:ext xmlns:c16="http://schemas.microsoft.com/office/drawing/2014/chart" uri="{C3380CC4-5D6E-409C-BE32-E72D297353CC}">
              <c16:uniqueId val="{00000001-E801-43CA-8BD2-770618356058}"/>
            </c:ext>
          </c:extLst>
        </c:ser>
        <c:dLbls>
          <c:showLegendKey val="0"/>
          <c:showVal val="0"/>
          <c:showCatName val="0"/>
          <c:showSerName val="0"/>
          <c:showPercent val="0"/>
          <c:showBubbleSize val="0"/>
        </c:dLbls>
        <c:smooth val="0"/>
        <c:axId val="722943640"/>
        <c:axId val="722941016"/>
      </c:lineChart>
      <c:catAx>
        <c:axId val="722943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941016"/>
        <c:crosses val="autoZero"/>
        <c:auto val="1"/>
        <c:lblAlgn val="ctr"/>
        <c:lblOffset val="100"/>
        <c:noMultiLvlLbl val="0"/>
      </c:catAx>
      <c:valAx>
        <c:axId val="72294101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943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11672296427246"/>
          <c:y val="4.1666666666666664E-2"/>
          <c:w val="0.83532784147834804"/>
          <c:h val="0.82126804945841947"/>
        </c:manualLayout>
      </c:layout>
      <c:lineChart>
        <c:grouping val="standard"/>
        <c:varyColors val="0"/>
        <c:ser>
          <c:idx val="2"/>
          <c:order val="0"/>
          <c:tx>
            <c:strRef>
              <c:f>'Range acceptance'!$H$3</c:f>
              <c:strCache>
                <c:ptCount val="1"/>
                <c:pt idx="0">
                  <c:v>100% acceptance, 750 km</c:v>
                </c:pt>
              </c:strCache>
            </c:strRef>
          </c:tx>
          <c:spPr>
            <a:ln w="28575" cap="rnd">
              <a:solidFill>
                <a:schemeClr val="accent3">
                  <a:lumMod val="40000"/>
                  <a:lumOff val="60000"/>
                </a:schemeClr>
              </a:solidFill>
              <a:round/>
            </a:ln>
            <a:effectLst/>
          </c:spPr>
          <c:marker>
            <c:symbol val="none"/>
          </c:marker>
          <c:val>
            <c:numRef>
              <c:f>'Range acceptance'!$H$4:$H$20</c:f>
              <c:numCache>
                <c:formatCode>0</c:formatCode>
                <c:ptCount val="17"/>
                <c:pt idx="0">
                  <c:v>750</c:v>
                </c:pt>
                <c:pt idx="1">
                  <c:v>750</c:v>
                </c:pt>
                <c:pt idx="2">
                  <c:v>750</c:v>
                </c:pt>
                <c:pt idx="3">
                  <c:v>750</c:v>
                </c:pt>
                <c:pt idx="4">
                  <c:v>750</c:v>
                </c:pt>
                <c:pt idx="5">
                  <c:v>750</c:v>
                </c:pt>
                <c:pt idx="6">
                  <c:v>750</c:v>
                </c:pt>
                <c:pt idx="7">
                  <c:v>750</c:v>
                </c:pt>
                <c:pt idx="8">
                  <c:v>750</c:v>
                </c:pt>
                <c:pt idx="9">
                  <c:v>750</c:v>
                </c:pt>
                <c:pt idx="10">
                  <c:v>750</c:v>
                </c:pt>
                <c:pt idx="11">
                  <c:v>750</c:v>
                </c:pt>
                <c:pt idx="12">
                  <c:v>750</c:v>
                </c:pt>
                <c:pt idx="13">
                  <c:v>750</c:v>
                </c:pt>
                <c:pt idx="14">
                  <c:v>750</c:v>
                </c:pt>
                <c:pt idx="15">
                  <c:v>750</c:v>
                </c:pt>
                <c:pt idx="16">
                  <c:v>750</c:v>
                </c:pt>
              </c:numCache>
            </c:numRef>
          </c:val>
          <c:smooth val="0"/>
          <c:extLst>
            <c:ext xmlns:c16="http://schemas.microsoft.com/office/drawing/2014/chart" uri="{C3380CC4-5D6E-409C-BE32-E72D297353CC}">
              <c16:uniqueId val="{00000006-F31B-4764-8DCC-D5630C42C0DD}"/>
            </c:ext>
          </c:extLst>
        </c:ser>
        <c:ser>
          <c:idx val="5"/>
          <c:order val="1"/>
          <c:tx>
            <c:strRef>
              <c:f>'Range acceptance'!$G$3</c:f>
              <c:strCache>
                <c:ptCount val="1"/>
                <c:pt idx="0">
                  <c:v>75% acceptance, 550 km</c:v>
                </c:pt>
              </c:strCache>
            </c:strRef>
          </c:tx>
          <c:spPr>
            <a:ln w="28575" cap="rnd">
              <a:solidFill>
                <a:schemeClr val="accent6">
                  <a:lumMod val="40000"/>
                  <a:lumOff val="60000"/>
                </a:schemeClr>
              </a:solidFill>
              <a:round/>
            </a:ln>
            <a:effectLst/>
          </c:spPr>
          <c:marker>
            <c:symbol val="none"/>
          </c:marker>
          <c:cat>
            <c:numRef>
              <c:f>'Range acceptance'!$A$4:$A$20</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'Range acceptance'!$G$4:$G$20</c:f>
              <c:numCache>
                <c:formatCode>0</c:formatCode>
                <c:ptCount val="17"/>
                <c:pt idx="0">
                  <c:v>550</c:v>
                </c:pt>
                <c:pt idx="1">
                  <c:v>550</c:v>
                </c:pt>
                <c:pt idx="2">
                  <c:v>550</c:v>
                </c:pt>
                <c:pt idx="3">
                  <c:v>550</c:v>
                </c:pt>
                <c:pt idx="4">
                  <c:v>550</c:v>
                </c:pt>
                <c:pt idx="5">
                  <c:v>550</c:v>
                </c:pt>
                <c:pt idx="6">
                  <c:v>550</c:v>
                </c:pt>
                <c:pt idx="7">
                  <c:v>550</c:v>
                </c:pt>
                <c:pt idx="8">
                  <c:v>550</c:v>
                </c:pt>
                <c:pt idx="9">
                  <c:v>550</c:v>
                </c:pt>
                <c:pt idx="10">
                  <c:v>550</c:v>
                </c:pt>
                <c:pt idx="11">
                  <c:v>550</c:v>
                </c:pt>
                <c:pt idx="12">
                  <c:v>550</c:v>
                </c:pt>
                <c:pt idx="13">
                  <c:v>550</c:v>
                </c:pt>
                <c:pt idx="14">
                  <c:v>550</c:v>
                </c:pt>
                <c:pt idx="15">
                  <c:v>550</c:v>
                </c:pt>
                <c:pt idx="16">
                  <c:v>550</c:v>
                </c:pt>
              </c:numCache>
            </c:numRef>
          </c:val>
          <c:smooth val="0"/>
          <c:extLst>
            <c:ext xmlns:c16="http://schemas.microsoft.com/office/drawing/2014/chart" uri="{C3380CC4-5D6E-409C-BE32-E72D297353CC}">
              <c16:uniqueId val="{00000005-F31B-4764-8DCC-D5630C42C0DD}"/>
            </c:ext>
          </c:extLst>
        </c:ser>
        <c:ser>
          <c:idx val="4"/>
          <c:order val="2"/>
          <c:tx>
            <c:strRef>
              <c:f>'Range acceptance'!$F$3</c:f>
              <c:strCache>
                <c:ptCount val="1"/>
                <c:pt idx="0">
                  <c:v>50% acceptance, 375 km</c:v>
                </c:pt>
              </c:strCache>
            </c:strRef>
          </c:tx>
          <c:spPr>
            <a:ln w="28575" cap="rnd">
              <a:solidFill>
                <a:schemeClr val="tx2">
                  <a:lumMod val="20000"/>
                  <a:lumOff val="80000"/>
                </a:schemeClr>
              </a:solidFill>
              <a:round/>
            </a:ln>
            <a:effectLst/>
          </c:spPr>
          <c:marker>
            <c:symbol val="none"/>
          </c:marker>
          <c:cat>
            <c:numRef>
              <c:f>'Range acceptance'!$A$4:$A$20</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'Range acceptance'!$F$4:$F$20</c:f>
              <c:numCache>
                <c:formatCode>0</c:formatCode>
                <c:ptCount val="17"/>
                <c:pt idx="0">
                  <c:v>375</c:v>
                </c:pt>
                <c:pt idx="1">
                  <c:v>375</c:v>
                </c:pt>
                <c:pt idx="2">
                  <c:v>375</c:v>
                </c:pt>
                <c:pt idx="3">
                  <c:v>375</c:v>
                </c:pt>
                <c:pt idx="4">
                  <c:v>375</c:v>
                </c:pt>
                <c:pt idx="5">
                  <c:v>375</c:v>
                </c:pt>
                <c:pt idx="6">
                  <c:v>375</c:v>
                </c:pt>
                <c:pt idx="7">
                  <c:v>375</c:v>
                </c:pt>
                <c:pt idx="8">
                  <c:v>375</c:v>
                </c:pt>
                <c:pt idx="9">
                  <c:v>375</c:v>
                </c:pt>
                <c:pt idx="10">
                  <c:v>375</c:v>
                </c:pt>
                <c:pt idx="11">
                  <c:v>375</c:v>
                </c:pt>
                <c:pt idx="12">
                  <c:v>375</c:v>
                </c:pt>
                <c:pt idx="13">
                  <c:v>375</c:v>
                </c:pt>
                <c:pt idx="14">
                  <c:v>375</c:v>
                </c:pt>
                <c:pt idx="15">
                  <c:v>375</c:v>
                </c:pt>
                <c:pt idx="16">
                  <c:v>375</c:v>
                </c:pt>
              </c:numCache>
            </c:numRef>
          </c:val>
          <c:smooth val="0"/>
          <c:extLst>
            <c:ext xmlns:c16="http://schemas.microsoft.com/office/drawing/2014/chart" uri="{C3380CC4-5D6E-409C-BE32-E72D297353CC}">
              <c16:uniqueId val="{00000004-F31B-4764-8DCC-D5630C42C0DD}"/>
            </c:ext>
          </c:extLst>
        </c:ser>
        <c:ser>
          <c:idx val="3"/>
          <c:order val="3"/>
          <c:tx>
            <c:strRef>
              <c:f>'Range acceptance'!$E$3</c:f>
              <c:strCache>
                <c:ptCount val="1"/>
                <c:pt idx="0">
                  <c:v>25% acceptance, 215 km</c:v>
                </c:pt>
              </c:strCache>
            </c:strRef>
          </c:tx>
          <c:spPr>
            <a:ln w="28575" cap="rnd">
              <a:solidFill>
                <a:schemeClr val="accent4">
                  <a:lumMod val="40000"/>
                  <a:lumOff val="60000"/>
                </a:schemeClr>
              </a:solidFill>
              <a:round/>
            </a:ln>
            <a:effectLst/>
          </c:spPr>
          <c:marker>
            <c:symbol val="none"/>
          </c:marker>
          <c:cat>
            <c:numRef>
              <c:f>'Range acceptance'!$A$4:$A$20</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'Range acceptance'!$E$4:$E$20</c:f>
              <c:numCache>
                <c:formatCode>0</c:formatCode>
                <c:ptCount val="17"/>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numCache>
            </c:numRef>
          </c:val>
          <c:smooth val="0"/>
          <c:extLst>
            <c:ext xmlns:c16="http://schemas.microsoft.com/office/drawing/2014/chart" uri="{C3380CC4-5D6E-409C-BE32-E72D297353CC}">
              <c16:uniqueId val="{00000003-F31B-4764-8DCC-D5630C42C0DD}"/>
            </c:ext>
          </c:extLst>
        </c:ser>
        <c:ser>
          <c:idx val="0"/>
          <c:order val="4"/>
          <c:tx>
            <c:strRef>
              <c:f>'Range acceptance'!$B$3</c:f>
              <c:strCache>
                <c:ptCount val="1"/>
                <c:pt idx="0">
                  <c:v>Range km top 1/3</c:v>
                </c:pt>
              </c:strCache>
            </c:strRef>
          </c:tx>
          <c:spPr>
            <a:ln w="50800" cap="rnd">
              <a:solidFill>
                <a:schemeClr val="tx1"/>
              </a:solidFill>
              <a:round/>
            </a:ln>
            <a:effectLst/>
          </c:spPr>
          <c:marker>
            <c:symbol val="none"/>
          </c:marker>
          <c:cat>
            <c:numRef>
              <c:f>'Range acceptance'!$A$4:$A$20</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'Range acceptance'!$B$4:$B$16</c:f>
              <c:numCache>
                <c:formatCode>0</c:formatCode>
                <c:ptCount val="13"/>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numCache>
            </c:numRef>
          </c:val>
          <c:smooth val="0"/>
          <c:extLst>
            <c:ext xmlns:c16="http://schemas.microsoft.com/office/drawing/2014/chart" uri="{C3380CC4-5D6E-409C-BE32-E72D297353CC}">
              <c16:uniqueId val="{00000000-F31B-4764-8DCC-D5630C42C0DD}"/>
            </c:ext>
          </c:extLst>
        </c:ser>
        <c:ser>
          <c:idx val="1"/>
          <c:order val="5"/>
          <c:tx>
            <c:strRef>
              <c:f>'Range acceptance'!$C$3</c:f>
              <c:strCache>
                <c:ptCount val="1"/>
                <c:pt idx="0">
                  <c:v>smth'd range</c:v>
                </c:pt>
              </c:strCache>
            </c:strRef>
          </c:tx>
          <c:spPr>
            <a:ln w="31750" cap="rnd">
              <a:solidFill>
                <a:schemeClr val="accent2"/>
              </a:solidFill>
              <a:round/>
            </a:ln>
            <a:effectLst/>
          </c:spPr>
          <c:marker>
            <c:symbol val="none"/>
          </c:marker>
          <c:cat>
            <c:numRef>
              <c:f>'Range acceptance'!$A$4:$A$20</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'Range acceptance'!$C$4:$C$20</c:f>
              <c:numCache>
                <c:formatCode>General</c:formatCode>
                <c:ptCount val="17"/>
                <c:pt idx="0">
                  <c:v>110</c:v>
                </c:pt>
                <c:pt idx="1">
                  <c:v>110</c:v>
                </c:pt>
                <c:pt idx="2">
                  <c:v>120</c:v>
                </c:pt>
                <c:pt idx="3" formatCode="0.00">
                  <c:v>145</c:v>
                </c:pt>
                <c:pt idx="4">
                  <c:v>170</c:v>
                </c:pt>
                <c:pt idx="5" formatCode="0.00">
                  <c:v>210</c:v>
                </c:pt>
                <c:pt idx="6">
                  <c:v>250</c:v>
                </c:pt>
                <c:pt idx="7" formatCode="0">
                  <c:v>297.77777777777777</c:v>
                </c:pt>
                <c:pt idx="8" formatCode="0">
                  <c:v>345.55555555555554</c:v>
                </c:pt>
                <c:pt idx="9" formatCode="0">
                  <c:v>393.33333333333331</c:v>
                </c:pt>
                <c:pt idx="10" formatCode="0">
                  <c:v>470.55555555555554</c:v>
                </c:pt>
                <c:pt idx="11" formatCode="0">
                  <c:v>547.77777777777783</c:v>
                </c:pt>
                <c:pt idx="12" formatCode="0">
                  <c:v>625</c:v>
                </c:pt>
                <c:pt idx="13" formatCode="0">
                  <c:v>703.27855980540699</c:v>
                </c:pt>
                <c:pt idx="14" formatCode="0">
                  <c:v>750</c:v>
                </c:pt>
                <c:pt idx="15" formatCode="0">
                  <c:v>750</c:v>
                </c:pt>
                <c:pt idx="16" formatCode="0">
                  <c:v>750</c:v>
                </c:pt>
              </c:numCache>
            </c:numRef>
          </c:val>
          <c:smooth val="0"/>
          <c:extLst>
            <c:ext xmlns:c16="http://schemas.microsoft.com/office/drawing/2014/chart" uri="{C3380CC4-5D6E-409C-BE32-E72D297353CC}">
              <c16:uniqueId val="{00000001-F31B-4764-8DCC-D5630C42C0DD}"/>
            </c:ext>
          </c:extLst>
        </c:ser>
        <c:dLbls>
          <c:showLegendKey val="0"/>
          <c:showVal val="0"/>
          <c:showCatName val="0"/>
          <c:showSerName val="0"/>
          <c:showPercent val="0"/>
          <c:showBubbleSize val="0"/>
        </c:dLbls>
        <c:smooth val="0"/>
        <c:axId val="591891376"/>
        <c:axId val="591888096"/>
      </c:lineChart>
      <c:catAx>
        <c:axId val="59189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888096"/>
        <c:crosses val="autoZero"/>
        <c:auto val="1"/>
        <c:lblAlgn val="ctr"/>
        <c:lblOffset val="100"/>
        <c:noMultiLvlLbl val="0"/>
      </c:catAx>
      <c:valAx>
        <c:axId val="591888096"/>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kilometre range full charge</a:t>
                </a:r>
              </a:p>
            </c:rich>
          </c:tx>
          <c:layout>
            <c:manualLayout>
              <c:xMode val="edge"/>
              <c:yMode val="edge"/>
              <c:x val="1.2008794389402206E-2"/>
              <c:y val="0.182376057159521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891376"/>
        <c:crosses val="autoZero"/>
        <c:crossBetween val="between"/>
      </c:valAx>
      <c:spPr>
        <a:noFill/>
        <a:ln>
          <a:noFill/>
        </a:ln>
        <a:effectLst/>
      </c:spPr>
    </c:plotArea>
    <c:legend>
      <c:legendPos val="b"/>
      <c:layout>
        <c:manualLayout>
          <c:xMode val="edge"/>
          <c:yMode val="edge"/>
          <c:x val="8.2685695538057727E-2"/>
          <c:y val="5.6133712452610049E-2"/>
          <c:w val="0.48631847718991594"/>
          <c:h val="0.2600329826028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11672296427246"/>
          <c:y val="4.1666666666666664E-2"/>
          <c:w val="0.83532784147834804"/>
          <c:h val="0.79766914552347623"/>
        </c:manualLayout>
      </c:layout>
      <c:lineChart>
        <c:grouping val="standard"/>
        <c:varyColors val="0"/>
        <c:ser>
          <c:idx val="2"/>
          <c:order val="0"/>
          <c:tx>
            <c:strRef>
              <c:f>'Range acceptance'!$H$3</c:f>
              <c:strCache>
                <c:ptCount val="1"/>
                <c:pt idx="0">
                  <c:v>100% acceptance, 750 km</c:v>
                </c:pt>
              </c:strCache>
            </c:strRef>
          </c:tx>
          <c:spPr>
            <a:ln w="28575" cap="rnd">
              <a:solidFill>
                <a:schemeClr val="accent3">
                  <a:lumMod val="40000"/>
                  <a:lumOff val="60000"/>
                </a:schemeClr>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acceptance'!$H$4:$H$25</c:f>
              <c:numCache>
                <c:formatCode>0</c:formatCode>
                <c:ptCount val="22"/>
                <c:pt idx="0">
                  <c:v>750</c:v>
                </c:pt>
                <c:pt idx="1">
                  <c:v>750</c:v>
                </c:pt>
                <c:pt idx="2">
                  <c:v>750</c:v>
                </c:pt>
                <c:pt idx="3">
                  <c:v>750</c:v>
                </c:pt>
                <c:pt idx="4">
                  <c:v>750</c:v>
                </c:pt>
                <c:pt idx="5">
                  <c:v>750</c:v>
                </c:pt>
                <c:pt idx="6">
                  <c:v>750</c:v>
                </c:pt>
                <c:pt idx="7">
                  <c:v>750</c:v>
                </c:pt>
                <c:pt idx="8">
                  <c:v>750</c:v>
                </c:pt>
                <c:pt idx="9">
                  <c:v>750</c:v>
                </c:pt>
                <c:pt idx="10">
                  <c:v>750</c:v>
                </c:pt>
                <c:pt idx="11">
                  <c:v>750</c:v>
                </c:pt>
                <c:pt idx="12">
                  <c:v>750</c:v>
                </c:pt>
                <c:pt idx="13">
                  <c:v>750</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0-E241-4168-9996-58C616D01A7F}"/>
            </c:ext>
          </c:extLst>
        </c:ser>
        <c:ser>
          <c:idx val="5"/>
          <c:order val="1"/>
          <c:tx>
            <c:strRef>
              <c:f>'Range acceptance'!$G$3</c:f>
              <c:strCache>
                <c:ptCount val="1"/>
                <c:pt idx="0">
                  <c:v>75% acceptance, 550 km</c:v>
                </c:pt>
              </c:strCache>
            </c:strRef>
          </c:tx>
          <c:spPr>
            <a:ln w="28575" cap="rnd">
              <a:solidFill>
                <a:schemeClr val="accent6">
                  <a:lumMod val="40000"/>
                  <a:lumOff val="60000"/>
                </a:schemeClr>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acceptance'!$G$4:$G$25</c:f>
              <c:numCache>
                <c:formatCode>0</c:formatCode>
                <c:ptCount val="22"/>
                <c:pt idx="0">
                  <c:v>550</c:v>
                </c:pt>
                <c:pt idx="1">
                  <c:v>550</c:v>
                </c:pt>
                <c:pt idx="2">
                  <c:v>550</c:v>
                </c:pt>
                <c:pt idx="3">
                  <c:v>550</c:v>
                </c:pt>
                <c:pt idx="4">
                  <c:v>550</c:v>
                </c:pt>
                <c:pt idx="5">
                  <c:v>550</c:v>
                </c:pt>
                <c:pt idx="6">
                  <c:v>550</c:v>
                </c:pt>
                <c:pt idx="7">
                  <c:v>550</c:v>
                </c:pt>
                <c:pt idx="8">
                  <c:v>550</c:v>
                </c:pt>
                <c:pt idx="9">
                  <c:v>550</c:v>
                </c:pt>
                <c:pt idx="10">
                  <c:v>550</c:v>
                </c:pt>
                <c:pt idx="11">
                  <c:v>550</c:v>
                </c:pt>
                <c:pt idx="12">
                  <c:v>550</c:v>
                </c:pt>
                <c:pt idx="13">
                  <c:v>550</c:v>
                </c:pt>
                <c:pt idx="14">
                  <c:v>550</c:v>
                </c:pt>
                <c:pt idx="15">
                  <c:v>550</c:v>
                </c:pt>
                <c:pt idx="16">
                  <c:v>550</c:v>
                </c:pt>
                <c:pt idx="17">
                  <c:v>550</c:v>
                </c:pt>
                <c:pt idx="18">
                  <c:v>550</c:v>
                </c:pt>
                <c:pt idx="19">
                  <c:v>550</c:v>
                </c:pt>
                <c:pt idx="20">
                  <c:v>550</c:v>
                </c:pt>
                <c:pt idx="21">
                  <c:v>550</c:v>
                </c:pt>
              </c:numCache>
            </c:numRef>
          </c:val>
          <c:smooth val="0"/>
          <c:extLst>
            <c:ext xmlns:c16="http://schemas.microsoft.com/office/drawing/2014/chart" uri="{C3380CC4-5D6E-409C-BE32-E72D297353CC}">
              <c16:uniqueId val="{00000001-E241-4168-9996-58C616D01A7F}"/>
            </c:ext>
          </c:extLst>
        </c:ser>
        <c:ser>
          <c:idx val="4"/>
          <c:order val="2"/>
          <c:tx>
            <c:strRef>
              <c:f>'Range acceptance'!$F$3</c:f>
              <c:strCache>
                <c:ptCount val="1"/>
                <c:pt idx="0">
                  <c:v>50% acceptance, 375 km</c:v>
                </c:pt>
              </c:strCache>
            </c:strRef>
          </c:tx>
          <c:spPr>
            <a:ln w="28575" cap="rnd">
              <a:solidFill>
                <a:schemeClr val="tx2">
                  <a:lumMod val="20000"/>
                  <a:lumOff val="80000"/>
                </a:schemeClr>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acceptance'!$F$4:$F$25</c:f>
              <c:numCache>
                <c:formatCode>0</c:formatCode>
                <c:ptCount val="22"/>
                <c:pt idx="0">
                  <c:v>375</c:v>
                </c:pt>
                <c:pt idx="1">
                  <c:v>375</c:v>
                </c:pt>
                <c:pt idx="2">
                  <c:v>375</c:v>
                </c:pt>
                <c:pt idx="3">
                  <c:v>375</c:v>
                </c:pt>
                <c:pt idx="4">
                  <c:v>375</c:v>
                </c:pt>
                <c:pt idx="5">
                  <c:v>375</c:v>
                </c:pt>
                <c:pt idx="6">
                  <c:v>375</c:v>
                </c:pt>
                <c:pt idx="7">
                  <c:v>375</c:v>
                </c:pt>
                <c:pt idx="8">
                  <c:v>375</c:v>
                </c:pt>
                <c:pt idx="9">
                  <c:v>375</c:v>
                </c:pt>
                <c:pt idx="10">
                  <c:v>375</c:v>
                </c:pt>
                <c:pt idx="11">
                  <c:v>375</c:v>
                </c:pt>
                <c:pt idx="12">
                  <c:v>375</c:v>
                </c:pt>
                <c:pt idx="13">
                  <c:v>375</c:v>
                </c:pt>
                <c:pt idx="14">
                  <c:v>375</c:v>
                </c:pt>
                <c:pt idx="15">
                  <c:v>375</c:v>
                </c:pt>
                <c:pt idx="16">
                  <c:v>375</c:v>
                </c:pt>
                <c:pt idx="17">
                  <c:v>375</c:v>
                </c:pt>
                <c:pt idx="18">
                  <c:v>375</c:v>
                </c:pt>
                <c:pt idx="19">
                  <c:v>375</c:v>
                </c:pt>
                <c:pt idx="20">
                  <c:v>375</c:v>
                </c:pt>
                <c:pt idx="21">
                  <c:v>375</c:v>
                </c:pt>
              </c:numCache>
            </c:numRef>
          </c:val>
          <c:smooth val="0"/>
          <c:extLst>
            <c:ext xmlns:c16="http://schemas.microsoft.com/office/drawing/2014/chart" uri="{C3380CC4-5D6E-409C-BE32-E72D297353CC}">
              <c16:uniqueId val="{00000002-E241-4168-9996-58C616D01A7F}"/>
            </c:ext>
          </c:extLst>
        </c:ser>
        <c:ser>
          <c:idx val="3"/>
          <c:order val="3"/>
          <c:tx>
            <c:strRef>
              <c:f>'Range acceptance'!$E$3</c:f>
              <c:strCache>
                <c:ptCount val="1"/>
                <c:pt idx="0">
                  <c:v>25% acceptance, 215 km</c:v>
                </c:pt>
              </c:strCache>
            </c:strRef>
          </c:tx>
          <c:spPr>
            <a:ln w="28575" cap="rnd">
              <a:solidFill>
                <a:schemeClr val="accent4">
                  <a:lumMod val="40000"/>
                  <a:lumOff val="60000"/>
                </a:schemeClr>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acceptance'!$E$4:$E$25</c:f>
              <c:numCache>
                <c:formatCode>0</c:formatCode>
                <c:ptCount val="22"/>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pt idx="17">
                  <c:v>215</c:v>
                </c:pt>
                <c:pt idx="18">
                  <c:v>215</c:v>
                </c:pt>
                <c:pt idx="19">
                  <c:v>215</c:v>
                </c:pt>
                <c:pt idx="20">
                  <c:v>215</c:v>
                </c:pt>
                <c:pt idx="21">
                  <c:v>215</c:v>
                </c:pt>
              </c:numCache>
            </c:numRef>
          </c:val>
          <c:smooth val="0"/>
          <c:extLst>
            <c:ext xmlns:c16="http://schemas.microsoft.com/office/drawing/2014/chart" uri="{C3380CC4-5D6E-409C-BE32-E72D297353CC}">
              <c16:uniqueId val="{00000003-E241-4168-9996-58C616D01A7F}"/>
            </c:ext>
          </c:extLst>
        </c:ser>
        <c:ser>
          <c:idx val="0"/>
          <c:order val="4"/>
          <c:tx>
            <c:strRef>
              <c:f>'Range acceptance'!$B$3</c:f>
              <c:strCache>
                <c:ptCount val="1"/>
                <c:pt idx="0">
                  <c:v>Range km top 1/3</c:v>
                </c:pt>
              </c:strCache>
            </c:strRef>
          </c:tx>
          <c:spPr>
            <a:ln w="50800" cap="rnd">
              <a:solidFill>
                <a:schemeClr val="tx1"/>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acceptance'!$B$4:$B$25</c:f>
              <c:numCache>
                <c:formatCode>0</c:formatCode>
                <c:ptCount val="22"/>
                <c:pt idx="0">
                  <c:v>110</c:v>
                </c:pt>
                <c:pt idx="1">
                  <c:v>110</c:v>
                </c:pt>
                <c:pt idx="2">
                  <c:v>120</c:v>
                </c:pt>
                <c:pt idx="3">
                  <c:v>200</c:v>
                </c:pt>
                <c:pt idx="4">
                  <c:v>170</c:v>
                </c:pt>
                <c:pt idx="5">
                  <c:v>180</c:v>
                </c:pt>
                <c:pt idx="6">
                  <c:v>250</c:v>
                </c:pt>
                <c:pt idx="7">
                  <c:v>342.5</c:v>
                </c:pt>
                <c:pt idx="8">
                  <c:v>316.25</c:v>
                </c:pt>
                <c:pt idx="9">
                  <c:v>393.33333333333331</c:v>
                </c:pt>
                <c:pt idx="10">
                  <c:v>500</c:v>
                </c:pt>
                <c:pt idx="11">
                  <c:v>562.5</c:v>
                </c:pt>
                <c:pt idx="12">
                  <c:v>625</c:v>
                </c:pt>
                <c:pt idx="13">
                  <c:v>703.27855980540699</c:v>
                </c:pt>
                <c:pt idx="14">
                  <c:v>750</c:v>
                </c:pt>
                <c:pt idx="15">
                  <c:v>750</c:v>
                </c:pt>
                <c:pt idx="16">
                  <c:v>750</c:v>
                </c:pt>
                <c:pt idx="17">
                  <c:v>750</c:v>
                </c:pt>
                <c:pt idx="18">
                  <c:v>750</c:v>
                </c:pt>
                <c:pt idx="19">
                  <c:v>750</c:v>
                </c:pt>
                <c:pt idx="20">
                  <c:v>750</c:v>
                </c:pt>
                <c:pt idx="21">
                  <c:v>750</c:v>
                </c:pt>
              </c:numCache>
            </c:numRef>
          </c:val>
          <c:smooth val="0"/>
          <c:extLst>
            <c:ext xmlns:c16="http://schemas.microsoft.com/office/drawing/2014/chart" uri="{C3380CC4-5D6E-409C-BE32-E72D297353CC}">
              <c16:uniqueId val="{00000004-E241-4168-9996-58C616D01A7F}"/>
            </c:ext>
          </c:extLst>
        </c:ser>
        <c:ser>
          <c:idx val="1"/>
          <c:order val="5"/>
          <c:tx>
            <c:strRef>
              <c:f>'Range acceptance'!$I$3</c:f>
              <c:strCache>
                <c:ptCount val="1"/>
                <c:pt idx="0">
                  <c:v>median range</c:v>
                </c:pt>
              </c:strCache>
            </c:strRef>
          </c:tx>
          <c:spPr>
            <a:ln w="44450" cap="rnd">
              <a:solidFill>
                <a:schemeClr val="tx1">
                  <a:lumMod val="50000"/>
                  <a:lumOff val="50000"/>
                </a:schemeClr>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acceptance'!$I$4:$I$25</c:f>
              <c:numCache>
                <c:formatCode>0</c:formatCode>
                <c:ptCount val="22"/>
                <c:pt idx="0">
                  <c:v>110</c:v>
                </c:pt>
                <c:pt idx="1">
                  <c:v>110</c:v>
                </c:pt>
                <c:pt idx="2">
                  <c:v>110</c:v>
                </c:pt>
                <c:pt idx="3">
                  <c:v>110</c:v>
                </c:pt>
                <c:pt idx="4">
                  <c:v>135</c:v>
                </c:pt>
                <c:pt idx="5">
                  <c:v>140</c:v>
                </c:pt>
                <c:pt idx="6">
                  <c:v>145</c:v>
                </c:pt>
                <c:pt idx="7">
                  <c:v>145</c:v>
                </c:pt>
                <c:pt idx="8">
                  <c:v>160</c:v>
                </c:pt>
                <c:pt idx="9">
                  <c:v>220</c:v>
                </c:pt>
                <c:pt idx="10">
                  <c:v>350</c:v>
                </c:pt>
                <c:pt idx="11">
                  <c:v>440</c:v>
                </c:pt>
                <c:pt idx="12">
                  <c:v>530</c:v>
                </c:pt>
                <c:pt idx="13">
                  <c:v>607.63267567187165</c:v>
                </c:pt>
                <c:pt idx="14">
                  <c:v>648</c:v>
                </c:pt>
                <c:pt idx="15">
                  <c:v>648</c:v>
                </c:pt>
                <c:pt idx="16">
                  <c:v>648</c:v>
                </c:pt>
                <c:pt idx="17">
                  <c:v>648</c:v>
                </c:pt>
                <c:pt idx="18">
                  <c:v>648</c:v>
                </c:pt>
                <c:pt idx="19">
                  <c:v>648</c:v>
                </c:pt>
                <c:pt idx="20">
                  <c:v>648</c:v>
                </c:pt>
                <c:pt idx="21">
                  <c:v>648</c:v>
                </c:pt>
              </c:numCache>
            </c:numRef>
          </c:val>
          <c:smooth val="0"/>
          <c:extLst>
            <c:ext xmlns:c16="http://schemas.microsoft.com/office/drawing/2014/chart" uri="{C3380CC4-5D6E-409C-BE32-E72D297353CC}">
              <c16:uniqueId val="{00000006-E241-4168-9996-58C616D01A7F}"/>
            </c:ext>
          </c:extLst>
        </c:ser>
        <c:dLbls>
          <c:showLegendKey val="0"/>
          <c:showVal val="0"/>
          <c:showCatName val="0"/>
          <c:showSerName val="0"/>
          <c:showPercent val="0"/>
          <c:showBubbleSize val="0"/>
        </c:dLbls>
        <c:smooth val="0"/>
        <c:axId val="591891376"/>
        <c:axId val="591888096"/>
      </c:lineChart>
      <c:catAx>
        <c:axId val="59189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888096"/>
        <c:crosses val="autoZero"/>
        <c:auto val="1"/>
        <c:lblAlgn val="ctr"/>
        <c:lblOffset val="100"/>
        <c:noMultiLvlLbl val="0"/>
      </c:catAx>
      <c:valAx>
        <c:axId val="591888096"/>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kilometre range full charge</a:t>
                </a:r>
              </a:p>
            </c:rich>
          </c:tx>
          <c:layout>
            <c:manualLayout>
              <c:xMode val="edge"/>
              <c:yMode val="edge"/>
              <c:x val="1.2008794389402206E-2"/>
              <c:y val="0.182376057159521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891376"/>
        <c:crosses val="autoZero"/>
        <c:crossBetween val="between"/>
      </c:valAx>
      <c:spPr>
        <a:noFill/>
        <a:ln>
          <a:noFill/>
        </a:ln>
        <a:effectLst/>
      </c:spPr>
    </c:plotArea>
    <c:legend>
      <c:legendPos val="b"/>
      <c:layout>
        <c:manualLayout>
          <c:xMode val="edge"/>
          <c:yMode val="edge"/>
          <c:x val="0.14309441119139574"/>
          <c:y val="3.5075467418424551E-2"/>
          <c:w val="0.32679386919638459"/>
          <c:h val="0.268214510223259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5008936800274"/>
          <c:y val="8.8379629629629641E-2"/>
          <c:w val="0.84611652782841607"/>
          <c:h val="0.80031196155532602"/>
        </c:manualLayout>
      </c:layout>
      <c:lineChart>
        <c:grouping val="standard"/>
        <c:varyColors val="0"/>
        <c:ser>
          <c:idx val="5"/>
          <c:order val="0"/>
          <c:tx>
            <c:strRef>
              <c:f>'Lithium Battery costs'!$S$2</c:f>
              <c:strCache>
                <c:ptCount val="1"/>
                <c:pt idx="0">
                  <c:v> large orders</c:v>
                </c:pt>
              </c:strCache>
            </c:strRef>
          </c:tx>
          <c:spPr>
            <a:ln w="28575" cap="rnd">
              <a:solidFill>
                <a:schemeClr val="accent6"/>
              </a:solidFill>
              <a:round/>
            </a:ln>
            <a:effectLst/>
          </c:spPr>
          <c:marker>
            <c:symbol val="none"/>
          </c:marker>
          <c:val>
            <c:numRef>
              <c:f>'Lithium Battery costs'!$S$12:$S$38</c:f>
              <c:numCache>
                <c:formatCode>0</c:formatCode>
                <c:ptCount val="27"/>
                <c:pt idx="6">
                  <c:v>974.97384902806664</c:v>
                </c:pt>
                <c:pt idx="7">
                  <c:v>761.45739446761399</c:v>
                </c:pt>
                <c:pt idx="8">
                  <c:v>576.43498803605485</c:v>
                </c:pt>
                <c:pt idx="9">
                  <c:v>414.32427055837047</c:v>
                </c:pt>
                <c:pt idx="10">
                  <c:v>264.40029948954418</c:v>
                </c:pt>
                <c:pt idx="11">
                  <c:v>213.98012478277144</c:v>
                </c:pt>
                <c:pt idx="12">
                  <c:v>182.29323970037447</c:v>
                </c:pt>
                <c:pt idx="13">
                  <c:v>139</c:v>
                </c:pt>
                <c:pt idx="14">
                  <c:v>122.71666666666667</c:v>
                </c:pt>
                <c:pt idx="15">
                  <c:v>110.54166666666667</c:v>
                </c:pt>
                <c:pt idx="16">
                  <c:v>99</c:v>
                </c:pt>
                <c:pt idx="17">
                  <c:v>89.899999999999991</c:v>
                </c:pt>
                <c:pt idx="18">
                  <c:v>83.999999999999986</c:v>
                </c:pt>
                <c:pt idx="19">
                  <c:v>78.299999999999983</c:v>
                </c:pt>
                <c:pt idx="20">
                  <c:v>72.799999999999983</c:v>
                </c:pt>
                <c:pt idx="21">
                  <c:v>68.5</c:v>
                </c:pt>
                <c:pt idx="22">
                  <c:v>64.5</c:v>
                </c:pt>
                <c:pt idx="23">
                  <c:v>60.5</c:v>
                </c:pt>
                <c:pt idx="24">
                  <c:v>56</c:v>
                </c:pt>
                <c:pt idx="25">
                  <c:v>52</c:v>
                </c:pt>
                <c:pt idx="26">
                  <c:v>47.5</c:v>
                </c:pt>
              </c:numCache>
            </c:numRef>
          </c:val>
          <c:smooth val="0"/>
          <c:extLst>
            <c:ext xmlns:c16="http://schemas.microsoft.com/office/drawing/2014/chart" uri="{C3380CC4-5D6E-409C-BE32-E72D297353CC}">
              <c16:uniqueId val="{00000000-685D-41C7-ABDE-95342FF6CF3A}"/>
            </c:ext>
          </c:extLst>
        </c:ser>
        <c:ser>
          <c:idx val="4"/>
          <c:order val="1"/>
          <c:tx>
            <c:strRef>
              <c:f>'Lithium Battery costs'!$T$2</c:f>
              <c:strCache>
                <c:ptCount val="1"/>
                <c:pt idx="0">
                  <c:v> small orders composite</c:v>
                </c:pt>
              </c:strCache>
            </c:strRef>
          </c:tx>
          <c:spPr>
            <a:ln w="57150" cap="rnd">
              <a:solidFill>
                <a:schemeClr val="tx1"/>
              </a:solidFill>
              <a:round/>
            </a:ln>
            <a:effectLst/>
          </c:spPr>
          <c:marker>
            <c:symbol val="none"/>
          </c:marker>
          <c:val>
            <c:numRef>
              <c:f>'Lithium Battery costs'!$T$12:$T$38</c:f>
              <c:numCache>
                <c:formatCode>0</c:formatCode>
                <c:ptCount val="27"/>
                <c:pt idx="0">
                  <c:v>3733.161792094229</c:v>
                </c:pt>
                <c:pt idx="1">
                  <c:v>3310.7570978422932</c:v>
                </c:pt>
                <c:pt idx="2">
                  <c:v>3104.3427078793397</c:v>
                </c:pt>
                <c:pt idx="3">
                  <c:v>2576.7460299847589</c:v>
                </c:pt>
                <c:pt idx="4">
                  <c:v>1684.1778593662184</c:v>
                </c:pt>
                <c:pt idx="5">
                  <c:v>1479.6286443480606</c:v>
                </c:pt>
                <c:pt idx="6">
                  <c:v>1119.8079338564401</c:v>
                </c:pt>
                <c:pt idx="7">
                  <c:v>905.07103868312618</c:v>
                </c:pt>
                <c:pt idx="8">
                  <c:v>709.90840316248443</c:v>
                </c:pt>
                <c:pt idx="9">
                  <c:v>525.40016166516227</c:v>
                </c:pt>
                <c:pt idx="10">
                  <c:v>345.53503060951857</c:v>
                </c:pt>
                <c:pt idx="11">
                  <c:v>288.46299999999991</c:v>
                </c:pt>
                <c:pt idx="12">
                  <c:v>253.74999999999994</c:v>
                </c:pt>
                <c:pt idx="13">
                  <c:v>200</c:v>
                </c:pt>
                <c:pt idx="14">
                  <c:v>185</c:v>
                </c:pt>
                <c:pt idx="15">
                  <c:v>175</c:v>
                </c:pt>
                <c:pt idx="16">
                  <c:v>165</c:v>
                </c:pt>
                <c:pt idx="17">
                  <c:v>155</c:v>
                </c:pt>
                <c:pt idx="18">
                  <c:v>150</c:v>
                </c:pt>
                <c:pt idx="19">
                  <c:v>145</c:v>
                </c:pt>
                <c:pt idx="20">
                  <c:v>140</c:v>
                </c:pt>
                <c:pt idx="21">
                  <c:v>137</c:v>
                </c:pt>
                <c:pt idx="22">
                  <c:v>129</c:v>
                </c:pt>
                <c:pt idx="23">
                  <c:v>121</c:v>
                </c:pt>
                <c:pt idx="24">
                  <c:v>112</c:v>
                </c:pt>
                <c:pt idx="25">
                  <c:v>104</c:v>
                </c:pt>
                <c:pt idx="26">
                  <c:v>95</c:v>
                </c:pt>
              </c:numCache>
            </c:numRef>
          </c:val>
          <c:smooth val="0"/>
          <c:extLst>
            <c:ext xmlns:c16="http://schemas.microsoft.com/office/drawing/2014/chart" uri="{C3380CC4-5D6E-409C-BE32-E72D297353CC}">
              <c16:uniqueId val="{00000001-685D-41C7-ABDE-95342FF6CF3A}"/>
            </c:ext>
          </c:extLst>
        </c:ser>
        <c:ser>
          <c:idx val="0"/>
          <c:order val="2"/>
          <c:tx>
            <c:strRef>
              <c:f>'Lithium Battery costs'!$O$2</c:f>
              <c:strCache>
                <c:ptCount val="1"/>
                <c:pt idx="0">
                  <c:v> Consumer Lag9</c:v>
                </c:pt>
              </c:strCache>
            </c:strRef>
          </c:tx>
          <c:spPr>
            <a:ln w="28575" cap="rnd">
              <a:solidFill>
                <a:schemeClr val="accent1"/>
              </a:solidFill>
              <a:round/>
            </a:ln>
            <a:effectLst/>
          </c:spPr>
          <c:marker>
            <c:symbol val="none"/>
          </c:marker>
          <c:cat>
            <c:numRef>
              <c:f>'Lithium Battery costs'!$A$12:$A$38</c:f>
              <c:numCache>
                <c:formatCode>General</c:formatCode>
                <c:ptCount val="2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'Lithium Battery costs'!$O$12:$O$38</c:f>
              <c:numCache>
                <c:formatCode>0</c:formatCode>
                <c:ptCount val="27"/>
                <c:pt idx="0">
                  <c:v>4117.0776689127833</c:v>
                </c:pt>
                <c:pt idx="1">
                  <c:v>3682.0920140277767</c:v>
                </c:pt>
                <c:pt idx="2">
                  <c:v>3464.0734079340273</c:v>
                </c:pt>
                <c:pt idx="3">
                  <c:v>2926.5145724461272</c:v>
                </c:pt>
                <c:pt idx="4">
                  <c:v>2021.0134312394621</c:v>
                </c:pt>
                <c:pt idx="5">
                  <c:v>1817.666880787579</c:v>
                </c:pt>
                <c:pt idx="6">
                  <c:v>1533.0170614494664</c:v>
                </c:pt>
                <c:pt idx="7">
                  <c:v>1079.0292203310673</c:v>
                </c:pt>
                <c:pt idx="8">
                  <c:v>917.47463040424941</c:v>
                </c:pt>
                <c:pt idx="9">
                  <c:v>766.56888092659426</c:v>
                </c:pt>
                <c:pt idx="10">
                  <c:v>618.86871153943616</c:v>
                </c:pt>
                <c:pt idx="11">
                  <c:v>568.68419999999992</c:v>
                </c:pt>
                <c:pt idx="12">
                  <c:v>520.69499999999994</c:v>
                </c:pt>
                <c:pt idx="13">
                  <c:v>474</c:v>
                </c:pt>
                <c:pt idx="14">
                  <c:v>435</c:v>
                </c:pt>
                <c:pt idx="15">
                  <c:v>366</c:v>
                </c:pt>
                <c:pt idx="16">
                  <c:v>320</c:v>
                </c:pt>
              </c:numCache>
            </c:numRef>
          </c:val>
          <c:smooth val="0"/>
          <c:extLst>
            <c:ext xmlns:c16="http://schemas.microsoft.com/office/drawing/2014/chart" uri="{C3380CC4-5D6E-409C-BE32-E72D297353CC}">
              <c16:uniqueId val="{00000002-685D-41C7-ABDE-95342FF6CF3A}"/>
            </c:ext>
          </c:extLst>
        </c:ser>
        <c:ser>
          <c:idx val="3"/>
          <c:order val="3"/>
          <c:tx>
            <c:strRef>
              <c:f>'Lithium Battery costs'!$R$2</c:f>
              <c:strCache>
                <c:ptCount val="1"/>
                <c:pt idx="0">
                  <c:v> UBS</c:v>
                </c:pt>
              </c:strCache>
            </c:strRef>
          </c:tx>
          <c:spPr>
            <a:ln w="28575" cap="rnd">
              <a:solidFill>
                <a:srgbClr val="C00000"/>
              </a:solidFill>
              <a:round/>
            </a:ln>
            <a:effectLst/>
          </c:spPr>
          <c:marker>
            <c:symbol val="none"/>
          </c:marker>
          <c:cat>
            <c:numRef>
              <c:f>'Lithium Battery costs'!$A$12:$A$38</c:f>
              <c:numCache>
                <c:formatCode>General</c:formatCode>
                <c:ptCount val="2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'Lithium Battery costs'!$R$12:$R$38</c:f>
              <c:numCache>
                <c:formatCode>General</c:formatCode>
                <c:ptCount val="27"/>
                <c:pt idx="6" formatCode="0">
                  <c:v>1119.8079338564401</c:v>
                </c:pt>
                <c:pt idx="7" formatCode="0">
                  <c:v>878.51783705804689</c:v>
                </c:pt>
                <c:pt idx="8" formatCode="0">
                  <c:v>689.08093199299628</c:v>
                </c:pt>
                <c:pt idx="9" formatCode="0">
                  <c:v>509.98583966139677</c:v>
                </c:pt>
                <c:pt idx="10" formatCode="0">
                  <c:v>345.53503060951857</c:v>
                </c:pt>
                <c:pt idx="11" formatCode="0">
                  <c:v>288.46299999999991</c:v>
                </c:pt>
                <c:pt idx="12" formatCode="0">
                  <c:v>253.74999999999994</c:v>
                </c:pt>
                <c:pt idx="13" formatCode="0">
                  <c:v>200</c:v>
                </c:pt>
                <c:pt idx="14" formatCode="0">
                  <c:v>185</c:v>
                </c:pt>
                <c:pt idx="15" formatCode="0">
                  <c:v>175</c:v>
                </c:pt>
                <c:pt idx="16" formatCode="0">
                  <c:v>165</c:v>
                </c:pt>
                <c:pt idx="17" formatCode="0">
                  <c:v>155</c:v>
                </c:pt>
                <c:pt idx="18" formatCode="0">
                  <c:v>150</c:v>
                </c:pt>
                <c:pt idx="19" formatCode="0">
                  <c:v>145</c:v>
                </c:pt>
                <c:pt idx="20" formatCode="0">
                  <c:v>140</c:v>
                </c:pt>
                <c:pt idx="21" formatCode="0">
                  <c:v>135</c:v>
                </c:pt>
              </c:numCache>
            </c:numRef>
          </c:val>
          <c:smooth val="0"/>
          <c:extLst>
            <c:ext xmlns:c16="http://schemas.microsoft.com/office/drawing/2014/chart" uri="{C3380CC4-5D6E-409C-BE32-E72D297353CC}">
              <c16:uniqueId val="{00000003-685D-41C7-ABDE-95342FF6CF3A}"/>
            </c:ext>
          </c:extLst>
        </c:ser>
        <c:dLbls>
          <c:showLegendKey val="0"/>
          <c:showVal val="0"/>
          <c:showCatName val="0"/>
          <c:showSerName val="0"/>
          <c:showPercent val="0"/>
          <c:showBubbleSize val="0"/>
        </c:dLbls>
        <c:smooth val="0"/>
        <c:axId val="544499088"/>
        <c:axId val="544495808"/>
      </c:lineChart>
      <c:catAx>
        <c:axId val="54449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5808"/>
        <c:crosses val="autoZero"/>
        <c:auto val="1"/>
        <c:lblAlgn val="ctr"/>
        <c:lblOffset val="100"/>
        <c:noMultiLvlLbl val="0"/>
      </c:catAx>
      <c:valAx>
        <c:axId val="54449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Real 2017 US$/kWh</a:t>
                </a:r>
              </a:p>
            </c:rich>
          </c:tx>
          <c:layout>
            <c:manualLayout>
              <c:xMode val="edge"/>
              <c:yMode val="edge"/>
              <c:x val="1.9410476248427053E-2"/>
              <c:y val="0.346147415950799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499088"/>
        <c:crosses val="autoZero"/>
        <c:crossBetween val="between"/>
      </c:valAx>
      <c:spPr>
        <a:noFill/>
        <a:ln>
          <a:noFill/>
        </a:ln>
        <a:effectLst/>
      </c:spPr>
    </c:plotArea>
    <c:legend>
      <c:legendPos val="b"/>
      <c:layout>
        <c:manualLayout>
          <c:xMode val="edge"/>
          <c:yMode val="edge"/>
          <c:x val="0.70330081678556944"/>
          <c:y val="8.7840645520449095E-2"/>
          <c:w val="0.23334122120559392"/>
          <c:h val="0.44556358864232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7985732552661"/>
          <c:y val="2.1044136724288773E-2"/>
          <c:w val="0.87022612558045631"/>
          <c:h val="0.77740127311672247"/>
        </c:manualLayout>
      </c:layout>
      <c:lineChart>
        <c:grouping val="standard"/>
        <c:varyColors val="0"/>
        <c:ser>
          <c:idx val="0"/>
          <c:order val="0"/>
          <c:tx>
            <c:strRef>
              <c:f>'Range acceptance'!$R$3</c:f>
              <c:strCache>
                <c:ptCount val="1"/>
                <c:pt idx="0">
                  <c:v>% acceptance</c:v>
                </c:pt>
              </c:strCache>
            </c:strRef>
          </c:tx>
          <c:spPr>
            <a:ln w="28575" cap="rnd">
              <a:solidFill>
                <a:schemeClr val="accent1"/>
              </a:solidFill>
              <a:round/>
            </a:ln>
            <a:effectLst/>
          </c:spPr>
          <c:marker>
            <c:symbol val="none"/>
          </c:marker>
          <c:cat>
            <c:numRef>
              <c:f>'Range acceptance'!$U$6:$U$71</c:f>
              <c:numCache>
                <c:formatCode>General</c:formatCode>
                <c:ptCount val="6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numCache>
            </c:numRef>
          </c:cat>
          <c:val>
            <c:numRef>
              <c:f>'Range acceptance'!$R$6:$R$71</c:f>
              <c:numCache>
                <c:formatCode>0</c:formatCode>
                <c:ptCount val="66"/>
                <c:pt idx="0">
                  <c:v>6.25</c:v>
                </c:pt>
                <c:pt idx="1">
                  <c:v>7.875</c:v>
                </c:pt>
                <c:pt idx="2">
                  <c:v>9.5</c:v>
                </c:pt>
                <c:pt idx="3">
                  <c:v>11.125</c:v>
                </c:pt>
                <c:pt idx="4">
                  <c:v>12.75</c:v>
                </c:pt>
                <c:pt idx="5">
                  <c:v>14.375</c:v>
                </c:pt>
                <c:pt idx="6" formatCode="General">
                  <c:v>16</c:v>
                </c:pt>
                <c:pt idx="7">
                  <c:v>17.588235294117649</c:v>
                </c:pt>
                <c:pt idx="8">
                  <c:v>19.176470588235297</c:v>
                </c:pt>
                <c:pt idx="9">
                  <c:v>20.764705882352946</c:v>
                </c:pt>
                <c:pt idx="10">
                  <c:v>22.352941176470594</c:v>
                </c:pt>
                <c:pt idx="11">
                  <c:v>23.941176470588243</c:v>
                </c:pt>
                <c:pt idx="12">
                  <c:v>25.529411764705891</c:v>
                </c:pt>
                <c:pt idx="13">
                  <c:v>27.11764705882354</c:v>
                </c:pt>
                <c:pt idx="14">
                  <c:v>28.705882352941188</c:v>
                </c:pt>
                <c:pt idx="15">
                  <c:v>30.294117647058837</c:v>
                </c:pt>
                <c:pt idx="16">
                  <c:v>31.882352941176485</c:v>
                </c:pt>
                <c:pt idx="17">
                  <c:v>33.47058823529413</c:v>
                </c:pt>
                <c:pt idx="18">
                  <c:v>35.058823529411775</c:v>
                </c:pt>
                <c:pt idx="19">
                  <c:v>36.64705882352942</c:v>
                </c:pt>
                <c:pt idx="20">
                  <c:v>38.235294117647065</c:v>
                </c:pt>
                <c:pt idx="21">
                  <c:v>39.82352941176471</c:v>
                </c:pt>
                <c:pt idx="22">
                  <c:v>41.411764705882355</c:v>
                </c:pt>
                <c:pt idx="23" formatCode="General">
                  <c:v>43</c:v>
                </c:pt>
                <c:pt idx="24">
                  <c:v>44.529411764705884</c:v>
                </c:pt>
                <c:pt idx="25">
                  <c:v>46.058823529411768</c:v>
                </c:pt>
                <c:pt idx="26">
                  <c:v>47.588235294117652</c:v>
                </c:pt>
                <c:pt idx="27">
                  <c:v>49.117647058823536</c:v>
                </c:pt>
                <c:pt idx="28">
                  <c:v>50.64705882352942</c:v>
                </c:pt>
                <c:pt idx="29">
                  <c:v>52.176470588235304</c:v>
                </c:pt>
                <c:pt idx="30">
                  <c:v>53.705882352941188</c:v>
                </c:pt>
                <c:pt idx="31">
                  <c:v>55.235294117647072</c:v>
                </c:pt>
                <c:pt idx="32">
                  <c:v>56.764705882352956</c:v>
                </c:pt>
                <c:pt idx="33">
                  <c:v>58.29411764705884</c:v>
                </c:pt>
                <c:pt idx="34">
                  <c:v>59.823529411764724</c:v>
                </c:pt>
                <c:pt idx="35">
                  <c:v>61.352941176470608</c:v>
                </c:pt>
                <c:pt idx="36">
                  <c:v>62.882352941176492</c:v>
                </c:pt>
                <c:pt idx="37">
                  <c:v>64.411764705882376</c:v>
                </c:pt>
                <c:pt idx="38">
                  <c:v>65.94117647058826</c:v>
                </c:pt>
                <c:pt idx="39">
                  <c:v>67.470588235294144</c:v>
                </c:pt>
                <c:pt idx="40" formatCode="General">
                  <c:v>69</c:v>
                </c:pt>
                <c:pt idx="41">
                  <c:v>70.2</c:v>
                </c:pt>
                <c:pt idx="42">
                  <c:v>71.400000000000006</c:v>
                </c:pt>
                <c:pt idx="43">
                  <c:v>72.600000000000009</c:v>
                </c:pt>
                <c:pt idx="44">
                  <c:v>73.800000000000011</c:v>
                </c:pt>
                <c:pt idx="45">
                  <c:v>75.000000000000014</c:v>
                </c:pt>
                <c:pt idx="46">
                  <c:v>76.200000000000017</c:v>
                </c:pt>
                <c:pt idx="47">
                  <c:v>77.40000000000002</c:v>
                </c:pt>
                <c:pt idx="48">
                  <c:v>78.600000000000023</c:v>
                </c:pt>
                <c:pt idx="49">
                  <c:v>79.800000000000026</c:v>
                </c:pt>
                <c:pt idx="50">
                  <c:v>81.000000000000028</c:v>
                </c:pt>
                <c:pt idx="51">
                  <c:v>82.200000000000031</c:v>
                </c:pt>
                <c:pt idx="52">
                  <c:v>83.400000000000034</c:v>
                </c:pt>
                <c:pt idx="53">
                  <c:v>84.600000000000037</c:v>
                </c:pt>
                <c:pt idx="54">
                  <c:v>85.80000000000004</c:v>
                </c:pt>
                <c:pt idx="55" formatCode="General">
                  <c:v>87</c:v>
                </c:pt>
                <c:pt idx="56">
                  <c:v>88.19999999999996</c:v>
                </c:pt>
                <c:pt idx="57">
                  <c:v>89.39999999999992</c:v>
                </c:pt>
                <c:pt idx="58">
                  <c:v>90.599999999999881</c:v>
                </c:pt>
                <c:pt idx="59">
                  <c:v>91.799999999999841</c:v>
                </c:pt>
                <c:pt idx="60">
                  <c:v>92.999999999999801</c:v>
                </c:pt>
                <c:pt idx="61">
                  <c:v>94.199999999999761</c:v>
                </c:pt>
                <c:pt idx="62">
                  <c:v>95.399999999999721</c:v>
                </c:pt>
                <c:pt idx="63">
                  <c:v>96.599999999999682</c:v>
                </c:pt>
                <c:pt idx="64">
                  <c:v>97.799999999999642</c:v>
                </c:pt>
                <c:pt idx="65">
                  <c:v>98.999999999999602</c:v>
                </c:pt>
              </c:numCache>
            </c:numRef>
          </c:val>
          <c:smooth val="0"/>
          <c:extLst>
            <c:ext xmlns:c16="http://schemas.microsoft.com/office/drawing/2014/chart" uri="{C3380CC4-5D6E-409C-BE32-E72D297353CC}">
              <c16:uniqueId val="{00000000-84D9-4816-9D0F-88FFBDCB71DD}"/>
            </c:ext>
          </c:extLst>
        </c:ser>
        <c:dLbls>
          <c:showLegendKey val="0"/>
          <c:showVal val="0"/>
          <c:showCatName val="0"/>
          <c:showSerName val="0"/>
          <c:showPercent val="0"/>
          <c:showBubbleSize val="0"/>
        </c:dLbls>
        <c:smooth val="0"/>
        <c:axId val="648337672"/>
        <c:axId val="648341936"/>
      </c:lineChart>
      <c:catAx>
        <c:axId val="648337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Driving range (km)</a:t>
                </a:r>
              </a:p>
            </c:rich>
          </c:tx>
          <c:layout>
            <c:manualLayout>
              <c:xMode val="edge"/>
              <c:yMode val="edge"/>
              <c:x val="0.45481745070327745"/>
              <c:y val="0.912978851781458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8341936"/>
        <c:crosses val="autoZero"/>
        <c:auto val="1"/>
        <c:lblAlgn val="ctr"/>
        <c:lblOffset val="100"/>
        <c:tickLblSkip val="5"/>
        <c:tickMarkSkip val="50"/>
        <c:noMultiLvlLbl val="0"/>
      </c:catAx>
      <c:valAx>
        <c:axId val="64834193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acceptance</a:t>
                </a:r>
              </a:p>
            </c:rich>
          </c:tx>
          <c:layout>
            <c:manualLayout>
              <c:xMode val="edge"/>
              <c:yMode val="edge"/>
              <c:x val="1.7094017094017096E-2"/>
              <c:y val="0.291947687573536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8337672"/>
        <c:crosses val="autoZero"/>
        <c:crossBetween val="midCat"/>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'Range acceptance'!$K$3</c:f>
              <c:strCache>
                <c:ptCount val="1"/>
                <c:pt idx="0">
                  <c:v>range acceptance</c:v>
                </c:pt>
              </c:strCache>
            </c:strRef>
          </c:tx>
          <c:spPr>
            <a:ln w="28575" cap="rnd">
              <a:solidFill>
                <a:schemeClr val="accent1"/>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acceptance'!$K$4:$K$25</c:f>
              <c:numCache>
                <c:formatCode>0</c:formatCode>
                <c:ptCount val="22"/>
                <c:pt idx="0">
                  <c:v>8.1857682376240835</c:v>
                </c:pt>
                <c:pt idx="1">
                  <c:v>8.1857682376240835</c:v>
                </c:pt>
                <c:pt idx="2">
                  <c:v>8.1857682376240835</c:v>
                </c:pt>
                <c:pt idx="3">
                  <c:v>8.1857682376240835</c:v>
                </c:pt>
                <c:pt idx="4">
                  <c:v>12.10051888168177</c:v>
                </c:pt>
                <c:pt idx="5">
                  <c:v>12.883469010493306</c:v>
                </c:pt>
                <c:pt idx="6">
                  <c:v>13.666419139304844</c:v>
                </c:pt>
                <c:pt idx="7">
                  <c:v>13.666419139304844</c:v>
                </c:pt>
                <c:pt idx="8">
                  <c:v>16.015269525739456</c:v>
                </c:pt>
                <c:pt idx="9">
                  <c:v>25.4106710714779</c:v>
                </c:pt>
                <c:pt idx="10">
                  <c:v>45.767374420577866</c:v>
                </c:pt>
                <c:pt idx="11">
                  <c:v>59.860476739185536</c:v>
                </c:pt>
                <c:pt idx="12">
                  <c:v>72.810723293466779</c:v>
                </c:pt>
                <c:pt idx="13">
                  <c:v>82.009794280532631</c:v>
                </c:pt>
                <c:pt idx="14">
                  <c:v>86.793113660401801</c:v>
                </c:pt>
                <c:pt idx="15">
                  <c:v>86.793113660401801</c:v>
                </c:pt>
                <c:pt idx="16">
                  <c:v>86.793113660401801</c:v>
                </c:pt>
                <c:pt idx="17">
                  <c:v>86.793113660401801</c:v>
                </c:pt>
                <c:pt idx="18">
                  <c:v>86.793113660401801</c:v>
                </c:pt>
                <c:pt idx="19">
                  <c:v>86.793113660401801</c:v>
                </c:pt>
                <c:pt idx="20">
                  <c:v>86.793113660401801</c:v>
                </c:pt>
                <c:pt idx="21">
                  <c:v>86.793113660401801</c:v>
                </c:pt>
              </c:numCache>
            </c:numRef>
          </c:val>
          <c:smooth val="0"/>
          <c:extLst>
            <c:ext xmlns:c16="http://schemas.microsoft.com/office/drawing/2014/chart" uri="{C3380CC4-5D6E-409C-BE32-E72D297353CC}">
              <c16:uniqueId val="{00000000-1720-4922-AD6D-BB6CC3211821}"/>
            </c:ext>
          </c:extLst>
        </c:ser>
        <c:ser>
          <c:idx val="1"/>
          <c:order val="1"/>
          <c:tx>
            <c:strRef>
              <c:f>'Range acceptance'!$O$3</c:f>
              <c:strCache>
                <c:ptCount val="1"/>
                <c:pt idx="0">
                  <c:v>range acceptance</c:v>
                </c:pt>
              </c:strCache>
            </c:strRef>
          </c:tx>
          <c:spPr>
            <a:ln w="28575" cap="rnd">
              <a:solidFill>
                <a:schemeClr val="accent2"/>
              </a:solidFill>
              <a:round/>
            </a:ln>
            <a:effectLst/>
          </c:spPr>
          <c:marker>
            <c:symbol val="none"/>
          </c:marker>
          <c:cat>
            <c:numRef>
              <c:f>'Range acceptance'!$A$4:$A$25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'Range acceptance'!$O$4:$O$25</c:f>
              <c:numCache>
                <c:formatCode>0</c:formatCode>
                <c:ptCount val="22"/>
                <c:pt idx="0">
                  <c:v>8.1857682376240835</c:v>
                </c:pt>
                <c:pt idx="1">
                  <c:v>8.1857682376240835</c:v>
                </c:pt>
                <c:pt idx="2">
                  <c:v>9.7516684952471575</c:v>
                </c:pt>
                <c:pt idx="3">
                  <c:v>13.666419139304844</c:v>
                </c:pt>
                <c:pt idx="4">
                  <c:v>17.581169783362526</c:v>
                </c:pt>
                <c:pt idx="5">
                  <c:v>23.844770813854822</c:v>
                </c:pt>
                <c:pt idx="6">
                  <c:v>30.108371844347118</c:v>
                </c:pt>
                <c:pt idx="7">
                  <c:v>37.589895297435142</c:v>
                </c:pt>
                <c:pt idx="8">
                  <c:v>45.071418750523165</c:v>
                </c:pt>
                <c:pt idx="9">
                  <c:v>52.552942203611181</c:v>
                </c:pt>
                <c:pt idx="10">
                  <c:v>64.645171970811603</c:v>
                </c:pt>
                <c:pt idx="11">
                  <c:v>74.917298113344003</c:v>
                </c:pt>
                <c:pt idx="12">
                  <c:v>84.067732487185665</c:v>
                </c:pt>
                <c:pt idx="13">
                  <c:v>93.343337407191342</c:v>
                </c:pt>
                <c:pt idx="14">
                  <c:v>98.879586689447336</c:v>
                </c:pt>
                <c:pt idx="15">
                  <c:v>98.879586689447336</c:v>
                </c:pt>
                <c:pt idx="16">
                  <c:v>98.879586689447336</c:v>
                </c:pt>
                <c:pt idx="17">
                  <c:v>98.879586689447336</c:v>
                </c:pt>
                <c:pt idx="18">
                  <c:v>98.879586689447336</c:v>
                </c:pt>
                <c:pt idx="19">
                  <c:v>98.879586689447336</c:v>
                </c:pt>
                <c:pt idx="20">
                  <c:v>98.879586689447336</c:v>
                </c:pt>
                <c:pt idx="21">
                  <c:v>98.879586689447336</c:v>
                </c:pt>
              </c:numCache>
            </c:numRef>
          </c:val>
          <c:smooth val="0"/>
          <c:extLst>
            <c:ext xmlns:c16="http://schemas.microsoft.com/office/drawing/2014/chart" uri="{C3380CC4-5D6E-409C-BE32-E72D297353CC}">
              <c16:uniqueId val="{00000001-1720-4922-AD6D-BB6CC3211821}"/>
            </c:ext>
          </c:extLst>
        </c:ser>
        <c:dLbls>
          <c:showLegendKey val="0"/>
          <c:showVal val="0"/>
          <c:showCatName val="0"/>
          <c:showSerName val="0"/>
          <c:showPercent val="0"/>
          <c:showBubbleSize val="0"/>
        </c:dLbls>
        <c:smooth val="0"/>
        <c:axId val="602589456"/>
        <c:axId val="602590768"/>
      </c:lineChart>
      <c:catAx>
        <c:axId val="60258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90768"/>
        <c:crosses val="autoZero"/>
        <c:auto val="1"/>
        <c:lblAlgn val="ctr"/>
        <c:lblOffset val="100"/>
        <c:noMultiLvlLbl val="0"/>
      </c:catAx>
      <c:valAx>
        <c:axId val="602590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8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'Range acceptance'!$I$3</c:f>
              <c:strCache>
                <c:ptCount val="1"/>
                <c:pt idx="0">
                  <c:v>median range</c:v>
                </c:pt>
              </c:strCache>
            </c:strRef>
          </c:tx>
          <c:spPr>
            <a:ln w="28575" cap="rnd">
              <a:solidFill>
                <a:schemeClr val="accent1"/>
              </a:solidFill>
              <a:round/>
            </a:ln>
            <a:effectLst/>
          </c:spPr>
          <c:marker>
            <c:symbol val="none"/>
          </c:marker>
          <c:val>
            <c:numRef>
              <c:f>'Range acceptance'!$I$4:$I$12</c:f>
              <c:numCache>
                <c:formatCode>0</c:formatCode>
                <c:ptCount val="9"/>
                <c:pt idx="0">
                  <c:v>110</c:v>
                </c:pt>
                <c:pt idx="1">
                  <c:v>110</c:v>
                </c:pt>
                <c:pt idx="2">
                  <c:v>110</c:v>
                </c:pt>
                <c:pt idx="3">
                  <c:v>110</c:v>
                </c:pt>
                <c:pt idx="4">
                  <c:v>135</c:v>
                </c:pt>
                <c:pt idx="5">
                  <c:v>140</c:v>
                </c:pt>
                <c:pt idx="6">
                  <c:v>145</c:v>
                </c:pt>
                <c:pt idx="7">
                  <c:v>145</c:v>
                </c:pt>
                <c:pt idx="8">
                  <c:v>160</c:v>
                </c:pt>
              </c:numCache>
            </c:numRef>
          </c:val>
          <c:smooth val="0"/>
          <c:extLst>
            <c:ext xmlns:c16="http://schemas.microsoft.com/office/drawing/2014/chart" uri="{C3380CC4-5D6E-409C-BE32-E72D297353CC}">
              <c16:uniqueId val="{00000000-7F23-4AAA-A85A-2952126AD285}"/>
            </c:ext>
          </c:extLst>
        </c:ser>
        <c:dLbls>
          <c:showLegendKey val="0"/>
          <c:showVal val="0"/>
          <c:showCatName val="0"/>
          <c:showSerName val="0"/>
          <c:showPercent val="0"/>
          <c:showBubbleSize val="0"/>
        </c:dLbls>
        <c:smooth val="0"/>
        <c:axId val="644734368"/>
        <c:axId val="644731744"/>
      </c:lineChart>
      <c:catAx>
        <c:axId val="644734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731744"/>
        <c:crosses val="autoZero"/>
        <c:auto val="1"/>
        <c:lblAlgn val="ctr"/>
        <c:lblOffset val="100"/>
        <c:noMultiLvlLbl val="0"/>
      </c:catAx>
      <c:valAx>
        <c:axId val="64473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73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'Range acceptance'!$K$3</c:f>
              <c:strCache>
                <c:ptCount val="1"/>
                <c:pt idx="0">
                  <c:v>range acceptance</c:v>
                </c:pt>
              </c:strCache>
            </c:strRef>
          </c:tx>
          <c:spPr>
            <a:ln w="28575" cap="rnd">
              <a:solidFill>
                <a:schemeClr val="accent1"/>
              </a:solidFill>
              <a:round/>
            </a:ln>
            <a:effectLst/>
          </c:spPr>
          <c:marker>
            <c:symbol val="none"/>
          </c:marker>
          <c:val>
            <c:numRef>
              <c:f>'Range acceptance'!$K$4:$K$12</c:f>
              <c:numCache>
                <c:formatCode>0</c:formatCode>
                <c:ptCount val="9"/>
                <c:pt idx="0">
                  <c:v>8.1857682376240835</c:v>
                </c:pt>
                <c:pt idx="1">
                  <c:v>8.1857682376240835</c:v>
                </c:pt>
                <c:pt idx="2">
                  <c:v>8.1857682376240835</c:v>
                </c:pt>
                <c:pt idx="3">
                  <c:v>8.1857682376240835</c:v>
                </c:pt>
                <c:pt idx="4">
                  <c:v>12.10051888168177</c:v>
                </c:pt>
                <c:pt idx="5">
                  <c:v>12.883469010493306</c:v>
                </c:pt>
                <c:pt idx="6">
                  <c:v>13.666419139304844</c:v>
                </c:pt>
                <c:pt idx="7">
                  <c:v>13.666419139304844</c:v>
                </c:pt>
                <c:pt idx="8">
                  <c:v>16.015269525739456</c:v>
                </c:pt>
              </c:numCache>
            </c:numRef>
          </c:val>
          <c:smooth val="0"/>
          <c:extLst>
            <c:ext xmlns:c16="http://schemas.microsoft.com/office/drawing/2014/chart" uri="{C3380CC4-5D6E-409C-BE32-E72D297353CC}">
              <c16:uniqueId val="{00000000-F010-4AF5-BB1F-FD2ACF8B7172}"/>
            </c:ext>
          </c:extLst>
        </c:ser>
        <c:ser>
          <c:idx val="1"/>
          <c:order val="1"/>
          <c:tx>
            <c:strRef>
              <c:f>'Range acceptance'!$O$3</c:f>
              <c:strCache>
                <c:ptCount val="1"/>
                <c:pt idx="0">
                  <c:v>range acceptance</c:v>
                </c:pt>
              </c:strCache>
            </c:strRef>
          </c:tx>
          <c:spPr>
            <a:ln w="28575" cap="rnd">
              <a:solidFill>
                <a:schemeClr val="accent2"/>
              </a:solidFill>
              <a:round/>
            </a:ln>
            <a:effectLst/>
          </c:spPr>
          <c:marker>
            <c:symbol val="none"/>
          </c:marker>
          <c:val>
            <c:numRef>
              <c:f>'Range acceptance'!$O$4:$O$12</c:f>
              <c:numCache>
                <c:formatCode>0</c:formatCode>
                <c:ptCount val="9"/>
                <c:pt idx="0">
                  <c:v>8.1857682376240835</c:v>
                </c:pt>
                <c:pt idx="1">
                  <c:v>8.1857682376240835</c:v>
                </c:pt>
                <c:pt idx="2">
                  <c:v>9.7516684952471575</c:v>
                </c:pt>
                <c:pt idx="3">
                  <c:v>13.666419139304844</c:v>
                </c:pt>
                <c:pt idx="4">
                  <c:v>17.581169783362526</c:v>
                </c:pt>
                <c:pt idx="5">
                  <c:v>23.844770813854822</c:v>
                </c:pt>
                <c:pt idx="6">
                  <c:v>30.108371844347118</c:v>
                </c:pt>
                <c:pt idx="7">
                  <c:v>37.589895297435142</c:v>
                </c:pt>
                <c:pt idx="8">
                  <c:v>45.071418750523165</c:v>
                </c:pt>
              </c:numCache>
            </c:numRef>
          </c:val>
          <c:smooth val="0"/>
          <c:extLst>
            <c:ext xmlns:c16="http://schemas.microsoft.com/office/drawing/2014/chart" uri="{C3380CC4-5D6E-409C-BE32-E72D297353CC}">
              <c16:uniqueId val="{00000001-F010-4AF5-BB1F-FD2ACF8B7172}"/>
            </c:ext>
          </c:extLst>
        </c:ser>
        <c:dLbls>
          <c:showLegendKey val="0"/>
          <c:showVal val="0"/>
          <c:showCatName val="0"/>
          <c:showSerName val="0"/>
          <c:showPercent val="0"/>
          <c:showBubbleSize val="0"/>
        </c:dLbls>
        <c:smooth val="0"/>
        <c:axId val="777013536"/>
        <c:axId val="777013864"/>
      </c:lineChart>
      <c:catAx>
        <c:axId val="777013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013864"/>
        <c:crosses val="autoZero"/>
        <c:auto val="1"/>
        <c:lblAlgn val="ctr"/>
        <c:lblOffset val="100"/>
        <c:noMultiLvlLbl val="0"/>
      </c:catAx>
      <c:valAx>
        <c:axId val="777013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013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uptake 1'!$B$3</c:f>
              <c:strCache>
                <c:ptCount val="1"/>
                <c:pt idx="0">
                  <c:v>global EV%</c:v>
                </c:pt>
              </c:strCache>
            </c:strRef>
          </c:tx>
          <c:spPr>
            <a:ln w="28575" cap="rnd">
              <a:solidFill>
                <a:schemeClr val="accent1"/>
              </a:solidFill>
              <a:round/>
            </a:ln>
            <a:effectLst/>
          </c:spPr>
          <c:marker>
            <c:symbol val="none"/>
          </c:marker>
          <c:cat>
            <c:numRef>
              <c:f>'EV uptake 1'!$A$4:$A$12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uptake 1'!$B$4:$B$12</c:f>
              <c:numCache>
                <c:formatCode>0.00</c:formatCode>
                <c:ptCount val="9"/>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numCache>
            </c:numRef>
          </c:val>
          <c:smooth val="0"/>
          <c:extLst>
            <c:ext xmlns:c16="http://schemas.microsoft.com/office/drawing/2014/chart" uri="{C3380CC4-5D6E-409C-BE32-E72D297353CC}">
              <c16:uniqueId val="{00000000-E426-4C60-90C6-89F76FC5CA97}"/>
            </c:ext>
          </c:extLst>
        </c:ser>
        <c:dLbls>
          <c:showLegendKey val="0"/>
          <c:showVal val="0"/>
          <c:showCatName val="0"/>
          <c:showSerName val="0"/>
          <c:showPercent val="0"/>
          <c:showBubbleSize val="0"/>
        </c:dLbls>
        <c:marker val="1"/>
        <c:smooth val="0"/>
        <c:axId val="777512248"/>
        <c:axId val="777512576"/>
      </c:lineChart>
      <c:lineChart>
        <c:grouping val="standard"/>
        <c:varyColors val="0"/>
        <c:ser>
          <c:idx val="1"/>
          <c:order val="1"/>
          <c:tx>
            <c:strRef>
              <c:f>'EV uptake 1'!$M$3</c:f>
              <c:strCache>
                <c:ptCount val="1"/>
                <c:pt idx="0">
                  <c:v>BEV Cost Saving (t-1)</c:v>
                </c:pt>
              </c:strCache>
            </c:strRef>
          </c:tx>
          <c:spPr>
            <a:ln w="28575" cap="rnd">
              <a:solidFill>
                <a:schemeClr val="accent2"/>
              </a:solidFill>
              <a:round/>
            </a:ln>
            <a:effectLst/>
          </c:spPr>
          <c:marker>
            <c:symbol val="none"/>
          </c:marker>
          <c:cat>
            <c:numRef>
              <c:f>'EV uptake 1'!$A$4:$A$12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uptake 1'!$M$4:$M$12</c:f>
              <c:numCache>
                <c:formatCode>0</c:formatCode>
                <c:ptCount val="9"/>
                <c:pt idx="0">
                  <c:v>563.23215926155547</c:v>
                </c:pt>
                <c:pt idx="1">
                  <c:v>563.23215926155547</c:v>
                </c:pt>
                <c:pt idx="2">
                  <c:v>1203.1827443290483</c:v>
                </c:pt>
                <c:pt idx="3">
                  <c:v>1842.7247974960285</c:v>
                </c:pt>
                <c:pt idx="4">
                  <c:v>1705.1307028750334</c:v>
                </c:pt>
                <c:pt idx="5">
                  <c:v>1440.4209585705396</c:v>
                </c:pt>
                <c:pt idx="6">
                  <c:v>1420.416849427286</c:v>
                </c:pt>
                <c:pt idx="7">
                  <c:v>573.57538911130553</c:v>
                </c:pt>
                <c:pt idx="8">
                  <c:v>764.44188477513887</c:v>
                </c:pt>
              </c:numCache>
            </c:numRef>
          </c:val>
          <c:smooth val="0"/>
          <c:extLst>
            <c:ext xmlns:c16="http://schemas.microsoft.com/office/drawing/2014/chart" uri="{C3380CC4-5D6E-409C-BE32-E72D297353CC}">
              <c16:uniqueId val="{00000001-E426-4C60-90C6-89F76FC5CA97}"/>
            </c:ext>
          </c:extLst>
        </c:ser>
        <c:dLbls>
          <c:showLegendKey val="0"/>
          <c:showVal val="0"/>
          <c:showCatName val="0"/>
          <c:showSerName val="0"/>
          <c:showPercent val="0"/>
          <c:showBubbleSize val="0"/>
        </c:dLbls>
        <c:marker val="1"/>
        <c:smooth val="0"/>
        <c:axId val="777550952"/>
        <c:axId val="777524384"/>
      </c:lineChart>
      <c:catAx>
        <c:axId val="777512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12576"/>
        <c:crosses val="autoZero"/>
        <c:auto val="1"/>
        <c:lblAlgn val="ctr"/>
        <c:lblOffset val="100"/>
        <c:noMultiLvlLbl val="0"/>
      </c:catAx>
      <c:valAx>
        <c:axId val="777512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12248"/>
        <c:crosses val="autoZero"/>
        <c:crossBetween val="between"/>
      </c:valAx>
      <c:valAx>
        <c:axId val="777524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952"/>
        <c:crosses val="max"/>
        <c:crossBetween val="between"/>
      </c:valAx>
      <c:catAx>
        <c:axId val="777550952"/>
        <c:scaling>
          <c:orientation val="minMax"/>
        </c:scaling>
        <c:delete val="1"/>
        <c:axPos val="b"/>
        <c:numFmt formatCode="General" sourceLinked="1"/>
        <c:majorTickMark val="out"/>
        <c:minorTickMark val="none"/>
        <c:tickLblPos val="nextTo"/>
        <c:crossAx val="777524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uptake 1'!$E$3</c:f>
              <c:strCache>
                <c:ptCount val="1"/>
                <c:pt idx="0">
                  <c:v>logistic EV%</c:v>
                </c:pt>
              </c:strCache>
            </c:strRef>
          </c:tx>
          <c:spPr>
            <a:ln w="28575" cap="rnd">
              <a:solidFill>
                <a:schemeClr val="accent1"/>
              </a:solidFill>
              <a:round/>
            </a:ln>
            <a:effectLst/>
          </c:spPr>
          <c:marker>
            <c:symbol val="none"/>
          </c:marker>
          <c:cat>
            <c:numRef>
              <c:f>'EV uptake 1'!$A$4:$A$25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'EV uptake 1'!$E$4:$E$25</c:f>
              <c:numCache>
                <c:formatCode>General</c:formatCode>
                <c:ptCount val="22"/>
                <c:pt idx="3">
                  <c:v>-5.130197000546155</c:v>
                </c:pt>
                <c:pt idx="4">
                  <c:v>-4.636240983702514</c:v>
                </c:pt>
                <c:pt idx="5">
                  <c:v>-4.2322540449632511</c:v>
                </c:pt>
                <c:pt idx="6">
                  <c:v>-3.7686700984600847</c:v>
                </c:pt>
                <c:pt idx="7">
                  <c:v>-3.5323388712652259</c:v>
                </c:pt>
                <c:pt idx="8">
                  <c:v>-3.1375715683325112</c:v>
                </c:pt>
              </c:numCache>
            </c:numRef>
          </c:val>
          <c:smooth val="0"/>
          <c:extLst>
            <c:ext xmlns:c16="http://schemas.microsoft.com/office/drawing/2014/chart" uri="{C3380CC4-5D6E-409C-BE32-E72D297353CC}">
              <c16:uniqueId val="{00000000-35D3-4078-8E29-0CCD39860898}"/>
            </c:ext>
          </c:extLst>
        </c:ser>
        <c:ser>
          <c:idx val="1"/>
          <c:order val="1"/>
          <c:tx>
            <c:strRef>
              <c:f>'EV uptake 1'!$F$3</c:f>
              <c:strCache>
                <c:ptCount val="1"/>
                <c:pt idx="0">
                  <c:v>pred</c:v>
                </c:pt>
              </c:strCache>
            </c:strRef>
          </c:tx>
          <c:spPr>
            <a:ln w="28575" cap="rnd">
              <a:solidFill>
                <a:schemeClr val="accent2"/>
              </a:solidFill>
              <a:round/>
            </a:ln>
            <a:effectLst/>
          </c:spPr>
          <c:marker>
            <c:symbol val="none"/>
          </c:marker>
          <c:cat>
            <c:numRef>
              <c:f>'EV uptake 1'!$A$4:$A$25</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'EV uptake 1'!$F$4:$F$25</c:f>
              <c:numCache>
                <c:formatCode>General</c:formatCode>
                <c:ptCount val="22"/>
                <c:pt idx="3">
                  <c:v>-5.1179643959583601</c:v>
                </c:pt>
                <c:pt idx="4">
                  <c:v>-4.6548300133870333</c:v>
                </c:pt>
                <c:pt idx="5">
                  <c:v>-4.2781082421462875</c:v>
                </c:pt>
                <c:pt idx="6">
                  <c:v>-3.8418913691765701</c:v>
                </c:pt>
                <c:pt idx="7">
                  <c:v>-3.620579624545091</c:v>
                </c:pt>
                <c:pt idx="8">
                  <c:v>-3.1053403976844653</c:v>
                </c:pt>
                <c:pt idx="9">
                  <c:v>-2.4961099385635044</c:v>
                </c:pt>
                <c:pt idx="10">
                  <c:v>-1.732052957856782</c:v>
                </c:pt>
                <c:pt idx="11">
                  <c:v>-1.1382507023238095</c:v>
                </c:pt>
                <c:pt idx="12">
                  <c:v>-0.51535202517618006</c:v>
                </c:pt>
                <c:pt idx="13">
                  <c:v>9.1073227718165839E-2</c:v>
                </c:pt>
                <c:pt idx="14">
                  <c:v>0.55639086233106116</c:v>
                </c:pt>
                <c:pt idx="15">
                  <c:v>0.99781604314287409</c:v>
                </c:pt>
                <c:pt idx="16">
                  <c:v>1.507626341952131</c:v>
                </c:pt>
                <c:pt idx="17">
                  <c:v>2.0044392208607285</c:v>
                </c:pt>
                <c:pt idx="18">
                  <c:v>2.4672407108135772</c:v>
                </c:pt>
                <c:pt idx="19">
                  <c:v>2.9300855878267771</c:v>
                </c:pt>
                <c:pt idx="20">
                  <c:v>3.3986089064098239</c:v>
                </c:pt>
                <c:pt idx="21">
                  <c:v>3.8615377494005694</c:v>
                </c:pt>
              </c:numCache>
            </c:numRef>
          </c:val>
          <c:smooth val="0"/>
          <c:extLst>
            <c:ext xmlns:c16="http://schemas.microsoft.com/office/drawing/2014/chart" uri="{C3380CC4-5D6E-409C-BE32-E72D297353CC}">
              <c16:uniqueId val="{00000001-35D3-4078-8E29-0CCD39860898}"/>
            </c:ext>
          </c:extLst>
        </c:ser>
        <c:dLbls>
          <c:showLegendKey val="0"/>
          <c:showVal val="0"/>
          <c:showCatName val="0"/>
          <c:showSerName val="0"/>
          <c:showPercent val="0"/>
          <c:showBubbleSize val="0"/>
        </c:dLbls>
        <c:smooth val="0"/>
        <c:axId val="615706656"/>
        <c:axId val="615707312"/>
      </c:lineChart>
      <c:catAx>
        <c:axId val="61570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07312"/>
        <c:crosses val="autoZero"/>
        <c:auto val="1"/>
        <c:lblAlgn val="ctr"/>
        <c:lblOffset val="100"/>
        <c:noMultiLvlLbl val="0"/>
      </c:catAx>
      <c:valAx>
        <c:axId val="61570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06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'EV uptake 1'!$B$3</c:f>
              <c:strCache>
                <c:ptCount val="1"/>
                <c:pt idx="0">
                  <c:v>global EV%</c:v>
                </c:pt>
              </c:strCache>
            </c:strRef>
          </c:tx>
          <c:spPr>
            <a:ln w="28575" cap="rnd">
              <a:solidFill>
                <a:schemeClr val="accent1"/>
              </a:solidFill>
              <a:round/>
            </a:ln>
            <a:effectLst/>
          </c:spPr>
          <c:marker>
            <c:symbol val="none"/>
          </c:marker>
          <c:cat>
            <c:numRef>
              <c:f>'EV uptake 1'!$A$4:$A$12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uptake 1'!$B$4:$B$12</c:f>
              <c:numCache>
                <c:formatCode>0.00</c:formatCode>
                <c:ptCount val="9"/>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numCache>
            </c:numRef>
          </c:val>
          <c:smooth val="0"/>
          <c:extLst>
            <c:ext xmlns:c16="http://schemas.microsoft.com/office/drawing/2014/chart" uri="{C3380CC4-5D6E-409C-BE32-E72D297353CC}">
              <c16:uniqueId val="{00000000-44A8-45F2-9FF7-E9AC7E69C173}"/>
            </c:ext>
          </c:extLst>
        </c:ser>
        <c:dLbls>
          <c:showLegendKey val="0"/>
          <c:showVal val="0"/>
          <c:showCatName val="0"/>
          <c:showSerName val="0"/>
          <c:showPercent val="0"/>
          <c:showBubbleSize val="0"/>
        </c:dLbls>
        <c:marker val="1"/>
        <c:smooth val="0"/>
        <c:axId val="777512248"/>
        <c:axId val="777512576"/>
      </c:lineChart>
      <c:lineChart>
        <c:grouping val="standard"/>
        <c:varyColors val="0"/>
        <c:ser>
          <c:idx val="1"/>
          <c:order val="1"/>
          <c:tx>
            <c:strRef>
              <c:f>'EV uptake 1'!$M$3</c:f>
              <c:strCache>
                <c:ptCount val="1"/>
                <c:pt idx="0">
                  <c:v>BEV Cost Saving (t-1)</c:v>
                </c:pt>
              </c:strCache>
            </c:strRef>
          </c:tx>
          <c:spPr>
            <a:ln w="28575" cap="rnd">
              <a:solidFill>
                <a:schemeClr val="accent2"/>
              </a:solidFill>
              <a:round/>
            </a:ln>
            <a:effectLst/>
          </c:spPr>
          <c:marker>
            <c:symbol val="none"/>
          </c:marker>
          <c:cat>
            <c:numRef>
              <c:f>'EV uptake 1'!$A$4:$A$12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'EV uptake 1'!$M$4:$M$12</c:f>
              <c:numCache>
                <c:formatCode>0</c:formatCode>
                <c:ptCount val="9"/>
                <c:pt idx="0">
                  <c:v>563.23215926155547</c:v>
                </c:pt>
                <c:pt idx="1">
                  <c:v>563.23215926155547</c:v>
                </c:pt>
                <c:pt idx="2">
                  <c:v>1203.1827443290483</c:v>
                </c:pt>
                <c:pt idx="3">
                  <c:v>1842.7247974960285</c:v>
                </c:pt>
                <c:pt idx="4">
                  <c:v>1705.1307028750334</c:v>
                </c:pt>
                <c:pt idx="5">
                  <c:v>1440.4209585705396</c:v>
                </c:pt>
                <c:pt idx="6">
                  <c:v>1420.416849427286</c:v>
                </c:pt>
                <c:pt idx="7">
                  <c:v>573.57538911130553</c:v>
                </c:pt>
                <c:pt idx="8">
                  <c:v>764.44188477513887</c:v>
                </c:pt>
              </c:numCache>
            </c:numRef>
          </c:val>
          <c:smooth val="0"/>
          <c:extLst>
            <c:ext xmlns:c16="http://schemas.microsoft.com/office/drawing/2014/chart" uri="{C3380CC4-5D6E-409C-BE32-E72D297353CC}">
              <c16:uniqueId val="{00000001-44A8-45F2-9FF7-E9AC7E69C173}"/>
            </c:ext>
          </c:extLst>
        </c:ser>
        <c:dLbls>
          <c:showLegendKey val="0"/>
          <c:showVal val="0"/>
          <c:showCatName val="0"/>
          <c:showSerName val="0"/>
          <c:showPercent val="0"/>
          <c:showBubbleSize val="0"/>
        </c:dLbls>
        <c:marker val="1"/>
        <c:smooth val="0"/>
        <c:axId val="777550952"/>
        <c:axId val="777524384"/>
      </c:lineChart>
      <c:catAx>
        <c:axId val="777512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12576"/>
        <c:crosses val="autoZero"/>
        <c:auto val="1"/>
        <c:lblAlgn val="ctr"/>
        <c:lblOffset val="100"/>
        <c:noMultiLvlLbl val="0"/>
      </c:catAx>
      <c:valAx>
        <c:axId val="777512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12248"/>
        <c:crosses val="autoZero"/>
        <c:crossBetween val="between"/>
      </c:valAx>
      <c:valAx>
        <c:axId val="777524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952"/>
        <c:crosses val="max"/>
        <c:crossBetween val="between"/>
      </c:valAx>
      <c:catAx>
        <c:axId val="777550952"/>
        <c:scaling>
          <c:orientation val="minMax"/>
        </c:scaling>
        <c:delete val="1"/>
        <c:axPos val="b"/>
        <c:numFmt formatCode="General" sourceLinked="1"/>
        <c:majorTickMark val="out"/>
        <c:minorTickMark val="none"/>
        <c:tickLblPos val="nextTo"/>
        <c:crossAx val="777524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 time series- X section'!$C$32</c:f>
              <c:strCache>
                <c:ptCount val="1"/>
                <c:pt idx="0">
                  <c:v>years lead</c:v>
                </c:pt>
              </c:strCache>
            </c:strRef>
          </c:tx>
          <c:spPr>
            <a:ln w="28575" cap="rnd">
              <a:solidFill>
                <a:schemeClr val="accent1"/>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section'!$C$33:$C$122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3.7000000000000455</c:v>
                </c:pt>
                <c:pt idx="19">
                  <c:v>2.5</c:v>
                </c:pt>
                <c:pt idx="20">
                  <c:v>3.2999999999999545</c:v>
                </c:pt>
                <c:pt idx="21">
                  <c:v>3.2999999999999545</c:v>
                </c:pt>
                <c:pt idx="22">
                  <c:v>4</c:v>
                </c:pt>
                <c:pt idx="23">
                  <c:v>4</c:v>
                </c:pt>
                <c:pt idx="24">
                  <c:v>2017.2678731409455</c:v>
                </c:pt>
                <c:pt idx="25">
                  <c:v>2017.2250499190925</c:v>
                </c:pt>
                <c:pt idx="26">
                  <c:v>2017.8014239680281</c:v>
                </c:pt>
                <c:pt idx="27">
                  <c:v>2017.0074449217677</c:v>
                </c:pt>
                <c:pt idx="28">
                  <c:v>2017.648681601019</c:v>
                </c:pt>
                <c:pt idx="29">
                  <c:v>2017.8255650522617</c:v>
                </c:pt>
                <c:pt idx="30">
                  <c:v>2017.0015547616606</c:v>
                </c:pt>
                <c:pt idx="31">
                  <c:v>2017.2592952763096</c:v>
                </c:pt>
                <c:pt idx="32">
                  <c:v>2018.4664745793218</c:v>
                </c:pt>
                <c:pt idx="33">
                  <c:v>2017.766183496047</c:v>
                </c:pt>
                <c:pt idx="34">
                  <c:v>2017.7612958281914</c:v>
                </c:pt>
                <c:pt idx="35">
                  <c:v>2017.562179717394</c:v>
                </c:pt>
                <c:pt idx="36">
                  <c:v>2017.417420148292</c:v>
                </c:pt>
                <c:pt idx="37">
                  <c:v>2016.4622799886668</c:v>
                </c:pt>
                <c:pt idx="38">
                  <c:v>2017.6253415948945</c:v>
                </c:pt>
                <c:pt idx="39">
                  <c:v>2016.5389416660378</c:v>
                </c:pt>
                <c:pt idx="40">
                  <c:v>2016.7044232275296</c:v>
                </c:pt>
                <c:pt idx="41">
                  <c:v>2016.8726518224853</c:v>
                </c:pt>
                <c:pt idx="42">
                  <c:v>0</c:v>
                </c:pt>
                <c:pt idx="43">
                  <c:v>0</c:v>
                </c:pt>
                <c:pt idx="44">
                  <c:v>0</c:v>
                </c:pt>
                <c:pt idx="45">
                  <c:v>0</c:v>
                </c:pt>
                <c:pt idx="46">
                  <c:v>0</c:v>
                </c:pt>
                <c:pt idx="47">
                  <c:v>0</c:v>
                </c:pt>
                <c:pt idx="48">
                  <c:v>2016.6008082526105</c:v>
                </c:pt>
                <c:pt idx="49">
                  <c:v>2016.7279901164497</c:v>
                </c:pt>
                <c:pt idx="50">
                  <c:v>2017.5663798375936</c:v>
                </c:pt>
                <c:pt idx="51">
                  <c:v>2016.7405539582485</c:v>
                </c:pt>
                <c:pt idx="52">
                  <c:v>2016.8216684689783</c:v>
                </c:pt>
                <c:pt idx="53">
                  <c:v>2016.7328213196818</c:v>
                </c:pt>
                <c:pt idx="54">
                  <c:v>2017.1419061939387</c:v>
                </c:pt>
                <c:pt idx="55">
                  <c:v>2016.3410074258666</c:v>
                </c:pt>
                <c:pt idx="56">
                  <c:v>2017.7298303682742</c:v>
                </c:pt>
                <c:pt idx="57">
                  <c:v>2016.8802226471998</c:v>
                </c:pt>
                <c:pt idx="58">
                  <c:v>2016.9187227611449</c:v>
                </c:pt>
                <c:pt idx="59">
                  <c:v>2016.9736662841631</c:v>
                </c:pt>
                <c:pt idx="60">
                  <c:v>2018.2222335160914</c:v>
                </c:pt>
                <c:pt idx="61">
                  <c:v>2016.199676727641</c:v>
                </c:pt>
                <c:pt idx="62">
                  <c:v>2017.215701187065</c:v>
                </c:pt>
                <c:pt idx="63">
                  <c:v>2016.7075785059585</c:v>
                </c:pt>
                <c:pt idx="64">
                  <c:v>2016.7848496820138</c:v>
                </c:pt>
                <c:pt idx="65">
                  <c:v>2016.7295960758513</c:v>
                </c:pt>
                <c:pt idx="66">
                  <c:v>2025.7753083178627</c:v>
                </c:pt>
                <c:pt idx="67">
                  <c:v>2028.3889876449657</c:v>
                </c:pt>
                <c:pt idx="68">
                  <c:v>2028.5558626462118</c:v>
                </c:pt>
                <c:pt idx="69">
                  <c:v>2027.2917994886172</c:v>
                </c:pt>
                <c:pt idx="70">
                  <c:v>2027.4301279831573</c:v>
                </c:pt>
                <c:pt idx="71">
                  <c:v>2027.3719619832832</c:v>
                </c:pt>
                <c:pt idx="72">
                  <c:v>2018.8750156872493</c:v>
                </c:pt>
                <c:pt idx="73">
                  <c:v>2018.9213655214492</c:v>
                </c:pt>
                <c:pt idx="74">
                  <c:v>2020.0055118566152</c:v>
                </c:pt>
                <c:pt idx="75">
                  <c:v>2019.424683248825</c:v>
                </c:pt>
                <c:pt idx="76">
                  <c:v>2019.4989317643808</c:v>
                </c:pt>
                <c:pt idx="77">
                  <c:v>2019.3585127420033</c:v>
                </c:pt>
                <c:pt idx="78">
                  <c:v>2021.5525832426733</c:v>
                </c:pt>
                <c:pt idx="79">
                  <c:v>2021.6918581333885</c:v>
                </c:pt>
                <c:pt idx="80">
                  <c:v>2020.2779543408324</c:v>
                </c:pt>
                <c:pt idx="81">
                  <c:v>2020.6362648624145</c:v>
                </c:pt>
                <c:pt idx="82">
                  <c:v>2020.669654394253</c:v>
                </c:pt>
                <c:pt idx="83">
                  <c:v>2020.5932146346756</c:v>
                </c:pt>
                <c:pt idx="84">
                  <c:v>2022.0496368757667</c:v>
                </c:pt>
                <c:pt idx="85">
                  <c:v>2019.1020916160128</c:v>
                </c:pt>
                <c:pt idx="86">
                  <c:v>2021.183253910898</c:v>
                </c:pt>
                <c:pt idx="87">
                  <c:v>2020.2968040972059</c:v>
                </c:pt>
                <c:pt idx="88">
                  <c:v>2020.2449836486119</c:v>
                </c:pt>
                <c:pt idx="89">
                  <c:v>2020.2019547598193</c:v>
                </c:pt>
              </c:numCache>
            </c:numRef>
          </c:val>
          <c:smooth val="0"/>
          <c:extLst>
            <c:ext xmlns:c16="http://schemas.microsoft.com/office/drawing/2014/chart" uri="{C3380CC4-5D6E-409C-BE32-E72D297353CC}">
              <c16:uniqueId val="{00000000-3ED5-4DFC-A3D8-C128A78FF6F0}"/>
            </c:ext>
          </c:extLst>
        </c:ser>
        <c:ser>
          <c:idx val="1"/>
          <c:order val="1"/>
          <c:tx>
            <c:strRef>
              <c:f>' time series- X section'!$D$32</c:f>
              <c:strCache>
                <c:ptCount val="1"/>
                <c:pt idx="0">
                  <c:v>pred</c:v>
                </c:pt>
              </c:strCache>
            </c:strRef>
          </c:tx>
          <c:spPr>
            <a:ln w="28575" cap="rnd">
              <a:solidFill>
                <a:schemeClr val="accent2"/>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section'!$D$33:$D$122</c:f>
              <c:numCache>
                <c:formatCode>0.00</c:formatCode>
                <c:ptCount val="90"/>
                <c:pt idx="0">
                  <c:v>-4.9805295550678252E-2</c:v>
                </c:pt>
                <c:pt idx="1">
                  <c:v>-0.31158920138665258</c:v>
                </c:pt>
                <c:pt idx="2">
                  <c:v>-2.4674314708787355</c:v>
                </c:pt>
                <c:pt idx="3">
                  <c:v>0.52765800675172159</c:v>
                </c:pt>
                <c:pt idx="4">
                  <c:v>0.41457733446282585</c:v>
                </c:pt>
                <c:pt idx="5">
                  <c:v>0.48843198311105529</c:v>
                </c:pt>
                <c:pt idx="6">
                  <c:v>10.302152266530232</c:v>
                </c:pt>
                <c:pt idx="7">
                  <c:v>10.151999382392027</c:v>
                </c:pt>
                <c:pt idx="8">
                  <c:v>8.6135094511766752</c:v>
                </c:pt>
                <c:pt idx="9">
                  <c:v>10.05559514085105</c:v>
                </c:pt>
                <c:pt idx="10">
                  <c:v>9.899766850462413</c:v>
                </c:pt>
                <c:pt idx="11">
                  <c:v>10.079994946248803</c:v>
                </c:pt>
                <c:pt idx="12">
                  <c:v>6.5335661915605208</c:v>
                </c:pt>
                <c:pt idx="13">
                  <c:v>6.1604151102288869</c:v>
                </c:pt>
                <c:pt idx="14">
                  <c:v>3.9749210078709951</c:v>
                </c:pt>
                <c:pt idx="15">
                  <c:v>3.7617765537825192</c:v>
                </c:pt>
                <c:pt idx="16">
                  <c:v>0.70230816700152232</c:v>
                </c:pt>
                <c:pt idx="17">
                  <c:v>3.9841013638484837</c:v>
                </c:pt>
                <c:pt idx="18">
                  <c:v>4.0150573555752249</c:v>
                </c:pt>
                <c:pt idx="19">
                  <c:v>1.6708716073899432</c:v>
                </c:pt>
                <c:pt idx="20">
                  <c:v>1.7252799324994035</c:v>
                </c:pt>
                <c:pt idx="21">
                  <c:v>4.0564917722896654</c:v>
                </c:pt>
                <c:pt idx="22">
                  <c:v>3.4410046379380264</c:v>
                </c:pt>
                <c:pt idx="23">
                  <c:v>3.1479609301379279</c:v>
                </c:pt>
              </c:numCache>
            </c:numRef>
          </c:val>
          <c:smooth val="0"/>
          <c:extLst>
            <c:ext xmlns:c16="http://schemas.microsoft.com/office/drawing/2014/chart" uri="{C3380CC4-5D6E-409C-BE32-E72D297353CC}">
              <c16:uniqueId val="{00000001-3ED5-4DFC-A3D8-C128A78FF6F0}"/>
            </c:ext>
          </c:extLst>
        </c:ser>
        <c:ser>
          <c:idx val="2"/>
          <c:order val="2"/>
          <c:tx>
            <c:strRef>
              <c:f>' time series- X section'!$E$32</c:f>
              <c:strCache>
                <c:ptCount val="1"/>
                <c:pt idx="0">
                  <c:v>pred</c:v>
                </c:pt>
              </c:strCache>
            </c:strRef>
          </c:tx>
          <c:spPr>
            <a:ln w="28575" cap="rnd">
              <a:solidFill>
                <a:schemeClr val="accent3"/>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section'!$E$33:$E$122</c:f>
              <c:numCache>
                <c:formatCode>0.00</c:formatCode>
                <c:ptCount val="90"/>
                <c:pt idx="0">
                  <c:v>-7.5859060061084449E-2</c:v>
                </c:pt>
                <c:pt idx="1">
                  <c:v>-0.32715190627203494</c:v>
                </c:pt>
                <c:pt idx="2">
                  <c:v>-2.4559328501212754</c:v>
                </c:pt>
                <c:pt idx="3">
                  <c:v>0.53898320389564858</c:v>
                </c:pt>
                <c:pt idx="4">
                  <c:v>0.43430693649894203</c:v>
                </c:pt>
                <c:pt idx="5">
                  <c:v>0.50010137430265522</c:v>
                </c:pt>
                <c:pt idx="6">
                  <c:v>10.235754779715418</c:v>
                </c:pt>
                <c:pt idx="7">
                  <c:v>10.083776294529269</c:v>
                </c:pt>
                <c:pt idx="8">
                  <c:v>8.5710696682006446</c:v>
                </c:pt>
                <c:pt idx="9">
                  <c:v>10.045933120768293</c:v>
                </c:pt>
                <c:pt idx="10">
                  <c:v>9.9012773860538275</c:v>
                </c:pt>
                <c:pt idx="11">
                  <c:v>10.067095041149106</c:v>
                </c:pt>
                <c:pt idx="12">
                  <c:v>6.5506938064196287</c:v>
                </c:pt>
                <c:pt idx="13">
                  <c:v>6.1844465063026011</c:v>
                </c:pt>
                <c:pt idx="14">
                  <c:v>4.0260635003561651</c:v>
                </c:pt>
                <c:pt idx="15">
                  <c:v>3.7976600149855595</c:v>
                </c:pt>
                <c:pt idx="16">
                  <c:v>0.72389656020979132</c:v>
                </c:pt>
                <c:pt idx="17">
                  <c:v>3.9696611645196418</c:v>
                </c:pt>
                <c:pt idx="18">
                  <c:v>4.0294265893491428</c:v>
                </c:pt>
                <c:pt idx="19">
                  <c:v>1.7105031234969794</c:v>
                </c:pt>
                <c:pt idx="20">
                  <c:v>1.7100044051727581</c:v>
                </c:pt>
                <c:pt idx="21">
                  <c:v>4.0597373988964112</c:v>
                </c:pt>
                <c:pt idx="22">
                  <c:v>3.4600565459073742</c:v>
                </c:pt>
                <c:pt idx="23">
                  <c:v>3.1610388220539889</c:v>
                </c:pt>
                <c:pt idx="24">
                  <c:v>4.08332002437092</c:v>
                </c:pt>
                <c:pt idx="25">
                  <c:v>3.6242239748065987</c:v>
                </c:pt>
                <c:pt idx="26">
                  <c:v>1.5634174887316599</c:v>
                </c:pt>
                <c:pt idx="27">
                  <c:v>3.9710943280157944</c:v>
                </c:pt>
                <c:pt idx="28">
                  <c:v>3.3584633120975003</c:v>
                </c:pt>
                <c:pt idx="29">
                  <c:v>3.2157599955711267</c:v>
                </c:pt>
              </c:numCache>
            </c:numRef>
          </c:val>
          <c:smooth val="0"/>
          <c:extLst>
            <c:ext xmlns:c16="http://schemas.microsoft.com/office/drawing/2014/chart" uri="{C3380CC4-5D6E-409C-BE32-E72D297353CC}">
              <c16:uniqueId val="{00000002-3ED5-4DFC-A3D8-C128A78FF6F0}"/>
            </c:ext>
          </c:extLst>
        </c:ser>
        <c:ser>
          <c:idx val="3"/>
          <c:order val="3"/>
          <c:tx>
            <c:strRef>
              <c:f>' time series- X section'!$F$32</c:f>
              <c:strCache>
                <c:ptCount val="1"/>
                <c:pt idx="0">
                  <c:v>pred</c:v>
                </c:pt>
              </c:strCache>
            </c:strRef>
          </c:tx>
          <c:spPr>
            <a:ln w="28575" cap="rnd">
              <a:solidFill>
                <a:schemeClr val="accent4"/>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section'!$F$33:$F$122</c:f>
              <c:numCache>
                <c:formatCode>0.00</c:formatCode>
                <c:ptCount val="90"/>
                <c:pt idx="0">
                  <c:v>3.0845751047474446E-2</c:v>
                </c:pt>
                <c:pt idx="1">
                  <c:v>-0.24708882641079088</c:v>
                </c:pt>
                <c:pt idx="2">
                  <c:v>-2.358831072764576</c:v>
                </c:pt>
                <c:pt idx="3">
                  <c:v>0.4632904614888318</c:v>
                </c:pt>
                <c:pt idx="4">
                  <c:v>0.3316740473525075</c:v>
                </c:pt>
                <c:pt idx="5">
                  <c:v>0.42530917808919533</c:v>
                </c:pt>
                <c:pt idx="6">
                  <c:v>10.31041027752795</c:v>
                </c:pt>
                <c:pt idx="7">
                  <c:v>10.174403865602322</c:v>
                </c:pt>
                <c:pt idx="8">
                  <c:v>8.6480695281492448</c:v>
                </c:pt>
                <c:pt idx="9">
                  <c:v>9.9087886237480607</c:v>
                </c:pt>
                <c:pt idx="10">
                  <c:v>9.7286382062141534</c:v>
                </c:pt>
                <c:pt idx="11">
                  <c:v>9.941439659657183</c:v>
                </c:pt>
                <c:pt idx="12">
                  <c:v>6.5108047437901195</c:v>
                </c:pt>
                <c:pt idx="13">
                  <c:v>6.1386611794663715</c:v>
                </c:pt>
                <c:pt idx="14">
                  <c:v>3.9988360759491064</c:v>
                </c:pt>
                <c:pt idx="15">
                  <c:v>3.7379309337815325</c:v>
                </c:pt>
                <c:pt idx="16">
                  <c:v>0.79269317560500774</c:v>
                </c:pt>
                <c:pt idx="17">
                  <c:v>3.9919333132529964</c:v>
                </c:pt>
                <c:pt idx="18">
                  <c:v>4.1464096588038011</c:v>
                </c:pt>
                <c:pt idx="19">
                  <c:v>1.8626032623005209</c:v>
                </c:pt>
                <c:pt idx="20">
                  <c:v>1.8823610566764786</c:v>
                </c:pt>
                <c:pt idx="21">
                  <c:v>4.0232587553635755</c:v>
                </c:pt>
                <c:pt idx="22">
                  <c:v>3.3962435678794352</c:v>
                </c:pt>
                <c:pt idx="23">
                  <c:v>3.1380053753794703</c:v>
                </c:pt>
                <c:pt idx="24">
                  <c:v>4.1860487721877044</c:v>
                </c:pt>
                <c:pt idx="25">
                  <c:v>3.7094792988385179</c:v>
                </c:pt>
                <c:pt idx="26">
                  <c:v>1.6814644183041634</c:v>
                </c:pt>
                <c:pt idx="27">
                  <c:v>3.9192565972503282</c:v>
                </c:pt>
                <c:pt idx="28">
                  <c:v>3.2481292978706797</c:v>
                </c:pt>
                <c:pt idx="29">
                  <c:v>3.1171857093816255</c:v>
                </c:pt>
                <c:pt idx="30">
                  <c:v>4.1556895265236058</c:v>
                </c:pt>
                <c:pt idx="31">
                  <c:v>3.7510700686518401</c:v>
                </c:pt>
                <c:pt idx="32">
                  <c:v>1.430349965805916</c:v>
                </c:pt>
                <c:pt idx="33">
                  <c:v>3.8843591309904992</c:v>
                </c:pt>
                <c:pt idx="34">
                  <c:v>4.018325620942961</c:v>
                </c:pt>
                <c:pt idx="35">
                  <c:v>4.2054052258877803</c:v>
                </c:pt>
              </c:numCache>
            </c:numRef>
          </c:val>
          <c:smooth val="0"/>
          <c:extLst>
            <c:ext xmlns:c16="http://schemas.microsoft.com/office/drawing/2014/chart" uri="{C3380CC4-5D6E-409C-BE32-E72D297353CC}">
              <c16:uniqueId val="{00000003-3ED5-4DFC-A3D8-C128A78FF6F0}"/>
            </c:ext>
          </c:extLst>
        </c:ser>
        <c:ser>
          <c:idx val="4"/>
          <c:order val="4"/>
          <c:tx>
            <c:strRef>
              <c:f>' time series- X section'!$G$32</c:f>
              <c:strCache>
                <c:ptCount val="1"/>
                <c:pt idx="0">
                  <c:v>pred</c:v>
                </c:pt>
              </c:strCache>
            </c:strRef>
          </c:tx>
          <c:spPr>
            <a:ln w="28575" cap="rnd">
              <a:solidFill>
                <a:schemeClr val="accent5"/>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section'!$G$33:$G$122</c:f>
              <c:numCache>
                <c:formatCode>0.00</c:formatCode>
                <c:ptCount val="90"/>
                <c:pt idx="0">
                  <c:v>-5.8554692755057536E-2</c:v>
                </c:pt>
                <c:pt idx="1">
                  <c:v>-0.31165959129606713</c:v>
                </c:pt>
                <c:pt idx="2">
                  <c:v>-2.418029312038299</c:v>
                </c:pt>
                <c:pt idx="3">
                  <c:v>0.52220445565059692</c:v>
                </c:pt>
                <c:pt idx="4">
                  <c:v>0.4143087369906493</c:v>
                </c:pt>
                <c:pt idx="5">
                  <c:v>0.48382364725511717</c:v>
                </c:pt>
                <c:pt idx="6">
                  <c:v>10.206852725792505</c:v>
                </c:pt>
                <c:pt idx="7">
                  <c:v>10.058769782438823</c:v>
                </c:pt>
                <c:pt idx="8">
                  <c:v>8.5579848335236228</c:v>
                </c:pt>
                <c:pt idx="9">
                  <c:v>9.985843100198462</c:v>
                </c:pt>
                <c:pt idx="10">
                  <c:v>9.8370081851547972</c:v>
                </c:pt>
                <c:pt idx="11">
                  <c:v>10.008595960494308</c:v>
                </c:pt>
                <c:pt idx="12">
                  <c:v>6.5381786309572272</c:v>
                </c:pt>
                <c:pt idx="13">
                  <c:v>6.1744137462597957</c:v>
                </c:pt>
                <c:pt idx="14">
                  <c:v>4.0389530903416224</c:v>
                </c:pt>
                <c:pt idx="15">
                  <c:v>3.7966241172291535</c:v>
                </c:pt>
                <c:pt idx="16">
                  <c:v>0.76039856792664295</c:v>
                </c:pt>
                <c:pt idx="17">
                  <c:v>3.9687963666843329</c:v>
                </c:pt>
                <c:pt idx="18">
                  <c:v>4.0647199705640311</c:v>
                </c:pt>
                <c:pt idx="19">
                  <c:v>1.7727852083380622</c:v>
                </c:pt>
                <c:pt idx="20">
                  <c:v>1.7548262318644228</c:v>
                </c:pt>
                <c:pt idx="21">
                  <c:v>4.0502589668722049</c:v>
                </c:pt>
                <c:pt idx="22">
                  <c:v>3.4518922375203314</c:v>
                </c:pt>
                <c:pt idx="23">
                  <c:v>3.1619942805973342</c:v>
                </c:pt>
                <c:pt idx="24">
                  <c:v>4.115895574816931</c:v>
                </c:pt>
                <c:pt idx="25">
                  <c:v>3.658342739393023</c:v>
                </c:pt>
                <c:pt idx="26">
                  <c:v>1.6217672007570152</c:v>
                </c:pt>
                <c:pt idx="27">
                  <c:v>3.9806655149276713</c:v>
                </c:pt>
                <c:pt idx="28">
                  <c:v>3.3646209291539222</c:v>
                </c:pt>
                <c:pt idx="29">
                  <c:v>3.2250717374655373</c:v>
                </c:pt>
                <c:pt idx="30">
                  <c:v>4.0880513158010823</c:v>
                </c:pt>
                <c:pt idx="31">
                  <c:v>3.69408531097277</c:v>
                </c:pt>
                <c:pt idx="32">
                  <c:v>1.374525882260325</c:v>
                </c:pt>
                <c:pt idx="33">
                  <c:v>3.9333986645766266</c:v>
                </c:pt>
                <c:pt idx="34">
                  <c:v>4.0872701991053688</c:v>
                </c:pt>
                <c:pt idx="35">
                  <c:v>4.2547618710907216</c:v>
                </c:pt>
                <c:pt idx="36">
                  <c:v>1.9181129225033917</c:v>
                </c:pt>
                <c:pt idx="37">
                  <c:v>2.8627967331839566</c:v>
                </c:pt>
                <c:pt idx="38">
                  <c:v>0.57496757735347348</c:v>
                </c:pt>
                <c:pt idx="39">
                  <c:v>3.4492621921146762</c:v>
                </c:pt>
                <c:pt idx="40">
                  <c:v>3.2717350386055797</c:v>
                </c:pt>
                <c:pt idx="41">
                  <c:v>3.055218780045875</c:v>
                </c:pt>
              </c:numCache>
            </c:numRef>
          </c:val>
          <c:smooth val="0"/>
          <c:extLst>
            <c:ext xmlns:c16="http://schemas.microsoft.com/office/drawing/2014/chart" uri="{C3380CC4-5D6E-409C-BE32-E72D297353CC}">
              <c16:uniqueId val="{00000004-3ED5-4DFC-A3D8-C128A78FF6F0}"/>
            </c:ext>
          </c:extLst>
        </c:ser>
        <c:ser>
          <c:idx val="5"/>
          <c:order val="5"/>
          <c:tx>
            <c:strRef>
              <c:f>' time series- X section'!$H$32</c:f>
              <c:strCache>
                <c:ptCount val="1"/>
                <c:pt idx="0">
                  <c:v>pred</c:v>
                </c:pt>
              </c:strCache>
            </c:strRef>
          </c:tx>
          <c:spPr>
            <a:ln w="28575" cap="rnd">
              <a:solidFill>
                <a:schemeClr val="accent6"/>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section'!$H$33:$H$122</c:f>
              <c:numCache>
                <c:formatCode>0.00</c:formatCode>
                <c:ptCount val="90"/>
                <c:pt idx="0">
                  <c:v>8.7734052392199446E-2</c:v>
                </c:pt>
                <c:pt idx="1">
                  <c:v>-0.20775358441514347</c:v>
                </c:pt>
                <c:pt idx="2">
                  <c:v>-2.3366465756401151</c:v>
                </c:pt>
                <c:pt idx="3">
                  <c:v>0.42894922780476463</c:v>
                </c:pt>
                <c:pt idx="4">
                  <c:v>0.2814352447750943</c:v>
                </c:pt>
                <c:pt idx="5">
                  <c:v>0.39097407939513062</c:v>
                </c:pt>
                <c:pt idx="6">
                  <c:v>10.415369857998872</c:v>
                </c:pt>
                <c:pt idx="7">
                  <c:v>10.286135815430457</c:v>
                </c:pt>
                <c:pt idx="8">
                  <c:v>8.7336669524569484</c:v>
                </c:pt>
                <c:pt idx="9">
                  <c:v>9.8966107753394184</c:v>
                </c:pt>
                <c:pt idx="10">
                  <c:v>9.695431150656475</c:v>
                </c:pt>
                <c:pt idx="11">
                  <c:v>9.9357506096224455</c:v>
                </c:pt>
                <c:pt idx="12">
                  <c:v>6.5080131448506231</c:v>
                </c:pt>
                <c:pt idx="13">
                  <c:v>6.1281347132658404</c:v>
                </c:pt>
                <c:pt idx="14">
                  <c:v>3.9716152977459891</c:v>
                </c:pt>
                <c:pt idx="15">
                  <c:v>3.6991597289067792</c:v>
                </c:pt>
                <c:pt idx="16">
                  <c:v>0.79437372491235614</c:v>
                </c:pt>
                <c:pt idx="17">
                  <c:v>4.0086291154245099</c:v>
                </c:pt>
                <c:pt idx="18">
                  <c:v>4.1973852413520998</c:v>
                </c:pt>
                <c:pt idx="19">
                  <c:v>1.9038689567388687</c:v>
                </c:pt>
                <c:pt idx="20">
                  <c:v>1.9517245324853203</c:v>
                </c:pt>
                <c:pt idx="21">
                  <c:v>4.0085676312952092</c:v>
                </c:pt>
                <c:pt idx="22">
                  <c:v>3.3593059882782836</c:v>
                </c:pt>
                <c:pt idx="23">
                  <c:v>3.1194620777894739</c:v>
                </c:pt>
                <c:pt idx="24">
                  <c:v>4.2299672186361104</c:v>
                </c:pt>
                <c:pt idx="25">
                  <c:v>3.7382378530790787</c:v>
                </c:pt>
                <c:pt idx="26">
                  <c:v>1.7024519931915996</c:v>
                </c:pt>
                <c:pt idx="27">
                  <c:v>3.8780169907594368</c:v>
                </c:pt>
                <c:pt idx="28">
                  <c:v>3.1675945519780639</c:v>
                </c:pt>
                <c:pt idx="29">
                  <c:v>3.0412554178163895</c:v>
                </c:pt>
                <c:pt idx="30">
                  <c:v>4.2008929261241095</c:v>
                </c:pt>
                <c:pt idx="31">
                  <c:v>3.7868848329449163</c:v>
                </c:pt>
                <c:pt idx="32">
                  <c:v>1.4503245446520672</c:v>
                </c:pt>
                <c:pt idx="33">
                  <c:v>3.8538129078647234</c:v>
                </c:pt>
                <c:pt idx="34">
                  <c:v>3.9760298034410129</c:v>
                </c:pt>
                <c:pt idx="35">
                  <c:v>4.1767474292850633</c:v>
                </c:pt>
                <c:pt idx="36">
                  <c:v>2.0470858828555749</c:v>
                </c:pt>
                <c:pt idx="37">
                  <c:v>2.9656212930361172</c:v>
                </c:pt>
                <c:pt idx="38">
                  <c:v>0.66785431898383107</c:v>
                </c:pt>
                <c:pt idx="39">
                  <c:v>3.3663983767205381</c:v>
                </c:pt>
                <c:pt idx="40">
                  <c:v>3.1623940214590296</c:v>
                </c:pt>
                <c:pt idx="41">
                  <c:v>2.9353385512568528</c:v>
                </c:pt>
                <c:pt idx="42">
                  <c:v>3.253831740163001</c:v>
                </c:pt>
                <c:pt idx="43">
                  <c:v>2.9901046562959248</c:v>
                </c:pt>
                <c:pt idx="44">
                  <c:v>3.3379558081052068</c:v>
                </c:pt>
                <c:pt idx="45">
                  <c:v>5.3214425399321268</c:v>
                </c:pt>
                <c:pt idx="46">
                  <c:v>-2.3890769273881958</c:v>
                </c:pt>
                <c:pt idx="47">
                  <c:v>-6.0262561993777197</c:v>
                </c:pt>
              </c:numCache>
            </c:numRef>
          </c:val>
          <c:smooth val="0"/>
          <c:extLst>
            <c:ext xmlns:c16="http://schemas.microsoft.com/office/drawing/2014/chart" uri="{C3380CC4-5D6E-409C-BE32-E72D297353CC}">
              <c16:uniqueId val="{00000005-3ED5-4DFC-A3D8-C128A78FF6F0}"/>
            </c:ext>
          </c:extLst>
        </c:ser>
        <c:ser>
          <c:idx val="6"/>
          <c:order val="6"/>
          <c:tx>
            <c:strRef>
              <c:f>' time series- X section'!$I$32</c:f>
              <c:strCache>
                <c:ptCount val="1"/>
                <c:pt idx="0">
                  <c:v>pred</c:v>
                </c:pt>
              </c:strCache>
            </c:strRef>
          </c:tx>
          <c:spPr>
            <a:ln w="28575" cap="rnd">
              <a:solidFill>
                <a:schemeClr val="accent1">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section'!$I$33:$I$122</c:f>
              <c:numCache>
                <c:formatCode>0.00</c:formatCode>
                <c:ptCount val="90"/>
                <c:pt idx="0">
                  <c:v>5.5416561676324694E-3</c:v>
                </c:pt>
                <c:pt idx="1">
                  <c:v>-0.26609736073442991</c:v>
                </c:pt>
                <c:pt idx="2">
                  <c:v>-2.3820547629009194</c:v>
                </c:pt>
                <c:pt idx="3">
                  <c:v>0.48128033712597662</c:v>
                </c:pt>
                <c:pt idx="4">
                  <c:v>0.35604232540623126</c:v>
                </c:pt>
                <c:pt idx="5">
                  <c:v>0.44308234309479277</c:v>
                </c:pt>
                <c:pt idx="6">
                  <c:v>10.316441378790239</c:v>
                </c:pt>
                <c:pt idx="7">
                  <c:v>10.176635733566998</c:v>
                </c:pt>
                <c:pt idx="8">
                  <c:v>8.6534075207805259</c:v>
                </c:pt>
                <c:pt idx="9">
                  <c:v>9.9650181305166186</c:v>
                </c:pt>
                <c:pt idx="10">
                  <c:v>9.7932709483111644</c:v>
                </c:pt>
                <c:pt idx="11">
                  <c:v>9.9949470441750297</c:v>
                </c:pt>
                <c:pt idx="12">
                  <c:v>6.5436884101110664</c:v>
                </c:pt>
                <c:pt idx="13">
                  <c:v>6.172912538855007</c:v>
                </c:pt>
                <c:pt idx="14">
                  <c:v>4.0285096611489211</c:v>
                </c:pt>
                <c:pt idx="15">
                  <c:v>3.7624052271172772</c:v>
                </c:pt>
                <c:pt idx="16">
                  <c:v>0.77355673517313939</c:v>
                </c:pt>
                <c:pt idx="17">
                  <c:v>3.9840947147041899</c:v>
                </c:pt>
                <c:pt idx="18">
                  <c:v>4.1418937441083372</c:v>
                </c:pt>
                <c:pt idx="19">
                  <c:v>1.8495704443323557</c:v>
                </c:pt>
                <c:pt idx="20">
                  <c:v>1.8413383105343337</c:v>
                </c:pt>
                <c:pt idx="21">
                  <c:v>4.0319409962829962</c:v>
                </c:pt>
                <c:pt idx="22">
                  <c:v>3.4113568387468769</c:v>
                </c:pt>
                <c:pt idx="23">
                  <c:v>3.1434258723480459</c:v>
                </c:pt>
                <c:pt idx="24">
                  <c:v>4.1849167520719659</c:v>
                </c:pt>
                <c:pt idx="25">
                  <c:v>3.7124520550845514</c:v>
                </c:pt>
                <c:pt idx="26">
                  <c:v>1.6764928871580649</c:v>
                </c:pt>
                <c:pt idx="27">
                  <c:v>3.9547603203896848</c:v>
                </c:pt>
                <c:pt idx="28">
                  <c:v>3.2974509340667297</c:v>
                </c:pt>
                <c:pt idx="29">
                  <c:v>3.1637075504144718</c:v>
                </c:pt>
                <c:pt idx="30">
                  <c:v>4.1374485728950789</c:v>
                </c:pt>
                <c:pt idx="31">
                  <c:v>3.7347545116833238</c:v>
                </c:pt>
                <c:pt idx="32">
                  <c:v>1.4080550571394295</c:v>
                </c:pt>
                <c:pt idx="33">
                  <c:v>3.8985147176826738</c:v>
                </c:pt>
                <c:pt idx="34">
                  <c:v>4.038498037557452</c:v>
                </c:pt>
                <c:pt idx="35">
                  <c:v>4.2205236412013019</c:v>
                </c:pt>
                <c:pt idx="36">
                  <c:v>1.9747259708844358</c:v>
                </c:pt>
                <c:pt idx="37">
                  <c:v>2.9078288266272483</c:v>
                </c:pt>
                <c:pt idx="38">
                  <c:v>0.61594972490117383</c:v>
                </c:pt>
                <c:pt idx="39">
                  <c:v>3.4128670044588882</c:v>
                </c:pt>
                <c:pt idx="40">
                  <c:v>3.2237638558659714</c:v>
                </c:pt>
                <c:pt idx="41">
                  <c:v>3.0026591554215813</c:v>
                </c:pt>
                <c:pt idx="42">
                  <c:v>3.7012821873733976</c:v>
                </c:pt>
                <c:pt idx="43">
                  <c:v>3.4360522311274497</c:v>
                </c:pt>
                <c:pt idx="44">
                  <c:v>3.7310657297447545</c:v>
                </c:pt>
                <c:pt idx="45">
                  <c:v>5.8175127133208431</c:v>
                </c:pt>
                <c:pt idx="46">
                  <c:v>-1.7530030245863397</c:v>
                </c:pt>
                <c:pt idx="47">
                  <c:v>-5.3815549542797045</c:v>
                </c:pt>
                <c:pt idx="48">
                  <c:v>1.4121469326700327</c:v>
                </c:pt>
                <c:pt idx="49">
                  <c:v>3.2383533327110978</c:v>
                </c:pt>
                <c:pt idx="50">
                  <c:v>1.4076438593642713</c:v>
                </c:pt>
                <c:pt idx="51">
                  <c:v>3.4660218818850241</c:v>
                </c:pt>
                <c:pt idx="52">
                  <c:v>3.3434619190792398</c:v>
                </c:pt>
                <c:pt idx="53">
                  <c:v>3.4894459091605281</c:v>
                </c:pt>
              </c:numCache>
            </c:numRef>
          </c:val>
          <c:smooth val="0"/>
          <c:extLst>
            <c:ext xmlns:c16="http://schemas.microsoft.com/office/drawing/2014/chart" uri="{C3380CC4-5D6E-409C-BE32-E72D297353CC}">
              <c16:uniqueId val="{00000006-3ED5-4DFC-A3D8-C128A78FF6F0}"/>
            </c:ext>
          </c:extLst>
        </c:ser>
        <c:ser>
          <c:idx val="7"/>
          <c:order val="7"/>
          <c:tx>
            <c:strRef>
              <c:f>' time series- X section'!$J$32</c:f>
              <c:strCache>
                <c:ptCount val="1"/>
                <c:pt idx="0">
                  <c:v>pred</c:v>
                </c:pt>
              </c:strCache>
            </c:strRef>
          </c:tx>
          <c:spPr>
            <a:ln w="28575" cap="rnd">
              <a:solidFill>
                <a:schemeClr val="accent2">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section'!$J$33:$J$122</c:f>
              <c:numCache>
                <c:formatCode>0.00</c:formatCode>
                <c:ptCount val="90"/>
                <c:pt idx="0">
                  <c:v>3.6507128339030581E-2</c:v>
                </c:pt>
                <c:pt idx="1">
                  <c:v>-0.24371150377365414</c:v>
                </c:pt>
                <c:pt idx="2">
                  <c:v>-2.3613684519288025</c:v>
                </c:pt>
                <c:pt idx="3">
                  <c:v>0.46083742378895209</c:v>
                </c:pt>
                <c:pt idx="4">
                  <c:v>0.32739275496370235</c:v>
                </c:pt>
                <c:pt idx="5">
                  <c:v>0.42278072717931181</c:v>
                </c:pt>
                <c:pt idx="6">
                  <c:v>10.354008596298963</c:v>
                </c:pt>
                <c:pt idx="7">
                  <c:v>10.218396595622728</c:v>
                </c:pt>
                <c:pt idx="8">
                  <c:v>8.6864349191373886</c:v>
                </c:pt>
                <c:pt idx="9">
                  <c:v>9.9400530260812445</c:v>
                </c:pt>
                <c:pt idx="10">
                  <c:v>9.7574720976587592</c:v>
                </c:pt>
                <c:pt idx="11">
                  <c:v>9.9734081177308695</c:v>
                </c:pt>
                <c:pt idx="12">
                  <c:v>6.5361922097287311</c:v>
                </c:pt>
                <c:pt idx="13">
                  <c:v>6.1625424639300812</c:v>
                </c:pt>
                <c:pt idx="14">
                  <c:v>4.0167913802811617</c:v>
                </c:pt>
                <c:pt idx="15">
                  <c:v>3.7430511958166783</c:v>
                </c:pt>
                <c:pt idx="16">
                  <c:v>0.78472456647593614</c:v>
                </c:pt>
                <c:pt idx="17">
                  <c:v>3.9918457616522067</c:v>
                </c:pt>
                <c:pt idx="18">
                  <c:v>4.1723573631439237</c:v>
                </c:pt>
                <c:pt idx="19">
                  <c:v>1.8830243095455774</c:v>
                </c:pt>
                <c:pt idx="20">
                  <c:v>1.8856508418277156</c:v>
                </c:pt>
                <c:pt idx="21">
                  <c:v>4.0225597288213182</c:v>
                </c:pt>
                <c:pt idx="22">
                  <c:v>3.3920998429593752</c:v>
                </c:pt>
                <c:pt idx="23">
                  <c:v>3.1351553932834415</c:v>
                </c:pt>
                <c:pt idx="24">
                  <c:v>4.2113811621204693</c:v>
                </c:pt>
                <c:pt idx="25">
                  <c:v>3.73236564391823</c:v>
                </c:pt>
                <c:pt idx="26">
                  <c:v>1.6995269076047266</c:v>
                </c:pt>
                <c:pt idx="27">
                  <c:v>3.9356727240649416</c:v>
                </c:pt>
                <c:pt idx="28">
                  <c:v>3.2593342990426883</c:v>
                </c:pt>
                <c:pt idx="29">
                  <c:v>3.1285818620394896</c:v>
                </c:pt>
                <c:pt idx="30">
                  <c:v>4.16085088693338</c:v>
                </c:pt>
                <c:pt idx="31">
                  <c:v>3.7544974651270886</c:v>
                </c:pt>
                <c:pt idx="32">
                  <c:v>1.4275734060366192</c:v>
                </c:pt>
                <c:pt idx="33">
                  <c:v>3.8815212379516586</c:v>
                </c:pt>
                <c:pt idx="34">
                  <c:v>4.0145993145992112</c:v>
                </c:pt>
                <c:pt idx="35">
                  <c:v>4.2033957679205418</c:v>
                </c:pt>
                <c:pt idx="36">
                  <c:v>2.0031577982786222</c:v>
                </c:pt>
                <c:pt idx="37">
                  <c:v>2.9293707897205725</c:v>
                </c:pt>
                <c:pt idx="38">
                  <c:v>0.63871202306574837</c:v>
                </c:pt>
                <c:pt idx="39">
                  <c:v>3.3943608521115345</c:v>
                </c:pt>
                <c:pt idx="40">
                  <c:v>3.1999260238866234</c:v>
                </c:pt>
                <c:pt idx="41">
                  <c:v>2.9769105915054532</c:v>
                </c:pt>
                <c:pt idx="42">
                  <c:v>3.7308870330090169</c:v>
                </c:pt>
                <c:pt idx="43">
                  <c:v>3.4666214255963794</c:v>
                </c:pt>
                <c:pt idx="44">
                  <c:v>3.7529021580254494</c:v>
                </c:pt>
                <c:pt idx="45">
                  <c:v>5.7880176514589046</c:v>
                </c:pt>
                <c:pt idx="46">
                  <c:v>-1.7674942584852662</c:v>
                </c:pt>
                <c:pt idx="47">
                  <c:v>-5.3750513052556217</c:v>
                </c:pt>
                <c:pt idx="48">
                  <c:v>1.4313673029376028</c:v>
                </c:pt>
                <c:pt idx="49">
                  <c:v>3.2615288914362708</c:v>
                </c:pt>
                <c:pt idx="50">
                  <c:v>1.4286395263382712</c:v>
                </c:pt>
                <c:pt idx="51">
                  <c:v>3.4369196397283472</c:v>
                </c:pt>
                <c:pt idx="52">
                  <c:v>3.3045077762491006</c:v>
                </c:pt>
                <c:pt idx="53">
                  <c:v>3.4594831961271959</c:v>
                </c:pt>
                <c:pt idx="54">
                  <c:v>4.3858823132453129</c:v>
                </c:pt>
                <c:pt idx="55">
                  <c:v>5.096502274652992</c:v>
                </c:pt>
                <c:pt idx="56">
                  <c:v>2.5052554375787919</c:v>
                </c:pt>
                <c:pt idx="57">
                  <c:v>4.4774112917062086</c:v>
                </c:pt>
                <c:pt idx="58">
                  <c:v>3.5797254838563983</c:v>
                </c:pt>
                <c:pt idx="59">
                  <c:v>3.5976612775286192</c:v>
                </c:pt>
              </c:numCache>
            </c:numRef>
          </c:val>
          <c:smooth val="0"/>
          <c:extLst>
            <c:ext xmlns:c16="http://schemas.microsoft.com/office/drawing/2014/chart" uri="{C3380CC4-5D6E-409C-BE32-E72D297353CC}">
              <c16:uniqueId val="{00000007-3ED5-4DFC-A3D8-C128A78FF6F0}"/>
            </c:ext>
          </c:extLst>
        </c:ser>
        <c:ser>
          <c:idx val="8"/>
          <c:order val="8"/>
          <c:tx>
            <c:strRef>
              <c:f>' time series- X section'!$K$32</c:f>
              <c:strCache>
                <c:ptCount val="1"/>
                <c:pt idx="0">
                  <c:v>pred</c:v>
                </c:pt>
              </c:strCache>
            </c:strRef>
          </c:tx>
          <c:spPr>
            <a:ln w="28575" cap="rnd">
              <a:solidFill>
                <a:schemeClr val="accent3">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section'!$K$33:$K$122</c:f>
              <c:numCache>
                <c:formatCode>0.00</c:formatCode>
                <c:ptCount val="90"/>
                <c:pt idx="0">
                  <c:v>3.3323009284223826E-2</c:v>
                </c:pt>
                <c:pt idx="1">
                  <c:v>-0.2354103486641741</c:v>
                </c:pt>
                <c:pt idx="2">
                  <c:v>-2.2698415279646027</c:v>
                </c:pt>
                <c:pt idx="3">
                  <c:v>0.44390301578050129</c:v>
                </c:pt>
                <c:pt idx="4">
                  <c:v>0.3161608472924422</c:v>
                </c:pt>
                <c:pt idx="5">
                  <c:v>0.40733226350996143</c:v>
                </c:pt>
                <c:pt idx="6">
                  <c:v>10.275409635808654</c:v>
                </c:pt>
                <c:pt idx="7">
                  <c:v>10.144884011589767</c:v>
                </c:pt>
                <c:pt idx="8">
                  <c:v>8.6735540973009666</c:v>
                </c:pt>
                <c:pt idx="9">
                  <c:v>9.881240128781446</c:v>
                </c:pt>
                <c:pt idx="10">
                  <c:v>9.7064391235039729</c:v>
                </c:pt>
                <c:pt idx="11">
                  <c:v>9.913092108808673</c:v>
                </c:pt>
                <c:pt idx="12">
                  <c:v>6.6100117221102455</c:v>
                </c:pt>
                <c:pt idx="13">
                  <c:v>6.2511922905362223</c:v>
                </c:pt>
                <c:pt idx="14">
                  <c:v>4.1897499575059651</c:v>
                </c:pt>
                <c:pt idx="15">
                  <c:v>3.8254309585846316</c:v>
                </c:pt>
                <c:pt idx="16">
                  <c:v>0.87975256496464826</c:v>
                </c:pt>
                <c:pt idx="17">
                  <c:v>3.9611698515626577</c:v>
                </c:pt>
                <c:pt idx="18">
                  <c:v>4.3368238487888782</c:v>
                </c:pt>
                <c:pt idx="19">
                  <c:v>2.1371905988497644</c:v>
                </c:pt>
                <c:pt idx="20">
                  <c:v>1.9524054811105636</c:v>
                </c:pt>
                <c:pt idx="21">
                  <c:v>4.0084651989195361</c:v>
                </c:pt>
                <c:pt idx="22">
                  <c:v>3.4033127714420277</c:v>
                </c:pt>
                <c:pt idx="23">
                  <c:v>3.1558335445626211</c:v>
                </c:pt>
                <c:pt idx="24">
                  <c:v>4.3745418938238245</c:v>
                </c:pt>
                <c:pt idx="25">
                  <c:v>3.9147007964192162</c:v>
                </c:pt>
                <c:pt idx="26">
                  <c:v>1.961485691663456</c:v>
                </c:pt>
                <c:pt idx="27">
                  <c:v>4.1122323688808731</c:v>
                </c:pt>
                <c:pt idx="28">
                  <c:v>3.4635199818148168</c:v>
                </c:pt>
                <c:pt idx="29">
                  <c:v>3.3377311660257969</c:v>
                </c:pt>
                <c:pt idx="30">
                  <c:v>4.1453621704108992</c:v>
                </c:pt>
                <c:pt idx="31">
                  <c:v>3.7551672788156623</c:v>
                </c:pt>
                <c:pt idx="32">
                  <c:v>1.519600467900238</c:v>
                </c:pt>
                <c:pt idx="33">
                  <c:v>3.8792820170638644</c:v>
                </c:pt>
                <c:pt idx="34">
                  <c:v>4.0075265212664579</c:v>
                </c:pt>
                <c:pt idx="35">
                  <c:v>4.1885288037811756</c:v>
                </c:pt>
                <c:pt idx="36">
                  <c:v>2.0308677128817956</c:v>
                </c:pt>
                <c:pt idx="37">
                  <c:v>2.9211113614137099</c:v>
                </c:pt>
                <c:pt idx="38">
                  <c:v>0.7203045236269241</c:v>
                </c:pt>
                <c:pt idx="39">
                  <c:v>3.3701126231390544</c:v>
                </c:pt>
                <c:pt idx="40">
                  <c:v>3.1836119217204222</c:v>
                </c:pt>
                <c:pt idx="41">
                  <c:v>2.9694591164564286</c:v>
                </c:pt>
                <c:pt idx="42">
                  <c:v>3.7207475449830785</c:v>
                </c:pt>
                <c:pt idx="43">
                  <c:v>3.4668012825289214</c:v>
                </c:pt>
                <c:pt idx="44">
                  <c:v>3.7711354389225882</c:v>
                </c:pt>
                <c:pt idx="45">
                  <c:v>5.7388633641740592</c:v>
                </c:pt>
                <c:pt idx="46">
                  <c:v>-1.57849703980777</c:v>
                </c:pt>
                <c:pt idx="47">
                  <c:v>-5.0648233328275589</c:v>
                </c:pt>
                <c:pt idx="48">
                  <c:v>1.3091549039622121</c:v>
                </c:pt>
                <c:pt idx="49">
                  <c:v>3.3305246592069189</c:v>
                </c:pt>
                <c:pt idx="50">
                  <c:v>1.5697095338104903</c:v>
                </c:pt>
                <c:pt idx="51">
                  <c:v>3.5019865258888974</c:v>
                </c:pt>
                <c:pt idx="52">
                  <c:v>3.375329653544294</c:v>
                </c:pt>
                <c:pt idx="53">
                  <c:v>3.5237129960968847</c:v>
                </c:pt>
                <c:pt idx="54">
                  <c:v>4.3757273132020442</c:v>
                </c:pt>
                <c:pt idx="55">
                  <c:v>5.0586317425586111</c:v>
                </c:pt>
                <c:pt idx="56">
                  <c:v>2.5691305504844744</c:v>
                </c:pt>
                <c:pt idx="57">
                  <c:v>4.4665525352579047</c:v>
                </c:pt>
                <c:pt idx="58">
                  <c:v>3.6043367582529724</c:v>
                </c:pt>
                <c:pt idx="59">
                  <c:v>3.621088359482119</c:v>
                </c:pt>
                <c:pt idx="60">
                  <c:v>2.5000000000000044</c:v>
                </c:pt>
                <c:pt idx="61">
                  <c:v>3.1405034429440857</c:v>
                </c:pt>
                <c:pt idx="62">
                  <c:v>0.9458081656200199</c:v>
                </c:pt>
                <c:pt idx="63">
                  <c:v>2.633505489350199</c:v>
                </c:pt>
                <c:pt idx="64">
                  <c:v>2.4751962333880506</c:v>
                </c:pt>
                <c:pt idx="65">
                  <c:v>2.5808119686009077</c:v>
                </c:pt>
              </c:numCache>
            </c:numRef>
          </c:val>
          <c:smooth val="0"/>
          <c:extLst>
            <c:ext xmlns:c16="http://schemas.microsoft.com/office/drawing/2014/chart" uri="{C3380CC4-5D6E-409C-BE32-E72D297353CC}">
              <c16:uniqueId val="{00000000-40A5-471A-A8C1-E7816A083C85}"/>
            </c:ext>
          </c:extLst>
        </c:ser>
        <c:ser>
          <c:idx val="9"/>
          <c:order val="9"/>
          <c:tx>
            <c:strRef>
              <c:f>' time series- X section'!$L$32</c:f>
              <c:strCache>
                <c:ptCount val="1"/>
                <c:pt idx="0">
                  <c:v>pred</c:v>
                </c:pt>
              </c:strCache>
            </c:strRef>
          </c:tx>
          <c:spPr>
            <a:ln w="28575" cap="rnd">
              <a:solidFill>
                <a:schemeClr val="accent4">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section'!$L$33:$L$122</c:f>
              <c:numCache>
                <c:formatCode>0.00</c:formatCode>
                <c:ptCount val="90"/>
                <c:pt idx="0">
                  <c:v>0.10568121149875487</c:v>
                </c:pt>
                <c:pt idx="1">
                  <c:v>-0.19026283919891385</c:v>
                </c:pt>
                <c:pt idx="2">
                  <c:v>-2.284766512099905</c:v>
                </c:pt>
                <c:pt idx="3">
                  <c:v>0.40899247632480562</c:v>
                </c:pt>
                <c:pt idx="4">
                  <c:v>0.25879148840731658</c:v>
                </c:pt>
                <c:pt idx="5">
                  <c:v>0.37173832657342842</c:v>
                </c:pt>
                <c:pt idx="6">
                  <c:v>10.439224564109548</c:v>
                </c:pt>
                <c:pt idx="7">
                  <c:v>10.314771240521551</c:v>
                </c:pt>
                <c:pt idx="8">
                  <c:v>8.7826832785183804</c:v>
                </c:pt>
                <c:pt idx="9">
                  <c:v>9.8899113985700424</c:v>
                </c:pt>
                <c:pt idx="10">
                  <c:v>9.685291930623249</c:v>
                </c:pt>
                <c:pt idx="11">
                  <c:v>9.9305468300284829</c:v>
                </c:pt>
                <c:pt idx="12">
                  <c:v>6.5686964260892218</c:v>
                </c:pt>
                <c:pt idx="13">
                  <c:v>6.1933432199502274</c:v>
                </c:pt>
                <c:pt idx="14">
                  <c:v>4.0718934227119101</c:v>
                </c:pt>
                <c:pt idx="15">
                  <c:v>3.7372560474001708</c:v>
                </c:pt>
                <c:pt idx="16">
                  <c:v>0.83804313117234219</c:v>
                </c:pt>
                <c:pt idx="17">
                  <c:v>3.996626826614146</c:v>
                </c:pt>
                <c:pt idx="18">
                  <c:v>4.3203418172188126</c:v>
                </c:pt>
                <c:pt idx="19">
                  <c:v>2.0668959131242546</c:v>
                </c:pt>
                <c:pt idx="20">
                  <c:v>2.0077814204342088</c:v>
                </c:pt>
                <c:pt idx="21">
                  <c:v>3.9967161398201592</c:v>
                </c:pt>
                <c:pt idx="22">
                  <c:v>3.3520774618790425</c:v>
                </c:pt>
                <c:pt idx="23">
                  <c:v>3.1231139449006089</c:v>
                </c:pt>
                <c:pt idx="24">
                  <c:v>4.3498745839782451</c:v>
                </c:pt>
                <c:pt idx="25">
                  <c:v>3.8622286013352598</c:v>
                </c:pt>
                <c:pt idx="26">
                  <c:v>1.8623024806500554</c:v>
                </c:pt>
                <c:pt idx="27">
                  <c:v>3.9752350221545689</c:v>
                </c:pt>
                <c:pt idx="28">
                  <c:v>3.2647170836920849</c:v>
                </c:pt>
                <c:pt idx="29">
                  <c:v>3.1423566397987024</c:v>
                </c:pt>
                <c:pt idx="30">
                  <c:v>4.2088843697917468</c:v>
                </c:pt>
                <c:pt idx="31">
                  <c:v>3.7994775764309567</c:v>
                </c:pt>
                <c:pt idx="32">
                  <c:v>1.5016895453905095</c:v>
                </c:pt>
                <c:pt idx="33">
                  <c:v>3.842265677141993</c:v>
                </c:pt>
                <c:pt idx="34">
                  <c:v>3.9581191639679698</c:v>
                </c:pt>
                <c:pt idx="35">
                  <c:v>4.1597378187822667</c:v>
                </c:pt>
                <c:pt idx="36">
                  <c:v>2.076612465611186</c:v>
                </c:pt>
                <c:pt idx="37">
                  <c:v>2.9755322318965467</c:v>
                </c:pt>
                <c:pt idx="38">
                  <c:v>0.7167970991438195</c:v>
                </c:pt>
                <c:pt idx="39">
                  <c:v>3.3445337573890077</c:v>
                </c:pt>
                <c:pt idx="40">
                  <c:v>3.1405851412902202</c:v>
                </c:pt>
                <c:pt idx="41">
                  <c:v>2.916113456174708</c:v>
                </c:pt>
                <c:pt idx="42">
                  <c:v>3.7949847424734671</c:v>
                </c:pt>
                <c:pt idx="43">
                  <c:v>3.5362541912382373</c:v>
                </c:pt>
                <c:pt idx="44">
                  <c:v>3.8123856721142495</c:v>
                </c:pt>
                <c:pt idx="45">
                  <c:v>5.7105152903154508</c:v>
                </c:pt>
                <c:pt idx="46">
                  <c:v>-1.7412831228234449</c:v>
                </c:pt>
                <c:pt idx="47">
                  <c:v>-5.2644278031605154</c:v>
                </c:pt>
                <c:pt idx="48">
                  <c:v>1.4170404503958913</c:v>
                </c:pt>
                <c:pt idx="49">
                  <c:v>3.3474115603666581</c:v>
                </c:pt>
                <c:pt idx="50">
                  <c:v>1.532967741379794</c:v>
                </c:pt>
                <c:pt idx="51">
                  <c:v>3.4029991016392804</c:v>
                </c:pt>
                <c:pt idx="52">
                  <c:v>3.2501177282008671</c:v>
                </c:pt>
                <c:pt idx="53">
                  <c:v>3.4233400985944531</c:v>
                </c:pt>
                <c:pt idx="54">
                  <c:v>4.4447179054055601</c:v>
                </c:pt>
                <c:pt idx="55">
                  <c:v>5.1391189120414245</c:v>
                </c:pt>
                <c:pt idx="56">
                  <c:v>2.5798868991118686</c:v>
                </c:pt>
                <c:pt idx="57">
                  <c:v>4.4201729882930678</c:v>
                </c:pt>
                <c:pt idx="58">
                  <c:v>3.5247378158548077</c:v>
                </c:pt>
                <c:pt idx="59">
                  <c:v>3.5615396307985181</c:v>
                </c:pt>
                <c:pt idx="60">
                  <c:v>2.5000000000000111</c:v>
                </c:pt>
                <c:pt idx="61">
                  <c:v>3.0780538853289778</c:v>
                </c:pt>
                <c:pt idx="62">
                  <c:v>0.81563360277910091</c:v>
                </c:pt>
                <c:pt idx="63">
                  <c:v>2.4376087534634507</c:v>
                </c:pt>
                <c:pt idx="64">
                  <c:v>2.2517633291918879</c:v>
                </c:pt>
                <c:pt idx="65">
                  <c:v>2.3779128603363504</c:v>
                </c:pt>
                <c:pt idx="66">
                  <c:v>2.9422618249213444</c:v>
                </c:pt>
                <c:pt idx="67">
                  <c:v>2.0376170360846464</c:v>
                </c:pt>
                <c:pt idx="68">
                  <c:v>-0.10505992066389691</c:v>
                </c:pt>
                <c:pt idx="69">
                  <c:v>0.64067466717887811</c:v>
                </c:pt>
                <c:pt idx="70">
                  <c:v>0.41552398904305732</c:v>
                </c:pt>
                <c:pt idx="71">
                  <c:v>0.54612952588492525</c:v>
                </c:pt>
              </c:numCache>
            </c:numRef>
          </c:val>
          <c:smooth val="0"/>
          <c:extLst>
            <c:ext xmlns:c16="http://schemas.microsoft.com/office/drawing/2014/chart" uri="{C3380CC4-5D6E-409C-BE32-E72D297353CC}">
              <c16:uniqueId val="{00000002-40A5-471A-A8C1-E7816A083C85}"/>
            </c:ext>
          </c:extLst>
        </c:ser>
        <c:ser>
          <c:idx val="10"/>
          <c:order val="10"/>
          <c:tx>
            <c:strRef>
              <c:f>' time series- X section'!$M$32</c:f>
              <c:strCache>
                <c:ptCount val="1"/>
              </c:strCache>
            </c:strRef>
          </c:tx>
          <c:spPr>
            <a:ln w="28575" cap="rnd">
              <a:solidFill>
                <a:schemeClr val="accent5">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section'!$M$33:$M$122</c:f>
              <c:numCache>
                <c:formatCode>0.00</c:formatCode>
                <c:ptCount val="90"/>
                <c:pt idx="0">
                  <c:v>8.7087965294138758E-2</c:v>
                </c:pt>
                <c:pt idx="1">
                  <c:v>-0.20416015804502763</c:v>
                </c:pt>
                <c:pt idx="2">
                  <c:v>-2.3012128021474525</c:v>
                </c:pt>
                <c:pt idx="3">
                  <c:v>0.42208561634118369</c:v>
                </c:pt>
                <c:pt idx="4">
                  <c:v>0.27660350341200135</c:v>
                </c:pt>
                <c:pt idx="5">
                  <c:v>0.38468213527811779</c:v>
                </c:pt>
                <c:pt idx="6">
                  <c:v>10.408150252234169</c:v>
                </c:pt>
                <c:pt idx="7">
                  <c:v>10.280941708908909</c:v>
                </c:pt>
                <c:pt idx="8">
                  <c:v>8.7515304563495402</c:v>
                </c:pt>
                <c:pt idx="9">
                  <c:v>9.8958106473344873</c:v>
                </c:pt>
                <c:pt idx="10">
                  <c:v>9.6974098168254859</c:v>
                </c:pt>
                <c:pt idx="11">
                  <c:v>9.934438287715043</c:v>
                </c:pt>
                <c:pt idx="12">
                  <c:v>6.5583288184346555</c:v>
                </c:pt>
                <c:pt idx="13">
                  <c:v>6.1840765389844474</c:v>
                </c:pt>
                <c:pt idx="14">
                  <c:v>4.0598187096756337</c:v>
                </c:pt>
                <c:pt idx="15">
                  <c:v>3.7402091635916359</c:v>
                </c:pt>
                <c:pt idx="16">
                  <c:v>0.8285070513800008</c:v>
                </c:pt>
                <c:pt idx="17">
                  <c:v>3.9945601108182283</c:v>
                </c:pt>
                <c:pt idx="18">
                  <c:v>4.2831175053864907</c:v>
                </c:pt>
                <c:pt idx="19">
                  <c:v>2.0240076649183472</c:v>
                </c:pt>
                <c:pt idx="20">
                  <c:v>1.9781090221719175</c:v>
                </c:pt>
                <c:pt idx="21">
                  <c:v>4.0029963621755797</c:v>
                </c:pt>
                <c:pt idx="22">
                  <c:v>3.3632435257323983</c:v>
                </c:pt>
                <c:pt idx="23">
                  <c:v>3.1272277825357508</c:v>
                </c:pt>
                <c:pt idx="24">
                  <c:v>4.3151253954730535</c:v>
                </c:pt>
                <c:pt idx="25">
                  <c:v>3.8306177094799536</c:v>
                </c:pt>
                <c:pt idx="26">
                  <c:v>1.8253819728347342</c:v>
                </c:pt>
                <c:pt idx="27">
                  <c:v>3.9674630188214008</c:v>
                </c:pt>
                <c:pt idx="28">
                  <c:v>3.2672678375493778</c:v>
                </c:pt>
                <c:pt idx="29">
                  <c:v>3.1428849261800766</c:v>
                </c:pt>
                <c:pt idx="30">
                  <c:v>4.1953946956050245</c:v>
                </c:pt>
                <c:pt idx="31">
                  <c:v>3.7875068605345641</c:v>
                </c:pt>
                <c:pt idx="32">
                  <c:v>1.485928225490172</c:v>
                </c:pt>
                <c:pt idx="33">
                  <c:v>3.8526407696680307</c:v>
                </c:pt>
                <c:pt idx="34">
                  <c:v>3.972878776656283</c:v>
                </c:pt>
                <c:pt idx="35">
                  <c:v>4.1707369321788574</c:v>
                </c:pt>
                <c:pt idx="36">
                  <c:v>2.0582239455163638</c:v>
                </c:pt>
                <c:pt idx="37">
                  <c:v>2.9628571199407885</c:v>
                </c:pt>
                <c:pt idx="38">
                  <c:v>0.69952207940793709</c:v>
                </c:pt>
                <c:pt idx="39">
                  <c:v>3.3567697501504492</c:v>
                </c:pt>
                <c:pt idx="40">
                  <c:v>3.1557051068085613</c:v>
                </c:pt>
                <c:pt idx="41">
                  <c:v>2.9320082583088665</c:v>
                </c:pt>
                <c:pt idx="42">
                  <c:v>3.7773915106251597</c:v>
                </c:pt>
                <c:pt idx="43">
                  <c:v>3.5176341362394226</c:v>
                </c:pt>
                <c:pt idx="44">
                  <c:v>3.796530805720792</c:v>
                </c:pt>
                <c:pt idx="45">
                  <c:v>5.7280252248037407</c:v>
                </c:pt>
                <c:pt idx="46">
                  <c:v>-1.7396019556971538</c:v>
                </c:pt>
                <c:pt idx="47">
                  <c:v>-5.2794954977130715</c:v>
                </c:pt>
                <c:pt idx="48">
                  <c:v>1.4190451607946204</c:v>
                </c:pt>
                <c:pt idx="49">
                  <c:v>3.3254011970918458</c:v>
                </c:pt>
                <c:pt idx="50">
                  <c:v>1.5091782375340679</c:v>
                </c:pt>
                <c:pt idx="51">
                  <c:v>3.4127788920522284</c:v>
                </c:pt>
                <c:pt idx="52">
                  <c:v>3.2656092967000601</c:v>
                </c:pt>
                <c:pt idx="53">
                  <c:v>3.4336763396451322</c:v>
                </c:pt>
                <c:pt idx="54">
                  <c:v>4.4285789194643099</c:v>
                </c:pt>
                <c:pt idx="55">
                  <c:v>5.1260987053995155</c:v>
                </c:pt>
                <c:pt idx="56">
                  <c:v>2.5627609195211472</c:v>
                </c:pt>
                <c:pt idx="57">
                  <c:v>4.434969827864454</c:v>
                </c:pt>
                <c:pt idx="58">
                  <c:v>3.5404804104420036</c:v>
                </c:pt>
                <c:pt idx="59">
                  <c:v>3.5721974774412963</c:v>
                </c:pt>
                <c:pt idx="60">
                  <c:v>2.5000000000000075</c:v>
                </c:pt>
                <c:pt idx="61">
                  <c:v>3.0421093687644531</c:v>
                </c:pt>
                <c:pt idx="62">
                  <c:v>0.77770176095043553</c:v>
                </c:pt>
                <c:pt idx="63">
                  <c:v>2.4319618911984979</c:v>
                </c:pt>
                <c:pt idx="64">
                  <c:v>2.2518870276941421</c:v>
                </c:pt>
                <c:pt idx="65">
                  <c:v>2.3736219813859694</c:v>
                </c:pt>
                <c:pt idx="66">
                  <c:v>2.9512136014614048</c:v>
                </c:pt>
                <c:pt idx="67">
                  <c:v>2.0355690930635761</c:v>
                </c:pt>
                <c:pt idx="68">
                  <c:v>-0.10605192599424851</c:v>
                </c:pt>
                <c:pt idx="69">
                  <c:v>0.65837885802809359</c:v>
                </c:pt>
                <c:pt idx="70">
                  <c:v>0.4345605594932398</c:v>
                </c:pt>
                <c:pt idx="71">
                  <c:v>0.56056260459396268</c:v>
                </c:pt>
                <c:pt idx="72">
                  <c:v>3.1306014989315765</c:v>
                </c:pt>
                <c:pt idx="73">
                  <c:v>2.9342659877687742</c:v>
                </c:pt>
                <c:pt idx="74">
                  <c:v>0.85097122707103257</c:v>
                </c:pt>
                <c:pt idx="75">
                  <c:v>1.7320340542487678</c:v>
                </c:pt>
                <c:pt idx="76">
                  <c:v>1.5543870793054388</c:v>
                </c:pt>
                <c:pt idx="77">
                  <c:v>1.7945756860735447</c:v>
                </c:pt>
              </c:numCache>
            </c:numRef>
          </c:val>
          <c:smooth val="0"/>
          <c:extLst>
            <c:ext xmlns:c16="http://schemas.microsoft.com/office/drawing/2014/chart" uri="{C3380CC4-5D6E-409C-BE32-E72D297353CC}">
              <c16:uniqueId val="{00000003-40A5-471A-A8C1-E7816A083C85}"/>
            </c:ext>
          </c:extLst>
        </c:ser>
        <c:ser>
          <c:idx val="11"/>
          <c:order val="11"/>
          <c:tx>
            <c:strRef>
              <c:f>' time series- X section'!$N$32</c:f>
              <c:strCache>
                <c:ptCount val="1"/>
              </c:strCache>
            </c:strRef>
          </c:tx>
          <c:spPr>
            <a:ln w="28575" cap="rnd">
              <a:solidFill>
                <a:schemeClr val="accent6">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section'!$N$33:$N$122</c:f>
              <c:numCache>
                <c:formatCode>0.00</c:formatCode>
                <c:ptCount val="90"/>
                <c:pt idx="0">
                  <c:v>4.8736438976661578E-2</c:v>
                </c:pt>
                <c:pt idx="1">
                  <c:v>-0.23807919761812801</c:v>
                </c:pt>
                <c:pt idx="2">
                  <c:v>-2.381539701554602</c:v>
                </c:pt>
                <c:pt idx="3">
                  <c:v>0.45852453081741995</c:v>
                </c:pt>
                <c:pt idx="4">
                  <c:v>0.32036849070531326</c:v>
                </c:pt>
                <c:pt idx="5">
                  <c:v>0.42006957389330535</c:v>
                </c:pt>
                <c:pt idx="6">
                  <c:v>10.429506162691837</c:v>
                </c:pt>
                <c:pt idx="7">
                  <c:v>10.293880673955478</c:v>
                </c:pt>
                <c:pt idx="8">
                  <c:v>8.7403936346173516</c:v>
                </c:pt>
                <c:pt idx="9">
                  <c:v>9.9868127663914308</c:v>
                </c:pt>
                <c:pt idx="10">
                  <c:v>9.7979360320155919</c:v>
                </c:pt>
                <c:pt idx="11">
                  <c:v>10.021869220266966</c:v>
                </c:pt>
                <c:pt idx="12">
                  <c:v>6.5491710835883747</c:v>
                </c:pt>
                <c:pt idx="13">
                  <c:v>6.1699879226774677</c:v>
                </c:pt>
                <c:pt idx="14">
                  <c:v>3.9982333818053006</c:v>
                </c:pt>
                <c:pt idx="15">
                  <c:v>3.7279894974050083</c:v>
                </c:pt>
                <c:pt idx="16">
                  <c:v>0.75580365369151536</c:v>
                </c:pt>
                <c:pt idx="17">
                  <c:v>3.9997214528090757</c:v>
                </c:pt>
                <c:pt idx="18">
                  <c:v>4.1717156617796229</c:v>
                </c:pt>
                <c:pt idx="19">
                  <c:v>1.8563261470843608</c:v>
                </c:pt>
                <c:pt idx="20">
                  <c:v>1.8815716291597853</c:v>
                </c:pt>
                <c:pt idx="21">
                  <c:v>4.0234118613468191</c:v>
                </c:pt>
                <c:pt idx="22">
                  <c:v>3.3817006453728533</c:v>
                </c:pt>
                <c:pt idx="23">
                  <c:v>3.1258889698911809</c:v>
                </c:pt>
                <c:pt idx="24">
                  <c:v>4.2096796206800633</c:v>
                </c:pt>
                <c:pt idx="25">
                  <c:v>3.7224783681895648</c:v>
                </c:pt>
                <c:pt idx="26">
                  <c:v>1.6666797190811318</c:v>
                </c:pt>
                <c:pt idx="27">
                  <c:v>3.9133439148175926</c:v>
                </c:pt>
                <c:pt idx="28">
                  <c:v>3.221722399960929</c:v>
                </c:pt>
                <c:pt idx="29">
                  <c:v>3.0905560607897065</c:v>
                </c:pt>
                <c:pt idx="30">
                  <c:v>4.1740521309590903</c:v>
                </c:pt>
                <c:pt idx="31">
                  <c:v>3.7614775852041271</c:v>
                </c:pt>
                <c:pt idx="32">
                  <c:v>1.4068258839624415</c:v>
                </c:pt>
                <c:pt idx="33">
                  <c:v>3.8760163457642034</c:v>
                </c:pt>
                <c:pt idx="34">
                  <c:v>4.0080448839127536</c:v>
                </c:pt>
                <c:pt idx="35">
                  <c:v>4.2016633054173269</c:v>
                </c:pt>
                <c:pt idx="36">
                  <c:v>2.0051163783297516</c:v>
                </c:pt>
                <c:pt idx="37">
                  <c:v>2.9397075276751323</c:v>
                </c:pt>
                <c:pt idx="38">
                  <c:v>0.62230234171324517</c:v>
                </c:pt>
                <c:pt idx="39">
                  <c:v>3.3949658451978761</c:v>
                </c:pt>
                <c:pt idx="40">
                  <c:v>3.1961902902166841</c:v>
                </c:pt>
                <c:pt idx="41">
                  <c:v>2.9697977520872652</c:v>
                </c:pt>
                <c:pt idx="42">
                  <c:v>3.745121589954195</c:v>
                </c:pt>
                <c:pt idx="43">
                  <c:v>3.4780840566377336</c:v>
                </c:pt>
                <c:pt idx="44">
                  <c:v>3.7613718674775587</c:v>
                </c:pt>
                <c:pt idx="45">
                  <c:v>5.8000869630608722</c:v>
                </c:pt>
                <c:pt idx="46">
                  <c:v>-1.8333289650385876</c:v>
                </c:pt>
                <c:pt idx="47">
                  <c:v>-5.4736987159502997</c:v>
                </c:pt>
                <c:pt idx="48">
                  <c:v>1.4481681812973193</c:v>
                </c:pt>
                <c:pt idx="49">
                  <c:v>3.265386453960426</c:v>
                </c:pt>
                <c:pt idx="50">
                  <c:v>1.4098933774349682</c:v>
                </c:pt>
                <c:pt idx="51">
                  <c:v>3.4229466014298211</c:v>
                </c:pt>
                <c:pt idx="52">
                  <c:v>3.2852089152843025</c:v>
                </c:pt>
                <c:pt idx="53">
                  <c:v>3.4454504177155867</c:v>
                </c:pt>
                <c:pt idx="54">
                  <c:v>4.3989251254124362</c:v>
                </c:pt>
                <c:pt idx="55">
                  <c:v>5.1167727750241925</c:v>
                </c:pt>
                <c:pt idx="56">
                  <c:v>2.4945756439977158</c:v>
                </c:pt>
                <c:pt idx="57">
                  <c:v>4.4720780241891838</c:v>
                </c:pt>
                <c:pt idx="58">
                  <c:v>3.5621727202221631</c:v>
                </c:pt>
                <c:pt idx="59">
                  <c:v>3.583555846374038</c:v>
                </c:pt>
                <c:pt idx="60">
                  <c:v>2.5000000000000093</c:v>
                </c:pt>
                <c:pt idx="61">
                  <c:v>2.9092499773806937</c:v>
                </c:pt>
                <c:pt idx="62">
                  <c:v>0.59637892788777602</c:v>
                </c:pt>
                <c:pt idx="63">
                  <c:v>2.3524600705981298</c:v>
                </c:pt>
                <c:pt idx="64">
                  <c:v>2.181301696417548</c:v>
                </c:pt>
                <c:pt idx="65">
                  <c:v>2.2959026995982588</c:v>
                </c:pt>
                <c:pt idx="66">
                  <c:v>2.9132894982968507</c:v>
                </c:pt>
                <c:pt idx="67">
                  <c:v>2.0524683508258792</c:v>
                </c:pt>
                <c:pt idx="68">
                  <c:v>-0.17685656643185865</c:v>
                </c:pt>
                <c:pt idx="69">
                  <c:v>0.59457057706292304</c:v>
                </c:pt>
                <c:pt idx="70">
                  <c:v>0.36925519425011255</c:v>
                </c:pt>
                <c:pt idx="71">
                  <c:v>0.48779961674514905</c:v>
                </c:pt>
                <c:pt idx="72">
                  <c:v>3.0652829084453779</c:v>
                </c:pt>
                <c:pt idx="73">
                  <c:v>2.8641770087808429</c:v>
                </c:pt>
                <c:pt idx="74">
                  <c:v>0.73743501814909163</c:v>
                </c:pt>
                <c:pt idx="75">
                  <c:v>1.7641641403072308</c:v>
                </c:pt>
                <c:pt idx="76">
                  <c:v>1.5947576376214609</c:v>
                </c:pt>
                <c:pt idx="77">
                  <c:v>1.8296066270940106</c:v>
                </c:pt>
                <c:pt idx="78">
                  <c:v>1.1650272908326371</c:v>
                </c:pt>
                <c:pt idx="79">
                  <c:v>0.83497270916738064</c:v>
                </c:pt>
                <c:pt idx="80">
                  <c:v>0.17050130578614642</c:v>
                </c:pt>
                <c:pt idx="81">
                  <c:v>-0.15664175266538383</c:v>
                </c:pt>
                <c:pt idx="82">
                  <c:v>-0.33899516130713625</c:v>
                </c:pt>
                <c:pt idx="83">
                  <c:v>-0.21082896685403929</c:v>
                </c:pt>
              </c:numCache>
            </c:numRef>
          </c:val>
          <c:smooth val="0"/>
          <c:extLst>
            <c:ext xmlns:c16="http://schemas.microsoft.com/office/drawing/2014/chart" uri="{C3380CC4-5D6E-409C-BE32-E72D297353CC}">
              <c16:uniqueId val="{00000004-40A5-471A-A8C1-E7816A083C85}"/>
            </c:ext>
          </c:extLst>
        </c:ser>
        <c:ser>
          <c:idx val="12"/>
          <c:order val="12"/>
          <c:tx>
            <c:strRef>
              <c:f>' time series- X section'!$O$32</c:f>
              <c:strCache>
                <c:ptCount val="1"/>
              </c:strCache>
            </c:strRef>
          </c:tx>
          <c:spPr>
            <a:ln w="28575" cap="rnd">
              <a:solidFill>
                <a:schemeClr val="accent1">
                  <a:lumMod val="80000"/>
                  <a:lumOff val="2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section'!$O$33:$O$122</c:f>
              <c:numCache>
                <c:formatCode>0.00</c:formatCode>
                <c:ptCount val="90"/>
                <c:pt idx="0">
                  <c:v>0.27642580858084509</c:v>
                </c:pt>
                <c:pt idx="1">
                  <c:v>-5.0134207928808738E-2</c:v>
                </c:pt>
                <c:pt idx="2">
                  <c:v>-2.0232626187562031</c:v>
                </c:pt>
                <c:pt idx="3">
                  <c:v>0.2663005556633018</c:v>
                </c:pt>
                <c:pt idx="4">
                  <c:v>7.8496699954413662E-2</c:v>
                </c:pt>
                <c:pt idx="5">
                  <c:v>0.23218770945008993</c:v>
                </c:pt>
                <c:pt idx="6">
                  <c:v>10.217341284418527</c:v>
                </c:pt>
                <c:pt idx="7">
                  <c:v>10.124698169772758</c:v>
                </c:pt>
                <c:pt idx="8">
                  <c:v>8.638491978828041</c:v>
                </c:pt>
                <c:pt idx="9">
                  <c:v>9.3442491444918989</c:v>
                </c:pt>
                <c:pt idx="10">
                  <c:v>9.0903861509052373</c:v>
                </c:pt>
                <c:pt idx="11">
                  <c:v>9.4019649269677341</c:v>
                </c:pt>
                <c:pt idx="12">
                  <c:v>6.3309884174867612</c:v>
                </c:pt>
                <c:pt idx="13">
                  <c:v>5.9626706073147293</c:v>
                </c:pt>
                <c:pt idx="14">
                  <c:v>3.9662951782738256</c:v>
                </c:pt>
                <c:pt idx="15">
                  <c:v>3.6187057833795868</c:v>
                </c:pt>
                <c:pt idx="16">
                  <c:v>1.0856297611343182</c:v>
                </c:pt>
                <c:pt idx="17">
                  <c:v>4.0269253133318061</c:v>
                </c:pt>
                <c:pt idx="18">
                  <c:v>4.4407953369043165</c:v>
                </c:pt>
                <c:pt idx="19">
                  <c:v>2.3455355753552727</c:v>
                </c:pt>
                <c:pt idx="20">
                  <c:v>2.3643868581630936</c:v>
                </c:pt>
                <c:pt idx="21">
                  <c:v>3.9212799612740405</c:v>
                </c:pt>
                <c:pt idx="22">
                  <c:v>3.2604288585292216</c:v>
                </c:pt>
                <c:pt idx="23">
                  <c:v>3.1087248902712044</c:v>
                </c:pt>
                <c:pt idx="24">
                  <c:v>4.4455733013008558</c:v>
                </c:pt>
                <c:pt idx="25">
                  <c:v>3.9509315805346334</c:v>
                </c:pt>
                <c:pt idx="26">
                  <c:v>2.0940676773550031</c:v>
                </c:pt>
                <c:pt idx="27">
                  <c:v>3.8334783177969314</c:v>
                </c:pt>
                <c:pt idx="28">
                  <c:v>3.0584446824720506</c:v>
                </c:pt>
                <c:pt idx="29">
                  <c:v>2.960874785903278</c:v>
                </c:pt>
                <c:pt idx="30">
                  <c:v>4.3173300970527988</c:v>
                </c:pt>
                <c:pt idx="31">
                  <c:v>3.9125913499929852</c:v>
                </c:pt>
                <c:pt idx="32">
                  <c:v>1.7573515508905011</c:v>
                </c:pt>
                <c:pt idx="33">
                  <c:v>3.7422869711751217</c:v>
                </c:pt>
                <c:pt idx="34">
                  <c:v>3.8113374378029032</c:v>
                </c:pt>
                <c:pt idx="35">
                  <c:v>4.0391165400492799</c:v>
                </c:pt>
                <c:pt idx="36">
                  <c:v>2.2816125728590908</c:v>
                </c:pt>
                <c:pt idx="37">
                  <c:v>3.0847997857836589</c:v>
                </c:pt>
                <c:pt idx="38">
                  <c:v>0.97444442335159942</c:v>
                </c:pt>
                <c:pt idx="39">
                  <c:v>3.2013206275786423</c:v>
                </c:pt>
                <c:pt idx="40">
                  <c:v>2.97960050008479</c:v>
                </c:pt>
                <c:pt idx="41">
                  <c:v>2.7582360373058572</c:v>
                </c:pt>
                <c:pt idx="42">
                  <c:v>3.9438200198845212</c:v>
                </c:pt>
                <c:pt idx="43">
                  <c:v>3.7068087005279153</c:v>
                </c:pt>
                <c:pt idx="44">
                  <c:v>3.9155745815296168</c:v>
                </c:pt>
                <c:pt idx="45">
                  <c:v>5.4008564937921557</c:v>
                </c:pt>
                <c:pt idx="46">
                  <c:v>-1.4984201588760886</c:v>
                </c:pt>
                <c:pt idx="47">
                  <c:v>-4.6807332869925373</c:v>
                </c:pt>
                <c:pt idx="48">
                  <c:v>1.5561453202410203</c:v>
                </c:pt>
                <c:pt idx="49">
                  <c:v>3.454127671222845</c:v>
                </c:pt>
                <c:pt idx="50">
                  <c:v>1.7407769401877029</c:v>
                </c:pt>
                <c:pt idx="51">
                  <c:v>3.206805740455783</c:v>
                </c:pt>
                <c:pt idx="52">
                  <c:v>3.007065875384483</c:v>
                </c:pt>
                <c:pt idx="53">
                  <c:v>3.2209449605260678</c:v>
                </c:pt>
                <c:pt idx="54">
                  <c:v>4.5842696670676704</c:v>
                </c:pt>
                <c:pt idx="55">
                  <c:v>5.2169504279609598</c:v>
                </c:pt>
                <c:pt idx="56">
                  <c:v>2.8153887988934954</c:v>
                </c:pt>
                <c:pt idx="57">
                  <c:v>4.2686086129282641</c:v>
                </c:pt>
                <c:pt idx="58">
                  <c:v>3.4058338143565545</c:v>
                </c:pt>
                <c:pt idx="59">
                  <c:v>3.4889626257564776</c:v>
                </c:pt>
                <c:pt idx="60">
                  <c:v>2.5000000000000089</c:v>
                </c:pt>
                <c:pt idx="61">
                  <c:v>3.244124175450267</c:v>
                </c:pt>
                <c:pt idx="62">
                  <c:v>1.1055733103415437</c:v>
                </c:pt>
                <c:pt idx="63">
                  <c:v>2.3472018533023369</c:v>
                </c:pt>
                <c:pt idx="64">
                  <c:v>2.1154738653334899</c:v>
                </c:pt>
                <c:pt idx="65">
                  <c:v>2.2774687580489714</c:v>
                </c:pt>
                <c:pt idx="66">
                  <c:v>2.6904966243500468</c:v>
                </c:pt>
                <c:pt idx="67">
                  <c:v>2.0668954273977813</c:v>
                </c:pt>
                <c:pt idx="68">
                  <c:v>-5.3776907831984522E-2</c:v>
                </c:pt>
                <c:pt idx="69">
                  <c:v>0.41313802741601546</c:v>
                </c:pt>
                <c:pt idx="70">
                  <c:v>0.1858589036133691</c:v>
                </c:pt>
                <c:pt idx="71">
                  <c:v>0.35388751722852896</c:v>
                </c:pt>
                <c:pt idx="72">
                  <c:v>3.3033264989841271</c:v>
                </c:pt>
                <c:pt idx="73">
                  <c:v>3.1206477223154314</c:v>
                </c:pt>
                <c:pt idx="74">
                  <c:v>1.1476389983501485</c:v>
                </c:pt>
                <c:pt idx="75">
                  <c:v>1.6600393781029288</c:v>
                </c:pt>
                <c:pt idx="76">
                  <c:v>1.4341193503915655</c:v>
                </c:pt>
                <c:pt idx="77">
                  <c:v>1.7115613164561267</c:v>
                </c:pt>
                <c:pt idx="78">
                  <c:v>1.1526390225424326</c:v>
                </c:pt>
                <c:pt idx="79">
                  <c:v>0.8473609774575932</c:v>
                </c:pt>
                <c:pt idx="80">
                  <c:v>0.87389105353754015</c:v>
                </c:pt>
                <c:pt idx="81">
                  <c:v>0.21576484090866854</c:v>
                </c:pt>
                <c:pt idx="82">
                  <c:v>-2.9456884960205265E-2</c:v>
                </c:pt>
                <c:pt idx="83">
                  <c:v>0.15710885762355842</c:v>
                </c:pt>
                <c:pt idx="84">
                  <c:v>2.1653628922016011</c:v>
                </c:pt>
                <c:pt idx="85">
                  <c:v>6.2757360249819589</c:v>
                </c:pt>
                <c:pt idx="86">
                  <c:v>2.4971455369517166</c:v>
                </c:pt>
                <c:pt idx="87">
                  <c:v>3.8421473848572196</c:v>
                </c:pt>
                <c:pt idx="88">
                  <c:v>3.8570560986510136</c:v>
                </c:pt>
                <c:pt idx="89">
                  <c:v>3.9965810549431566</c:v>
                </c:pt>
              </c:numCache>
            </c:numRef>
          </c:val>
          <c:smooth val="0"/>
          <c:extLst>
            <c:ext xmlns:c16="http://schemas.microsoft.com/office/drawing/2014/chart" uri="{C3380CC4-5D6E-409C-BE32-E72D297353CC}">
              <c16:uniqueId val="{00000005-40A5-471A-A8C1-E7816A083C85}"/>
            </c:ext>
          </c:extLst>
        </c:ser>
        <c:dLbls>
          <c:showLegendKey val="0"/>
          <c:showVal val="0"/>
          <c:showCatName val="0"/>
          <c:showSerName val="0"/>
          <c:showPercent val="0"/>
          <c:showBubbleSize val="0"/>
        </c:dLbls>
        <c:smooth val="0"/>
        <c:axId val="792763416"/>
        <c:axId val="792763744"/>
      </c:lineChart>
      <c:catAx>
        <c:axId val="792763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3744"/>
        <c:crosses val="autoZero"/>
        <c:auto val="1"/>
        <c:lblAlgn val="ctr"/>
        <c:lblOffset val="100"/>
        <c:noMultiLvlLbl val="0"/>
      </c:catAx>
      <c:valAx>
        <c:axId val="7927637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'Australia EV uptake'!$D$3</c:f>
              <c:strCache>
                <c:ptCount val="1"/>
                <c:pt idx="0">
                  <c:v> predicted raw</c:v>
                </c:pt>
              </c:strCache>
            </c:strRef>
          </c:tx>
          <c:spPr>
            <a:ln w="28575" cap="rnd">
              <a:solidFill>
                <a:schemeClr val="accent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uptake'!$D$4:$D$35</c:f>
              <c:numCache>
                <c:formatCode>0.00</c:formatCode>
                <c:ptCount val="3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numCache>
            </c:numRef>
          </c:val>
          <c:smooth val="0"/>
          <c:extLst>
            <c:ext xmlns:c16="http://schemas.microsoft.com/office/drawing/2014/chart" uri="{C3380CC4-5D6E-409C-BE32-E72D297353CC}">
              <c16:uniqueId val="{00000000-5EAA-436E-B7D0-CAB695F4403F}"/>
            </c:ext>
          </c:extLst>
        </c:ser>
        <c:ser>
          <c:idx val="1"/>
          <c:order val="1"/>
          <c:tx>
            <c:strRef>
              <c:f>'Australia EV uptake'!$G$3</c:f>
              <c:strCache>
                <c:ptCount val="1"/>
                <c:pt idx="0">
                  <c:v>loglag pred</c:v>
                </c:pt>
              </c:strCache>
            </c:strRef>
          </c:tx>
          <c:spPr>
            <a:ln w="28575" cap="rnd">
              <a:solidFill>
                <a:schemeClr val="accent2"/>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uptake'!$G$4:$G$35</c:f>
              <c:numCache>
                <c:formatCode>0.00000000</c:formatCode>
                <c:ptCount val="32"/>
                <c:pt idx="3" formatCode="0.000">
                  <c:v>-7.5630196487128547</c:v>
                </c:pt>
                <c:pt idx="4" formatCode="0.000">
                  <c:v>-7.5630196487128547</c:v>
                </c:pt>
                <c:pt idx="5" formatCode="0.000">
                  <c:v>-7.5630196487128547</c:v>
                </c:pt>
                <c:pt idx="6" formatCode="0.000">
                  <c:v>-5.8266538820965206</c:v>
                </c:pt>
                <c:pt idx="7" formatCode="0.000">
                  <c:v>-5.7944367222463393</c:v>
                </c:pt>
                <c:pt idx="8" formatCode="0.000">
                  <c:v>-5.7203542306622239</c:v>
                </c:pt>
                <c:pt idx="9" formatCode="0.000">
                  <c:v>-4.9322868230606272</c:v>
                </c:pt>
                <c:pt idx="10" formatCode="0.000">
                  <c:v>-4.4899449895390369</c:v>
                </c:pt>
                <c:pt idx="11" formatCode="0.000">
                  <c:v>-4.1345211232989385</c:v>
                </c:pt>
                <c:pt idx="12" formatCode="0.000">
                  <c:v>-3.7927622532340814</c:v>
                </c:pt>
                <c:pt idx="13" formatCode="0.000">
                  <c:v>-3.2920782778308042</c:v>
                </c:pt>
                <c:pt idx="14" formatCode="0.000">
                  <c:v>-2.8773068638601891</c:v>
                </c:pt>
                <c:pt idx="15" formatCode="0.000">
                  <c:v>-2.5109359681944055</c:v>
                </c:pt>
                <c:pt idx="16" formatCode="0.000">
                  <c:v>-2.1753011270482796</c:v>
                </c:pt>
                <c:pt idx="17" formatCode="0.000">
                  <c:v>-1.7496146768449798</c:v>
                </c:pt>
                <c:pt idx="18" formatCode="0.000">
                  <c:v>-1.4059816863433872</c:v>
                </c:pt>
                <c:pt idx="19" formatCode="0.000">
                  <c:v>-1.0839403946284423</c:v>
                </c:pt>
                <c:pt idx="20" formatCode="0.000">
                  <c:v>-0.7634615429148448</c:v>
                </c:pt>
                <c:pt idx="21" formatCode="0.000">
                  <c:v>-0.38090824784501653</c:v>
                </c:pt>
                <c:pt idx="22" formatCode="0.000">
                  <c:v>-7.9506399859053722E-2</c:v>
                </c:pt>
                <c:pt idx="23" formatCode="0.000">
                  <c:v>0.24020472541455717</c:v>
                </c:pt>
                <c:pt idx="24" formatCode="0.000">
                  <c:v>0.5960316035227069</c:v>
                </c:pt>
                <c:pt idx="25" formatCode="0.000">
                  <c:v>1.0229685436652889</c:v>
                </c:pt>
                <c:pt idx="26" formatCode="0.000">
                  <c:v>1.2785878449526296</c:v>
                </c:pt>
                <c:pt idx="27" formatCode="0.000">
                  <c:v>1.5310015927447469</c:v>
                </c:pt>
                <c:pt idx="28" formatCode="0.000">
                  <c:v>1.7796381454372878</c:v>
                </c:pt>
                <c:pt idx="29" formatCode="0.000">
                  <c:v>2.0240930644260127</c:v>
                </c:pt>
                <c:pt idx="30" formatCode="0.000">
                  <c:v>2.2640891732414605</c:v>
                </c:pt>
                <c:pt idx="31" formatCode="0.000">
                  <c:v>2.4994403757153689</c:v>
                </c:pt>
              </c:numCache>
            </c:numRef>
          </c:val>
          <c:smooth val="0"/>
          <c:extLst>
            <c:ext xmlns:c16="http://schemas.microsoft.com/office/drawing/2014/chart" uri="{C3380CC4-5D6E-409C-BE32-E72D297353CC}">
              <c16:uniqueId val="{00000001-5EAA-436E-B7D0-CAB695F4403F}"/>
            </c:ext>
          </c:extLst>
        </c:ser>
        <c:ser>
          <c:idx val="2"/>
          <c:order val="2"/>
          <c:tx>
            <c:strRef>
              <c:f>' All EV uptake'!$E$3</c:f>
              <c:strCache>
                <c:ptCount val="1"/>
                <c:pt idx="0">
                  <c:v>Austria</c:v>
                </c:pt>
              </c:strCache>
            </c:strRef>
          </c:tx>
          <c:spPr>
            <a:ln w="28575" cap="rnd">
              <a:solidFill>
                <a:schemeClr val="accent3"/>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uptake'!$E$4:$E$35</c:f>
              <c:numCache>
                <c:formatCode>0.00</c:formatCode>
                <c:ptCount val="32"/>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pt idx="10">
                  <c:v>3.8381890852736973</c:v>
                </c:pt>
                <c:pt idx="11">
                  <c:v>5.5200023789857555</c:v>
                </c:pt>
                <c:pt idx="12">
                  <c:v>7.8442359614469916</c:v>
                </c:pt>
                <c:pt idx="13">
                  <c:v>10.96666716050855</c:v>
                </c:pt>
                <c:pt idx="14">
                  <c:v>15.005684880315728</c:v>
                </c:pt>
                <c:pt idx="15">
                  <c:v>19.982150823142476</c:v>
                </c:pt>
                <c:pt idx="16">
                  <c:v>25.758672365867149</c:v>
                </c:pt>
                <c:pt idx="17">
                  <c:v>32.017433710081967</c:v>
                </c:pt>
                <c:pt idx="18">
                  <c:v>38.312201822341244</c:v>
                </c:pt>
                <c:pt idx="19">
                  <c:v>44.186570827175956</c:v>
                </c:pt>
                <c:pt idx="20">
                  <c:v>49.297852580242349</c:v>
                </c:pt>
                <c:pt idx="21">
                  <c:v>53.481141904775455</c:v>
                </c:pt>
                <c:pt idx="22">
                  <c:v>56.73674955124897</c:v>
                </c:pt>
                <c:pt idx="23">
                  <c:v>59.172477908962534</c:v>
                </c:pt>
                <c:pt idx="24">
                  <c:v>60.941592261933344</c:v>
                </c:pt>
                <c:pt idx="25">
                  <c:v>62.199062445521918</c:v>
                </c:pt>
                <c:pt idx="26">
                  <c:v>63.079194309776966</c:v>
                </c:pt>
                <c:pt idx="27">
                  <c:v>63.688595482263246</c:v>
                </c:pt>
                <c:pt idx="28">
                  <c:v>64.107391906110223</c:v>
                </c:pt>
                <c:pt idx="29">
                  <c:v>64.393719042125909</c:v>
                </c:pt>
                <c:pt idx="30">
                  <c:v>64.588788486440805</c:v>
                </c:pt>
                <c:pt idx="31">
                  <c:v>64.721366382820392</c:v>
                </c:pt>
              </c:numCache>
            </c:numRef>
          </c:val>
          <c:smooth val="0"/>
          <c:extLst>
            <c:ext xmlns:c16="http://schemas.microsoft.com/office/drawing/2014/chart" uri="{C3380CC4-5D6E-409C-BE32-E72D297353CC}">
              <c16:uniqueId val="{00000002-5EAA-436E-B7D0-CAB695F4403F}"/>
            </c:ext>
          </c:extLst>
        </c:ser>
        <c:ser>
          <c:idx val="3"/>
          <c:order val="3"/>
          <c:tx>
            <c:strRef>
              <c:f>' All EV uptake'!$F$3</c:f>
              <c:strCache>
                <c:ptCount val="1"/>
                <c:pt idx="0">
                  <c:v>Canada</c:v>
                </c:pt>
              </c:strCache>
            </c:strRef>
          </c:tx>
          <c:spPr>
            <a:ln w="28575" cap="rnd">
              <a:solidFill>
                <a:schemeClr val="accent4"/>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uptake'!$F$4:$F$35</c:f>
              <c:numCache>
                <c:formatCode>0.00</c:formatCode>
                <c:ptCount val="32"/>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numCache>
            </c:numRef>
          </c:val>
          <c:smooth val="0"/>
          <c:extLst>
            <c:ext xmlns:c16="http://schemas.microsoft.com/office/drawing/2014/chart" uri="{C3380CC4-5D6E-409C-BE32-E72D297353CC}">
              <c16:uniqueId val="{00000003-5EAA-436E-B7D0-CAB695F4403F}"/>
            </c:ext>
          </c:extLst>
        </c:ser>
        <c:ser>
          <c:idx val="4"/>
          <c:order val="4"/>
          <c:tx>
            <c:strRef>
              <c:f>' All EV uptake'!$G$3</c:f>
              <c:strCache>
                <c:ptCount val="1"/>
                <c:pt idx="0">
                  <c:v>Belgium</c:v>
                </c:pt>
              </c:strCache>
            </c:strRef>
          </c:tx>
          <c:spPr>
            <a:ln w="28575" cap="rnd">
              <a:solidFill>
                <a:schemeClr val="accent5"/>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uptake'!$G$4:$G$35</c:f>
              <c:numCache>
                <c:formatCode>0.00</c:formatCode>
                <c:ptCount val="32"/>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4-5EAA-436E-B7D0-CAB695F4403F}"/>
            </c:ext>
          </c:extLst>
        </c:ser>
        <c:dLbls>
          <c:showLegendKey val="0"/>
          <c:showVal val="0"/>
          <c:showCatName val="0"/>
          <c:showSerName val="0"/>
          <c:showPercent val="0"/>
          <c:showBubbleSize val="0"/>
        </c:dLbls>
        <c:smooth val="0"/>
        <c:axId val="758183960"/>
        <c:axId val="758185600"/>
      </c:lineChart>
      <c:catAx>
        <c:axId val="758183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5600"/>
        <c:crosses val="autoZero"/>
        <c:auto val="1"/>
        <c:lblAlgn val="ctr"/>
        <c:lblOffset val="100"/>
        <c:noMultiLvlLbl val="0"/>
      </c:catAx>
      <c:valAx>
        <c:axId val="758185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3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 time series- X section'!$C$32</c:f>
              <c:strCache>
                <c:ptCount val="1"/>
                <c:pt idx="0">
                  <c:v>years lead</c:v>
                </c:pt>
              </c:strCache>
            </c:strRef>
          </c:tx>
          <c:spPr>
            <a:ln w="28575" cap="rnd">
              <a:solidFill>
                <a:schemeClr val="accent1"/>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section'!$C$33:$C$122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3.7000000000000455</c:v>
                </c:pt>
                <c:pt idx="19">
                  <c:v>2.5</c:v>
                </c:pt>
                <c:pt idx="20">
                  <c:v>3.2999999999999545</c:v>
                </c:pt>
                <c:pt idx="21">
                  <c:v>3.2999999999999545</c:v>
                </c:pt>
                <c:pt idx="22">
                  <c:v>4</c:v>
                </c:pt>
                <c:pt idx="23">
                  <c:v>4</c:v>
                </c:pt>
                <c:pt idx="24">
                  <c:v>2017.2678731409455</c:v>
                </c:pt>
                <c:pt idx="25">
                  <c:v>2017.2250499190925</c:v>
                </c:pt>
                <c:pt idx="26">
                  <c:v>2017.8014239680281</c:v>
                </c:pt>
                <c:pt idx="27">
                  <c:v>2017.0074449217677</c:v>
                </c:pt>
                <c:pt idx="28">
                  <c:v>2017.648681601019</c:v>
                </c:pt>
                <c:pt idx="29">
                  <c:v>2017.8255650522617</c:v>
                </c:pt>
                <c:pt idx="30">
                  <c:v>2017.0015547616606</c:v>
                </c:pt>
                <c:pt idx="31">
                  <c:v>2017.2592952763096</c:v>
                </c:pt>
                <c:pt idx="32">
                  <c:v>2018.4664745793218</c:v>
                </c:pt>
                <c:pt idx="33">
                  <c:v>2017.766183496047</c:v>
                </c:pt>
                <c:pt idx="34">
                  <c:v>2017.7612958281914</c:v>
                </c:pt>
                <c:pt idx="35">
                  <c:v>2017.562179717394</c:v>
                </c:pt>
                <c:pt idx="36">
                  <c:v>2017.417420148292</c:v>
                </c:pt>
                <c:pt idx="37">
                  <c:v>2016.4622799886668</c:v>
                </c:pt>
                <c:pt idx="38">
                  <c:v>2017.6253415948945</c:v>
                </c:pt>
                <c:pt idx="39">
                  <c:v>2016.5389416660378</c:v>
                </c:pt>
                <c:pt idx="40">
                  <c:v>2016.7044232275296</c:v>
                </c:pt>
                <c:pt idx="41">
                  <c:v>2016.8726518224853</c:v>
                </c:pt>
                <c:pt idx="42">
                  <c:v>0</c:v>
                </c:pt>
                <c:pt idx="43">
                  <c:v>0</c:v>
                </c:pt>
                <c:pt idx="44">
                  <c:v>0</c:v>
                </c:pt>
                <c:pt idx="45">
                  <c:v>0</c:v>
                </c:pt>
                <c:pt idx="46">
                  <c:v>0</c:v>
                </c:pt>
                <c:pt idx="47">
                  <c:v>0</c:v>
                </c:pt>
                <c:pt idx="48">
                  <c:v>2016.6008082526105</c:v>
                </c:pt>
                <c:pt idx="49">
                  <c:v>2016.7279901164497</c:v>
                </c:pt>
                <c:pt idx="50">
                  <c:v>2017.5663798375936</c:v>
                </c:pt>
                <c:pt idx="51">
                  <c:v>2016.7405539582485</c:v>
                </c:pt>
                <c:pt idx="52">
                  <c:v>2016.8216684689783</c:v>
                </c:pt>
                <c:pt idx="53">
                  <c:v>2016.7328213196818</c:v>
                </c:pt>
                <c:pt idx="54">
                  <c:v>2017.1419061939387</c:v>
                </c:pt>
                <c:pt idx="55">
                  <c:v>2016.3410074258666</c:v>
                </c:pt>
                <c:pt idx="56">
                  <c:v>2017.7298303682742</c:v>
                </c:pt>
                <c:pt idx="57">
                  <c:v>2016.8802226471998</c:v>
                </c:pt>
                <c:pt idx="58">
                  <c:v>2016.9187227611449</c:v>
                </c:pt>
                <c:pt idx="59">
                  <c:v>2016.9736662841631</c:v>
                </c:pt>
                <c:pt idx="60">
                  <c:v>2018.2222335160914</c:v>
                </c:pt>
                <c:pt idx="61">
                  <c:v>2016.199676727641</c:v>
                </c:pt>
                <c:pt idx="62">
                  <c:v>2017.215701187065</c:v>
                </c:pt>
                <c:pt idx="63">
                  <c:v>2016.7075785059585</c:v>
                </c:pt>
                <c:pt idx="64">
                  <c:v>2016.7848496820138</c:v>
                </c:pt>
                <c:pt idx="65">
                  <c:v>2016.7295960758513</c:v>
                </c:pt>
                <c:pt idx="66">
                  <c:v>2025.7753083178627</c:v>
                </c:pt>
                <c:pt idx="67">
                  <c:v>2028.3889876449657</c:v>
                </c:pt>
                <c:pt idx="68">
                  <c:v>2028.5558626462118</c:v>
                </c:pt>
                <c:pt idx="69">
                  <c:v>2027.2917994886172</c:v>
                </c:pt>
                <c:pt idx="70">
                  <c:v>2027.4301279831573</c:v>
                </c:pt>
                <c:pt idx="71">
                  <c:v>2027.3719619832832</c:v>
                </c:pt>
                <c:pt idx="72">
                  <c:v>2018.8750156872493</c:v>
                </c:pt>
                <c:pt idx="73">
                  <c:v>2018.9213655214492</c:v>
                </c:pt>
                <c:pt idx="74">
                  <c:v>2020.0055118566152</c:v>
                </c:pt>
                <c:pt idx="75">
                  <c:v>2019.424683248825</c:v>
                </c:pt>
                <c:pt idx="76">
                  <c:v>2019.4989317643808</c:v>
                </c:pt>
                <c:pt idx="77">
                  <c:v>2019.3585127420033</c:v>
                </c:pt>
                <c:pt idx="78">
                  <c:v>2021.5525832426733</c:v>
                </c:pt>
                <c:pt idx="79">
                  <c:v>2021.6918581333885</c:v>
                </c:pt>
                <c:pt idx="80">
                  <c:v>2020.2779543408324</c:v>
                </c:pt>
                <c:pt idx="81">
                  <c:v>2020.6362648624145</c:v>
                </c:pt>
                <c:pt idx="82">
                  <c:v>2020.669654394253</c:v>
                </c:pt>
                <c:pt idx="83">
                  <c:v>2020.5932146346756</c:v>
                </c:pt>
                <c:pt idx="84">
                  <c:v>2022.0496368757667</c:v>
                </c:pt>
                <c:pt idx="85">
                  <c:v>2019.1020916160128</c:v>
                </c:pt>
                <c:pt idx="86">
                  <c:v>2021.183253910898</c:v>
                </c:pt>
                <c:pt idx="87">
                  <c:v>2020.2968040972059</c:v>
                </c:pt>
                <c:pt idx="88">
                  <c:v>2020.2449836486119</c:v>
                </c:pt>
                <c:pt idx="89">
                  <c:v>2020.2019547598193</c:v>
                </c:pt>
              </c:numCache>
            </c:numRef>
          </c:val>
          <c:smooth val="0"/>
          <c:extLst>
            <c:ext xmlns:c16="http://schemas.microsoft.com/office/drawing/2014/chart" uri="{C3380CC4-5D6E-409C-BE32-E72D297353CC}">
              <c16:uniqueId val="{00000000-2827-4F9F-9525-3E82052A52AA}"/>
            </c:ext>
          </c:extLst>
        </c:ser>
        <c:ser>
          <c:idx val="1"/>
          <c:order val="1"/>
          <c:tx>
            <c:strRef>
              <c:f>' time series- X section'!$D$32</c:f>
              <c:strCache>
                <c:ptCount val="1"/>
                <c:pt idx="0">
                  <c:v>pred</c:v>
                </c:pt>
              </c:strCache>
            </c:strRef>
          </c:tx>
          <c:spPr>
            <a:ln w="28575" cap="rnd">
              <a:solidFill>
                <a:schemeClr val="accent2"/>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section'!$D$33:$D$122</c:f>
              <c:numCache>
                <c:formatCode>0.00</c:formatCode>
                <c:ptCount val="90"/>
                <c:pt idx="0">
                  <c:v>-4.9805295550678252E-2</c:v>
                </c:pt>
                <c:pt idx="1">
                  <c:v>-0.31158920138665258</c:v>
                </c:pt>
                <c:pt idx="2">
                  <c:v>-2.4674314708787355</c:v>
                </c:pt>
                <c:pt idx="3">
                  <c:v>0.52765800675172159</c:v>
                </c:pt>
                <c:pt idx="4">
                  <c:v>0.41457733446282585</c:v>
                </c:pt>
                <c:pt idx="5">
                  <c:v>0.48843198311105529</c:v>
                </c:pt>
                <c:pt idx="6">
                  <c:v>10.302152266530232</c:v>
                </c:pt>
                <c:pt idx="7">
                  <c:v>10.151999382392027</c:v>
                </c:pt>
                <c:pt idx="8">
                  <c:v>8.6135094511766752</c:v>
                </c:pt>
                <c:pt idx="9">
                  <c:v>10.05559514085105</c:v>
                </c:pt>
                <c:pt idx="10">
                  <c:v>9.899766850462413</c:v>
                </c:pt>
                <c:pt idx="11">
                  <c:v>10.079994946248803</c:v>
                </c:pt>
                <c:pt idx="12">
                  <c:v>6.5335661915605208</c:v>
                </c:pt>
                <c:pt idx="13">
                  <c:v>6.1604151102288869</c:v>
                </c:pt>
                <c:pt idx="14">
                  <c:v>3.9749210078709951</c:v>
                </c:pt>
                <c:pt idx="15">
                  <c:v>3.7617765537825192</c:v>
                </c:pt>
                <c:pt idx="16">
                  <c:v>0.70230816700152232</c:v>
                </c:pt>
                <c:pt idx="17">
                  <c:v>3.9841013638484837</c:v>
                </c:pt>
                <c:pt idx="18">
                  <c:v>4.0150573555752249</c:v>
                </c:pt>
                <c:pt idx="19">
                  <c:v>1.6708716073899432</c:v>
                </c:pt>
                <c:pt idx="20">
                  <c:v>1.7252799324994035</c:v>
                </c:pt>
                <c:pt idx="21">
                  <c:v>4.0564917722896654</c:v>
                </c:pt>
                <c:pt idx="22">
                  <c:v>3.4410046379380264</c:v>
                </c:pt>
                <c:pt idx="23">
                  <c:v>3.1479609301379279</c:v>
                </c:pt>
              </c:numCache>
            </c:numRef>
          </c:val>
          <c:smooth val="0"/>
          <c:extLst>
            <c:ext xmlns:c16="http://schemas.microsoft.com/office/drawing/2014/chart" uri="{C3380CC4-5D6E-409C-BE32-E72D297353CC}">
              <c16:uniqueId val="{00000001-2827-4F9F-9525-3E82052A52AA}"/>
            </c:ext>
          </c:extLst>
        </c:ser>
        <c:ser>
          <c:idx val="2"/>
          <c:order val="2"/>
          <c:tx>
            <c:strRef>
              <c:f>' time series- X section'!$E$32</c:f>
              <c:strCache>
                <c:ptCount val="1"/>
                <c:pt idx="0">
                  <c:v>pred</c:v>
                </c:pt>
              </c:strCache>
            </c:strRef>
          </c:tx>
          <c:spPr>
            <a:ln w="28575" cap="rnd">
              <a:solidFill>
                <a:schemeClr val="accent3"/>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section'!$E$33:$E$122</c:f>
              <c:numCache>
                <c:formatCode>0.00</c:formatCode>
                <c:ptCount val="90"/>
                <c:pt idx="0">
                  <c:v>-7.5859060061084449E-2</c:v>
                </c:pt>
                <c:pt idx="1">
                  <c:v>-0.32715190627203494</c:v>
                </c:pt>
                <c:pt idx="2">
                  <c:v>-2.4559328501212754</c:v>
                </c:pt>
                <c:pt idx="3">
                  <c:v>0.53898320389564858</c:v>
                </c:pt>
                <c:pt idx="4">
                  <c:v>0.43430693649894203</c:v>
                </c:pt>
                <c:pt idx="5">
                  <c:v>0.50010137430265522</c:v>
                </c:pt>
                <c:pt idx="6">
                  <c:v>10.235754779715418</c:v>
                </c:pt>
                <c:pt idx="7">
                  <c:v>10.083776294529269</c:v>
                </c:pt>
                <c:pt idx="8">
                  <c:v>8.5710696682006446</c:v>
                </c:pt>
                <c:pt idx="9">
                  <c:v>10.045933120768293</c:v>
                </c:pt>
                <c:pt idx="10">
                  <c:v>9.9012773860538275</c:v>
                </c:pt>
                <c:pt idx="11">
                  <c:v>10.067095041149106</c:v>
                </c:pt>
                <c:pt idx="12">
                  <c:v>6.5506938064196287</c:v>
                </c:pt>
                <c:pt idx="13">
                  <c:v>6.1844465063026011</c:v>
                </c:pt>
                <c:pt idx="14">
                  <c:v>4.0260635003561651</c:v>
                </c:pt>
                <c:pt idx="15">
                  <c:v>3.7976600149855595</c:v>
                </c:pt>
                <c:pt idx="16">
                  <c:v>0.72389656020979132</c:v>
                </c:pt>
                <c:pt idx="17">
                  <c:v>3.9696611645196418</c:v>
                </c:pt>
                <c:pt idx="18">
                  <c:v>4.0294265893491428</c:v>
                </c:pt>
                <c:pt idx="19">
                  <c:v>1.7105031234969794</c:v>
                </c:pt>
                <c:pt idx="20">
                  <c:v>1.7100044051727581</c:v>
                </c:pt>
                <c:pt idx="21">
                  <c:v>4.0597373988964112</c:v>
                </c:pt>
                <c:pt idx="22">
                  <c:v>3.4600565459073742</c:v>
                </c:pt>
                <c:pt idx="23">
                  <c:v>3.1610388220539889</c:v>
                </c:pt>
                <c:pt idx="24">
                  <c:v>4.08332002437092</c:v>
                </c:pt>
                <c:pt idx="25">
                  <c:v>3.6242239748065987</c:v>
                </c:pt>
                <c:pt idx="26">
                  <c:v>1.5634174887316599</c:v>
                </c:pt>
                <c:pt idx="27">
                  <c:v>3.9710943280157944</c:v>
                </c:pt>
                <c:pt idx="28">
                  <c:v>3.3584633120975003</c:v>
                </c:pt>
                <c:pt idx="29">
                  <c:v>3.2157599955711267</c:v>
                </c:pt>
              </c:numCache>
            </c:numRef>
          </c:val>
          <c:smooth val="0"/>
          <c:extLst>
            <c:ext xmlns:c16="http://schemas.microsoft.com/office/drawing/2014/chart" uri="{C3380CC4-5D6E-409C-BE32-E72D297353CC}">
              <c16:uniqueId val="{00000002-2827-4F9F-9525-3E82052A52AA}"/>
            </c:ext>
          </c:extLst>
        </c:ser>
        <c:ser>
          <c:idx val="3"/>
          <c:order val="3"/>
          <c:tx>
            <c:strRef>
              <c:f>' time series- X section'!$F$32</c:f>
              <c:strCache>
                <c:ptCount val="1"/>
                <c:pt idx="0">
                  <c:v>pred</c:v>
                </c:pt>
              </c:strCache>
            </c:strRef>
          </c:tx>
          <c:spPr>
            <a:ln w="28575" cap="rnd">
              <a:solidFill>
                <a:schemeClr val="accent4"/>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section'!$F$33:$F$122</c:f>
              <c:numCache>
                <c:formatCode>0.00</c:formatCode>
                <c:ptCount val="90"/>
                <c:pt idx="0">
                  <c:v>3.0845751047474446E-2</c:v>
                </c:pt>
                <c:pt idx="1">
                  <c:v>-0.24708882641079088</c:v>
                </c:pt>
                <c:pt idx="2">
                  <c:v>-2.358831072764576</c:v>
                </c:pt>
                <c:pt idx="3">
                  <c:v>0.4632904614888318</c:v>
                </c:pt>
                <c:pt idx="4">
                  <c:v>0.3316740473525075</c:v>
                </c:pt>
                <c:pt idx="5">
                  <c:v>0.42530917808919533</c:v>
                </c:pt>
                <c:pt idx="6">
                  <c:v>10.31041027752795</c:v>
                </c:pt>
                <c:pt idx="7">
                  <c:v>10.174403865602322</c:v>
                </c:pt>
                <c:pt idx="8">
                  <c:v>8.6480695281492448</c:v>
                </c:pt>
                <c:pt idx="9">
                  <c:v>9.9087886237480607</c:v>
                </c:pt>
                <c:pt idx="10">
                  <c:v>9.7286382062141534</c:v>
                </c:pt>
                <c:pt idx="11">
                  <c:v>9.941439659657183</c:v>
                </c:pt>
                <c:pt idx="12">
                  <c:v>6.5108047437901195</c:v>
                </c:pt>
                <c:pt idx="13">
                  <c:v>6.1386611794663715</c:v>
                </c:pt>
                <c:pt idx="14">
                  <c:v>3.9988360759491064</c:v>
                </c:pt>
                <c:pt idx="15">
                  <c:v>3.7379309337815325</c:v>
                </c:pt>
                <c:pt idx="16">
                  <c:v>0.79269317560500774</c:v>
                </c:pt>
                <c:pt idx="17">
                  <c:v>3.9919333132529964</c:v>
                </c:pt>
                <c:pt idx="18">
                  <c:v>4.1464096588038011</c:v>
                </c:pt>
                <c:pt idx="19">
                  <c:v>1.8626032623005209</c:v>
                </c:pt>
                <c:pt idx="20">
                  <c:v>1.8823610566764786</c:v>
                </c:pt>
                <c:pt idx="21">
                  <c:v>4.0232587553635755</c:v>
                </c:pt>
                <c:pt idx="22">
                  <c:v>3.3962435678794352</c:v>
                </c:pt>
                <c:pt idx="23">
                  <c:v>3.1380053753794703</c:v>
                </c:pt>
                <c:pt idx="24">
                  <c:v>4.1860487721877044</c:v>
                </c:pt>
                <c:pt idx="25">
                  <c:v>3.7094792988385179</c:v>
                </c:pt>
                <c:pt idx="26">
                  <c:v>1.6814644183041634</c:v>
                </c:pt>
                <c:pt idx="27">
                  <c:v>3.9192565972503282</c:v>
                </c:pt>
                <c:pt idx="28">
                  <c:v>3.2481292978706797</c:v>
                </c:pt>
                <c:pt idx="29">
                  <c:v>3.1171857093816255</c:v>
                </c:pt>
                <c:pt idx="30">
                  <c:v>4.1556895265236058</c:v>
                </c:pt>
                <c:pt idx="31">
                  <c:v>3.7510700686518401</c:v>
                </c:pt>
                <c:pt idx="32">
                  <c:v>1.430349965805916</c:v>
                </c:pt>
                <c:pt idx="33">
                  <c:v>3.8843591309904992</c:v>
                </c:pt>
                <c:pt idx="34">
                  <c:v>4.018325620942961</c:v>
                </c:pt>
                <c:pt idx="35">
                  <c:v>4.2054052258877803</c:v>
                </c:pt>
              </c:numCache>
            </c:numRef>
          </c:val>
          <c:smooth val="0"/>
          <c:extLst>
            <c:ext xmlns:c16="http://schemas.microsoft.com/office/drawing/2014/chart" uri="{C3380CC4-5D6E-409C-BE32-E72D297353CC}">
              <c16:uniqueId val="{00000003-2827-4F9F-9525-3E82052A52AA}"/>
            </c:ext>
          </c:extLst>
        </c:ser>
        <c:ser>
          <c:idx val="4"/>
          <c:order val="4"/>
          <c:tx>
            <c:strRef>
              <c:f>' time series- X section'!$G$32</c:f>
              <c:strCache>
                <c:ptCount val="1"/>
                <c:pt idx="0">
                  <c:v>pred</c:v>
                </c:pt>
              </c:strCache>
            </c:strRef>
          </c:tx>
          <c:spPr>
            <a:ln w="28575" cap="rnd">
              <a:solidFill>
                <a:schemeClr val="accent5"/>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section'!$G$33:$G$122</c:f>
              <c:numCache>
                <c:formatCode>0.00</c:formatCode>
                <c:ptCount val="90"/>
                <c:pt idx="0">
                  <c:v>-5.8554692755057536E-2</c:v>
                </c:pt>
                <c:pt idx="1">
                  <c:v>-0.31165959129606713</c:v>
                </c:pt>
                <c:pt idx="2">
                  <c:v>-2.418029312038299</c:v>
                </c:pt>
                <c:pt idx="3">
                  <c:v>0.52220445565059692</c:v>
                </c:pt>
                <c:pt idx="4">
                  <c:v>0.4143087369906493</c:v>
                </c:pt>
                <c:pt idx="5">
                  <c:v>0.48382364725511717</c:v>
                </c:pt>
                <c:pt idx="6">
                  <c:v>10.206852725792505</c:v>
                </c:pt>
                <c:pt idx="7">
                  <c:v>10.058769782438823</c:v>
                </c:pt>
                <c:pt idx="8">
                  <c:v>8.5579848335236228</c:v>
                </c:pt>
                <c:pt idx="9">
                  <c:v>9.985843100198462</c:v>
                </c:pt>
                <c:pt idx="10">
                  <c:v>9.8370081851547972</c:v>
                </c:pt>
                <c:pt idx="11">
                  <c:v>10.008595960494308</c:v>
                </c:pt>
                <c:pt idx="12">
                  <c:v>6.5381786309572272</c:v>
                </c:pt>
                <c:pt idx="13">
                  <c:v>6.1744137462597957</c:v>
                </c:pt>
                <c:pt idx="14">
                  <c:v>4.0389530903416224</c:v>
                </c:pt>
                <c:pt idx="15">
                  <c:v>3.7966241172291535</c:v>
                </c:pt>
                <c:pt idx="16">
                  <c:v>0.76039856792664295</c:v>
                </c:pt>
                <c:pt idx="17">
                  <c:v>3.9687963666843329</c:v>
                </c:pt>
                <c:pt idx="18">
                  <c:v>4.0647199705640311</c:v>
                </c:pt>
                <c:pt idx="19">
                  <c:v>1.7727852083380622</c:v>
                </c:pt>
                <c:pt idx="20">
                  <c:v>1.7548262318644228</c:v>
                </c:pt>
                <c:pt idx="21">
                  <c:v>4.0502589668722049</c:v>
                </c:pt>
                <c:pt idx="22">
                  <c:v>3.4518922375203314</c:v>
                </c:pt>
                <c:pt idx="23">
                  <c:v>3.1619942805973342</c:v>
                </c:pt>
                <c:pt idx="24">
                  <c:v>4.115895574816931</c:v>
                </c:pt>
                <c:pt idx="25">
                  <c:v>3.658342739393023</c:v>
                </c:pt>
                <c:pt idx="26">
                  <c:v>1.6217672007570152</c:v>
                </c:pt>
                <c:pt idx="27">
                  <c:v>3.9806655149276713</c:v>
                </c:pt>
                <c:pt idx="28">
                  <c:v>3.3646209291539222</c:v>
                </c:pt>
                <c:pt idx="29">
                  <c:v>3.2250717374655373</c:v>
                </c:pt>
                <c:pt idx="30">
                  <c:v>4.0880513158010823</c:v>
                </c:pt>
                <c:pt idx="31">
                  <c:v>3.69408531097277</c:v>
                </c:pt>
                <c:pt idx="32">
                  <c:v>1.374525882260325</c:v>
                </c:pt>
                <c:pt idx="33">
                  <c:v>3.9333986645766266</c:v>
                </c:pt>
                <c:pt idx="34">
                  <c:v>4.0872701991053688</c:v>
                </c:pt>
                <c:pt idx="35">
                  <c:v>4.2547618710907216</c:v>
                </c:pt>
                <c:pt idx="36">
                  <c:v>1.9181129225033917</c:v>
                </c:pt>
                <c:pt idx="37">
                  <c:v>2.8627967331839566</c:v>
                </c:pt>
                <c:pt idx="38">
                  <c:v>0.57496757735347348</c:v>
                </c:pt>
                <c:pt idx="39">
                  <c:v>3.4492621921146762</c:v>
                </c:pt>
                <c:pt idx="40">
                  <c:v>3.2717350386055797</c:v>
                </c:pt>
                <c:pt idx="41">
                  <c:v>3.055218780045875</c:v>
                </c:pt>
              </c:numCache>
            </c:numRef>
          </c:val>
          <c:smooth val="0"/>
          <c:extLst>
            <c:ext xmlns:c16="http://schemas.microsoft.com/office/drawing/2014/chart" uri="{C3380CC4-5D6E-409C-BE32-E72D297353CC}">
              <c16:uniqueId val="{00000004-2827-4F9F-9525-3E82052A52AA}"/>
            </c:ext>
          </c:extLst>
        </c:ser>
        <c:ser>
          <c:idx val="5"/>
          <c:order val="5"/>
          <c:tx>
            <c:strRef>
              <c:f>' time series- X section'!$H$32</c:f>
              <c:strCache>
                <c:ptCount val="1"/>
                <c:pt idx="0">
                  <c:v>pred</c:v>
                </c:pt>
              </c:strCache>
            </c:strRef>
          </c:tx>
          <c:spPr>
            <a:ln w="28575" cap="rnd">
              <a:solidFill>
                <a:schemeClr val="accent6"/>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section'!$H$33:$H$122</c:f>
              <c:numCache>
                <c:formatCode>0.00</c:formatCode>
                <c:ptCount val="90"/>
                <c:pt idx="0">
                  <c:v>8.7734052392199446E-2</c:v>
                </c:pt>
                <c:pt idx="1">
                  <c:v>-0.20775358441514347</c:v>
                </c:pt>
                <c:pt idx="2">
                  <c:v>-2.3366465756401151</c:v>
                </c:pt>
                <c:pt idx="3">
                  <c:v>0.42894922780476463</c:v>
                </c:pt>
                <c:pt idx="4">
                  <c:v>0.2814352447750943</c:v>
                </c:pt>
                <c:pt idx="5">
                  <c:v>0.39097407939513062</c:v>
                </c:pt>
                <c:pt idx="6">
                  <c:v>10.415369857998872</c:v>
                </c:pt>
                <c:pt idx="7">
                  <c:v>10.286135815430457</c:v>
                </c:pt>
                <c:pt idx="8">
                  <c:v>8.7336669524569484</c:v>
                </c:pt>
                <c:pt idx="9">
                  <c:v>9.8966107753394184</c:v>
                </c:pt>
                <c:pt idx="10">
                  <c:v>9.695431150656475</c:v>
                </c:pt>
                <c:pt idx="11">
                  <c:v>9.9357506096224455</c:v>
                </c:pt>
                <c:pt idx="12">
                  <c:v>6.5080131448506231</c:v>
                </c:pt>
                <c:pt idx="13">
                  <c:v>6.1281347132658404</c:v>
                </c:pt>
                <c:pt idx="14">
                  <c:v>3.9716152977459891</c:v>
                </c:pt>
                <c:pt idx="15">
                  <c:v>3.6991597289067792</c:v>
                </c:pt>
                <c:pt idx="16">
                  <c:v>0.79437372491235614</c:v>
                </c:pt>
                <c:pt idx="17">
                  <c:v>4.0086291154245099</c:v>
                </c:pt>
                <c:pt idx="18">
                  <c:v>4.1973852413520998</c:v>
                </c:pt>
                <c:pt idx="19">
                  <c:v>1.9038689567388687</c:v>
                </c:pt>
                <c:pt idx="20">
                  <c:v>1.9517245324853203</c:v>
                </c:pt>
                <c:pt idx="21">
                  <c:v>4.0085676312952092</c:v>
                </c:pt>
                <c:pt idx="22">
                  <c:v>3.3593059882782836</c:v>
                </c:pt>
                <c:pt idx="23">
                  <c:v>3.1194620777894739</c:v>
                </c:pt>
                <c:pt idx="24">
                  <c:v>4.2299672186361104</c:v>
                </c:pt>
                <c:pt idx="25">
                  <c:v>3.7382378530790787</c:v>
                </c:pt>
                <c:pt idx="26">
                  <c:v>1.7024519931915996</c:v>
                </c:pt>
                <c:pt idx="27">
                  <c:v>3.8780169907594368</c:v>
                </c:pt>
                <c:pt idx="28">
                  <c:v>3.1675945519780639</c:v>
                </c:pt>
                <c:pt idx="29">
                  <c:v>3.0412554178163895</c:v>
                </c:pt>
                <c:pt idx="30">
                  <c:v>4.2008929261241095</c:v>
                </c:pt>
                <c:pt idx="31">
                  <c:v>3.7868848329449163</c:v>
                </c:pt>
                <c:pt idx="32">
                  <c:v>1.4503245446520672</c:v>
                </c:pt>
                <c:pt idx="33">
                  <c:v>3.8538129078647234</c:v>
                </c:pt>
                <c:pt idx="34">
                  <c:v>3.9760298034410129</c:v>
                </c:pt>
                <c:pt idx="35">
                  <c:v>4.1767474292850633</c:v>
                </c:pt>
                <c:pt idx="36">
                  <c:v>2.0470858828555749</c:v>
                </c:pt>
                <c:pt idx="37">
                  <c:v>2.9656212930361172</c:v>
                </c:pt>
                <c:pt idx="38">
                  <c:v>0.66785431898383107</c:v>
                </c:pt>
                <c:pt idx="39">
                  <c:v>3.3663983767205381</c:v>
                </c:pt>
                <c:pt idx="40">
                  <c:v>3.1623940214590296</c:v>
                </c:pt>
                <c:pt idx="41">
                  <c:v>2.9353385512568528</c:v>
                </c:pt>
                <c:pt idx="42">
                  <c:v>3.253831740163001</c:v>
                </c:pt>
                <c:pt idx="43">
                  <c:v>2.9901046562959248</c:v>
                </c:pt>
                <c:pt idx="44">
                  <c:v>3.3379558081052068</c:v>
                </c:pt>
                <c:pt idx="45">
                  <c:v>5.3214425399321268</c:v>
                </c:pt>
                <c:pt idx="46">
                  <c:v>-2.3890769273881958</c:v>
                </c:pt>
                <c:pt idx="47">
                  <c:v>-6.0262561993777197</c:v>
                </c:pt>
              </c:numCache>
            </c:numRef>
          </c:val>
          <c:smooth val="0"/>
          <c:extLst>
            <c:ext xmlns:c16="http://schemas.microsoft.com/office/drawing/2014/chart" uri="{C3380CC4-5D6E-409C-BE32-E72D297353CC}">
              <c16:uniqueId val="{00000005-2827-4F9F-9525-3E82052A52AA}"/>
            </c:ext>
          </c:extLst>
        </c:ser>
        <c:ser>
          <c:idx val="6"/>
          <c:order val="6"/>
          <c:tx>
            <c:strRef>
              <c:f>' time series- X section'!$I$32</c:f>
              <c:strCache>
                <c:ptCount val="1"/>
                <c:pt idx="0">
                  <c:v>pred</c:v>
                </c:pt>
              </c:strCache>
            </c:strRef>
          </c:tx>
          <c:spPr>
            <a:ln w="28575" cap="rnd">
              <a:solidFill>
                <a:schemeClr val="accent1">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section'!$I$33:$I$122</c:f>
              <c:numCache>
                <c:formatCode>0.00</c:formatCode>
                <c:ptCount val="90"/>
                <c:pt idx="0">
                  <c:v>5.5416561676324694E-3</c:v>
                </c:pt>
                <c:pt idx="1">
                  <c:v>-0.26609736073442991</c:v>
                </c:pt>
                <c:pt idx="2">
                  <c:v>-2.3820547629009194</c:v>
                </c:pt>
                <c:pt idx="3">
                  <c:v>0.48128033712597662</c:v>
                </c:pt>
                <c:pt idx="4">
                  <c:v>0.35604232540623126</c:v>
                </c:pt>
                <c:pt idx="5">
                  <c:v>0.44308234309479277</c:v>
                </c:pt>
                <c:pt idx="6">
                  <c:v>10.316441378790239</c:v>
                </c:pt>
                <c:pt idx="7">
                  <c:v>10.176635733566998</c:v>
                </c:pt>
                <c:pt idx="8">
                  <c:v>8.6534075207805259</c:v>
                </c:pt>
                <c:pt idx="9">
                  <c:v>9.9650181305166186</c:v>
                </c:pt>
                <c:pt idx="10">
                  <c:v>9.7932709483111644</c:v>
                </c:pt>
                <c:pt idx="11">
                  <c:v>9.9949470441750297</c:v>
                </c:pt>
                <c:pt idx="12">
                  <c:v>6.5436884101110664</c:v>
                </c:pt>
                <c:pt idx="13">
                  <c:v>6.172912538855007</c:v>
                </c:pt>
                <c:pt idx="14">
                  <c:v>4.0285096611489211</c:v>
                </c:pt>
                <c:pt idx="15">
                  <c:v>3.7624052271172772</c:v>
                </c:pt>
                <c:pt idx="16">
                  <c:v>0.77355673517313939</c:v>
                </c:pt>
                <c:pt idx="17">
                  <c:v>3.9840947147041899</c:v>
                </c:pt>
                <c:pt idx="18">
                  <c:v>4.1418937441083372</c:v>
                </c:pt>
                <c:pt idx="19">
                  <c:v>1.8495704443323557</c:v>
                </c:pt>
                <c:pt idx="20">
                  <c:v>1.8413383105343337</c:v>
                </c:pt>
                <c:pt idx="21">
                  <c:v>4.0319409962829962</c:v>
                </c:pt>
                <c:pt idx="22">
                  <c:v>3.4113568387468769</c:v>
                </c:pt>
                <c:pt idx="23">
                  <c:v>3.1434258723480459</c:v>
                </c:pt>
                <c:pt idx="24">
                  <c:v>4.1849167520719659</c:v>
                </c:pt>
                <c:pt idx="25">
                  <c:v>3.7124520550845514</c:v>
                </c:pt>
                <c:pt idx="26">
                  <c:v>1.6764928871580649</c:v>
                </c:pt>
                <c:pt idx="27">
                  <c:v>3.9547603203896848</c:v>
                </c:pt>
                <c:pt idx="28">
                  <c:v>3.2974509340667297</c:v>
                </c:pt>
                <c:pt idx="29">
                  <c:v>3.1637075504144718</c:v>
                </c:pt>
                <c:pt idx="30">
                  <c:v>4.1374485728950789</c:v>
                </c:pt>
                <c:pt idx="31">
                  <c:v>3.7347545116833238</c:v>
                </c:pt>
                <c:pt idx="32">
                  <c:v>1.4080550571394295</c:v>
                </c:pt>
                <c:pt idx="33">
                  <c:v>3.8985147176826738</c:v>
                </c:pt>
                <c:pt idx="34">
                  <c:v>4.038498037557452</c:v>
                </c:pt>
                <c:pt idx="35">
                  <c:v>4.2205236412013019</c:v>
                </c:pt>
                <c:pt idx="36">
                  <c:v>1.9747259708844358</c:v>
                </c:pt>
                <c:pt idx="37">
                  <c:v>2.9078288266272483</c:v>
                </c:pt>
                <c:pt idx="38">
                  <c:v>0.61594972490117383</c:v>
                </c:pt>
                <c:pt idx="39">
                  <c:v>3.4128670044588882</c:v>
                </c:pt>
                <c:pt idx="40">
                  <c:v>3.2237638558659714</c:v>
                </c:pt>
                <c:pt idx="41">
                  <c:v>3.0026591554215813</c:v>
                </c:pt>
                <c:pt idx="42">
                  <c:v>3.7012821873733976</c:v>
                </c:pt>
                <c:pt idx="43">
                  <c:v>3.4360522311274497</c:v>
                </c:pt>
                <c:pt idx="44">
                  <c:v>3.7310657297447545</c:v>
                </c:pt>
                <c:pt idx="45">
                  <c:v>5.8175127133208431</c:v>
                </c:pt>
                <c:pt idx="46">
                  <c:v>-1.7530030245863397</c:v>
                </c:pt>
                <c:pt idx="47">
                  <c:v>-5.3815549542797045</c:v>
                </c:pt>
                <c:pt idx="48">
                  <c:v>1.4121469326700327</c:v>
                </c:pt>
                <c:pt idx="49">
                  <c:v>3.2383533327110978</c:v>
                </c:pt>
                <c:pt idx="50">
                  <c:v>1.4076438593642713</c:v>
                </c:pt>
                <c:pt idx="51">
                  <c:v>3.4660218818850241</c:v>
                </c:pt>
                <c:pt idx="52">
                  <c:v>3.3434619190792398</c:v>
                </c:pt>
                <c:pt idx="53">
                  <c:v>3.4894459091605281</c:v>
                </c:pt>
              </c:numCache>
            </c:numRef>
          </c:val>
          <c:smooth val="0"/>
          <c:extLst>
            <c:ext xmlns:c16="http://schemas.microsoft.com/office/drawing/2014/chart" uri="{C3380CC4-5D6E-409C-BE32-E72D297353CC}">
              <c16:uniqueId val="{00000006-2827-4F9F-9525-3E82052A52AA}"/>
            </c:ext>
          </c:extLst>
        </c:ser>
        <c:ser>
          <c:idx val="7"/>
          <c:order val="7"/>
          <c:tx>
            <c:strRef>
              <c:f>' time series- X section'!$J$32</c:f>
              <c:strCache>
                <c:ptCount val="1"/>
                <c:pt idx="0">
                  <c:v>pred</c:v>
                </c:pt>
              </c:strCache>
            </c:strRef>
          </c:tx>
          <c:spPr>
            <a:ln w="28575" cap="rnd">
              <a:solidFill>
                <a:schemeClr val="accent2">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section'!$J$33:$J$122</c:f>
              <c:numCache>
                <c:formatCode>0.00</c:formatCode>
                <c:ptCount val="90"/>
                <c:pt idx="0">
                  <c:v>3.6507128339030581E-2</c:v>
                </c:pt>
                <c:pt idx="1">
                  <c:v>-0.24371150377365414</c:v>
                </c:pt>
                <c:pt idx="2">
                  <c:v>-2.3613684519288025</c:v>
                </c:pt>
                <c:pt idx="3">
                  <c:v>0.46083742378895209</c:v>
                </c:pt>
                <c:pt idx="4">
                  <c:v>0.32739275496370235</c:v>
                </c:pt>
                <c:pt idx="5">
                  <c:v>0.42278072717931181</c:v>
                </c:pt>
                <c:pt idx="6">
                  <c:v>10.354008596298963</c:v>
                </c:pt>
                <c:pt idx="7">
                  <c:v>10.218396595622728</c:v>
                </c:pt>
                <c:pt idx="8">
                  <c:v>8.6864349191373886</c:v>
                </c:pt>
                <c:pt idx="9">
                  <c:v>9.9400530260812445</c:v>
                </c:pt>
                <c:pt idx="10">
                  <c:v>9.7574720976587592</c:v>
                </c:pt>
                <c:pt idx="11">
                  <c:v>9.9734081177308695</c:v>
                </c:pt>
                <c:pt idx="12">
                  <c:v>6.5361922097287311</c:v>
                </c:pt>
                <c:pt idx="13">
                  <c:v>6.1625424639300812</c:v>
                </c:pt>
                <c:pt idx="14">
                  <c:v>4.0167913802811617</c:v>
                </c:pt>
                <c:pt idx="15">
                  <c:v>3.7430511958166783</c:v>
                </c:pt>
                <c:pt idx="16">
                  <c:v>0.78472456647593614</c:v>
                </c:pt>
                <c:pt idx="17">
                  <c:v>3.9918457616522067</c:v>
                </c:pt>
                <c:pt idx="18">
                  <c:v>4.1723573631439237</c:v>
                </c:pt>
                <c:pt idx="19">
                  <c:v>1.8830243095455774</c:v>
                </c:pt>
                <c:pt idx="20">
                  <c:v>1.8856508418277156</c:v>
                </c:pt>
                <c:pt idx="21">
                  <c:v>4.0225597288213182</c:v>
                </c:pt>
                <c:pt idx="22">
                  <c:v>3.3920998429593752</c:v>
                </c:pt>
                <c:pt idx="23">
                  <c:v>3.1351553932834415</c:v>
                </c:pt>
                <c:pt idx="24">
                  <c:v>4.2113811621204693</c:v>
                </c:pt>
                <c:pt idx="25">
                  <c:v>3.73236564391823</c:v>
                </c:pt>
                <c:pt idx="26">
                  <c:v>1.6995269076047266</c:v>
                </c:pt>
                <c:pt idx="27">
                  <c:v>3.9356727240649416</c:v>
                </c:pt>
                <c:pt idx="28">
                  <c:v>3.2593342990426883</c:v>
                </c:pt>
                <c:pt idx="29">
                  <c:v>3.1285818620394896</c:v>
                </c:pt>
                <c:pt idx="30">
                  <c:v>4.16085088693338</c:v>
                </c:pt>
                <c:pt idx="31">
                  <c:v>3.7544974651270886</c:v>
                </c:pt>
                <c:pt idx="32">
                  <c:v>1.4275734060366192</c:v>
                </c:pt>
                <c:pt idx="33">
                  <c:v>3.8815212379516586</c:v>
                </c:pt>
                <c:pt idx="34">
                  <c:v>4.0145993145992112</c:v>
                </c:pt>
                <c:pt idx="35">
                  <c:v>4.2033957679205418</c:v>
                </c:pt>
                <c:pt idx="36">
                  <c:v>2.0031577982786222</c:v>
                </c:pt>
                <c:pt idx="37">
                  <c:v>2.9293707897205725</c:v>
                </c:pt>
                <c:pt idx="38">
                  <c:v>0.63871202306574837</c:v>
                </c:pt>
                <c:pt idx="39">
                  <c:v>3.3943608521115345</c:v>
                </c:pt>
                <c:pt idx="40">
                  <c:v>3.1999260238866234</c:v>
                </c:pt>
                <c:pt idx="41">
                  <c:v>2.9769105915054532</c:v>
                </c:pt>
                <c:pt idx="42">
                  <c:v>3.7308870330090169</c:v>
                </c:pt>
                <c:pt idx="43">
                  <c:v>3.4666214255963794</c:v>
                </c:pt>
                <c:pt idx="44">
                  <c:v>3.7529021580254494</c:v>
                </c:pt>
                <c:pt idx="45">
                  <c:v>5.7880176514589046</c:v>
                </c:pt>
                <c:pt idx="46">
                  <c:v>-1.7674942584852662</c:v>
                </c:pt>
                <c:pt idx="47">
                  <c:v>-5.3750513052556217</c:v>
                </c:pt>
                <c:pt idx="48">
                  <c:v>1.4313673029376028</c:v>
                </c:pt>
                <c:pt idx="49">
                  <c:v>3.2615288914362708</c:v>
                </c:pt>
                <c:pt idx="50">
                  <c:v>1.4286395263382712</c:v>
                </c:pt>
                <c:pt idx="51">
                  <c:v>3.4369196397283472</c:v>
                </c:pt>
                <c:pt idx="52">
                  <c:v>3.3045077762491006</c:v>
                </c:pt>
                <c:pt idx="53">
                  <c:v>3.4594831961271959</c:v>
                </c:pt>
                <c:pt idx="54">
                  <c:v>4.3858823132453129</c:v>
                </c:pt>
                <c:pt idx="55">
                  <c:v>5.096502274652992</c:v>
                </c:pt>
                <c:pt idx="56">
                  <c:v>2.5052554375787919</c:v>
                </c:pt>
                <c:pt idx="57">
                  <c:v>4.4774112917062086</c:v>
                </c:pt>
                <c:pt idx="58">
                  <c:v>3.5797254838563983</c:v>
                </c:pt>
                <c:pt idx="59">
                  <c:v>3.5976612775286192</c:v>
                </c:pt>
              </c:numCache>
            </c:numRef>
          </c:val>
          <c:smooth val="0"/>
          <c:extLst>
            <c:ext xmlns:c16="http://schemas.microsoft.com/office/drawing/2014/chart" uri="{C3380CC4-5D6E-409C-BE32-E72D297353CC}">
              <c16:uniqueId val="{00000007-2827-4F9F-9525-3E82052A52AA}"/>
            </c:ext>
          </c:extLst>
        </c:ser>
        <c:ser>
          <c:idx val="8"/>
          <c:order val="8"/>
          <c:tx>
            <c:strRef>
              <c:f>' time series- X section'!$K$32</c:f>
              <c:strCache>
                <c:ptCount val="1"/>
                <c:pt idx="0">
                  <c:v>pred</c:v>
                </c:pt>
              </c:strCache>
            </c:strRef>
          </c:tx>
          <c:spPr>
            <a:ln w="28575" cap="rnd">
              <a:solidFill>
                <a:schemeClr val="accent3">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section'!$K$33:$K$122</c:f>
              <c:numCache>
                <c:formatCode>0.00</c:formatCode>
                <c:ptCount val="90"/>
                <c:pt idx="0">
                  <c:v>3.3323009284223826E-2</c:v>
                </c:pt>
                <c:pt idx="1">
                  <c:v>-0.2354103486641741</c:v>
                </c:pt>
                <c:pt idx="2">
                  <c:v>-2.2698415279646027</c:v>
                </c:pt>
                <c:pt idx="3">
                  <c:v>0.44390301578050129</c:v>
                </c:pt>
                <c:pt idx="4">
                  <c:v>0.3161608472924422</c:v>
                </c:pt>
                <c:pt idx="5">
                  <c:v>0.40733226350996143</c:v>
                </c:pt>
                <c:pt idx="6">
                  <c:v>10.275409635808654</c:v>
                </c:pt>
                <c:pt idx="7">
                  <c:v>10.144884011589767</c:v>
                </c:pt>
                <c:pt idx="8">
                  <c:v>8.6735540973009666</c:v>
                </c:pt>
                <c:pt idx="9">
                  <c:v>9.881240128781446</c:v>
                </c:pt>
                <c:pt idx="10">
                  <c:v>9.7064391235039729</c:v>
                </c:pt>
                <c:pt idx="11">
                  <c:v>9.913092108808673</c:v>
                </c:pt>
                <c:pt idx="12">
                  <c:v>6.6100117221102455</c:v>
                </c:pt>
                <c:pt idx="13">
                  <c:v>6.2511922905362223</c:v>
                </c:pt>
                <c:pt idx="14">
                  <c:v>4.1897499575059651</c:v>
                </c:pt>
                <c:pt idx="15">
                  <c:v>3.8254309585846316</c:v>
                </c:pt>
                <c:pt idx="16">
                  <c:v>0.87975256496464826</c:v>
                </c:pt>
                <c:pt idx="17">
                  <c:v>3.9611698515626577</c:v>
                </c:pt>
                <c:pt idx="18">
                  <c:v>4.3368238487888782</c:v>
                </c:pt>
                <c:pt idx="19">
                  <c:v>2.1371905988497644</c:v>
                </c:pt>
                <c:pt idx="20">
                  <c:v>1.9524054811105636</c:v>
                </c:pt>
                <c:pt idx="21">
                  <c:v>4.0084651989195361</c:v>
                </c:pt>
                <c:pt idx="22">
                  <c:v>3.4033127714420277</c:v>
                </c:pt>
                <c:pt idx="23">
                  <c:v>3.1558335445626211</c:v>
                </c:pt>
                <c:pt idx="24">
                  <c:v>4.3745418938238245</c:v>
                </c:pt>
                <c:pt idx="25">
                  <c:v>3.9147007964192162</c:v>
                </c:pt>
                <c:pt idx="26">
                  <c:v>1.961485691663456</c:v>
                </c:pt>
                <c:pt idx="27">
                  <c:v>4.1122323688808731</c:v>
                </c:pt>
                <c:pt idx="28">
                  <c:v>3.4635199818148168</c:v>
                </c:pt>
                <c:pt idx="29">
                  <c:v>3.3377311660257969</c:v>
                </c:pt>
                <c:pt idx="30">
                  <c:v>4.1453621704108992</c:v>
                </c:pt>
                <c:pt idx="31">
                  <c:v>3.7551672788156623</c:v>
                </c:pt>
                <c:pt idx="32">
                  <c:v>1.519600467900238</c:v>
                </c:pt>
                <c:pt idx="33">
                  <c:v>3.8792820170638644</c:v>
                </c:pt>
                <c:pt idx="34">
                  <c:v>4.0075265212664579</c:v>
                </c:pt>
                <c:pt idx="35">
                  <c:v>4.1885288037811756</c:v>
                </c:pt>
                <c:pt idx="36">
                  <c:v>2.0308677128817956</c:v>
                </c:pt>
                <c:pt idx="37">
                  <c:v>2.9211113614137099</c:v>
                </c:pt>
                <c:pt idx="38">
                  <c:v>0.7203045236269241</c:v>
                </c:pt>
                <c:pt idx="39">
                  <c:v>3.3701126231390544</c:v>
                </c:pt>
                <c:pt idx="40">
                  <c:v>3.1836119217204222</c:v>
                </c:pt>
                <c:pt idx="41">
                  <c:v>2.9694591164564286</c:v>
                </c:pt>
                <c:pt idx="42">
                  <c:v>3.7207475449830785</c:v>
                </c:pt>
                <c:pt idx="43">
                  <c:v>3.4668012825289214</c:v>
                </c:pt>
                <c:pt idx="44">
                  <c:v>3.7711354389225882</c:v>
                </c:pt>
                <c:pt idx="45">
                  <c:v>5.7388633641740592</c:v>
                </c:pt>
                <c:pt idx="46">
                  <c:v>-1.57849703980777</c:v>
                </c:pt>
                <c:pt idx="47">
                  <c:v>-5.0648233328275589</c:v>
                </c:pt>
                <c:pt idx="48">
                  <c:v>1.3091549039622121</c:v>
                </c:pt>
                <c:pt idx="49">
                  <c:v>3.3305246592069189</c:v>
                </c:pt>
                <c:pt idx="50">
                  <c:v>1.5697095338104903</c:v>
                </c:pt>
                <c:pt idx="51">
                  <c:v>3.5019865258888974</c:v>
                </c:pt>
                <c:pt idx="52">
                  <c:v>3.375329653544294</c:v>
                </c:pt>
                <c:pt idx="53">
                  <c:v>3.5237129960968847</c:v>
                </c:pt>
                <c:pt idx="54">
                  <c:v>4.3757273132020442</c:v>
                </c:pt>
                <c:pt idx="55">
                  <c:v>5.0586317425586111</c:v>
                </c:pt>
                <c:pt idx="56">
                  <c:v>2.5691305504844744</c:v>
                </c:pt>
                <c:pt idx="57">
                  <c:v>4.4665525352579047</c:v>
                </c:pt>
                <c:pt idx="58">
                  <c:v>3.6043367582529724</c:v>
                </c:pt>
                <c:pt idx="59">
                  <c:v>3.621088359482119</c:v>
                </c:pt>
                <c:pt idx="60">
                  <c:v>2.5000000000000044</c:v>
                </c:pt>
                <c:pt idx="61">
                  <c:v>3.1405034429440857</c:v>
                </c:pt>
                <c:pt idx="62">
                  <c:v>0.9458081656200199</c:v>
                </c:pt>
                <c:pt idx="63">
                  <c:v>2.633505489350199</c:v>
                </c:pt>
                <c:pt idx="64">
                  <c:v>2.4751962333880506</c:v>
                </c:pt>
                <c:pt idx="65">
                  <c:v>2.5808119686009077</c:v>
                </c:pt>
              </c:numCache>
            </c:numRef>
          </c:val>
          <c:smooth val="0"/>
          <c:extLst>
            <c:ext xmlns:c16="http://schemas.microsoft.com/office/drawing/2014/chart" uri="{C3380CC4-5D6E-409C-BE32-E72D297353CC}">
              <c16:uniqueId val="{00000008-2827-4F9F-9525-3E82052A52AA}"/>
            </c:ext>
          </c:extLst>
        </c:ser>
        <c:ser>
          <c:idx val="9"/>
          <c:order val="9"/>
          <c:tx>
            <c:strRef>
              <c:f>' time series- X section'!$L$32</c:f>
              <c:strCache>
                <c:ptCount val="1"/>
                <c:pt idx="0">
                  <c:v>pred</c:v>
                </c:pt>
              </c:strCache>
            </c:strRef>
          </c:tx>
          <c:spPr>
            <a:ln w="28575" cap="rnd">
              <a:solidFill>
                <a:schemeClr val="accent4">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section'!$L$33:$L$122</c:f>
              <c:numCache>
                <c:formatCode>0.00</c:formatCode>
                <c:ptCount val="90"/>
                <c:pt idx="0">
                  <c:v>0.10568121149875487</c:v>
                </c:pt>
                <c:pt idx="1">
                  <c:v>-0.19026283919891385</c:v>
                </c:pt>
                <c:pt idx="2">
                  <c:v>-2.284766512099905</c:v>
                </c:pt>
                <c:pt idx="3">
                  <c:v>0.40899247632480562</c:v>
                </c:pt>
                <c:pt idx="4">
                  <c:v>0.25879148840731658</c:v>
                </c:pt>
                <c:pt idx="5">
                  <c:v>0.37173832657342842</c:v>
                </c:pt>
                <c:pt idx="6">
                  <c:v>10.439224564109548</c:v>
                </c:pt>
                <c:pt idx="7">
                  <c:v>10.314771240521551</c:v>
                </c:pt>
                <c:pt idx="8">
                  <c:v>8.7826832785183804</c:v>
                </c:pt>
                <c:pt idx="9">
                  <c:v>9.8899113985700424</c:v>
                </c:pt>
                <c:pt idx="10">
                  <c:v>9.685291930623249</c:v>
                </c:pt>
                <c:pt idx="11">
                  <c:v>9.9305468300284829</c:v>
                </c:pt>
                <c:pt idx="12">
                  <c:v>6.5686964260892218</c:v>
                </c:pt>
                <c:pt idx="13">
                  <c:v>6.1933432199502274</c:v>
                </c:pt>
                <c:pt idx="14">
                  <c:v>4.0718934227119101</c:v>
                </c:pt>
                <c:pt idx="15">
                  <c:v>3.7372560474001708</c:v>
                </c:pt>
                <c:pt idx="16">
                  <c:v>0.83804313117234219</c:v>
                </c:pt>
                <c:pt idx="17">
                  <c:v>3.996626826614146</c:v>
                </c:pt>
                <c:pt idx="18">
                  <c:v>4.3203418172188126</c:v>
                </c:pt>
                <c:pt idx="19">
                  <c:v>2.0668959131242546</c:v>
                </c:pt>
                <c:pt idx="20">
                  <c:v>2.0077814204342088</c:v>
                </c:pt>
                <c:pt idx="21">
                  <c:v>3.9967161398201592</c:v>
                </c:pt>
                <c:pt idx="22">
                  <c:v>3.3520774618790425</c:v>
                </c:pt>
                <c:pt idx="23">
                  <c:v>3.1231139449006089</c:v>
                </c:pt>
                <c:pt idx="24">
                  <c:v>4.3498745839782451</c:v>
                </c:pt>
                <c:pt idx="25">
                  <c:v>3.8622286013352598</c:v>
                </c:pt>
                <c:pt idx="26">
                  <c:v>1.8623024806500554</c:v>
                </c:pt>
                <c:pt idx="27">
                  <c:v>3.9752350221545689</c:v>
                </c:pt>
                <c:pt idx="28">
                  <c:v>3.2647170836920849</c:v>
                </c:pt>
                <c:pt idx="29">
                  <c:v>3.1423566397987024</c:v>
                </c:pt>
                <c:pt idx="30">
                  <c:v>4.2088843697917468</c:v>
                </c:pt>
                <c:pt idx="31">
                  <c:v>3.7994775764309567</c:v>
                </c:pt>
                <c:pt idx="32">
                  <c:v>1.5016895453905095</c:v>
                </c:pt>
                <c:pt idx="33">
                  <c:v>3.842265677141993</c:v>
                </c:pt>
                <c:pt idx="34">
                  <c:v>3.9581191639679698</c:v>
                </c:pt>
                <c:pt idx="35">
                  <c:v>4.1597378187822667</c:v>
                </c:pt>
                <c:pt idx="36">
                  <c:v>2.076612465611186</c:v>
                </c:pt>
                <c:pt idx="37">
                  <c:v>2.9755322318965467</c:v>
                </c:pt>
                <c:pt idx="38">
                  <c:v>0.7167970991438195</c:v>
                </c:pt>
                <c:pt idx="39">
                  <c:v>3.3445337573890077</c:v>
                </c:pt>
                <c:pt idx="40">
                  <c:v>3.1405851412902202</c:v>
                </c:pt>
                <c:pt idx="41">
                  <c:v>2.916113456174708</c:v>
                </c:pt>
                <c:pt idx="42">
                  <c:v>3.7949847424734671</c:v>
                </c:pt>
                <c:pt idx="43">
                  <c:v>3.5362541912382373</c:v>
                </c:pt>
                <c:pt idx="44">
                  <c:v>3.8123856721142495</c:v>
                </c:pt>
                <c:pt idx="45">
                  <c:v>5.7105152903154508</c:v>
                </c:pt>
                <c:pt idx="46">
                  <c:v>-1.7412831228234449</c:v>
                </c:pt>
                <c:pt idx="47">
                  <c:v>-5.2644278031605154</c:v>
                </c:pt>
                <c:pt idx="48">
                  <c:v>1.4170404503958913</c:v>
                </c:pt>
                <c:pt idx="49">
                  <c:v>3.3474115603666581</c:v>
                </c:pt>
                <c:pt idx="50">
                  <c:v>1.532967741379794</c:v>
                </c:pt>
                <c:pt idx="51">
                  <c:v>3.4029991016392804</c:v>
                </c:pt>
                <c:pt idx="52">
                  <c:v>3.2501177282008671</c:v>
                </c:pt>
                <c:pt idx="53">
                  <c:v>3.4233400985944531</c:v>
                </c:pt>
                <c:pt idx="54">
                  <c:v>4.4447179054055601</c:v>
                </c:pt>
                <c:pt idx="55">
                  <c:v>5.1391189120414245</c:v>
                </c:pt>
                <c:pt idx="56">
                  <c:v>2.5798868991118686</c:v>
                </c:pt>
                <c:pt idx="57">
                  <c:v>4.4201729882930678</c:v>
                </c:pt>
                <c:pt idx="58">
                  <c:v>3.5247378158548077</c:v>
                </c:pt>
                <c:pt idx="59">
                  <c:v>3.5615396307985181</c:v>
                </c:pt>
                <c:pt idx="60">
                  <c:v>2.5000000000000111</c:v>
                </c:pt>
                <c:pt idx="61">
                  <c:v>3.0780538853289778</c:v>
                </c:pt>
                <c:pt idx="62">
                  <c:v>0.81563360277910091</c:v>
                </c:pt>
                <c:pt idx="63">
                  <c:v>2.4376087534634507</c:v>
                </c:pt>
                <c:pt idx="64">
                  <c:v>2.2517633291918879</c:v>
                </c:pt>
                <c:pt idx="65">
                  <c:v>2.3779128603363504</c:v>
                </c:pt>
                <c:pt idx="66">
                  <c:v>2.9422618249213444</c:v>
                </c:pt>
                <c:pt idx="67">
                  <c:v>2.0376170360846464</c:v>
                </c:pt>
                <c:pt idx="68">
                  <c:v>-0.10505992066389691</c:v>
                </c:pt>
                <c:pt idx="69">
                  <c:v>0.64067466717887811</c:v>
                </c:pt>
                <c:pt idx="70">
                  <c:v>0.41552398904305732</c:v>
                </c:pt>
                <c:pt idx="71">
                  <c:v>0.54612952588492525</c:v>
                </c:pt>
              </c:numCache>
            </c:numRef>
          </c:val>
          <c:smooth val="0"/>
          <c:extLst>
            <c:ext xmlns:c16="http://schemas.microsoft.com/office/drawing/2014/chart" uri="{C3380CC4-5D6E-409C-BE32-E72D297353CC}">
              <c16:uniqueId val="{00000009-2827-4F9F-9525-3E82052A52AA}"/>
            </c:ext>
          </c:extLst>
        </c:ser>
        <c:ser>
          <c:idx val="10"/>
          <c:order val="10"/>
          <c:tx>
            <c:strRef>
              <c:f>' time series- X section'!$M$32</c:f>
              <c:strCache>
                <c:ptCount val="1"/>
              </c:strCache>
            </c:strRef>
          </c:tx>
          <c:spPr>
            <a:ln w="28575" cap="rnd">
              <a:solidFill>
                <a:schemeClr val="accent5">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section'!$M$33:$M$122</c:f>
              <c:numCache>
                <c:formatCode>0.00</c:formatCode>
                <c:ptCount val="90"/>
                <c:pt idx="0">
                  <c:v>8.7087965294138758E-2</c:v>
                </c:pt>
                <c:pt idx="1">
                  <c:v>-0.20416015804502763</c:v>
                </c:pt>
                <c:pt idx="2">
                  <c:v>-2.3012128021474525</c:v>
                </c:pt>
                <c:pt idx="3">
                  <c:v>0.42208561634118369</c:v>
                </c:pt>
                <c:pt idx="4">
                  <c:v>0.27660350341200135</c:v>
                </c:pt>
                <c:pt idx="5">
                  <c:v>0.38468213527811779</c:v>
                </c:pt>
                <c:pt idx="6">
                  <c:v>10.408150252234169</c:v>
                </c:pt>
                <c:pt idx="7">
                  <c:v>10.280941708908909</c:v>
                </c:pt>
                <c:pt idx="8">
                  <c:v>8.7515304563495402</c:v>
                </c:pt>
                <c:pt idx="9">
                  <c:v>9.8958106473344873</c:v>
                </c:pt>
                <c:pt idx="10">
                  <c:v>9.6974098168254859</c:v>
                </c:pt>
                <c:pt idx="11">
                  <c:v>9.934438287715043</c:v>
                </c:pt>
                <c:pt idx="12">
                  <c:v>6.5583288184346555</c:v>
                </c:pt>
                <c:pt idx="13">
                  <c:v>6.1840765389844474</c:v>
                </c:pt>
                <c:pt idx="14">
                  <c:v>4.0598187096756337</c:v>
                </c:pt>
                <c:pt idx="15">
                  <c:v>3.7402091635916359</c:v>
                </c:pt>
                <c:pt idx="16">
                  <c:v>0.8285070513800008</c:v>
                </c:pt>
                <c:pt idx="17">
                  <c:v>3.9945601108182283</c:v>
                </c:pt>
                <c:pt idx="18">
                  <c:v>4.2831175053864907</c:v>
                </c:pt>
                <c:pt idx="19">
                  <c:v>2.0240076649183472</c:v>
                </c:pt>
                <c:pt idx="20">
                  <c:v>1.9781090221719175</c:v>
                </c:pt>
                <c:pt idx="21">
                  <c:v>4.0029963621755797</c:v>
                </c:pt>
                <c:pt idx="22">
                  <c:v>3.3632435257323983</c:v>
                </c:pt>
                <c:pt idx="23">
                  <c:v>3.1272277825357508</c:v>
                </c:pt>
                <c:pt idx="24">
                  <c:v>4.3151253954730535</c:v>
                </c:pt>
                <c:pt idx="25">
                  <c:v>3.8306177094799536</c:v>
                </c:pt>
                <c:pt idx="26">
                  <c:v>1.8253819728347342</c:v>
                </c:pt>
                <c:pt idx="27">
                  <c:v>3.9674630188214008</c:v>
                </c:pt>
                <c:pt idx="28">
                  <c:v>3.2672678375493778</c:v>
                </c:pt>
                <c:pt idx="29">
                  <c:v>3.1428849261800766</c:v>
                </c:pt>
                <c:pt idx="30">
                  <c:v>4.1953946956050245</c:v>
                </c:pt>
                <c:pt idx="31">
                  <c:v>3.7875068605345641</c:v>
                </c:pt>
                <c:pt idx="32">
                  <c:v>1.485928225490172</c:v>
                </c:pt>
                <c:pt idx="33">
                  <c:v>3.8526407696680307</c:v>
                </c:pt>
                <c:pt idx="34">
                  <c:v>3.972878776656283</c:v>
                </c:pt>
                <c:pt idx="35">
                  <c:v>4.1707369321788574</c:v>
                </c:pt>
                <c:pt idx="36">
                  <c:v>2.0582239455163638</c:v>
                </c:pt>
                <c:pt idx="37">
                  <c:v>2.9628571199407885</c:v>
                </c:pt>
                <c:pt idx="38">
                  <c:v>0.69952207940793709</c:v>
                </c:pt>
                <c:pt idx="39">
                  <c:v>3.3567697501504492</c:v>
                </c:pt>
                <c:pt idx="40">
                  <c:v>3.1557051068085613</c:v>
                </c:pt>
                <c:pt idx="41">
                  <c:v>2.9320082583088665</c:v>
                </c:pt>
                <c:pt idx="42">
                  <c:v>3.7773915106251597</c:v>
                </c:pt>
                <c:pt idx="43">
                  <c:v>3.5176341362394226</c:v>
                </c:pt>
                <c:pt idx="44">
                  <c:v>3.796530805720792</c:v>
                </c:pt>
                <c:pt idx="45">
                  <c:v>5.7280252248037407</c:v>
                </c:pt>
                <c:pt idx="46">
                  <c:v>-1.7396019556971538</c:v>
                </c:pt>
                <c:pt idx="47">
                  <c:v>-5.2794954977130715</c:v>
                </c:pt>
                <c:pt idx="48">
                  <c:v>1.4190451607946204</c:v>
                </c:pt>
                <c:pt idx="49">
                  <c:v>3.3254011970918458</c:v>
                </c:pt>
                <c:pt idx="50">
                  <c:v>1.5091782375340679</c:v>
                </c:pt>
                <c:pt idx="51">
                  <c:v>3.4127788920522284</c:v>
                </c:pt>
                <c:pt idx="52">
                  <c:v>3.2656092967000601</c:v>
                </c:pt>
                <c:pt idx="53">
                  <c:v>3.4336763396451322</c:v>
                </c:pt>
                <c:pt idx="54">
                  <c:v>4.4285789194643099</c:v>
                </c:pt>
                <c:pt idx="55">
                  <c:v>5.1260987053995155</c:v>
                </c:pt>
                <c:pt idx="56">
                  <c:v>2.5627609195211472</c:v>
                </c:pt>
                <c:pt idx="57">
                  <c:v>4.434969827864454</c:v>
                </c:pt>
                <c:pt idx="58">
                  <c:v>3.5404804104420036</c:v>
                </c:pt>
                <c:pt idx="59">
                  <c:v>3.5721974774412963</c:v>
                </c:pt>
                <c:pt idx="60">
                  <c:v>2.5000000000000075</c:v>
                </c:pt>
                <c:pt idx="61">
                  <c:v>3.0421093687644531</c:v>
                </c:pt>
                <c:pt idx="62">
                  <c:v>0.77770176095043553</c:v>
                </c:pt>
                <c:pt idx="63">
                  <c:v>2.4319618911984979</c:v>
                </c:pt>
                <c:pt idx="64">
                  <c:v>2.2518870276941421</c:v>
                </c:pt>
                <c:pt idx="65">
                  <c:v>2.3736219813859694</c:v>
                </c:pt>
                <c:pt idx="66">
                  <c:v>2.9512136014614048</c:v>
                </c:pt>
                <c:pt idx="67">
                  <c:v>2.0355690930635761</c:v>
                </c:pt>
                <c:pt idx="68">
                  <c:v>-0.10605192599424851</c:v>
                </c:pt>
                <c:pt idx="69">
                  <c:v>0.65837885802809359</c:v>
                </c:pt>
                <c:pt idx="70">
                  <c:v>0.4345605594932398</c:v>
                </c:pt>
                <c:pt idx="71">
                  <c:v>0.56056260459396268</c:v>
                </c:pt>
                <c:pt idx="72">
                  <c:v>3.1306014989315765</c:v>
                </c:pt>
                <c:pt idx="73">
                  <c:v>2.9342659877687742</c:v>
                </c:pt>
                <c:pt idx="74">
                  <c:v>0.85097122707103257</c:v>
                </c:pt>
                <c:pt idx="75">
                  <c:v>1.7320340542487678</c:v>
                </c:pt>
                <c:pt idx="76">
                  <c:v>1.5543870793054388</c:v>
                </c:pt>
                <c:pt idx="77">
                  <c:v>1.7945756860735447</c:v>
                </c:pt>
              </c:numCache>
            </c:numRef>
          </c:val>
          <c:smooth val="0"/>
          <c:extLst>
            <c:ext xmlns:c16="http://schemas.microsoft.com/office/drawing/2014/chart" uri="{C3380CC4-5D6E-409C-BE32-E72D297353CC}">
              <c16:uniqueId val="{0000000A-2827-4F9F-9525-3E82052A52AA}"/>
            </c:ext>
          </c:extLst>
        </c:ser>
        <c:ser>
          <c:idx val="11"/>
          <c:order val="11"/>
          <c:tx>
            <c:strRef>
              <c:f>' time series- X section'!$N$32</c:f>
              <c:strCache>
                <c:ptCount val="1"/>
              </c:strCache>
            </c:strRef>
          </c:tx>
          <c:spPr>
            <a:ln w="28575" cap="rnd">
              <a:solidFill>
                <a:schemeClr val="accent6">
                  <a:lumMod val="6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section'!$N$33:$N$122</c:f>
              <c:numCache>
                <c:formatCode>0.00</c:formatCode>
                <c:ptCount val="90"/>
                <c:pt idx="0">
                  <c:v>4.8736438976661578E-2</c:v>
                </c:pt>
                <c:pt idx="1">
                  <c:v>-0.23807919761812801</c:v>
                </c:pt>
                <c:pt idx="2">
                  <c:v>-2.381539701554602</c:v>
                </c:pt>
                <c:pt idx="3">
                  <c:v>0.45852453081741995</c:v>
                </c:pt>
                <c:pt idx="4">
                  <c:v>0.32036849070531326</c:v>
                </c:pt>
                <c:pt idx="5">
                  <c:v>0.42006957389330535</c:v>
                </c:pt>
                <c:pt idx="6">
                  <c:v>10.429506162691837</c:v>
                </c:pt>
                <c:pt idx="7">
                  <c:v>10.293880673955478</c:v>
                </c:pt>
                <c:pt idx="8">
                  <c:v>8.7403936346173516</c:v>
                </c:pt>
                <c:pt idx="9">
                  <c:v>9.9868127663914308</c:v>
                </c:pt>
                <c:pt idx="10">
                  <c:v>9.7979360320155919</c:v>
                </c:pt>
                <c:pt idx="11">
                  <c:v>10.021869220266966</c:v>
                </c:pt>
                <c:pt idx="12">
                  <c:v>6.5491710835883747</c:v>
                </c:pt>
                <c:pt idx="13">
                  <c:v>6.1699879226774677</c:v>
                </c:pt>
                <c:pt idx="14">
                  <c:v>3.9982333818053006</c:v>
                </c:pt>
                <c:pt idx="15">
                  <c:v>3.7279894974050083</c:v>
                </c:pt>
                <c:pt idx="16">
                  <c:v>0.75580365369151536</c:v>
                </c:pt>
                <c:pt idx="17">
                  <c:v>3.9997214528090757</c:v>
                </c:pt>
                <c:pt idx="18">
                  <c:v>4.1717156617796229</c:v>
                </c:pt>
                <c:pt idx="19">
                  <c:v>1.8563261470843608</c:v>
                </c:pt>
                <c:pt idx="20">
                  <c:v>1.8815716291597853</c:v>
                </c:pt>
                <c:pt idx="21">
                  <c:v>4.0234118613468191</c:v>
                </c:pt>
                <c:pt idx="22">
                  <c:v>3.3817006453728533</c:v>
                </c:pt>
                <c:pt idx="23">
                  <c:v>3.1258889698911809</c:v>
                </c:pt>
                <c:pt idx="24">
                  <c:v>4.2096796206800633</c:v>
                </c:pt>
                <c:pt idx="25">
                  <c:v>3.7224783681895648</c:v>
                </c:pt>
                <c:pt idx="26">
                  <c:v>1.6666797190811318</c:v>
                </c:pt>
                <c:pt idx="27">
                  <c:v>3.9133439148175926</c:v>
                </c:pt>
                <c:pt idx="28">
                  <c:v>3.221722399960929</c:v>
                </c:pt>
                <c:pt idx="29">
                  <c:v>3.0905560607897065</c:v>
                </c:pt>
                <c:pt idx="30">
                  <c:v>4.1740521309590903</c:v>
                </c:pt>
                <c:pt idx="31">
                  <c:v>3.7614775852041271</c:v>
                </c:pt>
                <c:pt idx="32">
                  <c:v>1.4068258839624415</c:v>
                </c:pt>
                <c:pt idx="33">
                  <c:v>3.8760163457642034</c:v>
                </c:pt>
                <c:pt idx="34">
                  <c:v>4.0080448839127536</c:v>
                </c:pt>
                <c:pt idx="35">
                  <c:v>4.2016633054173269</c:v>
                </c:pt>
                <c:pt idx="36">
                  <c:v>2.0051163783297516</c:v>
                </c:pt>
                <c:pt idx="37">
                  <c:v>2.9397075276751323</c:v>
                </c:pt>
                <c:pt idx="38">
                  <c:v>0.62230234171324517</c:v>
                </c:pt>
                <c:pt idx="39">
                  <c:v>3.3949658451978761</c:v>
                </c:pt>
                <c:pt idx="40">
                  <c:v>3.1961902902166841</c:v>
                </c:pt>
                <c:pt idx="41">
                  <c:v>2.9697977520872652</c:v>
                </c:pt>
                <c:pt idx="42">
                  <c:v>3.745121589954195</c:v>
                </c:pt>
                <c:pt idx="43">
                  <c:v>3.4780840566377336</c:v>
                </c:pt>
                <c:pt idx="44">
                  <c:v>3.7613718674775587</c:v>
                </c:pt>
                <c:pt idx="45">
                  <c:v>5.8000869630608722</c:v>
                </c:pt>
                <c:pt idx="46">
                  <c:v>-1.8333289650385876</c:v>
                </c:pt>
                <c:pt idx="47">
                  <c:v>-5.4736987159502997</c:v>
                </c:pt>
                <c:pt idx="48">
                  <c:v>1.4481681812973193</c:v>
                </c:pt>
                <c:pt idx="49">
                  <c:v>3.265386453960426</c:v>
                </c:pt>
                <c:pt idx="50">
                  <c:v>1.4098933774349682</c:v>
                </c:pt>
                <c:pt idx="51">
                  <c:v>3.4229466014298211</c:v>
                </c:pt>
                <c:pt idx="52">
                  <c:v>3.2852089152843025</c:v>
                </c:pt>
                <c:pt idx="53">
                  <c:v>3.4454504177155867</c:v>
                </c:pt>
                <c:pt idx="54">
                  <c:v>4.3989251254124362</c:v>
                </c:pt>
                <c:pt idx="55">
                  <c:v>5.1167727750241925</c:v>
                </c:pt>
                <c:pt idx="56">
                  <c:v>2.4945756439977158</c:v>
                </c:pt>
                <c:pt idx="57">
                  <c:v>4.4720780241891838</c:v>
                </c:pt>
                <c:pt idx="58">
                  <c:v>3.5621727202221631</c:v>
                </c:pt>
                <c:pt idx="59">
                  <c:v>3.583555846374038</c:v>
                </c:pt>
                <c:pt idx="60">
                  <c:v>2.5000000000000093</c:v>
                </c:pt>
                <c:pt idx="61">
                  <c:v>2.9092499773806937</c:v>
                </c:pt>
                <c:pt idx="62">
                  <c:v>0.59637892788777602</c:v>
                </c:pt>
                <c:pt idx="63">
                  <c:v>2.3524600705981298</c:v>
                </c:pt>
                <c:pt idx="64">
                  <c:v>2.181301696417548</c:v>
                </c:pt>
                <c:pt idx="65">
                  <c:v>2.2959026995982588</c:v>
                </c:pt>
                <c:pt idx="66">
                  <c:v>2.9132894982968507</c:v>
                </c:pt>
                <c:pt idx="67">
                  <c:v>2.0524683508258792</c:v>
                </c:pt>
                <c:pt idx="68">
                  <c:v>-0.17685656643185865</c:v>
                </c:pt>
                <c:pt idx="69">
                  <c:v>0.59457057706292304</c:v>
                </c:pt>
                <c:pt idx="70">
                  <c:v>0.36925519425011255</c:v>
                </c:pt>
                <c:pt idx="71">
                  <c:v>0.48779961674514905</c:v>
                </c:pt>
                <c:pt idx="72">
                  <c:v>3.0652829084453779</c:v>
                </c:pt>
                <c:pt idx="73">
                  <c:v>2.8641770087808429</c:v>
                </c:pt>
                <c:pt idx="74">
                  <c:v>0.73743501814909163</c:v>
                </c:pt>
                <c:pt idx="75">
                  <c:v>1.7641641403072308</c:v>
                </c:pt>
                <c:pt idx="76">
                  <c:v>1.5947576376214609</c:v>
                </c:pt>
                <c:pt idx="77">
                  <c:v>1.8296066270940106</c:v>
                </c:pt>
                <c:pt idx="78">
                  <c:v>1.1650272908326371</c:v>
                </c:pt>
                <c:pt idx="79">
                  <c:v>0.83497270916738064</c:v>
                </c:pt>
                <c:pt idx="80">
                  <c:v>0.17050130578614642</c:v>
                </c:pt>
                <c:pt idx="81">
                  <c:v>-0.15664175266538383</c:v>
                </c:pt>
                <c:pt idx="82">
                  <c:v>-0.33899516130713625</c:v>
                </c:pt>
                <c:pt idx="83">
                  <c:v>-0.21082896685403929</c:v>
                </c:pt>
              </c:numCache>
            </c:numRef>
          </c:val>
          <c:smooth val="0"/>
          <c:extLst>
            <c:ext xmlns:c16="http://schemas.microsoft.com/office/drawing/2014/chart" uri="{C3380CC4-5D6E-409C-BE32-E72D297353CC}">
              <c16:uniqueId val="{0000000B-2827-4F9F-9525-3E82052A52AA}"/>
            </c:ext>
          </c:extLst>
        </c:ser>
        <c:ser>
          <c:idx val="12"/>
          <c:order val="12"/>
          <c:tx>
            <c:strRef>
              <c:f>' time series- X section'!$O$32</c:f>
              <c:strCache>
                <c:ptCount val="1"/>
              </c:strCache>
            </c:strRef>
          </c:tx>
          <c:spPr>
            <a:ln w="28575" cap="rnd">
              <a:solidFill>
                <a:schemeClr val="accent1">
                  <a:lumMod val="80000"/>
                  <a:lumOff val="20000"/>
                </a:schemeClr>
              </a:solidFill>
              <a:round/>
            </a:ln>
            <a:effectLst/>
          </c:spPr>
          <c:marker>
            <c:symbol val="none"/>
          </c:marker>
          <c:cat>
            <c:numRef>
              <c:f>' time series- X section'!$B$33:$B$122</c:f>
              <c:numCache>
                <c:formatCode>General</c:formatCode>
                <c:ptCount val="9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pt idx="66">
                  <c:v>2012</c:v>
                </c:pt>
                <c:pt idx="67">
                  <c:v>2013</c:v>
                </c:pt>
                <c:pt idx="68">
                  <c:v>2014</c:v>
                </c:pt>
                <c:pt idx="69">
                  <c:v>2015</c:v>
                </c:pt>
                <c:pt idx="70">
                  <c:v>2016</c:v>
                </c:pt>
                <c:pt idx="71">
                  <c:v>2017</c:v>
                </c:pt>
                <c:pt idx="72">
                  <c:v>2012</c:v>
                </c:pt>
                <c:pt idx="73">
                  <c:v>2013</c:v>
                </c:pt>
                <c:pt idx="74">
                  <c:v>2014</c:v>
                </c:pt>
                <c:pt idx="75">
                  <c:v>2015</c:v>
                </c:pt>
                <c:pt idx="76">
                  <c:v>2016</c:v>
                </c:pt>
                <c:pt idx="77">
                  <c:v>2017</c:v>
                </c:pt>
                <c:pt idx="78">
                  <c:v>2012</c:v>
                </c:pt>
                <c:pt idx="79">
                  <c:v>2013</c:v>
                </c:pt>
                <c:pt idx="80">
                  <c:v>2014</c:v>
                </c:pt>
                <c:pt idx="81">
                  <c:v>2015</c:v>
                </c:pt>
                <c:pt idx="82">
                  <c:v>2016</c:v>
                </c:pt>
                <c:pt idx="83">
                  <c:v>2017</c:v>
                </c:pt>
                <c:pt idx="84">
                  <c:v>2012</c:v>
                </c:pt>
                <c:pt idx="85">
                  <c:v>2013</c:v>
                </c:pt>
                <c:pt idx="86">
                  <c:v>2014</c:v>
                </c:pt>
                <c:pt idx="87">
                  <c:v>2015</c:v>
                </c:pt>
                <c:pt idx="88">
                  <c:v>2016</c:v>
                </c:pt>
                <c:pt idx="89">
                  <c:v>2017</c:v>
                </c:pt>
              </c:numCache>
            </c:numRef>
          </c:cat>
          <c:val>
            <c:numRef>
              <c:f>' time series- X section'!$O$33:$O$122</c:f>
              <c:numCache>
                <c:formatCode>0.00</c:formatCode>
                <c:ptCount val="90"/>
                <c:pt idx="0">
                  <c:v>0.27642580858084509</c:v>
                </c:pt>
                <c:pt idx="1">
                  <c:v>-5.0134207928808738E-2</c:v>
                </c:pt>
                <c:pt idx="2">
                  <c:v>-2.0232626187562031</c:v>
                </c:pt>
                <c:pt idx="3">
                  <c:v>0.2663005556633018</c:v>
                </c:pt>
                <c:pt idx="4">
                  <c:v>7.8496699954413662E-2</c:v>
                </c:pt>
                <c:pt idx="5">
                  <c:v>0.23218770945008993</c:v>
                </c:pt>
                <c:pt idx="6">
                  <c:v>10.217341284418527</c:v>
                </c:pt>
                <c:pt idx="7">
                  <c:v>10.124698169772758</c:v>
                </c:pt>
                <c:pt idx="8">
                  <c:v>8.638491978828041</c:v>
                </c:pt>
                <c:pt idx="9">
                  <c:v>9.3442491444918989</c:v>
                </c:pt>
                <c:pt idx="10">
                  <c:v>9.0903861509052373</c:v>
                </c:pt>
                <c:pt idx="11">
                  <c:v>9.4019649269677341</c:v>
                </c:pt>
                <c:pt idx="12">
                  <c:v>6.3309884174867612</c:v>
                </c:pt>
                <c:pt idx="13">
                  <c:v>5.9626706073147293</c:v>
                </c:pt>
                <c:pt idx="14">
                  <c:v>3.9662951782738256</c:v>
                </c:pt>
                <c:pt idx="15">
                  <c:v>3.6187057833795868</c:v>
                </c:pt>
                <c:pt idx="16">
                  <c:v>1.0856297611343182</c:v>
                </c:pt>
                <c:pt idx="17">
                  <c:v>4.0269253133318061</c:v>
                </c:pt>
                <c:pt idx="18">
                  <c:v>4.4407953369043165</c:v>
                </c:pt>
                <c:pt idx="19">
                  <c:v>2.3455355753552727</c:v>
                </c:pt>
                <c:pt idx="20">
                  <c:v>2.3643868581630936</c:v>
                </c:pt>
                <c:pt idx="21">
                  <c:v>3.9212799612740405</c:v>
                </c:pt>
                <c:pt idx="22">
                  <c:v>3.2604288585292216</c:v>
                </c:pt>
                <c:pt idx="23">
                  <c:v>3.1087248902712044</c:v>
                </c:pt>
                <c:pt idx="24">
                  <c:v>4.4455733013008558</c:v>
                </c:pt>
                <c:pt idx="25">
                  <c:v>3.9509315805346334</c:v>
                </c:pt>
                <c:pt idx="26">
                  <c:v>2.0940676773550031</c:v>
                </c:pt>
                <c:pt idx="27">
                  <c:v>3.8334783177969314</c:v>
                </c:pt>
                <c:pt idx="28">
                  <c:v>3.0584446824720506</c:v>
                </c:pt>
                <c:pt idx="29">
                  <c:v>2.960874785903278</c:v>
                </c:pt>
                <c:pt idx="30">
                  <c:v>4.3173300970527988</c:v>
                </c:pt>
                <c:pt idx="31">
                  <c:v>3.9125913499929852</c:v>
                </c:pt>
                <c:pt idx="32">
                  <c:v>1.7573515508905011</c:v>
                </c:pt>
                <c:pt idx="33">
                  <c:v>3.7422869711751217</c:v>
                </c:pt>
                <c:pt idx="34">
                  <c:v>3.8113374378029032</c:v>
                </c:pt>
                <c:pt idx="35">
                  <c:v>4.0391165400492799</c:v>
                </c:pt>
                <c:pt idx="36">
                  <c:v>2.2816125728590908</c:v>
                </c:pt>
                <c:pt idx="37">
                  <c:v>3.0847997857836589</c:v>
                </c:pt>
                <c:pt idx="38">
                  <c:v>0.97444442335159942</c:v>
                </c:pt>
                <c:pt idx="39">
                  <c:v>3.2013206275786423</c:v>
                </c:pt>
                <c:pt idx="40">
                  <c:v>2.97960050008479</c:v>
                </c:pt>
                <c:pt idx="41">
                  <c:v>2.7582360373058572</c:v>
                </c:pt>
                <c:pt idx="42">
                  <c:v>3.9438200198845212</c:v>
                </c:pt>
                <c:pt idx="43">
                  <c:v>3.7068087005279153</c:v>
                </c:pt>
                <c:pt idx="44">
                  <c:v>3.9155745815296168</c:v>
                </c:pt>
                <c:pt idx="45">
                  <c:v>5.4008564937921557</c:v>
                </c:pt>
                <c:pt idx="46">
                  <c:v>-1.4984201588760886</c:v>
                </c:pt>
                <c:pt idx="47">
                  <c:v>-4.6807332869925373</c:v>
                </c:pt>
                <c:pt idx="48">
                  <c:v>1.5561453202410203</c:v>
                </c:pt>
                <c:pt idx="49">
                  <c:v>3.454127671222845</c:v>
                </c:pt>
                <c:pt idx="50">
                  <c:v>1.7407769401877029</c:v>
                </c:pt>
                <c:pt idx="51">
                  <c:v>3.206805740455783</c:v>
                </c:pt>
                <c:pt idx="52">
                  <c:v>3.007065875384483</c:v>
                </c:pt>
                <c:pt idx="53">
                  <c:v>3.2209449605260678</c:v>
                </c:pt>
                <c:pt idx="54">
                  <c:v>4.5842696670676704</c:v>
                </c:pt>
                <c:pt idx="55">
                  <c:v>5.2169504279609598</c:v>
                </c:pt>
                <c:pt idx="56">
                  <c:v>2.8153887988934954</c:v>
                </c:pt>
                <c:pt idx="57">
                  <c:v>4.2686086129282641</c:v>
                </c:pt>
                <c:pt idx="58">
                  <c:v>3.4058338143565545</c:v>
                </c:pt>
                <c:pt idx="59">
                  <c:v>3.4889626257564776</c:v>
                </c:pt>
                <c:pt idx="60">
                  <c:v>2.5000000000000089</c:v>
                </c:pt>
                <c:pt idx="61">
                  <c:v>3.244124175450267</c:v>
                </c:pt>
                <c:pt idx="62">
                  <c:v>1.1055733103415437</c:v>
                </c:pt>
                <c:pt idx="63">
                  <c:v>2.3472018533023369</c:v>
                </c:pt>
                <c:pt idx="64">
                  <c:v>2.1154738653334899</c:v>
                </c:pt>
                <c:pt idx="65">
                  <c:v>2.2774687580489714</c:v>
                </c:pt>
                <c:pt idx="66">
                  <c:v>2.6904966243500468</c:v>
                </c:pt>
                <c:pt idx="67">
                  <c:v>2.0668954273977813</c:v>
                </c:pt>
                <c:pt idx="68">
                  <c:v>-5.3776907831984522E-2</c:v>
                </c:pt>
                <c:pt idx="69">
                  <c:v>0.41313802741601546</c:v>
                </c:pt>
                <c:pt idx="70">
                  <c:v>0.1858589036133691</c:v>
                </c:pt>
                <c:pt idx="71">
                  <c:v>0.35388751722852896</c:v>
                </c:pt>
                <c:pt idx="72">
                  <c:v>3.3033264989841271</c:v>
                </c:pt>
                <c:pt idx="73">
                  <c:v>3.1206477223154314</c:v>
                </c:pt>
                <c:pt idx="74">
                  <c:v>1.1476389983501485</c:v>
                </c:pt>
                <c:pt idx="75">
                  <c:v>1.6600393781029288</c:v>
                </c:pt>
                <c:pt idx="76">
                  <c:v>1.4341193503915655</c:v>
                </c:pt>
                <c:pt idx="77">
                  <c:v>1.7115613164561267</c:v>
                </c:pt>
                <c:pt idx="78">
                  <c:v>1.1526390225424326</c:v>
                </c:pt>
                <c:pt idx="79">
                  <c:v>0.8473609774575932</c:v>
                </c:pt>
                <c:pt idx="80">
                  <c:v>0.87389105353754015</c:v>
                </c:pt>
                <c:pt idx="81">
                  <c:v>0.21576484090866854</c:v>
                </c:pt>
                <c:pt idx="82">
                  <c:v>-2.9456884960205265E-2</c:v>
                </c:pt>
                <c:pt idx="83">
                  <c:v>0.15710885762355842</c:v>
                </c:pt>
                <c:pt idx="84">
                  <c:v>2.1653628922016011</c:v>
                </c:pt>
                <c:pt idx="85">
                  <c:v>6.2757360249819589</c:v>
                </c:pt>
                <c:pt idx="86">
                  <c:v>2.4971455369517166</c:v>
                </c:pt>
                <c:pt idx="87">
                  <c:v>3.8421473848572196</c:v>
                </c:pt>
                <c:pt idx="88">
                  <c:v>3.8570560986510136</c:v>
                </c:pt>
                <c:pt idx="89">
                  <c:v>3.9965810549431566</c:v>
                </c:pt>
              </c:numCache>
            </c:numRef>
          </c:val>
          <c:smooth val="0"/>
          <c:extLst>
            <c:ext xmlns:c16="http://schemas.microsoft.com/office/drawing/2014/chart" uri="{C3380CC4-5D6E-409C-BE32-E72D297353CC}">
              <c16:uniqueId val="{0000000C-2827-4F9F-9525-3E82052A52AA}"/>
            </c:ext>
          </c:extLst>
        </c:ser>
        <c:dLbls>
          <c:showLegendKey val="0"/>
          <c:showVal val="0"/>
          <c:showCatName val="0"/>
          <c:showSerName val="0"/>
          <c:showPercent val="0"/>
          <c:showBubbleSize val="0"/>
        </c:dLbls>
        <c:smooth val="0"/>
        <c:axId val="792763416"/>
        <c:axId val="792763744"/>
      </c:lineChart>
      <c:catAx>
        <c:axId val="792763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3744"/>
        <c:crosses val="autoZero"/>
        <c:auto val="1"/>
        <c:lblAlgn val="ctr"/>
        <c:lblOffset val="100"/>
        <c:noMultiLvlLbl val="0"/>
      </c:catAx>
      <c:valAx>
        <c:axId val="7927637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'Lithium Battery costs'!$Q$2</c:f>
              <c:strCache>
                <c:ptCount val="1"/>
                <c:pt idx="0">
                  <c:v>Bloomberg</c:v>
                </c:pt>
              </c:strCache>
            </c:strRef>
          </c:tx>
          <c:spPr>
            <a:ln w="28575" cap="rnd">
              <a:solidFill>
                <a:schemeClr val="accent1"/>
              </a:solidFill>
              <a:round/>
            </a:ln>
            <a:effectLst/>
          </c:spPr>
          <c:marker>
            <c:symbol val="none"/>
          </c:marker>
          <c:val>
            <c:numRef>
              <c:f>'Lithium Battery costs'!$Q$18:$Q$38</c:f>
              <c:numCache>
                <c:formatCode>0</c:formatCode>
                <c:ptCount val="21"/>
                <c:pt idx="16">
                  <c:v>129</c:v>
                </c:pt>
                <c:pt idx="17">
                  <c:v>121</c:v>
                </c:pt>
                <c:pt idx="18">
                  <c:v>112</c:v>
                </c:pt>
                <c:pt idx="19">
                  <c:v>104</c:v>
                </c:pt>
                <c:pt idx="20">
                  <c:v>95</c:v>
                </c:pt>
              </c:numCache>
            </c:numRef>
          </c:val>
          <c:smooth val="0"/>
          <c:extLst>
            <c:ext xmlns:c16="http://schemas.microsoft.com/office/drawing/2014/chart" uri="{C3380CC4-5D6E-409C-BE32-E72D297353CC}">
              <c16:uniqueId val="{00000000-177F-48FB-AF08-EF6D7DB7DA1A}"/>
            </c:ext>
          </c:extLst>
        </c:ser>
        <c:ser>
          <c:idx val="1"/>
          <c:order val="1"/>
          <c:tx>
            <c:strRef>
              <c:f>'Lithium Battery costs'!$R$2</c:f>
              <c:strCache>
                <c:ptCount val="1"/>
                <c:pt idx="0">
                  <c:v> UBS</c:v>
                </c:pt>
              </c:strCache>
            </c:strRef>
          </c:tx>
          <c:spPr>
            <a:ln w="28575" cap="rnd">
              <a:solidFill>
                <a:schemeClr val="accent2"/>
              </a:solidFill>
              <a:round/>
            </a:ln>
            <a:effectLst/>
          </c:spPr>
          <c:marker>
            <c:symbol val="none"/>
          </c:marker>
          <c:val>
            <c:numRef>
              <c:f>'Lithium Battery costs'!$R$18:$R$38</c:f>
              <c:numCache>
                <c:formatCode>0</c:formatCode>
                <c:ptCount val="21"/>
                <c:pt idx="0">
                  <c:v>1119.8079338564401</c:v>
                </c:pt>
                <c:pt idx="1">
                  <c:v>878.51783705804689</c:v>
                </c:pt>
                <c:pt idx="2">
                  <c:v>689.08093199299628</c:v>
                </c:pt>
                <c:pt idx="3">
                  <c:v>509.98583966139677</c:v>
                </c:pt>
                <c:pt idx="4">
                  <c:v>345.53503060951857</c:v>
                </c:pt>
                <c:pt idx="5">
                  <c:v>288.46299999999991</c:v>
                </c:pt>
                <c:pt idx="6">
                  <c:v>253.74999999999994</c:v>
                </c:pt>
                <c:pt idx="7">
                  <c:v>200</c:v>
                </c:pt>
                <c:pt idx="8">
                  <c:v>185</c:v>
                </c:pt>
                <c:pt idx="9">
                  <c:v>175</c:v>
                </c:pt>
                <c:pt idx="10">
                  <c:v>165</c:v>
                </c:pt>
                <c:pt idx="11">
                  <c:v>155</c:v>
                </c:pt>
                <c:pt idx="12">
                  <c:v>150</c:v>
                </c:pt>
                <c:pt idx="13">
                  <c:v>145</c:v>
                </c:pt>
                <c:pt idx="14">
                  <c:v>140</c:v>
                </c:pt>
                <c:pt idx="15">
                  <c:v>135</c:v>
                </c:pt>
              </c:numCache>
            </c:numRef>
          </c:val>
          <c:smooth val="0"/>
          <c:extLst>
            <c:ext xmlns:c16="http://schemas.microsoft.com/office/drawing/2014/chart" uri="{C3380CC4-5D6E-409C-BE32-E72D297353CC}">
              <c16:uniqueId val="{00000001-177F-48FB-AF08-EF6D7DB7DA1A}"/>
            </c:ext>
          </c:extLst>
        </c:ser>
        <c:ser>
          <c:idx val="2"/>
          <c:order val="2"/>
          <c:tx>
            <c:strRef>
              <c:f>'Lithium Battery costs'!$W$2</c:f>
              <c:strCache>
                <c:ptCount val="1"/>
                <c:pt idx="0">
                  <c:v>Bloomberg</c:v>
                </c:pt>
              </c:strCache>
            </c:strRef>
          </c:tx>
          <c:spPr>
            <a:ln w="28575" cap="rnd">
              <a:solidFill>
                <a:schemeClr val="accent3"/>
              </a:solidFill>
              <a:round/>
            </a:ln>
            <a:effectLst/>
          </c:spPr>
          <c:marker>
            <c:symbol val="none"/>
          </c:marker>
          <c:val>
            <c:numRef>
              <c:f>'Lithium Battery costs'!$W$18:$W$38</c:f>
              <c:numCache>
                <c:formatCode>General</c:formatCode>
                <c:ptCount val="21"/>
                <c:pt idx="0">
                  <c:v>1000</c:v>
                </c:pt>
                <c:pt idx="1">
                  <c:v>800</c:v>
                </c:pt>
                <c:pt idx="2">
                  <c:v>642</c:v>
                </c:pt>
                <c:pt idx="3">
                  <c:v>599</c:v>
                </c:pt>
                <c:pt idx="4">
                  <c:v>540</c:v>
                </c:pt>
                <c:pt idx="5">
                  <c:v>350</c:v>
                </c:pt>
                <c:pt idx="6">
                  <c:v>273</c:v>
                </c:pt>
                <c:pt idx="7">
                  <c:v>209</c:v>
                </c:pt>
                <c:pt idx="8">
                  <c:v>179</c:v>
                </c:pt>
                <c:pt idx="9">
                  <c:v>158</c:v>
                </c:pt>
                <c:pt idx="10">
                  <c:v>143</c:v>
                </c:pt>
                <c:pt idx="11">
                  <c:v>131</c:v>
                </c:pt>
                <c:pt idx="12">
                  <c:v>120</c:v>
                </c:pt>
                <c:pt idx="13">
                  <c:v>112</c:v>
                </c:pt>
                <c:pt idx="14">
                  <c:v>104</c:v>
                </c:pt>
                <c:pt idx="15">
                  <c:v>97</c:v>
                </c:pt>
                <c:pt idx="16">
                  <c:v>90</c:v>
                </c:pt>
                <c:pt idx="17">
                  <c:v>84</c:v>
                </c:pt>
                <c:pt idx="18">
                  <c:v>79</c:v>
                </c:pt>
                <c:pt idx="19">
                  <c:v>74</c:v>
                </c:pt>
                <c:pt idx="20">
                  <c:v>70</c:v>
                </c:pt>
              </c:numCache>
            </c:numRef>
          </c:val>
          <c:smooth val="0"/>
          <c:extLst>
            <c:ext xmlns:c16="http://schemas.microsoft.com/office/drawing/2014/chart" uri="{C3380CC4-5D6E-409C-BE32-E72D297353CC}">
              <c16:uniqueId val="{00000002-177F-48FB-AF08-EF6D7DB7DA1A}"/>
            </c:ext>
          </c:extLst>
        </c:ser>
        <c:dLbls>
          <c:showLegendKey val="0"/>
          <c:showVal val="0"/>
          <c:showCatName val="0"/>
          <c:showSerName val="0"/>
          <c:showPercent val="0"/>
          <c:showBubbleSize val="0"/>
        </c:dLbls>
        <c:smooth val="0"/>
        <c:axId val="626553816"/>
        <c:axId val="626559064"/>
      </c:lineChart>
      <c:catAx>
        <c:axId val="626553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559064"/>
        <c:crosses val="autoZero"/>
        <c:auto val="1"/>
        <c:lblAlgn val="ctr"/>
        <c:lblOffset val="100"/>
        <c:noMultiLvlLbl val="0"/>
      </c:catAx>
      <c:valAx>
        <c:axId val="626559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55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'Australia EV uptake'!$D$3</c:f>
              <c:strCache>
                <c:ptCount val="1"/>
                <c:pt idx="0">
                  <c:v> predicted raw</c:v>
                </c:pt>
              </c:strCache>
            </c:strRef>
          </c:tx>
          <c:spPr>
            <a:ln w="28575" cap="rnd">
              <a:solidFill>
                <a:schemeClr val="accent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uptake'!$D$4:$D$35</c:f>
              <c:numCache>
                <c:formatCode>0.00</c:formatCode>
                <c:ptCount val="3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numCache>
            </c:numRef>
          </c:val>
          <c:smooth val="0"/>
          <c:extLst>
            <c:ext xmlns:c16="http://schemas.microsoft.com/office/drawing/2014/chart" uri="{C3380CC4-5D6E-409C-BE32-E72D297353CC}">
              <c16:uniqueId val="{00000000-52AB-4ABB-B961-51C8A323AAD4}"/>
            </c:ext>
          </c:extLst>
        </c:ser>
        <c:ser>
          <c:idx val="1"/>
          <c:order val="1"/>
          <c:tx>
            <c:strRef>
              <c:f>'Australia EV uptake'!$G$3</c:f>
              <c:strCache>
                <c:ptCount val="1"/>
                <c:pt idx="0">
                  <c:v>loglag pred</c:v>
                </c:pt>
              </c:strCache>
            </c:strRef>
          </c:tx>
          <c:spPr>
            <a:ln w="28575" cap="rnd">
              <a:solidFill>
                <a:schemeClr val="accent2"/>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uptake'!$G$4:$G$35</c:f>
              <c:numCache>
                <c:formatCode>0.00000000</c:formatCode>
                <c:ptCount val="32"/>
                <c:pt idx="3" formatCode="0.000">
                  <c:v>-7.5630196487128547</c:v>
                </c:pt>
                <c:pt idx="4" formatCode="0.000">
                  <c:v>-7.5630196487128547</c:v>
                </c:pt>
                <c:pt idx="5" formatCode="0.000">
                  <c:v>-7.5630196487128547</c:v>
                </c:pt>
                <c:pt idx="6" formatCode="0.000">
                  <c:v>-5.8266538820965206</c:v>
                </c:pt>
                <c:pt idx="7" formatCode="0.000">
                  <c:v>-5.7944367222463393</c:v>
                </c:pt>
                <c:pt idx="8" formatCode="0.000">
                  <c:v>-5.7203542306622239</c:v>
                </c:pt>
                <c:pt idx="9" formatCode="0.000">
                  <c:v>-4.9322868230606272</c:v>
                </c:pt>
                <c:pt idx="10" formatCode="0.000">
                  <c:v>-4.4899449895390369</c:v>
                </c:pt>
                <c:pt idx="11" formatCode="0.000">
                  <c:v>-4.1345211232989385</c:v>
                </c:pt>
                <c:pt idx="12" formatCode="0.000">
                  <c:v>-3.7927622532340814</c:v>
                </c:pt>
                <c:pt idx="13" formatCode="0.000">
                  <c:v>-3.2920782778308042</c:v>
                </c:pt>
                <c:pt idx="14" formatCode="0.000">
                  <c:v>-2.8773068638601891</c:v>
                </c:pt>
                <c:pt idx="15" formatCode="0.000">
                  <c:v>-2.5109359681944055</c:v>
                </c:pt>
                <c:pt idx="16" formatCode="0.000">
                  <c:v>-2.1753011270482796</c:v>
                </c:pt>
                <c:pt idx="17" formatCode="0.000">
                  <c:v>-1.7496146768449798</c:v>
                </c:pt>
                <c:pt idx="18" formatCode="0.000">
                  <c:v>-1.4059816863433872</c:v>
                </c:pt>
                <c:pt idx="19" formatCode="0.000">
                  <c:v>-1.0839403946284423</c:v>
                </c:pt>
                <c:pt idx="20" formatCode="0.000">
                  <c:v>-0.7634615429148448</c:v>
                </c:pt>
                <c:pt idx="21" formatCode="0.000">
                  <c:v>-0.38090824784501653</c:v>
                </c:pt>
                <c:pt idx="22" formatCode="0.000">
                  <c:v>-7.9506399859053722E-2</c:v>
                </c:pt>
                <c:pt idx="23" formatCode="0.000">
                  <c:v>0.24020472541455717</c:v>
                </c:pt>
                <c:pt idx="24" formatCode="0.000">
                  <c:v>0.5960316035227069</c:v>
                </c:pt>
                <c:pt idx="25" formatCode="0.000">
                  <c:v>1.0229685436652889</c:v>
                </c:pt>
                <c:pt idx="26" formatCode="0.000">
                  <c:v>1.2785878449526296</c:v>
                </c:pt>
                <c:pt idx="27" formatCode="0.000">
                  <c:v>1.5310015927447469</c:v>
                </c:pt>
                <c:pt idx="28" formatCode="0.000">
                  <c:v>1.7796381454372878</c:v>
                </c:pt>
                <c:pt idx="29" formatCode="0.000">
                  <c:v>2.0240930644260127</c:v>
                </c:pt>
                <c:pt idx="30" formatCode="0.000">
                  <c:v>2.2640891732414605</c:v>
                </c:pt>
                <c:pt idx="31" formatCode="0.000">
                  <c:v>2.4994403757153689</c:v>
                </c:pt>
              </c:numCache>
            </c:numRef>
          </c:val>
          <c:smooth val="0"/>
          <c:extLst>
            <c:ext xmlns:c16="http://schemas.microsoft.com/office/drawing/2014/chart" uri="{C3380CC4-5D6E-409C-BE32-E72D297353CC}">
              <c16:uniqueId val="{00000001-52AB-4ABB-B961-51C8A323AAD4}"/>
            </c:ext>
          </c:extLst>
        </c:ser>
        <c:ser>
          <c:idx val="2"/>
          <c:order val="2"/>
          <c:tx>
            <c:strRef>
              <c:f>' All EV uptake'!$E$3</c:f>
              <c:strCache>
                <c:ptCount val="1"/>
                <c:pt idx="0">
                  <c:v>Austria</c:v>
                </c:pt>
              </c:strCache>
            </c:strRef>
          </c:tx>
          <c:spPr>
            <a:ln w="28575" cap="rnd">
              <a:solidFill>
                <a:schemeClr val="accent3"/>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uptake'!$E$4:$E$35</c:f>
              <c:numCache>
                <c:formatCode>0.00</c:formatCode>
                <c:ptCount val="32"/>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pt idx="10">
                  <c:v>3.8381890852736973</c:v>
                </c:pt>
                <c:pt idx="11">
                  <c:v>5.5200023789857555</c:v>
                </c:pt>
                <c:pt idx="12">
                  <c:v>7.8442359614469916</c:v>
                </c:pt>
                <c:pt idx="13">
                  <c:v>10.96666716050855</c:v>
                </c:pt>
                <c:pt idx="14">
                  <c:v>15.005684880315728</c:v>
                </c:pt>
                <c:pt idx="15">
                  <c:v>19.982150823142476</c:v>
                </c:pt>
                <c:pt idx="16">
                  <c:v>25.758672365867149</c:v>
                </c:pt>
                <c:pt idx="17">
                  <c:v>32.017433710081967</c:v>
                </c:pt>
                <c:pt idx="18">
                  <c:v>38.312201822341244</c:v>
                </c:pt>
                <c:pt idx="19">
                  <c:v>44.186570827175956</c:v>
                </c:pt>
                <c:pt idx="20">
                  <c:v>49.297852580242349</c:v>
                </c:pt>
                <c:pt idx="21">
                  <c:v>53.481141904775455</c:v>
                </c:pt>
                <c:pt idx="22">
                  <c:v>56.73674955124897</c:v>
                </c:pt>
                <c:pt idx="23">
                  <c:v>59.172477908962534</c:v>
                </c:pt>
                <c:pt idx="24">
                  <c:v>60.941592261933344</c:v>
                </c:pt>
                <c:pt idx="25">
                  <c:v>62.199062445521918</c:v>
                </c:pt>
                <c:pt idx="26">
                  <c:v>63.079194309776966</c:v>
                </c:pt>
                <c:pt idx="27">
                  <c:v>63.688595482263246</c:v>
                </c:pt>
                <c:pt idx="28">
                  <c:v>64.107391906110223</c:v>
                </c:pt>
                <c:pt idx="29">
                  <c:v>64.393719042125909</c:v>
                </c:pt>
                <c:pt idx="30">
                  <c:v>64.588788486440805</c:v>
                </c:pt>
                <c:pt idx="31">
                  <c:v>64.721366382820392</c:v>
                </c:pt>
              </c:numCache>
            </c:numRef>
          </c:val>
          <c:smooth val="0"/>
          <c:extLst>
            <c:ext xmlns:c16="http://schemas.microsoft.com/office/drawing/2014/chart" uri="{C3380CC4-5D6E-409C-BE32-E72D297353CC}">
              <c16:uniqueId val="{00000002-52AB-4ABB-B961-51C8A323AAD4}"/>
            </c:ext>
          </c:extLst>
        </c:ser>
        <c:ser>
          <c:idx val="3"/>
          <c:order val="3"/>
          <c:tx>
            <c:strRef>
              <c:f>' All EV uptake'!$F$3</c:f>
              <c:strCache>
                <c:ptCount val="1"/>
                <c:pt idx="0">
                  <c:v>Canada</c:v>
                </c:pt>
              </c:strCache>
            </c:strRef>
          </c:tx>
          <c:spPr>
            <a:ln w="28575" cap="rnd">
              <a:solidFill>
                <a:schemeClr val="accent4"/>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uptake'!$F$4:$F$35</c:f>
              <c:numCache>
                <c:formatCode>0.00</c:formatCode>
                <c:ptCount val="32"/>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numCache>
            </c:numRef>
          </c:val>
          <c:smooth val="0"/>
          <c:extLst>
            <c:ext xmlns:c16="http://schemas.microsoft.com/office/drawing/2014/chart" uri="{C3380CC4-5D6E-409C-BE32-E72D297353CC}">
              <c16:uniqueId val="{00000003-52AB-4ABB-B961-51C8A323AAD4}"/>
            </c:ext>
          </c:extLst>
        </c:ser>
        <c:ser>
          <c:idx val="4"/>
          <c:order val="4"/>
          <c:tx>
            <c:strRef>
              <c:f>' All EV uptake'!$G$3</c:f>
              <c:strCache>
                <c:ptCount val="1"/>
                <c:pt idx="0">
                  <c:v>Belgium</c:v>
                </c:pt>
              </c:strCache>
            </c:strRef>
          </c:tx>
          <c:spPr>
            <a:ln w="28575" cap="rnd">
              <a:solidFill>
                <a:schemeClr val="accent5"/>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uptake'!$G$4:$G$35</c:f>
              <c:numCache>
                <c:formatCode>0.00</c:formatCode>
                <c:ptCount val="32"/>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4-52AB-4ABB-B961-51C8A323AAD4}"/>
            </c:ext>
          </c:extLst>
        </c:ser>
        <c:dLbls>
          <c:showLegendKey val="0"/>
          <c:showVal val="0"/>
          <c:showCatName val="0"/>
          <c:showSerName val="0"/>
          <c:showPercent val="0"/>
          <c:showBubbleSize val="0"/>
        </c:dLbls>
        <c:smooth val="0"/>
        <c:axId val="758183960"/>
        <c:axId val="758185600"/>
      </c:lineChart>
      <c:catAx>
        <c:axId val="758183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5600"/>
        <c:crosses val="autoZero"/>
        <c:auto val="1"/>
        <c:lblAlgn val="ctr"/>
        <c:lblOffset val="100"/>
        <c:noMultiLvlLbl val="0"/>
      </c:catAx>
      <c:valAx>
        <c:axId val="758185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3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'T-series X-section orig'!$C$32</c:f>
              <c:strCache>
                <c:ptCount val="1"/>
                <c:pt idx="0">
                  <c:v>years lead</c:v>
                </c:pt>
              </c:strCache>
            </c:strRef>
          </c:tx>
          <c:spPr>
            <a:ln w="28575" cap="rnd">
              <a:solidFill>
                <a:schemeClr val="accent1"/>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orig'!$C$33:$C$98</c:f>
              <c:numCache>
                <c:formatCode>0.00</c:formatCode>
                <c:ptCount val="66"/>
                <c:pt idx="0">
                  <c:v>0</c:v>
                </c:pt>
                <c:pt idx="1">
                  <c:v>0</c:v>
                </c:pt>
                <c:pt idx="2">
                  <c:v>0</c:v>
                </c:pt>
                <c:pt idx="3">
                  <c:v>0</c:v>
                </c:pt>
                <c:pt idx="4">
                  <c:v>0</c:v>
                </c:pt>
                <c:pt idx="5">
                  <c:v>0</c:v>
                </c:pt>
                <c:pt idx="12">
                  <c:v>0</c:v>
                </c:pt>
                <c:pt idx="13">
                  <c:v>0</c:v>
                </c:pt>
                <c:pt idx="14">
                  <c:v>0</c:v>
                </c:pt>
                <c:pt idx="15">
                  <c:v>0</c:v>
                </c:pt>
                <c:pt idx="16">
                  <c:v>0</c:v>
                </c:pt>
                <c:pt idx="17">
                  <c:v>0</c:v>
                </c:pt>
                <c:pt idx="18">
                  <c:v>3.7000000000000455</c:v>
                </c:pt>
                <c:pt idx="19">
                  <c:v>2.5</c:v>
                </c:pt>
                <c:pt idx="20">
                  <c:v>3.2999999999999545</c:v>
                </c:pt>
                <c:pt idx="21">
                  <c:v>3.2999999999999545</c:v>
                </c:pt>
                <c:pt idx="22">
                  <c:v>4</c:v>
                </c:pt>
                <c:pt idx="23">
                  <c:v>4</c:v>
                </c:pt>
                <c:pt idx="24">
                  <c:v>2017.2678731409455</c:v>
                </c:pt>
                <c:pt idx="25">
                  <c:v>2017.2250499190925</c:v>
                </c:pt>
                <c:pt idx="26">
                  <c:v>2017.8014239680281</c:v>
                </c:pt>
                <c:pt idx="27">
                  <c:v>2017.0074449217677</c:v>
                </c:pt>
                <c:pt idx="28">
                  <c:v>2017.648681601019</c:v>
                </c:pt>
                <c:pt idx="29">
                  <c:v>2017.8255650522617</c:v>
                </c:pt>
                <c:pt idx="30">
                  <c:v>2017.0015547616606</c:v>
                </c:pt>
                <c:pt idx="31">
                  <c:v>2017.2592952763096</c:v>
                </c:pt>
                <c:pt idx="32">
                  <c:v>2018.4664745793218</c:v>
                </c:pt>
                <c:pt idx="33">
                  <c:v>2017.766183496047</c:v>
                </c:pt>
                <c:pt idx="34">
                  <c:v>2017.7612958281914</c:v>
                </c:pt>
                <c:pt idx="35">
                  <c:v>2017.562179717394</c:v>
                </c:pt>
                <c:pt idx="36">
                  <c:v>2017.417420148292</c:v>
                </c:pt>
                <c:pt idx="37">
                  <c:v>2016.4622799886668</c:v>
                </c:pt>
                <c:pt idx="38">
                  <c:v>2017.6253415948945</c:v>
                </c:pt>
                <c:pt idx="39">
                  <c:v>2016.5389416660378</c:v>
                </c:pt>
                <c:pt idx="40">
                  <c:v>2016.7044232275296</c:v>
                </c:pt>
                <c:pt idx="41">
                  <c:v>2016.8726518224853</c:v>
                </c:pt>
                <c:pt idx="42">
                  <c:v>0</c:v>
                </c:pt>
                <c:pt idx="43">
                  <c:v>0</c:v>
                </c:pt>
                <c:pt idx="44">
                  <c:v>0</c:v>
                </c:pt>
                <c:pt idx="45">
                  <c:v>0</c:v>
                </c:pt>
                <c:pt idx="46">
                  <c:v>0</c:v>
                </c:pt>
                <c:pt idx="47">
                  <c:v>0</c:v>
                </c:pt>
                <c:pt idx="48">
                  <c:v>2016.6008082526105</c:v>
                </c:pt>
                <c:pt idx="49">
                  <c:v>2016.7279901164497</c:v>
                </c:pt>
                <c:pt idx="50">
                  <c:v>2017.5663798375936</c:v>
                </c:pt>
                <c:pt idx="51">
                  <c:v>2016.7405539582485</c:v>
                </c:pt>
                <c:pt idx="52">
                  <c:v>2016.8216684689783</c:v>
                </c:pt>
                <c:pt idx="53">
                  <c:v>2016.7328213196818</c:v>
                </c:pt>
                <c:pt idx="54">
                  <c:v>2017.1419061939387</c:v>
                </c:pt>
                <c:pt idx="55">
                  <c:v>2016.3410074258666</c:v>
                </c:pt>
                <c:pt idx="56">
                  <c:v>2017.7298303682742</c:v>
                </c:pt>
                <c:pt idx="57">
                  <c:v>2016.8802226471998</c:v>
                </c:pt>
                <c:pt idx="58">
                  <c:v>2016.9187227611449</c:v>
                </c:pt>
                <c:pt idx="59">
                  <c:v>2016.9736662841631</c:v>
                </c:pt>
                <c:pt idx="60">
                  <c:v>2018.2222335160914</c:v>
                </c:pt>
                <c:pt idx="61">
                  <c:v>2016.199676727641</c:v>
                </c:pt>
                <c:pt idx="62">
                  <c:v>2017.215701187065</c:v>
                </c:pt>
                <c:pt idx="63">
                  <c:v>2016.7075785059585</c:v>
                </c:pt>
                <c:pt idx="64">
                  <c:v>2016.7848496820138</c:v>
                </c:pt>
                <c:pt idx="65">
                  <c:v>2016.7295960758513</c:v>
                </c:pt>
              </c:numCache>
            </c:numRef>
          </c:val>
          <c:smooth val="0"/>
          <c:extLst>
            <c:ext xmlns:c16="http://schemas.microsoft.com/office/drawing/2014/chart" uri="{C3380CC4-5D6E-409C-BE32-E72D297353CC}">
              <c16:uniqueId val="{00000000-5BF7-4A59-80A0-23420208626D}"/>
            </c:ext>
          </c:extLst>
        </c:ser>
        <c:ser>
          <c:idx val="1"/>
          <c:order val="1"/>
          <c:tx>
            <c:strRef>
              <c:f>'T-series X-section orig'!$D$32</c:f>
              <c:strCache>
                <c:ptCount val="1"/>
                <c:pt idx="0">
                  <c:v>pred</c:v>
                </c:pt>
              </c:strCache>
            </c:strRef>
          </c:tx>
          <c:spPr>
            <a:ln w="28575" cap="rnd">
              <a:solidFill>
                <a:schemeClr val="accent2"/>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orig'!$D$33:$D$98</c:f>
              <c:numCache>
                <c:formatCode>0.00</c:formatCode>
                <c:ptCount val="66"/>
                <c:pt idx="0">
                  <c:v>6.7236406892952711</c:v>
                </c:pt>
                <c:pt idx="1">
                  <c:v>6.99379169879853</c:v>
                </c:pt>
                <c:pt idx="2">
                  <c:v>8.0681496700475996</c:v>
                </c:pt>
                <c:pt idx="3">
                  <c:v>7.1312967173195165</c:v>
                </c:pt>
                <c:pt idx="4">
                  <c:v>7.3162736917358746</c:v>
                </c:pt>
                <c:pt idx="5">
                  <c:v>7.193195002354198</c:v>
                </c:pt>
                <c:pt idx="6">
                  <c:v>-16.784743475300978</c:v>
                </c:pt>
                <c:pt idx="7">
                  <c:v>-16.025858846187397</c:v>
                </c:pt>
                <c:pt idx="8">
                  <c:v>-11.099447115906329</c:v>
                </c:pt>
                <c:pt idx="9">
                  <c:v>-16.228607447789614</c:v>
                </c:pt>
                <c:pt idx="10">
                  <c:v>-15.701247624248232</c:v>
                </c:pt>
                <c:pt idx="11">
                  <c:v>-15.987287986073746</c:v>
                </c:pt>
                <c:pt idx="12">
                  <c:v>6.8075450700841156</c:v>
                </c:pt>
                <c:pt idx="13">
                  <c:v>7.0776903315191095</c:v>
                </c:pt>
                <c:pt idx="14">
                  <c:v>8.3395435619341267</c:v>
                </c:pt>
                <c:pt idx="15">
                  <c:v>5.5781314480987874</c:v>
                </c:pt>
                <c:pt idx="16">
                  <c:v>5.483174385817188</c:v>
                </c:pt>
                <c:pt idx="17">
                  <c:v>3.5187596763665652</c:v>
                </c:pt>
                <c:pt idx="18">
                  <c:v>-4.3320700289331047</c:v>
                </c:pt>
                <c:pt idx="19">
                  <c:v>2.4193727628627242</c:v>
                </c:pt>
                <c:pt idx="20">
                  <c:v>3.9713042112690635</c:v>
                </c:pt>
                <c:pt idx="21">
                  <c:v>3.078388281852944</c:v>
                </c:pt>
                <c:pt idx="22">
                  <c:v>5.6854755884305419</c:v>
                </c:pt>
                <c:pt idx="23">
                  <c:v>6.0674741929025302</c:v>
                </c:pt>
              </c:numCache>
            </c:numRef>
          </c:val>
          <c:smooth val="0"/>
          <c:extLst>
            <c:ext xmlns:c16="http://schemas.microsoft.com/office/drawing/2014/chart" uri="{C3380CC4-5D6E-409C-BE32-E72D297353CC}">
              <c16:uniqueId val="{00000001-5BF7-4A59-80A0-23420208626D}"/>
            </c:ext>
          </c:extLst>
        </c:ser>
        <c:ser>
          <c:idx val="2"/>
          <c:order val="2"/>
          <c:tx>
            <c:strRef>
              <c:f>'T-series X-section orig'!$E$32</c:f>
              <c:strCache>
                <c:ptCount val="1"/>
                <c:pt idx="0">
                  <c:v>pred</c:v>
                </c:pt>
              </c:strCache>
            </c:strRef>
          </c:tx>
          <c:spPr>
            <a:ln w="28575" cap="rnd">
              <a:solidFill>
                <a:schemeClr val="accent3"/>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orig'!$E$33:$E$98</c:f>
              <c:numCache>
                <c:formatCode>0.00</c:formatCode>
                <c:ptCount val="66"/>
                <c:pt idx="0">
                  <c:v>6.6454640053535607</c:v>
                </c:pt>
                <c:pt idx="1">
                  <c:v>6.9124739323596396</c:v>
                </c:pt>
                <c:pt idx="2">
                  <c:v>7.974340197487007</c:v>
                </c:pt>
                <c:pt idx="3">
                  <c:v>7.0483801613453041</c:v>
                </c:pt>
                <c:pt idx="4">
                  <c:v>7.2312063833443796</c:v>
                </c:pt>
                <c:pt idx="5">
                  <c:v>7.1095587466087897</c:v>
                </c:pt>
                <c:pt idx="6">
                  <c:v>-16.503144780247542</c:v>
                </c:pt>
                <c:pt idx="7">
                  <c:v>-15.753083805838305</c:v>
                </c:pt>
                <c:pt idx="8">
                  <c:v>-10.883952134174596</c:v>
                </c:pt>
                <c:pt idx="9">
                  <c:v>-15.953475021899042</c:v>
                </c:pt>
                <c:pt idx="10">
                  <c:v>-15.43224688268668</c:v>
                </c:pt>
                <c:pt idx="11">
                  <c:v>-15.714961414356427</c:v>
                </c:pt>
                <c:pt idx="12">
                  <c:v>6.8148330203634213</c:v>
                </c:pt>
                <c:pt idx="13">
                  <c:v>7.0818372661348068</c:v>
                </c:pt>
                <c:pt idx="14">
                  <c:v>8.3290187575718555</c:v>
                </c:pt>
                <c:pt idx="15">
                  <c:v>5.5758502278179964</c:v>
                </c:pt>
                <c:pt idx="16">
                  <c:v>5.4581335144000906</c:v>
                </c:pt>
                <c:pt idx="17">
                  <c:v>3.5165593217123097</c:v>
                </c:pt>
                <c:pt idx="18">
                  <c:v>-4.2696587830851724</c:v>
                </c:pt>
                <c:pt idx="19">
                  <c:v>2.4404833273968216</c:v>
                </c:pt>
                <c:pt idx="20">
                  <c:v>3.974370257967101</c:v>
                </c:pt>
                <c:pt idx="21">
                  <c:v>3.0918363833968976</c:v>
                </c:pt>
                <c:pt idx="22">
                  <c:v>5.6909302884657142</c:v>
                </c:pt>
                <c:pt idx="23">
                  <c:v>6.068487343255323</c:v>
                </c:pt>
                <c:pt idx="24">
                  <c:v>-2.3474263455253692</c:v>
                </c:pt>
                <c:pt idx="25">
                  <c:v>-2.4533914367500089</c:v>
                </c:pt>
                <c:pt idx="26">
                  <c:v>-1.1119246901675717</c:v>
                </c:pt>
                <c:pt idx="27">
                  <c:v>-3.0089844557167198</c:v>
                </c:pt>
                <c:pt idx="28">
                  <c:v>-1.4503565144928303</c:v>
                </c:pt>
                <c:pt idx="29">
                  <c:v>-1.0594862071903699</c:v>
                </c:pt>
              </c:numCache>
            </c:numRef>
          </c:val>
          <c:smooth val="0"/>
          <c:extLst>
            <c:ext xmlns:c16="http://schemas.microsoft.com/office/drawing/2014/chart" uri="{C3380CC4-5D6E-409C-BE32-E72D297353CC}">
              <c16:uniqueId val="{00000002-5BF7-4A59-80A0-23420208626D}"/>
            </c:ext>
          </c:extLst>
        </c:ser>
        <c:ser>
          <c:idx val="3"/>
          <c:order val="3"/>
          <c:tx>
            <c:strRef>
              <c:f>'T-series X-section orig'!$F$32</c:f>
              <c:strCache>
                <c:ptCount val="1"/>
                <c:pt idx="0">
                  <c:v>pred</c:v>
                </c:pt>
              </c:strCache>
            </c:strRef>
          </c:tx>
          <c:spPr>
            <a:ln w="28575" cap="rnd">
              <a:solidFill>
                <a:schemeClr val="accent4"/>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orig'!$F$33:$F$98</c:f>
              <c:numCache>
                <c:formatCode>0.00</c:formatCode>
                <c:ptCount val="66"/>
                <c:pt idx="0">
                  <c:v>6.6091869065468174</c:v>
                </c:pt>
                <c:pt idx="1">
                  <c:v>6.8747392460170111</c:v>
                </c:pt>
                <c:pt idx="2">
                  <c:v>7.93080886137116</c:v>
                </c:pt>
                <c:pt idx="3">
                  <c:v>7.0099035729032284</c:v>
                </c:pt>
                <c:pt idx="4">
                  <c:v>7.1917317600149619</c:v>
                </c:pt>
                <c:pt idx="5">
                  <c:v>7.0707481887733543</c:v>
                </c:pt>
                <c:pt idx="6">
                  <c:v>-16.372471756409425</c:v>
                </c:pt>
                <c:pt idx="7">
                  <c:v>-15.626505309644585</c:v>
                </c:pt>
                <c:pt idx="8">
                  <c:v>-10.783953869340735</c:v>
                </c:pt>
                <c:pt idx="9">
                  <c:v>-15.825802604808416</c:v>
                </c:pt>
                <c:pt idx="10">
                  <c:v>-15.307419811638383</c:v>
                </c:pt>
                <c:pt idx="11">
                  <c:v>-15.588591025491468</c:v>
                </c:pt>
                <c:pt idx="12">
                  <c:v>6.818214919915178</c:v>
                </c:pt>
                <c:pt idx="13">
                  <c:v>7.0837616091641191</c:v>
                </c:pt>
                <c:pt idx="14">
                  <c:v>8.3241348286493029</c:v>
                </c:pt>
                <c:pt idx="15">
                  <c:v>5.5747916506393018</c:v>
                </c:pt>
                <c:pt idx="16">
                  <c:v>5.4465135515057499</c:v>
                </c:pt>
                <c:pt idx="17">
                  <c:v>3.5155382694090127</c:v>
                </c:pt>
                <c:pt idx="18">
                  <c:v>-4.2406974762335716</c:v>
                </c:pt>
                <c:pt idx="19">
                  <c:v>2.4502794711682827</c:v>
                </c:pt>
                <c:pt idx="20">
                  <c:v>3.9757930258999692</c:v>
                </c:pt>
                <c:pt idx="21">
                  <c:v>3.0980768387842867</c:v>
                </c:pt>
                <c:pt idx="22">
                  <c:v>5.6934614867995297</c:v>
                </c:pt>
                <c:pt idx="23">
                  <c:v>6.0689574854204871</c:v>
                </c:pt>
                <c:pt idx="24">
                  <c:v>-2.3154146934505553</c:v>
                </c:pt>
                <c:pt idx="25">
                  <c:v>-2.4208013290427024</c:v>
                </c:pt>
                <c:pt idx="26">
                  <c:v>-1.0866575506792655</c:v>
                </c:pt>
                <c:pt idx="27">
                  <c:v>-2.973361406618241</c:v>
                </c:pt>
                <c:pt idx="28">
                  <c:v>-1.4232419005888195</c:v>
                </c:pt>
                <c:pt idx="29">
                  <c:v>-1.0345053255204339</c:v>
                </c:pt>
                <c:pt idx="30">
                  <c:v>5.867002735975813</c:v>
                </c:pt>
                <c:pt idx="31">
                  <c:v>6.2366310140179486</c:v>
                </c:pt>
                <c:pt idx="32">
                  <c:v>7.7628517760810709</c:v>
                </c:pt>
                <c:pt idx="33">
                  <c:v>6.9159374071156119</c:v>
                </c:pt>
                <c:pt idx="34">
                  <c:v>6.9096690686315458</c:v>
                </c:pt>
                <c:pt idx="35">
                  <c:v>6.6497633351396068</c:v>
                </c:pt>
              </c:numCache>
            </c:numRef>
          </c:val>
          <c:smooth val="0"/>
          <c:extLst>
            <c:ext xmlns:c16="http://schemas.microsoft.com/office/drawing/2014/chart" uri="{C3380CC4-5D6E-409C-BE32-E72D297353CC}">
              <c16:uniqueId val="{00000003-5BF7-4A59-80A0-23420208626D}"/>
            </c:ext>
          </c:extLst>
        </c:ser>
        <c:ser>
          <c:idx val="4"/>
          <c:order val="4"/>
          <c:tx>
            <c:strRef>
              <c:f>'T-series X-section orig'!$G$32</c:f>
              <c:strCache>
                <c:ptCount val="1"/>
                <c:pt idx="0">
                  <c:v>pred</c:v>
                </c:pt>
              </c:strCache>
            </c:strRef>
          </c:tx>
          <c:spPr>
            <a:ln w="28575" cap="rnd">
              <a:solidFill>
                <a:schemeClr val="accent5"/>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orig'!$G$33:$G$98</c:f>
              <c:numCache>
                <c:formatCode>0.00</c:formatCode>
                <c:ptCount val="66"/>
                <c:pt idx="0">
                  <c:v>6.6062504775185813</c:v>
                </c:pt>
                <c:pt idx="1">
                  <c:v>6.8716848333987874</c:v>
                </c:pt>
                <c:pt idx="2">
                  <c:v>7.9272852422501972</c:v>
                </c:pt>
                <c:pt idx="3">
                  <c:v>7.0067891074436099</c:v>
                </c:pt>
                <c:pt idx="4">
                  <c:v>7.1885365091918283</c:v>
                </c:pt>
                <c:pt idx="5">
                  <c:v>7.0676066903520764</c:v>
                </c:pt>
                <c:pt idx="6">
                  <c:v>-16.361894503182818</c:v>
                </c:pt>
                <c:pt idx="7">
                  <c:v>-15.616259485617867</c:v>
                </c:pt>
                <c:pt idx="8">
                  <c:v>-10.775859566949144</c:v>
                </c:pt>
                <c:pt idx="9">
                  <c:v>-15.815468233979949</c:v>
                </c:pt>
                <c:pt idx="10">
                  <c:v>-15.297315755719012</c:v>
                </c:pt>
                <c:pt idx="11">
                  <c:v>-15.578362046593526</c:v>
                </c:pt>
                <c:pt idx="12">
                  <c:v>6.818488665841425</c:v>
                </c:pt>
                <c:pt idx="13">
                  <c:v>7.0839173740107455</c:v>
                </c:pt>
                <c:pt idx="14">
                  <c:v>8.3237395018141456</c:v>
                </c:pt>
                <c:pt idx="15">
                  <c:v>5.5747059647146191</c:v>
                </c:pt>
                <c:pt idx="16">
                  <c:v>5.4455729802508204</c:v>
                </c:pt>
                <c:pt idx="17">
                  <c:v>3.5154556209139214</c:v>
                </c:pt>
                <c:pt idx="18">
                  <c:v>-4.2383532198036979</c:v>
                </c:pt>
                <c:pt idx="19">
                  <c:v>2.4510724144267457</c:v>
                </c:pt>
                <c:pt idx="20">
                  <c:v>3.9759081910370964</c:v>
                </c:pt>
                <c:pt idx="21">
                  <c:v>3.0985819688788063</c:v>
                </c:pt>
                <c:pt idx="22">
                  <c:v>5.6936663732019221</c:v>
                </c:pt>
                <c:pt idx="23">
                  <c:v>6.0689955408093335</c:v>
                </c:pt>
                <c:pt idx="24">
                  <c:v>-2.3128235285700587</c:v>
                </c:pt>
                <c:pt idx="25">
                  <c:v>-2.4181633414016606</c:v>
                </c:pt>
                <c:pt idx="26">
                  <c:v>-1.0846123165151642</c:v>
                </c:pt>
                <c:pt idx="27">
                  <c:v>-2.9704779192698059</c:v>
                </c:pt>
                <c:pt idx="28">
                  <c:v>-1.4210471236640903</c:v>
                </c:pt>
                <c:pt idx="29">
                  <c:v>-1.0324832623318283</c:v>
                </c:pt>
                <c:pt idx="30">
                  <c:v>5.8660843768915294</c:v>
                </c:pt>
                <c:pt idx="31">
                  <c:v>6.2355484309193274</c:v>
                </c:pt>
                <c:pt idx="32">
                  <c:v>7.7610911006523979</c:v>
                </c:pt>
                <c:pt idx="33">
                  <c:v>6.9145530115489899</c:v>
                </c:pt>
                <c:pt idx="34">
                  <c:v>6.9082874580566846</c:v>
                </c:pt>
                <c:pt idx="35">
                  <c:v>6.6484971993956465</c:v>
                </c:pt>
                <c:pt idx="36">
                  <c:v>-1.2496560257692781</c:v>
                </c:pt>
                <c:pt idx="37">
                  <c:v>-3.2417163501852695</c:v>
                </c:pt>
                <c:pt idx="38">
                  <c:v>-0.86723709039277175</c:v>
                </c:pt>
                <c:pt idx="39">
                  <c:v>-3.0657937889946449</c:v>
                </c:pt>
                <c:pt idx="40">
                  <c:v>-2.6963512871874098</c:v>
                </c:pt>
                <c:pt idx="41">
                  <c:v>-2.3345595308272298</c:v>
                </c:pt>
              </c:numCache>
            </c:numRef>
          </c:val>
          <c:smooth val="0"/>
          <c:extLst>
            <c:ext xmlns:c16="http://schemas.microsoft.com/office/drawing/2014/chart" uri="{C3380CC4-5D6E-409C-BE32-E72D297353CC}">
              <c16:uniqueId val="{00000004-5BF7-4A59-80A0-23420208626D}"/>
            </c:ext>
          </c:extLst>
        </c:ser>
        <c:ser>
          <c:idx val="5"/>
          <c:order val="5"/>
          <c:tx>
            <c:strRef>
              <c:f>'T-series X-section orig'!$H$32</c:f>
              <c:strCache>
                <c:ptCount val="1"/>
                <c:pt idx="0">
                  <c:v>pred</c:v>
                </c:pt>
              </c:strCache>
            </c:strRef>
          </c:tx>
          <c:spPr>
            <a:ln w="28575" cap="rnd">
              <a:solidFill>
                <a:schemeClr val="accent6"/>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orig'!$H$33:$H$98</c:f>
              <c:numCache>
                <c:formatCode>0.00</c:formatCode>
                <c:ptCount val="66"/>
                <c:pt idx="0">
                  <c:v>6.6169858567923274</c:v>
                </c:pt>
                <c:pt idx="1">
                  <c:v>6.8828515524305942</c:v>
                </c:pt>
                <c:pt idx="2">
                  <c:v>7.9401673474589423</c:v>
                </c:pt>
                <c:pt idx="3">
                  <c:v>7.0181753754659226</c:v>
                </c:pt>
                <c:pt idx="4">
                  <c:v>7.2002181228563362</c:v>
                </c:pt>
                <c:pt idx="5">
                  <c:v>7.0790917889926419</c:v>
                </c:pt>
                <c:pt idx="6">
                  <c:v>-16.401954269574151</c:v>
                </c:pt>
                <c:pt idx="7">
                  <c:v>-15.65510757002097</c:v>
                </c:pt>
                <c:pt idx="8">
                  <c:v>-10.806841838643468</c:v>
                </c:pt>
                <c:pt idx="9">
                  <c:v>-15.854640039300929</c:v>
                </c:pt>
                <c:pt idx="10">
                  <c:v>-15.33564554583111</c:v>
                </c:pt>
                <c:pt idx="11">
                  <c:v>-15.617148546383273</c:v>
                </c:pt>
                <c:pt idx="12">
                  <c:v>6.8160978019352303</c:v>
                </c:pt>
                <c:pt idx="13">
                  <c:v>7.0819578406848898</c:v>
                </c:pt>
                <c:pt idx="14">
                  <c:v>8.323794721156121</c:v>
                </c:pt>
                <c:pt idx="15">
                  <c:v>5.5744014184950554</c:v>
                </c:pt>
                <c:pt idx="16">
                  <c:v>5.4491660950065617</c:v>
                </c:pt>
                <c:pt idx="17">
                  <c:v>3.515912230027646</c:v>
                </c:pt>
                <c:pt idx="18">
                  <c:v>-4.2461108854884406</c:v>
                </c:pt>
                <c:pt idx="19">
                  <c:v>2.4478848213133841</c:v>
                </c:pt>
                <c:pt idx="20">
                  <c:v>3.9751985073593201</c:v>
                </c:pt>
                <c:pt idx="21">
                  <c:v>3.0964466005749753</c:v>
                </c:pt>
                <c:pt idx="22">
                  <c:v>5.6919678228809456</c:v>
                </c:pt>
                <c:pt idx="23">
                  <c:v>6.0679069130125569</c:v>
                </c:pt>
                <c:pt idx="24">
                  <c:v>-2.322296646253283</c:v>
                </c:pt>
                <c:pt idx="25">
                  <c:v>-2.4278076398245836</c:v>
                </c:pt>
                <c:pt idx="26">
                  <c:v>-1.0920895496592649</c:v>
                </c:pt>
                <c:pt idx="27">
                  <c:v>-2.9810197474627578</c:v>
                </c:pt>
                <c:pt idx="28">
                  <c:v>-1.4290710746881614</c:v>
                </c:pt>
                <c:pt idx="29">
                  <c:v>-1.0398757840091526</c:v>
                </c:pt>
                <c:pt idx="30">
                  <c:v>5.8694418335112823</c:v>
                </c:pt>
                <c:pt idx="31">
                  <c:v>6.2395062790564024</c:v>
                </c:pt>
                <c:pt idx="32">
                  <c:v>7.7675280069501627</c:v>
                </c:pt>
                <c:pt idx="33">
                  <c:v>6.9196142649726893</c:v>
                </c:pt>
                <c:pt idx="34">
                  <c:v>6.9133385297451744</c:v>
                </c:pt>
                <c:pt idx="35">
                  <c:v>6.6531261031739364</c:v>
                </c:pt>
                <c:pt idx="36">
                  <c:v>-1.2561556013677526</c:v>
                </c:pt>
                <c:pt idx="37">
                  <c:v>-3.2514530908279022</c:v>
                </c:pt>
                <c:pt idx="38">
                  <c:v>-0.87311522235590378</c:v>
                </c:pt>
                <c:pt idx="39">
                  <c:v>-3.0752446495569474</c:v>
                </c:pt>
                <c:pt idx="40">
                  <c:v>-2.7052017912554733</c:v>
                </c:pt>
                <c:pt idx="41">
                  <c:v>-2.3428221111197951</c:v>
                </c:pt>
                <c:pt idx="42">
                  <c:v>-11.773093661925117</c:v>
                </c:pt>
                <c:pt idx="43">
                  <c:v>-11.325520045858152</c:v>
                </c:pt>
                <c:pt idx="44">
                  <c:v>-9.3490052402272568</c:v>
                </c:pt>
                <c:pt idx="45">
                  <c:v>-12.517127191731692</c:v>
                </c:pt>
                <c:pt idx="46">
                  <c:v>-8.7318808150021745</c:v>
                </c:pt>
                <c:pt idx="47">
                  <c:v>-6.0387204830165722</c:v>
                </c:pt>
              </c:numCache>
            </c:numRef>
          </c:val>
          <c:smooth val="0"/>
          <c:extLst>
            <c:ext xmlns:c16="http://schemas.microsoft.com/office/drawing/2014/chart" uri="{C3380CC4-5D6E-409C-BE32-E72D297353CC}">
              <c16:uniqueId val="{00000005-5BF7-4A59-80A0-23420208626D}"/>
            </c:ext>
          </c:extLst>
        </c:ser>
        <c:ser>
          <c:idx val="6"/>
          <c:order val="6"/>
          <c:tx>
            <c:strRef>
              <c:f>'T-series X-section orig'!$I$32</c:f>
              <c:strCache>
                <c:ptCount val="1"/>
                <c:pt idx="0">
                  <c:v>pred</c:v>
                </c:pt>
              </c:strCache>
            </c:strRef>
          </c:tx>
          <c:spPr>
            <a:ln w="28575" cap="rnd">
              <a:solidFill>
                <a:schemeClr val="accent1">
                  <a:lumMod val="60000"/>
                </a:schemeClr>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orig'!$I$33:$I$98</c:f>
              <c:numCache>
                <c:formatCode>0.00</c:formatCode>
                <c:ptCount val="66"/>
                <c:pt idx="0">
                  <c:v>6.5300283507612642</c:v>
                </c:pt>
                <c:pt idx="1">
                  <c:v>6.7924001568352681</c:v>
                </c:pt>
                <c:pt idx="2">
                  <c:v>7.8358211746020752</c:v>
                </c:pt>
                <c:pt idx="3">
                  <c:v>6.925945613948044</c:v>
                </c:pt>
                <c:pt idx="4">
                  <c:v>7.1055960359433739</c:v>
                </c:pt>
                <c:pt idx="5">
                  <c:v>6.9860614908692336</c:v>
                </c:pt>
                <c:pt idx="6">
                  <c:v>-16.162302621077792</c:v>
                </c:pt>
                <c:pt idx="7">
                  <c:v>-15.425270651038346</c:v>
                </c:pt>
                <c:pt idx="8">
                  <c:v>-10.640718686880653</c:v>
                </c:pt>
                <c:pt idx="9">
                  <c:v>-15.622180952721713</c:v>
                </c:pt>
                <c:pt idx="10">
                  <c:v>-15.110006855694131</c:v>
                </c:pt>
                <c:pt idx="11">
                  <c:v>-15.387810468126375</c:v>
                </c:pt>
                <c:pt idx="12">
                  <c:v>6.750628063332794</c:v>
                </c:pt>
                <c:pt idx="13">
                  <c:v>7.0129942868585218</c:v>
                </c:pt>
                <c:pt idx="14">
                  <c:v>8.2385114954488916</c:v>
                </c:pt>
                <c:pt idx="15">
                  <c:v>5.5391634052634551</c:v>
                </c:pt>
                <c:pt idx="16">
                  <c:v>5.4294877689315211</c:v>
                </c:pt>
                <c:pt idx="17">
                  <c:v>3.5216398725101627</c:v>
                </c:pt>
                <c:pt idx="18">
                  <c:v>-4.1336695883366383</c:v>
                </c:pt>
                <c:pt idx="19">
                  <c:v>2.4560883958338375</c:v>
                </c:pt>
                <c:pt idx="20">
                  <c:v>3.9633307998882397</c:v>
                </c:pt>
                <c:pt idx="21">
                  <c:v>3.0961270626009703</c:v>
                </c:pt>
                <c:pt idx="22">
                  <c:v>5.6477781789047778</c:v>
                </c:pt>
                <c:pt idx="23">
                  <c:v>6.0187768435307394</c:v>
                </c:pt>
                <c:pt idx="24">
                  <c:v>-2.2455635689145779</c:v>
                </c:pt>
                <c:pt idx="25">
                  <c:v>-2.3496879836026259</c:v>
                </c:pt>
                <c:pt idx="26">
                  <c:v>-1.0315233107174904</c:v>
                </c:pt>
                <c:pt idx="27">
                  <c:v>-2.8956300220238602</c:v>
                </c:pt>
                <c:pt idx="28">
                  <c:v>-1.3640763733574288</c:v>
                </c:pt>
                <c:pt idx="29">
                  <c:v>-0.97999571531765062</c:v>
                </c:pt>
                <c:pt idx="30">
                  <c:v>5.8422461428126589</c:v>
                </c:pt>
                <c:pt idx="31">
                  <c:v>6.207447364837007</c:v>
                </c:pt>
                <c:pt idx="32">
                  <c:v>7.7153885059659455</c:v>
                </c:pt>
                <c:pt idx="33">
                  <c:v>6.8786176719419689</c:v>
                </c:pt>
                <c:pt idx="34">
                  <c:v>6.8724244096554123</c:v>
                </c:pt>
                <c:pt idx="35">
                  <c:v>6.6156315798828746</c:v>
                </c:pt>
                <c:pt idx="36">
                  <c:v>-1.2035084735958748</c:v>
                </c:pt>
                <c:pt idx="37">
                  <c:v>-3.1725846445843544</c:v>
                </c:pt>
                <c:pt idx="38">
                  <c:v>-0.82550184209216937</c:v>
                </c:pt>
                <c:pt idx="39">
                  <c:v>-2.9986918568339256</c:v>
                </c:pt>
                <c:pt idx="40">
                  <c:v>-2.6335119383631991</c:v>
                </c:pt>
                <c:pt idx="41">
                  <c:v>-2.2758944919549187</c:v>
                </c:pt>
                <c:pt idx="42">
                  <c:v>-11.576441595690376</c:v>
                </c:pt>
                <c:pt idx="43">
                  <c:v>-11.13474979443469</c:v>
                </c:pt>
                <c:pt idx="44">
                  <c:v>-9.1842094735391164</c:v>
                </c:pt>
                <c:pt idx="45">
                  <c:v>-12.31069736541771</c:v>
                </c:pt>
                <c:pt idx="46">
                  <c:v>-8.5675532279649325</c:v>
                </c:pt>
                <c:pt idx="47">
                  <c:v>-5.9097852197472314</c:v>
                </c:pt>
                <c:pt idx="48">
                  <c:v>-0.18049546377919246</c:v>
                </c:pt>
                <c:pt idx="49">
                  <c:v>2.8397466687588966</c:v>
                </c:pt>
                <c:pt idx="50">
                  <c:v>4.02563362745442</c:v>
                </c:pt>
                <c:pt idx="51">
                  <c:v>2.8588966827042674</c:v>
                </c:pt>
                <c:pt idx="52">
                  <c:v>2.9814529458880386</c:v>
                </c:pt>
                <c:pt idx="53">
                  <c:v>2.8471158211189738</c:v>
                </c:pt>
              </c:numCache>
            </c:numRef>
          </c:val>
          <c:smooth val="0"/>
          <c:extLst>
            <c:ext xmlns:c16="http://schemas.microsoft.com/office/drawing/2014/chart" uri="{C3380CC4-5D6E-409C-BE32-E72D297353CC}">
              <c16:uniqueId val="{00000006-5BF7-4A59-80A0-23420208626D}"/>
            </c:ext>
          </c:extLst>
        </c:ser>
        <c:ser>
          <c:idx val="7"/>
          <c:order val="7"/>
          <c:tx>
            <c:strRef>
              <c:f>'T-series X-section orig'!$J$32</c:f>
              <c:strCache>
                <c:ptCount val="1"/>
                <c:pt idx="0">
                  <c:v>pred</c:v>
                </c:pt>
              </c:strCache>
            </c:strRef>
          </c:tx>
          <c:spPr>
            <a:ln w="28575" cap="rnd">
              <a:solidFill>
                <a:schemeClr val="accent2">
                  <a:lumMod val="60000"/>
                </a:schemeClr>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orig'!$J$33:$J$98</c:f>
              <c:numCache>
                <c:formatCode>0.00</c:formatCode>
                <c:ptCount val="66"/>
                <c:pt idx="0">
                  <c:v>6.5121805965228425</c:v>
                </c:pt>
                <c:pt idx="1">
                  <c:v>6.773835292767858</c:v>
                </c:pt>
                <c:pt idx="2">
                  <c:v>7.8144044512636199</c:v>
                </c:pt>
                <c:pt idx="3">
                  <c:v>6.9070157458760288</c:v>
                </c:pt>
                <c:pt idx="4">
                  <c:v>7.0861751506186952</c:v>
                </c:pt>
                <c:pt idx="5">
                  <c:v>6.9669673151802396</c:v>
                </c:pt>
                <c:pt idx="6">
                  <c:v>-16.097937457948674</c:v>
                </c:pt>
                <c:pt idx="7">
                  <c:v>-15.362919930230234</c:v>
                </c:pt>
                <c:pt idx="8">
                  <c:v>-10.591445016126585</c:v>
                </c:pt>
                <c:pt idx="9">
                  <c:v>-15.559292040272972</c:v>
                </c:pt>
                <c:pt idx="10">
                  <c:v>-15.048517808134179</c:v>
                </c:pt>
                <c:pt idx="11">
                  <c:v>-15.325562132806112</c:v>
                </c:pt>
                <c:pt idx="12">
                  <c:v>6.7523680227459515</c:v>
                </c:pt>
                <c:pt idx="13">
                  <c:v>7.014017151700811</c:v>
                </c:pt>
                <c:pt idx="14">
                  <c:v>8.2361847990367743</c:v>
                </c:pt>
                <c:pt idx="15">
                  <c:v>5.5386764327251887</c:v>
                </c:pt>
                <c:pt idx="16">
                  <c:v>5.4237624748082336</c:v>
                </c:pt>
                <c:pt idx="17">
                  <c:v>3.5211290734166956</c:v>
                </c:pt>
                <c:pt idx="18">
                  <c:v>-4.1194655936954954</c:v>
                </c:pt>
                <c:pt idx="19">
                  <c:v>2.4609237484667967</c:v>
                </c:pt>
                <c:pt idx="20">
                  <c:v>3.9640465851073539</c:v>
                </c:pt>
                <c:pt idx="21">
                  <c:v>3.0992130732381642</c:v>
                </c:pt>
                <c:pt idx="22">
                  <c:v>5.6490754818126598</c:v>
                </c:pt>
                <c:pt idx="23">
                  <c:v>6.0190601396635595</c:v>
                </c:pt>
                <c:pt idx="24">
                  <c:v>-2.2298143464632156</c:v>
                </c:pt>
                <c:pt idx="25">
                  <c:v>-2.3336541702025331</c:v>
                </c:pt>
                <c:pt idx="26">
                  <c:v>-1.0190922809293079</c:v>
                </c:pt>
                <c:pt idx="27">
                  <c:v>-2.8781040498142234</c:v>
                </c:pt>
                <c:pt idx="28">
                  <c:v>-1.3507364156114479</c:v>
                </c:pt>
                <c:pt idx="29">
                  <c:v>-0.96770551981223196</c:v>
                </c:pt>
                <c:pt idx="30">
                  <c:v>5.8366643129501483</c:v>
                </c:pt>
                <c:pt idx="31">
                  <c:v>6.2008673736636801</c:v>
                </c:pt>
                <c:pt idx="32">
                  <c:v>7.7046870376033603</c:v>
                </c:pt>
                <c:pt idx="33">
                  <c:v>6.870203250342021</c:v>
                </c:pt>
                <c:pt idx="34">
                  <c:v>6.8640269153668463</c:v>
                </c:pt>
                <c:pt idx="35">
                  <c:v>6.6079359470671495</c:v>
                </c:pt>
                <c:pt idx="36">
                  <c:v>-1.1927028164339122</c:v>
                </c:pt>
                <c:pt idx="37">
                  <c:v>-3.156397144390664</c:v>
                </c:pt>
                <c:pt idx="38">
                  <c:v>-0.81572934575236378</c:v>
                </c:pt>
                <c:pt idx="39">
                  <c:v>-2.9829796372321207</c:v>
                </c:pt>
                <c:pt idx="40">
                  <c:v>-2.6187978218457326</c:v>
                </c:pt>
                <c:pt idx="41">
                  <c:v>-2.2621578089112448</c:v>
                </c:pt>
                <c:pt idx="42">
                  <c:v>-11.533779769809495</c:v>
                </c:pt>
                <c:pt idx="43">
                  <c:v>-11.093295192518926</c:v>
                </c:pt>
                <c:pt idx="44">
                  <c:v>-9.1480860528081109</c:v>
                </c:pt>
                <c:pt idx="45">
                  <c:v>-12.266028685075824</c:v>
                </c:pt>
                <c:pt idx="46">
                  <c:v>-8.5370449603829144</c:v>
                </c:pt>
                <c:pt idx="47">
                  <c:v>-5.8865411151497256</c:v>
                </c:pt>
                <c:pt idx="48">
                  <c:v>-0.17967906551093105</c:v>
                </c:pt>
                <c:pt idx="49">
                  <c:v>2.8422419870827818</c:v>
                </c:pt>
                <c:pt idx="50">
                  <c:v>4.0248877011991908</c:v>
                </c:pt>
                <c:pt idx="51">
                  <c:v>2.8613396605597488</c:v>
                </c:pt>
                <c:pt idx="52">
                  <c:v>2.9835609552030804</c:v>
                </c:pt>
                <c:pt idx="53">
                  <c:v>2.8495909982102021</c:v>
                </c:pt>
                <c:pt idx="54">
                  <c:v>3.9496747676169859</c:v>
                </c:pt>
                <c:pt idx="55">
                  <c:v>2.7321886653715692</c:v>
                </c:pt>
                <c:pt idx="56">
                  <c:v>4.736718843922664</c:v>
                </c:pt>
                <c:pt idx="57">
                  <c:v>3.5717659808998041</c:v>
                </c:pt>
                <c:pt idx="58">
                  <c:v>3.6285122242426846</c:v>
                </c:pt>
                <c:pt idx="59">
                  <c:v>3.7087991524633486</c:v>
                </c:pt>
              </c:numCache>
            </c:numRef>
          </c:val>
          <c:smooth val="0"/>
          <c:extLst>
            <c:ext xmlns:c16="http://schemas.microsoft.com/office/drawing/2014/chart" uri="{C3380CC4-5D6E-409C-BE32-E72D297353CC}">
              <c16:uniqueId val="{00000007-5BF7-4A59-80A0-23420208626D}"/>
            </c:ext>
          </c:extLst>
        </c:ser>
        <c:ser>
          <c:idx val="8"/>
          <c:order val="8"/>
          <c:tx>
            <c:strRef>
              <c:f>'T-series X-section orig'!$K$32</c:f>
              <c:strCache>
                <c:ptCount val="1"/>
                <c:pt idx="0">
                  <c:v>pred</c:v>
                </c:pt>
              </c:strCache>
            </c:strRef>
          </c:tx>
          <c:spPr>
            <a:ln w="28575" cap="rnd">
              <a:solidFill>
                <a:schemeClr val="accent3">
                  <a:lumMod val="60000"/>
                </a:schemeClr>
              </a:solidFill>
              <a:round/>
            </a:ln>
            <a:effectLst/>
          </c:spPr>
          <c:marker>
            <c:symbol val="none"/>
          </c:marker>
          <c:cat>
            <c:numRef>
              <c:f>'T-series X-section orig'!$B$33:$B$98</c:f>
              <c:numCache>
                <c:formatCode>General</c:formatCode>
                <c:ptCount val="66"/>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pt idx="60">
                  <c:v>2012</c:v>
                </c:pt>
                <c:pt idx="61">
                  <c:v>2013</c:v>
                </c:pt>
                <c:pt idx="62">
                  <c:v>2014</c:v>
                </c:pt>
                <c:pt idx="63">
                  <c:v>2015</c:v>
                </c:pt>
                <c:pt idx="64">
                  <c:v>2016</c:v>
                </c:pt>
                <c:pt idx="65">
                  <c:v>2017</c:v>
                </c:pt>
              </c:numCache>
            </c:numRef>
          </c:cat>
          <c:val>
            <c:numRef>
              <c:f>'T-series X-section orig'!$K$33:$K$98</c:f>
              <c:numCache>
                <c:formatCode>0.00</c:formatCode>
                <c:ptCount val="66"/>
                <c:pt idx="0">
                  <c:v>3.1699584774520586</c:v>
                </c:pt>
                <c:pt idx="1">
                  <c:v>3.2973251114440441</c:v>
                </c:pt>
                <c:pt idx="2">
                  <c:v>3.8038468481277672</c:v>
                </c:pt>
                <c:pt idx="3">
                  <c:v>3.3621538581447377</c:v>
                </c:pt>
                <c:pt idx="4">
                  <c:v>3.4493639509026881</c:v>
                </c:pt>
                <c:pt idx="5">
                  <c:v>3.3913367075045837</c:v>
                </c:pt>
                <c:pt idx="6">
                  <c:v>-5.9237496345313314</c:v>
                </c:pt>
                <c:pt idx="7">
                  <c:v>-5.5659624066539291</c:v>
                </c:pt>
                <c:pt idx="8">
                  <c:v>-3.2433337372357549</c:v>
                </c:pt>
                <c:pt idx="9">
                  <c:v>-5.6615511922747555</c:v>
                </c:pt>
                <c:pt idx="10">
                  <c:v>-5.4129197111243439</c:v>
                </c:pt>
                <c:pt idx="11">
                  <c:v>-5.5477776120389297</c:v>
                </c:pt>
                <c:pt idx="12">
                  <c:v>5.1991789294543418</c:v>
                </c:pt>
                <c:pt idx="13">
                  <c:v>5.3265428534356989</c:v>
                </c:pt>
                <c:pt idx="14">
                  <c:v>5.9214619649555642</c:v>
                </c:pt>
                <c:pt idx="15">
                  <c:v>4.6123650215250862</c:v>
                </c:pt>
                <c:pt idx="16">
                  <c:v>4.5604072064354479</c:v>
                </c:pt>
                <c:pt idx="17">
                  <c:v>3.6342552377009003</c:v>
                </c:pt>
                <c:pt idx="18">
                  <c:v>-0.36092310249740978</c:v>
                </c:pt>
                <c:pt idx="19">
                  <c:v>2.9762270843946164</c:v>
                </c:pt>
                <c:pt idx="20">
                  <c:v>3.7079078030166839</c:v>
                </c:pt>
                <c:pt idx="21">
                  <c:v>3.2869295635621176</c:v>
                </c:pt>
                <c:pt idx="22">
                  <c:v>4.608529304173647</c:v>
                </c:pt>
                <c:pt idx="23">
                  <c:v>4.7886281182802293</c:v>
                </c:pt>
                <c:pt idx="24">
                  <c:v>0.71943063595602297</c:v>
                </c:pt>
                <c:pt idx="25">
                  <c:v>0.66888413702518434</c:v>
                </c:pt>
                <c:pt idx="26">
                  <c:v>1.3087783388632079</c:v>
                </c:pt>
                <c:pt idx="27">
                  <c:v>0.40386023514746938</c:v>
                </c:pt>
                <c:pt idx="28">
                  <c:v>1.1473426844536494</c:v>
                </c:pt>
                <c:pt idx="29">
                  <c:v>1.3337920645450261</c:v>
                </c:pt>
                <c:pt idx="30">
                  <c:v>4.7913946962723371</c:v>
                </c:pt>
                <c:pt idx="31">
                  <c:v>4.9686791807412254</c:v>
                </c:pt>
                <c:pt idx="32">
                  <c:v>5.7006990965909248</c:v>
                </c:pt>
                <c:pt idx="33">
                  <c:v>5.2944943059655198</c:v>
                </c:pt>
                <c:pt idx="34">
                  <c:v>5.2914878283158382</c:v>
                </c:pt>
                <c:pt idx="35">
                  <c:v>5.1668294709610088</c:v>
                </c:pt>
                <c:pt idx="36">
                  <c:v>0.83079582072675162</c:v>
                </c:pt>
                <c:pt idx="37">
                  <c:v>-0.12507900334596567</c:v>
                </c:pt>
                <c:pt idx="38">
                  <c:v>1.0142966053640139</c:v>
                </c:pt>
                <c:pt idx="39">
                  <c:v>-4.0663915525866123E-2</c:v>
                </c:pt>
                <c:pt idx="40">
                  <c:v>0.136610227275761</c:v>
                </c:pt>
                <c:pt idx="41">
                  <c:v>0.31021321872288521</c:v>
                </c:pt>
                <c:pt idx="42">
                  <c:v>-3.8295026083365498</c:v>
                </c:pt>
                <c:pt idx="43">
                  <c:v>-3.615086285067707</c:v>
                </c:pt>
                <c:pt idx="44">
                  <c:v>-2.6682095651352205</c:v>
                </c:pt>
                <c:pt idx="45">
                  <c:v>-4.1859421483875368</c:v>
                </c:pt>
                <c:pt idx="46">
                  <c:v>-2.425398693808881</c:v>
                </c:pt>
                <c:pt idx="47">
                  <c:v>-1.1352030351991607</c:v>
                </c:pt>
                <c:pt idx="48">
                  <c:v>1.0171014424495834</c:v>
                </c:pt>
                <c:pt idx="49">
                  <c:v>2.8919627570505311</c:v>
                </c:pt>
                <c:pt idx="50">
                  <c:v>3.4676436294893866</c:v>
                </c:pt>
                <c:pt idx="51">
                  <c:v>2.90125900291482</c:v>
                </c:pt>
                <c:pt idx="52">
                  <c:v>2.9607531191078911</c:v>
                </c:pt>
                <c:pt idx="53">
                  <c:v>2.8955400626517758</c:v>
                </c:pt>
                <c:pt idx="54">
                  <c:v>4.0610407093186263</c:v>
                </c:pt>
                <c:pt idx="55">
                  <c:v>3.468400450992001</c:v>
                </c:pt>
                <c:pt idx="56">
                  <c:v>4.4441530946148431</c:v>
                </c:pt>
                <c:pt idx="57">
                  <c:v>3.8770846374005039</c:v>
                </c:pt>
                <c:pt idx="58">
                  <c:v>3.9047072182675597</c:v>
                </c:pt>
                <c:pt idx="59">
                  <c:v>3.9437887862568708</c:v>
                </c:pt>
                <c:pt idx="60">
                  <c:v>4.7323604179008534</c:v>
                </c:pt>
                <c:pt idx="61">
                  <c:v>2.4403536245354487</c:v>
                </c:pt>
                <c:pt idx="62">
                  <c:v>3.1976373758374073</c:v>
                </c:pt>
                <c:pt idx="63">
                  <c:v>2.8370394380116095</c:v>
                </c:pt>
                <c:pt idx="64">
                  <c:v>2.8940865637022299</c:v>
                </c:pt>
                <c:pt idx="65">
                  <c:v>2.8533788477700726</c:v>
                </c:pt>
              </c:numCache>
            </c:numRef>
          </c:val>
          <c:smooth val="0"/>
          <c:extLst>
            <c:ext xmlns:c16="http://schemas.microsoft.com/office/drawing/2014/chart" uri="{C3380CC4-5D6E-409C-BE32-E72D297353CC}">
              <c16:uniqueId val="{00000008-5BF7-4A59-80A0-23420208626D}"/>
            </c:ext>
          </c:extLst>
        </c:ser>
        <c:dLbls>
          <c:showLegendKey val="0"/>
          <c:showVal val="0"/>
          <c:showCatName val="0"/>
          <c:showSerName val="0"/>
          <c:showPercent val="0"/>
          <c:showBubbleSize val="0"/>
        </c:dLbls>
        <c:smooth val="0"/>
        <c:axId val="719095416"/>
        <c:axId val="719093776"/>
      </c:lineChart>
      <c:catAx>
        <c:axId val="71909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093776"/>
        <c:crosses val="autoZero"/>
        <c:auto val="1"/>
        <c:lblAlgn val="ctr"/>
        <c:lblOffset val="100"/>
        <c:noMultiLvlLbl val="0"/>
      </c:catAx>
      <c:valAx>
        <c:axId val="7190937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095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'Australia EV uptake'!$D$3</c:f>
              <c:strCache>
                <c:ptCount val="1"/>
                <c:pt idx="0">
                  <c:v> predicted raw</c:v>
                </c:pt>
              </c:strCache>
            </c:strRef>
          </c:tx>
          <c:spPr>
            <a:ln w="28575" cap="rnd">
              <a:solidFill>
                <a:schemeClr val="accent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uptake'!$D$4:$D$35</c:f>
              <c:numCache>
                <c:formatCode>0.00</c:formatCode>
                <c:ptCount val="32"/>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numCache>
            </c:numRef>
          </c:val>
          <c:smooth val="0"/>
          <c:extLst>
            <c:ext xmlns:c16="http://schemas.microsoft.com/office/drawing/2014/chart" uri="{C3380CC4-5D6E-409C-BE32-E72D297353CC}">
              <c16:uniqueId val="{00000000-3A11-451F-A785-8426356CA46A}"/>
            </c:ext>
          </c:extLst>
        </c:ser>
        <c:ser>
          <c:idx val="1"/>
          <c:order val="1"/>
          <c:tx>
            <c:strRef>
              <c:f>'Australia EV uptake'!$G$3</c:f>
              <c:strCache>
                <c:ptCount val="1"/>
                <c:pt idx="0">
                  <c:v>loglag pred</c:v>
                </c:pt>
              </c:strCache>
            </c:strRef>
          </c:tx>
          <c:spPr>
            <a:ln w="28575" cap="rnd">
              <a:solidFill>
                <a:schemeClr val="accent2"/>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'Australia EV uptake'!$G$4:$G$35</c:f>
              <c:numCache>
                <c:formatCode>0.00000000</c:formatCode>
                <c:ptCount val="32"/>
                <c:pt idx="3" formatCode="0.000">
                  <c:v>-7.5630196487128547</c:v>
                </c:pt>
                <c:pt idx="4" formatCode="0.000">
                  <c:v>-7.5630196487128547</c:v>
                </c:pt>
                <c:pt idx="5" formatCode="0.000">
                  <c:v>-7.5630196487128547</c:v>
                </c:pt>
                <c:pt idx="6" formatCode="0.000">
                  <c:v>-5.8266538820965206</c:v>
                </c:pt>
                <c:pt idx="7" formatCode="0.000">
                  <c:v>-5.7944367222463393</c:v>
                </c:pt>
                <c:pt idx="8" formatCode="0.000">
                  <c:v>-5.7203542306622239</c:v>
                </c:pt>
                <c:pt idx="9" formatCode="0.000">
                  <c:v>-4.9322868230606272</c:v>
                </c:pt>
                <c:pt idx="10" formatCode="0.000">
                  <c:v>-4.4899449895390369</c:v>
                </c:pt>
                <c:pt idx="11" formatCode="0.000">
                  <c:v>-4.1345211232989385</c:v>
                </c:pt>
                <c:pt idx="12" formatCode="0.000">
                  <c:v>-3.7927622532340814</c:v>
                </c:pt>
                <c:pt idx="13" formatCode="0.000">
                  <c:v>-3.2920782778308042</c:v>
                </c:pt>
                <c:pt idx="14" formatCode="0.000">
                  <c:v>-2.8773068638601891</c:v>
                </c:pt>
                <c:pt idx="15" formatCode="0.000">
                  <c:v>-2.5109359681944055</c:v>
                </c:pt>
                <c:pt idx="16" formatCode="0.000">
                  <c:v>-2.1753011270482796</c:v>
                </c:pt>
                <c:pt idx="17" formatCode="0.000">
                  <c:v>-1.7496146768449798</c:v>
                </c:pt>
                <c:pt idx="18" formatCode="0.000">
                  <c:v>-1.4059816863433872</c:v>
                </c:pt>
                <c:pt idx="19" formatCode="0.000">
                  <c:v>-1.0839403946284423</c:v>
                </c:pt>
                <c:pt idx="20" formatCode="0.000">
                  <c:v>-0.7634615429148448</c:v>
                </c:pt>
                <c:pt idx="21" formatCode="0.000">
                  <c:v>-0.38090824784501653</c:v>
                </c:pt>
                <c:pt idx="22" formatCode="0.000">
                  <c:v>-7.9506399859053722E-2</c:v>
                </c:pt>
                <c:pt idx="23" formatCode="0.000">
                  <c:v>0.24020472541455717</c:v>
                </c:pt>
                <c:pt idx="24" formatCode="0.000">
                  <c:v>0.5960316035227069</c:v>
                </c:pt>
                <c:pt idx="25" formatCode="0.000">
                  <c:v>1.0229685436652889</c:v>
                </c:pt>
                <c:pt idx="26" formatCode="0.000">
                  <c:v>1.2785878449526296</c:v>
                </c:pt>
                <c:pt idx="27" formatCode="0.000">
                  <c:v>1.5310015927447469</c:v>
                </c:pt>
                <c:pt idx="28" formatCode="0.000">
                  <c:v>1.7796381454372878</c:v>
                </c:pt>
                <c:pt idx="29" formatCode="0.000">
                  <c:v>2.0240930644260127</c:v>
                </c:pt>
                <c:pt idx="30" formatCode="0.000">
                  <c:v>2.2640891732414605</c:v>
                </c:pt>
                <c:pt idx="31" formatCode="0.000">
                  <c:v>2.4994403757153689</c:v>
                </c:pt>
              </c:numCache>
            </c:numRef>
          </c:val>
          <c:smooth val="0"/>
          <c:extLst>
            <c:ext xmlns:c16="http://schemas.microsoft.com/office/drawing/2014/chart" uri="{C3380CC4-5D6E-409C-BE32-E72D297353CC}">
              <c16:uniqueId val="{00000001-3A11-451F-A785-8426356CA46A}"/>
            </c:ext>
          </c:extLst>
        </c:ser>
        <c:ser>
          <c:idx val="2"/>
          <c:order val="2"/>
          <c:tx>
            <c:strRef>
              <c:f>' All EV uptake'!$E$3</c:f>
              <c:strCache>
                <c:ptCount val="1"/>
                <c:pt idx="0">
                  <c:v>Austria</c:v>
                </c:pt>
              </c:strCache>
            </c:strRef>
          </c:tx>
          <c:spPr>
            <a:ln w="28575" cap="rnd">
              <a:solidFill>
                <a:schemeClr val="accent3"/>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uptake'!$E$4:$E$35</c:f>
              <c:numCache>
                <c:formatCode>0.00</c:formatCode>
                <c:ptCount val="32"/>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pt idx="10">
                  <c:v>3.8381890852736973</c:v>
                </c:pt>
                <c:pt idx="11">
                  <c:v>5.5200023789857555</c:v>
                </c:pt>
                <c:pt idx="12">
                  <c:v>7.8442359614469916</c:v>
                </c:pt>
                <c:pt idx="13">
                  <c:v>10.96666716050855</c:v>
                </c:pt>
                <c:pt idx="14">
                  <c:v>15.005684880315728</c:v>
                </c:pt>
                <c:pt idx="15">
                  <c:v>19.982150823142476</c:v>
                </c:pt>
                <c:pt idx="16">
                  <c:v>25.758672365867149</c:v>
                </c:pt>
                <c:pt idx="17">
                  <c:v>32.017433710081967</c:v>
                </c:pt>
                <c:pt idx="18">
                  <c:v>38.312201822341244</c:v>
                </c:pt>
                <c:pt idx="19">
                  <c:v>44.186570827175956</c:v>
                </c:pt>
                <c:pt idx="20">
                  <c:v>49.297852580242349</c:v>
                </c:pt>
                <c:pt idx="21">
                  <c:v>53.481141904775455</c:v>
                </c:pt>
                <c:pt idx="22">
                  <c:v>56.73674955124897</c:v>
                </c:pt>
                <c:pt idx="23">
                  <c:v>59.172477908962534</c:v>
                </c:pt>
                <c:pt idx="24">
                  <c:v>60.941592261933344</c:v>
                </c:pt>
                <c:pt idx="25">
                  <c:v>62.199062445521918</c:v>
                </c:pt>
                <c:pt idx="26">
                  <c:v>63.079194309776966</c:v>
                </c:pt>
                <c:pt idx="27">
                  <c:v>63.688595482263246</c:v>
                </c:pt>
                <c:pt idx="28">
                  <c:v>64.107391906110223</c:v>
                </c:pt>
                <c:pt idx="29">
                  <c:v>64.393719042125909</c:v>
                </c:pt>
                <c:pt idx="30">
                  <c:v>64.588788486440805</c:v>
                </c:pt>
                <c:pt idx="31">
                  <c:v>64.721366382820392</c:v>
                </c:pt>
              </c:numCache>
            </c:numRef>
          </c:val>
          <c:smooth val="0"/>
          <c:extLst>
            <c:ext xmlns:c16="http://schemas.microsoft.com/office/drawing/2014/chart" uri="{C3380CC4-5D6E-409C-BE32-E72D297353CC}">
              <c16:uniqueId val="{00000002-3A11-451F-A785-8426356CA46A}"/>
            </c:ext>
          </c:extLst>
        </c:ser>
        <c:ser>
          <c:idx val="3"/>
          <c:order val="3"/>
          <c:tx>
            <c:strRef>
              <c:f>' All EV uptake'!$F$3</c:f>
              <c:strCache>
                <c:ptCount val="1"/>
                <c:pt idx="0">
                  <c:v>Canada</c:v>
                </c:pt>
              </c:strCache>
            </c:strRef>
          </c:tx>
          <c:spPr>
            <a:ln w="28575" cap="rnd">
              <a:solidFill>
                <a:schemeClr val="accent4"/>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uptake'!$F$4:$F$35</c:f>
              <c:numCache>
                <c:formatCode>0.00</c:formatCode>
                <c:ptCount val="32"/>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numCache>
            </c:numRef>
          </c:val>
          <c:smooth val="0"/>
          <c:extLst>
            <c:ext xmlns:c16="http://schemas.microsoft.com/office/drawing/2014/chart" uri="{C3380CC4-5D6E-409C-BE32-E72D297353CC}">
              <c16:uniqueId val="{00000003-3A11-451F-A785-8426356CA46A}"/>
            </c:ext>
          </c:extLst>
        </c:ser>
        <c:ser>
          <c:idx val="4"/>
          <c:order val="4"/>
          <c:tx>
            <c:strRef>
              <c:f>' All EV uptake'!$G$3</c:f>
              <c:strCache>
                <c:ptCount val="1"/>
                <c:pt idx="0">
                  <c:v>Belgium</c:v>
                </c:pt>
              </c:strCache>
            </c:strRef>
          </c:tx>
          <c:spPr>
            <a:ln w="28575" cap="rnd">
              <a:solidFill>
                <a:schemeClr val="accent5"/>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uptake'!$G$4:$G$35</c:f>
              <c:numCache>
                <c:formatCode>0.00</c:formatCode>
                <c:ptCount val="32"/>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4-3A11-451F-A785-8426356CA46A}"/>
            </c:ext>
          </c:extLst>
        </c:ser>
        <c:dLbls>
          <c:showLegendKey val="0"/>
          <c:showVal val="0"/>
          <c:showCatName val="0"/>
          <c:showSerName val="0"/>
          <c:showPercent val="0"/>
          <c:showBubbleSize val="0"/>
        </c:dLbls>
        <c:smooth val="0"/>
        <c:axId val="758183960"/>
        <c:axId val="758185600"/>
      </c:lineChart>
      <c:catAx>
        <c:axId val="758183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5600"/>
        <c:crosses val="autoZero"/>
        <c:auto val="1"/>
        <c:lblAlgn val="ctr"/>
        <c:lblOffset val="100"/>
        <c:noMultiLvlLbl val="0"/>
      </c:catAx>
      <c:valAx>
        <c:axId val="758185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183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'T-series X-section Norway lag'!$C$35</c:f>
              <c:strCache>
                <c:ptCount val="1"/>
                <c:pt idx="0">
                  <c:v>years lag Norway</c:v>
                </c:pt>
              </c:strCache>
            </c:strRef>
          </c:tx>
          <c:spPr>
            <a:ln w="38100" cap="rnd">
              <a:solidFill>
                <a:schemeClr val="tx1"/>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lag'!$C$36:$C$95</c:f>
              <c:numCache>
                <c:formatCode>0.00</c:formatCode>
                <c:ptCount val="60"/>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2017.2678731409455</c:v>
                </c:pt>
                <c:pt idx="25">
                  <c:v>2017.2250499190925</c:v>
                </c:pt>
                <c:pt idx="26">
                  <c:v>2017.8014239680281</c:v>
                </c:pt>
                <c:pt idx="27">
                  <c:v>2017.0074449217677</c:v>
                </c:pt>
                <c:pt idx="28">
                  <c:v>2017.648681601019</c:v>
                </c:pt>
                <c:pt idx="29">
                  <c:v>2017.8255650522617</c:v>
                </c:pt>
                <c:pt idx="30">
                  <c:v>2017.0015547616606</c:v>
                </c:pt>
                <c:pt idx="31">
                  <c:v>2017.2592952763096</c:v>
                </c:pt>
                <c:pt idx="32">
                  <c:v>2018.4664745793218</c:v>
                </c:pt>
                <c:pt idx="33">
                  <c:v>2017.766183496047</c:v>
                </c:pt>
                <c:pt idx="34">
                  <c:v>2017.7612958281914</c:v>
                </c:pt>
                <c:pt idx="35">
                  <c:v>2017.562179717394</c:v>
                </c:pt>
                <c:pt idx="36">
                  <c:v>2017.417420148292</c:v>
                </c:pt>
                <c:pt idx="37">
                  <c:v>2016.4622799886668</c:v>
                </c:pt>
                <c:pt idx="38">
                  <c:v>2017.6253415948945</c:v>
                </c:pt>
                <c:pt idx="39">
                  <c:v>2016.5389416660378</c:v>
                </c:pt>
                <c:pt idx="40">
                  <c:v>2016.7044232275296</c:v>
                </c:pt>
                <c:pt idx="41">
                  <c:v>2016.8726518224853</c:v>
                </c:pt>
                <c:pt idx="42">
                  <c:v>0</c:v>
                </c:pt>
                <c:pt idx="43">
                  <c:v>0</c:v>
                </c:pt>
                <c:pt idx="44">
                  <c:v>0</c:v>
                </c:pt>
                <c:pt idx="45">
                  <c:v>0</c:v>
                </c:pt>
                <c:pt idx="46">
                  <c:v>0</c:v>
                </c:pt>
                <c:pt idx="47">
                  <c:v>0</c:v>
                </c:pt>
                <c:pt idx="48">
                  <c:v>2016.6008082526105</c:v>
                </c:pt>
                <c:pt idx="49">
                  <c:v>2016.7279901164497</c:v>
                </c:pt>
                <c:pt idx="50">
                  <c:v>2017.5663798375936</c:v>
                </c:pt>
                <c:pt idx="51">
                  <c:v>2016.7405539582485</c:v>
                </c:pt>
                <c:pt idx="52">
                  <c:v>2016.8216684689783</c:v>
                </c:pt>
                <c:pt idx="53">
                  <c:v>2016.7328213196818</c:v>
                </c:pt>
                <c:pt idx="54">
                  <c:v>2017.1419061939387</c:v>
                </c:pt>
                <c:pt idx="55">
                  <c:v>2016.3410074258666</c:v>
                </c:pt>
                <c:pt idx="56">
                  <c:v>2017.7298303682742</c:v>
                </c:pt>
                <c:pt idx="57">
                  <c:v>2016.8802226471998</c:v>
                </c:pt>
                <c:pt idx="58">
                  <c:v>2016.9187227611449</c:v>
                </c:pt>
                <c:pt idx="59">
                  <c:v>2016.9736662841631</c:v>
                </c:pt>
              </c:numCache>
            </c:numRef>
          </c:val>
          <c:smooth val="0"/>
          <c:extLst>
            <c:ext xmlns:c16="http://schemas.microsoft.com/office/drawing/2014/chart" uri="{C3380CC4-5D6E-409C-BE32-E72D297353CC}">
              <c16:uniqueId val="{00000000-9882-47E6-9702-3BE7DEAD7AA5}"/>
            </c:ext>
          </c:extLst>
        </c:ser>
        <c:ser>
          <c:idx val="1"/>
          <c:order val="1"/>
          <c:tx>
            <c:strRef>
              <c:f>'T-series X-section Norway lag'!$D$35</c:f>
              <c:strCache>
                <c:ptCount val="1"/>
                <c:pt idx="0">
                  <c:v>belgium</c:v>
                </c:pt>
              </c:strCache>
            </c:strRef>
          </c:tx>
          <c:spPr>
            <a:ln w="28575" cap="rnd">
              <a:solidFill>
                <a:schemeClr val="accent2"/>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lag'!$D$36:$D$95</c:f>
              <c:numCache>
                <c:formatCode>0.00</c:formatCode>
                <c:ptCount val="60"/>
                <c:pt idx="0">
                  <c:v>7.877620478257862</c:v>
                </c:pt>
                <c:pt idx="1">
                  <c:v>8.1638573444405225</c:v>
                </c:pt>
                <c:pt idx="2">
                  <c:v>6.9390497253687666</c:v>
                </c:pt>
                <c:pt idx="3">
                  <c:v>7.7681036357643825</c:v>
                </c:pt>
                <c:pt idx="4">
                  <c:v>8.8936153850689621</c:v>
                </c:pt>
                <c:pt idx="5">
                  <c:v>9.0759362975892088</c:v>
                </c:pt>
                <c:pt idx="6">
                  <c:v>0.53196033195131065</c:v>
                </c:pt>
                <c:pt idx="7">
                  <c:v>0.73250525563765656</c:v>
                </c:pt>
                <c:pt idx="8">
                  <c:v>2.0343722675584868</c:v>
                </c:pt>
                <c:pt idx="9">
                  <c:v>0.67892635671685042</c:v>
                </c:pt>
                <c:pt idx="10">
                  <c:v>0.81828790326824929</c:v>
                </c:pt>
                <c:pt idx="11">
                  <c:v>0.74269809642169626</c:v>
                </c:pt>
                <c:pt idx="12">
                  <c:v>4.1904800886555282</c:v>
                </c:pt>
                <c:pt idx="13">
                  <c:v>4.6771063849423884</c:v>
                </c:pt>
                <c:pt idx="14">
                  <c:v>5.4258041362678693</c:v>
                </c:pt>
                <c:pt idx="15">
                  <c:v>5.502491176226723</c:v>
                </c:pt>
                <c:pt idx="16">
                  <c:v>6.2838229069754394</c:v>
                </c:pt>
                <c:pt idx="17">
                  <c:v>6.1799382854733036</c:v>
                </c:pt>
                <c:pt idx="18">
                  <c:v>4.8384138559028829</c:v>
                </c:pt>
                <c:pt idx="19">
                  <c:v>5.6334652191585484</c:v>
                </c:pt>
                <c:pt idx="20">
                  <c:v>5.8510767337520448</c:v>
                </c:pt>
                <c:pt idx="21">
                  <c:v>5.4226062063586431</c:v>
                </c:pt>
                <c:pt idx="22">
                  <c:v>5.441097760873733</c:v>
                </c:pt>
                <c:pt idx="23">
                  <c:v>5.3495396284564318</c:v>
                </c:pt>
              </c:numCache>
            </c:numRef>
          </c:val>
          <c:smooth val="0"/>
          <c:extLst>
            <c:ext xmlns:c16="http://schemas.microsoft.com/office/drawing/2014/chart" uri="{C3380CC4-5D6E-409C-BE32-E72D297353CC}">
              <c16:uniqueId val="{00000001-9882-47E6-9702-3BE7DEAD7AA5}"/>
            </c:ext>
          </c:extLst>
        </c:ser>
        <c:ser>
          <c:idx val="2"/>
          <c:order val="2"/>
          <c:tx>
            <c:strRef>
              <c:f>'T-series X-section Norway lag'!$E$35</c:f>
              <c:strCache>
                <c:ptCount val="1"/>
                <c:pt idx="0">
                  <c:v>Britain</c:v>
                </c:pt>
              </c:strCache>
            </c:strRef>
          </c:tx>
          <c:spPr>
            <a:ln w="28575" cap="rnd">
              <a:solidFill>
                <a:schemeClr val="accent3"/>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lag'!$E$36:$E$95</c:f>
              <c:numCache>
                <c:formatCode>0.00</c:formatCode>
                <c:ptCount val="60"/>
                <c:pt idx="0">
                  <c:v>7.7994840988271097</c:v>
                </c:pt>
                <c:pt idx="1">
                  <c:v>8.1082776577717297</c:v>
                </c:pt>
                <c:pt idx="2">
                  <c:v>6.9317153790999733</c:v>
                </c:pt>
                <c:pt idx="3">
                  <c:v>7.774582078775234</c:v>
                </c:pt>
                <c:pt idx="4">
                  <c:v>8.908191657120117</c:v>
                </c:pt>
                <c:pt idx="5">
                  <c:v>9.1150725001834516</c:v>
                </c:pt>
                <c:pt idx="6">
                  <c:v>0.5112059183179305</c:v>
                </c:pt>
                <c:pt idx="7">
                  <c:v>0.70788484112777006</c:v>
                </c:pt>
                <c:pt idx="8">
                  <c:v>1.9846551369778691</c:v>
                </c:pt>
                <c:pt idx="9">
                  <c:v>0.65533880839167047</c:v>
                </c:pt>
                <c:pt idx="10">
                  <c:v>0.79201381543254001</c:v>
                </c:pt>
                <c:pt idx="11">
                  <c:v>0.71788118962129843</c:v>
                </c:pt>
                <c:pt idx="12">
                  <c:v>4.1957159785396323</c:v>
                </c:pt>
                <c:pt idx="13">
                  <c:v>4.6777672951201286</c:v>
                </c:pt>
                <c:pt idx="14">
                  <c:v>5.4168379893479921</c:v>
                </c:pt>
                <c:pt idx="15">
                  <c:v>5.4968526456629867</c:v>
                </c:pt>
                <c:pt idx="16">
                  <c:v>6.2679282184087359</c:v>
                </c:pt>
                <c:pt idx="17">
                  <c:v>6.1708521799641103</c:v>
                </c:pt>
                <c:pt idx="18">
                  <c:v>4.7911615243615451</c:v>
                </c:pt>
                <c:pt idx="19">
                  <c:v>5.5897261858399387</c:v>
                </c:pt>
                <c:pt idx="20">
                  <c:v>5.8219825841384747</c:v>
                </c:pt>
                <c:pt idx="21">
                  <c:v>5.4206117744828326</c:v>
                </c:pt>
                <c:pt idx="22">
                  <c:v>5.4575867438711567</c:v>
                </c:pt>
                <c:pt idx="23">
                  <c:v>5.386633507032359</c:v>
                </c:pt>
                <c:pt idx="24">
                  <c:v>5.2594309386666742</c:v>
                </c:pt>
                <c:pt idx="25">
                  <c:v>5.2468703209250505</c:v>
                </c:pt>
                <c:pt idx="26">
                  <c:v>5.6138512930185511</c:v>
                </c:pt>
                <c:pt idx="27">
                  <c:v>5.1316347630038734</c:v>
                </c:pt>
                <c:pt idx="28">
                  <c:v>5.5555591454272051</c:v>
                </c:pt>
                <c:pt idx="29">
                  <c:v>5.6732773374491119</c:v>
                </c:pt>
              </c:numCache>
            </c:numRef>
          </c:val>
          <c:smooth val="0"/>
          <c:extLst>
            <c:ext xmlns:c16="http://schemas.microsoft.com/office/drawing/2014/chart" uri="{C3380CC4-5D6E-409C-BE32-E72D297353CC}">
              <c16:uniqueId val="{00000002-9882-47E6-9702-3BE7DEAD7AA5}"/>
            </c:ext>
          </c:extLst>
        </c:ser>
        <c:ser>
          <c:idx val="3"/>
          <c:order val="3"/>
          <c:tx>
            <c:strRef>
              <c:f>'T-series X-section Norway lag'!$F$35</c:f>
              <c:strCache>
                <c:ptCount val="1"/>
                <c:pt idx="0">
                  <c:v>Canada</c:v>
                </c:pt>
              </c:strCache>
            </c:strRef>
          </c:tx>
          <c:spPr>
            <a:ln w="28575" cap="rnd">
              <a:solidFill>
                <a:schemeClr val="accent4"/>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lag'!$F$36:$F$95</c:f>
              <c:numCache>
                <c:formatCode>0.00</c:formatCode>
                <c:ptCount val="60"/>
                <c:pt idx="0">
                  <c:v>7.797436413507099</c:v>
                </c:pt>
                <c:pt idx="1">
                  <c:v>8.1068134645732322</c:v>
                </c:pt>
                <c:pt idx="2">
                  <c:v>6.9314919071646335</c:v>
                </c:pt>
                <c:pt idx="3">
                  <c:v>7.7747521165019196</c:v>
                </c:pt>
                <c:pt idx="4">
                  <c:v>8.908561986024111</c:v>
                </c:pt>
                <c:pt idx="5">
                  <c:v>9.1160940491637277</c:v>
                </c:pt>
                <c:pt idx="6">
                  <c:v>0.51163567169424873</c:v>
                </c:pt>
                <c:pt idx="7">
                  <c:v>0.70818388793746756</c:v>
                </c:pt>
                <c:pt idx="8">
                  <c:v>1.9841056827923857</c:v>
                </c:pt>
                <c:pt idx="9">
                  <c:v>0.65567277562614024</c:v>
                </c:pt>
                <c:pt idx="10">
                  <c:v>0.79225695279740371</c:v>
                </c:pt>
                <c:pt idx="11">
                  <c:v>0.71817359317521756</c:v>
                </c:pt>
                <c:pt idx="12">
                  <c:v>4.195893000017854</c:v>
                </c:pt>
                <c:pt idx="13">
                  <c:v>4.6777896399935397</c:v>
                </c:pt>
                <c:pt idx="14">
                  <c:v>5.4165348506997759</c:v>
                </c:pt>
                <c:pt idx="15">
                  <c:v>5.4966620112078219</c:v>
                </c:pt>
                <c:pt idx="16">
                  <c:v>6.2673908310059874</c:v>
                </c:pt>
                <c:pt idx="17">
                  <c:v>6.1705449856066892</c:v>
                </c:pt>
                <c:pt idx="18">
                  <c:v>4.7901325237885271</c:v>
                </c:pt>
                <c:pt idx="19">
                  <c:v>5.5886283407636697</c:v>
                </c:pt>
                <c:pt idx="20">
                  <c:v>5.8211922450477225</c:v>
                </c:pt>
                <c:pt idx="21">
                  <c:v>5.4205500298993661</c:v>
                </c:pt>
                <c:pt idx="22">
                  <c:v>5.4579622831097589</c:v>
                </c:pt>
                <c:pt idx="23">
                  <c:v>5.387518055751662</c:v>
                </c:pt>
                <c:pt idx="24">
                  <c:v>5.2581089254877487</c:v>
                </c:pt>
                <c:pt idx="25">
                  <c:v>5.2460245728054433</c:v>
                </c:pt>
                <c:pt idx="26">
                  <c:v>5.6132295786698814</c:v>
                </c:pt>
                <c:pt idx="27">
                  <c:v>5.1318014321200414</c:v>
                </c:pt>
                <c:pt idx="28">
                  <c:v>5.5559120055320266</c:v>
                </c:pt>
                <c:pt idx="29">
                  <c:v>5.6740198834532451</c:v>
                </c:pt>
                <c:pt idx="30">
                  <c:v>3.8424261095747205</c:v>
                </c:pt>
                <c:pt idx="31">
                  <c:v>4.3060962860712628</c:v>
                </c:pt>
                <c:pt idx="32">
                  <c:v>5.0745069648256749</c:v>
                </c:pt>
                <c:pt idx="33">
                  <c:v>5.2176408916153694</c:v>
                </c:pt>
                <c:pt idx="34">
                  <c:v>5.5822693353496637</c:v>
                </c:pt>
                <c:pt idx="35">
                  <c:v>5.8800690661068877</c:v>
                </c:pt>
              </c:numCache>
            </c:numRef>
          </c:val>
          <c:smooth val="0"/>
          <c:extLst>
            <c:ext xmlns:c16="http://schemas.microsoft.com/office/drawing/2014/chart" uri="{C3380CC4-5D6E-409C-BE32-E72D297353CC}">
              <c16:uniqueId val="{00000003-9882-47E6-9702-3BE7DEAD7AA5}"/>
            </c:ext>
          </c:extLst>
        </c:ser>
        <c:ser>
          <c:idx val="4"/>
          <c:order val="4"/>
          <c:tx>
            <c:strRef>
              <c:f>'T-series X-section Norway lag'!$G$35</c:f>
              <c:strCache>
                <c:ptCount val="1"/>
                <c:pt idx="0">
                  <c:v>China</c:v>
                </c:pt>
              </c:strCache>
            </c:strRef>
          </c:tx>
          <c:spPr>
            <a:ln w="28575" cap="rnd">
              <a:solidFill>
                <a:schemeClr val="accent5"/>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lag'!$G$36:$G$95</c:f>
              <c:numCache>
                <c:formatCode>0.00</c:formatCode>
                <c:ptCount val="60"/>
                <c:pt idx="0">
                  <c:v>7.6983863138252211</c:v>
                </c:pt>
                <c:pt idx="1">
                  <c:v>8.0362595121494866</c:v>
                </c:pt>
                <c:pt idx="2">
                  <c:v>6.9217935260650547</c:v>
                </c:pt>
                <c:pt idx="3">
                  <c:v>7.7829678928486938</c:v>
                </c:pt>
                <c:pt idx="4">
                  <c:v>8.9268900952972299</c:v>
                </c:pt>
                <c:pt idx="5">
                  <c:v>9.1656530420685804</c:v>
                </c:pt>
                <c:pt idx="6">
                  <c:v>0.49781294678719235</c:v>
                </c:pt>
                <c:pt idx="7">
                  <c:v>0.68908346044464786</c:v>
                </c:pt>
                <c:pt idx="8">
                  <c:v>1.9307442689388292</c:v>
                </c:pt>
                <c:pt idx="9">
                  <c:v>0.63798237381823419</c:v>
                </c:pt>
                <c:pt idx="10">
                  <c:v>0.77089899969440445</c:v>
                </c:pt>
                <c:pt idx="11">
                  <c:v>0.69880492263154892</c:v>
                </c:pt>
                <c:pt idx="12">
                  <c:v>4.2030408177403018</c:v>
                </c:pt>
                <c:pt idx="13">
                  <c:v>4.6786918869059022</c:v>
                </c:pt>
                <c:pt idx="14">
                  <c:v>5.4042946422013998</c:v>
                </c:pt>
                <c:pt idx="15">
                  <c:v>5.4889645252820021</c:v>
                </c:pt>
                <c:pt idx="16">
                  <c:v>6.2456920674443639</c:v>
                </c:pt>
                <c:pt idx="17">
                  <c:v>6.1581410146630287</c:v>
                </c:pt>
                <c:pt idx="18">
                  <c:v>4.7329172425837154</c:v>
                </c:pt>
                <c:pt idx="19">
                  <c:v>5.5338030312986888</c:v>
                </c:pt>
                <c:pt idx="20">
                  <c:v>5.7839532819123018</c:v>
                </c:pt>
                <c:pt idx="21">
                  <c:v>5.4179002312198925</c:v>
                </c:pt>
                <c:pt idx="22">
                  <c:v>5.4781390328495601</c:v>
                </c:pt>
                <c:pt idx="23">
                  <c:v>5.4334175105753344</c:v>
                </c:pt>
                <c:pt idx="24">
                  <c:v>5.1890623076651226</c:v>
                </c:pt>
                <c:pt idx="25">
                  <c:v>5.2013784975934021</c:v>
                </c:pt>
                <c:pt idx="26">
                  <c:v>5.5827993877356477</c:v>
                </c:pt>
                <c:pt idx="27">
                  <c:v>5.1383745791910913</c:v>
                </c:pt>
                <c:pt idx="28">
                  <c:v>5.5751730115101603</c:v>
                </c:pt>
                <c:pt idx="29">
                  <c:v>5.7141855169670999</c:v>
                </c:pt>
                <c:pt idx="30">
                  <c:v>3.8450025242427839</c:v>
                </c:pt>
                <c:pt idx="31">
                  <c:v>4.3071686664361586</c:v>
                </c:pt>
                <c:pt idx="32">
                  <c:v>5.0658924346064893</c:v>
                </c:pt>
                <c:pt idx="33">
                  <c:v>5.2161293499713874</c:v>
                </c:pt>
                <c:pt idx="34">
                  <c:v>5.5819132229127373</c:v>
                </c:pt>
                <c:pt idx="35">
                  <c:v>5.8826628640380418</c:v>
                </c:pt>
                <c:pt idx="36">
                  <c:v>6.3861779489599275</c:v>
                </c:pt>
                <c:pt idx="37">
                  <c:v>6.5131145560304642</c:v>
                </c:pt>
                <c:pt idx="38">
                  <c:v>5.8776053165543827</c:v>
                </c:pt>
                <c:pt idx="39">
                  <c:v>5.3240541254493676</c:v>
                </c:pt>
                <c:pt idx="40">
                  <c:v>5.4292468433123853</c:v>
                </c:pt>
                <c:pt idx="41">
                  <c:v>5.5324769897067263</c:v>
                </c:pt>
              </c:numCache>
            </c:numRef>
          </c:val>
          <c:smooth val="0"/>
          <c:extLst>
            <c:ext xmlns:c16="http://schemas.microsoft.com/office/drawing/2014/chart" uri="{C3380CC4-5D6E-409C-BE32-E72D297353CC}">
              <c16:uniqueId val="{00000004-9882-47E6-9702-3BE7DEAD7AA5}"/>
            </c:ext>
          </c:extLst>
        </c:ser>
        <c:ser>
          <c:idx val="5"/>
          <c:order val="5"/>
          <c:tx>
            <c:strRef>
              <c:f>'T-series X-section Norway lag'!$H$35</c:f>
              <c:strCache>
                <c:ptCount val="1"/>
                <c:pt idx="0">
                  <c:v>Denmark</c:v>
                </c:pt>
              </c:strCache>
            </c:strRef>
          </c:tx>
          <c:spPr>
            <a:ln w="28575" cap="rnd">
              <a:solidFill>
                <a:schemeClr val="accent6"/>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lag'!$H$36:$H$95</c:f>
              <c:numCache>
                <c:formatCode>0.00</c:formatCode>
                <c:ptCount val="60"/>
                <c:pt idx="0">
                  <c:v>7.6999333565613171</c:v>
                </c:pt>
                <c:pt idx="1">
                  <c:v>8.0376272660007011</c:v>
                </c:pt>
                <c:pt idx="2">
                  <c:v>6.9230324851079317</c:v>
                </c:pt>
                <c:pt idx="3">
                  <c:v>7.7828305266788007</c:v>
                </c:pt>
                <c:pt idx="4">
                  <c:v>8.9270095850640967</c:v>
                </c:pt>
                <c:pt idx="5">
                  <c:v>9.1650207717442669</c:v>
                </c:pt>
                <c:pt idx="6">
                  <c:v>0.46416136238732086</c:v>
                </c:pt>
                <c:pt idx="7">
                  <c:v>0.65653667458949982</c:v>
                </c:pt>
                <c:pt idx="8">
                  <c:v>1.9053694461219592</c:v>
                </c:pt>
                <c:pt idx="9">
                  <c:v>0.60514042272794732</c:v>
                </c:pt>
                <c:pt idx="10">
                  <c:v>0.738824788973659</c:v>
                </c:pt>
                <c:pt idx="11">
                  <c:v>0.66631428896144662</c:v>
                </c:pt>
                <c:pt idx="12">
                  <c:v>4.2015445419480599</c:v>
                </c:pt>
                <c:pt idx="13">
                  <c:v>4.6785030166428303</c:v>
                </c:pt>
                <c:pt idx="14">
                  <c:v>5.4068569246181006</c:v>
                </c:pt>
                <c:pt idx="15">
                  <c:v>5.4905758648962824</c:v>
                </c:pt>
                <c:pt idx="16">
                  <c:v>6.2502343397713034</c:v>
                </c:pt>
                <c:pt idx="17">
                  <c:v>6.1607375780018314</c:v>
                </c:pt>
                <c:pt idx="18">
                  <c:v>4.7265299103650245</c:v>
                </c:pt>
                <c:pt idx="19">
                  <c:v>5.5329756479311714</c:v>
                </c:pt>
                <c:pt idx="20">
                  <c:v>5.7855047411742682</c:v>
                </c:pt>
                <c:pt idx="21">
                  <c:v>5.418271278224017</c:v>
                </c:pt>
                <c:pt idx="22">
                  <c:v>5.4797919740385206</c:v>
                </c:pt>
                <c:pt idx="23">
                  <c:v>5.4357460841114555</c:v>
                </c:pt>
                <c:pt idx="24">
                  <c:v>5.1851516673905271</c:v>
                </c:pt>
                <c:pt idx="25">
                  <c:v>5.1984202622109619</c:v>
                </c:pt>
                <c:pt idx="26">
                  <c:v>5.582925544700454</c:v>
                </c:pt>
                <c:pt idx="27">
                  <c:v>5.1368149571441197</c:v>
                </c:pt>
                <c:pt idx="28">
                  <c:v>5.5770176483012888</c:v>
                </c:pt>
                <c:pt idx="29">
                  <c:v>5.7177143698550541</c:v>
                </c:pt>
                <c:pt idx="30">
                  <c:v>3.8444631950309529</c:v>
                </c:pt>
                <c:pt idx="31">
                  <c:v>4.3069441815874479</c:v>
                </c:pt>
                <c:pt idx="32">
                  <c:v>5.0676957420674515</c:v>
                </c:pt>
                <c:pt idx="33">
                  <c:v>5.216445765870434</c:v>
                </c:pt>
                <c:pt idx="34">
                  <c:v>5.581987769080448</c:v>
                </c:pt>
                <c:pt idx="35">
                  <c:v>5.882119895931547</c:v>
                </c:pt>
                <c:pt idx="36">
                  <c:v>6.3865502055075352</c:v>
                </c:pt>
                <c:pt idx="37">
                  <c:v>6.5127579614241311</c:v>
                </c:pt>
                <c:pt idx="38">
                  <c:v>5.8787131708199825</c:v>
                </c:pt>
                <c:pt idx="39">
                  <c:v>5.3227016487419787</c:v>
                </c:pt>
                <c:pt idx="40">
                  <c:v>5.4292390095302681</c:v>
                </c:pt>
                <c:pt idx="41">
                  <c:v>5.5338024628312672</c:v>
                </c:pt>
                <c:pt idx="42">
                  <c:v>4.3108172276751802</c:v>
                </c:pt>
                <c:pt idx="43">
                  <c:v>4.3568252601165653</c:v>
                </c:pt>
                <c:pt idx="44">
                  <c:v>4.796663162673334</c:v>
                </c:pt>
                <c:pt idx="45">
                  <c:v>3.9113280372006227</c:v>
                </c:pt>
                <c:pt idx="46">
                  <c:v>6.5860145445762583</c:v>
                </c:pt>
                <c:pt idx="47">
                  <c:v>7.2104484384566305</c:v>
                </c:pt>
              </c:numCache>
            </c:numRef>
          </c:val>
          <c:smooth val="0"/>
          <c:extLst>
            <c:ext xmlns:c16="http://schemas.microsoft.com/office/drawing/2014/chart" uri="{C3380CC4-5D6E-409C-BE32-E72D297353CC}">
              <c16:uniqueId val="{00000005-9882-47E6-9702-3BE7DEAD7AA5}"/>
            </c:ext>
          </c:extLst>
        </c:ser>
        <c:ser>
          <c:idx val="6"/>
          <c:order val="6"/>
          <c:tx>
            <c:strRef>
              <c:f>'T-series X-section Norway lag'!$I$35</c:f>
              <c:strCache>
                <c:ptCount val="1"/>
                <c:pt idx="0">
                  <c:v>Finland</c:v>
                </c:pt>
              </c:strCache>
            </c:strRef>
          </c:tx>
          <c:spPr>
            <a:ln w="28575" cap="rnd">
              <a:solidFill>
                <a:schemeClr val="accent1">
                  <a:lumMod val="60000"/>
                </a:schemeClr>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lag'!$I$36:$I$95</c:f>
              <c:numCache>
                <c:formatCode>0.00</c:formatCode>
                <c:ptCount val="60"/>
                <c:pt idx="0">
                  <c:v>7.6924699677282948</c:v>
                </c:pt>
                <c:pt idx="1">
                  <c:v>8.0322869851532914</c:v>
                </c:pt>
                <c:pt idx="2">
                  <c:v>6.9222032468430381</c:v>
                </c:pt>
                <c:pt idx="3">
                  <c:v>7.7834504014896924</c:v>
                </c:pt>
                <c:pt idx="4">
                  <c:v>8.9283538615108426</c:v>
                </c:pt>
                <c:pt idx="5">
                  <c:v>9.168742185824442</c:v>
                </c:pt>
                <c:pt idx="6">
                  <c:v>0.4661864409272809</c:v>
                </c:pt>
                <c:pt idx="7">
                  <c:v>0.65807150736314668</c:v>
                </c:pt>
                <c:pt idx="8">
                  <c:v>1.9037217760470444</c:v>
                </c:pt>
                <c:pt idx="9">
                  <c:v>0.60680623278028634</c:v>
                </c:pt>
                <c:pt idx="10">
                  <c:v>0.74014992020487291</c:v>
                </c:pt>
                <c:pt idx="11">
                  <c:v>0.66782420463946579</c:v>
                </c:pt>
                <c:pt idx="12">
                  <c:v>4.2022085026998974</c:v>
                </c:pt>
                <c:pt idx="13">
                  <c:v>4.6785868263539285</c:v>
                </c:pt>
                <c:pt idx="14">
                  <c:v>5.4057199317130316</c:v>
                </c:pt>
                <c:pt idx="15">
                  <c:v>5.4898608454678453</c:v>
                </c:pt>
                <c:pt idx="16">
                  <c:v>6.2482187417345845</c:v>
                </c:pt>
                <c:pt idx="17">
                  <c:v>6.1595853732040595</c:v>
                </c:pt>
                <c:pt idx="18">
                  <c:v>4.7228780331281053</c:v>
                </c:pt>
                <c:pt idx="19">
                  <c:v>5.5289970346758679</c:v>
                </c:pt>
                <c:pt idx="20">
                  <c:v>5.7826109830588281</c:v>
                </c:pt>
                <c:pt idx="21">
                  <c:v>5.4180417669376073</c:v>
                </c:pt>
                <c:pt idx="22">
                  <c:v>5.481134080237398</c:v>
                </c:pt>
                <c:pt idx="23">
                  <c:v>5.4389288317734472</c:v>
                </c:pt>
                <c:pt idx="24">
                  <c:v>5.180400777355433</c:v>
                </c:pt>
                <c:pt idx="25">
                  <c:v>5.1953871979735702</c:v>
                </c:pt>
                <c:pt idx="26">
                  <c:v>5.5806642534001023</c:v>
                </c:pt>
                <c:pt idx="27">
                  <c:v>5.1374421652414997</c:v>
                </c:pt>
                <c:pt idx="28">
                  <c:v>5.5782746910668051</c:v>
                </c:pt>
                <c:pt idx="29">
                  <c:v>5.7203645028847729</c:v>
                </c:pt>
                <c:pt idx="30">
                  <c:v>3.8447025181763439</c:v>
                </c:pt>
                <c:pt idx="31">
                  <c:v>4.3070437949940779</c:v>
                </c:pt>
                <c:pt idx="32">
                  <c:v>5.06689553839926</c:v>
                </c:pt>
                <c:pt idx="33">
                  <c:v>5.2163053587748198</c:v>
                </c:pt>
                <c:pt idx="34">
                  <c:v>5.5819546897979926</c:v>
                </c:pt>
                <c:pt idx="35">
                  <c:v>5.8823608338081605</c:v>
                </c:pt>
                <c:pt idx="36">
                  <c:v>6.3827815386533251</c:v>
                </c:pt>
                <c:pt idx="37">
                  <c:v>6.5147179379612128</c:v>
                </c:pt>
                <c:pt idx="38">
                  <c:v>5.8750611391273475</c:v>
                </c:pt>
                <c:pt idx="39">
                  <c:v>5.3220907938898403</c:v>
                </c:pt>
                <c:pt idx="40">
                  <c:v>5.4299809039284002</c:v>
                </c:pt>
                <c:pt idx="41">
                  <c:v>5.5359021367498107</c:v>
                </c:pt>
                <c:pt idx="42">
                  <c:v>4.3103151025635524</c:v>
                </c:pt>
                <c:pt idx="43">
                  <c:v>4.3562626034671341</c:v>
                </c:pt>
                <c:pt idx="44">
                  <c:v>4.7950363455679117</c:v>
                </c:pt>
                <c:pt idx="45">
                  <c:v>3.9120141066167351</c:v>
                </c:pt>
                <c:pt idx="46">
                  <c:v>6.5870466068562932</c:v>
                </c:pt>
                <c:pt idx="47">
                  <c:v>7.2099459191949924</c:v>
                </c:pt>
                <c:pt idx="48">
                  <c:v>4.9025134319223875</c:v>
                </c:pt>
                <c:pt idx="49">
                  <c:v>5.1795576752706571</c:v>
                </c:pt>
                <c:pt idx="50">
                  <c:v>5.7142050466418599</c:v>
                </c:pt>
                <c:pt idx="51">
                  <c:v>5.6363506374089969</c:v>
                </c:pt>
                <c:pt idx="52">
                  <c:v>5.8941616035145641</c:v>
                </c:pt>
                <c:pt idx="53">
                  <c:v>6.0850907967553445</c:v>
                </c:pt>
              </c:numCache>
            </c:numRef>
          </c:val>
          <c:smooth val="0"/>
          <c:extLst>
            <c:ext xmlns:c16="http://schemas.microsoft.com/office/drawing/2014/chart" uri="{C3380CC4-5D6E-409C-BE32-E72D297353CC}">
              <c16:uniqueId val="{00000006-9882-47E6-9702-3BE7DEAD7AA5}"/>
            </c:ext>
          </c:extLst>
        </c:ser>
        <c:ser>
          <c:idx val="7"/>
          <c:order val="7"/>
          <c:tx>
            <c:strRef>
              <c:f>'T-series X-section Norway lag'!$J$35</c:f>
              <c:strCache>
                <c:ptCount val="1"/>
                <c:pt idx="0">
                  <c:v>France</c:v>
                </c:pt>
              </c:strCache>
            </c:strRef>
          </c:tx>
          <c:spPr>
            <a:ln w="28575" cap="rnd">
              <a:solidFill>
                <a:schemeClr val="accent2">
                  <a:lumMod val="60000"/>
                </a:schemeClr>
              </a:solidFill>
              <a:round/>
            </a:ln>
            <a:effectLst/>
          </c:spPr>
          <c:marker>
            <c:symbol val="none"/>
          </c:marker>
          <c:cat>
            <c:numRef>
              <c:f>'T-series X-section Norway lag'!$B$36:$B$95</c:f>
              <c:numCache>
                <c:formatCode>General</c:formatCode>
                <c:ptCount val="60"/>
                <c:pt idx="0">
                  <c:v>2012</c:v>
                </c:pt>
                <c:pt idx="1">
                  <c:v>2013</c:v>
                </c:pt>
                <c:pt idx="2">
                  <c:v>2014</c:v>
                </c:pt>
                <c:pt idx="3">
                  <c:v>2015</c:v>
                </c:pt>
                <c:pt idx="4">
                  <c:v>2016</c:v>
                </c:pt>
                <c:pt idx="5">
                  <c:v>2017</c:v>
                </c:pt>
                <c:pt idx="6">
                  <c:v>2012</c:v>
                </c:pt>
                <c:pt idx="7">
                  <c:v>2013</c:v>
                </c:pt>
                <c:pt idx="8">
                  <c:v>2014</c:v>
                </c:pt>
                <c:pt idx="9">
                  <c:v>2015</c:v>
                </c:pt>
                <c:pt idx="10">
                  <c:v>2016</c:v>
                </c:pt>
                <c:pt idx="11">
                  <c:v>2017</c:v>
                </c:pt>
                <c:pt idx="12">
                  <c:v>2012</c:v>
                </c:pt>
                <c:pt idx="13">
                  <c:v>2013</c:v>
                </c:pt>
                <c:pt idx="14">
                  <c:v>2014</c:v>
                </c:pt>
                <c:pt idx="15">
                  <c:v>2015</c:v>
                </c:pt>
                <c:pt idx="16">
                  <c:v>2016</c:v>
                </c:pt>
                <c:pt idx="17">
                  <c:v>2017</c:v>
                </c:pt>
                <c:pt idx="18">
                  <c:v>2012</c:v>
                </c:pt>
                <c:pt idx="19">
                  <c:v>2013</c:v>
                </c:pt>
                <c:pt idx="20">
                  <c:v>2014</c:v>
                </c:pt>
                <c:pt idx="21">
                  <c:v>2015</c:v>
                </c:pt>
                <c:pt idx="22">
                  <c:v>2016</c:v>
                </c:pt>
                <c:pt idx="23">
                  <c:v>2017</c:v>
                </c:pt>
                <c:pt idx="24">
                  <c:v>2012</c:v>
                </c:pt>
                <c:pt idx="25">
                  <c:v>2013</c:v>
                </c:pt>
                <c:pt idx="26">
                  <c:v>2014</c:v>
                </c:pt>
                <c:pt idx="27">
                  <c:v>2015</c:v>
                </c:pt>
                <c:pt idx="28">
                  <c:v>2016</c:v>
                </c:pt>
                <c:pt idx="29">
                  <c:v>2017</c:v>
                </c:pt>
                <c:pt idx="30">
                  <c:v>2012</c:v>
                </c:pt>
                <c:pt idx="31">
                  <c:v>2013</c:v>
                </c:pt>
                <c:pt idx="32">
                  <c:v>2014</c:v>
                </c:pt>
                <c:pt idx="33">
                  <c:v>2015</c:v>
                </c:pt>
                <c:pt idx="34">
                  <c:v>2016</c:v>
                </c:pt>
                <c:pt idx="35">
                  <c:v>2017</c:v>
                </c:pt>
                <c:pt idx="36">
                  <c:v>2012</c:v>
                </c:pt>
                <c:pt idx="37">
                  <c:v>2013</c:v>
                </c:pt>
                <c:pt idx="38">
                  <c:v>2014</c:v>
                </c:pt>
                <c:pt idx="39">
                  <c:v>2015</c:v>
                </c:pt>
                <c:pt idx="40">
                  <c:v>2016</c:v>
                </c:pt>
                <c:pt idx="41">
                  <c:v>2017</c:v>
                </c:pt>
                <c:pt idx="42">
                  <c:v>2012</c:v>
                </c:pt>
                <c:pt idx="43">
                  <c:v>2013</c:v>
                </c:pt>
                <c:pt idx="44">
                  <c:v>2014</c:v>
                </c:pt>
                <c:pt idx="45">
                  <c:v>2015</c:v>
                </c:pt>
                <c:pt idx="46">
                  <c:v>2016</c:v>
                </c:pt>
                <c:pt idx="47">
                  <c:v>2017</c:v>
                </c:pt>
                <c:pt idx="48">
                  <c:v>2012</c:v>
                </c:pt>
                <c:pt idx="49">
                  <c:v>2013</c:v>
                </c:pt>
                <c:pt idx="50">
                  <c:v>2014</c:v>
                </c:pt>
                <c:pt idx="51">
                  <c:v>2015</c:v>
                </c:pt>
                <c:pt idx="52">
                  <c:v>2016</c:v>
                </c:pt>
                <c:pt idx="53">
                  <c:v>2017</c:v>
                </c:pt>
                <c:pt idx="54">
                  <c:v>2012</c:v>
                </c:pt>
                <c:pt idx="55">
                  <c:v>2013</c:v>
                </c:pt>
                <c:pt idx="56">
                  <c:v>2014</c:v>
                </c:pt>
                <c:pt idx="57">
                  <c:v>2015</c:v>
                </c:pt>
                <c:pt idx="58">
                  <c:v>2016</c:v>
                </c:pt>
                <c:pt idx="59">
                  <c:v>2017</c:v>
                </c:pt>
              </c:numCache>
            </c:numRef>
          </c:cat>
          <c:val>
            <c:numRef>
              <c:f>'T-series X-section Norway lag'!$J$36:$J$95</c:f>
              <c:numCache>
                <c:formatCode>0.00</c:formatCode>
                <c:ptCount val="60"/>
                <c:pt idx="0">
                  <c:v>7.0895642525122637</c:v>
                </c:pt>
                <c:pt idx="1">
                  <c:v>7.6026300686585451</c:v>
                </c:pt>
                <c:pt idx="2">
                  <c:v>6.8623368345128481</c:v>
                </c:pt>
                <c:pt idx="3">
                  <c:v>7.8334657503293261</c:v>
                </c:pt>
                <c:pt idx="4">
                  <c:v>9.0396037842763075</c:v>
                </c:pt>
                <c:pt idx="5">
                  <c:v>9.4702929740538266</c:v>
                </c:pt>
                <c:pt idx="6">
                  <c:v>0.40800896261340114</c:v>
                </c:pt>
                <c:pt idx="7">
                  <c:v>0.56698565162431436</c:v>
                </c:pt>
                <c:pt idx="8">
                  <c:v>1.5990063245155346</c:v>
                </c:pt>
                <c:pt idx="9">
                  <c:v>0.52451239528499016</c:v>
                </c:pt>
                <c:pt idx="10">
                  <c:v>0.63498757879465817</c:v>
                </c:pt>
                <c:pt idx="11">
                  <c:v>0.57506575681808236</c:v>
                </c:pt>
                <c:pt idx="12">
                  <c:v>4.2467777218919043</c:v>
                </c:pt>
                <c:pt idx="13">
                  <c:v>4.6842126609742065</c:v>
                </c:pt>
                <c:pt idx="14">
                  <c:v>5.3293978210068715</c:v>
                </c:pt>
                <c:pt idx="15">
                  <c:v>5.4418642469566789</c:v>
                </c:pt>
                <c:pt idx="16">
                  <c:v>6.1129191318499441</c:v>
                </c:pt>
                <c:pt idx="17">
                  <c:v>6.0822421446402917</c:v>
                </c:pt>
                <c:pt idx="18">
                  <c:v>4.3801966160987602</c:v>
                </c:pt>
                <c:pt idx="19">
                  <c:v>5.1965727147180161</c:v>
                </c:pt>
                <c:pt idx="20">
                  <c:v>5.5551986317029156</c:v>
                </c:pt>
                <c:pt idx="21">
                  <c:v>5.4016600821111007</c:v>
                </c:pt>
                <c:pt idx="22">
                  <c:v>5.6024389123317437</c:v>
                </c:pt>
                <c:pt idx="23">
                  <c:v>5.7159787612129156</c:v>
                </c:pt>
                <c:pt idx="24">
                  <c:v>4.7639467131308697</c:v>
                </c:pt>
                <c:pt idx="25">
                  <c:v>4.9264340716363</c:v>
                </c:pt>
                <c:pt idx="26">
                  <c:v>5.3957070502372</c:v>
                </c:pt>
                <c:pt idx="27">
                  <c:v>5.1785688706276023</c:v>
                </c:pt>
                <c:pt idx="28">
                  <c:v>5.6938695308219138</c:v>
                </c:pt>
                <c:pt idx="29">
                  <c:v>5.9616619902939245</c:v>
                </c:pt>
                <c:pt idx="30">
                  <c:v>3.8607673920342713</c:v>
                </c:pt>
                <c:pt idx="31">
                  <c:v>4.3137304729979578</c:v>
                </c:pt>
                <c:pt idx="32">
                  <c:v>5.0131808382650966</c:v>
                </c:pt>
                <c:pt idx="33">
                  <c:v>5.2068803519455695</c:v>
                </c:pt>
                <c:pt idx="34">
                  <c:v>5.579734200429824</c:v>
                </c:pt>
                <c:pt idx="35">
                  <c:v>5.8985340985754586</c:v>
                </c:pt>
                <c:pt idx="36">
                  <c:v>6.0756130665386658</c:v>
                </c:pt>
                <c:pt idx="37">
                  <c:v>6.673379815038329</c:v>
                </c:pt>
                <c:pt idx="38">
                  <c:v>5.5823848862711261</c:v>
                </c:pt>
                <c:pt idx="39">
                  <c:v>5.2628743567142147</c:v>
                </c:pt>
                <c:pt idx="40">
                  <c:v>5.4908864094482377</c:v>
                </c:pt>
                <c:pt idx="41">
                  <c:v>5.7172672483162472</c:v>
                </c:pt>
                <c:pt idx="42">
                  <c:v>4.1841743187297933</c:v>
                </c:pt>
                <c:pt idx="43">
                  <c:v>4.2537890593504564</c:v>
                </c:pt>
                <c:pt idx="44">
                  <c:v>4.648860159562318</c:v>
                </c:pt>
                <c:pt idx="45">
                  <c:v>3.9488238993178442</c:v>
                </c:pt>
                <c:pt idx="46">
                  <c:v>6.6932991104679447</c:v>
                </c:pt>
                <c:pt idx="47">
                  <c:v>7.2409181606707671</c:v>
                </c:pt>
                <c:pt idx="48">
                  <c:v>4.9181357265521886</c:v>
                </c:pt>
                <c:pt idx="49">
                  <c:v>5.1745788452160015</c:v>
                </c:pt>
                <c:pt idx="50">
                  <c:v>5.6444460365948617</c:v>
                </c:pt>
                <c:pt idx="51">
                  <c:v>5.6068557853369994</c:v>
                </c:pt>
                <c:pt idx="52">
                  <c:v>5.8473641426790106</c:v>
                </c:pt>
                <c:pt idx="53">
                  <c:v>6.0324609820602033</c:v>
                </c:pt>
                <c:pt idx="54">
                  <c:v>5.1452809986294241</c:v>
                </c:pt>
                <c:pt idx="55">
                  <c:v>4.8480605350117019</c:v>
                </c:pt>
                <c:pt idx="56">
                  <c:v>5.2477288678425174</c:v>
                </c:pt>
                <c:pt idx="57">
                  <c:v>4.9618708005210346</c:v>
                </c:pt>
                <c:pt idx="58">
                  <c:v>4.9402536139585429</c:v>
                </c:pt>
                <c:pt idx="59">
                  <c:v>4.9237280340554683</c:v>
                </c:pt>
              </c:numCache>
            </c:numRef>
          </c:val>
          <c:smooth val="0"/>
          <c:extLst>
            <c:ext xmlns:c16="http://schemas.microsoft.com/office/drawing/2014/chart" uri="{C3380CC4-5D6E-409C-BE32-E72D297353CC}">
              <c16:uniqueId val="{00000008-9882-47E6-9702-3BE7DEAD7AA5}"/>
            </c:ext>
          </c:extLst>
        </c:ser>
        <c:dLbls>
          <c:showLegendKey val="0"/>
          <c:showVal val="0"/>
          <c:showCatName val="0"/>
          <c:showSerName val="0"/>
          <c:showPercent val="0"/>
          <c:showBubbleSize val="0"/>
        </c:dLbls>
        <c:smooth val="0"/>
        <c:axId val="761420496"/>
        <c:axId val="761420824"/>
      </c:lineChart>
      <c:catAx>
        <c:axId val="7614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420824"/>
        <c:crosses val="autoZero"/>
        <c:auto val="1"/>
        <c:lblAlgn val="ctr"/>
        <c:lblOffset val="100"/>
        <c:tickLblSkip val="6"/>
        <c:noMultiLvlLbl val="0"/>
      </c:catAx>
      <c:valAx>
        <c:axId val="7614208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4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'T-series X-section Norway lag'!$R$11</c:f>
              <c:strCache>
                <c:ptCount val="1"/>
                <c:pt idx="0">
                  <c:v>years lag</c:v>
                </c:pt>
              </c:strCache>
            </c:strRef>
          </c:tx>
          <c:spPr>
            <a:ln w="28575" cap="rnd">
              <a:solidFill>
                <a:schemeClr val="accent1"/>
              </a:solidFill>
              <a:round/>
            </a:ln>
            <a:effectLst/>
          </c:spPr>
          <c:marker>
            <c:symbol val="none"/>
          </c:marker>
          <c:cat>
            <c:strRef>
              <c:f>'T-series X-section Norway lag'!$Q$12:$Q$20</c:f>
              <c:strCache>
                <c:ptCount val="9"/>
                <c:pt idx="0">
                  <c:v>Australia</c:v>
                </c:pt>
                <c:pt idx="1">
                  <c:v>Norway</c:v>
                </c:pt>
                <c:pt idx="2">
                  <c:v>Austria</c:v>
                </c:pt>
                <c:pt idx="3">
                  <c:v>belgium</c:v>
                </c:pt>
                <c:pt idx="4">
                  <c:v>Britain</c:v>
                </c:pt>
                <c:pt idx="5">
                  <c:v>Canada</c:v>
                </c:pt>
                <c:pt idx="6">
                  <c:v>China</c:v>
                </c:pt>
                <c:pt idx="7">
                  <c:v>Denmark</c:v>
                </c:pt>
                <c:pt idx="8">
                  <c:v>Finland</c:v>
                </c:pt>
              </c:strCache>
            </c:strRef>
          </c:cat>
          <c:val>
            <c:numRef>
              <c:f>'T-series X-section Norway lag'!$R$12:$R$20</c:f>
              <c:numCache>
                <c:formatCode>0.00</c:formatCode>
                <c:ptCount val="9"/>
                <c:pt idx="0">
                  <c:v>0</c:v>
                </c:pt>
                <c:pt idx="1">
                  <c:v>0</c:v>
                </c:pt>
                <c:pt idx="2">
                  <c:v>0</c:v>
                </c:pt>
                <c:pt idx="3">
                  <c:v>0</c:v>
                </c:pt>
                <c:pt idx="4">
                  <c:v>2017.4626731005192</c:v>
                </c:pt>
                <c:pt idx="5">
                  <c:v>2017.6361639431541</c:v>
                </c:pt>
                <c:pt idx="6">
                  <c:v>2016.9353395777366</c:v>
                </c:pt>
                <c:pt idx="7">
                  <c:v>0</c:v>
                </c:pt>
                <c:pt idx="8">
                  <c:v>2016.9178827401902</c:v>
                </c:pt>
              </c:numCache>
            </c:numRef>
          </c:val>
          <c:smooth val="0"/>
          <c:extLst>
            <c:ext xmlns:c16="http://schemas.microsoft.com/office/drawing/2014/chart" uri="{C3380CC4-5D6E-409C-BE32-E72D297353CC}">
              <c16:uniqueId val="{00000000-0798-460E-A087-671240E3A5C9}"/>
            </c:ext>
          </c:extLst>
        </c:ser>
        <c:dLbls>
          <c:showLegendKey val="0"/>
          <c:showVal val="0"/>
          <c:showCatName val="0"/>
          <c:showSerName val="0"/>
          <c:showPercent val="0"/>
          <c:showBubbleSize val="0"/>
        </c:dLbls>
        <c:marker val="1"/>
        <c:smooth val="0"/>
        <c:axId val="770828848"/>
        <c:axId val="770906912"/>
      </c:lineChart>
      <c:lineChart>
        <c:grouping val="standard"/>
        <c:varyColors val="0"/>
        <c:ser>
          <c:idx val="1"/>
          <c:order val="1"/>
          <c:tx>
            <c:strRef>
              <c:f>'T-series X-section Norway lag'!$U$11</c:f>
              <c:strCache>
                <c:ptCount val="1"/>
                <c:pt idx="0">
                  <c:v>EV/FFV Cost</c:v>
                </c:pt>
              </c:strCache>
            </c:strRef>
          </c:tx>
          <c:spPr>
            <a:ln w="28575" cap="rnd">
              <a:solidFill>
                <a:schemeClr val="accent2"/>
              </a:solidFill>
              <a:round/>
            </a:ln>
            <a:effectLst/>
          </c:spPr>
          <c:marker>
            <c:symbol val="none"/>
          </c:marker>
          <c:cat>
            <c:strRef>
              <c:f>'T-series X-section Norway lag'!$Q$12:$Q$20</c:f>
              <c:strCache>
                <c:ptCount val="9"/>
                <c:pt idx="0">
                  <c:v>Australia</c:v>
                </c:pt>
                <c:pt idx="1">
                  <c:v>Norway</c:v>
                </c:pt>
                <c:pt idx="2">
                  <c:v>Austria</c:v>
                </c:pt>
                <c:pt idx="3">
                  <c:v>belgium</c:v>
                </c:pt>
                <c:pt idx="4">
                  <c:v>Britain</c:v>
                </c:pt>
                <c:pt idx="5">
                  <c:v>Canada</c:v>
                </c:pt>
                <c:pt idx="6">
                  <c:v>China</c:v>
                </c:pt>
                <c:pt idx="7">
                  <c:v>Denmark</c:v>
                </c:pt>
                <c:pt idx="8">
                  <c:v>Finland</c:v>
                </c:pt>
              </c:strCache>
            </c:strRef>
          </c:cat>
          <c:val>
            <c:numRef>
              <c:f>'T-series X-section Norway lag'!$U$12:$U$20</c:f>
              <c:numCache>
                <c:formatCode>0.00</c:formatCode>
                <c:ptCount val="9"/>
                <c:pt idx="0">
                  <c:v>1.2377721093636938</c:v>
                </c:pt>
                <c:pt idx="1">
                  <c:v>0.43691947701006872</c:v>
                </c:pt>
                <c:pt idx="2">
                  <c:v>1.0961413486395826</c:v>
                </c:pt>
                <c:pt idx="3">
                  <c:v>0.98835258337888732</c:v>
                </c:pt>
                <c:pt idx="4">
                  <c:v>0.80008574218203099</c:v>
                </c:pt>
                <c:pt idx="5">
                  <c:v>1.0684850209617511</c:v>
                </c:pt>
                <c:pt idx="6">
                  <c:v>0.84725733135714365</c:v>
                </c:pt>
                <c:pt idx="7">
                  <c:v>0.68619253895395027</c:v>
                </c:pt>
                <c:pt idx="8">
                  <c:v>0.99781168541193943</c:v>
                </c:pt>
              </c:numCache>
            </c:numRef>
          </c:val>
          <c:smooth val="0"/>
          <c:extLst>
            <c:ext xmlns:c16="http://schemas.microsoft.com/office/drawing/2014/chart" uri="{C3380CC4-5D6E-409C-BE32-E72D297353CC}">
              <c16:uniqueId val="{00000001-0798-460E-A087-671240E3A5C9}"/>
            </c:ext>
          </c:extLst>
        </c:ser>
        <c:dLbls>
          <c:showLegendKey val="0"/>
          <c:showVal val="0"/>
          <c:showCatName val="0"/>
          <c:showSerName val="0"/>
          <c:showPercent val="0"/>
          <c:showBubbleSize val="0"/>
        </c:dLbls>
        <c:marker val="1"/>
        <c:smooth val="0"/>
        <c:axId val="770896744"/>
        <c:axId val="770891168"/>
      </c:lineChart>
      <c:catAx>
        <c:axId val="77082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906912"/>
        <c:crosses val="autoZero"/>
        <c:auto val="1"/>
        <c:lblAlgn val="ctr"/>
        <c:lblOffset val="100"/>
        <c:noMultiLvlLbl val="0"/>
      </c:catAx>
      <c:valAx>
        <c:axId val="7709069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828848"/>
        <c:crosses val="autoZero"/>
        <c:crossBetween val="between"/>
      </c:valAx>
      <c:valAx>
        <c:axId val="770891168"/>
        <c:scaling>
          <c:orientation val="minMax"/>
          <c:max val="1.4"/>
          <c:min val="0.4"/>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896744"/>
        <c:crosses val="max"/>
        <c:crossBetween val="between"/>
      </c:valAx>
      <c:catAx>
        <c:axId val="770896744"/>
        <c:scaling>
          <c:orientation val="minMax"/>
        </c:scaling>
        <c:delete val="1"/>
        <c:axPos val="b"/>
        <c:numFmt formatCode="General" sourceLinked="1"/>
        <c:majorTickMark val="out"/>
        <c:minorTickMark val="none"/>
        <c:tickLblPos val="nextTo"/>
        <c:crossAx val="770891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57150" cap="rnd">
              <a:solidFill>
                <a:schemeClr val="tx1"/>
              </a:solidFill>
              <a:round/>
            </a:ln>
            <a:effectLst/>
          </c:spPr>
          <c:marker>
            <c:symbol val="none"/>
          </c:marker>
          <c:cat>
            <c:numRef>
              <c:f>'Global EV uptake'!$A$60:$A$69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'Global EV uptake'!$B$60:$B$69</c:f>
              <c:numCache>
                <c:formatCode>0.00</c:formatCode>
                <c:ptCount val="10"/>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0C4B-427C-8460-CDE76AD4BF67}"/>
            </c:ext>
          </c:extLst>
        </c:ser>
        <c:ser>
          <c:idx val="1"/>
          <c:order val="1"/>
          <c:tx>
            <c:strRef>
              <c:f>'Global EV uptake'!$C$59</c:f>
              <c:strCache>
                <c:ptCount val="1"/>
                <c:pt idx="0">
                  <c:v>predicted raw </c:v>
                </c:pt>
              </c:strCache>
            </c:strRef>
          </c:tx>
          <c:spPr>
            <a:ln w="28575" cap="rnd">
              <a:solidFill>
                <a:schemeClr val="accent2"/>
              </a:solidFill>
              <a:round/>
            </a:ln>
            <a:effectLst/>
          </c:spPr>
          <c:marker>
            <c:symbol val="none"/>
          </c:marker>
          <c:cat>
            <c:numRef>
              <c:f>'Global EV uptake'!$A$60:$A$69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'Global EV uptake'!$C$60:$C$69</c:f>
              <c:numCache>
                <c:formatCode>0.00</c:formatCode>
                <c:ptCount val="10"/>
                <c:pt idx="1">
                  <c:v>7.0956542813617018E-2</c:v>
                </c:pt>
                <c:pt idx="2">
                  <c:v>0.12499382424174706</c:v>
                </c:pt>
                <c:pt idx="3">
                  <c:v>0.23591088263388429</c:v>
                </c:pt>
                <c:pt idx="4">
                  <c:v>0.3747641205194997</c:v>
                </c:pt>
                <c:pt idx="5">
                  <c:v>0.58973972945617281</c:v>
                </c:pt>
                <c:pt idx="6">
                  <c:v>0.89844045782464999</c:v>
                </c:pt>
                <c:pt idx="7">
                  <c:v>1.1247146069601437</c:v>
                </c:pt>
                <c:pt idx="8">
                  <c:v>1.6934891727988695</c:v>
                </c:pt>
                <c:pt idx="9">
                  <c:v>2.8311667018084488</c:v>
                </c:pt>
              </c:numCache>
            </c:numRef>
          </c:val>
          <c:smooth val="0"/>
          <c:extLst>
            <c:ext xmlns:c16="http://schemas.microsoft.com/office/drawing/2014/chart" uri="{C3380CC4-5D6E-409C-BE32-E72D297353CC}">
              <c16:uniqueId val="{00000001-0C4B-427C-8460-CDE76AD4BF67}"/>
            </c:ext>
          </c:extLst>
        </c:ser>
        <c:dLbls>
          <c:showLegendKey val="0"/>
          <c:showVal val="0"/>
          <c:showCatName val="0"/>
          <c:showSerName val="0"/>
          <c:showPercent val="0"/>
          <c:showBubbleSize val="0"/>
        </c:dLbls>
        <c:smooth val="0"/>
        <c:axId val="702405472"/>
        <c:axId val="702411048"/>
      </c:lineChart>
      <c:catAx>
        <c:axId val="70240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411048"/>
        <c:crosses val="autoZero"/>
        <c:auto val="1"/>
        <c:lblAlgn val="ctr"/>
        <c:lblOffset val="100"/>
        <c:noMultiLvlLbl val="0"/>
      </c:catAx>
      <c:valAx>
        <c:axId val="702411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9863438857852266E-2"/>
              <c:y val="0.313325522890953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40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57150" cap="rnd">
              <a:solidFill>
                <a:schemeClr val="tx1"/>
              </a:solidFill>
              <a:round/>
            </a:ln>
            <a:effectLst/>
          </c:spPr>
          <c:marker>
            <c:symbol val="none"/>
          </c:marker>
          <c:cat>
            <c:numRef>
              <c:f>'Global EV uptake'!$A$61:$A$101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formatCode="0">
                  <c:v>2025</c:v>
                </c:pt>
                <c:pt idx="16" formatCode="0">
                  <c:v>2026</c:v>
                </c:pt>
                <c:pt idx="17" formatCode="0">
                  <c:v>2027</c:v>
                </c:pt>
                <c:pt idx="18" formatCode="0">
                  <c:v>2028</c:v>
                </c:pt>
                <c:pt idx="19" formatCode="0">
                  <c:v>2029</c:v>
                </c:pt>
                <c:pt idx="20" formatCode="0">
                  <c:v>2030</c:v>
                </c:pt>
                <c:pt idx="21" formatCode="0">
                  <c:v>2031</c:v>
                </c:pt>
                <c:pt idx="22" formatCode="0">
                  <c:v>2032</c:v>
                </c:pt>
                <c:pt idx="23" formatCode="0">
                  <c:v>2033</c:v>
                </c:pt>
                <c:pt idx="24" formatCode="0">
                  <c:v>2034</c:v>
                </c:pt>
                <c:pt idx="25" formatCode="0">
                  <c:v>2035</c:v>
                </c:pt>
                <c:pt idx="26" formatCode="0">
                  <c:v>2036</c:v>
                </c:pt>
                <c:pt idx="27" formatCode="0">
                  <c:v>2037</c:v>
                </c:pt>
                <c:pt idx="28" formatCode="0">
                  <c:v>2038</c:v>
                </c:pt>
                <c:pt idx="29" formatCode="0">
                  <c:v>2039</c:v>
                </c:pt>
                <c:pt idx="30" formatCode="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'Global EV uptake'!$B$61:$B$101</c:f>
              <c:numCache>
                <c:formatCode>0.00</c:formatCode>
                <c:ptCount val="41"/>
                <c:pt idx="0">
                  <c:v>1.6964627629336562E-2</c:v>
                </c:pt>
                <c:pt idx="1">
                  <c:v>0.10234351891729328</c:v>
                </c:pt>
                <c:pt idx="2">
                  <c:v>0.23522435592921317</c:v>
                </c:pt>
                <c:pt idx="3">
                  <c:v>0.38403986642724675</c:v>
                </c:pt>
                <c:pt idx="4">
                  <c:v>0.57247293705754376</c:v>
                </c:pt>
                <c:pt idx="5">
                  <c:v>0.90247796151091464</c:v>
                </c:pt>
                <c:pt idx="6">
                  <c:v>1.1362386310898671</c:v>
                </c:pt>
                <c:pt idx="7">
                  <c:v>1.6633518305579627</c:v>
                </c:pt>
                <c:pt idx="8">
                  <c:v>2.8604156566476502</c:v>
                </c:pt>
              </c:numCache>
            </c:numRef>
          </c:val>
          <c:smooth val="0"/>
          <c:extLst>
            <c:ext xmlns:c16="http://schemas.microsoft.com/office/drawing/2014/chart" uri="{C3380CC4-5D6E-409C-BE32-E72D297353CC}">
              <c16:uniqueId val="{00000000-A82A-48D5-9A83-4F86ECC700CC}"/>
            </c:ext>
          </c:extLst>
        </c:ser>
        <c:ser>
          <c:idx val="1"/>
          <c:order val="1"/>
          <c:tx>
            <c:strRef>
              <c:f>'Global EV uptake'!$C$59</c:f>
              <c:strCache>
                <c:ptCount val="1"/>
                <c:pt idx="0">
                  <c:v>predicted raw </c:v>
                </c:pt>
              </c:strCache>
            </c:strRef>
          </c:tx>
          <c:spPr>
            <a:ln w="28575" cap="rnd">
              <a:solidFill>
                <a:schemeClr val="accent2"/>
              </a:solidFill>
              <a:round/>
            </a:ln>
            <a:effectLst/>
          </c:spPr>
          <c:marker>
            <c:symbol val="none"/>
          </c:marker>
          <c:cat>
            <c:numRef>
              <c:f>'Global EV uptake'!$A$61:$A$101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formatCode="0">
                  <c:v>2025</c:v>
                </c:pt>
                <c:pt idx="16" formatCode="0">
                  <c:v>2026</c:v>
                </c:pt>
                <c:pt idx="17" formatCode="0">
                  <c:v>2027</c:v>
                </c:pt>
                <c:pt idx="18" formatCode="0">
                  <c:v>2028</c:v>
                </c:pt>
                <c:pt idx="19" formatCode="0">
                  <c:v>2029</c:v>
                </c:pt>
                <c:pt idx="20" formatCode="0">
                  <c:v>2030</c:v>
                </c:pt>
                <c:pt idx="21" formatCode="0">
                  <c:v>2031</c:v>
                </c:pt>
                <c:pt idx="22" formatCode="0">
                  <c:v>2032</c:v>
                </c:pt>
                <c:pt idx="23" formatCode="0">
                  <c:v>2033</c:v>
                </c:pt>
                <c:pt idx="24" formatCode="0">
                  <c:v>2034</c:v>
                </c:pt>
                <c:pt idx="25" formatCode="0">
                  <c:v>2035</c:v>
                </c:pt>
                <c:pt idx="26" formatCode="0">
                  <c:v>2036</c:v>
                </c:pt>
                <c:pt idx="27" formatCode="0">
                  <c:v>2037</c:v>
                </c:pt>
                <c:pt idx="28" formatCode="0">
                  <c:v>2038</c:v>
                </c:pt>
                <c:pt idx="29" formatCode="0">
                  <c:v>2039</c:v>
                </c:pt>
                <c:pt idx="30" formatCode="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'Global EV uptake'!$C$61:$C$101</c:f>
              <c:numCache>
                <c:formatCode>0.00</c:formatCode>
                <c:ptCount val="41"/>
                <c:pt idx="0">
                  <c:v>7.0956542813617018E-2</c:v>
                </c:pt>
                <c:pt idx="1">
                  <c:v>0.12499382424174706</c:v>
                </c:pt>
                <c:pt idx="2">
                  <c:v>0.23591088263388429</c:v>
                </c:pt>
                <c:pt idx="3">
                  <c:v>0.3747641205194997</c:v>
                </c:pt>
                <c:pt idx="4">
                  <c:v>0.58973972945617281</c:v>
                </c:pt>
                <c:pt idx="5">
                  <c:v>0.89844045782464999</c:v>
                </c:pt>
                <c:pt idx="6">
                  <c:v>1.1247146069601437</c:v>
                </c:pt>
                <c:pt idx="7">
                  <c:v>1.6934891727988695</c:v>
                </c:pt>
                <c:pt idx="8">
                  <c:v>2.8311667018084488</c:v>
                </c:pt>
                <c:pt idx="9">
                  <c:v>4.6657433283108087</c:v>
                </c:pt>
                <c:pt idx="10">
                  <c:v>7.1311545047818807</c:v>
                </c:pt>
                <c:pt idx="11">
                  <c:v>10.80906767568065</c:v>
                </c:pt>
                <c:pt idx="12">
                  <c:v>16.220950988507798</c:v>
                </c:pt>
                <c:pt idx="13">
                  <c:v>23.06565896987421</c:v>
                </c:pt>
                <c:pt idx="14">
                  <c:v>30.766875783016317</c:v>
                </c:pt>
                <c:pt idx="15">
                  <c:v>38.544427268869043</c:v>
                </c:pt>
                <c:pt idx="16">
                  <c:v>45.825790417369525</c:v>
                </c:pt>
                <c:pt idx="17">
                  <c:v>51.906454915807629</c:v>
                </c:pt>
                <c:pt idx="18">
                  <c:v>56.326745165258494</c:v>
                </c:pt>
                <c:pt idx="19">
                  <c:v>59.39095758619905</c:v>
                </c:pt>
                <c:pt idx="20">
                  <c:v>61.451030793898077</c:v>
                </c:pt>
                <c:pt idx="21">
                  <c:v>62.776455773883036</c:v>
                </c:pt>
                <c:pt idx="22">
                  <c:v>63.606173869989689</c:v>
                </c:pt>
                <c:pt idx="23">
                  <c:v>64.130569686028679</c:v>
                </c:pt>
                <c:pt idx="24">
                  <c:v>64.45935031390492</c:v>
                </c:pt>
                <c:pt idx="25">
                  <c:v>64.664450978639351</c:v>
                </c:pt>
                <c:pt idx="26">
                  <c:v>64.791995806647634</c:v>
                </c:pt>
                <c:pt idx="27">
                  <c:v>64.871156437864585</c:v>
                </c:pt>
                <c:pt idx="28">
                  <c:v>64.920227818434341</c:v>
                </c:pt>
                <c:pt idx="29">
                  <c:v>64.950624089978433</c:v>
                </c:pt>
                <c:pt idx="30">
                  <c:v>64.969443663565642</c:v>
                </c:pt>
                <c:pt idx="31">
                  <c:v>64.981092265604161</c:v>
                </c:pt>
                <c:pt idx="32">
                  <c:v>64.988301019423389</c:v>
                </c:pt>
                <c:pt idx="33">
                  <c:v>64.992761673339956</c:v>
                </c:pt>
                <c:pt idx="34">
                  <c:v>64.99552166093757</c:v>
                </c:pt>
                <c:pt idx="35">
                  <c:v>64.997229304926634</c:v>
                </c:pt>
                <c:pt idx="36">
                  <c:v>64.998285821110173</c:v>
                </c:pt>
                <c:pt idx="37">
                  <c:v>64.998939475122427</c:v>
                </c:pt>
                <c:pt idx="38">
                  <c:v>64.999343879037568</c:v>
                </c:pt>
                <c:pt idx="39">
                  <c:v>64.999594074872647</c:v>
                </c:pt>
                <c:pt idx="40">
                  <c:v>64.999748864955407</c:v>
                </c:pt>
              </c:numCache>
            </c:numRef>
          </c:val>
          <c:smooth val="0"/>
          <c:extLst>
            <c:ext xmlns:c16="http://schemas.microsoft.com/office/drawing/2014/chart" uri="{C3380CC4-5D6E-409C-BE32-E72D297353CC}">
              <c16:uniqueId val="{00000001-A82A-48D5-9A83-4F86ECC700CC}"/>
            </c:ext>
          </c:extLst>
        </c:ser>
        <c:dLbls>
          <c:showLegendKey val="0"/>
          <c:showVal val="0"/>
          <c:showCatName val="0"/>
          <c:showSerName val="0"/>
          <c:showPercent val="0"/>
          <c:showBubbleSize val="0"/>
        </c:dLbls>
        <c:smooth val="0"/>
        <c:axId val="702405472"/>
        <c:axId val="702411048"/>
      </c:lineChart>
      <c:catAx>
        <c:axId val="702405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411048"/>
        <c:crosses val="autoZero"/>
        <c:auto val="1"/>
        <c:lblAlgn val="ctr"/>
        <c:lblOffset val="100"/>
        <c:tickLblSkip val="5"/>
        <c:tickMarkSkip val="5"/>
        <c:noMultiLvlLbl val="0"/>
      </c:catAx>
      <c:valAx>
        <c:axId val="702411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4209594124015817E-2"/>
              <c:y val="0.295172249810237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40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'Global EV uptake'!$I$3</c:f>
              <c:strCache>
                <c:ptCount val="1"/>
                <c:pt idx="0">
                  <c:v>BEV/EV fraction</c:v>
                </c:pt>
              </c:strCache>
            </c:strRef>
          </c:tx>
          <c:spPr>
            <a:ln w="28575" cap="rnd">
              <a:solidFill>
                <a:schemeClr val="accent1"/>
              </a:solidFill>
              <a:round/>
            </a:ln>
            <a:effectLst/>
          </c:spPr>
          <c:marker>
            <c:symbol val="none"/>
          </c:marker>
          <c:cat>
            <c:numRef>
              <c:f>'Global EV uptake'!$G$4:$G$12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'Global EV uptake'!$I$4:$I$12</c:f>
              <c:numCache>
                <c:formatCode>0.00</c:formatCode>
                <c:ptCount val="9"/>
                <c:pt idx="0">
                  <c:v>90.357543291391565</c:v>
                </c:pt>
                <c:pt idx="1">
                  <c:v>84.418722971254141</c:v>
                </c:pt>
                <c:pt idx="2">
                  <c:v>79.054033615987251</c:v>
                </c:pt>
                <c:pt idx="3">
                  <c:v>47.764240045816003</c:v>
                </c:pt>
                <c:pt idx="4">
                  <c:v>54.321373755647393</c:v>
                </c:pt>
                <c:pt idx="5">
                  <c:v>57.895008517008229</c:v>
                </c:pt>
                <c:pt idx="6">
                  <c:v>58.917410815056925</c:v>
                </c:pt>
                <c:pt idx="7">
                  <c:v>61.656545444519963</c:v>
                </c:pt>
                <c:pt idx="8">
                  <c:v>65.205498329141818</c:v>
                </c:pt>
              </c:numCache>
            </c:numRef>
          </c:val>
          <c:smooth val="0"/>
          <c:extLst>
            <c:ext xmlns:c16="http://schemas.microsoft.com/office/drawing/2014/chart" uri="{C3380CC4-5D6E-409C-BE32-E72D297353CC}">
              <c16:uniqueId val="{00000000-DDD3-48F2-A8B2-DFD94EC6110E}"/>
            </c:ext>
          </c:extLst>
        </c:ser>
        <c:ser>
          <c:idx val="1"/>
          <c:order val="1"/>
          <c:tx>
            <c:strRef>
              <c:f>'Global EV uptake'!$J$3</c:f>
              <c:strCache>
                <c:ptCount val="1"/>
                <c:pt idx="0">
                  <c:v>pred</c:v>
                </c:pt>
              </c:strCache>
            </c:strRef>
          </c:tx>
          <c:spPr>
            <a:ln w="28575" cap="rnd">
              <a:solidFill>
                <a:schemeClr val="accent2"/>
              </a:solidFill>
              <a:round/>
            </a:ln>
            <a:effectLst/>
          </c:spPr>
          <c:marker>
            <c:symbol val="none"/>
          </c:marker>
          <c:cat>
            <c:numRef>
              <c:f>'Global EV uptake'!$G$4:$G$12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'Global EV uptake'!$J$4:$J$12</c:f>
              <c:numCache>
                <c:formatCode>0.00</c:formatCode>
                <c:ptCount val="9"/>
                <c:pt idx="3">
                  <c:v>47.347204854901733</c:v>
                </c:pt>
                <c:pt idx="4">
                  <c:v>55.73012418381775</c:v>
                </c:pt>
                <c:pt idx="5">
                  <c:v>58.034708329729547</c:v>
                </c:pt>
                <c:pt idx="6">
                  <c:v>61.178406557177745</c:v>
                </c:pt>
                <c:pt idx="7">
                  <c:v>61.357105821825748</c:v>
                </c:pt>
                <c:pt idx="8">
                  <c:v>63.859836998450355</c:v>
                </c:pt>
              </c:numCache>
            </c:numRef>
          </c:val>
          <c:smooth val="0"/>
          <c:extLst>
            <c:ext xmlns:c16="http://schemas.microsoft.com/office/drawing/2014/chart" uri="{C3380CC4-5D6E-409C-BE32-E72D297353CC}">
              <c16:uniqueId val="{00000001-DDD3-48F2-A8B2-DFD94EC6110E}"/>
            </c:ext>
          </c:extLst>
        </c:ser>
        <c:dLbls>
          <c:showLegendKey val="0"/>
          <c:showVal val="0"/>
          <c:showCatName val="0"/>
          <c:showSerName val="0"/>
          <c:showPercent val="0"/>
          <c:showBubbleSize val="0"/>
        </c:dLbls>
        <c:smooth val="0"/>
        <c:axId val="615677464"/>
        <c:axId val="615677792"/>
      </c:lineChart>
      <c:catAx>
        <c:axId val="61567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77792"/>
        <c:crosses val="autoZero"/>
        <c:auto val="1"/>
        <c:lblAlgn val="ctr"/>
        <c:lblOffset val="100"/>
        <c:noMultiLvlLbl val="0"/>
      </c:catAx>
      <c:valAx>
        <c:axId val="615677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77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uptake'!$F$59</c:f>
              <c:strCache>
                <c:ptCount val="1"/>
                <c:pt idx="0">
                  <c:v>Linearized Logistic </c:v>
                </c:pt>
              </c:strCache>
            </c:strRef>
          </c:tx>
          <c:spPr>
            <a:ln w="53975" cap="rnd">
              <a:solidFill>
                <a:schemeClr val="tx1"/>
              </a:solidFill>
              <a:round/>
            </a:ln>
            <a:effectLst/>
          </c:spPr>
          <c:marker>
            <c:symbol val="none"/>
          </c:marker>
          <c:cat>
            <c:numRef>
              <c:f>'Global EV uptake'!$A$63:$A$69</c:f>
              <c:numCache>
                <c:formatCode>General</c:formatCode>
                <c:ptCount val="7"/>
                <c:pt idx="0">
                  <c:v>2012</c:v>
                </c:pt>
                <c:pt idx="1">
                  <c:v>2013</c:v>
                </c:pt>
                <c:pt idx="2">
                  <c:v>2014</c:v>
                </c:pt>
                <c:pt idx="3">
                  <c:v>2015</c:v>
                </c:pt>
                <c:pt idx="4">
                  <c:v>2016</c:v>
                </c:pt>
                <c:pt idx="5">
                  <c:v>2017</c:v>
                </c:pt>
                <c:pt idx="6">
                  <c:v>2018</c:v>
                </c:pt>
              </c:numCache>
            </c:numRef>
          </c:cat>
          <c:val>
            <c:numRef>
              <c:f>'Global EV uptake'!$F$63:$F$69</c:f>
              <c:numCache>
                <c:formatCode>General</c:formatCode>
                <c:ptCount val="7"/>
                <c:pt idx="0">
                  <c:v>-5.6179773840205085</c:v>
                </c:pt>
                <c:pt idx="1">
                  <c:v>-5.1254703541275148</c:v>
                </c:pt>
                <c:pt idx="2">
                  <c:v>-4.7233307968361888</c:v>
                </c:pt>
                <c:pt idx="3">
                  <c:v>-4.2630167138852615</c:v>
                </c:pt>
                <c:pt idx="4">
                  <c:v>-4.0290287249675529</c:v>
                </c:pt>
                <c:pt idx="5">
                  <c:v>-3.6396293800308035</c:v>
                </c:pt>
                <c:pt idx="6">
                  <c:v>-3.078416266143412</c:v>
                </c:pt>
              </c:numCache>
            </c:numRef>
          </c:val>
          <c:smooth val="0"/>
          <c:extLst>
            <c:ext xmlns:c16="http://schemas.microsoft.com/office/drawing/2014/chart" uri="{C3380CC4-5D6E-409C-BE32-E72D297353CC}">
              <c16:uniqueId val="{00000000-D9FE-400D-A816-DE757A8354E3}"/>
            </c:ext>
          </c:extLst>
        </c:ser>
        <c:ser>
          <c:idx val="1"/>
          <c:order val="1"/>
          <c:tx>
            <c:strRef>
              <c:f>'Global EV uptake'!$G$59</c:f>
              <c:strCache>
                <c:ptCount val="1"/>
                <c:pt idx="0">
                  <c:v>predicted</c:v>
                </c:pt>
              </c:strCache>
            </c:strRef>
          </c:tx>
          <c:spPr>
            <a:ln w="28575" cap="rnd">
              <a:solidFill>
                <a:schemeClr val="accent2"/>
              </a:solidFill>
              <a:round/>
            </a:ln>
            <a:effectLst/>
          </c:spPr>
          <c:marker>
            <c:symbol val="none"/>
          </c:marker>
          <c:cat>
            <c:numRef>
              <c:f>'Global EV uptake'!$A$63:$A$69</c:f>
              <c:numCache>
                <c:formatCode>General</c:formatCode>
                <c:ptCount val="7"/>
                <c:pt idx="0">
                  <c:v>2012</c:v>
                </c:pt>
                <c:pt idx="1">
                  <c:v>2013</c:v>
                </c:pt>
                <c:pt idx="2">
                  <c:v>2014</c:v>
                </c:pt>
                <c:pt idx="3">
                  <c:v>2015</c:v>
                </c:pt>
                <c:pt idx="4">
                  <c:v>2016</c:v>
                </c:pt>
                <c:pt idx="5">
                  <c:v>2017</c:v>
                </c:pt>
                <c:pt idx="6">
                  <c:v>2018</c:v>
                </c:pt>
              </c:numCache>
            </c:numRef>
          </c:cat>
          <c:val>
            <c:numRef>
              <c:f>'Global EV uptake'!$G$63:$G$69</c:f>
              <c:numCache>
                <c:formatCode>General</c:formatCode>
                <c:ptCount val="7"/>
                <c:pt idx="0">
                  <c:v>-5.6150524306855214</c:v>
                </c:pt>
                <c:pt idx="1">
                  <c:v>-5.1500634456652898</c:v>
                </c:pt>
                <c:pt idx="2">
                  <c:v>-4.6933469173179176</c:v>
                </c:pt>
                <c:pt idx="3">
                  <c:v>-4.2675635368361373</c:v>
                </c:pt>
                <c:pt idx="4">
                  <c:v>-4.0394031957352938</c:v>
                </c:pt>
                <c:pt idx="5">
                  <c:v>-3.6211971806624836</c:v>
                </c:pt>
                <c:pt idx="6">
                  <c:v>-3.0891649129684851</c:v>
                </c:pt>
              </c:numCache>
            </c:numRef>
          </c:val>
          <c:smooth val="0"/>
          <c:extLst>
            <c:ext xmlns:c16="http://schemas.microsoft.com/office/drawing/2014/chart" uri="{C3380CC4-5D6E-409C-BE32-E72D297353CC}">
              <c16:uniqueId val="{00000001-D9FE-400D-A816-DE757A8354E3}"/>
            </c:ext>
          </c:extLst>
        </c:ser>
        <c:dLbls>
          <c:showLegendKey val="0"/>
          <c:showVal val="0"/>
          <c:showCatName val="0"/>
          <c:showSerName val="0"/>
          <c:showPercent val="0"/>
          <c:showBubbleSize val="0"/>
        </c:dLbls>
        <c:smooth val="0"/>
        <c:axId val="607176960"/>
        <c:axId val="607168104"/>
      </c:lineChart>
      <c:catAx>
        <c:axId val="60717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168104"/>
        <c:crosses val="autoZero"/>
        <c:auto val="1"/>
        <c:lblAlgn val="ctr"/>
        <c:lblOffset val="100"/>
        <c:noMultiLvlLbl val="0"/>
      </c:catAx>
      <c:valAx>
        <c:axId val="60716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17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47625" cap="rnd">
              <a:solidFill>
                <a:schemeClr val="tx1"/>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uptake'!$B$60:$B$101</c:f>
              <c:numCache>
                <c:formatCode>0.00</c:formatCode>
                <c:ptCount val="42"/>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68DB-4B44-8FCD-4D8C57357BE8}"/>
            </c:ext>
          </c:extLst>
        </c:ser>
        <c:ser>
          <c:idx val="3"/>
          <c:order val="1"/>
          <c:tx>
            <c:strRef>
              <c:f>'Global EV uptake'!$N$59</c:f>
              <c:strCache>
                <c:ptCount val="1"/>
                <c:pt idx="0">
                  <c:v>Global wgt'd-average raw</c:v>
                </c:pt>
              </c:strCache>
            </c:strRef>
          </c:tx>
          <c:spPr>
            <a:ln w="28575" cap="rnd">
              <a:solidFill>
                <a:schemeClr val="accent4"/>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uptake'!$N$60:$N$101</c:f>
              <c:numCache>
                <c:formatCode>0.00</c:formatCode>
                <c:ptCount val="42"/>
                <c:pt idx="3">
                  <c:v>0.19742896786263009</c:v>
                </c:pt>
                <c:pt idx="4">
                  <c:v>0.30807396253795266</c:v>
                </c:pt>
                <c:pt idx="5">
                  <c:v>0.5325480130388569</c:v>
                </c:pt>
                <c:pt idx="6">
                  <c:v>0.86634722717182222</c:v>
                </c:pt>
                <c:pt idx="7">
                  <c:v>1.1457339936254038</c:v>
                </c:pt>
                <c:pt idx="8">
                  <c:v>1.7654718984525768</c:v>
                </c:pt>
                <c:pt idx="9">
                  <c:v>3.0261971511893462</c:v>
                </c:pt>
                <c:pt idx="10">
                  <c:v>4.3181453316148639</c:v>
                </c:pt>
                <c:pt idx="11">
                  <c:v>6.2277642321398616</c:v>
                </c:pt>
                <c:pt idx="12">
                  <c:v>9.0000056862900859</c:v>
                </c:pt>
                <c:pt idx="13">
                  <c:v>12.612086342576424</c:v>
                </c:pt>
                <c:pt idx="14">
                  <c:v>16.944267558631779</c:v>
                </c:pt>
                <c:pt idx="15">
                  <c:v>21.65753677109134</c:v>
                </c:pt>
                <c:pt idx="16">
                  <c:v>26.313825613949518</c:v>
                </c:pt>
                <c:pt idx="17">
                  <c:v>30.579755913422385</c:v>
                </c:pt>
                <c:pt idx="18">
                  <c:v>34.327979651839698</c:v>
                </c:pt>
                <c:pt idx="19">
                  <c:v>37.590793684085092</c:v>
                </c:pt>
                <c:pt idx="20">
                  <c:v>40.460638813121619</c:v>
                </c:pt>
                <c:pt idx="21">
                  <c:v>43.019982341523594</c:v>
                </c:pt>
                <c:pt idx="22">
                  <c:v>45.320368315976893</c:v>
                </c:pt>
                <c:pt idx="23">
                  <c:v>47.391542179290909</c:v>
                </c:pt>
                <c:pt idx="24">
                  <c:v>49.255550770668528</c:v>
                </c:pt>
                <c:pt idx="25">
                  <c:v>50.933568446480685</c:v>
                </c:pt>
                <c:pt idx="26">
                  <c:v>52.446124890721514</c:v>
                </c:pt>
                <c:pt idx="27">
                  <c:v>53.811419459141646</c:v>
                </c:pt>
                <c:pt idx="28">
                  <c:v>55.044521212924373</c:v>
                </c:pt>
                <c:pt idx="29">
                  <c:v>56.157785784357571</c:v>
                </c:pt>
                <c:pt idx="30">
                  <c:v>57.16178389210107</c:v>
                </c:pt>
                <c:pt idx="31">
                  <c:v>58.066093688356332</c:v>
                </c:pt>
                <c:pt idx="32">
                  <c:v>58.879702611694988</c:v>
                </c:pt>
                <c:pt idx="33">
                  <c:v>59.611067675104572</c:v>
                </c:pt>
                <c:pt idx="34">
                  <c:v>60.268000408259837</c:v>
                </c:pt>
                <c:pt idx="35">
                  <c:v>60.857530446297353</c:v>
                </c:pt>
                <c:pt idx="36">
                  <c:v>61.385838838999597</c:v>
                </c:pt>
                <c:pt idx="37">
                  <c:v>61.858289197192519</c:v>
                </c:pt>
                <c:pt idx="38">
                  <c:v>62.27954175442342</c:v>
                </c:pt>
                <c:pt idx="39">
                  <c:v>62.653714399560087</c:v>
                </c:pt>
                <c:pt idx="40">
                  <c:v>62.984551064136966</c:v>
                </c:pt>
                <c:pt idx="41">
                  <c:v>63.275565489357412</c:v>
                </c:pt>
              </c:numCache>
            </c:numRef>
          </c:val>
          <c:smooth val="0"/>
          <c:extLst>
            <c:ext xmlns:c16="http://schemas.microsoft.com/office/drawing/2014/chart" uri="{C3380CC4-5D6E-409C-BE32-E72D297353CC}">
              <c16:uniqueId val="{00000003-68DB-4B44-8FCD-4D8C57357BE8}"/>
            </c:ext>
          </c:extLst>
        </c:ser>
        <c:dLbls>
          <c:showLegendKey val="0"/>
          <c:showVal val="0"/>
          <c:showCatName val="0"/>
          <c:showSerName val="0"/>
          <c:showPercent val="0"/>
          <c:showBubbleSize val="0"/>
        </c:dLbls>
        <c:smooth val="0"/>
        <c:axId val="825689544"/>
        <c:axId val="825695120"/>
      </c:lineChart>
      <c:catAx>
        <c:axId val="82568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95120"/>
        <c:crosses val="autoZero"/>
        <c:auto val="1"/>
        <c:lblAlgn val="ctr"/>
        <c:lblOffset val="100"/>
        <c:noMultiLvlLbl val="0"/>
      </c:catAx>
      <c:valAx>
        <c:axId val="82569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96475541165826E-2"/>
              <c:y val="0.3098191651663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8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Top</a:t>
            </a:r>
            <a:r>
              <a:rPr lang="en-US" baseline="0"/>
              <a:t> 1/3 (&lt;$US50K) </a:t>
            </a:r>
            <a:r>
              <a:rPr lang="en-US"/>
              <a:t>Price</a:t>
            </a:r>
          </a:p>
        </c:rich>
      </c:tx>
      <c:layout>
        <c:manualLayout>
          <c:xMode val="edge"/>
          <c:yMode val="edge"/>
          <c:x val="0.34799932423309743"/>
          <c:y val="2.68030805359856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13331242406809"/>
          <c:y val="0.17171296296296296"/>
          <c:w val="0.85531111488965816"/>
          <c:h val="0.69104572454758939"/>
        </c:manualLayout>
      </c:layout>
      <c:lineChart>
        <c:grouping val="standard"/>
        <c:varyColors val="0"/>
        <c:ser>
          <c:idx val="0"/>
          <c:order val="0"/>
          <c:tx>
            <c:strRef>
              <c:f>'Vehicle price'!$R$4</c:f>
              <c:strCache>
                <c:ptCount val="1"/>
                <c:pt idx="0">
                  <c:v>Top 1/3 Price Growing Range</c:v>
                </c:pt>
              </c:strCache>
            </c:strRef>
          </c:tx>
          <c:spPr>
            <a:ln w="28575" cap="rnd">
              <a:solidFill>
                <a:schemeClr val="accent1"/>
              </a:solidFill>
              <a:round/>
            </a:ln>
            <a:effectLst/>
          </c:spPr>
          <c:marker>
            <c:symbol val="none"/>
          </c:marker>
          <c:cat>
            <c:numRef>
              <c:f>'Vehicle price'!$J$13:$J$26</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'Vehicle price'!$R$13:$R$26</c:f>
              <c:numCache>
                <c:formatCode>0</c:formatCode>
                <c:ptCount val="14"/>
                <c:pt idx="0">
                  <c:v>36.626807871640452</c:v>
                </c:pt>
                <c:pt idx="1">
                  <c:v>37.349700008721925</c:v>
                </c:pt>
                <c:pt idx="2">
                  <c:v>38.058908799345986</c:v>
                </c:pt>
                <c:pt idx="3">
                  <c:v>37.83049068103179</c:v>
                </c:pt>
                <c:pt idx="4">
                  <c:v>36.879177374357539</c:v>
                </c:pt>
                <c:pt idx="5">
                  <c:v>37.411176630451607</c:v>
                </c:pt>
                <c:pt idx="6">
                  <c:v>37.068217382358931</c:v>
                </c:pt>
                <c:pt idx="7">
                  <c:v>35.742441932950683</c:v>
                </c:pt>
                <c:pt idx="8">
                  <c:v>34.604246030671611</c:v>
                </c:pt>
                <c:pt idx="9">
                  <c:v>33.955822904792974</c:v>
                </c:pt>
                <c:pt idx="10">
                  <c:v>33.307399778914338</c:v>
                </c:pt>
                <c:pt idx="11">
                  <c:v>32.577923762300877</c:v>
                </c:pt>
                <c:pt idx="12">
                  <c:v>31.92950063642224</c:v>
                </c:pt>
                <c:pt idx="13">
                  <c:v>31.200024619808779</c:v>
                </c:pt>
              </c:numCache>
            </c:numRef>
          </c:val>
          <c:smooth val="0"/>
          <c:extLst>
            <c:ext xmlns:c16="http://schemas.microsoft.com/office/drawing/2014/chart" uri="{C3380CC4-5D6E-409C-BE32-E72D297353CC}">
              <c16:uniqueId val="{00000000-C5AC-4911-9864-923BDB90A8E6}"/>
            </c:ext>
          </c:extLst>
        </c:ser>
        <c:ser>
          <c:idx val="1"/>
          <c:order val="1"/>
          <c:tx>
            <c:strRef>
              <c:f>'Vehicle price'!$W$4</c:f>
              <c:strCache>
                <c:ptCount val="1"/>
                <c:pt idx="0">
                  <c:v>Top 1/3 Price Constant Range </c:v>
                </c:pt>
              </c:strCache>
            </c:strRef>
          </c:tx>
          <c:spPr>
            <a:ln w="28575" cap="rnd">
              <a:solidFill>
                <a:schemeClr val="accent2"/>
              </a:solidFill>
              <a:round/>
            </a:ln>
            <a:effectLst/>
          </c:spPr>
          <c:marker>
            <c:symbol val="none"/>
          </c:marker>
          <c:cat>
            <c:numRef>
              <c:f>'Vehicle price'!$J$13:$J$26</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'Vehicle price'!$W$13:$W$26</c:f>
              <c:numCache>
                <c:formatCode>0</c:formatCode>
                <c:ptCount val="14"/>
                <c:pt idx="0">
                  <c:v>36.626807871640452</c:v>
                </c:pt>
                <c:pt idx="1">
                  <c:v>35.425596802184216</c:v>
                </c:pt>
                <c:pt idx="2">
                  <c:v>33.736821759855609</c:v>
                </c:pt>
                <c:pt idx="3">
                  <c:v>32.015569669623645</c:v>
                </c:pt>
                <c:pt idx="4">
                  <c:v>30.378742906842859</c:v>
                </c:pt>
                <c:pt idx="5">
                  <c:v>29.708928993691405</c:v>
                </c:pt>
                <c:pt idx="6">
                  <c:v>29.047213513213642</c:v>
                </c:pt>
                <c:pt idx="7">
                  <c:v>28.394496291262211</c:v>
                </c:pt>
                <c:pt idx="8">
                  <c:v>27.814664963374032</c:v>
                </c:pt>
                <c:pt idx="9">
                  <c:v>27.562713724636861</c:v>
                </c:pt>
                <c:pt idx="10">
                  <c:v>27.310762485899691</c:v>
                </c:pt>
                <c:pt idx="11">
                  <c:v>27.027317342320373</c:v>
                </c:pt>
                <c:pt idx="12">
                  <c:v>26.775366103583206</c:v>
                </c:pt>
                <c:pt idx="13">
                  <c:v>26.491920960003888</c:v>
                </c:pt>
              </c:numCache>
            </c:numRef>
          </c:val>
          <c:smooth val="0"/>
          <c:extLst>
            <c:ext xmlns:c16="http://schemas.microsoft.com/office/drawing/2014/chart" uri="{C3380CC4-5D6E-409C-BE32-E72D297353CC}">
              <c16:uniqueId val="{00000001-C5AC-4911-9864-923BDB90A8E6}"/>
            </c:ext>
          </c:extLst>
        </c:ser>
        <c:ser>
          <c:idx val="2"/>
          <c:order val="2"/>
          <c:tx>
            <c:strRef>
              <c:f>'Vehicle price'!$X$4</c:f>
              <c:strCache>
                <c:ptCount val="1"/>
                <c:pt idx="0">
                  <c:v>Price fossil-fuelled vehicles</c:v>
                </c:pt>
              </c:strCache>
            </c:strRef>
          </c:tx>
          <c:spPr>
            <a:ln w="28575" cap="rnd">
              <a:solidFill>
                <a:schemeClr val="accent3"/>
              </a:solidFill>
              <a:round/>
            </a:ln>
            <a:effectLst/>
          </c:spPr>
          <c:marker>
            <c:symbol val="none"/>
          </c:marker>
          <c:cat>
            <c:numRef>
              <c:f>'Vehicle price'!$J$13:$J$26</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'Vehicle price'!$X$13:$X$26</c:f>
              <c:numCache>
                <c:formatCode>0</c:formatCode>
                <c:ptCount val="14"/>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numCache>
            </c:numRef>
          </c:val>
          <c:smooth val="0"/>
          <c:extLst>
            <c:ext xmlns:c16="http://schemas.microsoft.com/office/drawing/2014/chart" uri="{C3380CC4-5D6E-409C-BE32-E72D297353CC}">
              <c16:uniqueId val="{00000002-C5AC-4911-9864-923BDB90A8E6}"/>
            </c:ext>
          </c:extLst>
        </c:ser>
        <c:dLbls>
          <c:showLegendKey val="0"/>
          <c:showVal val="0"/>
          <c:showCatName val="0"/>
          <c:showSerName val="0"/>
          <c:showPercent val="0"/>
          <c:showBubbleSize val="0"/>
        </c:dLbls>
        <c:smooth val="0"/>
        <c:axId val="337413584"/>
        <c:axId val="337412600"/>
      </c:lineChart>
      <c:catAx>
        <c:axId val="3374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412600"/>
        <c:crosses val="autoZero"/>
        <c:auto val="1"/>
        <c:lblAlgn val="ctr"/>
        <c:lblOffset val="100"/>
        <c:noMultiLvlLbl val="0"/>
      </c:catAx>
      <c:valAx>
        <c:axId val="337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price (real 2017US$000)</a:t>
                </a:r>
              </a:p>
            </c:rich>
          </c:tx>
          <c:layout>
            <c:manualLayout>
              <c:xMode val="edge"/>
              <c:yMode val="edge"/>
              <c:x val="1.2627886845266579E-2"/>
              <c:y val="0.221621770962840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413584"/>
        <c:crosses val="autoZero"/>
        <c:crossBetween val="between"/>
      </c:valAx>
      <c:spPr>
        <a:noFill/>
        <a:ln>
          <a:noFill/>
        </a:ln>
        <a:effectLst/>
      </c:spPr>
    </c:plotArea>
    <c:legend>
      <c:legendPos val="b"/>
      <c:layout>
        <c:manualLayout>
          <c:xMode val="edge"/>
          <c:yMode val="edge"/>
          <c:x val="0.10046006256921422"/>
          <c:y val="0.51714739604917814"/>
          <c:w val="0.39048251066240369"/>
          <c:h val="0.258193811299903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uptake'!$W$59</c:f>
              <c:strCache>
                <c:ptCount val="1"/>
                <c:pt idx="0">
                  <c:v>High</c:v>
                </c:pt>
              </c:strCache>
            </c:strRef>
          </c:tx>
          <c:spPr>
            <a:ln w="28575" cap="rnd">
              <a:solidFill>
                <a:schemeClr val="accent1"/>
              </a:solidFill>
              <a:round/>
            </a:ln>
            <a:effectLst/>
          </c:spPr>
          <c:marker>
            <c:symbol val="none"/>
          </c:marker>
          <c:cat>
            <c:numRef>
              <c:f>'Global EV uptake'!$V$60:$V$81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uptake'!$W$60:$W$81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1.1091432808654902</c:v>
                </c:pt>
                <c:pt idx="8" formatCode="0.00">
                  <c:v>1.6893481438403199</c:v>
                </c:pt>
                <c:pt idx="9" formatCode="0.00">
                  <c:v>2.9918124948661204</c:v>
                </c:pt>
                <c:pt idx="10" formatCode="0.00">
                  <c:v>4.4800152993299909</c:v>
                </c:pt>
                <c:pt idx="11" formatCode="0.00">
                  <c:v>6.2648975551591466</c:v>
                </c:pt>
                <c:pt idx="12" formatCode="0.00">
                  <c:v>8.393908435097158</c:v>
                </c:pt>
                <c:pt idx="13" formatCode="0.00">
                  <c:v>10.830031997522589</c:v>
                </c:pt>
                <c:pt idx="14" formatCode="0.00">
                  <c:v>13.870787480837301</c:v>
                </c:pt>
                <c:pt idx="15" formatCode="0.00">
                  <c:v>17.553154085891492</c:v>
                </c:pt>
                <c:pt idx="16" formatCode="0.00">
                  <c:v>21.590440938168438</c:v>
                </c:pt>
                <c:pt idx="17" formatCode="0.00">
                  <c:v>25.827683871087736</c:v>
                </c:pt>
                <c:pt idx="18" formatCode="0.00">
                  <c:v>30.105728946704932</c:v>
                </c:pt>
                <c:pt idx="19" formatCode="0.00">
                  <c:v>34.174863957989778</c:v>
                </c:pt>
                <c:pt idx="20" formatCode="0.00">
                  <c:v>37.722771471016777</c:v>
                </c:pt>
                <c:pt idx="21" formatCode="0.00">
                  <c:v>40.823389417016138</c:v>
                </c:pt>
              </c:numCache>
            </c:numRef>
          </c:val>
          <c:smooth val="0"/>
          <c:extLst>
            <c:ext xmlns:c16="http://schemas.microsoft.com/office/drawing/2014/chart" uri="{C3380CC4-5D6E-409C-BE32-E72D297353CC}">
              <c16:uniqueId val="{00000000-8081-46FA-ADE2-6294D1DCE202}"/>
            </c:ext>
          </c:extLst>
        </c:ser>
        <c:ser>
          <c:idx val="1"/>
          <c:order val="1"/>
          <c:tx>
            <c:strRef>
              <c:f>'Global EV uptake'!$X$59</c:f>
              <c:strCache>
                <c:ptCount val="1"/>
                <c:pt idx="0">
                  <c:v>Medium</c:v>
                </c:pt>
              </c:strCache>
            </c:strRef>
          </c:tx>
          <c:spPr>
            <a:ln w="28575" cap="rnd">
              <a:solidFill>
                <a:schemeClr val="accent2"/>
              </a:solidFill>
              <a:round/>
            </a:ln>
            <a:effectLst/>
          </c:spPr>
          <c:marker>
            <c:symbol val="none"/>
          </c:marker>
          <c:cat>
            <c:numRef>
              <c:f>'Global EV uptake'!$V$60:$V$81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uptake'!$X$60:$X$81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1.1072272418419415</c:v>
                </c:pt>
                <c:pt idx="8" formatCode="0.00">
                  <c:v>1.6863144153863681</c:v>
                </c:pt>
                <c:pt idx="9" formatCode="0.00">
                  <c:v>2.9704277983043195</c:v>
                </c:pt>
                <c:pt idx="10" formatCode="0.00">
                  <c:v>4.0987302726284458</c:v>
                </c:pt>
                <c:pt idx="11" formatCode="0.00">
                  <c:v>5.6022873763590075</c:v>
                </c:pt>
                <c:pt idx="12" formatCode="0.00">
                  <c:v>7.3073988113108523</c:v>
                </c:pt>
                <c:pt idx="13" formatCode="0.00">
                  <c:v>9.3297898120240692</c:v>
                </c:pt>
                <c:pt idx="14" formatCode="0.00">
                  <c:v>11.837900482697131</c:v>
                </c:pt>
                <c:pt idx="15" formatCode="0.00">
                  <c:v>14.858619238773036</c:v>
                </c:pt>
                <c:pt idx="16" formatCode="0.00">
                  <c:v>18.47526189112704</c:v>
                </c:pt>
                <c:pt idx="17" formatCode="0.00">
                  <c:v>22.587004393801681</c:v>
                </c:pt>
                <c:pt idx="18" formatCode="0.00">
                  <c:v>26.852292423808958</c:v>
                </c:pt>
                <c:pt idx="19" formatCode="0.00">
                  <c:v>31.067154374233752</c:v>
                </c:pt>
                <c:pt idx="20" formatCode="0.00">
                  <c:v>35.04942296543301</c:v>
                </c:pt>
                <c:pt idx="21" formatCode="0.00">
                  <c:v>38.60154762590934</c:v>
                </c:pt>
              </c:numCache>
            </c:numRef>
          </c:val>
          <c:smooth val="0"/>
          <c:extLst>
            <c:ext xmlns:c16="http://schemas.microsoft.com/office/drawing/2014/chart" uri="{C3380CC4-5D6E-409C-BE32-E72D297353CC}">
              <c16:uniqueId val="{00000001-8081-46FA-ADE2-6294D1DCE202}"/>
            </c:ext>
          </c:extLst>
        </c:ser>
        <c:ser>
          <c:idx val="2"/>
          <c:order val="2"/>
          <c:tx>
            <c:strRef>
              <c:f>'Global EV uptake'!$Y$59</c:f>
              <c:strCache>
                <c:ptCount val="1"/>
                <c:pt idx="0">
                  <c:v>Low</c:v>
                </c:pt>
              </c:strCache>
            </c:strRef>
          </c:tx>
          <c:spPr>
            <a:ln w="28575" cap="rnd">
              <a:solidFill>
                <a:schemeClr val="accent3"/>
              </a:solidFill>
              <a:round/>
            </a:ln>
            <a:effectLst/>
          </c:spPr>
          <c:marker>
            <c:symbol val="none"/>
          </c:marker>
          <c:cat>
            <c:numRef>
              <c:f>'Global EV uptake'!$V$60:$V$81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uptake'!$Y$60:$Y$81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1.1062408797231944</c:v>
                </c:pt>
                <c:pt idx="8" formatCode="0.00">
                  <c:v>1.6827509679016321</c:v>
                </c:pt>
                <c:pt idx="9" formatCode="0.00">
                  <c:v>2.9577014852575179</c:v>
                </c:pt>
                <c:pt idx="10" formatCode="0.00">
                  <c:v>3.5441032974231272</c:v>
                </c:pt>
                <c:pt idx="11" formatCode="0.00">
                  <c:v>4.5958427922385905</c:v>
                </c:pt>
                <c:pt idx="12" formatCode="0.00">
                  <c:v>5.967553493216208</c:v>
                </c:pt>
                <c:pt idx="13" formatCode="0.00">
                  <c:v>7.6314229452786222</c:v>
                </c:pt>
                <c:pt idx="14" formatCode="0.00">
                  <c:v>9.8975445273385532</c:v>
                </c:pt>
                <c:pt idx="15" formatCode="0.00">
                  <c:v>12.812047850295832</c:v>
                </c:pt>
                <c:pt idx="16" formatCode="0.00">
                  <c:v>16.264565601189428</c:v>
                </c:pt>
                <c:pt idx="17" formatCode="0.00">
                  <c:v>20.184240220888363</c:v>
                </c:pt>
                <c:pt idx="18" formatCode="0.00">
                  <c:v>24.515292818506502</c:v>
                </c:pt>
                <c:pt idx="19" formatCode="0.00">
                  <c:v>28.788768536894114</c:v>
                </c:pt>
                <c:pt idx="20" formatCode="0.00">
                  <c:v>32.761074177409675</c:v>
                </c:pt>
                <c:pt idx="21" formatCode="0.00">
                  <c:v>36.388197507449341</c:v>
                </c:pt>
              </c:numCache>
            </c:numRef>
          </c:val>
          <c:smooth val="0"/>
          <c:extLst>
            <c:ext xmlns:c16="http://schemas.microsoft.com/office/drawing/2014/chart" uri="{C3380CC4-5D6E-409C-BE32-E72D297353CC}">
              <c16:uniqueId val="{00000002-8081-46FA-ADE2-6294D1DCE202}"/>
            </c:ext>
          </c:extLst>
        </c:ser>
        <c:dLbls>
          <c:showLegendKey val="0"/>
          <c:showVal val="0"/>
          <c:showCatName val="0"/>
          <c:showSerName val="0"/>
          <c:showPercent val="0"/>
          <c:showBubbleSize val="0"/>
        </c:dLbls>
        <c:smooth val="0"/>
        <c:axId val="399532464"/>
        <c:axId val="399534432"/>
      </c:lineChart>
      <c:catAx>
        <c:axId val="39953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534432"/>
        <c:crosses val="autoZero"/>
        <c:auto val="1"/>
        <c:lblAlgn val="ctr"/>
        <c:lblOffset val="100"/>
        <c:noMultiLvlLbl val="0"/>
      </c:catAx>
      <c:valAx>
        <c:axId val="399534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53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uptake'!$AB$59</c:f>
              <c:strCache>
                <c:ptCount val="1"/>
                <c:pt idx="0">
                  <c:v>High</c:v>
                </c:pt>
              </c:strCache>
            </c:strRef>
          </c:tx>
          <c:spPr>
            <a:ln w="28575" cap="rnd">
              <a:solidFill>
                <a:schemeClr val="accent1"/>
              </a:solidFill>
              <a:round/>
            </a:ln>
            <a:effectLst/>
          </c:spPr>
          <c:marker>
            <c:symbol val="none"/>
          </c:marker>
          <c:cat>
            <c:numRef>
              <c:f>'Global EV uptake'!$AA$60:$AA$81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uptake'!$AB$60:$AB$81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1.1062408797231944</c:v>
                </c:pt>
                <c:pt idx="8" formatCode="0.00">
                  <c:v>1.6827509679016321</c:v>
                </c:pt>
                <c:pt idx="9" formatCode="0.00">
                  <c:v>2.942517764433878</c:v>
                </c:pt>
                <c:pt idx="10" formatCode="0.00">
                  <c:v>3.2979505269201228</c:v>
                </c:pt>
                <c:pt idx="11" formatCode="0.00">
                  <c:v>3.8132110600664424</c:v>
                </c:pt>
                <c:pt idx="12" formatCode="0.00">
                  <c:v>4.4414893648263156</c:v>
                </c:pt>
                <c:pt idx="13" formatCode="0.00">
                  <c:v>5.1085001003097004</c:v>
                </c:pt>
                <c:pt idx="14" formatCode="0.00">
                  <c:v>6.0564848898433992</c:v>
                </c:pt>
                <c:pt idx="15" formatCode="0.00">
                  <c:v>7.1960856169922849</c:v>
                </c:pt>
                <c:pt idx="16" formatCode="0.00">
                  <c:v>8.6148151274481712</c:v>
                </c:pt>
                <c:pt idx="17" formatCode="0.00">
                  <c:v>10.291557081869678</c:v>
                </c:pt>
                <c:pt idx="18" formatCode="0.00">
                  <c:v>12.274920451688768</c:v>
                </c:pt>
                <c:pt idx="19" formatCode="0.00">
                  <c:v>14.54939542070877</c:v>
                </c:pt>
                <c:pt idx="20" formatCode="0.00">
                  <c:v>17.112401410660979</c:v>
                </c:pt>
                <c:pt idx="21" formatCode="0.00">
                  <c:v>19.933661864819953</c:v>
                </c:pt>
              </c:numCache>
            </c:numRef>
          </c:val>
          <c:smooth val="0"/>
          <c:extLst>
            <c:ext xmlns:c16="http://schemas.microsoft.com/office/drawing/2014/chart" uri="{C3380CC4-5D6E-409C-BE32-E72D297353CC}">
              <c16:uniqueId val="{00000000-19DA-4349-9EEA-08CB57F66DE3}"/>
            </c:ext>
          </c:extLst>
        </c:ser>
        <c:ser>
          <c:idx val="1"/>
          <c:order val="1"/>
          <c:tx>
            <c:strRef>
              <c:f>'Global EV uptake'!$AC$59</c:f>
              <c:strCache>
                <c:ptCount val="1"/>
                <c:pt idx="0">
                  <c:v>Medium</c:v>
                </c:pt>
              </c:strCache>
            </c:strRef>
          </c:tx>
          <c:spPr>
            <a:ln w="28575" cap="rnd">
              <a:solidFill>
                <a:schemeClr val="accent2"/>
              </a:solidFill>
              <a:round/>
            </a:ln>
            <a:effectLst/>
          </c:spPr>
          <c:marker>
            <c:symbol val="none"/>
          </c:marker>
          <c:cat>
            <c:numRef>
              <c:f>'Global EV uptake'!$AA$60:$AA$81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uptake'!$AC$60:$AC$81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1.1072272418419415</c:v>
                </c:pt>
                <c:pt idx="8" formatCode="0.00">
                  <c:v>1.6863144153863681</c:v>
                </c:pt>
                <c:pt idx="9" formatCode="0.00">
                  <c:v>2.9704277983043195</c:v>
                </c:pt>
                <c:pt idx="10" formatCode="0.00">
                  <c:v>4.0987302726284458</c:v>
                </c:pt>
                <c:pt idx="11" formatCode="0.00">
                  <c:v>5.6022873763590075</c:v>
                </c:pt>
                <c:pt idx="12" formatCode="0.00">
                  <c:v>7.3073988113108523</c:v>
                </c:pt>
                <c:pt idx="13" formatCode="0.00">
                  <c:v>9.3297898120240692</c:v>
                </c:pt>
                <c:pt idx="14" formatCode="0.00">
                  <c:v>11.837900482697131</c:v>
                </c:pt>
                <c:pt idx="15" formatCode="0.00">
                  <c:v>14.858619238773036</c:v>
                </c:pt>
                <c:pt idx="16" formatCode="0.00">
                  <c:v>18.47526189112704</c:v>
                </c:pt>
                <c:pt idx="17" formatCode="0.00">
                  <c:v>22.587004393801681</c:v>
                </c:pt>
                <c:pt idx="18" formatCode="0.00">
                  <c:v>26.852292423808958</c:v>
                </c:pt>
                <c:pt idx="19" formatCode="0.00">
                  <c:v>31.067154374233752</c:v>
                </c:pt>
                <c:pt idx="20" formatCode="0.00">
                  <c:v>35.04942296543301</c:v>
                </c:pt>
                <c:pt idx="21" formatCode="0.00">
                  <c:v>38.60154762590934</c:v>
                </c:pt>
              </c:numCache>
            </c:numRef>
          </c:val>
          <c:smooth val="0"/>
          <c:extLst>
            <c:ext xmlns:c16="http://schemas.microsoft.com/office/drawing/2014/chart" uri="{C3380CC4-5D6E-409C-BE32-E72D297353CC}">
              <c16:uniqueId val="{00000001-19DA-4349-9EEA-08CB57F66DE3}"/>
            </c:ext>
          </c:extLst>
        </c:ser>
        <c:ser>
          <c:idx val="2"/>
          <c:order val="2"/>
          <c:tx>
            <c:strRef>
              <c:f>'Global EV uptake'!$AD$59</c:f>
              <c:strCache>
                <c:ptCount val="1"/>
                <c:pt idx="0">
                  <c:v>Low</c:v>
                </c:pt>
              </c:strCache>
            </c:strRef>
          </c:tx>
          <c:spPr>
            <a:ln w="28575" cap="rnd">
              <a:solidFill>
                <a:schemeClr val="accent3"/>
              </a:solidFill>
              <a:round/>
            </a:ln>
            <a:effectLst/>
          </c:spPr>
          <c:marker>
            <c:symbol val="none"/>
          </c:marker>
          <c:cat>
            <c:numRef>
              <c:f>'Global EV uptake'!$AA$60:$AA$81</c:f>
              <c:numCache>
                <c:formatCode>General</c:formatCode>
                <c:ptCount val="2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numCache>
            </c:numRef>
          </c:cat>
          <c:val>
            <c:numRef>
              <c:f>'Global EV uptake'!$AD$60:$AD$81</c:f>
              <c:numCache>
                <c:formatCode>General</c:formatCode>
                <c:ptCount val="22"/>
                <c:pt idx="3" formatCode="0.00">
                  <c:v>0.1849769022265482</c:v>
                </c:pt>
                <c:pt idx="4" formatCode="0.00">
                  <c:v>0.32873249437123703</c:v>
                </c:pt>
                <c:pt idx="5" formatCode="0.00">
                  <c:v>0.37136706087038135</c:v>
                </c:pt>
                <c:pt idx="6" formatCode="0.00">
                  <c:v>0.87502757917149587</c:v>
                </c:pt>
                <c:pt idx="7" formatCode="0.00">
                  <c:v>1.1091432808654902</c:v>
                </c:pt>
                <c:pt idx="8" formatCode="0.00">
                  <c:v>1.6924611455163427</c:v>
                </c:pt>
                <c:pt idx="9" formatCode="0.00">
                  <c:v>3.0140857221022825</c:v>
                </c:pt>
                <c:pt idx="10" formatCode="0.00">
                  <c:v>5.1150761472106989</c:v>
                </c:pt>
                <c:pt idx="11" formatCode="0.00">
                  <c:v>7.8319897445433373</c:v>
                </c:pt>
                <c:pt idx="12" formatCode="0.00">
                  <c:v>11.193510661837987</c:v>
                </c:pt>
                <c:pt idx="13" formatCode="0.00">
                  <c:v>14.977053174793459</c:v>
                </c:pt>
                <c:pt idx="14" formatCode="0.00">
                  <c:v>19.5045082964381</c:v>
                </c:pt>
                <c:pt idx="15" formatCode="0.00">
                  <c:v>24.555784239768808</c:v>
                </c:pt>
                <c:pt idx="16" formatCode="0.00">
                  <c:v>29.638783513866535</c:v>
                </c:pt>
                <c:pt idx="17" formatCode="0.00">
                  <c:v>34.357426502518123</c:v>
                </c:pt>
                <c:pt idx="18" formatCode="0.00">
                  <c:v>38.583485310690691</c:v>
                </c:pt>
                <c:pt idx="19" formatCode="0.00">
                  <c:v>42.156478762950613</c:v>
                </c:pt>
                <c:pt idx="20" formatCode="0.00">
                  <c:v>45.024805204531809</c:v>
                </c:pt>
                <c:pt idx="21" formatCode="0.00">
                  <c:v>47.371558434538386</c:v>
                </c:pt>
              </c:numCache>
            </c:numRef>
          </c:val>
          <c:smooth val="0"/>
          <c:extLst>
            <c:ext xmlns:c16="http://schemas.microsoft.com/office/drawing/2014/chart" uri="{C3380CC4-5D6E-409C-BE32-E72D297353CC}">
              <c16:uniqueId val="{00000002-19DA-4349-9EEA-08CB57F66DE3}"/>
            </c:ext>
          </c:extLst>
        </c:ser>
        <c:dLbls>
          <c:showLegendKey val="0"/>
          <c:showVal val="0"/>
          <c:showCatName val="0"/>
          <c:showSerName val="0"/>
          <c:showPercent val="0"/>
          <c:showBubbleSize val="0"/>
        </c:dLbls>
        <c:smooth val="0"/>
        <c:axId val="399449808"/>
        <c:axId val="399450792"/>
      </c:lineChart>
      <c:catAx>
        <c:axId val="39944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450792"/>
        <c:crosses val="autoZero"/>
        <c:auto val="1"/>
        <c:lblAlgn val="ctr"/>
        <c:lblOffset val="100"/>
        <c:noMultiLvlLbl val="0"/>
      </c:catAx>
      <c:valAx>
        <c:axId val="399450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44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47625" cap="rnd">
              <a:solidFill>
                <a:schemeClr val="tx1"/>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uptake'!$B$60:$B$101</c:f>
              <c:numCache>
                <c:formatCode>0.00</c:formatCode>
                <c:ptCount val="42"/>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43E4-4309-8424-D69706F2F2DB}"/>
            </c:ext>
          </c:extLst>
        </c:ser>
        <c:ser>
          <c:idx val="2"/>
          <c:order val="1"/>
          <c:tx>
            <c:strRef>
              <c:f>'Global EV uptake'!$M$59</c:f>
              <c:strCache>
                <c:ptCount val="1"/>
                <c:pt idx="0">
                  <c:v>Global wgt'd-average Cost</c:v>
                </c:pt>
              </c:strCache>
            </c:strRef>
          </c:tx>
          <c:spPr>
            <a:ln w="28575" cap="rnd">
              <a:solidFill>
                <a:schemeClr val="accent3"/>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uptake'!$M$60:$M$101</c:f>
              <c:numCache>
                <c:formatCode>0.00</c:formatCode>
                <c:ptCount val="42"/>
                <c:pt idx="3">
                  <c:v>0.18344858029106895</c:v>
                </c:pt>
                <c:pt idx="4">
                  <c:v>0.32938428213363635</c:v>
                </c:pt>
                <c:pt idx="5">
                  <c:v>0.34731526789226624</c:v>
                </c:pt>
                <c:pt idx="6">
                  <c:v>0.86249918934750402</c:v>
                </c:pt>
                <c:pt idx="7">
                  <c:v>1.0890316595021226</c:v>
                </c:pt>
                <c:pt idx="8">
                  <c:v>1.6337950042679432</c:v>
                </c:pt>
                <c:pt idx="9">
                  <c:v>2.8197459842657282</c:v>
                </c:pt>
                <c:pt idx="10">
                  <c:v>3.9707288844303834</c:v>
                </c:pt>
                <c:pt idx="11">
                  <c:v>5.8583547077187319</c:v>
                </c:pt>
                <c:pt idx="12">
                  <c:v>8.3901660636978104</c:v>
                </c:pt>
                <c:pt idx="13">
                  <c:v>12.06454346669609</c:v>
                </c:pt>
                <c:pt idx="14">
                  <c:v>16.363710488010128</c:v>
                </c:pt>
                <c:pt idx="15">
                  <c:v>21.191656333570652</c:v>
                </c:pt>
                <c:pt idx="16">
                  <c:v>26.005926972009441</c:v>
                </c:pt>
                <c:pt idx="17">
                  <c:v>30.660925115915109</c:v>
                </c:pt>
                <c:pt idx="18">
                  <c:v>34.852959476218651</c:v>
                </c:pt>
                <c:pt idx="19">
                  <c:v>38.551122750194878</c:v>
                </c:pt>
                <c:pt idx="20">
                  <c:v>41.358089804531197</c:v>
                </c:pt>
                <c:pt idx="21">
                  <c:v>43.907399992150125</c:v>
                </c:pt>
                <c:pt idx="22">
                  <c:v>46.105382283769622</c:v>
                </c:pt>
                <c:pt idx="23">
                  <c:v>48.044765597915053</c:v>
                </c:pt>
                <c:pt idx="24">
                  <c:v>49.740397300068658</c:v>
                </c:pt>
                <c:pt idx="25">
                  <c:v>51.30404003227693</c:v>
                </c:pt>
                <c:pt idx="26">
                  <c:v>52.741189369797965</c:v>
                </c:pt>
                <c:pt idx="27">
                  <c:v>54.071010685251679</c:v>
                </c:pt>
                <c:pt idx="28">
                  <c:v>55.299116450279939</c:v>
                </c:pt>
                <c:pt idx="29">
                  <c:v>56.428380292557392</c:v>
                </c:pt>
                <c:pt idx="30">
                  <c:v>57.460553255254247</c:v>
                </c:pt>
                <c:pt idx="31">
                  <c:v>58.397623689257657</c:v>
                </c:pt>
                <c:pt idx="32">
                  <c:v>59.242578342800115</c:v>
                </c:pt>
                <c:pt idx="33">
                  <c:v>59.99959391616774</c:v>
                </c:pt>
                <c:pt idx="34">
                  <c:v>60.673854190123969</c:v>
                </c:pt>
                <c:pt idx="35">
                  <c:v>61.271205021818318</c:v>
                </c:pt>
                <c:pt idx="36">
                  <c:v>61.797802420976311</c:v>
                </c:pt>
                <c:pt idx="37">
                  <c:v>62.259834600803849</c:v>
                </c:pt>
                <c:pt idx="38">
                  <c:v>62.663338943690583</c:v>
                </c:pt>
                <c:pt idx="39">
                  <c:v>63.014099618872677</c:v>
                </c:pt>
                <c:pt idx="40">
                  <c:v>63.317607984887957</c:v>
                </c:pt>
                <c:pt idx="41">
                  <c:v>63.578999630943201</c:v>
                </c:pt>
              </c:numCache>
            </c:numRef>
          </c:val>
          <c:smooth val="0"/>
          <c:extLst>
            <c:ext xmlns:c16="http://schemas.microsoft.com/office/drawing/2014/chart" uri="{C3380CC4-5D6E-409C-BE32-E72D297353CC}">
              <c16:uniqueId val="{00000001-43E4-4309-8424-D69706F2F2DB}"/>
            </c:ext>
          </c:extLst>
        </c:ser>
        <c:ser>
          <c:idx val="3"/>
          <c:order val="2"/>
          <c:tx>
            <c:strRef>
              <c:f>'Global EV uptake'!$N$59</c:f>
              <c:strCache>
                <c:ptCount val="1"/>
                <c:pt idx="0">
                  <c:v>Global wgt'd-average raw</c:v>
                </c:pt>
              </c:strCache>
            </c:strRef>
          </c:tx>
          <c:spPr>
            <a:ln w="28575" cap="rnd">
              <a:solidFill>
                <a:schemeClr val="accent4"/>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uptake'!$N$60:$N$101</c:f>
              <c:numCache>
                <c:formatCode>0.00</c:formatCode>
                <c:ptCount val="42"/>
                <c:pt idx="3">
                  <c:v>0.19742896786263009</c:v>
                </c:pt>
                <c:pt idx="4">
                  <c:v>0.30807396253795266</c:v>
                </c:pt>
                <c:pt idx="5">
                  <c:v>0.5325480130388569</c:v>
                </c:pt>
                <c:pt idx="6">
                  <c:v>0.86634722717182222</c:v>
                </c:pt>
                <c:pt idx="7">
                  <c:v>1.1457339936254038</c:v>
                </c:pt>
                <c:pt idx="8">
                  <c:v>1.7654718984525768</c:v>
                </c:pt>
                <c:pt idx="9">
                  <c:v>3.0261971511893462</c:v>
                </c:pt>
                <c:pt idx="10">
                  <c:v>4.3181453316148639</c:v>
                </c:pt>
                <c:pt idx="11">
                  <c:v>6.2277642321398616</c:v>
                </c:pt>
                <c:pt idx="12">
                  <c:v>9.0000056862900859</c:v>
                </c:pt>
                <c:pt idx="13">
                  <c:v>12.612086342576424</c:v>
                </c:pt>
                <c:pt idx="14">
                  <c:v>16.944267558631779</c:v>
                </c:pt>
                <c:pt idx="15">
                  <c:v>21.65753677109134</c:v>
                </c:pt>
                <c:pt idx="16">
                  <c:v>26.313825613949518</c:v>
                </c:pt>
                <c:pt idx="17">
                  <c:v>30.579755913422385</c:v>
                </c:pt>
                <c:pt idx="18">
                  <c:v>34.327979651839698</c:v>
                </c:pt>
                <c:pt idx="19">
                  <c:v>37.590793684085092</c:v>
                </c:pt>
                <c:pt idx="20">
                  <c:v>40.460638813121619</c:v>
                </c:pt>
                <c:pt idx="21">
                  <c:v>43.019982341523594</c:v>
                </c:pt>
                <c:pt idx="22">
                  <c:v>45.320368315976893</c:v>
                </c:pt>
                <c:pt idx="23">
                  <c:v>47.391542179290909</c:v>
                </c:pt>
                <c:pt idx="24">
                  <c:v>49.255550770668528</c:v>
                </c:pt>
                <c:pt idx="25">
                  <c:v>50.933568446480685</c:v>
                </c:pt>
                <c:pt idx="26">
                  <c:v>52.446124890721514</c:v>
                </c:pt>
                <c:pt idx="27">
                  <c:v>53.811419459141646</c:v>
                </c:pt>
                <c:pt idx="28">
                  <c:v>55.044521212924373</c:v>
                </c:pt>
                <c:pt idx="29">
                  <c:v>56.157785784357571</c:v>
                </c:pt>
                <c:pt idx="30">
                  <c:v>57.16178389210107</c:v>
                </c:pt>
                <c:pt idx="31">
                  <c:v>58.066093688356332</c:v>
                </c:pt>
                <c:pt idx="32">
                  <c:v>58.879702611694988</c:v>
                </c:pt>
                <c:pt idx="33">
                  <c:v>59.611067675104572</c:v>
                </c:pt>
                <c:pt idx="34">
                  <c:v>60.268000408259837</c:v>
                </c:pt>
                <c:pt idx="35">
                  <c:v>60.857530446297353</c:v>
                </c:pt>
                <c:pt idx="36">
                  <c:v>61.385838838999597</c:v>
                </c:pt>
                <c:pt idx="37">
                  <c:v>61.858289197192519</c:v>
                </c:pt>
                <c:pt idx="38">
                  <c:v>62.27954175442342</c:v>
                </c:pt>
                <c:pt idx="39">
                  <c:v>62.653714399560087</c:v>
                </c:pt>
                <c:pt idx="40">
                  <c:v>62.984551064136966</c:v>
                </c:pt>
                <c:pt idx="41">
                  <c:v>63.275565489357412</c:v>
                </c:pt>
              </c:numCache>
            </c:numRef>
          </c:val>
          <c:smooth val="0"/>
          <c:extLst>
            <c:ext xmlns:c16="http://schemas.microsoft.com/office/drawing/2014/chart" uri="{C3380CC4-5D6E-409C-BE32-E72D297353CC}">
              <c16:uniqueId val="{00000002-43E4-4309-8424-D69706F2F2DB}"/>
            </c:ext>
          </c:extLst>
        </c:ser>
        <c:dLbls>
          <c:showLegendKey val="0"/>
          <c:showVal val="0"/>
          <c:showCatName val="0"/>
          <c:showSerName val="0"/>
          <c:showPercent val="0"/>
          <c:showBubbleSize val="0"/>
        </c:dLbls>
        <c:smooth val="0"/>
        <c:axId val="825689544"/>
        <c:axId val="825695120"/>
      </c:lineChart>
      <c:catAx>
        <c:axId val="82568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95120"/>
        <c:crosses val="autoZero"/>
        <c:auto val="1"/>
        <c:lblAlgn val="ctr"/>
        <c:lblOffset val="100"/>
        <c:noMultiLvlLbl val="0"/>
      </c:catAx>
      <c:valAx>
        <c:axId val="82569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96475541165826E-2"/>
              <c:y val="0.3098191651663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8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47625" cap="rnd">
              <a:solidFill>
                <a:schemeClr val="tx1"/>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uptake'!$B$60:$B$101</c:f>
              <c:numCache>
                <c:formatCode>0.00</c:formatCode>
                <c:ptCount val="42"/>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85F9-4257-84C6-F005CC219BEA}"/>
            </c:ext>
          </c:extLst>
        </c:ser>
        <c:ser>
          <c:idx val="2"/>
          <c:order val="1"/>
          <c:tx>
            <c:strRef>
              <c:f>'Global EV uptake'!$M$59</c:f>
              <c:strCache>
                <c:ptCount val="1"/>
                <c:pt idx="0">
                  <c:v>Global wgt'd-average Cost</c:v>
                </c:pt>
              </c:strCache>
            </c:strRef>
          </c:tx>
          <c:spPr>
            <a:ln w="28575" cap="rnd">
              <a:solidFill>
                <a:schemeClr val="accent3"/>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uptake'!$M$60:$M$101</c:f>
              <c:numCache>
                <c:formatCode>0.00</c:formatCode>
                <c:ptCount val="42"/>
                <c:pt idx="3">
                  <c:v>0.18344858029106895</c:v>
                </c:pt>
                <c:pt idx="4">
                  <c:v>0.32938428213363635</c:v>
                </c:pt>
                <c:pt idx="5">
                  <c:v>0.34731526789226624</c:v>
                </c:pt>
                <c:pt idx="6">
                  <c:v>0.86249918934750402</c:v>
                </c:pt>
                <c:pt idx="7">
                  <c:v>1.0890316595021226</c:v>
                </c:pt>
                <c:pt idx="8">
                  <c:v>1.6337950042679432</c:v>
                </c:pt>
                <c:pt idx="9">
                  <c:v>2.8197459842657282</c:v>
                </c:pt>
                <c:pt idx="10">
                  <c:v>3.9707288844303834</c:v>
                </c:pt>
                <c:pt idx="11">
                  <c:v>5.8583547077187319</c:v>
                </c:pt>
                <c:pt idx="12">
                  <c:v>8.3901660636978104</c:v>
                </c:pt>
                <c:pt idx="13">
                  <c:v>12.06454346669609</c:v>
                </c:pt>
                <c:pt idx="14">
                  <c:v>16.363710488010128</c:v>
                </c:pt>
                <c:pt idx="15">
                  <c:v>21.191656333570652</c:v>
                </c:pt>
                <c:pt idx="16">
                  <c:v>26.005926972009441</c:v>
                </c:pt>
                <c:pt idx="17">
                  <c:v>30.660925115915109</c:v>
                </c:pt>
                <c:pt idx="18">
                  <c:v>34.852959476218651</c:v>
                </c:pt>
                <c:pt idx="19">
                  <c:v>38.551122750194878</c:v>
                </c:pt>
                <c:pt idx="20">
                  <c:v>41.358089804531197</c:v>
                </c:pt>
                <c:pt idx="21">
                  <c:v>43.907399992150125</c:v>
                </c:pt>
                <c:pt idx="22">
                  <c:v>46.105382283769622</c:v>
                </c:pt>
                <c:pt idx="23">
                  <c:v>48.044765597915053</c:v>
                </c:pt>
                <c:pt idx="24">
                  <c:v>49.740397300068658</c:v>
                </c:pt>
                <c:pt idx="25">
                  <c:v>51.30404003227693</c:v>
                </c:pt>
                <c:pt idx="26">
                  <c:v>52.741189369797965</c:v>
                </c:pt>
                <c:pt idx="27">
                  <c:v>54.071010685251679</c:v>
                </c:pt>
                <c:pt idx="28">
                  <c:v>55.299116450279939</c:v>
                </c:pt>
                <c:pt idx="29">
                  <c:v>56.428380292557392</c:v>
                </c:pt>
                <c:pt idx="30">
                  <c:v>57.460553255254247</c:v>
                </c:pt>
                <c:pt idx="31">
                  <c:v>58.397623689257657</c:v>
                </c:pt>
                <c:pt idx="32">
                  <c:v>59.242578342800115</c:v>
                </c:pt>
                <c:pt idx="33">
                  <c:v>59.99959391616774</c:v>
                </c:pt>
                <c:pt idx="34">
                  <c:v>60.673854190123969</c:v>
                </c:pt>
                <c:pt idx="35">
                  <c:v>61.271205021818318</c:v>
                </c:pt>
                <c:pt idx="36">
                  <c:v>61.797802420976311</c:v>
                </c:pt>
                <c:pt idx="37">
                  <c:v>62.259834600803849</c:v>
                </c:pt>
                <c:pt idx="38">
                  <c:v>62.663338943690583</c:v>
                </c:pt>
                <c:pt idx="39">
                  <c:v>63.014099618872677</c:v>
                </c:pt>
                <c:pt idx="40">
                  <c:v>63.317607984887957</c:v>
                </c:pt>
                <c:pt idx="41">
                  <c:v>63.578999630943201</c:v>
                </c:pt>
              </c:numCache>
            </c:numRef>
          </c:val>
          <c:smooth val="0"/>
          <c:extLst>
            <c:ext xmlns:c16="http://schemas.microsoft.com/office/drawing/2014/chart" uri="{C3380CC4-5D6E-409C-BE32-E72D297353CC}">
              <c16:uniqueId val="{00000001-85F9-4257-84C6-F005CC219BEA}"/>
            </c:ext>
          </c:extLst>
        </c:ser>
        <c:ser>
          <c:idx val="3"/>
          <c:order val="2"/>
          <c:tx>
            <c:strRef>
              <c:f>'Global EV uptake'!$N$59</c:f>
              <c:strCache>
                <c:ptCount val="1"/>
                <c:pt idx="0">
                  <c:v>Global wgt'd-average raw</c:v>
                </c:pt>
              </c:strCache>
            </c:strRef>
          </c:tx>
          <c:spPr>
            <a:ln w="28575" cap="rnd">
              <a:solidFill>
                <a:schemeClr val="accent4"/>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uptake'!$N$60:$N$101</c:f>
              <c:numCache>
                <c:formatCode>0.00</c:formatCode>
                <c:ptCount val="42"/>
                <c:pt idx="3">
                  <c:v>0.19742896786263009</c:v>
                </c:pt>
                <c:pt idx="4">
                  <c:v>0.30807396253795266</c:v>
                </c:pt>
                <c:pt idx="5">
                  <c:v>0.5325480130388569</c:v>
                </c:pt>
                <c:pt idx="6">
                  <c:v>0.86634722717182222</c:v>
                </c:pt>
                <c:pt idx="7">
                  <c:v>1.1457339936254038</c:v>
                </c:pt>
                <c:pt idx="8">
                  <c:v>1.7654718984525768</c:v>
                </c:pt>
                <c:pt idx="9">
                  <c:v>3.0261971511893462</c:v>
                </c:pt>
                <c:pt idx="10">
                  <c:v>4.3181453316148639</c:v>
                </c:pt>
                <c:pt idx="11">
                  <c:v>6.2277642321398616</c:v>
                </c:pt>
                <c:pt idx="12">
                  <c:v>9.0000056862900859</c:v>
                </c:pt>
                <c:pt idx="13">
                  <c:v>12.612086342576424</c:v>
                </c:pt>
                <c:pt idx="14">
                  <c:v>16.944267558631779</c:v>
                </c:pt>
                <c:pt idx="15">
                  <c:v>21.65753677109134</c:v>
                </c:pt>
                <c:pt idx="16">
                  <c:v>26.313825613949518</c:v>
                </c:pt>
                <c:pt idx="17">
                  <c:v>30.579755913422385</c:v>
                </c:pt>
                <c:pt idx="18">
                  <c:v>34.327979651839698</c:v>
                </c:pt>
                <c:pt idx="19">
                  <c:v>37.590793684085092</c:v>
                </c:pt>
                <c:pt idx="20">
                  <c:v>40.460638813121619</c:v>
                </c:pt>
                <c:pt idx="21">
                  <c:v>43.019982341523594</c:v>
                </c:pt>
                <c:pt idx="22">
                  <c:v>45.320368315976893</c:v>
                </c:pt>
                <c:pt idx="23">
                  <c:v>47.391542179290909</c:v>
                </c:pt>
                <c:pt idx="24">
                  <c:v>49.255550770668528</c:v>
                </c:pt>
                <c:pt idx="25">
                  <c:v>50.933568446480685</c:v>
                </c:pt>
                <c:pt idx="26">
                  <c:v>52.446124890721514</c:v>
                </c:pt>
                <c:pt idx="27">
                  <c:v>53.811419459141646</c:v>
                </c:pt>
                <c:pt idx="28">
                  <c:v>55.044521212924373</c:v>
                </c:pt>
                <c:pt idx="29">
                  <c:v>56.157785784357571</c:v>
                </c:pt>
                <c:pt idx="30">
                  <c:v>57.16178389210107</c:v>
                </c:pt>
                <c:pt idx="31">
                  <c:v>58.066093688356332</c:v>
                </c:pt>
                <c:pt idx="32">
                  <c:v>58.879702611694988</c:v>
                </c:pt>
                <c:pt idx="33">
                  <c:v>59.611067675104572</c:v>
                </c:pt>
                <c:pt idx="34">
                  <c:v>60.268000408259837</c:v>
                </c:pt>
                <c:pt idx="35">
                  <c:v>60.857530446297353</c:v>
                </c:pt>
                <c:pt idx="36">
                  <c:v>61.385838838999597</c:v>
                </c:pt>
                <c:pt idx="37">
                  <c:v>61.858289197192519</c:v>
                </c:pt>
                <c:pt idx="38">
                  <c:v>62.27954175442342</c:v>
                </c:pt>
                <c:pt idx="39">
                  <c:v>62.653714399560087</c:v>
                </c:pt>
                <c:pt idx="40">
                  <c:v>62.984551064136966</c:v>
                </c:pt>
                <c:pt idx="41">
                  <c:v>63.275565489357412</c:v>
                </c:pt>
              </c:numCache>
            </c:numRef>
          </c:val>
          <c:smooth val="0"/>
          <c:extLst>
            <c:ext xmlns:c16="http://schemas.microsoft.com/office/drawing/2014/chart" uri="{C3380CC4-5D6E-409C-BE32-E72D297353CC}">
              <c16:uniqueId val="{00000002-85F9-4257-84C6-F005CC219BEA}"/>
            </c:ext>
          </c:extLst>
        </c:ser>
        <c:ser>
          <c:idx val="1"/>
          <c:order val="3"/>
          <c:tx>
            <c:strRef>
              <c:f>'Global EV uptake'!$L$59</c:f>
              <c:strCache>
                <c:ptCount val="1"/>
                <c:pt idx="0">
                  <c:v>Global wgt'd-average Cost Lagged</c:v>
                </c:pt>
              </c:strCache>
            </c:strRef>
          </c:tx>
          <c:spPr>
            <a:ln w="28575" cap="rnd">
              <a:solidFill>
                <a:schemeClr val="accent2"/>
              </a:solidFill>
              <a:round/>
            </a:ln>
            <a:effectLst/>
          </c:spPr>
          <c:marker>
            <c:symbol val="none"/>
          </c:marker>
          <c:val>
            <c:numRef>
              <c:f>'Global EV uptake'!$L$60:$L$101</c:f>
              <c:numCache>
                <c:formatCode>0.00</c:formatCode>
                <c:ptCount val="42"/>
                <c:pt idx="3">
                  <c:v>0.1849769022265482</c:v>
                </c:pt>
                <c:pt idx="4">
                  <c:v>0.32873249437123703</c:v>
                </c:pt>
                <c:pt idx="5">
                  <c:v>0.37136706087038135</c:v>
                </c:pt>
                <c:pt idx="6">
                  <c:v>0.87502757917149587</c:v>
                </c:pt>
                <c:pt idx="7">
                  <c:v>1.1072272418419415</c:v>
                </c:pt>
                <c:pt idx="8">
                  <c:v>1.6863144153863681</c:v>
                </c:pt>
                <c:pt idx="9">
                  <c:v>2.9704277983043195</c:v>
                </c:pt>
                <c:pt idx="10">
                  <c:v>4.0987302726284458</c:v>
                </c:pt>
                <c:pt idx="11">
                  <c:v>5.6022873763590075</c:v>
                </c:pt>
                <c:pt idx="12">
                  <c:v>7.3073988113108523</c:v>
                </c:pt>
                <c:pt idx="13">
                  <c:v>9.3297898120240692</c:v>
                </c:pt>
                <c:pt idx="14">
                  <c:v>11.837900482697131</c:v>
                </c:pt>
                <c:pt idx="15">
                  <c:v>14.858619238773036</c:v>
                </c:pt>
                <c:pt idx="16">
                  <c:v>18.47526189112704</c:v>
                </c:pt>
                <c:pt idx="17">
                  <c:v>22.587004393801681</c:v>
                </c:pt>
                <c:pt idx="18">
                  <c:v>26.852292423808958</c:v>
                </c:pt>
                <c:pt idx="19">
                  <c:v>31.067154374233752</c:v>
                </c:pt>
                <c:pt idx="20">
                  <c:v>35.04942296543301</c:v>
                </c:pt>
                <c:pt idx="21">
                  <c:v>38.60154762590934</c:v>
                </c:pt>
                <c:pt idx="22">
                  <c:v>41.540658864158374</c:v>
                </c:pt>
                <c:pt idx="23">
                  <c:v>44.09849480726038</c:v>
                </c:pt>
                <c:pt idx="24">
                  <c:v>46.33157137341756</c:v>
                </c:pt>
                <c:pt idx="25">
                  <c:v>48.291370532677817</c:v>
                </c:pt>
                <c:pt idx="26">
                  <c:v>50.030031118090278</c:v>
                </c:pt>
                <c:pt idx="27">
                  <c:v>51.626966901800692</c:v>
                </c:pt>
                <c:pt idx="28">
                  <c:v>53.111359597129614</c:v>
                </c:pt>
                <c:pt idx="29">
                  <c:v>54.481023722481837</c:v>
                </c:pt>
                <c:pt idx="30">
                  <c:v>55.739535776188426</c:v>
                </c:pt>
                <c:pt idx="31">
                  <c:v>56.886654280162716</c:v>
                </c:pt>
                <c:pt idx="32">
                  <c:v>57.924062420675625</c:v>
                </c:pt>
                <c:pt idx="33">
                  <c:v>58.855310279062493</c:v>
                </c:pt>
                <c:pt idx="34">
                  <c:v>59.6856717339844</c:v>
                </c:pt>
                <c:pt idx="35">
                  <c:v>60.421650848044266</c:v>
                </c:pt>
                <c:pt idx="36">
                  <c:v>61.070140407745981</c:v>
                </c:pt>
                <c:pt idx="37">
                  <c:v>61.638713137976019</c:v>
                </c:pt>
                <c:pt idx="38">
                  <c:v>62.13457860755414</c:v>
                </c:pt>
                <c:pt idx="39">
                  <c:v>62.565045337886176</c:v>
                </c:pt>
                <c:pt idx="40">
                  <c:v>62.933366902690544</c:v>
                </c:pt>
                <c:pt idx="41">
                  <c:v>63.242554892661005</c:v>
                </c:pt>
              </c:numCache>
            </c:numRef>
          </c:val>
          <c:smooth val="0"/>
          <c:extLst>
            <c:ext xmlns:c16="http://schemas.microsoft.com/office/drawing/2014/chart" uri="{C3380CC4-5D6E-409C-BE32-E72D297353CC}">
              <c16:uniqueId val="{00000003-85F9-4257-84C6-F005CC219BEA}"/>
            </c:ext>
          </c:extLst>
        </c:ser>
        <c:dLbls>
          <c:showLegendKey val="0"/>
          <c:showVal val="0"/>
          <c:showCatName val="0"/>
          <c:showSerName val="0"/>
          <c:showPercent val="0"/>
          <c:showBubbleSize val="0"/>
        </c:dLbls>
        <c:smooth val="0"/>
        <c:axId val="825689544"/>
        <c:axId val="825695120"/>
      </c:lineChart>
      <c:catAx>
        <c:axId val="82568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95120"/>
        <c:crosses val="autoZero"/>
        <c:auto val="1"/>
        <c:lblAlgn val="ctr"/>
        <c:lblOffset val="100"/>
        <c:noMultiLvlLbl val="0"/>
      </c:catAx>
      <c:valAx>
        <c:axId val="82569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96475541165826E-2"/>
              <c:y val="0.3098191651663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8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47625" cap="rnd">
              <a:solidFill>
                <a:schemeClr val="tx1"/>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uptake'!$B$60:$B$101</c:f>
              <c:numCache>
                <c:formatCode>0.00</c:formatCode>
                <c:ptCount val="42"/>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7950-4186-8EDE-4505BC5B4388}"/>
            </c:ext>
          </c:extLst>
        </c:ser>
        <c:ser>
          <c:idx val="1"/>
          <c:order val="1"/>
          <c:tx>
            <c:strRef>
              <c:f>'Global EV uptake'!$L$59</c:f>
              <c:strCache>
                <c:ptCount val="1"/>
                <c:pt idx="0">
                  <c:v>Global wgt'd-average Cost Lagged</c:v>
                </c:pt>
              </c:strCache>
            </c:strRef>
          </c:tx>
          <c:spPr>
            <a:ln w="28575" cap="rnd">
              <a:solidFill>
                <a:schemeClr val="accent2"/>
              </a:solidFill>
              <a:round/>
            </a:ln>
            <a:effectLst/>
          </c:spPr>
          <c:marker>
            <c:symbol val="none"/>
          </c:marker>
          <c:val>
            <c:numRef>
              <c:f>'Global EV uptake'!$L$60:$L$101</c:f>
              <c:numCache>
                <c:formatCode>0.00</c:formatCode>
                <c:ptCount val="42"/>
                <c:pt idx="3">
                  <c:v>0.1849769022265482</c:v>
                </c:pt>
                <c:pt idx="4">
                  <c:v>0.32873249437123703</c:v>
                </c:pt>
                <c:pt idx="5">
                  <c:v>0.37136706087038135</c:v>
                </c:pt>
                <c:pt idx="6">
                  <c:v>0.87502757917149587</c:v>
                </c:pt>
                <c:pt idx="7">
                  <c:v>1.1072272418419415</c:v>
                </c:pt>
                <c:pt idx="8">
                  <c:v>1.6863144153863681</c:v>
                </c:pt>
                <c:pt idx="9">
                  <c:v>2.9704277983043195</c:v>
                </c:pt>
                <c:pt idx="10">
                  <c:v>4.0987302726284458</c:v>
                </c:pt>
                <c:pt idx="11">
                  <c:v>5.6022873763590075</c:v>
                </c:pt>
                <c:pt idx="12">
                  <c:v>7.3073988113108523</c:v>
                </c:pt>
                <c:pt idx="13">
                  <c:v>9.3297898120240692</c:v>
                </c:pt>
                <c:pt idx="14">
                  <c:v>11.837900482697131</c:v>
                </c:pt>
                <c:pt idx="15">
                  <c:v>14.858619238773036</c:v>
                </c:pt>
                <c:pt idx="16">
                  <c:v>18.47526189112704</c:v>
                </c:pt>
                <c:pt idx="17">
                  <c:v>22.587004393801681</c:v>
                </c:pt>
                <c:pt idx="18">
                  <c:v>26.852292423808958</c:v>
                </c:pt>
                <c:pt idx="19">
                  <c:v>31.067154374233752</c:v>
                </c:pt>
                <c:pt idx="20">
                  <c:v>35.04942296543301</c:v>
                </c:pt>
                <c:pt idx="21">
                  <c:v>38.60154762590934</c:v>
                </c:pt>
                <c:pt idx="22">
                  <c:v>41.540658864158374</c:v>
                </c:pt>
                <c:pt idx="23">
                  <c:v>44.09849480726038</c:v>
                </c:pt>
                <c:pt idx="24">
                  <c:v>46.33157137341756</c:v>
                </c:pt>
                <c:pt idx="25">
                  <c:v>48.291370532677817</c:v>
                </c:pt>
                <c:pt idx="26">
                  <c:v>50.030031118090278</c:v>
                </c:pt>
                <c:pt idx="27">
                  <c:v>51.626966901800692</c:v>
                </c:pt>
                <c:pt idx="28">
                  <c:v>53.111359597129614</c:v>
                </c:pt>
                <c:pt idx="29">
                  <c:v>54.481023722481837</c:v>
                </c:pt>
                <c:pt idx="30">
                  <c:v>55.739535776188426</c:v>
                </c:pt>
                <c:pt idx="31">
                  <c:v>56.886654280162716</c:v>
                </c:pt>
                <c:pt idx="32">
                  <c:v>57.924062420675625</c:v>
                </c:pt>
                <c:pt idx="33">
                  <c:v>58.855310279062493</c:v>
                </c:pt>
                <c:pt idx="34">
                  <c:v>59.6856717339844</c:v>
                </c:pt>
                <c:pt idx="35">
                  <c:v>60.421650848044266</c:v>
                </c:pt>
                <c:pt idx="36">
                  <c:v>61.070140407745981</c:v>
                </c:pt>
                <c:pt idx="37">
                  <c:v>61.638713137976019</c:v>
                </c:pt>
                <c:pt idx="38">
                  <c:v>62.13457860755414</c:v>
                </c:pt>
                <c:pt idx="39">
                  <c:v>62.565045337886176</c:v>
                </c:pt>
                <c:pt idx="40">
                  <c:v>62.933366902690544</c:v>
                </c:pt>
                <c:pt idx="41">
                  <c:v>63.242554892661005</c:v>
                </c:pt>
              </c:numCache>
            </c:numRef>
          </c:val>
          <c:smooth val="0"/>
          <c:extLst>
            <c:ext xmlns:c16="http://schemas.microsoft.com/office/drawing/2014/chart" uri="{C3380CC4-5D6E-409C-BE32-E72D297353CC}">
              <c16:uniqueId val="{00000003-7950-4186-8EDE-4505BC5B4388}"/>
            </c:ext>
          </c:extLst>
        </c:ser>
        <c:dLbls>
          <c:showLegendKey val="0"/>
          <c:showVal val="0"/>
          <c:showCatName val="0"/>
          <c:showSerName val="0"/>
          <c:showPercent val="0"/>
          <c:showBubbleSize val="0"/>
        </c:dLbls>
        <c:smooth val="0"/>
        <c:axId val="825689544"/>
        <c:axId val="825695120"/>
      </c:lineChart>
      <c:catAx>
        <c:axId val="82568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95120"/>
        <c:crosses val="autoZero"/>
        <c:auto val="1"/>
        <c:lblAlgn val="ctr"/>
        <c:lblOffset val="100"/>
        <c:noMultiLvlLbl val="0"/>
      </c:catAx>
      <c:valAx>
        <c:axId val="82569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96475541165826E-2"/>
              <c:y val="0.3098191651663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8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'Global EV uptake'!$B$59</c:f>
              <c:strCache>
                <c:ptCount val="1"/>
                <c:pt idx="0">
                  <c:v>  global EV%</c:v>
                </c:pt>
              </c:strCache>
            </c:strRef>
          </c:tx>
          <c:spPr>
            <a:ln w="47625" cap="rnd">
              <a:solidFill>
                <a:schemeClr val="tx1"/>
              </a:solidFill>
              <a:round/>
            </a:ln>
            <a:effectLst/>
          </c:spPr>
          <c:marker>
            <c:symbol val="none"/>
          </c:marker>
          <c:cat>
            <c:numRef>
              <c:f>'Global EV uptake'!$A$60:$A$101</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formatCode="0">
                  <c:v>2025</c:v>
                </c:pt>
                <c:pt idx="17" formatCode="0">
                  <c:v>2026</c:v>
                </c:pt>
                <c:pt idx="18" formatCode="0">
                  <c:v>2027</c:v>
                </c:pt>
                <c:pt idx="19" formatCode="0">
                  <c:v>2028</c:v>
                </c:pt>
                <c:pt idx="20" formatCode="0">
                  <c:v>2029</c:v>
                </c:pt>
                <c:pt idx="21" formatCode="0">
                  <c:v>2030</c:v>
                </c:pt>
                <c:pt idx="22" formatCode="0">
                  <c:v>2031</c:v>
                </c:pt>
                <c:pt idx="23" formatCode="0">
                  <c:v>2032</c:v>
                </c:pt>
                <c:pt idx="24" formatCode="0">
                  <c:v>2033</c:v>
                </c:pt>
                <c:pt idx="25" formatCode="0">
                  <c:v>2034</c:v>
                </c:pt>
                <c:pt idx="26" formatCode="0">
                  <c:v>2035</c:v>
                </c:pt>
                <c:pt idx="27" formatCode="0">
                  <c:v>2036</c:v>
                </c:pt>
                <c:pt idx="28" formatCode="0">
                  <c:v>2037</c:v>
                </c:pt>
                <c:pt idx="29" formatCode="0">
                  <c:v>2038</c:v>
                </c:pt>
                <c:pt idx="30" formatCode="0">
                  <c:v>2039</c:v>
                </c:pt>
                <c:pt idx="31" formatCode="0">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'Global EV uptake'!$B$60:$B$101</c:f>
              <c:numCache>
                <c:formatCode>0.00</c:formatCode>
                <c:ptCount val="42"/>
                <c:pt idx="0">
                  <c:v>9.0944063654437145E-3</c:v>
                </c:pt>
                <c:pt idx="1">
                  <c:v>1.6964627629336562E-2</c:v>
                </c:pt>
                <c:pt idx="2">
                  <c:v>0.10234351891729328</c:v>
                </c:pt>
                <c:pt idx="3">
                  <c:v>0.23522435592921317</c:v>
                </c:pt>
                <c:pt idx="4">
                  <c:v>0.38403986642724675</c:v>
                </c:pt>
                <c:pt idx="5">
                  <c:v>0.57247293705754376</c:v>
                </c:pt>
                <c:pt idx="6">
                  <c:v>0.90247796151091464</c:v>
                </c:pt>
                <c:pt idx="7">
                  <c:v>1.1362386310898671</c:v>
                </c:pt>
                <c:pt idx="8">
                  <c:v>1.6633518305579627</c:v>
                </c:pt>
                <c:pt idx="9">
                  <c:v>2.8604156566476502</c:v>
                </c:pt>
              </c:numCache>
            </c:numRef>
          </c:val>
          <c:smooth val="0"/>
          <c:extLst>
            <c:ext xmlns:c16="http://schemas.microsoft.com/office/drawing/2014/chart" uri="{C3380CC4-5D6E-409C-BE32-E72D297353CC}">
              <c16:uniqueId val="{00000000-9607-4539-B44D-6829B929968A}"/>
            </c:ext>
          </c:extLst>
        </c:ser>
        <c:ser>
          <c:idx val="1"/>
          <c:order val="1"/>
          <c:tx>
            <c:strRef>
              <c:f>'Global EV uptake'!$L$59</c:f>
              <c:strCache>
                <c:ptCount val="1"/>
                <c:pt idx="0">
                  <c:v>Global wgt'd-average Cost Lagged</c:v>
                </c:pt>
              </c:strCache>
            </c:strRef>
          </c:tx>
          <c:spPr>
            <a:ln w="28575" cap="rnd">
              <a:solidFill>
                <a:schemeClr val="accent2"/>
              </a:solidFill>
              <a:round/>
            </a:ln>
            <a:effectLst/>
          </c:spPr>
          <c:marker>
            <c:symbol val="none"/>
          </c:marker>
          <c:val>
            <c:numRef>
              <c:f>'Global EV uptake'!$L$60:$L$101</c:f>
              <c:numCache>
                <c:formatCode>0.00</c:formatCode>
                <c:ptCount val="42"/>
                <c:pt idx="3">
                  <c:v>0.1849769022265482</c:v>
                </c:pt>
                <c:pt idx="4">
                  <c:v>0.32873249437123703</c:v>
                </c:pt>
                <c:pt idx="5">
                  <c:v>0.37136706087038135</c:v>
                </c:pt>
                <c:pt idx="6">
                  <c:v>0.87502757917149587</c:v>
                </c:pt>
                <c:pt idx="7">
                  <c:v>1.1072272418419415</c:v>
                </c:pt>
                <c:pt idx="8">
                  <c:v>1.6863144153863681</c:v>
                </c:pt>
                <c:pt idx="9">
                  <c:v>2.9704277983043195</c:v>
                </c:pt>
                <c:pt idx="10">
                  <c:v>4.0987302726284458</c:v>
                </c:pt>
                <c:pt idx="11">
                  <c:v>5.6022873763590075</c:v>
                </c:pt>
                <c:pt idx="12">
                  <c:v>7.3073988113108523</c:v>
                </c:pt>
                <c:pt idx="13">
                  <c:v>9.3297898120240692</c:v>
                </c:pt>
                <c:pt idx="14">
                  <c:v>11.837900482697131</c:v>
                </c:pt>
                <c:pt idx="15">
                  <c:v>14.858619238773036</c:v>
                </c:pt>
                <c:pt idx="16">
                  <c:v>18.47526189112704</c:v>
                </c:pt>
                <c:pt idx="17">
                  <c:v>22.587004393801681</c:v>
                </c:pt>
                <c:pt idx="18">
                  <c:v>26.852292423808958</c:v>
                </c:pt>
                <c:pt idx="19">
                  <c:v>31.067154374233752</c:v>
                </c:pt>
                <c:pt idx="20">
                  <c:v>35.04942296543301</c:v>
                </c:pt>
                <c:pt idx="21">
                  <c:v>38.60154762590934</c:v>
                </c:pt>
                <c:pt idx="22">
                  <c:v>41.540658864158374</c:v>
                </c:pt>
                <c:pt idx="23">
                  <c:v>44.09849480726038</c:v>
                </c:pt>
                <c:pt idx="24">
                  <c:v>46.33157137341756</c:v>
                </c:pt>
                <c:pt idx="25">
                  <c:v>48.291370532677817</c:v>
                </c:pt>
                <c:pt idx="26">
                  <c:v>50.030031118090278</c:v>
                </c:pt>
                <c:pt idx="27">
                  <c:v>51.626966901800692</c:v>
                </c:pt>
                <c:pt idx="28">
                  <c:v>53.111359597129614</c:v>
                </c:pt>
                <c:pt idx="29">
                  <c:v>54.481023722481837</c:v>
                </c:pt>
                <c:pt idx="30">
                  <c:v>55.739535776188426</c:v>
                </c:pt>
                <c:pt idx="31">
                  <c:v>56.886654280162716</c:v>
                </c:pt>
                <c:pt idx="32">
                  <c:v>57.924062420675625</c:v>
                </c:pt>
                <c:pt idx="33">
                  <c:v>58.855310279062493</c:v>
                </c:pt>
                <c:pt idx="34">
                  <c:v>59.6856717339844</c:v>
                </c:pt>
                <c:pt idx="35">
                  <c:v>60.421650848044266</c:v>
                </c:pt>
                <c:pt idx="36">
                  <c:v>61.070140407745981</c:v>
                </c:pt>
                <c:pt idx="37">
                  <c:v>61.638713137976019</c:v>
                </c:pt>
                <c:pt idx="38">
                  <c:v>62.13457860755414</c:v>
                </c:pt>
                <c:pt idx="39">
                  <c:v>62.565045337886176</c:v>
                </c:pt>
                <c:pt idx="40">
                  <c:v>62.933366902690544</c:v>
                </c:pt>
                <c:pt idx="41">
                  <c:v>63.242554892661005</c:v>
                </c:pt>
              </c:numCache>
            </c:numRef>
          </c:val>
          <c:smooth val="0"/>
          <c:extLst>
            <c:ext xmlns:c16="http://schemas.microsoft.com/office/drawing/2014/chart" uri="{C3380CC4-5D6E-409C-BE32-E72D297353CC}">
              <c16:uniqueId val="{00000001-9607-4539-B44D-6829B929968A}"/>
            </c:ext>
          </c:extLst>
        </c:ser>
        <c:ser>
          <c:idx val="2"/>
          <c:order val="2"/>
          <c:tx>
            <c:strRef>
              <c:f>'Global EV uptake'!$D$59</c:f>
              <c:strCache>
                <c:ptCount val="1"/>
                <c:pt idx="0">
                  <c:v>Global model Cost Lagged</c:v>
                </c:pt>
              </c:strCache>
            </c:strRef>
          </c:tx>
          <c:spPr>
            <a:ln w="28575" cap="rnd">
              <a:solidFill>
                <a:schemeClr val="accent3"/>
              </a:solidFill>
              <a:round/>
            </a:ln>
            <a:effectLst/>
          </c:spPr>
          <c:marker>
            <c:symbol val="none"/>
          </c:marker>
          <c:val>
            <c:numRef>
              <c:f>'Global EV uptake'!$D$60:$D$101</c:f>
              <c:numCache>
                <c:formatCode>0.00</c:formatCode>
                <c:ptCount val="42"/>
                <c:pt idx="1">
                  <c:v>7.0956542813617018E-2</c:v>
                </c:pt>
                <c:pt idx="2">
                  <c:v>0.12499382424174706</c:v>
                </c:pt>
                <c:pt idx="3">
                  <c:v>0.23591088263388429</c:v>
                </c:pt>
                <c:pt idx="4">
                  <c:v>0.3747641205194997</c:v>
                </c:pt>
                <c:pt idx="5">
                  <c:v>0.58973972945617281</c:v>
                </c:pt>
                <c:pt idx="6">
                  <c:v>0.89844045782464999</c:v>
                </c:pt>
                <c:pt idx="7">
                  <c:v>1.1247146069601437</c:v>
                </c:pt>
                <c:pt idx="8">
                  <c:v>1.6934891727988695</c:v>
                </c:pt>
                <c:pt idx="9">
                  <c:v>2.8311667018084488</c:v>
                </c:pt>
                <c:pt idx="10">
                  <c:v>4.6657433283108087</c:v>
                </c:pt>
                <c:pt idx="11">
                  <c:v>5.9569619678729833</c:v>
                </c:pt>
                <c:pt idx="12">
                  <c:v>7.6185957663505439</c:v>
                </c:pt>
                <c:pt idx="13">
                  <c:v>9.8549157197350041</c:v>
                </c:pt>
                <c:pt idx="14">
                  <c:v>12.452861576195371</c:v>
                </c:pt>
                <c:pt idx="15">
                  <c:v>15.316349412754946</c:v>
                </c:pt>
                <c:pt idx="16">
                  <c:v>18.40784437363433</c:v>
                </c:pt>
                <c:pt idx="17">
                  <c:v>21.919132797777344</c:v>
                </c:pt>
                <c:pt idx="18">
                  <c:v>25.794181673831304</c:v>
                </c:pt>
                <c:pt idx="19">
                  <c:v>29.565550233157687</c:v>
                </c:pt>
                <c:pt idx="20">
                  <c:v>33.22726064069861</c:v>
                </c:pt>
                <c:pt idx="21">
                  <c:v>36.806506520771258</c:v>
                </c:pt>
                <c:pt idx="22">
                  <c:v>40.130241793329304</c:v>
                </c:pt>
                <c:pt idx="23">
                  <c:v>43.065448977495137</c:v>
                </c:pt>
                <c:pt idx="24">
                  <c:v>45.725026778599542</c:v>
                </c:pt>
                <c:pt idx="25">
                  <c:v>48.100625072996188</c:v>
                </c:pt>
                <c:pt idx="26">
                  <c:v>50.197839356188005</c:v>
                </c:pt>
                <c:pt idx="27">
                  <c:v>52.03205173640773</c:v>
                </c:pt>
                <c:pt idx="28">
                  <c:v>53.624643284400868</c:v>
                </c:pt>
                <c:pt idx="29">
                  <c:v>54.999928896267036</c:v>
                </c:pt>
                <c:pt idx="30">
                  <c:v>56.182904226572667</c:v>
                </c:pt>
                <c:pt idx="31">
                  <c:v>57.197735283445411</c:v>
                </c:pt>
                <c:pt idx="32">
                  <c:v>58.110085444062349</c:v>
                </c:pt>
                <c:pt idx="33">
                  <c:v>58.92707800158886</c:v>
                </c:pt>
                <c:pt idx="34">
                  <c:v>59.656102184445899</c:v>
                </c:pt>
                <c:pt idx="35">
                  <c:v>60.304584039988718</c:v>
                </c:pt>
                <c:pt idx="36">
                  <c:v>60.879807647169329</c:v>
                </c:pt>
                <c:pt idx="37">
                  <c:v>61.38878196147953</c:v>
                </c:pt>
                <c:pt idx="38">
                  <c:v>61.838147266588258</c:v>
                </c:pt>
                <c:pt idx="39">
                  <c:v>62.234114739923349</c:v>
                </c:pt>
                <c:pt idx="40">
                  <c:v>62.582432772917599</c:v>
                </c:pt>
                <c:pt idx="41">
                  <c:v>62.888374197685202</c:v>
                </c:pt>
              </c:numCache>
            </c:numRef>
          </c:val>
          <c:smooth val="0"/>
          <c:extLst>
            <c:ext xmlns:c16="http://schemas.microsoft.com/office/drawing/2014/chart" uri="{C3380CC4-5D6E-409C-BE32-E72D297353CC}">
              <c16:uniqueId val="{00000002-9607-4539-B44D-6829B929968A}"/>
            </c:ext>
          </c:extLst>
        </c:ser>
        <c:dLbls>
          <c:showLegendKey val="0"/>
          <c:showVal val="0"/>
          <c:showCatName val="0"/>
          <c:showSerName val="0"/>
          <c:showPercent val="0"/>
          <c:showBubbleSize val="0"/>
        </c:dLbls>
        <c:smooth val="0"/>
        <c:axId val="825689544"/>
        <c:axId val="825695120"/>
      </c:lineChart>
      <c:catAx>
        <c:axId val="82568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95120"/>
        <c:crosses val="autoZero"/>
        <c:auto val="1"/>
        <c:lblAlgn val="ctr"/>
        <c:lblOffset val="100"/>
        <c:noMultiLvlLbl val="0"/>
      </c:catAx>
      <c:valAx>
        <c:axId val="82569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 sales</a:t>
                </a:r>
              </a:p>
            </c:rich>
          </c:tx>
          <c:layout>
            <c:manualLayout>
              <c:xMode val="edge"/>
              <c:yMode val="edge"/>
              <c:x val="1.6696475541165826E-2"/>
              <c:y val="0.3098191651663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68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'Steep, medium, flat'!$B$3</c:f>
              <c:strCache>
                <c:ptCount val="1"/>
                <c:pt idx="0">
                  <c:v>Norway</c:v>
                </c:pt>
              </c:strCache>
            </c:strRef>
          </c:tx>
          <c:spPr>
            <a:ln w="28575" cap="rnd">
              <a:solidFill>
                <a:schemeClr val="accent1"/>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flat'!$B$4:$B$35</c:f>
              <c:numCache>
                <c:formatCode>0.00</c:formatCode>
                <c:ptCount val="32"/>
                <c:pt idx="1">
                  <c:v>0.95422607071705978</c:v>
                </c:pt>
                <c:pt idx="2">
                  <c:v>1.8243074485334112</c:v>
                </c:pt>
                <c:pt idx="3">
                  <c:v>3.4450702320769109</c:v>
                </c:pt>
                <c:pt idx="4">
                  <c:v>6.3607835641863382</c:v>
                </c:pt>
                <c:pt idx="5">
                  <c:v>11.291522864493412</c:v>
                </c:pt>
                <c:pt idx="6">
                  <c:v>18.81788217034801</c:v>
                </c:pt>
                <c:pt idx="7">
                  <c:v>28.681875004731538</c:v>
                </c:pt>
                <c:pt idx="8">
                  <c:v>39.314736357294422</c:v>
                </c:pt>
                <c:pt idx="9">
                  <c:v>48.613157762113936</c:v>
                </c:pt>
                <c:pt idx="10">
                  <c:v>55.369953598215368</c:v>
                </c:pt>
                <c:pt idx="11">
                  <c:v>59.647470933153592</c:v>
                </c:pt>
                <c:pt idx="12">
                  <c:v>62.123681562857406</c:v>
                </c:pt>
                <c:pt idx="13">
                  <c:v>63.483462457791383</c:v>
                </c:pt>
                <c:pt idx="14">
                  <c:v>64.208595508841753</c:v>
                </c:pt>
                <c:pt idx="15">
                  <c:v>64.589249257811147</c:v>
                </c:pt>
                <c:pt idx="16">
                  <c:v>64.78742039856111</c:v>
                </c:pt>
                <c:pt idx="17">
                  <c:v>64.890144344344137</c:v>
                </c:pt>
                <c:pt idx="18">
                  <c:v>64.943272893507597</c:v>
                </c:pt>
                <c:pt idx="19">
                  <c:v>64.970718932031488</c:v>
                </c:pt>
                <c:pt idx="20">
                  <c:v>64.984888958391409</c:v>
                </c:pt>
                <c:pt idx="21">
                  <c:v>64.992202487941555</c:v>
                </c:pt>
                <c:pt idx="22">
                  <c:v>64.995976592197081</c:v>
                </c:pt>
                <c:pt idx="23">
                  <c:v>64.997924035865111</c:v>
                </c:pt>
                <c:pt idx="24">
                  <c:v>64.998928877011707</c:v>
                </c:pt>
                <c:pt idx="25">
                  <c:v>64.999447343115634</c:v>
                </c:pt>
                <c:pt idx="26">
                  <c:v>64.999714852116952</c:v>
                </c:pt>
                <c:pt idx="27">
                  <c:v>64.999852875888223</c:v>
                </c:pt>
                <c:pt idx="28">
                  <c:v>64.999924090328904</c:v>
                </c:pt>
                <c:pt idx="29">
                  <c:v>64.999960833917427</c:v>
                </c:pt>
                <c:pt idx="30">
                  <c:v>64.999979792013562</c:v>
                </c:pt>
                <c:pt idx="31">
                  <c:v>64.999989573563866</c:v>
                </c:pt>
              </c:numCache>
            </c:numRef>
          </c:val>
          <c:smooth val="0"/>
          <c:extLst>
            <c:ext xmlns:c16="http://schemas.microsoft.com/office/drawing/2014/chart" uri="{C3380CC4-5D6E-409C-BE32-E72D297353CC}">
              <c16:uniqueId val="{00000000-DACE-46AE-8317-CC31804EBD65}"/>
            </c:ext>
          </c:extLst>
        </c:ser>
        <c:ser>
          <c:idx val="1"/>
          <c:order val="1"/>
          <c:tx>
            <c:strRef>
              <c:f>'Steep, medium, flat'!$C$3</c:f>
              <c:strCache>
                <c:ptCount val="1"/>
                <c:pt idx="0">
                  <c:v>Belgium</c:v>
                </c:pt>
              </c:strCache>
            </c:strRef>
          </c:tx>
          <c:spPr>
            <a:ln w="28575" cap="rnd">
              <a:solidFill>
                <a:schemeClr val="accent2"/>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flat'!$C$4:$C$35</c:f>
              <c:numCache>
                <c:formatCode>0.00</c:formatCode>
                <c:ptCount val="32"/>
                <c:pt idx="1">
                  <c:v>1.893902262212482E-2</c:v>
                </c:pt>
                <c:pt idx="2">
                  <c:v>3.9987757684899747E-2</c:v>
                </c:pt>
                <c:pt idx="3">
                  <c:v>8.4399567466143896E-2</c:v>
                </c:pt>
                <c:pt idx="4">
                  <c:v>0.17800153505072761</c:v>
                </c:pt>
                <c:pt idx="5">
                  <c:v>0.37481187378520425</c:v>
                </c:pt>
                <c:pt idx="6">
                  <c:v>0.78658824937243477</c:v>
                </c:pt>
                <c:pt idx="7">
                  <c:v>1.6392758105205087</c:v>
                </c:pt>
                <c:pt idx="8">
                  <c:v>3.3678254750715246</c:v>
                </c:pt>
                <c:pt idx="9">
                  <c:v>6.7255868372254772</c:v>
                </c:pt>
                <c:pt idx="10">
                  <c:v>12.739114205438929</c:v>
                </c:pt>
                <c:pt idx="11">
                  <c:v>22.091190429597429</c:v>
                </c:pt>
                <c:pt idx="12">
                  <c:v>33.860541473603895</c:v>
                </c:pt>
                <c:pt idx="13">
                  <c:v>45.282958136627563</c:v>
                </c:pt>
                <c:pt idx="14">
                  <c:v>53.890192903355754</c:v>
                </c:pt>
                <c:pt idx="15">
                  <c:v>59.219670714792123</c:v>
                </c:pt>
                <c:pt idx="16">
                  <c:v>62.128762575258762</c:v>
                </c:pt>
                <c:pt idx="17">
                  <c:v>63.608192199633578</c:v>
                </c:pt>
                <c:pt idx="18">
                  <c:v>64.333510556176108</c:v>
                </c:pt>
                <c:pt idx="19">
                  <c:v>64.682726242545442</c:v>
                </c:pt>
                <c:pt idx="20">
                  <c:v>64.8493942439693</c:v>
                </c:pt>
                <c:pt idx="21">
                  <c:v>64.928606029249892</c:v>
                </c:pt>
                <c:pt idx="22">
                  <c:v>64.96617774300752</c:v>
                </c:pt>
                <c:pt idx="23">
                  <c:v>64.983981885289836</c:v>
                </c:pt>
                <c:pt idx="24">
                  <c:v>64.992414965402872</c:v>
                </c:pt>
                <c:pt idx="25">
                  <c:v>64.996408514956386</c:v>
                </c:pt>
                <c:pt idx="26">
                  <c:v>64.99829950050075</c:v>
                </c:pt>
                <c:pt idx="27">
                  <c:v>64.999194858333979</c:v>
                </c:pt>
                <c:pt idx="28">
                  <c:v>64.999618789419856</c:v>
                </c:pt>
                <c:pt idx="29">
                  <c:v>64.999819508772802</c:v>
                </c:pt>
                <c:pt idx="30">
                  <c:v>64.999914543216207</c:v>
                </c:pt>
                <c:pt idx="31">
                  <c:v>64.999959538995952</c:v>
                </c:pt>
              </c:numCache>
            </c:numRef>
          </c:val>
          <c:smooth val="0"/>
          <c:extLst>
            <c:ext xmlns:c16="http://schemas.microsoft.com/office/drawing/2014/chart" uri="{C3380CC4-5D6E-409C-BE32-E72D297353CC}">
              <c16:uniqueId val="{00000001-DACE-46AE-8317-CC31804EBD65}"/>
            </c:ext>
          </c:extLst>
        </c:ser>
        <c:ser>
          <c:idx val="2"/>
          <c:order val="2"/>
          <c:tx>
            <c:strRef>
              <c:f>'Steep, medium, flat'!$D$3</c:f>
              <c:strCache>
                <c:ptCount val="1"/>
                <c:pt idx="0">
                  <c:v>Germany</c:v>
                </c:pt>
              </c:strCache>
            </c:strRef>
          </c:tx>
          <c:spPr>
            <a:ln w="28575" cap="rnd">
              <a:solidFill>
                <a:schemeClr val="accent3"/>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flat'!$D$4:$D$35</c:f>
              <c:numCache>
                <c:formatCode>0.00</c:formatCode>
                <c:ptCount val="32"/>
                <c:pt idx="1">
                  <c:v>3.4183576746624901E-2</c:v>
                </c:pt>
                <c:pt idx="2">
                  <c:v>6.346987523992427E-2</c:v>
                </c:pt>
                <c:pt idx="3">
                  <c:v>0.11780130161609073</c:v>
                </c:pt>
                <c:pt idx="4">
                  <c:v>0.21848498449567416</c:v>
                </c:pt>
                <c:pt idx="5">
                  <c:v>0.40468534472849599</c:v>
                </c:pt>
                <c:pt idx="6">
                  <c:v>0.74774037060532272</c:v>
                </c:pt>
                <c:pt idx="7">
                  <c:v>0.73461459756398872</c:v>
                </c:pt>
                <c:pt idx="8">
                  <c:v>1.5872033755904482</c:v>
                </c:pt>
                <c:pt idx="9">
                  <c:v>2.4665326913069379</c:v>
                </c:pt>
                <c:pt idx="10">
                  <c:v>4.4373644231824505</c:v>
                </c:pt>
                <c:pt idx="11">
                  <c:v>7.7868554505897851</c:v>
                </c:pt>
                <c:pt idx="12">
                  <c:v>13.117067998248489</c:v>
                </c:pt>
                <c:pt idx="13">
                  <c:v>20.771258326627883</c:v>
                </c:pt>
                <c:pt idx="14">
                  <c:v>30.284768316160477</c:v>
                </c:pt>
                <c:pt idx="15">
                  <c:v>40.195612796933077</c:v>
                </c:pt>
                <c:pt idx="16">
                  <c:v>48.791353526737112</c:v>
                </c:pt>
                <c:pt idx="17">
                  <c:v>55.139080005240515</c:v>
                </c:pt>
                <c:pt idx="18">
                  <c:v>59.291711169072009</c:v>
                </c:pt>
                <c:pt idx="19">
                  <c:v>61.797165159989525</c:v>
                </c:pt>
                <c:pt idx="20">
                  <c:v>63.235660781813245</c:v>
                </c:pt>
                <c:pt idx="21">
                  <c:v>64.038138020406834</c:v>
                </c:pt>
                <c:pt idx="22">
                  <c:v>64.478632546612985</c:v>
                </c:pt>
                <c:pt idx="23">
                  <c:v>64.71828554099875</c:v>
                </c:pt>
                <c:pt idx="24">
                  <c:v>64.84803869476076</c:v>
                </c:pt>
                <c:pt idx="25">
                  <c:v>64.918105253848566</c:v>
                </c:pt>
                <c:pt idx="26">
                  <c:v>64.955887389291988</c:v>
                </c:pt>
                <c:pt idx="27">
                  <c:v>64.976245117461644</c:v>
                </c:pt>
                <c:pt idx="28">
                  <c:v>64.987209715550918</c:v>
                </c:pt>
                <c:pt idx="29">
                  <c:v>64.993113894164921</c:v>
                </c:pt>
                <c:pt idx="30">
                  <c:v>64.996292774785871</c:v>
                </c:pt>
                <c:pt idx="31">
                  <c:v>64.998004211842257</c:v>
                </c:pt>
              </c:numCache>
            </c:numRef>
          </c:val>
          <c:smooth val="0"/>
          <c:extLst>
            <c:ext xmlns:c16="http://schemas.microsoft.com/office/drawing/2014/chart" uri="{C3380CC4-5D6E-409C-BE32-E72D297353CC}">
              <c16:uniqueId val="{00000002-DACE-46AE-8317-CC31804EBD65}"/>
            </c:ext>
          </c:extLst>
        </c:ser>
        <c:ser>
          <c:idx val="3"/>
          <c:order val="3"/>
          <c:tx>
            <c:strRef>
              <c:f>'Steep, medium, flat'!$E$3</c:f>
              <c:strCache>
                <c:ptCount val="1"/>
                <c:pt idx="0">
                  <c:v>Korea</c:v>
                </c:pt>
              </c:strCache>
            </c:strRef>
          </c:tx>
          <c:spPr>
            <a:ln w="28575" cap="rnd">
              <a:solidFill>
                <a:schemeClr val="accent4"/>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flat'!$E$4:$E$35</c:f>
              <c:numCache>
                <c:formatCode>0.00</c:formatCode>
                <c:ptCount val="32"/>
                <c:pt idx="1">
                  <c:v>6.9344571248564201E-3</c:v>
                </c:pt>
                <c:pt idx="2">
                  <c:v>2.1986754176250543E-2</c:v>
                </c:pt>
                <c:pt idx="3">
                  <c:v>4.3976366875896858E-2</c:v>
                </c:pt>
                <c:pt idx="4">
                  <c:v>5.5501342011082921E-2</c:v>
                </c:pt>
                <c:pt idx="5">
                  <c:v>0.11095266482069387</c:v>
                </c:pt>
                <c:pt idx="6">
                  <c:v>0.22161628502959124</c:v>
                </c:pt>
                <c:pt idx="7">
                  <c:v>0.44190356227885791</c:v>
                </c:pt>
                <c:pt idx="8">
                  <c:v>0.87818859400646965</c:v>
                </c:pt>
                <c:pt idx="9">
                  <c:v>1.7336445171730701</c:v>
                </c:pt>
                <c:pt idx="10">
                  <c:v>3.3785058938819041</c:v>
                </c:pt>
                <c:pt idx="11">
                  <c:v>6.4254912311464647</c:v>
                </c:pt>
                <c:pt idx="12">
                  <c:v>11.698768497088503</c:v>
                </c:pt>
                <c:pt idx="13">
                  <c:v>19.83429983606014</c:v>
                </c:pt>
                <c:pt idx="14">
                  <c:v>30.400591171145539</c:v>
                </c:pt>
                <c:pt idx="15">
                  <c:v>41.432186981588991</c:v>
                </c:pt>
                <c:pt idx="16">
                  <c:v>50.611244860494736</c:v>
                </c:pt>
                <c:pt idx="17">
                  <c:v>56.913081282143523</c:v>
                </c:pt>
                <c:pt idx="18">
                  <c:v>60.689947897794141</c:v>
                </c:pt>
                <c:pt idx="19">
                  <c:v>62.771943957993223</c:v>
                </c:pt>
                <c:pt idx="20">
                  <c:v>63.866995090139973</c:v>
                </c:pt>
                <c:pt idx="21">
                  <c:v>64.428745335561374</c:v>
                </c:pt>
                <c:pt idx="22">
                  <c:v>64.713227224192906</c:v>
                </c:pt>
                <c:pt idx="23">
                  <c:v>64.856354451606165</c:v>
                </c:pt>
                <c:pt idx="24">
                  <c:v>64.928126749273915</c:v>
                </c:pt>
                <c:pt idx="25">
                  <c:v>64.964057991996526</c:v>
                </c:pt>
                <c:pt idx="26">
                  <c:v>64.982031275478718</c:v>
                </c:pt>
                <c:pt idx="27">
                  <c:v>64.991018019992524</c:v>
                </c:pt>
                <c:pt idx="28">
                  <c:v>64.995510511328135</c:v>
                </c:pt>
                <c:pt idx="29">
                  <c:v>64.997756083660121</c:v>
                </c:pt>
                <c:pt idx="30">
                  <c:v>64.998878475056671</c:v>
                </c:pt>
                <c:pt idx="31">
                  <c:v>64.99943945889963</c:v>
                </c:pt>
              </c:numCache>
            </c:numRef>
          </c:val>
          <c:smooth val="0"/>
          <c:extLst>
            <c:ext xmlns:c16="http://schemas.microsoft.com/office/drawing/2014/chart" uri="{C3380CC4-5D6E-409C-BE32-E72D297353CC}">
              <c16:uniqueId val="{00000003-DACE-46AE-8317-CC31804EBD65}"/>
            </c:ext>
          </c:extLst>
        </c:ser>
        <c:ser>
          <c:idx val="4"/>
          <c:order val="4"/>
          <c:tx>
            <c:strRef>
              <c:f>'Steep, medium, flat'!$F$3</c:f>
              <c:strCache>
                <c:ptCount val="1"/>
                <c:pt idx="0">
                  <c:v>Finland</c:v>
                </c:pt>
              </c:strCache>
            </c:strRef>
          </c:tx>
          <c:spPr>
            <a:ln w="28575" cap="rnd">
              <a:solidFill>
                <a:schemeClr val="accent5"/>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flat'!$F$4:$F$35</c:f>
              <c:numCache>
                <c:formatCode>0.00</c:formatCode>
                <c:ptCount val="32"/>
                <c:pt idx="1">
                  <c:v>1.8233531246333173E-2</c:v>
                </c:pt>
                <c:pt idx="2">
                  <c:v>3.6720612542961363E-2</c:v>
                </c:pt>
                <c:pt idx="3">
                  <c:v>0.10779280678428281</c:v>
                </c:pt>
                <c:pt idx="4">
                  <c:v>0.2167816204415593</c:v>
                </c:pt>
                <c:pt idx="5">
                  <c:v>0.43522943065798925</c:v>
                </c:pt>
                <c:pt idx="6">
                  <c:v>0.59949021570807204</c:v>
                </c:pt>
                <c:pt idx="7">
                  <c:v>1.1964656516070145</c:v>
                </c:pt>
                <c:pt idx="8">
                  <c:v>2.577341331106104</c:v>
                </c:pt>
                <c:pt idx="9">
                  <c:v>4.596654877069545</c:v>
                </c:pt>
                <c:pt idx="10">
                  <c:v>8.6400147217897896</c:v>
                </c:pt>
                <c:pt idx="11">
                  <c:v>15.336968936398058</c:v>
                </c:pt>
                <c:pt idx="12">
                  <c:v>24.928799826983788</c:v>
                </c:pt>
                <c:pt idx="13">
                  <c:v>36.15255806520549</c:v>
                </c:pt>
                <c:pt idx="14">
                  <c:v>46.558247297352999</c:v>
                </c:pt>
                <c:pt idx="15">
                  <c:v>54.319355186406916</c:v>
                </c:pt>
                <c:pt idx="16">
                  <c:v>59.219748667996228</c:v>
                </c:pt>
                <c:pt idx="17">
                  <c:v>61.996124029956285</c:v>
                </c:pt>
                <c:pt idx="18">
                  <c:v>63.473327028320881</c:v>
                </c:pt>
                <c:pt idx="19">
                  <c:v>64.233078720701982</c:v>
                </c:pt>
                <c:pt idx="20">
                  <c:v>64.617019845831976</c:v>
                </c:pt>
                <c:pt idx="21">
                  <c:v>64.809320454222686</c:v>
                </c:pt>
                <c:pt idx="22">
                  <c:v>64.905205429006713</c:v>
                </c:pt>
                <c:pt idx="23">
                  <c:v>64.952908791357117</c:v>
                </c:pt>
                <c:pt idx="24">
                  <c:v>64.976615094924767</c:v>
                </c:pt>
                <c:pt idx="25">
                  <c:v>64.988389481943116</c:v>
                </c:pt>
                <c:pt idx="26">
                  <c:v>64.994235947045865</c:v>
                </c:pt>
                <c:pt idx="27">
                  <c:v>64.997138559942073</c:v>
                </c:pt>
                <c:pt idx="28">
                  <c:v>64.998579531601152</c:v>
                </c:pt>
                <c:pt idx="29">
                  <c:v>64.999294862759669</c:v>
                </c:pt>
                <c:pt idx="30">
                  <c:v>64.999649963510308</c:v>
                </c:pt>
                <c:pt idx="31">
                  <c:v>64.999826239205618</c:v>
                </c:pt>
              </c:numCache>
            </c:numRef>
          </c:val>
          <c:smooth val="0"/>
          <c:extLst>
            <c:ext xmlns:c16="http://schemas.microsoft.com/office/drawing/2014/chart" uri="{C3380CC4-5D6E-409C-BE32-E72D297353CC}">
              <c16:uniqueId val="{00000004-DACE-46AE-8317-CC31804EBD65}"/>
            </c:ext>
          </c:extLst>
        </c:ser>
        <c:ser>
          <c:idx val="5"/>
          <c:order val="5"/>
          <c:tx>
            <c:strRef>
              <c:f>'Steep, medium, flat'!$G$3</c:f>
              <c:strCache>
                <c:ptCount val="1"/>
                <c:pt idx="0">
                  <c:v>Netherlands subsidies</c:v>
                </c:pt>
              </c:strCache>
            </c:strRef>
          </c:tx>
          <c:spPr>
            <a:ln w="28575" cap="rnd">
              <a:solidFill>
                <a:schemeClr val="accent6"/>
              </a:solidFill>
              <a:round/>
            </a:ln>
            <a:effectLst/>
          </c:spPr>
          <c:marker>
            <c:symbol val="none"/>
          </c:marker>
          <c:cat>
            <c:numRef>
              <c:f>'Steep, medium, flat'!$A$4:$A$35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flat'!$G$4:$G$35</c:f>
              <c:numCache>
                <c:formatCode>0.00</c:formatCode>
                <c:ptCount val="32"/>
                <c:pt idx="1">
                  <c:v>2.4685199082849503E-2</c:v>
                </c:pt>
                <c:pt idx="2">
                  <c:v>0.16030483863318079</c:v>
                </c:pt>
                <c:pt idx="3">
                  <c:v>1.0292118863138331</c:v>
                </c:pt>
                <c:pt idx="4">
                  <c:v>1.8433023734304723</c:v>
                </c:pt>
                <c:pt idx="5">
                  <c:v>3.2684255704696215</c:v>
                </c:pt>
                <c:pt idx="6">
                  <c:v>5.6959919762793181</c:v>
                </c:pt>
                <c:pt idx="7">
                  <c:v>9.6448869592081987</c:v>
                </c:pt>
                <c:pt idx="8">
                  <c:v>15.610808434297555</c:v>
                </c:pt>
                <c:pt idx="9">
                  <c:v>23.687839848159406</c:v>
                </c:pt>
                <c:pt idx="10">
                  <c:v>33.139809185381857</c:v>
                </c:pt>
                <c:pt idx="11">
                  <c:v>42.484730160291178</c:v>
                </c:pt>
                <c:pt idx="12">
                  <c:v>50.304167818683801</c:v>
                </c:pt>
                <c:pt idx="13">
                  <c:v>55.984247460872368</c:v>
                </c:pt>
                <c:pt idx="14">
                  <c:v>59.700218311068888</c:v>
                </c:pt>
                <c:pt idx="15">
                  <c:v>61.96755891259167</c:v>
                </c:pt>
                <c:pt idx="16">
                  <c:v>63.292632284816008</c:v>
                </c:pt>
                <c:pt idx="17">
                  <c:v>64.047592860998989</c:v>
                </c:pt>
                <c:pt idx="18">
                  <c:v>64.471513837004551</c:v>
                </c:pt>
                <c:pt idx="19">
                  <c:v>64.707606970513154</c:v>
                </c:pt>
                <c:pt idx="20">
                  <c:v>64.838493311169827</c:v>
                </c:pt>
                <c:pt idx="21">
                  <c:v>64.910870605500591</c:v>
                </c:pt>
                <c:pt idx="22">
                  <c:v>64.950837472731223</c:v>
                </c:pt>
                <c:pt idx="23">
                  <c:v>64.97289012259948</c:v>
                </c:pt>
                <c:pt idx="24">
                  <c:v>64.985052974742146</c:v>
                </c:pt>
                <c:pt idx="25">
                  <c:v>64.991759652818033</c:v>
                </c:pt>
                <c:pt idx="26">
                  <c:v>64.995457278203901</c:v>
                </c:pt>
                <c:pt idx="27">
                  <c:v>64.997495761520739</c:v>
                </c:pt>
                <c:pt idx="28">
                  <c:v>64.998619523188253</c:v>
                </c:pt>
                <c:pt idx="29">
                  <c:v>64.999239009599833</c:v>
                </c:pt>
                <c:pt idx="30">
                  <c:v>64.99958050442612</c:v>
                </c:pt>
                <c:pt idx="31">
                  <c:v>64.999768753821897</c:v>
                </c:pt>
              </c:numCache>
            </c:numRef>
          </c:val>
          <c:smooth val="0"/>
          <c:extLst>
            <c:ext xmlns:c16="http://schemas.microsoft.com/office/drawing/2014/chart" uri="{C3380CC4-5D6E-409C-BE32-E72D297353CC}">
              <c16:uniqueId val="{00000005-DACE-46AE-8317-CC31804EBD65}"/>
            </c:ext>
          </c:extLst>
        </c:ser>
        <c:dLbls>
          <c:showLegendKey val="0"/>
          <c:showVal val="0"/>
          <c:showCatName val="0"/>
          <c:showSerName val="0"/>
          <c:showPercent val="0"/>
          <c:showBubbleSize val="0"/>
        </c:dLbls>
        <c:smooth val="0"/>
        <c:axId val="626440920"/>
        <c:axId val="626431736"/>
      </c:lineChart>
      <c:catAx>
        <c:axId val="626440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431736"/>
        <c:crosses val="autoZero"/>
        <c:auto val="1"/>
        <c:lblAlgn val="ctr"/>
        <c:lblOffset val="100"/>
        <c:noMultiLvlLbl val="0"/>
      </c:catAx>
      <c:valAx>
        <c:axId val="6264317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44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'Steep, medium, flat'!$J$3</c:f>
              <c:strCache>
                <c:ptCount val="1"/>
                <c:pt idx="0">
                  <c:v>Austria</c:v>
                </c:pt>
              </c:strCache>
            </c:strRef>
          </c:tx>
          <c:spPr>
            <a:ln w="28575" cap="rnd">
              <a:solidFill>
                <a:schemeClr val="accent1"/>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flat'!$J$4:$J$35</c:f>
              <c:numCache>
                <c:formatCode>0.00</c:formatCode>
                <c:ptCount val="32"/>
                <c:pt idx="1">
                  <c:v>0.1203521589427423</c:v>
                </c:pt>
                <c:pt idx="2">
                  <c:v>0.17782437732109599</c:v>
                </c:pt>
                <c:pt idx="3">
                  <c:v>0.26263042390584534</c:v>
                </c:pt>
                <c:pt idx="4">
                  <c:v>0.38763937622394484</c:v>
                </c:pt>
                <c:pt idx="5">
                  <c:v>0.57162569563598153</c:v>
                </c:pt>
                <c:pt idx="6">
                  <c:v>0.84180021336470912</c:v>
                </c:pt>
                <c:pt idx="7">
                  <c:v>1.5391698634286424</c:v>
                </c:pt>
                <c:pt idx="8">
                  <c:v>2.020466751119709</c:v>
                </c:pt>
                <c:pt idx="9">
                  <c:v>2.6459895790365104</c:v>
                </c:pt>
                <c:pt idx="10">
                  <c:v>3.8381890852736973</c:v>
                </c:pt>
                <c:pt idx="11">
                  <c:v>5.5200023789857555</c:v>
                </c:pt>
                <c:pt idx="12">
                  <c:v>7.8442359614469916</c:v>
                </c:pt>
                <c:pt idx="13">
                  <c:v>10.96666716050855</c:v>
                </c:pt>
                <c:pt idx="14">
                  <c:v>15.005684880315728</c:v>
                </c:pt>
                <c:pt idx="15">
                  <c:v>19.982150823142476</c:v>
                </c:pt>
                <c:pt idx="16">
                  <c:v>25.758672365867149</c:v>
                </c:pt>
                <c:pt idx="17">
                  <c:v>32.017433710081967</c:v>
                </c:pt>
                <c:pt idx="18">
                  <c:v>38.312201822341244</c:v>
                </c:pt>
                <c:pt idx="19">
                  <c:v>44.186570827175956</c:v>
                </c:pt>
                <c:pt idx="20">
                  <c:v>49.297852580242349</c:v>
                </c:pt>
                <c:pt idx="21">
                  <c:v>53.481141904775455</c:v>
                </c:pt>
                <c:pt idx="22">
                  <c:v>56.73674955124897</c:v>
                </c:pt>
                <c:pt idx="23">
                  <c:v>59.172477908962534</c:v>
                </c:pt>
                <c:pt idx="24">
                  <c:v>60.941592261933344</c:v>
                </c:pt>
                <c:pt idx="25">
                  <c:v>62.199062445521918</c:v>
                </c:pt>
                <c:pt idx="26">
                  <c:v>63.079194309776966</c:v>
                </c:pt>
                <c:pt idx="27">
                  <c:v>63.688595482263246</c:v>
                </c:pt>
                <c:pt idx="28">
                  <c:v>64.107391906110223</c:v>
                </c:pt>
                <c:pt idx="29">
                  <c:v>64.393719042125909</c:v>
                </c:pt>
                <c:pt idx="30">
                  <c:v>64.588788486440805</c:v>
                </c:pt>
                <c:pt idx="31">
                  <c:v>64.721366382820392</c:v>
                </c:pt>
              </c:numCache>
            </c:numRef>
          </c:val>
          <c:smooth val="0"/>
          <c:extLst>
            <c:ext xmlns:c16="http://schemas.microsoft.com/office/drawing/2014/chart" uri="{C3380CC4-5D6E-409C-BE32-E72D297353CC}">
              <c16:uniqueId val="{00000000-4380-405E-9C27-D38C2906364D}"/>
            </c:ext>
          </c:extLst>
        </c:ser>
        <c:ser>
          <c:idx val="1"/>
          <c:order val="1"/>
          <c:tx>
            <c:strRef>
              <c:f>'Steep, medium, flat'!$K$3</c:f>
              <c:strCache>
                <c:ptCount val="1"/>
                <c:pt idx="0">
                  <c:v>Canada</c:v>
                </c:pt>
              </c:strCache>
            </c:strRef>
          </c:tx>
          <c:spPr>
            <a:ln w="28575" cap="rnd">
              <a:solidFill>
                <a:schemeClr val="accent2"/>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flat'!$K$4:$K$35</c:f>
              <c:numCache>
                <c:formatCode>0.00</c:formatCode>
                <c:ptCount val="32"/>
                <c:pt idx="1">
                  <c:v>0.11357973136349601</c:v>
                </c:pt>
                <c:pt idx="2">
                  <c:v>0.1750884089993836</c:v>
                </c:pt>
                <c:pt idx="3">
                  <c:v>0.26976839331369129</c:v>
                </c:pt>
                <c:pt idx="4">
                  <c:v>0.4153190615900294</c:v>
                </c:pt>
                <c:pt idx="5">
                  <c:v>0.63862526913926998</c:v>
                </c:pt>
                <c:pt idx="6">
                  <c:v>0.83298342165318717</c:v>
                </c:pt>
                <c:pt idx="7">
                  <c:v>1.2764186108823803</c:v>
                </c:pt>
                <c:pt idx="8">
                  <c:v>2.1109069198989259</c:v>
                </c:pt>
                <c:pt idx="9">
                  <c:v>5.4034855410703129</c:v>
                </c:pt>
                <c:pt idx="10">
                  <c:v>5.1907636009319509</c:v>
                </c:pt>
                <c:pt idx="11">
                  <c:v>7.6765137034633693</c:v>
                </c:pt>
                <c:pt idx="12">
                  <c:v>11.13109783917723</c:v>
                </c:pt>
                <c:pt idx="13">
                  <c:v>15.714141029929063</c:v>
                </c:pt>
                <c:pt idx="14">
                  <c:v>21.433378729579367</c:v>
                </c:pt>
                <c:pt idx="15">
                  <c:v>28.049514477473753</c:v>
                </c:pt>
                <c:pt idx="16">
                  <c:v>35.064221343803105</c:v>
                </c:pt>
                <c:pt idx="17">
                  <c:v>41.846485993743983</c:v>
                </c:pt>
                <c:pt idx="18">
                  <c:v>47.843973203094116</c:v>
                </c:pt>
                <c:pt idx="19">
                  <c:v>52.742961554175409</c:v>
                </c:pt>
                <c:pt idx="20">
                  <c:v>56.491794590116669</c:v>
                </c:pt>
                <c:pt idx="21">
                  <c:v>59.219700270067449</c:v>
                </c:pt>
                <c:pt idx="22">
                  <c:v>61.132855546813104</c:v>
                </c:pt>
                <c:pt idx="23">
                  <c:v>62.440168733225129</c:v>
                </c:pt>
                <c:pt idx="24">
                  <c:v>63.317698052510366</c:v>
                </c:pt>
                <c:pt idx="25">
                  <c:v>63.899704744056265</c:v>
                </c:pt>
                <c:pt idx="26">
                  <c:v>64.282642457883</c:v>
                </c:pt>
                <c:pt idx="27">
                  <c:v>64.533279110024068</c:v>
                </c:pt>
                <c:pt idx="28">
                  <c:v>64.696759229099783</c:v>
                </c:pt>
                <c:pt idx="29">
                  <c:v>64.80315121019143</c:v>
                </c:pt>
                <c:pt idx="30">
                  <c:v>64.872289264256466</c:v>
                </c:pt>
                <c:pt idx="31">
                  <c:v>64.917175398160026</c:v>
                </c:pt>
              </c:numCache>
            </c:numRef>
          </c:val>
          <c:smooth val="0"/>
          <c:extLst>
            <c:ext xmlns:c16="http://schemas.microsoft.com/office/drawing/2014/chart" uri="{C3380CC4-5D6E-409C-BE32-E72D297353CC}">
              <c16:uniqueId val="{00000001-4380-405E-9C27-D38C2906364D}"/>
            </c:ext>
          </c:extLst>
        </c:ser>
        <c:ser>
          <c:idx val="2"/>
          <c:order val="2"/>
          <c:tx>
            <c:strRef>
              <c:f>'Steep, medium, flat'!$L$3</c:f>
              <c:strCache>
                <c:ptCount val="1"/>
                <c:pt idx="0">
                  <c:v>China</c:v>
                </c:pt>
              </c:strCache>
            </c:strRef>
          </c:tx>
          <c:spPr>
            <a:ln w="28575" cap="rnd">
              <a:solidFill>
                <a:schemeClr val="accent3"/>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flat'!$L$4:$L$35</c:f>
              <c:numCache>
                <c:formatCode>0.00</c:formatCode>
                <c:ptCount val="32"/>
                <c:pt idx="1">
                  <c:v>2.3951527012398163E-2</c:v>
                </c:pt>
                <c:pt idx="2">
                  <c:v>3.8755032033271214E-2</c:v>
                </c:pt>
                <c:pt idx="3">
                  <c:v>6.269917749005402E-2</c:v>
                </c:pt>
                <c:pt idx="4">
                  <c:v>8.7551383817578696E-2</c:v>
                </c:pt>
                <c:pt idx="5">
                  <c:v>0.36728493856347377</c:v>
                </c:pt>
                <c:pt idx="6">
                  <c:v>0.98551973616104327</c:v>
                </c:pt>
                <c:pt idx="7">
                  <c:v>1.3415981568072222</c:v>
                </c:pt>
                <c:pt idx="8">
                  <c:v>2.1439166050925254</c:v>
                </c:pt>
                <c:pt idx="9">
                  <c:v>3.9822183298483407</c:v>
                </c:pt>
                <c:pt idx="10">
                  <c:v>6.209668440149346</c:v>
                </c:pt>
                <c:pt idx="11">
                  <c:v>9.4892790941138845</c:v>
                </c:pt>
                <c:pt idx="12">
                  <c:v>14.085993315507633</c:v>
                </c:pt>
                <c:pt idx="13">
                  <c:v>20.103016074040784</c:v>
                </c:pt>
                <c:pt idx="14">
                  <c:v>27.311543855336645</c:v>
                </c:pt>
                <c:pt idx="15">
                  <c:v>35.084973204563525</c:v>
                </c:pt>
                <c:pt idx="16">
                  <c:v>42.571732694407068</c:v>
                </c:pt>
                <c:pt idx="17">
                  <c:v>49.037279341738675</c:v>
                </c:pt>
                <c:pt idx="18">
                  <c:v>54.1155023268024</c:v>
                </c:pt>
                <c:pt idx="19">
                  <c:v>57.814902817423203</c:v>
                </c:pt>
                <c:pt idx="20">
                  <c:v>60.364658409767081</c:v>
                </c:pt>
                <c:pt idx="21">
                  <c:v>62.055669149850516</c:v>
                </c:pt>
                <c:pt idx="22">
                  <c:v>63.148704515446354</c:v>
                </c:pt>
                <c:pt idx="23">
                  <c:v>63.843530086803234</c:v>
                </c:pt>
                <c:pt idx="24">
                  <c:v>64.280545800679874</c:v>
                </c:pt>
                <c:pt idx="25">
                  <c:v>64.553573430480995</c:v>
                </c:pt>
                <c:pt idx="26">
                  <c:v>64.723434850432866</c:v>
                </c:pt>
                <c:pt idx="27">
                  <c:v>64.828836848000762</c:v>
                </c:pt>
                <c:pt idx="28">
                  <c:v>64.89413469777223</c:v>
                </c:pt>
                <c:pt idx="29">
                  <c:v>64.93454690908419</c:v>
                </c:pt>
                <c:pt idx="30">
                  <c:v>64.959542089396493</c:v>
                </c:pt>
                <c:pt idx="31">
                  <c:v>64.97499580336121</c:v>
                </c:pt>
              </c:numCache>
            </c:numRef>
          </c:val>
          <c:smooth val="0"/>
          <c:extLst>
            <c:ext xmlns:c16="http://schemas.microsoft.com/office/drawing/2014/chart" uri="{C3380CC4-5D6E-409C-BE32-E72D297353CC}">
              <c16:uniqueId val="{00000002-4380-405E-9C27-D38C2906364D}"/>
            </c:ext>
          </c:extLst>
        </c:ser>
        <c:ser>
          <c:idx val="3"/>
          <c:order val="3"/>
          <c:tx>
            <c:strRef>
              <c:f>'Steep, medium, flat'!$M$3</c:f>
              <c:strCache>
                <c:ptCount val="1"/>
                <c:pt idx="0">
                  <c:v>Denmark subsidies</c:v>
                </c:pt>
              </c:strCache>
            </c:strRef>
          </c:tx>
          <c:spPr>
            <a:ln w="28575" cap="rnd">
              <a:solidFill>
                <a:schemeClr val="accent4"/>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flat'!$M$4:$M$35</c:f>
              <c:numCache>
                <c:formatCode>0.00</c:formatCode>
                <c:ptCount val="32"/>
                <c:pt idx="1">
                  <c:v>0</c:v>
                </c:pt>
                <c:pt idx="2">
                  <c:v>0.2445466806557601</c:v>
                </c:pt>
                <c:pt idx="3">
                  <c:v>0.28414031280549218</c:v>
                </c:pt>
                <c:pt idx="4">
                  <c:v>0.28452453918310588</c:v>
                </c:pt>
                <c:pt idx="5">
                  <c:v>0.93137474819959321</c:v>
                </c:pt>
                <c:pt idx="6">
                  <c:v>1.4479052196409519</c:v>
                </c:pt>
                <c:pt idx="7">
                  <c:v>2.2408785959824278</c:v>
                </c:pt>
                <c:pt idx="8">
                  <c:v>3.4446003282819651</c:v>
                </c:pt>
                <c:pt idx="9">
                  <c:v>5.2409229437896716</c:v>
                </c:pt>
                <c:pt idx="10">
                  <c:v>7.8544776715370315</c:v>
                </c:pt>
                <c:pt idx="11">
                  <c:v>11.520114188615567</c:v>
                </c:pt>
                <c:pt idx="12">
                  <c:v>16.405363572657308</c:v>
                </c:pt>
                <c:pt idx="13">
                  <c:v>22.491028963670956</c:v>
                </c:pt>
                <c:pt idx="14">
                  <c:v>29.465364095738629</c:v>
                </c:pt>
                <c:pt idx="15">
                  <c:v>36.733532308131018</c:v>
                </c:pt>
                <c:pt idx="16">
                  <c:v>43.595030140274922</c:v>
                </c:pt>
                <c:pt idx="17">
                  <c:v>49.494021669546953</c:v>
                </c:pt>
                <c:pt idx="18">
                  <c:v>54.171130546633584</c:v>
                </c:pt>
                <c:pt idx="19">
                  <c:v>57.647057747672527</c:v>
                </c:pt>
                <c:pt idx="20">
                  <c:v>60.108014285855596</c:v>
                </c:pt>
                <c:pt idx="21">
                  <c:v>61.791160878808874</c:v>
                </c:pt>
                <c:pt idx="22">
                  <c:v>62.915285666542161</c:v>
                </c:pt>
                <c:pt idx="23">
                  <c:v>63.654182671646552</c:v>
                </c:pt>
                <c:pt idx="24">
                  <c:v>64.134789790351192</c:v>
                </c:pt>
                <c:pt idx="25">
                  <c:v>64.445262218655003</c:v>
                </c:pt>
                <c:pt idx="26">
                  <c:v>64.644941359252172</c:v>
                </c:pt>
                <c:pt idx="27">
                  <c:v>64.772998705422452</c:v>
                </c:pt>
                <c:pt idx="28">
                  <c:v>64.854973819569949</c:v>
                </c:pt>
                <c:pt idx="29">
                  <c:v>64.907388259699118</c:v>
                </c:pt>
                <c:pt idx="30">
                  <c:v>64.940876675254501</c:v>
                </c:pt>
                <c:pt idx="31">
                  <c:v>64.962262716471727</c:v>
                </c:pt>
              </c:numCache>
            </c:numRef>
          </c:val>
          <c:smooth val="0"/>
          <c:extLst>
            <c:ext xmlns:c16="http://schemas.microsoft.com/office/drawing/2014/chart" uri="{C3380CC4-5D6E-409C-BE32-E72D297353CC}">
              <c16:uniqueId val="{00000003-4380-405E-9C27-D38C2906364D}"/>
            </c:ext>
          </c:extLst>
        </c:ser>
        <c:ser>
          <c:idx val="4"/>
          <c:order val="4"/>
          <c:tx>
            <c:strRef>
              <c:f>'Steep, medium, flat'!$N$3</c:f>
              <c:strCache>
                <c:ptCount val="1"/>
                <c:pt idx="0">
                  <c:v>Denmark no subs </c:v>
                </c:pt>
              </c:strCache>
            </c:strRef>
          </c:tx>
          <c:spPr>
            <a:ln w="28575" cap="rnd">
              <a:solidFill>
                <a:schemeClr val="accent5"/>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flat'!$N$4:$N$35</c:f>
              <c:numCache>
                <c:formatCode>0.00</c:formatCode>
                <c:ptCount val="32"/>
                <c:pt idx="1">
                  <c:v>0</c:v>
                </c:pt>
                <c:pt idx="2">
                  <c:v>0</c:v>
                </c:pt>
                <c:pt idx="3">
                  <c:v>0</c:v>
                </c:pt>
                <c:pt idx="4">
                  <c:v>0.2445466806557601</c:v>
                </c:pt>
                <c:pt idx="5">
                  <c:v>0.28414031280549218</c:v>
                </c:pt>
                <c:pt idx="6">
                  <c:v>0.28452453918310588</c:v>
                </c:pt>
                <c:pt idx="7">
                  <c:v>0.93137474819959321</c:v>
                </c:pt>
                <c:pt idx="8">
                  <c:v>0.93137474819959321</c:v>
                </c:pt>
                <c:pt idx="9">
                  <c:v>0.90531080068456737</c:v>
                </c:pt>
                <c:pt idx="10">
                  <c:v>1.1672115702411343</c:v>
                </c:pt>
                <c:pt idx="11">
                  <c:v>1.6698566862576087</c:v>
                </c:pt>
                <c:pt idx="12">
                  <c:v>2.6611363671789219</c:v>
                </c:pt>
                <c:pt idx="13">
                  <c:v>4.0457569518464096</c:v>
                </c:pt>
                <c:pt idx="14">
                  <c:v>7.0372486224496811</c:v>
                </c:pt>
                <c:pt idx="15">
                  <c:v>11.087278695987386</c:v>
                </c:pt>
                <c:pt idx="16">
                  <c:v>16.291431449478718</c:v>
                </c:pt>
                <c:pt idx="17">
                  <c:v>22.589953322346989</c:v>
                </c:pt>
                <c:pt idx="18">
                  <c:v>29.738063816094563</c:v>
                </c:pt>
                <c:pt idx="19">
                  <c:v>36.355795435472501</c:v>
                </c:pt>
                <c:pt idx="20">
                  <c:v>42.691815752065018</c:v>
                </c:pt>
                <c:pt idx="21">
                  <c:v>48.328154482451801</c:v>
                </c:pt>
                <c:pt idx="22">
                  <c:v>53.003050877996714</c:v>
                </c:pt>
                <c:pt idx="23">
                  <c:v>56.642277025703507</c:v>
                </c:pt>
                <c:pt idx="24">
                  <c:v>59.326529825102554</c:v>
                </c:pt>
                <c:pt idx="25">
                  <c:v>61.223140250105146</c:v>
                </c:pt>
                <c:pt idx="26">
                  <c:v>62.520686658640876</c:v>
                </c:pt>
                <c:pt idx="27">
                  <c:v>63.388136245200755</c:v>
                </c:pt>
                <c:pt idx="28">
                  <c:v>63.958892341289413</c:v>
                </c:pt>
                <c:pt idx="29">
                  <c:v>64.330434949065463</c:v>
                </c:pt>
                <c:pt idx="30">
                  <c:v>64.570593178650171</c:v>
                </c:pt>
                <c:pt idx="31">
                  <c:v>64.725112872519745</c:v>
                </c:pt>
              </c:numCache>
            </c:numRef>
          </c:val>
          <c:smooth val="0"/>
          <c:extLst>
            <c:ext xmlns:c16="http://schemas.microsoft.com/office/drawing/2014/chart" uri="{C3380CC4-5D6E-409C-BE32-E72D297353CC}">
              <c16:uniqueId val="{00000004-4380-405E-9C27-D38C2906364D}"/>
            </c:ext>
          </c:extLst>
        </c:ser>
        <c:ser>
          <c:idx val="5"/>
          <c:order val="5"/>
          <c:tx>
            <c:strRef>
              <c:f>'Steep, medium, flat'!$O$3</c:f>
              <c:strCache>
                <c:ptCount val="1"/>
                <c:pt idx="0">
                  <c:v>Ireland</c:v>
                </c:pt>
              </c:strCache>
            </c:strRef>
          </c:tx>
          <c:spPr>
            <a:ln w="28575" cap="rnd">
              <a:solidFill>
                <a:schemeClr val="accent6"/>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flat'!$O$4:$O$35</c:f>
              <c:numCache>
                <c:formatCode>0.00</c:formatCode>
                <c:ptCount val="32"/>
                <c:pt idx="1">
                  <c:v>3.9735404900288353E-2</c:v>
                </c:pt>
                <c:pt idx="2">
                  <c:v>6.0814865680479779E-2</c:v>
                </c:pt>
                <c:pt idx="3">
                  <c:v>9.3060869482101627E-2</c:v>
                </c:pt>
                <c:pt idx="4">
                  <c:v>0.14236726087496704</c:v>
                </c:pt>
                <c:pt idx="5">
                  <c:v>0.21771000690284034</c:v>
                </c:pt>
                <c:pt idx="6">
                  <c:v>0.33272064189834066</c:v>
                </c:pt>
                <c:pt idx="7">
                  <c:v>0.50801200951831016</c:v>
                </c:pt>
                <c:pt idx="8">
                  <c:v>0.77454818827191763</c:v>
                </c:pt>
                <c:pt idx="9">
                  <c:v>1.1783714609456715</c:v>
                </c:pt>
                <c:pt idx="10">
                  <c:v>1.7868769257937176</c:v>
                </c:pt>
                <c:pt idx="11">
                  <c:v>2.6963361810187929</c:v>
                </c:pt>
                <c:pt idx="12">
                  <c:v>4.0391024160345372</c:v>
                </c:pt>
                <c:pt idx="13">
                  <c:v>5.9863117522368512</c:v>
                </c:pt>
                <c:pt idx="14">
                  <c:v>8.7376997223777266</c:v>
                </c:pt>
                <c:pt idx="15">
                  <c:v>12.486103600758348</c:v>
                </c:pt>
                <c:pt idx="16">
                  <c:v>17.346754578607644</c:v>
                </c:pt>
                <c:pt idx="17">
                  <c:v>23.261428838728147</c:v>
                </c:pt>
                <c:pt idx="18">
                  <c:v>29.926315888739872</c:v>
                </c:pt>
                <c:pt idx="19">
                  <c:v>36.816402784108064</c:v>
                </c:pt>
                <c:pt idx="20">
                  <c:v>43.33293398469911</c:v>
                </c:pt>
                <c:pt idx="21">
                  <c:v>48.997637836341092</c:v>
                </c:pt>
                <c:pt idx="22">
                  <c:v>53.571923644377804</c:v>
                </c:pt>
                <c:pt idx="23">
                  <c:v>57.050781563780149</c:v>
                </c:pt>
                <c:pt idx="24">
                  <c:v>59.577814845498921</c:v>
                </c:pt>
                <c:pt idx="25">
                  <c:v>61.352867201183777</c:v>
                </c:pt>
                <c:pt idx="26">
                  <c:v>62.570519514439546</c:v>
                </c:pt>
                <c:pt idx="27">
                  <c:v>63.392292447343138</c:v>
                </c:pt>
                <c:pt idx="28">
                  <c:v>63.940805689229563</c:v>
                </c:pt>
                <c:pt idx="29">
                  <c:v>64.304232664706845</c:v>
                </c:pt>
                <c:pt idx="30">
                  <c:v>64.543851455922123</c:v>
                </c:pt>
                <c:pt idx="31">
                  <c:v>64.701330025578272</c:v>
                </c:pt>
              </c:numCache>
            </c:numRef>
          </c:val>
          <c:smooth val="0"/>
          <c:extLst>
            <c:ext xmlns:c16="http://schemas.microsoft.com/office/drawing/2014/chart" uri="{C3380CC4-5D6E-409C-BE32-E72D297353CC}">
              <c16:uniqueId val="{00000005-4380-405E-9C27-D38C2906364D}"/>
            </c:ext>
          </c:extLst>
        </c:ser>
        <c:ser>
          <c:idx val="6"/>
          <c:order val="6"/>
          <c:tx>
            <c:strRef>
              <c:f>'Steep, medium, flat'!$P$3</c:f>
              <c:strCache>
                <c:ptCount val="1"/>
                <c:pt idx="0">
                  <c:v>NZ</c:v>
                </c:pt>
              </c:strCache>
            </c:strRef>
          </c:tx>
          <c:spPr>
            <a:ln w="28575" cap="rnd">
              <a:solidFill>
                <a:schemeClr val="accent1">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flat'!$P$4:$P$35</c:f>
              <c:numCache>
                <c:formatCode>0.00</c:formatCode>
                <c:ptCount val="32"/>
                <c:pt idx="1">
                  <c:v>2.1888993231889326E-2</c:v>
                </c:pt>
                <c:pt idx="2">
                  <c:v>3.3181380766074499E-2</c:v>
                </c:pt>
                <c:pt idx="3">
                  <c:v>5.0294927467282827E-2</c:v>
                </c:pt>
                <c:pt idx="4">
                  <c:v>7.6224558672425224E-2</c:v>
                </c:pt>
                <c:pt idx="5">
                  <c:v>0.11549848108329042</c:v>
                </c:pt>
                <c:pt idx="6">
                  <c:v>0.11847389558232939</c:v>
                </c:pt>
                <c:pt idx="7">
                  <c:v>0.26488873951865571</c:v>
                </c:pt>
                <c:pt idx="8">
                  <c:v>0.40076989322369888</c:v>
                </c:pt>
                <c:pt idx="9">
                  <c:v>0.60570241577331663</c:v>
                </c:pt>
                <c:pt idx="10">
                  <c:v>0.91394400665760067</c:v>
                </c:pt>
                <c:pt idx="11">
                  <c:v>1.3756983661601709</c:v>
                </c:pt>
                <c:pt idx="12">
                  <c:v>2.0632352831504894</c:v>
                </c:pt>
                <c:pt idx="13">
                  <c:v>3.0777626865267869</c:v>
                </c:pt>
                <c:pt idx="14">
                  <c:v>4.5550452562582526</c:v>
                </c:pt>
                <c:pt idx="15">
                  <c:v>6.6650803900395221</c:v>
                </c:pt>
                <c:pt idx="16">
                  <c:v>9.5973526779353122</c:v>
                </c:pt>
                <c:pt idx="17">
                  <c:v>13.520664050956489</c:v>
                </c:pt>
                <c:pt idx="18">
                  <c:v>18.511901087386413</c:v>
                </c:pt>
                <c:pt idx="19">
                  <c:v>24.469860094022749</c:v>
                </c:pt>
                <c:pt idx="20">
                  <c:v>31.064030092641175</c:v>
                </c:pt>
                <c:pt idx="21">
                  <c:v>37.778828723190486</c:v>
                </c:pt>
                <c:pt idx="22">
                  <c:v>44.060588758828594</c:v>
                </c:pt>
                <c:pt idx="23">
                  <c:v>49.487942130385711</c:v>
                </c:pt>
                <c:pt idx="24">
                  <c:v>53.864100890929627</c:v>
                </c:pt>
                <c:pt idx="25">
                  <c:v>57.200266309652122</c:v>
                </c:pt>
                <c:pt idx="26">
                  <c:v>59.636483712964129</c:v>
                </c:pt>
                <c:pt idx="27">
                  <c:v>61.360178858851896</c:v>
                </c:pt>
                <c:pt idx="28">
                  <c:v>62.552655924755371</c:v>
                </c:pt>
                <c:pt idx="29">
                  <c:v>63.364864897317197</c:v>
                </c:pt>
                <c:pt idx="30">
                  <c:v>63.912210608218167</c:v>
                </c:pt>
                <c:pt idx="31">
                  <c:v>64.278424047159135</c:v>
                </c:pt>
              </c:numCache>
            </c:numRef>
          </c:val>
          <c:smooth val="0"/>
          <c:extLst>
            <c:ext xmlns:c16="http://schemas.microsoft.com/office/drawing/2014/chart" uri="{C3380CC4-5D6E-409C-BE32-E72D297353CC}">
              <c16:uniqueId val="{00000006-4380-405E-9C27-D38C2906364D}"/>
            </c:ext>
          </c:extLst>
        </c:ser>
        <c:ser>
          <c:idx val="7"/>
          <c:order val="7"/>
          <c:tx>
            <c:strRef>
              <c:f>'Steep, medium, flat'!$Q$3</c:f>
              <c:strCache>
                <c:ptCount val="1"/>
                <c:pt idx="0">
                  <c:v>Sweden</c:v>
                </c:pt>
              </c:strCache>
            </c:strRef>
          </c:tx>
          <c:spPr>
            <a:ln w="28575" cap="rnd">
              <a:solidFill>
                <a:schemeClr val="accent2">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flat'!$Q$4:$Q$35</c:f>
              <c:numCache>
                <c:formatCode>0.00</c:formatCode>
                <c:ptCount val="32"/>
                <c:pt idx="1">
                  <c:v>0.15299460200173831</c:v>
                </c:pt>
                <c:pt idx="2">
                  <c:v>0.23449835169858751</c:v>
                </c:pt>
                <c:pt idx="3">
                  <c:v>0.35918053409809425</c:v>
                </c:pt>
                <c:pt idx="4">
                  <c:v>0.54959336127147995</c:v>
                </c:pt>
                <c:pt idx="5">
                  <c:v>1.5696418171502364</c:v>
                </c:pt>
                <c:pt idx="6">
                  <c:v>2.3781495989026036</c:v>
                </c:pt>
                <c:pt idx="7">
                  <c:v>3.5796100720839283</c:v>
                </c:pt>
                <c:pt idx="8">
                  <c:v>5.3363335562542451</c:v>
                </c:pt>
                <c:pt idx="9">
                  <c:v>7.8450665364293197</c:v>
                </c:pt>
                <c:pt idx="10">
                  <c:v>11.309646896270017</c:v>
                </c:pt>
                <c:pt idx="11">
                  <c:v>15.879185521949198</c:v>
                </c:pt>
                <c:pt idx="12">
                  <c:v>21.553816245209962</c:v>
                </c:pt>
                <c:pt idx="13">
                  <c:v>28.096417491564278</c:v>
                </c:pt>
                <c:pt idx="14">
                  <c:v>35.024008658586574</c:v>
                </c:pt>
                <c:pt idx="15">
                  <c:v>41.728285980140683</c:v>
                </c:pt>
                <c:pt idx="16">
                  <c:v>47.674841827857293</c:v>
                </c:pt>
                <c:pt idx="17">
                  <c:v>52.555064664009244</c:v>
                </c:pt>
                <c:pt idx="18">
                  <c:v>56.311144997869462</c:v>
                </c:pt>
                <c:pt idx="19">
                  <c:v>59.061673622444033</c:v>
                </c:pt>
                <c:pt idx="20">
                  <c:v>61.00329814668018</c:v>
                </c:pt>
                <c:pt idx="21">
                  <c:v>62.338685509486218</c:v>
                </c:pt>
                <c:pt idx="22">
                  <c:v>63.240757360076294</c:v>
                </c:pt>
                <c:pt idx="23">
                  <c:v>63.842741627581553</c:v>
                </c:pt>
                <c:pt idx="24">
                  <c:v>64.241208206836262</c:v>
                </c:pt>
                <c:pt idx="25">
                  <c:v>64.503541890273766</c:v>
                </c:pt>
                <c:pt idx="26">
                  <c:v>64.67563805863881</c:v>
                </c:pt>
                <c:pt idx="27">
                  <c:v>64.788273266841315</c:v>
                </c:pt>
                <c:pt idx="28">
                  <c:v>64.861879245893505</c:v>
                </c:pt>
                <c:pt idx="29">
                  <c:v>64.909931964655115</c:v>
                </c:pt>
                <c:pt idx="30">
                  <c:v>64.941282099830573</c:v>
                </c:pt>
                <c:pt idx="31">
                  <c:v>64.961726574009816</c:v>
                </c:pt>
              </c:numCache>
            </c:numRef>
          </c:val>
          <c:smooth val="0"/>
          <c:extLst>
            <c:ext xmlns:c16="http://schemas.microsoft.com/office/drawing/2014/chart" uri="{C3380CC4-5D6E-409C-BE32-E72D297353CC}">
              <c16:uniqueId val="{00000007-4380-405E-9C27-D38C2906364D}"/>
            </c:ext>
          </c:extLst>
        </c:ser>
        <c:ser>
          <c:idx val="8"/>
          <c:order val="8"/>
          <c:tx>
            <c:strRef>
              <c:f>'Steep, medium, flat'!$R$3</c:f>
              <c:strCache>
                <c:ptCount val="1"/>
                <c:pt idx="0">
                  <c:v>Switzerland</c:v>
                </c:pt>
              </c:strCache>
            </c:strRef>
          </c:tx>
          <c:spPr>
            <a:ln w="28575" cap="rnd">
              <a:solidFill>
                <a:schemeClr val="accent3">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flat'!$R$4:$R$35</c:f>
              <c:numCache>
                <c:formatCode>0.00</c:formatCode>
                <c:ptCount val="32"/>
                <c:pt idx="1">
                  <c:v>7.9671184386999661E-2</c:v>
                </c:pt>
                <c:pt idx="2">
                  <c:v>0.1391609287823368</c:v>
                </c:pt>
                <c:pt idx="3">
                  <c:v>0.2429049181160419</c:v>
                </c:pt>
                <c:pt idx="4">
                  <c:v>0.42348472348697969</c:v>
                </c:pt>
                <c:pt idx="5">
                  <c:v>0.73678333887473513</c:v>
                </c:pt>
                <c:pt idx="6">
                  <c:v>1.7272382151998207</c:v>
                </c:pt>
                <c:pt idx="7">
                  <c:v>1.9655495214791945</c:v>
                </c:pt>
                <c:pt idx="8">
                  <c:v>2.5181859041344001</c:v>
                </c:pt>
                <c:pt idx="9">
                  <c:v>3.5138465896522613</c:v>
                </c:pt>
                <c:pt idx="10">
                  <c:v>4.8724801350553042</c:v>
                </c:pt>
                <c:pt idx="11">
                  <c:v>6.6991954560165095</c:v>
                </c:pt>
                <c:pt idx="12">
                  <c:v>9.1070270327411542</c:v>
                </c:pt>
                <c:pt idx="13">
                  <c:v>12.199197278580884</c:v>
                </c:pt>
                <c:pt idx="14">
                  <c:v>16.039974653046883</c:v>
                </c:pt>
                <c:pt idx="15">
                  <c:v>20.617795513239166</c:v>
                </c:pt>
                <c:pt idx="16">
                  <c:v>25.813294105753002</c:v>
                </c:pt>
                <c:pt idx="17">
                  <c:v>31.39198763842187</c:v>
                </c:pt>
                <c:pt idx="18">
                  <c:v>37.036826165730012</c:v>
                </c:pt>
                <c:pt idx="19">
                  <c:v>42.415652843649568</c:v>
                </c:pt>
                <c:pt idx="20">
                  <c:v>47.255539591428146</c:v>
                </c:pt>
                <c:pt idx="21">
                  <c:v>51.391009635066219</c:v>
                </c:pt>
                <c:pt idx="22">
                  <c:v>54.771299004421564</c:v>
                </c:pt>
                <c:pt idx="23">
                  <c:v>57.435556837430028</c:v>
                </c:pt>
                <c:pt idx="24">
                  <c:v>59.475849898845816</c:v>
                </c:pt>
                <c:pt idx="25">
                  <c:v>61.004118023693003</c:v>
                </c:pt>
                <c:pt idx="26">
                  <c:v>62.129989626255771</c:v>
                </c:pt>
                <c:pt idx="27">
                  <c:v>62.949301624138897</c:v>
                </c:pt>
                <c:pt idx="28">
                  <c:v>63.540217168021101</c:v>
                </c:pt>
                <c:pt idx="29">
                  <c:v>63.963661672656372</c:v>
                </c:pt>
                <c:pt idx="30">
                  <c:v>64.265695582398237</c:v>
                </c:pt>
                <c:pt idx="31">
                  <c:v>64.480418758306072</c:v>
                </c:pt>
              </c:numCache>
            </c:numRef>
          </c:val>
          <c:smooth val="0"/>
          <c:extLst>
            <c:ext xmlns:c16="http://schemas.microsoft.com/office/drawing/2014/chart" uri="{C3380CC4-5D6E-409C-BE32-E72D297353CC}">
              <c16:uniqueId val="{00000008-4380-405E-9C27-D38C2906364D}"/>
            </c:ext>
          </c:extLst>
        </c:ser>
        <c:ser>
          <c:idx val="9"/>
          <c:order val="9"/>
          <c:tx>
            <c:strRef>
              <c:f>'Steep, medium, flat'!$S$3</c:f>
              <c:strCache>
                <c:ptCount val="1"/>
                <c:pt idx="0">
                  <c:v>Rest Europe</c:v>
                </c:pt>
              </c:strCache>
            </c:strRef>
          </c:tx>
          <c:spPr>
            <a:ln w="28575" cap="rnd">
              <a:solidFill>
                <a:schemeClr val="accent4">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flat'!$S$4:$S$35</c:f>
              <c:numCache>
                <c:formatCode>0.00</c:formatCode>
                <c:ptCount val="32"/>
                <c:pt idx="1">
                  <c:v>1.3922142440185525E-2</c:v>
                </c:pt>
                <c:pt idx="2">
                  <c:v>2.1675441318295498E-2</c:v>
                </c:pt>
                <c:pt idx="3">
                  <c:v>3.3744342442585909E-2</c:v>
                </c:pt>
                <c:pt idx="4">
                  <c:v>5.2527783932434013E-2</c:v>
                </c:pt>
                <c:pt idx="5">
                  <c:v>8.175367776141565E-2</c:v>
                </c:pt>
                <c:pt idx="6">
                  <c:v>0.12720869508644847</c:v>
                </c:pt>
                <c:pt idx="7">
                  <c:v>0.12387481770399303</c:v>
                </c:pt>
                <c:pt idx="8">
                  <c:v>0.30756372069793464</c:v>
                </c:pt>
                <c:pt idx="9">
                  <c:v>0.47764529154494301</c:v>
                </c:pt>
                <c:pt idx="10">
                  <c:v>0.74070443711545286</c:v>
                </c:pt>
                <c:pt idx="11">
                  <c:v>1.1460678396135278</c:v>
                </c:pt>
                <c:pt idx="12">
                  <c:v>1.7671726185362033</c:v>
                </c:pt>
                <c:pt idx="13">
                  <c:v>2.7105926994601921</c:v>
                </c:pt>
                <c:pt idx="14">
                  <c:v>4.1248112477580197</c:v>
                </c:pt>
                <c:pt idx="15">
                  <c:v>6.2033984467536163</c:v>
                </c:pt>
                <c:pt idx="16">
                  <c:v>9.1716221571704377</c:v>
                </c:pt>
                <c:pt idx="17">
                  <c:v>13.240269993680185</c:v>
                </c:pt>
                <c:pt idx="18">
                  <c:v>18.515233276278042</c:v>
                </c:pt>
                <c:pt idx="19">
                  <c:v>24.881512508231992</c:v>
                </c:pt>
                <c:pt idx="20">
                  <c:v>31.933037154333675</c:v>
                </c:pt>
                <c:pt idx="21">
                  <c:v>39.038366136989417</c:v>
                </c:pt>
                <c:pt idx="22">
                  <c:v>45.547003618162918</c:v>
                </c:pt>
                <c:pt idx="23">
                  <c:v>51.008720535160165</c:v>
                </c:pt>
                <c:pt idx="24">
                  <c:v>55.264742203913279</c:v>
                </c:pt>
                <c:pt idx="25">
                  <c:v>58.393791321865343</c:v>
                </c:pt>
                <c:pt idx="26">
                  <c:v>60.597242333125578</c:v>
                </c:pt>
                <c:pt idx="27">
                  <c:v>62.102220364826763</c:v>
                </c:pt>
                <c:pt idx="28">
                  <c:v>63.1088126931933</c:v>
                </c:pt>
                <c:pt idx="29">
                  <c:v>63.77265865505985</c:v>
                </c:pt>
                <c:pt idx="30">
                  <c:v>64.206411174684547</c:v>
                </c:pt>
                <c:pt idx="31">
                  <c:v>64.488102447689897</c:v>
                </c:pt>
              </c:numCache>
            </c:numRef>
          </c:val>
          <c:smooth val="0"/>
          <c:extLst>
            <c:ext xmlns:c16="http://schemas.microsoft.com/office/drawing/2014/chart" uri="{C3380CC4-5D6E-409C-BE32-E72D297353CC}">
              <c16:uniqueId val="{00000009-4380-405E-9C27-D38C2906364D}"/>
            </c:ext>
          </c:extLst>
        </c:ser>
        <c:ser>
          <c:idx val="10"/>
          <c:order val="10"/>
          <c:tx>
            <c:strRef>
              <c:f>'Steep, medium, flat'!$T$3</c:f>
              <c:strCache>
                <c:ptCount val="1"/>
                <c:pt idx="0">
                  <c:v>UK</c:v>
                </c:pt>
              </c:strCache>
            </c:strRef>
          </c:tx>
          <c:spPr>
            <a:ln w="28575" cap="rnd">
              <a:solidFill>
                <a:schemeClr val="accent5">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flat'!$T$4:$T$35</c:f>
              <c:numCache>
                <c:formatCode>0.00</c:formatCode>
                <c:ptCount val="32"/>
                <c:pt idx="1">
                  <c:v>0</c:v>
                </c:pt>
                <c:pt idx="2">
                  <c:v>6.3746553607401155E-2</c:v>
                </c:pt>
                <c:pt idx="3">
                  <c:v>0.12311636472094348</c:v>
                </c:pt>
                <c:pt idx="4">
                  <c:v>0.17450773560150143</c:v>
                </c:pt>
                <c:pt idx="5">
                  <c:v>0.62214017193631121</c:v>
                </c:pt>
                <c:pt idx="6">
                  <c:v>1.1141054329537496</c:v>
                </c:pt>
                <c:pt idx="7">
                  <c:v>1.2399004278695112</c:v>
                </c:pt>
                <c:pt idx="8">
                  <c:v>1.7449230058151759</c:v>
                </c:pt>
                <c:pt idx="9">
                  <c:v>2.4477489867286506</c:v>
                </c:pt>
                <c:pt idx="10">
                  <c:v>3.4183633247503673</c:v>
                </c:pt>
                <c:pt idx="11">
                  <c:v>4.7446650101291459</c:v>
                </c:pt>
                <c:pt idx="12">
                  <c:v>6.5309876755262284</c:v>
                </c:pt>
                <c:pt idx="13">
                  <c:v>8.8906126641970715</c:v>
                </c:pt>
                <c:pt idx="14">
                  <c:v>11.928830730580861</c:v>
                </c:pt>
                <c:pt idx="15">
                  <c:v>15.714524034922066</c:v>
                </c:pt>
                <c:pt idx="16">
                  <c:v>20.243366743568988</c:v>
                </c:pt>
                <c:pt idx="17">
                  <c:v>25.404627196324107</c:v>
                </c:pt>
                <c:pt idx="18">
                  <c:v>30.971201794702385</c:v>
                </c:pt>
                <c:pt idx="19">
                  <c:v>36.629150368416028</c:v>
                </c:pt>
                <c:pt idx="20">
                  <c:v>42.043649495910991</c:v>
                </c:pt>
                <c:pt idx="21">
                  <c:v>46.934452149406425</c:v>
                </c:pt>
                <c:pt idx="22">
                  <c:v>51.127094201982246</c:v>
                </c:pt>
                <c:pt idx="23">
                  <c:v>54.563084171109345</c:v>
                </c:pt>
                <c:pt idx="24">
                  <c:v>57.276616992813544</c:v>
                </c:pt>
                <c:pt idx="25">
                  <c:v>59.35760452132719</c:v>
                </c:pt>
                <c:pt idx="26">
                  <c:v>60.917852568126754</c:v>
                </c:pt>
                <c:pt idx="27">
                  <c:v>62.067968868417445</c:v>
                </c:pt>
                <c:pt idx="28">
                  <c:v>62.905190807797503</c:v>
                </c:pt>
                <c:pt idx="29">
                  <c:v>63.509092037664161</c:v>
                </c:pt>
                <c:pt idx="30">
                  <c:v>63.941826427757817</c:v>
                </c:pt>
                <c:pt idx="31">
                  <c:v>64.250442523908902</c:v>
                </c:pt>
              </c:numCache>
            </c:numRef>
          </c:val>
          <c:smooth val="0"/>
          <c:extLst>
            <c:ext xmlns:c16="http://schemas.microsoft.com/office/drawing/2014/chart" uri="{C3380CC4-5D6E-409C-BE32-E72D297353CC}">
              <c16:uniqueId val="{0000000A-4380-405E-9C27-D38C2906364D}"/>
            </c:ext>
          </c:extLst>
        </c:ser>
        <c:ser>
          <c:idx val="11"/>
          <c:order val="11"/>
          <c:tx>
            <c:strRef>
              <c:f>'Steep, medium, flat'!$U$3</c:f>
              <c:strCache>
                <c:ptCount val="1"/>
                <c:pt idx="0">
                  <c:v>Italy</c:v>
                </c:pt>
              </c:strCache>
            </c:strRef>
          </c:tx>
          <c:spPr>
            <a:ln w="28575" cap="rnd">
              <a:solidFill>
                <a:schemeClr val="accent6">
                  <a:lumMod val="6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flat'!$U$4:$U$35</c:f>
              <c:numCache>
                <c:formatCode>0.00</c:formatCode>
                <c:ptCount val="32"/>
                <c:pt idx="1">
                  <c:v>3.1673501110891733E-2</c:v>
                </c:pt>
                <c:pt idx="2">
                  <c:v>4.6634398966126429E-2</c:v>
                </c:pt>
                <c:pt idx="3">
                  <c:v>8.2081523558712705E-2</c:v>
                </c:pt>
                <c:pt idx="4">
                  <c:v>0.11049248750991837</c:v>
                </c:pt>
                <c:pt idx="5">
                  <c:v>0.14871484058186824</c:v>
                </c:pt>
                <c:pt idx="6">
                  <c:v>0.15297258907354042</c:v>
                </c:pt>
                <c:pt idx="7">
                  <c:v>0.24606828814625634</c:v>
                </c:pt>
                <c:pt idx="8">
                  <c:v>0.47261854943019649</c:v>
                </c:pt>
                <c:pt idx="9">
                  <c:v>0.69363502576303426</c:v>
                </c:pt>
                <c:pt idx="10">
                  <c:v>1.0163801931175711</c:v>
                </c:pt>
                <c:pt idx="11">
                  <c:v>1.485827405631815</c:v>
                </c:pt>
                <c:pt idx="12">
                  <c:v>2.164767594639474</c:v>
                </c:pt>
                <c:pt idx="13">
                  <c:v>3.1386148509074898</c:v>
                </c:pt>
                <c:pt idx="14">
                  <c:v>4.5190517009811133</c:v>
                </c:pt>
                <c:pt idx="15">
                  <c:v>6.4433974625468542</c:v>
                </c:pt>
                <c:pt idx="16">
                  <c:v>9.0643752569605045</c:v>
                </c:pt>
                <c:pt idx="17">
                  <c:v>12.523473405238571</c:v>
                </c:pt>
                <c:pt idx="18">
                  <c:v>16.903698286910249</c:v>
                </c:pt>
                <c:pt idx="19">
                  <c:v>22.168747485891053</c:v>
                </c:pt>
                <c:pt idx="20">
                  <c:v>28.115088703950246</c:v>
                </c:pt>
                <c:pt idx="21">
                  <c:v>34.376284275425931</c:v>
                </c:pt>
                <c:pt idx="22">
                  <c:v>40.500788806984481</c:v>
                </c:pt>
                <c:pt idx="23">
                  <c:v>46.074760835613823</c:v>
                </c:pt>
                <c:pt idx="24">
                  <c:v>50.824431532284635</c:v>
                </c:pt>
                <c:pt idx="25">
                  <c:v>54.649850966082099</c:v>
                </c:pt>
                <c:pt idx="26">
                  <c:v>57.593383144374307</c:v>
                </c:pt>
                <c:pt idx="27">
                  <c:v>59.77975278287154</c:v>
                </c:pt>
                <c:pt idx="28">
                  <c:v>61.361498328668745</c:v>
                </c:pt>
                <c:pt idx="29">
                  <c:v>62.484142134015258</c:v>
                </c:pt>
                <c:pt idx="30">
                  <c:v>63.270164051956705</c:v>
                </c:pt>
                <c:pt idx="31">
                  <c:v>63.815267723868956</c:v>
                </c:pt>
              </c:numCache>
            </c:numRef>
          </c:val>
          <c:smooth val="0"/>
          <c:extLst>
            <c:ext xmlns:c16="http://schemas.microsoft.com/office/drawing/2014/chart" uri="{C3380CC4-5D6E-409C-BE32-E72D297353CC}">
              <c16:uniqueId val="{0000000B-4380-405E-9C27-D38C2906364D}"/>
            </c:ext>
          </c:extLst>
        </c:ser>
        <c:ser>
          <c:idx val="12"/>
          <c:order val="12"/>
          <c:tx>
            <c:strRef>
              <c:f>'Steep, medium, flat'!$V$3</c:f>
              <c:strCache>
                <c:ptCount val="1"/>
                <c:pt idx="0">
                  <c:v>Australia</c:v>
                </c:pt>
              </c:strCache>
            </c:strRef>
          </c:tx>
          <c:spPr>
            <a:ln w="28575" cap="rnd">
              <a:solidFill>
                <a:schemeClr val="accent1">
                  <a:lumMod val="80000"/>
                  <a:lumOff val="20000"/>
                </a:schemeClr>
              </a:solidFill>
              <a:round/>
            </a:ln>
            <a:effectLst/>
          </c:spPr>
          <c:marker>
            <c:symbol val="none"/>
          </c:marker>
          <c:cat>
            <c:numRef>
              <c:f>'Steep, medium, flat'!$I$4:$I$35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flat'!$V$4:$V$35</c:f>
              <c:numCache>
                <c:formatCode>0.00</c:formatCode>
                <c:ptCount val="32"/>
                <c:pt idx="1">
                  <c:v>0</c:v>
                </c:pt>
                <c:pt idx="2">
                  <c:v>1.9307934808819711E-2</c:v>
                </c:pt>
                <c:pt idx="3">
                  <c:v>1.5945111417234707E-2</c:v>
                </c:pt>
                <c:pt idx="4">
                  <c:v>3.3737289203929641E-2</c:v>
                </c:pt>
                <c:pt idx="5">
                  <c:v>0.14852189694342086</c:v>
                </c:pt>
                <c:pt idx="6">
                  <c:v>0.19105189234029193</c:v>
                </c:pt>
                <c:pt idx="7">
                  <c:v>0.19728827949079125</c:v>
                </c:pt>
                <c:pt idx="8">
                  <c:v>0.21240931229561377</c:v>
                </c:pt>
                <c:pt idx="9">
                  <c:v>0.32791105969958972</c:v>
                </c:pt>
                <c:pt idx="10">
                  <c:v>0.62592473597208209</c:v>
                </c:pt>
                <c:pt idx="11">
                  <c:v>0.96294157557979021</c:v>
                </c:pt>
                <c:pt idx="12">
                  <c:v>1.4772543508293725</c:v>
                </c:pt>
                <c:pt idx="13">
                  <c:v>2.2565846223029289</c:v>
                </c:pt>
                <c:pt idx="14">
                  <c:v>3.4248861919283669</c:v>
                </c:pt>
                <c:pt idx="15">
                  <c:v>5.1484202707284563</c:v>
                </c:pt>
                <c:pt idx="16">
                  <c:v>7.6318010741069422</c:v>
                </c:pt>
                <c:pt idx="17">
                  <c:v>11.091081532193469</c:v>
                </c:pt>
                <c:pt idx="18">
                  <c:v>15.689528339977821</c:v>
                </c:pt>
                <c:pt idx="19">
                  <c:v>21.43640308466075</c:v>
                </c:pt>
                <c:pt idx="20">
                  <c:v>28.089189867793255</c:v>
                </c:pt>
                <c:pt idx="21">
                  <c:v>35.141157291165442</c:v>
                </c:pt>
                <c:pt idx="22">
                  <c:v>41.951353198671526</c:v>
                </c:pt>
                <c:pt idx="23">
                  <c:v>47.961401436211673</c:v>
                </c:pt>
                <c:pt idx="24">
                  <c:v>52.857885146385492</c:v>
                </c:pt>
                <c:pt idx="25">
                  <c:v>56.593863394225558</c:v>
                </c:pt>
                <c:pt idx="26">
                  <c:v>59.304195582809022</c:v>
                </c:pt>
                <c:pt idx="27">
                  <c:v>61.199340704064824</c:v>
                </c:pt>
                <c:pt idx="28">
                  <c:v>62.490602530055654</c:v>
                </c:pt>
                <c:pt idx="29">
                  <c:v>63.35495464768961</c:v>
                </c:pt>
                <c:pt idx="30">
                  <c:v>63.926697580784932</c:v>
                </c:pt>
                <c:pt idx="31">
                  <c:v>64.301918201083282</c:v>
                </c:pt>
              </c:numCache>
            </c:numRef>
          </c:val>
          <c:smooth val="0"/>
          <c:extLst>
            <c:ext xmlns:c16="http://schemas.microsoft.com/office/drawing/2014/chart" uri="{C3380CC4-5D6E-409C-BE32-E72D297353CC}">
              <c16:uniqueId val="{0000000C-4380-405E-9C27-D38C2906364D}"/>
            </c:ext>
          </c:extLst>
        </c:ser>
        <c:dLbls>
          <c:showLegendKey val="0"/>
          <c:showVal val="0"/>
          <c:showCatName val="0"/>
          <c:showSerName val="0"/>
          <c:showPercent val="0"/>
          <c:showBubbleSize val="0"/>
        </c:dLbls>
        <c:smooth val="0"/>
        <c:axId val="626467488"/>
        <c:axId val="626467816"/>
      </c:lineChart>
      <c:catAx>
        <c:axId val="6264674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467816"/>
        <c:crosses val="autoZero"/>
        <c:auto val="1"/>
        <c:lblAlgn val="ctr"/>
        <c:lblOffset val="100"/>
        <c:noMultiLvlLbl val="0"/>
      </c:catAx>
      <c:valAx>
        <c:axId val="626467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467488"/>
        <c:crosses val="autoZero"/>
        <c:crossBetween val="between"/>
      </c:valAx>
      <c:spPr>
        <a:noFill/>
        <a:ln>
          <a:noFill/>
        </a:ln>
        <a:effectLst/>
      </c:spPr>
    </c:plotArea>
    <c:legend>
      <c:legendPos val="b"/>
      <c:layout>
        <c:manualLayout>
          <c:xMode val="edge"/>
          <c:yMode val="edge"/>
          <c:x val="7.5353635785743847E-2"/>
          <c:y val="0.8262400178701067"/>
          <c:w val="0.84929258441361311"/>
          <c:h val="0.15484745257906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'Steep, medium, flat'!$Y$3</c:f>
              <c:strCache>
                <c:ptCount val="1"/>
                <c:pt idx="0">
                  <c:v>India</c:v>
                </c:pt>
              </c:strCache>
            </c:strRef>
          </c:tx>
          <c:spPr>
            <a:ln w="28575" cap="rnd">
              <a:solidFill>
                <a:schemeClr val="accent1"/>
              </a:solidFill>
              <a:round/>
            </a:ln>
            <a:effectLst/>
          </c:spPr>
          <c:marker>
            <c:symbol val="none"/>
          </c:marker>
          <c:cat>
            <c:numRef>
              <c:f>'Steep, medium, flat'!$X$4:$X$35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flat'!$Y$4:$Y$35</c:f>
              <c:numCache>
                <c:formatCode>0.00</c:formatCode>
                <c:ptCount val="32"/>
                <c:pt idx="1">
                  <c:v>7.3879359541848419E-2</c:v>
                </c:pt>
                <c:pt idx="2">
                  <c:v>8.9508675999903864E-2</c:v>
                </c:pt>
                <c:pt idx="3">
                  <c:v>0.10843888120676225</c:v>
                </c:pt>
                <c:pt idx="4">
                  <c:v>0.13136453644471022</c:v>
                </c:pt>
                <c:pt idx="5">
                  <c:v>0.15912514420898602</c:v>
                </c:pt>
                <c:pt idx="6">
                  <c:v>0.1927348314807267</c:v>
                </c:pt>
                <c:pt idx="7">
                  <c:v>0.23341784865421891</c:v>
                </c:pt>
                <c:pt idx="8">
                  <c:v>0.28265089943372285</c:v>
                </c:pt>
                <c:pt idx="9">
                  <c:v>0.34221343420214007</c:v>
                </c:pt>
                <c:pt idx="10">
                  <c:v>0.41424713827539777</c:v>
                </c:pt>
                <c:pt idx="11">
                  <c:v>0.50132590511767838</c:v>
                </c:pt>
                <c:pt idx="12">
                  <c:v>0.60653756944353054</c:v>
                </c:pt>
                <c:pt idx="13">
                  <c:v>0.7335785364504962</c:v>
                </c:pt>
                <c:pt idx="14">
                  <c:v>0.88686210956113698</c:v>
                </c:pt>
                <c:pt idx="15">
                  <c:v>1.0716406896356336</c:v>
                </c:pt>
                <c:pt idx="16">
                  <c:v>1.2941409573841982</c:v>
                </c:pt>
                <c:pt idx="17">
                  <c:v>1.5617094795796753</c:v>
                </c:pt>
                <c:pt idx="18">
                  <c:v>1.8829636772975846</c:v>
                </c:pt>
                <c:pt idx="19">
                  <c:v>2.2679395050816198</c:v>
                </c:pt>
                <c:pt idx="20">
                  <c:v>2.7282222524337612</c:v>
                </c:pt>
                <c:pt idx="21">
                  <c:v>3.2770403898495579</c:v>
                </c:pt>
                <c:pt idx="22">
                  <c:v>3.9292943115095809</c:v>
                </c:pt>
                <c:pt idx="23">
                  <c:v>4.7014825110803562</c:v>
                </c:pt>
                <c:pt idx="24">
                  <c:v>5.6114781425235627</c:v>
                </c:pt>
                <c:pt idx="25">
                  <c:v>6.6781010294633321</c:v>
                </c:pt>
                <c:pt idx="26">
                  <c:v>7.9204272879143121</c:v>
                </c:pt>
                <c:pt idx="27">
                  <c:v>9.3567855877488721</c:v>
                </c:pt>
                <c:pt idx="28">
                  <c:v>11.003411575932741</c:v>
                </c:pt>
                <c:pt idx="29">
                  <c:v>12.872775785252154</c:v>
                </c:pt>
                <c:pt idx="30">
                  <c:v>14.971668268591911</c:v>
                </c:pt>
                <c:pt idx="31">
                  <c:v>17.299211315914775</c:v>
                </c:pt>
              </c:numCache>
            </c:numRef>
          </c:val>
          <c:smooth val="0"/>
          <c:extLst>
            <c:ext xmlns:c16="http://schemas.microsoft.com/office/drawing/2014/chart" uri="{C3380CC4-5D6E-409C-BE32-E72D297353CC}">
              <c16:uniqueId val="{00000000-D943-4BA2-954E-396C009E16C6}"/>
            </c:ext>
          </c:extLst>
        </c:ser>
        <c:ser>
          <c:idx val="1"/>
          <c:order val="1"/>
          <c:tx>
            <c:strRef>
              <c:f>'Steep, medium, flat'!$Z$3</c:f>
              <c:strCache>
                <c:ptCount val="1"/>
                <c:pt idx="0">
                  <c:v>Japan</c:v>
                </c:pt>
              </c:strCache>
            </c:strRef>
          </c:tx>
          <c:spPr>
            <a:ln w="28575" cap="rnd">
              <a:solidFill>
                <a:schemeClr val="accent2"/>
              </a:solidFill>
              <a:round/>
            </a:ln>
            <a:effectLst/>
          </c:spPr>
          <c:marker>
            <c:symbol val="none"/>
          </c:marker>
          <c:cat>
            <c:numRef>
              <c:f>'Steep, medium, flat'!$X$4:$X$35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flat'!$Z$4:$Z$35</c:f>
              <c:numCache>
                <c:formatCode>0.00</c:formatCode>
                <c:ptCount val="32"/>
                <c:pt idx="1">
                  <c:v>0.37763544019268991</c:v>
                </c:pt>
                <c:pt idx="2">
                  <c:v>0.44890658958815161</c:v>
                </c:pt>
                <c:pt idx="3">
                  <c:v>0.53351769485601419</c:v>
                </c:pt>
                <c:pt idx="4">
                  <c:v>0.63391991215036203</c:v>
                </c:pt>
                <c:pt idx="5">
                  <c:v>0.69122173256355823</c:v>
                </c:pt>
                <c:pt idx="6">
                  <c:v>0.58282814824822404</c:v>
                </c:pt>
                <c:pt idx="7">
                  <c:v>0.60024846680994026</c:v>
                </c:pt>
                <c:pt idx="8">
                  <c:v>1.2590579509713404</c:v>
                </c:pt>
                <c:pt idx="9">
                  <c:v>1.4928371390463264</c:v>
                </c:pt>
                <c:pt idx="10">
                  <c:v>1.7688193798116725</c:v>
                </c:pt>
                <c:pt idx="11">
                  <c:v>2.0941403093031719</c:v>
                </c:pt>
                <c:pt idx="12">
                  <c:v>2.4769503709961866</c:v>
                </c:pt>
                <c:pt idx="13">
                  <c:v>2.9264828480241376</c:v>
                </c:pt>
                <c:pt idx="14">
                  <c:v>3.4530934847635457</c:v>
                </c:pt>
                <c:pt idx="15">
                  <c:v>4.0682552925428244</c:v>
                </c:pt>
                <c:pt idx="16">
                  <c:v>4.7844877499604683</c:v>
                </c:pt>
                <c:pt idx="17">
                  <c:v>5.6151953688923006</c:v>
                </c:pt>
                <c:pt idx="18">
                  <c:v>6.5743873969310416</c:v>
                </c:pt>
                <c:pt idx="19">
                  <c:v>7.6762496412036976</c:v>
                </c:pt>
                <c:pt idx="20">
                  <c:v>8.934542906055853</c:v>
                </c:pt>
                <c:pt idx="21">
                  <c:v>10.361812576120002</c:v>
                </c:pt>
                <c:pt idx="22">
                  <c:v>11.968412618693254</c:v>
                </c:pt>
                <c:pt idx="23">
                  <c:v>13.761376026223918</c:v>
                </c:pt>
                <c:pt idx="24">
                  <c:v>15.743201724789555</c:v>
                </c:pt>
                <c:pt idx="25">
                  <c:v>17.910671129207994</c:v>
                </c:pt>
                <c:pt idx="26">
                  <c:v>20.253847466681552</c:v>
                </c:pt>
                <c:pt idx="27">
                  <c:v>22.755435479348741</c:v>
                </c:pt>
                <c:pt idx="28">
                  <c:v>25.390674501188812</c:v>
                </c:pt>
                <c:pt idx="29">
                  <c:v>28.127893831324712</c:v>
                </c:pt>
                <c:pt idx="30">
                  <c:v>30.929774511876143</c:v>
                </c:pt>
                <c:pt idx="31">
                  <c:v>33.75524808240845</c:v>
                </c:pt>
              </c:numCache>
            </c:numRef>
          </c:val>
          <c:smooth val="0"/>
          <c:extLst>
            <c:ext xmlns:c16="http://schemas.microsoft.com/office/drawing/2014/chart" uri="{C3380CC4-5D6E-409C-BE32-E72D297353CC}">
              <c16:uniqueId val="{00000001-D943-4BA2-954E-396C009E16C6}"/>
            </c:ext>
          </c:extLst>
        </c:ser>
        <c:ser>
          <c:idx val="2"/>
          <c:order val="2"/>
          <c:tx>
            <c:strRef>
              <c:f>'Steep, medium, flat'!$AA$3</c:f>
              <c:strCache>
                <c:ptCount val="1"/>
                <c:pt idx="0">
                  <c:v>Spain</c:v>
                </c:pt>
              </c:strCache>
            </c:strRef>
          </c:tx>
          <c:spPr>
            <a:ln w="28575" cap="rnd">
              <a:solidFill>
                <a:schemeClr val="accent3"/>
              </a:solidFill>
              <a:round/>
            </a:ln>
            <a:effectLst/>
          </c:spPr>
          <c:marker>
            <c:symbol val="none"/>
          </c:marker>
          <c:cat>
            <c:numRef>
              <c:f>'Steep, medium, flat'!$X$4:$X$35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flat'!$AA$4:$AA$35</c:f>
              <c:numCache>
                <c:formatCode>0.00</c:formatCode>
                <c:ptCount val="32"/>
                <c:pt idx="1">
                  <c:v>0</c:v>
                </c:pt>
                <c:pt idx="2">
                  <c:v>7.9726181987478606E-2</c:v>
                </c:pt>
                <c:pt idx="3">
                  <c:v>0.10374374152131341</c:v>
                </c:pt>
                <c:pt idx="4">
                  <c:v>0.13498156151751803</c:v>
                </c:pt>
                <c:pt idx="5">
                  <c:v>0.17559981263618776</c:v>
                </c:pt>
                <c:pt idx="6">
                  <c:v>0.2283977496812255</c:v>
                </c:pt>
                <c:pt idx="7">
                  <c:v>0.29699781325595348</c:v>
                </c:pt>
                <c:pt idx="8">
                  <c:v>0.59705961331901092</c:v>
                </c:pt>
                <c:pt idx="9">
                  <c:v>0.77506356503223739</c:v>
                </c:pt>
                <c:pt idx="10">
                  <c:v>1.0053082103042874</c:v>
                </c:pt>
                <c:pt idx="11">
                  <c:v>1.3025634030058668</c:v>
                </c:pt>
                <c:pt idx="12">
                  <c:v>1.6853978600233139</c:v>
                </c:pt>
                <c:pt idx="13">
                  <c:v>2.1769052253495365</c:v>
                </c:pt>
                <c:pt idx="14">
                  <c:v>2.8053982735175036</c:v>
                </c:pt>
                <c:pt idx="15">
                  <c:v>3.6049310682133533</c:v>
                </c:pt>
                <c:pt idx="16">
                  <c:v>4.6154193572990128</c:v>
                </c:pt>
                <c:pt idx="17">
                  <c:v>5.8820180433334794</c:v>
                </c:pt>
                <c:pt idx="18">
                  <c:v>7.4533032347368664</c:v>
                </c:pt>
                <c:pt idx="19">
                  <c:v>9.3777487441254639</c:v>
                </c:pt>
                <c:pt idx="20">
                  <c:v>11.698078570932097</c:v>
                </c:pt>
                <c:pt idx="21">
                  <c:v>14.443444720759517</c:v>
                </c:pt>
                <c:pt idx="22">
                  <c:v>17.620121247697206</c:v>
                </c:pt>
                <c:pt idx="23">
                  <c:v>21.202461713609075</c:v>
                </c:pt>
                <c:pt idx="24">
                  <c:v>25.12687573909826</c:v>
                </c:pt>
                <c:pt idx="25">
                  <c:v>29.291865338853871</c:v>
                </c:pt>
                <c:pt idx="26">
                  <c:v>33.566058411412435</c:v>
                </c:pt>
                <c:pt idx="27">
                  <c:v>37.803651140592251</c:v>
                </c:pt>
                <c:pt idx="28">
                  <c:v>41.863737053982668</c:v>
                </c:pt>
                <c:pt idx="29">
                  <c:v>45.628295868721665</c:v>
                </c:pt>
                <c:pt idx="30">
                  <c:v>49.01421436123956</c:v>
                </c:pt>
                <c:pt idx="31">
                  <c:v>51.977228543072854</c:v>
                </c:pt>
              </c:numCache>
            </c:numRef>
          </c:val>
          <c:smooth val="0"/>
          <c:extLst>
            <c:ext xmlns:c16="http://schemas.microsoft.com/office/drawing/2014/chart" uri="{C3380CC4-5D6E-409C-BE32-E72D297353CC}">
              <c16:uniqueId val="{00000002-D943-4BA2-954E-396C009E16C6}"/>
            </c:ext>
          </c:extLst>
        </c:ser>
        <c:ser>
          <c:idx val="3"/>
          <c:order val="3"/>
          <c:tx>
            <c:strRef>
              <c:f>'Steep, medium, flat'!$AB$3</c:f>
              <c:strCache>
                <c:ptCount val="1"/>
                <c:pt idx="0">
                  <c:v>USA</c:v>
                </c:pt>
              </c:strCache>
            </c:strRef>
          </c:tx>
          <c:spPr>
            <a:ln w="28575" cap="rnd">
              <a:solidFill>
                <a:schemeClr val="accent4"/>
              </a:solidFill>
              <a:round/>
            </a:ln>
            <a:effectLst/>
          </c:spPr>
          <c:marker>
            <c:symbol val="none"/>
          </c:marker>
          <c:cat>
            <c:numRef>
              <c:f>'Steep, medium, flat'!$X$4:$X$35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flat'!$AB$4:$AB$35</c:f>
              <c:numCache>
                <c:formatCode>0.00</c:formatCode>
                <c:ptCount val="32"/>
                <c:pt idx="1">
                  <c:v>0.27236607887944386</c:v>
                </c:pt>
                <c:pt idx="2">
                  <c:v>0.3452602736585953</c:v>
                </c:pt>
                <c:pt idx="3">
                  <c:v>0.43753150028238091</c:v>
                </c:pt>
                <c:pt idx="4">
                  <c:v>0.75238469235392802</c:v>
                </c:pt>
                <c:pt idx="5">
                  <c:v>0.95185857423565579</c:v>
                </c:pt>
                <c:pt idx="6">
                  <c:v>0.88800892679070453</c:v>
                </c:pt>
                <c:pt idx="7">
                  <c:v>1.1228114078567422</c:v>
                </c:pt>
                <c:pt idx="8">
                  <c:v>1.4183255938840109</c:v>
                </c:pt>
                <c:pt idx="9">
                  <c:v>2.6156431898055854</c:v>
                </c:pt>
                <c:pt idx="10">
                  <c:v>2.7228670318692854</c:v>
                </c:pt>
                <c:pt idx="11">
                  <c:v>2.8342866355497933</c:v>
                </c:pt>
                <c:pt idx="12">
                  <c:v>3.5551760195496298</c:v>
                </c:pt>
                <c:pt idx="13">
                  <c:v>4.4463065083250726</c:v>
                </c:pt>
                <c:pt idx="14">
                  <c:v>5.5406634902843503</c:v>
                </c:pt>
                <c:pt idx="15">
                  <c:v>6.8737959202792842</c:v>
                </c:pt>
                <c:pt idx="16">
                  <c:v>8.4819345291881394</c:v>
                </c:pt>
                <c:pt idx="17">
                  <c:v>10.39899200101924</c:v>
                </c:pt>
                <c:pt idx="18">
                  <c:v>12.652339034827211</c:v>
                </c:pt>
                <c:pt idx="19">
                  <c:v>15.25751951629652</c:v>
                </c:pt>
                <c:pt idx="20">
                  <c:v>18.212491769628407</c:v>
                </c:pt>
                <c:pt idx="21">
                  <c:v>21.492486800444834</c:v>
                </c:pt>
                <c:pt idx="22">
                  <c:v>25.046966098071962</c:v>
                </c:pt>
                <c:pt idx="23">
                  <c:v>28.800162611632498</c:v>
                </c:pt>
                <c:pt idx="24">
                  <c:v>32.656075477571825</c:v>
                </c:pt>
                <c:pt idx="25">
                  <c:v>36.507599321444729</c:v>
                </c:pt>
                <c:pt idx="26">
                  <c:v>40.248112240310185</c:v>
                </c:pt>
                <c:pt idx="27">
                  <c:v>43.782954090933238</c:v>
                </c:pt>
                <c:pt idx="28">
                  <c:v>47.038267718087994</c:v>
                </c:pt>
                <c:pt idx="29">
                  <c:v>49.965627955048241</c:v>
                </c:pt>
                <c:pt idx="30">
                  <c:v>52.542249014773667</c:v>
                </c:pt>
                <c:pt idx="31">
                  <c:v>54.767714504466355</c:v>
                </c:pt>
              </c:numCache>
            </c:numRef>
          </c:val>
          <c:smooth val="0"/>
          <c:extLst>
            <c:ext xmlns:c16="http://schemas.microsoft.com/office/drawing/2014/chart" uri="{C3380CC4-5D6E-409C-BE32-E72D297353CC}">
              <c16:uniqueId val="{00000003-D943-4BA2-954E-396C009E16C6}"/>
            </c:ext>
          </c:extLst>
        </c:ser>
        <c:ser>
          <c:idx val="4"/>
          <c:order val="4"/>
          <c:tx>
            <c:strRef>
              <c:f>'Steep, medium, flat'!$AC$3</c:f>
              <c:strCache>
                <c:ptCount val="1"/>
                <c:pt idx="0">
                  <c:v>France</c:v>
                </c:pt>
              </c:strCache>
            </c:strRef>
          </c:tx>
          <c:spPr>
            <a:ln w="28575" cap="rnd">
              <a:solidFill>
                <a:schemeClr val="accent5"/>
              </a:solidFill>
              <a:round/>
            </a:ln>
            <a:effectLst/>
          </c:spPr>
          <c:marker>
            <c:symbol val="none"/>
          </c:marker>
          <c:cat>
            <c:numRef>
              <c:f>'Steep, medium, flat'!$X$4:$X$35</c:f>
              <c:numCache>
                <c:formatCode>0</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'Steep, medium, flat'!$AC$4:$AC$35</c:f>
              <c:numCache>
                <c:formatCode>0.00</c:formatCode>
                <c:ptCount val="32"/>
                <c:pt idx="1">
                  <c:v>0</c:v>
                </c:pt>
                <c:pt idx="2">
                  <c:v>0</c:v>
                </c:pt>
                <c:pt idx="3">
                  <c:v>0.3326081919378055</c:v>
                </c:pt>
                <c:pt idx="4">
                  <c:v>0.53655302059368892</c:v>
                </c:pt>
                <c:pt idx="5">
                  <c:v>0.69582893347782004</c:v>
                </c:pt>
                <c:pt idx="6">
                  <c:v>1.2017643024582392</c:v>
                </c:pt>
                <c:pt idx="7">
                  <c:v>1.4468260734570164</c:v>
                </c:pt>
                <c:pt idx="8">
                  <c:v>1.7404971160048122</c:v>
                </c:pt>
                <c:pt idx="9">
                  <c:v>2.0918143794335924</c:v>
                </c:pt>
                <c:pt idx="10">
                  <c:v>2.5112295614465268</c:v>
                </c:pt>
                <c:pt idx="11">
                  <c:v>3.0107141260906078</c:v>
                </c:pt>
                <c:pt idx="12">
                  <c:v>3.6038168475970256</c:v>
                </c:pt>
                <c:pt idx="13">
                  <c:v>4.3056438023428854</c:v>
                </c:pt>
                <c:pt idx="14">
                  <c:v>5.1327221164140759</c:v>
                </c:pt>
                <c:pt idx="15">
                  <c:v>6.1027007251192567</c:v>
                </c:pt>
                <c:pt idx="16">
                  <c:v>7.2338362019303668</c:v>
                </c:pt>
                <c:pt idx="17">
                  <c:v>8.5442128980735639</c:v>
                </c:pt>
                <c:pt idx="18">
                  <c:v>10.050658916349153</c:v>
                </c:pt>
                <c:pt idx="19">
                  <c:v>11.767348060463275</c:v>
                </c:pt>
                <c:pt idx="20">
                  <c:v>13.704126976386682</c:v>
                </c:pt>
                <c:pt idx="21">
                  <c:v>15.864676460614854</c:v>
                </c:pt>
                <c:pt idx="22">
                  <c:v>18.2446991592826</c:v>
                </c:pt>
                <c:pt idx="23">
                  <c:v>20.830405173776125</c:v>
                </c:pt>
                <c:pt idx="24">
                  <c:v>23.597615056751863</c:v>
                </c:pt>
                <c:pt idx="25">
                  <c:v>26.511785194965093</c:v>
                </c:pt>
                <c:pt idx="26">
                  <c:v>29.529161341843466</c:v>
                </c:pt>
                <c:pt idx="27">
                  <c:v>32.599083937523453</c:v>
                </c:pt>
                <c:pt idx="28">
                  <c:v>35.667239375327917</c:v>
                </c:pt>
                <c:pt idx="29">
                  <c:v>38.679438450277175</c:v>
                </c:pt>
                <c:pt idx="30">
                  <c:v>41.585376567024952</c:v>
                </c:pt>
                <c:pt idx="31">
                  <c:v>44.34183475482628</c:v>
                </c:pt>
              </c:numCache>
            </c:numRef>
          </c:val>
          <c:smooth val="0"/>
          <c:extLst>
            <c:ext xmlns:c16="http://schemas.microsoft.com/office/drawing/2014/chart" uri="{C3380CC4-5D6E-409C-BE32-E72D297353CC}">
              <c16:uniqueId val="{00000004-D943-4BA2-954E-396C009E16C6}"/>
            </c:ext>
          </c:extLst>
        </c:ser>
        <c:dLbls>
          <c:showLegendKey val="0"/>
          <c:showVal val="0"/>
          <c:showCatName val="0"/>
          <c:showSerName val="0"/>
          <c:showPercent val="0"/>
          <c:showBubbleSize val="0"/>
        </c:dLbls>
        <c:smooth val="0"/>
        <c:axId val="798185432"/>
        <c:axId val="798185760"/>
      </c:lineChart>
      <c:catAx>
        <c:axId val="7981854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185760"/>
        <c:crosses val="autoZero"/>
        <c:auto val="1"/>
        <c:lblAlgn val="ctr"/>
        <c:lblOffset val="100"/>
        <c:noMultiLvlLbl val="0"/>
      </c:catAx>
      <c:valAx>
        <c:axId val="798185760"/>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18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All EV uptake'!$BC$3</c:f>
              <c:strCache>
                <c:ptCount val="1"/>
                <c:pt idx="0">
                  <c:v>OZ raw</c:v>
                </c:pt>
              </c:strCache>
            </c:strRef>
          </c:tx>
          <c:spPr>
            <a:ln w="28575" cap="rnd">
              <a:solidFill>
                <a:schemeClr val="accent1"/>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uptake'!$BC$4:$BC$35</c:f>
              <c:numCache>
                <c:formatCode>General</c:formatCode>
                <c:ptCount val="32"/>
                <c:pt idx="1">
                  <c:v>0</c:v>
                </c:pt>
                <c:pt idx="2">
                  <c:v>-8.121329318189499</c:v>
                </c:pt>
                <c:pt idx="3">
                  <c:v>-8.3127449213434392</c:v>
                </c:pt>
                <c:pt idx="4">
                  <c:v>-7.5630196487128547</c:v>
                </c:pt>
                <c:pt idx="5">
                  <c:v>-6.0791225805933706</c:v>
                </c:pt>
                <c:pt idx="6">
                  <c:v>-5.8266538820965206</c:v>
                </c:pt>
                <c:pt idx="7">
                  <c:v>-5.7944367222463393</c:v>
                </c:pt>
                <c:pt idx="8">
                  <c:v>-5.7203542306622239</c:v>
                </c:pt>
                <c:pt idx="9">
                  <c:v>-5.2843425832931477</c:v>
                </c:pt>
                <c:pt idx="10">
                  <c:v>-4.6332361392368906</c:v>
                </c:pt>
                <c:pt idx="11">
                  <c:v>-4.1972244918678152</c:v>
                </c:pt>
                <c:pt idx="12">
                  <c:v>-3.7612128444987389</c:v>
                </c:pt>
                <c:pt idx="13">
                  <c:v>-3.3252011971296627</c:v>
                </c:pt>
                <c:pt idx="14">
                  <c:v>-2.8891895497605873</c:v>
                </c:pt>
                <c:pt idx="15">
                  <c:v>-2.453177902391511</c:v>
                </c:pt>
                <c:pt idx="16">
                  <c:v>-2.0171662550224347</c:v>
                </c:pt>
                <c:pt idx="17">
                  <c:v>-1.5811546076533585</c:v>
                </c:pt>
                <c:pt idx="18">
                  <c:v>-1.1451429602842822</c:v>
                </c:pt>
                <c:pt idx="19">
                  <c:v>-0.70913131291520592</c:v>
                </c:pt>
                <c:pt idx="20">
                  <c:v>-0.27311966554612965</c:v>
                </c:pt>
                <c:pt idx="21">
                  <c:v>0.16289198182294484</c:v>
                </c:pt>
                <c:pt idx="22">
                  <c:v>0.59890362919202111</c:v>
                </c:pt>
                <c:pt idx="23">
                  <c:v>1.0349152765610974</c:v>
                </c:pt>
                <c:pt idx="24">
                  <c:v>1.4709269239301737</c:v>
                </c:pt>
                <c:pt idx="25">
                  <c:v>1.9069385712992499</c:v>
                </c:pt>
                <c:pt idx="26">
                  <c:v>2.3429502186683262</c:v>
                </c:pt>
                <c:pt idx="27">
                  <c:v>2.7789618660374025</c:v>
                </c:pt>
                <c:pt idx="28">
                  <c:v>3.214973513406477</c:v>
                </c:pt>
                <c:pt idx="29">
                  <c:v>3.6509851607755532</c:v>
                </c:pt>
                <c:pt idx="30">
                  <c:v>4.0869968081446295</c:v>
                </c:pt>
                <c:pt idx="31">
                  <c:v>4.5230084555137058</c:v>
                </c:pt>
              </c:numCache>
            </c:numRef>
          </c:val>
          <c:smooth val="0"/>
          <c:extLst>
            <c:ext xmlns:c16="http://schemas.microsoft.com/office/drawing/2014/chart" uri="{C3380CC4-5D6E-409C-BE32-E72D297353CC}">
              <c16:uniqueId val="{00000000-51C7-46DC-A36D-2706BC0DC720}"/>
            </c:ext>
          </c:extLst>
        </c:ser>
        <c:ser>
          <c:idx val="1"/>
          <c:order val="1"/>
          <c:tx>
            <c:strRef>
              <c:f>' All EV uptake'!$BE$3</c:f>
              <c:strCache>
                <c:ptCount val="1"/>
                <c:pt idx="0">
                  <c:v>Norway raw</c:v>
                </c:pt>
              </c:strCache>
            </c:strRef>
          </c:tx>
          <c:spPr>
            <a:ln w="28575" cap="rnd">
              <a:solidFill>
                <a:schemeClr val="accent2"/>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uptake'!$BE$4:$BE$35</c:f>
              <c:numCache>
                <c:formatCode>General</c:formatCode>
                <c:ptCount val="32"/>
                <c:pt idx="1">
                  <c:v>-4.2064527095640738</c:v>
                </c:pt>
                <c:pt idx="2">
                  <c:v>-3.5447191808854641</c:v>
                </c:pt>
                <c:pt idx="3">
                  <c:v>-2.8829856522068544</c:v>
                </c:pt>
                <c:pt idx="4">
                  <c:v>-2.2212521235282452</c:v>
                </c:pt>
                <c:pt idx="5">
                  <c:v>-1.559518594849636</c:v>
                </c:pt>
                <c:pt idx="6">
                  <c:v>-0.89778506617102627</c:v>
                </c:pt>
                <c:pt idx="7">
                  <c:v>-0.23605153749241659</c:v>
                </c:pt>
                <c:pt idx="8">
                  <c:v>0.42568199118619265</c:v>
                </c:pt>
                <c:pt idx="9">
                  <c:v>1.0874155198648019</c:v>
                </c:pt>
                <c:pt idx="10">
                  <c:v>1.7491490485434111</c:v>
                </c:pt>
                <c:pt idx="11">
                  <c:v>2.4108825772220213</c:v>
                </c:pt>
                <c:pt idx="12">
                  <c:v>3.0726161059006305</c:v>
                </c:pt>
                <c:pt idx="13">
                  <c:v>3.7343496345792397</c:v>
                </c:pt>
                <c:pt idx="14">
                  <c:v>4.3960831632578499</c:v>
                </c:pt>
                <c:pt idx="15">
                  <c:v>5.0578166919364582</c:v>
                </c:pt>
                <c:pt idx="16">
                  <c:v>5.7195502206150683</c:v>
                </c:pt>
                <c:pt idx="17">
                  <c:v>6.3812837492936785</c:v>
                </c:pt>
                <c:pt idx="18">
                  <c:v>7.0430172779722868</c:v>
                </c:pt>
                <c:pt idx="19">
                  <c:v>7.704750806650897</c:v>
                </c:pt>
                <c:pt idx="20">
                  <c:v>8.3664843353295062</c:v>
                </c:pt>
                <c:pt idx="21">
                  <c:v>9.0282178640081163</c:v>
                </c:pt>
                <c:pt idx="22">
                  <c:v>9.6899513926867265</c:v>
                </c:pt>
                <c:pt idx="23">
                  <c:v>10.351684921365333</c:v>
                </c:pt>
                <c:pt idx="24">
                  <c:v>11.013418450043943</c:v>
                </c:pt>
                <c:pt idx="25">
                  <c:v>11.675151978722553</c:v>
                </c:pt>
                <c:pt idx="26">
                  <c:v>12.336885507401163</c:v>
                </c:pt>
                <c:pt idx="27">
                  <c:v>12.998619036079774</c:v>
                </c:pt>
                <c:pt idx="28">
                  <c:v>13.660352564758384</c:v>
                </c:pt>
                <c:pt idx="29">
                  <c:v>14.322086093436994</c:v>
                </c:pt>
                <c:pt idx="30">
                  <c:v>14.9838196221156</c:v>
                </c:pt>
                <c:pt idx="31">
                  <c:v>15.64555315079421</c:v>
                </c:pt>
              </c:numCache>
            </c:numRef>
          </c:val>
          <c:smooth val="0"/>
          <c:extLst>
            <c:ext xmlns:c16="http://schemas.microsoft.com/office/drawing/2014/chart" uri="{C3380CC4-5D6E-409C-BE32-E72D297353CC}">
              <c16:uniqueId val="{00000001-51C7-46DC-A36D-2706BC0DC720}"/>
            </c:ext>
          </c:extLst>
        </c:ser>
        <c:ser>
          <c:idx val="4"/>
          <c:order val="2"/>
          <c:tx>
            <c:strRef>
              <c:f>' All EV uptake'!$BH$3</c:f>
              <c:strCache>
                <c:ptCount val="1"/>
                <c:pt idx="0">
                  <c:v>Belgian base</c:v>
                </c:pt>
              </c:strCache>
            </c:strRef>
          </c:tx>
          <c:spPr>
            <a:ln w="28575" cap="rnd">
              <a:solidFill>
                <a:schemeClr val="accent5"/>
              </a:solidFill>
              <a:round/>
            </a:ln>
            <a:effectLst/>
          </c:spPr>
          <c:marker>
            <c:symbol val="none"/>
          </c:marker>
          <c:cat>
            <c:numRef>
              <c:f>'Australia EV uptake'!$A$4:$A$35</c:f>
              <c:numCache>
                <c:formatCode>General</c:formatCode>
                <c:ptCount val="3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numCache>
            </c:numRef>
          </c:cat>
          <c:val>
            <c:numRef>
              <c:f>' All EV uptake'!$BH$4:$BH$35</c:f>
              <c:numCache>
                <c:formatCode>General</c:formatCode>
                <c:ptCount val="32"/>
                <c:pt idx="1">
                  <c:v>-7.9106908849513076</c:v>
                </c:pt>
                <c:pt idx="2">
                  <c:v>-7.2205019868796292</c:v>
                </c:pt>
                <c:pt idx="3">
                  <c:v>-6.5303130888079508</c:v>
                </c:pt>
                <c:pt idx="4">
                  <c:v>-5.8401241907362724</c:v>
                </c:pt>
                <c:pt idx="5">
                  <c:v>-5.149935292664594</c:v>
                </c:pt>
                <c:pt idx="6">
                  <c:v>-4.4597463945929166</c:v>
                </c:pt>
                <c:pt idx="7">
                  <c:v>-3.7695574965212382</c:v>
                </c:pt>
                <c:pt idx="8">
                  <c:v>-3.0793685984495598</c:v>
                </c:pt>
                <c:pt idx="9">
                  <c:v>-2.3891797003778814</c:v>
                </c:pt>
                <c:pt idx="10">
                  <c:v>-1.698990802306203</c:v>
                </c:pt>
                <c:pt idx="11">
                  <c:v>-1.0088019042345246</c:v>
                </c:pt>
                <c:pt idx="12">
                  <c:v>-0.31861300616284716</c:v>
                </c:pt>
                <c:pt idx="13">
                  <c:v>0.37157589190883122</c:v>
                </c:pt>
                <c:pt idx="14">
                  <c:v>1.0617647899805096</c:v>
                </c:pt>
                <c:pt idx="15">
                  <c:v>1.751953688052188</c:v>
                </c:pt>
                <c:pt idx="16">
                  <c:v>2.4421425861238664</c:v>
                </c:pt>
                <c:pt idx="17">
                  <c:v>3.1323314841955447</c:v>
                </c:pt>
                <c:pt idx="18">
                  <c:v>3.8225203822672231</c:v>
                </c:pt>
                <c:pt idx="19">
                  <c:v>4.5127092803389015</c:v>
                </c:pt>
                <c:pt idx="20">
                  <c:v>5.2028981784105799</c:v>
                </c:pt>
                <c:pt idx="21">
                  <c:v>5.8930870764822583</c:v>
                </c:pt>
                <c:pt idx="22">
                  <c:v>6.5832759745539366</c:v>
                </c:pt>
                <c:pt idx="23">
                  <c:v>7.273464872625615</c:v>
                </c:pt>
                <c:pt idx="24">
                  <c:v>7.9636537706972916</c:v>
                </c:pt>
                <c:pt idx="25">
                  <c:v>8.65384266876897</c:v>
                </c:pt>
                <c:pt idx="26">
                  <c:v>9.3440315668406484</c:v>
                </c:pt>
                <c:pt idx="27">
                  <c:v>10.034220464912327</c:v>
                </c:pt>
                <c:pt idx="28">
                  <c:v>10.724409362984005</c:v>
                </c:pt>
                <c:pt idx="29">
                  <c:v>11.414598261055684</c:v>
                </c:pt>
                <c:pt idx="30">
                  <c:v>12.104787159127362</c:v>
                </c:pt>
                <c:pt idx="31">
                  <c:v>12.79497605719904</c:v>
                </c:pt>
              </c:numCache>
            </c:numRef>
          </c:val>
          <c:smooth val="0"/>
          <c:extLst>
            <c:ext xmlns:c16="http://schemas.microsoft.com/office/drawing/2014/chart" uri="{C3380CC4-5D6E-409C-BE32-E72D297353CC}">
              <c16:uniqueId val="{00000002-51C7-46DC-A36D-2706BC0DC720}"/>
            </c:ext>
          </c:extLst>
        </c:ser>
        <c:ser>
          <c:idx val="2"/>
          <c:order val="3"/>
          <c:tx>
            <c:strRef>
              <c:f>' All EV uptake'!$BF$3</c:f>
              <c:strCache>
                <c:ptCount val="1"/>
                <c:pt idx="0">
                  <c:v>Austria base</c:v>
                </c:pt>
              </c:strCache>
            </c:strRef>
          </c:tx>
          <c:spPr>
            <a:ln w="28575" cap="rnd">
              <a:solidFill>
                <a:schemeClr val="accent3"/>
              </a:solidFill>
              <a:round/>
            </a:ln>
            <a:effectLst/>
          </c:spPr>
          <c:marker>
            <c:symbol val="none"/>
          </c:marker>
          <c:val>
            <c:numRef>
              <c:f>' All EV uptake'!$BF$4:$BF$35</c:f>
              <c:numCache>
                <c:formatCode>General</c:formatCode>
                <c:ptCount val="32"/>
                <c:pt idx="1">
                  <c:v>-6.3660470280665011</c:v>
                </c:pt>
                <c:pt idx="2">
                  <c:v>-5.9427525973629818</c:v>
                </c:pt>
                <c:pt idx="3">
                  <c:v>-5.5194581666594615</c:v>
                </c:pt>
                <c:pt idx="4">
                  <c:v>-5.0961637359559413</c:v>
                </c:pt>
                <c:pt idx="5">
                  <c:v>-4.6728693052524211</c:v>
                </c:pt>
                <c:pt idx="6">
                  <c:v>-4.2495748745489017</c:v>
                </c:pt>
                <c:pt idx="7">
                  <c:v>-3.8262804438453815</c:v>
                </c:pt>
                <c:pt idx="8">
                  <c:v>-3.4029860131418617</c:v>
                </c:pt>
                <c:pt idx="9">
                  <c:v>-2.9796915824383419</c:v>
                </c:pt>
                <c:pt idx="10">
                  <c:v>-2.5563971517348216</c:v>
                </c:pt>
                <c:pt idx="11">
                  <c:v>-2.1331027210313014</c:v>
                </c:pt>
                <c:pt idx="12">
                  <c:v>-1.709808290327782</c:v>
                </c:pt>
                <c:pt idx="13">
                  <c:v>-1.2865138596242618</c:v>
                </c:pt>
                <c:pt idx="14">
                  <c:v>-0.86321942892074155</c:v>
                </c:pt>
                <c:pt idx="15">
                  <c:v>-0.4399249982172222</c:v>
                </c:pt>
                <c:pt idx="16">
                  <c:v>-1.6630567513701955E-2</c:v>
                </c:pt>
                <c:pt idx="17">
                  <c:v>0.40666386318981829</c:v>
                </c:pt>
                <c:pt idx="18">
                  <c:v>0.82995829389333764</c:v>
                </c:pt>
                <c:pt idx="19">
                  <c:v>1.2532527245968588</c:v>
                </c:pt>
                <c:pt idx="20">
                  <c:v>1.6765471553003781</c:v>
                </c:pt>
                <c:pt idx="21">
                  <c:v>2.0998415860038975</c:v>
                </c:pt>
                <c:pt idx="22">
                  <c:v>2.5231360167074186</c:v>
                </c:pt>
                <c:pt idx="23">
                  <c:v>2.946430447410938</c:v>
                </c:pt>
                <c:pt idx="24">
                  <c:v>3.3697248781144573</c:v>
                </c:pt>
                <c:pt idx="25">
                  <c:v>3.7930193088179784</c:v>
                </c:pt>
                <c:pt idx="26">
                  <c:v>4.2163137395214978</c:v>
                </c:pt>
                <c:pt idx="27">
                  <c:v>4.6396081702250171</c:v>
                </c:pt>
                <c:pt idx="28">
                  <c:v>5.0629026009285383</c:v>
                </c:pt>
                <c:pt idx="29">
                  <c:v>5.4861970316320576</c:v>
                </c:pt>
                <c:pt idx="30">
                  <c:v>5.909491462335577</c:v>
                </c:pt>
                <c:pt idx="31">
                  <c:v>6.3327858930390981</c:v>
                </c:pt>
              </c:numCache>
            </c:numRef>
          </c:val>
          <c:smooth val="0"/>
          <c:extLst>
            <c:ext xmlns:c16="http://schemas.microsoft.com/office/drawing/2014/chart" uri="{C3380CC4-5D6E-409C-BE32-E72D297353CC}">
              <c16:uniqueId val="{00000003-51C7-46DC-A36D-2706BC0DC720}"/>
            </c:ext>
          </c:extLst>
        </c:ser>
        <c:ser>
          <c:idx val="3"/>
          <c:order val="4"/>
          <c:tx>
            <c:strRef>
              <c:f>' All EV uptake'!$BG$3</c:f>
              <c:strCache>
                <c:ptCount val="1"/>
                <c:pt idx="0">
                  <c:v>canada base</c:v>
                </c:pt>
              </c:strCache>
            </c:strRef>
          </c:tx>
          <c:spPr>
            <a:ln w="28575" cap="rnd">
              <a:solidFill>
                <a:schemeClr val="accent4"/>
              </a:solidFill>
              <a:round/>
            </a:ln>
            <a:effectLst/>
          </c:spPr>
          <c:marker>
            <c:symbol val="none"/>
          </c:marker>
          <c:val>
            <c:numRef>
              <c:f>' All EV uptake'!$BG$4:$BG$35</c:f>
              <c:numCache>
                <c:formatCode>General</c:formatCode>
                <c:ptCount val="32"/>
                <c:pt idx="1">
                  <c:v>-6.2463343726220817</c:v>
                </c:pt>
                <c:pt idx="2">
                  <c:v>-5.8529671139284503</c:v>
                </c:pt>
                <c:pt idx="3">
                  <c:v>-5.4595998552348188</c:v>
                </c:pt>
                <c:pt idx="4">
                  <c:v>-5.0662325965411874</c:v>
                </c:pt>
                <c:pt idx="5">
                  <c:v>-4.672865337847556</c:v>
                </c:pt>
                <c:pt idx="6">
                  <c:v>-4.2794980791539254</c:v>
                </c:pt>
                <c:pt idx="7">
                  <c:v>-3.886130820460294</c:v>
                </c:pt>
                <c:pt idx="8">
                  <c:v>-3.4927635617666626</c:v>
                </c:pt>
                <c:pt idx="9">
                  <c:v>-3.0993963030730312</c:v>
                </c:pt>
                <c:pt idx="10">
                  <c:v>-2.7060290443793997</c:v>
                </c:pt>
                <c:pt idx="11">
                  <c:v>-2.3126617856857683</c:v>
                </c:pt>
                <c:pt idx="12">
                  <c:v>-1.9192945269921378</c:v>
                </c:pt>
                <c:pt idx="13">
                  <c:v>-1.5259272682985063</c:v>
                </c:pt>
                <c:pt idx="14">
                  <c:v>-1.1325600096048749</c:v>
                </c:pt>
                <c:pt idx="15">
                  <c:v>-0.73919275091124348</c:v>
                </c:pt>
                <c:pt idx="16">
                  <c:v>-0.34582549221761205</c:v>
                </c:pt>
                <c:pt idx="17">
                  <c:v>4.7541766476019376E-2</c:v>
                </c:pt>
                <c:pt idx="18">
                  <c:v>0.4409090251696508</c:v>
                </c:pt>
                <c:pt idx="19">
                  <c:v>0.83427628386328223</c:v>
                </c:pt>
                <c:pt idx="20">
                  <c:v>1.2276435425569137</c:v>
                </c:pt>
                <c:pt idx="21">
                  <c:v>1.6210108012505451</c:v>
                </c:pt>
                <c:pt idx="22">
                  <c:v>2.0143780599441765</c:v>
                </c:pt>
                <c:pt idx="23">
                  <c:v>2.4077453186378079</c:v>
                </c:pt>
                <c:pt idx="24">
                  <c:v>2.8011125773314376</c:v>
                </c:pt>
                <c:pt idx="25">
                  <c:v>3.194479836025069</c:v>
                </c:pt>
                <c:pt idx="26">
                  <c:v>3.5878470947187004</c:v>
                </c:pt>
                <c:pt idx="27">
                  <c:v>3.9812143534123319</c:v>
                </c:pt>
                <c:pt idx="28">
                  <c:v>4.3745816121059633</c:v>
                </c:pt>
                <c:pt idx="29">
                  <c:v>4.7679488707995947</c:v>
                </c:pt>
                <c:pt idx="30">
                  <c:v>5.1613161294932262</c:v>
                </c:pt>
                <c:pt idx="31">
                  <c:v>5.5546833881868576</c:v>
                </c:pt>
              </c:numCache>
            </c:numRef>
          </c:val>
          <c:smooth val="0"/>
          <c:extLst>
            <c:ext xmlns:c16="http://schemas.microsoft.com/office/drawing/2014/chart" uri="{C3380CC4-5D6E-409C-BE32-E72D297353CC}">
              <c16:uniqueId val="{00000004-51C7-46DC-A36D-2706BC0DC720}"/>
            </c:ext>
          </c:extLst>
        </c:ser>
        <c:ser>
          <c:idx val="5"/>
          <c:order val="5"/>
          <c:tx>
            <c:strRef>
              <c:f>' All EV uptake'!$BI$3</c:f>
              <c:strCache>
                <c:ptCount val="1"/>
                <c:pt idx="0">
                  <c:v>China base</c:v>
                </c:pt>
              </c:strCache>
            </c:strRef>
          </c:tx>
          <c:spPr>
            <a:ln w="28575" cap="rnd">
              <a:solidFill>
                <a:schemeClr val="accent6"/>
              </a:solidFill>
              <a:round/>
            </a:ln>
            <a:effectLst/>
          </c:spPr>
          <c:marker>
            <c:symbol val="none"/>
          </c:marker>
          <c:val>
            <c:numRef>
              <c:f>' All EV uptake'!$BI$4:$BI$35</c:f>
              <c:numCache>
                <c:formatCode>General</c:formatCode>
                <c:ptCount val="32"/>
                <c:pt idx="1">
                  <c:v>-7.9057419157685969</c:v>
                </c:pt>
                <c:pt idx="2">
                  <c:v>-7.4242855335076374</c:v>
                </c:pt>
                <c:pt idx="3">
                  <c:v>-6.9428291512466789</c:v>
                </c:pt>
                <c:pt idx="4">
                  <c:v>-6.6085688319334199</c:v>
                </c:pt>
                <c:pt idx="5">
                  <c:v>-5.1703380405123989</c:v>
                </c:pt>
                <c:pt idx="6">
                  <c:v>-4.1736954379344828</c:v>
                </c:pt>
                <c:pt idx="7">
                  <c:v>-3.8596697593213212</c:v>
                </c:pt>
                <c:pt idx="8">
                  <c:v>-3.3782133770603617</c:v>
                </c:pt>
                <c:pt idx="9">
                  <c:v>-2.7293262911516045</c:v>
                </c:pt>
                <c:pt idx="10">
                  <c:v>-2.2478699088906451</c:v>
                </c:pt>
                <c:pt idx="11">
                  <c:v>-1.7664135266296856</c:v>
                </c:pt>
                <c:pt idx="12">
                  <c:v>-1.2849571443687271</c:v>
                </c:pt>
                <c:pt idx="13">
                  <c:v>-0.80350076210776766</c:v>
                </c:pt>
                <c:pt idx="14">
                  <c:v>-0.32204437984680823</c:v>
                </c:pt>
                <c:pt idx="15">
                  <c:v>0.15941200241415121</c:v>
                </c:pt>
                <c:pt idx="16">
                  <c:v>0.64086838467511065</c:v>
                </c:pt>
                <c:pt idx="17">
                  <c:v>1.1223247669360692</c:v>
                </c:pt>
                <c:pt idx="18">
                  <c:v>1.6037811491970295</c:v>
                </c:pt>
                <c:pt idx="19">
                  <c:v>2.0852375314579881</c:v>
                </c:pt>
                <c:pt idx="20">
                  <c:v>2.5666939137189484</c:v>
                </c:pt>
                <c:pt idx="21">
                  <c:v>3.0481502959799069</c:v>
                </c:pt>
                <c:pt idx="22">
                  <c:v>3.5296066782408673</c:v>
                </c:pt>
                <c:pt idx="23">
                  <c:v>4.0110630605018258</c:v>
                </c:pt>
                <c:pt idx="24">
                  <c:v>4.4925194427627844</c:v>
                </c:pt>
                <c:pt idx="25">
                  <c:v>4.9739758250237447</c:v>
                </c:pt>
                <c:pt idx="26">
                  <c:v>5.4554322072847032</c:v>
                </c:pt>
                <c:pt idx="27">
                  <c:v>5.9368885895456636</c:v>
                </c:pt>
                <c:pt idx="28">
                  <c:v>6.4183449718066221</c:v>
                </c:pt>
                <c:pt idx="29">
                  <c:v>6.8998013540675824</c:v>
                </c:pt>
                <c:pt idx="30">
                  <c:v>7.381257736328541</c:v>
                </c:pt>
                <c:pt idx="31">
                  <c:v>7.8627141185895013</c:v>
                </c:pt>
              </c:numCache>
            </c:numRef>
          </c:val>
          <c:smooth val="0"/>
          <c:extLst>
            <c:ext xmlns:c16="http://schemas.microsoft.com/office/drawing/2014/chart" uri="{C3380CC4-5D6E-409C-BE32-E72D297353CC}">
              <c16:uniqueId val="{00000005-51C7-46DC-A36D-2706BC0DC720}"/>
            </c:ext>
          </c:extLst>
        </c:ser>
        <c:ser>
          <c:idx val="6"/>
          <c:order val="6"/>
          <c:tx>
            <c:strRef>
              <c:f>' All EV uptake'!$BJ$3</c:f>
              <c:strCache>
                <c:ptCount val="1"/>
                <c:pt idx="0">
                  <c:v>Denmark base</c:v>
                </c:pt>
              </c:strCache>
            </c:strRef>
          </c:tx>
          <c:spPr>
            <a:ln w="28575" cap="rnd">
              <a:solidFill>
                <a:schemeClr val="accent1">
                  <a:lumMod val="60000"/>
                </a:schemeClr>
              </a:solidFill>
              <a:round/>
            </a:ln>
            <a:effectLst/>
          </c:spPr>
          <c:marker>
            <c:symbol val="none"/>
          </c:marker>
          <c:val>
            <c:numRef>
              <c:f>' All EV uptake'!$BJ$4:$BJ$35</c:f>
              <c:numCache>
                <c:formatCode>General</c:formatCode>
                <c:ptCount val="32"/>
                <c:pt idx="1">
                  <c:v>-6.0282731984227436</c:v>
                </c:pt>
                <c:pt idx="2">
                  <c:v>-5.5789669835446478</c:v>
                </c:pt>
                <c:pt idx="3">
                  <c:v>-5.428293401662839</c:v>
                </c:pt>
                <c:pt idx="4">
                  <c:v>-5.4269361362791733</c:v>
                </c:pt>
                <c:pt idx="5">
                  <c:v>-4.2310483389103624</c:v>
                </c:pt>
                <c:pt idx="6">
                  <c:v>-3.7817421240322675</c:v>
                </c:pt>
                <c:pt idx="7">
                  <c:v>-3.3324359091541726</c:v>
                </c:pt>
                <c:pt idx="8">
                  <c:v>-2.8831296942760773</c:v>
                </c:pt>
                <c:pt idx="9">
                  <c:v>-2.433823479397982</c:v>
                </c:pt>
                <c:pt idx="10">
                  <c:v>-1.9845172645198872</c:v>
                </c:pt>
                <c:pt idx="11">
                  <c:v>-1.5352110496417923</c:v>
                </c:pt>
                <c:pt idx="12">
                  <c:v>-1.0859048347636966</c:v>
                </c:pt>
                <c:pt idx="13">
                  <c:v>-0.63659861988560174</c:v>
                </c:pt>
                <c:pt idx="14">
                  <c:v>-0.18729240500750688</c:v>
                </c:pt>
                <c:pt idx="15">
                  <c:v>0.26201380987058887</c:v>
                </c:pt>
                <c:pt idx="16">
                  <c:v>0.71132002474868372</c:v>
                </c:pt>
                <c:pt idx="17">
                  <c:v>1.1606262396267786</c:v>
                </c:pt>
                <c:pt idx="18">
                  <c:v>1.6099324545048743</c:v>
                </c:pt>
                <c:pt idx="19">
                  <c:v>2.0592386693829683</c:v>
                </c:pt>
                <c:pt idx="20">
                  <c:v>2.508544884261064</c:v>
                </c:pt>
                <c:pt idx="21">
                  <c:v>2.9578510991391598</c:v>
                </c:pt>
                <c:pt idx="22">
                  <c:v>3.4071573140172537</c:v>
                </c:pt>
                <c:pt idx="23">
                  <c:v>3.8564635288953495</c:v>
                </c:pt>
                <c:pt idx="24">
                  <c:v>4.3057697437734452</c:v>
                </c:pt>
                <c:pt idx="25">
                  <c:v>4.7550759586515392</c:v>
                </c:pt>
                <c:pt idx="26">
                  <c:v>5.2043821735296349</c:v>
                </c:pt>
                <c:pt idx="27">
                  <c:v>5.6536883884077307</c:v>
                </c:pt>
                <c:pt idx="28">
                  <c:v>6.1029946032858247</c:v>
                </c:pt>
                <c:pt idx="29">
                  <c:v>6.5523008181639204</c:v>
                </c:pt>
                <c:pt idx="30">
                  <c:v>7.0016070330420161</c:v>
                </c:pt>
                <c:pt idx="31">
                  <c:v>7.4509132479201101</c:v>
                </c:pt>
              </c:numCache>
            </c:numRef>
          </c:val>
          <c:smooth val="0"/>
          <c:extLst>
            <c:ext xmlns:c16="http://schemas.microsoft.com/office/drawing/2014/chart" uri="{C3380CC4-5D6E-409C-BE32-E72D297353CC}">
              <c16:uniqueId val="{00000006-51C7-46DC-A36D-2706BC0DC720}"/>
            </c:ext>
          </c:extLst>
        </c:ser>
        <c:ser>
          <c:idx val="7"/>
          <c:order val="7"/>
          <c:tx>
            <c:strRef>
              <c:f>' All EV uptake'!$BK$3</c:f>
              <c:strCache>
                <c:ptCount val="1"/>
                <c:pt idx="0">
                  <c:v>Finland base</c:v>
                </c:pt>
              </c:strCache>
            </c:strRef>
          </c:tx>
          <c:spPr>
            <a:ln w="28575" cap="rnd">
              <a:solidFill>
                <a:schemeClr val="accent2">
                  <a:lumMod val="60000"/>
                </a:schemeClr>
              </a:solidFill>
              <a:round/>
            </a:ln>
            <a:effectLst/>
          </c:spPr>
          <c:marker>
            <c:symbol val="none"/>
          </c:marker>
          <c:val>
            <c:numRef>
              <c:f>' All EV uptake'!$BK$4:$BK$35</c:f>
              <c:numCache>
                <c:formatCode>General</c:formatCode>
                <c:ptCount val="32"/>
                <c:pt idx="1">
                  <c:v>-8.1785997184989085</c:v>
                </c:pt>
                <c:pt idx="2">
                  <c:v>-7.4782392096762713</c:v>
                </c:pt>
                <c:pt idx="3">
                  <c:v>-6.4002718925882442</c:v>
                </c:pt>
                <c:pt idx="4">
                  <c:v>-5.6999113837656079</c:v>
                </c:pt>
                <c:pt idx="5">
                  <c:v>-4.9995508749429716</c:v>
                </c:pt>
                <c:pt idx="6">
                  <c:v>-4.676797174385726</c:v>
                </c:pt>
                <c:pt idx="7">
                  <c:v>-3.9764366655630896</c:v>
                </c:pt>
                <c:pt idx="8">
                  <c:v>-3.1871699533647488</c:v>
                </c:pt>
                <c:pt idx="9">
                  <c:v>-2.5757156479178169</c:v>
                </c:pt>
                <c:pt idx="10">
                  <c:v>-1.8753551390951806</c:v>
                </c:pt>
                <c:pt idx="11">
                  <c:v>-1.1749946302725442</c:v>
                </c:pt>
                <c:pt idx="12">
                  <c:v>-0.47463412144990791</c:v>
                </c:pt>
                <c:pt idx="13">
                  <c:v>0.22572638737272932</c:v>
                </c:pt>
                <c:pt idx="14">
                  <c:v>0.92608689619536477</c:v>
                </c:pt>
                <c:pt idx="15">
                  <c:v>1.6264474050180002</c:v>
                </c:pt>
                <c:pt idx="16">
                  <c:v>2.3268079138406375</c:v>
                </c:pt>
                <c:pt idx="17">
                  <c:v>3.0271684226632747</c:v>
                </c:pt>
                <c:pt idx="18">
                  <c:v>3.7275289314859101</c:v>
                </c:pt>
                <c:pt idx="19">
                  <c:v>4.4278894403085456</c:v>
                </c:pt>
                <c:pt idx="20">
                  <c:v>5.1282499491311828</c:v>
                </c:pt>
                <c:pt idx="21">
                  <c:v>5.82861045795382</c:v>
                </c:pt>
                <c:pt idx="22">
                  <c:v>6.5289709667764555</c:v>
                </c:pt>
                <c:pt idx="23">
                  <c:v>7.229331475599091</c:v>
                </c:pt>
                <c:pt idx="24">
                  <c:v>7.9296919844217282</c:v>
                </c:pt>
                <c:pt idx="25">
                  <c:v>8.6300524932443654</c:v>
                </c:pt>
                <c:pt idx="26">
                  <c:v>9.3304130020670026</c:v>
                </c:pt>
                <c:pt idx="27">
                  <c:v>10.030773510889636</c:v>
                </c:pt>
                <c:pt idx="28">
                  <c:v>10.731134019712274</c:v>
                </c:pt>
                <c:pt idx="29">
                  <c:v>11.431494528534911</c:v>
                </c:pt>
                <c:pt idx="30">
                  <c:v>12.131855037357544</c:v>
                </c:pt>
                <c:pt idx="31">
                  <c:v>12.832215546180182</c:v>
                </c:pt>
              </c:numCache>
            </c:numRef>
          </c:val>
          <c:smooth val="0"/>
          <c:extLst>
            <c:ext xmlns:c16="http://schemas.microsoft.com/office/drawing/2014/chart" uri="{C3380CC4-5D6E-409C-BE32-E72D297353CC}">
              <c16:uniqueId val="{00000007-51C7-46DC-A36D-2706BC0DC720}"/>
            </c:ext>
          </c:extLst>
        </c:ser>
        <c:ser>
          <c:idx val="8"/>
          <c:order val="8"/>
          <c:tx>
            <c:strRef>
              <c:f>' All EV uptake'!$BL$3</c:f>
              <c:strCache>
                <c:ptCount val="1"/>
                <c:pt idx="0">
                  <c:v>France base</c:v>
                </c:pt>
              </c:strCache>
            </c:strRef>
          </c:tx>
          <c:spPr>
            <a:ln w="28575" cap="rnd">
              <a:solidFill>
                <a:schemeClr val="accent3">
                  <a:lumMod val="60000"/>
                </a:schemeClr>
              </a:solidFill>
              <a:round/>
            </a:ln>
            <a:effectLst/>
          </c:spPr>
          <c:marker>
            <c:symbol val="none"/>
          </c:marker>
          <c:val>
            <c:numRef>
              <c:f>' All EV uptake'!$BL$4:$BL$35</c:f>
              <c:numCache>
                <c:formatCode>General</c:formatCode>
                <c:ptCount val="32"/>
                <c:pt idx="1">
                  <c:v>0</c:v>
                </c:pt>
                <c:pt idx="2">
                  <c:v>0</c:v>
                </c:pt>
                <c:pt idx="3">
                  <c:v>-5.2700471663862904</c:v>
                </c:pt>
                <c:pt idx="4">
                  <c:v>-4.7886882446269237</c:v>
                </c:pt>
                <c:pt idx="5">
                  <c:v>-4.5262759320722701</c:v>
                </c:pt>
                <c:pt idx="6">
                  <c:v>-3.9719348072446659</c:v>
                </c:pt>
                <c:pt idx="7">
                  <c:v>-3.7825046977582506</c:v>
                </c:pt>
                <c:pt idx="8">
                  <c:v>-3.5930745882718349</c:v>
                </c:pt>
                <c:pt idx="9">
                  <c:v>-3.4036444787854192</c:v>
                </c:pt>
                <c:pt idx="10">
                  <c:v>-3.2142143692990039</c:v>
                </c:pt>
                <c:pt idx="11">
                  <c:v>-3.0247842598125887</c:v>
                </c:pt>
                <c:pt idx="12">
                  <c:v>-2.8353541503261734</c:v>
                </c:pt>
                <c:pt idx="13">
                  <c:v>-2.6459240408397577</c:v>
                </c:pt>
                <c:pt idx="14">
                  <c:v>-2.4564939313533425</c:v>
                </c:pt>
                <c:pt idx="15">
                  <c:v>-2.2670638218669268</c:v>
                </c:pt>
                <c:pt idx="16">
                  <c:v>-2.0776337123805115</c:v>
                </c:pt>
                <c:pt idx="17">
                  <c:v>-1.8882036028940963</c:v>
                </c:pt>
                <c:pt idx="18">
                  <c:v>-1.6987734934076806</c:v>
                </c:pt>
                <c:pt idx="19">
                  <c:v>-1.5093433839212653</c:v>
                </c:pt>
                <c:pt idx="20">
                  <c:v>-1.3199132744348496</c:v>
                </c:pt>
                <c:pt idx="21">
                  <c:v>-1.1304831649484344</c:v>
                </c:pt>
                <c:pt idx="22">
                  <c:v>-0.94105305546201912</c:v>
                </c:pt>
                <c:pt idx="23" formatCode="0.00000000">
                  <c:v>-0.75162294597560386</c:v>
                </c:pt>
                <c:pt idx="24">
                  <c:v>-0.56219283648918861</c:v>
                </c:pt>
                <c:pt idx="25">
                  <c:v>-0.37276272700277246</c:v>
                </c:pt>
                <c:pt idx="26">
                  <c:v>-0.18333261751635721</c:v>
                </c:pt>
                <c:pt idx="27">
                  <c:v>6.0974919700580443E-3</c:v>
                </c:pt>
                <c:pt idx="28">
                  <c:v>0.1955276014564733</c:v>
                </c:pt>
                <c:pt idx="29">
                  <c:v>0.38495771094288855</c:v>
                </c:pt>
                <c:pt idx="30">
                  <c:v>0.5743878204293047</c:v>
                </c:pt>
                <c:pt idx="31">
                  <c:v>0.76381792991571995</c:v>
                </c:pt>
              </c:numCache>
            </c:numRef>
          </c:val>
          <c:smooth val="0"/>
          <c:extLst>
            <c:ext xmlns:c16="http://schemas.microsoft.com/office/drawing/2014/chart" uri="{C3380CC4-5D6E-409C-BE32-E72D297353CC}">
              <c16:uniqueId val="{00000008-51C7-46DC-A36D-2706BC0DC720}"/>
            </c:ext>
          </c:extLst>
        </c:ser>
        <c:ser>
          <c:idx val="9"/>
          <c:order val="9"/>
          <c:tx>
            <c:strRef>
              <c:f>' All EV uptake'!$BM$3</c:f>
              <c:strCache>
                <c:ptCount val="1"/>
                <c:pt idx="0">
                  <c:v>Germany base</c:v>
                </c:pt>
              </c:strCache>
            </c:strRef>
          </c:tx>
          <c:spPr>
            <a:ln w="28575" cap="rnd">
              <a:solidFill>
                <a:schemeClr val="accent4">
                  <a:lumMod val="60000"/>
                </a:schemeClr>
              </a:solidFill>
              <a:round/>
            </a:ln>
            <a:effectLst/>
          </c:spPr>
          <c:marker>
            <c:symbol val="none"/>
          </c:marker>
          <c:val>
            <c:numRef>
              <c:f>' All EV uptake'!$BM$4:$BM$35</c:f>
              <c:numCache>
                <c:formatCode>General</c:formatCode>
                <c:ptCount val="32"/>
                <c:pt idx="1">
                  <c:v>-7.5498711927197109</c:v>
                </c:pt>
                <c:pt idx="2">
                  <c:v>-6.9306002245492451</c:v>
                </c:pt>
                <c:pt idx="3">
                  <c:v>-6.3113292563787802</c:v>
                </c:pt>
                <c:pt idx="4">
                  <c:v>-5.6920582882083144</c:v>
                </c:pt>
                <c:pt idx="5">
                  <c:v>-5.0727873200378495</c:v>
                </c:pt>
                <c:pt idx="6">
                  <c:v>-4.4535163518673846</c:v>
                </c:pt>
                <c:pt idx="7">
                  <c:v>-4.4714304309738457</c:v>
                </c:pt>
                <c:pt idx="8">
                  <c:v>-3.6876920962737518</c:v>
                </c:pt>
                <c:pt idx="9">
                  <c:v>-3.2328884946329159</c:v>
                </c:pt>
                <c:pt idx="10">
                  <c:v>-2.6136175264624502</c:v>
                </c:pt>
                <c:pt idx="11">
                  <c:v>-1.9943465582919853</c:v>
                </c:pt>
                <c:pt idx="12">
                  <c:v>-1.3750755901215204</c:v>
                </c:pt>
                <c:pt idx="13">
                  <c:v>-0.75580462195105547</c:v>
                </c:pt>
                <c:pt idx="14">
                  <c:v>-0.13653365378058879</c:v>
                </c:pt>
                <c:pt idx="15">
                  <c:v>0.4827373143898761</c:v>
                </c:pt>
                <c:pt idx="16">
                  <c:v>1.102008282560341</c:v>
                </c:pt>
                <c:pt idx="17">
                  <c:v>1.7212792507308059</c:v>
                </c:pt>
                <c:pt idx="18">
                  <c:v>2.3405502189012708</c:v>
                </c:pt>
                <c:pt idx="19">
                  <c:v>2.9598211870717375</c:v>
                </c:pt>
                <c:pt idx="20">
                  <c:v>3.5790921552422024</c:v>
                </c:pt>
                <c:pt idx="21">
                  <c:v>4.1983631234126673</c:v>
                </c:pt>
                <c:pt idx="22">
                  <c:v>4.8176340915831322</c:v>
                </c:pt>
                <c:pt idx="23">
                  <c:v>5.4369050597535971</c:v>
                </c:pt>
                <c:pt idx="24">
                  <c:v>6.056176027924062</c:v>
                </c:pt>
                <c:pt idx="25">
                  <c:v>6.6754469960945286</c:v>
                </c:pt>
                <c:pt idx="26">
                  <c:v>7.2947179642649917</c:v>
                </c:pt>
                <c:pt idx="27">
                  <c:v>7.9139889324354602</c:v>
                </c:pt>
                <c:pt idx="28">
                  <c:v>8.5332599006059251</c:v>
                </c:pt>
                <c:pt idx="29">
                  <c:v>9.15253086877639</c:v>
                </c:pt>
                <c:pt idx="30">
                  <c:v>9.7718018369468549</c:v>
                </c:pt>
                <c:pt idx="31">
                  <c:v>10.39107280511732</c:v>
                </c:pt>
              </c:numCache>
            </c:numRef>
          </c:val>
          <c:smooth val="0"/>
          <c:extLst>
            <c:ext xmlns:c16="http://schemas.microsoft.com/office/drawing/2014/chart" uri="{C3380CC4-5D6E-409C-BE32-E72D297353CC}">
              <c16:uniqueId val="{00000009-51C7-46DC-A36D-2706BC0DC720}"/>
            </c:ext>
          </c:extLst>
        </c:ser>
        <c:ser>
          <c:idx val="10"/>
          <c:order val="10"/>
          <c:tx>
            <c:strRef>
              <c:f>' All EV uptake'!$BN$3</c:f>
              <c:strCache>
                <c:ptCount val="1"/>
                <c:pt idx="0">
                  <c:v>India base</c:v>
                </c:pt>
              </c:strCache>
            </c:strRef>
          </c:tx>
          <c:spPr>
            <a:ln w="28575" cap="rnd">
              <a:solidFill>
                <a:schemeClr val="accent5">
                  <a:lumMod val="60000"/>
                </a:schemeClr>
              </a:solidFill>
              <a:round/>
            </a:ln>
            <a:effectLst/>
          </c:spPr>
          <c:marker>
            <c:symbol val="none"/>
          </c:marker>
          <c:val>
            <c:numRef>
              <c:f>' All EV uptake'!$BN$4:$BN$35</c:f>
              <c:numCache>
                <c:formatCode>General</c:formatCode>
                <c:ptCount val="32"/>
                <c:pt idx="1">
                  <c:v>-6.7785718105245207</c:v>
                </c:pt>
                <c:pt idx="2">
                  <c:v>-6.5864289841812385</c:v>
                </c:pt>
                <c:pt idx="3">
                  <c:v>-6.3942861578379571</c:v>
                </c:pt>
                <c:pt idx="4">
                  <c:v>-6.2021433314946748</c:v>
                </c:pt>
                <c:pt idx="5">
                  <c:v>-6.0100005051513934</c:v>
                </c:pt>
                <c:pt idx="6">
                  <c:v>-5.817857678808112</c:v>
                </c:pt>
                <c:pt idx="7">
                  <c:v>-5.6257148524648297</c:v>
                </c:pt>
                <c:pt idx="8">
                  <c:v>-5.4335720261215474</c:v>
                </c:pt>
                <c:pt idx="9">
                  <c:v>-5.241429199778266</c:v>
                </c:pt>
                <c:pt idx="10">
                  <c:v>-5.0492863734349847</c:v>
                </c:pt>
                <c:pt idx="11">
                  <c:v>-4.8571435470917024</c:v>
                </c:pt>
                <c:pt idx="12">
                  <c:v>-4.665000720748421</c:v>
                </c:pt>
                <c:pt idx="13">
                  <c:v>-4.4728578944051396</c:v>
                </c:pt>
                <c:pt idx="14">
                  <c:v>-4.2807150680618573</c:v>
                </c:pt>
                <c:pt idx="15">
                  <c:v>-4.088572241718575</c:v>
                </c:pt>
                <c:pt idx="16">
                  <c:v>-3.8964294153752936</c:v>
                </c:pt>
                <c:pt idx="17">
                  <c:v>-3.7042865890320118</c:v>
                </c:pt>
                <c:pt idx="18">
                  <c:v>-3.51214376268873</c:v>
                </c:pt>
                <c:pt idx="19">
                  <c:v>-3.3200009363454481</c:v>
                </c:pt>
                <c:pt idx="20">
                  <c:v>-3.1278581100021663</c:v>
                </c:pt>
                <c:pt idx="21">
                  <c:v>-2.9357152836588849</c:v>
                </c:pt>
                <c:pt idx="22">
                  <c:v>-2.7435724573156026</c:v>
                </c:pt>
                <c:pt idx="23">
                  <c:v>-2.5514296309723212</c:v>
                </c:pt>
                <c:pt idx="24">
                  <c:v>-2.3592868046290398</c:v>
                </c:pt>
                <c:pt idx="25">
                  <c:v>-2.1671439782857576</c:v>
                </c:pt>
                <c:pt idx="26">
                  <c:v>-1.9750011519424762</c:v>
                </c:pt>
                <c:pt idx="27">
                  <c:v>-1.7828583255991939</c:v>
                </c:pt>
                <c:pt idx="28">
                  <c:v>-1.5907154992559125</c:v>
                </c:pt>
                <c:pt idx="29">
                  <c:v>-1.3985726729126302</c:v>
                </c:pt>
                <c:pt idx="30">
                  <c:v>-1.2064298465693488</c:v>
                </c:pt>
                <c:pt idx="31">
                  <c:v>-1.0142870202260665</c:v>
                </c:pt>
              </c:numCache>
            </c:numRef>
          </c:val>
          <c:smooth val="0"/>
          <c:extLst>
            <c:ext xmlns:c16="http://schemas.microsoft.com/office/drawing/2014/chart" uri="{C3380CC4-5D6E-409C-BE32-E72D297353CC}">
              <c16:uniqueId val="{0000000A-51C7-46DC-A36D-2706BC0DC720}"/>
            </c:ext>
          </c:extLst>
        </c:ser>
        <c:ser>
          <c:idx val="11"/>
          <c:order val="11"/>
          <c:tx>
            <c:strRef>
              <c:f>' All EV uptake'!$BO$3</c:f>
              <c:strCache>
                <c:ptCount val="1"/>
                <c:pt idx="0">
                  <c:v>Ireland base</c:v>
                </c:pt>
              </c:strCache>
            </c:strRef>
          </c:tx>
          <c:spPr>
            <a:ln w="28575" cap="rnd">
              <a:solidFill>
                <a:schemeClr val="accent6">
                  <a:lumMod val="60000"/>
                </a:schemeClr>
              </a:solidFill>
              <a:round/>
            </a:ln>
            <a:effectLst/>
          </c:spPr>
          <c:marker>
            <c:symbol val="none"/>
          </c:marker>
          <c:val>
            <c:numRef>
              <c:f>' All EV uptake'!$BO$4:$BO$35</c:f>
              <c:numCache>
                <c:formatCode>General</c:formatCode>
                <c:ptCount val="32"/>
                <c:pt idx="1">
                  <c:v>-7.3992884466714006</c:v>
                </c:pt>
                <c:pt idx="2">
                  <c:v>-6.9733722371900528</c:v>
                </c:pt>
                <c:pt idx="3">
                  <c:v>-6.5474560277087051</c:v>
                </c:pt>
                <c:pt idx="4">
                  <c:v>-6.1215398182273582</c:v>
                </c:pt>
                <c:pt idx="5">
                  <c:v>-5.6956236087460113</c:v>
                </c:pt>
                <c:pt idx="6">
                  <c:v>-5.2697073992646635</c:v>
                </c:pt>
                <c:pt idx="7">
                  <c:v>-4.8437911897833157</c:v>
                </c:pt>
                <c:pt idx="8">
                  <c:v>-4.4178749803019688</c:v>
                </c:pt>
                <c:pt idx="9">
                  <c:v>-3.9919587708206214</c:v>
                </c:pt>
                <c:pt idx="10">
                  <c:v>-3.5660425613392741</c:v>
                </c:pt>
                <c:pt idx="11">
                  <c:v>-3.1401263518579263</c:v>
                </c:pt>
                <c:pt idx="12">
                  <c:v>-2.7142101423765794</c:v>
                </c:pt>
                <c:pt idx="13">
                  <c:v>-2.2882939328952325</c:v>
                </c:pt>
                <c:pt idx="14">
                  <c:v>-1.8623777234138847</c:v>
                </c:pt>
                <c:pt idx="15">
                  <c:v>-1.436461513932537</c:v>
                </c:pt>
                <c:pt idx="16">
                  <c:v>-1.0105453044511901</c:v>
                </c:pt>
                <c:pt idx="17">
                  <c:v>-0.58462909496984317</c:v>
                </c:pt>
                <c:pt idx="18">
                  <c:v>-0.15871288548849538</c:v>
                </c:pt>
                <c:pt idx="19">
                  <c:v>0.2672033239928524</c:v>
                </c:pt>
                <c:pt idx="20">
                  <c:v>0.6931195334741993</c:v>
                </c:pt>
                <c:pt idx="21">
                  <c:v>1.1190357429555462</c:v>
                </c:pt>
                <c:pt idx="22">
                  <c:v>1.5449519524368949</c:v>
                </c:pt>
                <c:pt idx="23">
                  <c:v>1.9708681619182418</c:v>
                </c:pt>
                <c:pt idx="24">
                  <c:v>2.3967843713995887</c:v>
                </c:pt>
                <c:pt idx="25">
                  <c:v>2.8227005808809356</c:v>
                </c:pt>
                <c:pt idx="26">
                  <c:v>3.2486167903622825</c:v>
                </c:pt>
                <c:pt idx="27">
                  <c:v>3.6745329998436311</c:v>
                </c:pt>
                <c:pt idx="28">
                  <c:v>4.100449209324978</c:v>
                </c:pt>
                <c:pt idx="29">
                  <c:v>4.5263654188063249</c:v>
                </c:pt>
                <c:pt idx="30">
                  <c:v>4.9522816282876736</c:v>
                </c:pt>
                <c:pt idx="31">
                  <c:v>5.3781978377690205</c:v>
                </c:pt>
              </c:numCache>
            </c:numRef>
          </c:val>
          <c:smooth val="0"/>
          <c:extLst>
            <c:ext xmlns:c16="http://schemas.microsoft.com/office/drawing/2014/chart" uri="{C3380CC4-5D6E-409C-BE32-E72D297353CC}">
              <c16:uniqueId val="{0000000B-51C7-46DC-A36D-2706BC0DC720}"/>
            </c:ext>
          </c:extLst>
        </c:ser>
        <c:ser>
          <c:idx val="12"/>
          <c:order val="12"/>
          <c:tx>
            <c:strRef>
              <c:f>' All EV uptake'!$BP$3</c:f>
              <c:strCache>
                <c:ptCount val="1"/>
                <c:pt idx="0">
                  <c:v>Italy base</c:v>
                </c:pt>
              </c:strCache>
            </c:strRef>
          </c:tx>
          <c:spPr>
            <a:ln w="28575" cap="rnd">
              <a:solidFill>
                <a:schemeClr val="accent1">
                  <a:lumMod val="80000"/>
                  <a:lumOff val="20000"/>
                </a:schemeClr>
              </a:solidFill>
              <a:round/>
            </a:ln>
            <a:effectLst/>
          </c:spPr>
          <c:marker>
            <c:symbol val="none"/>
          </c:marker>
          <c:val>
            <c:numRef>
              <c:f>' All EV uptake'!$BP$4:$BP$35</c:f>
              <c:numCache>
                <c:formatCode>General</c:formatCode>
                <c:ptCount val="32"/>
                <c:pt idx="1">
                  <c:v>-8.0132630875259458</c:v>
                </c:pt>
                <c:pt idx="2">
                  <c:v>-7.626174741283422</c:v>
                </c:pt>
                <c:pt idx="3">
                  <c:v>-7.239086395040899</c:v>
                </c:pt>
                <c:pt idx="4">
                  <c:v>-6.8519980487983752</c:v>
                </c:pt>
                <c:pt idx="5">
                  <c:v>-6.4649097025558522</c:v>
                </c:pt>
                <c:pt idx="6">
                  <c:v>-6.0778213563133292</c:v>
                </c:pt>
                <c:pt idx="7">
                  <c:v>-5.6907330100708062</c:v>
                </c:pt>
                <c:pt idx="8">
                  <c:v>-5.3036446638282824</c:v>
                </c:pt>
                <c:pt idx="9">
                  <c:v>-4.9165563175857585</c:v>
                </c:pt>
                <c:pt idx="10">
                  <c:v>-4.5294679713432355</c:v>
                </c:pt>
                <c:pt idx="11">
                  <c:v>-4.1423796251007126</c:v>
                </c:pt>
                <c:pt idx="12">
                  <c:v>-3.7552912788581896</c:v>
                </c:pt>
                <c:pt idx="13">
                  <c:v>-3.3682029326156657</c:v>
                </c:pt>
                <c:pt idx="14">
                  <c:v>-2.9811145863731427</c:v>
                </c:pt>
                <c:pt idx="15">
                  <c:v>-2.5940262401306189</c:v>
                </c:pt>
                <c:pt idx="16">
                  <c:v>-2.2069378938880959</c:v>
                </c:pt>
                <c:pt idx="17">
                  <c:v>-1.8198495476455729</c:v>
                </c:pt>
                <c:pt idx="18">
                  <c:v>-1.4327612014030491</c:v>
                </c:pt>
                <c:pt idx="19">
                  <c:v>-1.0456728551605261</c:v>
                </c:pt>
                <c:pt idx="20">
                  <c:v>-0.65858450891800224</c:v>
                </c:pt>
                <c:pt idx="21">
                  <c:v>-0.27149616267547927</c:v>
                </c:pt>
                <c:pt idx="22">
                  <c:v>0.1155921835670437</c:v>
                </c:pt>
                <c:pt idx="23">
                  <c:v>0.50268052980956668</c:v>
                </c:pt>
                <c:pt idx="24">
                  <c:v>0.88976887605208965</c:v>
                </c:pt>
                <c:pt idx="25">
                  <c:v>1.2768572222946144</c:v>
                </c:pt>
                <c:pt idx="26">
                  <c:v>1.6639455685371374</c:v>
                </c:pt>
                <c:pt idx="27">
                  <c:v>2.0510339147796603</c:v>
                </c:pt>
                <c:pt idx="28">
                  <c:v>2.4381222610221833</c:v>
                </c:pt>
                <c:pt idx="29">
                  <c:v>2.8252106072647063</c:v>
                </c:pt>
                <c:pt idx="30">
                  <c:v>3.212298953507231</c:v>
                </c:pt>
                <c:pt idx="31">
                  <c:v>3.599387299749754</c:v>
                </c:pt>
              </c:numCache>
            </c:numRef>
          </c:val>
          <c:smooth val="0"/>
          <c:extLst>
            <c:ext xmlns:c16="http://schemas.microsoft.com/office/drawing/2014/chart" uri="{C3380CC4-5D6E-409C-BE32-E72D297353CC}">
              <c16:uniqueId val="{0000000C-51C7-46DC-A36D-2706BC0DC720}"/>
            </c:ext>
          </c:extLst>
        </c:ser>
        <c:ser>
          <c:idx val="13"/>
          <c:order val="13"/>
          <c:tx>
            <c:strRef>
              <c:f>' All EV uptake'!$BQ$3</c:f>
              <c:strCache>
                <c:ptCount val="1"/>
                <c:pt idx="0">
                  <c:v>Japan base</c:v>
                </c:pt>
              </c:strCache>
            </c:strRef>
          </c:tx>
          <c:spPr>
            <a:ln w="28575" cap="rnd">
              <a:solidFill>
                <a:schemeClr val="accent2">
                  <a:lumMod val="80000"/>
                  <a:lumOff val="20000"/>
                </a:schemeClr>
              </a:solidFill>
              <a:round/>
            </a:ln>
            <a:effectLst/>
          </c:spPr>
          <c:marker>
            <c:symbol val="none"/>
          </c:marker>
          <c:val>
            <c:numRef>
              <c:f>' All EV uptake'!$BQ$4:$BQ$35</c:f>
              <c:numCache>
                <c:formatCode>General</c:formatCode>
                <c:ptCount val="32"/>
                <c:pt idx="1">
                  <c:v>-5.1423865441636893</c:v>
                </c:pt>
                <c:pt idx="2">
                  <c:v>-4.9683975100073727</c:v>
                </c:pt>
                <c:pt idx="3">
                  <c:v>-4.7944084758510552</c:v>
                </c:pt>
                <c:pt idx="4">
                  <c:v>-4.6204194416947386</c:v>
                </c:pt>
                <c:pt idx="5">
                  <c:v>-4.4464304075384211</c:v>
                </c:pt>
                <c:pt idx="6">
                  <c:v>-4.2724413733821045</c:v>
                </c:pt>
                <c:pt idx="7">
                  <c:v>-4.098452339225787</c:v>
                </c:pt>
                <c:pt idx="8">
                  <c:v>-3.9244633050694699</c:v>
                </c:pt>
                <c:pt idx="9">
                  <c:v>-3.7504742709131529</c:v>
                </c:pt>
                <c:pt idx="10">
                  <c:v>-3.5764852367568358</c:v>
                </c:pt>
                <c:pt idx="11">
                  <c:v>-3.4024962026005188</c:v>
                </c:pt>
                <c:pt idx="12">
                  <c:v>-3.2285071684442013</c:v>
                </c:pt>
                <c:pt idx="13">
                  <c:v>-3.0545181342878842</c:v>
                </c:pt>
                <c:pt idx="14">
                  <c:v>-2.8805291001315672</c:v>
                </c:pt>
                <c:pt idx="15">
                  <c:v>-2.7065400659752501</c:v>
                </c:pt>
                <c:pt idx="16">
                  <c:v>-2.532551031818933</c:v>
                </c:pt>
                <c:pt idx="17">
                  <c:v>-2.358561997662616</c:v>
                </c:pt>
                <c:pt idx="18">
                  <c:v>-2.1845729635062989</c:v>
                </c:pt>
                <c:pt idx="19">
                  <c:v>-2.0105839293499819</c:v>
                </c:pt>
                <c:pt idx="20">
                  <c:v>-1.8365948951936648</c:v>
                </c:pt>
                <c:pt idx="21">
                  <c:v>-1.6626058610373473</c:v>
                </c:pt>
                <c:pt idx="22">
                  <c:v>-1.4886168268810303</c:v>
                </c:pt>
                <c:pt idx="23">
                  <c:v>-1.3146277927247132</c:v>
                </c:pt>
                <c:pt idx="24">
                  <c:v>-1.1406387585683957</c:v>
                </c:pt>
                <c:pt idx="25">
                  <c:v>-0.96664972441207908</c:v>
                </c:pt>
                <c:pt idx="26">
                  <c:v>-0.79266069025576158</c:v>
                </c:pt>
                <c:pt idx="27">
                  <c:v>-0.61867165609944497</c:v>
                </c:pt>
                <c:pt idx="28">
                  <c:v>-0.44468262194312747</c:v>
                </c:pt>
                <c:pt idx="29">
                  <c:v>-0.27069358778681085</c:v>
                </c:pt>
                <c:pt idx="30">
                  <c:v>-9.6704553630493351E-2</c:v>
                </c:pt>
                <c:pt idx="31">
                  <c:v>7.7284480525823263E-2</c:v>
                </c:pt>
              </c:numCache>
            </c:numRef>
          </c:val>
          <c:smooth val="0"/>
          <c:extLst>
            <c:ext xmlns:c16="http://schemas.microsoft.com/office/drawing/2014/chart" uri="{C3380CC4-5D6E-409C-BE32-E72D297353CC}">
              <c16:uniqueId val="{0000000D-51C7-46DC-A36D-2706BC0DC720}"/>
            </c:ext>
          </c:extLst>
        </c:ser>
        <c:ser>
          <c:idx val="14"/>
          <c:order val="14"/>
          <c:tx>
            <c:strRef>
              <c:f>' All EV uptake'!$BD$3</c:f>
              <c:strCache>
                <c:ptCount val="1"/>
                <c:pt idx="0">
                  <c:v>Global raw</c:v>
                </c:pt>
              </c:strCache>
            </c:strRef>
          </c:tx>
          <c:spPr>
            <a:ln w="31750" cap="rnd">
              <a:solidFill>
                <a:schemeClr val="tx1"/>
              </a:solidFill>
              <a:round/>
            </a:ln>
            <a:effectLst/>
          </c:spPr>
          <c:marker>
            <c:symbol val="none"/>
          </c:marker>
          <c:val>
            <c:numRef>
              <c:f>' All EV uptake'!$BD$4:$BD$35</c:f>
              <c:numCache>
                <c:formatCode>General</c:formatCode>
                <c:ptCount val="32"/>
                <c:pt idx="1">
                  <c:v>-6.8189826968851079</c:v>
                </c:pt>
                <c:pt idx="2">
                  <c:v>-6.2519533856471599</c:v>
                </c:pt>
                <c:pt idx="3">
                  <c:v>-5.6150524306855214</c:v>
                </c:pt>
                <c:pt idx="4">
                  <c:v>-5.1500634456652898</c:v>
                </c:pt>
                <c:pt idx="5">
                  <c:v>-4.6933469173179176</c:v>
                </c:pt>
                <c:pt idx="6">
                  <c:v>-4.2675635368361373</c:v>
                </c:pt>
                <c:pt idx="7">
                  <c:v>-4.0394031957352938</c:v>
                </c:pt>
                <c:pt idx="8">
                  <c:v>-3.6211971806624836</c:v>
                </c:pt>
                <c:pt idx="9">
                  <c:v>-3.0891649129684851</c:v>
                </c:pt>
                <c:pt idx="10">
                  <c:v>-2.5596528832797447</c:v>
                </c:pt>
                <c:pt idx="11">
                  <c:v>-2.0937060219689059</c:v>
                </c:pt>
                <c:pt idx="12">
                  <c:v>-1.6121282126963838</c:v>
                </c:pt>
                <c:pt idx="13">
                  <c:v>-1.1009972195589726</c:v>
                </c:pt>
                <c:pt idx="14">
                  <c:v>-0.5977601995104791</c:v>
                </c:pt>
                <c:pt idx="15">
                  <c:v>-0.10675507002299356</c:v>
                </c:pt>
                <c:pt idx="16">
                  <c:v>0.37634470565479761</c:v>
                </c:pt>
                <c:pt idx="17">
                  <c:v>0.87128091702412858</c:v>
                </c:pt>
                <c:pt idx="18">
                  <c:v>1.377323787506489</c:v>
                </c:pt>
                <c:pt idx="19">
                  <c:v>1.8709253358792295</c:v>
                </c:pt>
                <c:pt idx="20">
                  <c:v>2.3597619733541535</c:v>
                </c:pt>
                <c:pt idx="21">
                  <c:v>2.8515834135404963</c:v>
                </c:pt>
                <c:pt idx="22">
                  <c:v>3.3404776740328641</c:v>
                </c:pt>
                <c:pt idx="23">
                  <c:v>3.8206579618988021</c:v>
                </c:pt>
                <c:pt idx="24">
                  <c:v>4.3008382497647402</c:v>
                </c:pt>
                <c:pt idx="25">
                  <c:v>4.7810185376306782</c:v>
                </c:pt>
                <c:pt idx="26">
                  <c:v>5.2611988254966162</c:v>
                </c:pt>
                <c:pt idx="27">
                  <c:v>5.7413791133625525</c:v>
                </c:pt>
                <c:pt idx="28">
                  <c:v>6.2215594012284905</c:v>
                </c:pt>
                <c:pt idx="29">
                  <c:v>6.7017396890944285</c:v>
                </c:pt>
                <c:pt idx="30">
                  <c:v>7.1819199769603648</c:v>
                </c:pt>
                <c:pt idx="31">
                  <c:v>7.6621002648263028</c:v>
                </c:pt>
              </c:numCache>
            </c:numRef>
          </c:val>
          <c:smooth val="0"/>
          <c:extLst>
            <c:ext xmlns:c16="http://schemas.microsoft.com/office/drawing/2014/chart" uri="{C3380CC4-5D6E-409C-BE32-E72D297353CC}">
              <c16:uniqueId val="{0000000E-51C7-46DC-A36D-2706BC0DC720}"/>
            </c:ext>
          </c:extLst>
        </c:ser>
        <c:dLbls>
          <c:showLegendKey val="0"/>
          <c:showVal val="0"/>
          <c:showCatName val="0"/>
          <c:showSerName val="0"/>
          <c:showPercent val="0"/>
          <c:showBubbleSize val="0"/>
        </c:dLbls>
        <c:smooth val="0"/>
        <c:axId val="792688632"/>
        <c:axId val="792686008"/>
      </c:lineChart>
      <c:catAx>
        <c:axId val="792688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686008"/>
        <c:crosses val="autoZero"/>
        <c:auto val="1"/>
        <c:lblAlgn val="ctr"/>
        <c:lblOffset val="100"/>
        <c:noMultiLvlLbl val="0"/>
      </c:catAx>
      <c:valAx>
        <c:axId val="792686008"/>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68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7.xml"/><Relationship Id="rId5" Type="http://schemas.openxmlformats.org/officeDocument/2006/relationships/chart" Target="../charts/chart111.xml"/><Relationship Id="rId10" Type="http://schemas.openxmlformats.org/officeDocument/2006/relationships/chart" Target="../charts/chart116.xml"/><Relationship Id="rId4" Type="http://schemas.openxmlformats.org/officeDocument/2006/relationships/chart" Target="../charts/chart110.xml"/><Relationship Id="rId9" Type="http://schemas.openxmlformats.org/officeDocument/2006/relationships/chart" Target="../charts/chart1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20.xml"/><Relationship Id="rId7" Type="http://schemas.openxmlformats.org/officeDocument/2006/relationships/chart" Target="../charts/chart124.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3.xml"/><Relationship Id="rId5" Type="http://schemas.openxmlformats.org/officeDocument/2006/relationships/chart" Target="../charts/chart122.xml"/><Relationship Id="rId4" Type="http://schemas.openxmlformats.org/officeDocument/2006/relationships/chart" Target="../charts/chart12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27.xml"/><Relationship Id="rId7" Type="http://schemas.openxmlformats.org/officeDocument/2006/relationships/chart" Target="../charts/chart131.xml"/><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140.xml"/><Relationship Id="rId3" Type="http://schemas.openxmlformats.org/officeDocument/2006/relationships/chart" Target="../charts/chart135.xml"/><Relationship Id="rId7" Type="http://schemas.openxmlformats.org/officeDocument/2006/relationships/chart" Target="../charts/chart139.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151.xml"/><Relationship Id="rId3" Type="http://schemas.openxmlformats.org/officeDocument/2006/relationships/chart" Target="../charts/chart146.xml"/><Relationship Id="rId7" Type="http://schemas.openxmlformats.org/officeDocument/2006/relationships/chart" Target="../charts/chart150.xml"/><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chart" Target="../charts/chart149.xml"/><Relationship Id="rId5" Type="http://schemas.openxmlformats.org/officeDocument/2006/relationships/chart" Target="../charts/chart148.xml"/><Relationship Id="rId4" Type="http://schemas.openxmlformats.org/officeDocument/2006/relationships/chart" Target="../charts/chart147.xml"/><Relationship Id="rId9" Type="http://schemas.openxmlformats.org/officeDocument/2006/relationships/chart" Target="../charts/chart15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8" Type="http://schemas.openxmlformats.org/officeDocument/2006/relationships/chart" Target="../charts/chart161.xml"/><Relationship Id="rId3" Type="http://schemas.openxmlformats.org/officeDocument/2006/relationships/chart" Target="../charts/chart156.xml"/><Relationship Id="rId7" Type="http://schemas.openxmlformats.org/officeDocument/2006/relationships/chart" Target="../charts/chart160.xml"/><Relationship Id="rId2" Type="http://schemas.openxmlformats.org/officeDocument/2006/relationships/chart" Target="../charts/chart155.xml"/><Relationship Id="rId1" Type="http://schemas.openxmlformats.org/officeDocument/2006/relationships/chart" Target="../charts/chart154.xml"/><Relationship Id="rId6" Type="http://schemas.openxmlformats.org/officeDocument/2006/relationships/chart" Target="../charts/chart159.xml"/><Relationship Id="rId5" Type="http://schemas.openxmlformats.org/officeDocument/2006/relationships/chart" Target="../charts/chart158.xml"/><Relationship Id="rId4" Type="http://schemas.openxmlformats.org/officeDocument/2006/relationships/chart" Target="../charts/chart15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170.xml"/><Relationship Id="rId3" Type="http://schemas.openxmlformats.org/officeDocument/2006/relationships/chart" Target="../charts/chart165.xml"/><Relationship Id="rId7" Type="http://schemas.openxmlformats.org/officeDocument/2006/relationships/chart" Target="../charts/chart169.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180.xml"/><Relationship Id="rId3" Type="http://schemas.openxmlformats.org/officeDocument/2006/relationships/chart" Target="../charts/chart175.xml"/><Relationship Id="rId7" Type="http://schemas.openxmlformats.org/officeDocument/2006/relationships/chart" Target="../charts/chart179.xml"/><Relationship Id="rId2" Type="http://schemas.openxmlformats.org/officeDocument/2006/relationships/chart" Target="../charts/chart174.xml"/><Relationship Id="rId1" Type="http://schemas.openxmlformats.org/officeDocument/2006/relationships/chart" Target="../charts/chart173.xml"/><Relationship Id="rId6" Type="http://schemas.openxmlformats.org/officeDocument/2006/relationships/chart" Target="../charts/chart178.xml"/><Relationship Id="rId11" Type="http://schemas.openxmlformats.org/officeDocument/2006/relationships/chart" Target="../charts/chart183.xml"/><Relationship Id="rId5" Type="http://schemas.openxmlformats.org/officeDocument/2006/relationships/chart" Target="../charts/chart177.xml"/><Relationship Id="rId10" Type="http://schemas.openxmlformats.org/officeDocument/2006/relationships/chart" Target="../charts/chart182.xml"/><Relationship Id="rId4" Type="http://schemas.openxmlformats.org/officeDocument/2006/relationships/chart" Target="../charts/chart176.xml"/><Relationship Id="rId9" Type="http://schemas.openxmlformats.org/officeDocument/2006/relationships/chart" Target="../charts/chart18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emf"/></Relationships>
</file>

<file path=xl/drawings/_rels/drawing40.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192.xml"/><Relationship Id="rId3" Type="http://schemas.openxmlformats.org/officeDocument/2006/relationships/chart" Target="../charts/chart187.xml"/><Relationship Id="rId7" Type="http://schemas.openxmlformats.org/officeDocument/2006/relationships/chart" Target="../charts/chart191.xml"/><Relationship Id="rId2" Type="http://schemas.openxmlformats.org/officeDocument/2006/relationships/chart" Target="../charts/chart186.xml"/><Relationship Id="rId1" Type="http://schemas.openxmlformats.org/officeDocument/2006/relationships/chart" Target="../charts/chart185.xml"/><Relationship Id="rId6" Type="http://schemas.openxmlformats.org/officeDocument/2006/relationships/chart" Target="../charts/chart190.xml"/><Relationship Id="rId5" Type="http://schemas.openxmlformats.org/officeDocument/2006/relationships/chart" Target="../charts/chart189.xml"/><Relationship Id="rId4" Type="http://schemas.openxmlformats.org/officeDocument/2006/relationships/chart" Target="../charts/chart18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201.xml"/><Relationship Id="rId3" Type="http://schemas.openxmlformats.org/officeDocument/2006/relationships/chart" Target="../charts/chart196.xml"/><Relationship Id="rId7" Type="http://schemas.openxmlformats.org/officeDocument/2006/relationships/chart" Target="../charts/chart200.xml"/><Relationship Id="rId2" Type="http://schemas.openxmlformats.org/officeDocument/2006/relationships/chart" Target="../charts/chart195.xml"/><Relationship Id="rId1" Type="http://schemas.openxmlformats.org/officeDocument/2006/relationships/chart" Target="../charts/chart194.xml"/><Relationship Id="rId6" Type="http://schemas.openxmlformats.org/officeDocument/2006/relationships/chart" Target="../charts/chart199.xml"/><Relationship Id="rId5" Type="http://schemas.openxmlformats.org/officeDocument/2006/relationships/chart" Target="../charts/chart198.xml"/><Relationship Id="rId4" Type="http://schemas.openxmlformats.org/officeDocument/2006/relationships/chart" Target="../charts/chart19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8" Type="http://schemas.openxmlformats.org/officeDocument/2006/relationships/chart" Target="../charts/chart210.xml"/><Relationship Id="rId3" Type="http://schemas.openxmlformats.org/officeDocument/2006/relationships/chart" Target="../charts/chart205.xml"/><Relationship Id="rId7" Type="http://schemas.openxmlformats.org/officeDocument/2006/relationships/chart" Target="../charts/chart209.xml"/><Relationship Id="rId2" Type="http://schemas.openxmlformats.org/officeDocument/2006/relationships/chart" Target="../charts/chart204.xml"/><Relationship Id="rId1" Type="http://schemas.openxmlformats.org/officeDocument/2006/relationships/chart" Target="../charts/chart203.xml"/><Relationship Id="rId6" Type="http://schemas.openxmlformats.org/officeDocument/2006/relationships/chart" Target="../charts/chart208.xml"/><Relationship Id="rId5" Type="http://schemas.openxmlformats.org/officeDocument/2006/relationships/chart" Target="../charts/chart207.xml"/><Relationship Id="rId4" Type="http://schemas.openxmlformats.org/officeDocument/2006/relationships/chart" Target="../charts/chart20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214.xml"/><Relationship Id="rId7" Type="http://schemas.openxmlformats.org/officeDocument/2006/relationships/chart" Target="../charts/chart218.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5" Type="http://schemas.openxmlformats.org/officeDocument/2006/relationships/chart" Target="../charts/chart216.xml"/><Relationship Id="rId4" Type="http://schemas.openxmlformats.org/officeDocument/2006/relationships/chart" Target="../charts/chart21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222.xml"/><Relationship Id="rId2" Type="http://schemas.openxmlformats.org/officeDocument/2006/relationships/chart" Target="../charts/chart221.xml"/><Relationship Id="rId1" Type="http://schemas.openxmlformats.org/officeDocument/2006/relationships/chart" Target="../charts/chart220.xml"/><Relationship Id="rId4" Type="http://schemas.openxmlformats.org/officeDocument/2006/relationships/chart" Target="../charts/chart223.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231.xml"/><Relationship Id="rId3" Type="http://schemas.openxmlformats.org/officeDocument/2006/relationships/chart" Target="../charts/chart226.xml"/><Relationship Id="rId7" Type="http://schemas.openxmlformats.org/officeDocument/2006/relationships/chart" Target="../charts/chart230.xml"/><Relationship Id="rId2" Type="http://schemas.openxmlformats.org/officeDocument/2006/relationships/chart" Target="../charts/chart225.xml"/><Relationship Id="rId1" Type="http://schemas.openxmlformats.org/officeDocument/2006/relationships/chart" Target="../charts/chart224.xml"/><Relationship Id="rId6" Type="http://schemas.openxmlformats.org/officeDocument/2006/relationships/chart" Target="../charts/chart229.xml"/><Relationship Id="rId5" Type="http://schemas.openxmlformats.org/officeDocument/2006/relationships/chart" Target="../charts/chart228.xml"/><Relationship Id="rId4" Type="http://schemas.openxmlformats.org/officeDocument/2006/relationships/chart" Target="../charts/chart227.xml"/><Relationship Id="rId9" Type="http://schemas.openxmlformats.org/officeDocument/2006/relationships/chart" Target="../charts/chart23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237.xml"/><Relationship Id="rId7" Type="http://schemas.openxmlformats.org/officeDocument/2006/relationships/chart" Target="../charts/chart241.xml"/><Relationship Id="rId2" Type="http://schemas.openxmlformats.org/officeDocument/2006/relationships/chart" Target="../charts/chart236.xml"/><Relationship Id="rId1" Type="http://schemas.openxmlformats.org/officeDocument/2006/relationships/chart" Target="../charts/chart235.xml"/><Relationship Id="rId6" Type="http://schemas.openxmlformats.org/officeDocument/2006/relationships/chart" Target="../charts/chart240.xml"/><Relationship Id="rId5" Type="http://schemas.openxmlformats.org/officeDocument/2006/relationships/chart" Target="../charts/chart239.xml"/><Relationship Id="rId4" Type="http://schemas.openxmlformats.org/officeDocument/2006/relationships/chart" Target="../charts/chart2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4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245.xml"/><Relationship Id="rId7" Type="http://schemas.openxmlformats.org/officeDocument/2006/relationships/chart" Target="../charts/chart249.xml"/><Relationship Id="rId2" Type="http://schemas.openxmlformats.org/officeDocument/2006/relationships/chart" Target="../charts/chart244.xml"/><Relationship Id="rId1" Type="http://schemas.openxmlformats.org/officeDocument/2006/relationships/chart" Target="../charts/chart243.xml"/><Relationship Id="rId6" Type="http://schemas.openxmlformats.org/officeDocument/2006/relationships/chart" Target="../charts/chart248.xml"/><Relationship Id="rId5" Type="http://schemas.openxmlformats.org/officeDocument/2006/relationships/chart" Target="../charts/chart247.xml"/><Relationship Id="rId4" Type="http://schemas.openxmlformats.org/officeDocument/2006/relationships/chart" Target="../charts/chart2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5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53.xml"/><Relationship Id="rId2" Type="http://schemas.openxmlformats.org/officeDocument/2006/relationships/chart" Target="../charts/chart252.xml"/><Relationship Id="rId1" Type="http://schemas.openxmlformats.org/officeDocument/2006/relationships/chart" Target="../charts/chart251.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261.xml"/><Relationship Id="rId3" Type="http://schemas.openxmlformats.org/officeDocument/2006/relationships/chart" Target="../charts/chart256.xml"/><Relationship Id="rId7" Type="http://schemas.openxmlformats.org/officeDocument/2006/relationships/chart" Target="../charts/chart260.xml"/><Relationship Id="rId2" Type="http://schemas.openxmlformats.org/officeDocument/2006/relationships/chart" Target="../charts/chart255.xml"/><Relationship Id="rId1" Type="http://schemas.openxmlformats.org/officeDocument/2006/relationships/chart" Target="../charts/chart254.xml"/><Relationship Id="rId6" Type="http://schemas.openxmlformats.org/officeDocument/2006/relationships/chart" Target="../charts/chart259.xml"/><Relationship Id="rId5" Type="http://schemas.openxmlformats.org/officeDocument/2006/relationships/chart" Target="../charts/chart258.xml"/><Relationship Id="rId4" Type="http://schemas.openxmlformats.org/officeDocument/2006/relationships/chart" Target="../charts/chart25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65.xml"/><Relationship Id="rId7" Type="http://schemas.openxmlformats.org/officeDocument/2006/relationships/chart" Target="../charts/chart269.xml"/><Relationship Id="rId2" Type="http://schemas.openxmlformats.org/officeDocument/2006/relationships/chart" Target="../charts/chart264.xml"/><Relationship Id="rId1" Type="http://schemas.openxmlformats.org/officeDocument/2006/relationships/chart" Target="../charts/chart263.xml"/><Relationship Id="rId6" Type="http://schemas.openxmlformats.org/officeDocument/2006/relationships/chart" Target="../charts/chart268.xml"/><Relationship Id="rId5" Type="http://schemas.openxmlformats.org/officeDocument/2006/relationships/chart" Target="../charts/chart267.xml"/><Relationship Id="rId4" Type="http://schemas.openxmlformats.org/officeDocument/2006/relationships/chart" Target="../charts/chart266.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277.xml"/><Relationship Id="rId13" Type="http://schemas.openxmlformats.org/officeDocument/2006/relationships/chart" Target="../charts/chart282.xml"/><Relationship Id="rId3" Type="http://schemas.openxmlformats.org/officeDocument/2006/relationships/chart" Target="../charts/chart272.xml"/><Relationship Id="rId7" Type="http://schemas.openxmlformats.org/officeDocument/2006/relationships/chart" Target="../charts/chart276.xml"/><Relationship Id="rId12" Type="http://schemas.openxmlformats.org/officeDocument/2006/relationships/chart" Target="../charts/chart281.xml"/><Relationship Id="rId2" Type="http://schemas.openxmlformats.org/officeDocument/2006/relationships/chart" Target="../charts/chart271.xml"/><Relationship Id="rId1" Type="http://schemas.openxmlformats.org/officeDocument/2006/relationships/chart" Target="../charts/chart270.xml"/><Relationship Id="rId6" Type="http://schemas.openxmlformats.org/officeDocument/2006/relationships/chart" Target="../charts/chart275.xml"/><Relationship Id="rId11" Type="http://schemas.openxmlformats.org/officeDocument/2006/relationships/chart" Target="../charts/chart280.xml"/><Relationship Id="rId5" Type="http://schemas.openxmlformats.org/officeDocument/2006/relationships/chart" Target="../charts/chart274.xml"/><Relationship Id="rId10" Type="http://schemas.openxmlformats.org/officeDocument/2006/relationships/chart" Target="../charts/chart279.xml"/><Relationship Id="rId4" Type="http://schemas.openxmlformats.org/officeDocument/2006/relationships/chart" Target="../charts/chart273.xml"/><Relationship Id="rId9" Type="http://schemas.openxmlformats.org/officeDocument/2006/relationships/chart" Target="../charts/chart27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83.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86.xml"/><Relationship Id="rId7" Type="http://schemas.openxmlformats.org/officeDocument/2006/relationships/chart" Target="../charts/chart290.xml"/><Relationship Id="rId2" Type="http://schemas.openxmlformats.org/officeDocument/2006/relationships/chart" Target="../charts/chart285.xml"/><Relationship Id="rId1" Type="http://schemas.openxmlformats.org/officeDocument/2006/relationships/chart" Target="../charts/chart284.xml"/><Relationship Id="rId6" Type="http://schemas.openxmlformats.org/officeDocument/2006/relationships/chart" Target="../charts/chart289.xml"/><Relationship Id="rId5" Type="http://schemas.openxmlformats.org/officeDocument/2006/relationships/chart" Target="../charts/chart288.xml"/><Relationship Id="rId4" Type="http://schemas.openxmlformats.org/officeDocument/2006/relationships/chart" Target="../charts/chart28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291.xml"/></Relationships>
</file>

<file path=xl/drawings/_rels/drawing6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6.xml.rels><?xml version="1.0" encoding="UTF-8" standalone="yes"?>
<Relationships xmlns="http://schemas.openxmlformats.org/package/2006/relationships"><Relationship Id="rId8" Type="http://schemas.openxmlformats.org/officeDocument/2006/relationships/chart" Target="../charts/chart299.xml"/><Relationship Id="rId3" Type="http://schemas.openxmlformats.org/officeDocument/2006/relationships/chart" Target="../charts/chart294.xml"/><Relationship Id="rId7" Type="http://schemas.openxmlformats.org/officeDocument/2006/relationships/chart" Target="../charts/chart298.xml"/><Relationship Id="rId2" Type="http://schemas.openxmlformats.org/officeDocument/2006/relationships/chart" Target="../charts/chart293.xml"/><Relationship Id="rId1" Type="http://schemas.openxmlformats.org/officeDocument/2006/relationships/chart" Target="../charts/chart292.xml"/><Relationship Id="rId6" Type="http://schemas.openxmlformats.org/officeDocument/2006/relationships/chart" Target="../charts/chart297.xml"/><Relationship Id="rId5" Type="http://schemas.openxmlformats.org/officeDocument/2006/relationships/chart" Target="../charts/chart296.xml"/><Relationship Id="rId4" Type="http://schemas.openxmlformats.org/officeDocument/2006/relationships/chart" Target="../charts/chart295.xml"/></Relationships>
</file>

<file path=xl/drawings/_rels/drawing67.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300.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301.xml"/><Relationship Id="rId1" Type="http://schemas.openxmlformats.org/officeDocument/2006/relationships/image" Target="../media/image8.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304.xml"/><Relationship Id="rId7" Type="http://schemas.openxmlformats.org/officeDocument/2006/relationships/chart" Target="../charts/chart308.xml"/><Relationship Id="rId2" Type="http://schemas.openxmlformats.org/officeDocument/2006/relationships/chart" Target="../charts/chart303.xml"/><Relationship Id="rId1" Type="http://schemas.openxmlformats.org/officeDocument/2006/relationships/chart" Target="../charts/chart302.xml"/><Relationship Id="rId6" Type="http://schemas.openxmlformats.org/officeDocument/2006/relationships/chart" Target="../charts/chart307.xml"/><Relationship Id="rId5" Type="http://schemas.openxmlformats.org/officeDocument/2006/relationships/chart" Target="../charts/chart306.xml"/><Relationship Id="rId4" Type="http://schemas.openxmlformats.org/officeDocument/2006/relationships/chart" Target="../charts/chart30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09.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312.xml"/><Relationship Id="rId7" Type="http://schemas.openxmlformats.org/officeDocument/2006/relationships/chart" Target="../charts/chart316.xml"/><Relationship Id="rId2" Type="http://schemas.openxmlformats.org/officeDocument/2006/relationships/chart" Target="../charts/chart311.xml"/><Relationship Id="rId1" Type="http://schemas.openxmlformats.org/officeDocument/2006/relationships/chart" Target="../charts/chart310.xml"/><Relationship Id="rId6" Type="http://schemas.openxmlformats.org/officeDocument/2006/relationships/chart" Target="../charts/chart315.xml"/><Relationship Id="rId5" Type="http://schemas.openxmlformats.org/officeDocument/2006/relationships/chart" Target="../charts/chart314.xml"/><Relationship Id="rId4" Type="http://schemas.openxmlformats.org/officeDocument/2006/relationships/chart" Target="../charts/chart31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317.xml"/><Relationship Id="rId1" Type="http://schemas.openxmlformats.org/officeDocument/2006/relationships/image" Target="../media/image9.png"/></Relationships>
</file>

<file path=xl/drawings/_rels/drawing73.xml.rels><?xml version="1.0" encoding="UTF-8" standalone="yes"?>
<Relationships xmlns="http://schemas.openxmlformats.org/package/2006/relationships"><Relationship Id="rId3" Type="http://schemas.openxmlformats.org/officeDocument/2006/relationships/chart" Target="../charts/chart320.xml"/><Relationship Id="rId7" Type="http://schemas.openxmlformats.org/officeDocument/2006/relationships/chart" Target="../charts/chart324.xml"/><Relationship Id="rId2" Type="http://schemas.openxmlformats.org/officeDocument/2006/relationships/chart" Target="../charts/chart319.xml"/><Relationship Id="rId1" Type="http://schemas.openxmlformats.org/officeDocument/2006/relationships/chart" Target="../charts/chart318.xml"/><Relationship Id="rId6" Type="http://schemas.openxmlformats.org/officeDocument/2006/relationships/chart" Target="../charts/chart323.xml"/><Relationship Id="rId5" Type="http://schemas.openxmlformats.org/officeDocument/2006/relationships/chart" Target="../charts/chart322.xml"/><Relationship Id="rId4" Type="http://schemas.openxmlformats.org/officeDocument/2006/relationships/chart" Target="../charts/chart32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25.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333.xml"/><Relationship Id="rId3" Type="http://schemas.openxmlformats.org/officeDocument/2006/relationships/chart" Target="../charts/chart328.xml"/><Relationship Id="rId7" Type="http://schemas.openxmlformats.org/officeDocument/2006/relationships/chart" Target="../charts/chart332.xml"/><Relationship Id="rId2" Type="http://schemas.openxmlformats.org/officeDocument/2006/relationships/chart" Target="../charts/chart327.xml"/><Relationship Id="rId1" Type="http://schemas.openxmlformats.org/officeDocument/2006/relationships/chart" Target="../charts/chart326.xml"/><Relationship Id="rId6" Type="http://schemas.openxmlformats.org/officeDocument/2006/relationships/chart" Target="../charts/chart331.xml"/><Relationship Id="rId5" Type="http://schemas.openxmlformats.org/officeDocument/2006/relationships/chart" Target="../charts/chart330.xml"/><Relationship Id="rId4" Type="http://schemas.openxmlformats.org/officeDocument/2006/relationships/chart" Target="../charts/chart32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334.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https://commons.wikimedia.org/wiki/File:SUVsales2.PNG" TargetMode="External"/></Relationships>
</file>

<file path=xl/drawings/_rels/drawing78.xml.rels><?xml version="1.0" encoding="UTF-8" standalone="yes"?>
<Relationships xmlns="http://schemas.openxmlformats.org/package/2006/relationships"><Relationship Id="rId3" Type="http://schemas.openxmlformats.org/officeDocument/2006/relationships/chart" Target="../charts/chart337.xml"/><Relationship Id="rId2" Type="http://schemas.openxmlformats.org/officeDocument/2006/relationships/chart" Target="../charts/chart336.xml"/><Relationship Id="rId1" Type="http://schemas.openxmlformats.org/officeDocument/2006/relationships/chart" Target="../charts/chart335.xml"/><Relationship Id="rId4" Type="http://schemas.openxmlformats.org/officeDocument/2006/relationships/chart" Target="../charts/chart33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3</xdr:col>
      <xdr:colOff>209550</xdr:colOff>
      <xdr:row>26</xdr:row>
      <xdr:rowOff>38100</xdr:rowOff>
    </xdr:from>
    <xdr:to>
      <xdr:col>13</xdr:col>
      <xdr:colOff>234950</xdr:colOff>
      <xdr:row>45</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19049</xdr:colOff>
      <xdr:row>27</xdr:row>
      <xdr:rowOff>28575</xdr:rowOff>
    </xdr:from>
    <xdr:to>
      <xdr:col>25</xdr:col>
      <xdr:colOff>104774</xdr:colOff>
      <xdr:row>45</xdr:row>
      <xdr:rowOff>180975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49</xdr:row>
      <xdr:rowOff>0</xdr:rowOff>
    </xdr:from>
    <xdr:to>
      <xdr:col>12</xdr:col>
      <xdr:colOff>257175</xdr:colOff>
      <xdr:row>94</xdr:row>
      <xdr:rowOff>152400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14700" y="9334500"/>
          <a:ext cx="5743575" cy="872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47625</xdr:colOff>
      <xdr:row>15</xdr:row>
      <xdr:rowOff>114300</xdr:rowOff>
    </xdr:from>
    <xdr:to>
      <xdr:col>42</xdr:col>
      <xdr:colOff>352425</xdr:colOff>
      <xdr:row>30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393700</xdr:colOff>
      <xdr:row>88</xdr:row>
      <xdr:rowOff>177800</xdr:rowOff>
    </xdr:from>
    <xdr:to>
      <xdr:col>18</xdr:col>
      <xdr:colOff>333376</xdr:colOff>
      <xdr:row>111</xdr:row>
      <xdr:rowOff>63492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0.11397</cdr:x>
      <cdr:y>0.73134</cdr:y>
    </cdr:from>
    <cdr:to>
      <cdr:x>0.31434</cdr:x>
      <cdr:y>0.85672</cdr:y>
    </cdr:to>
    <cdr:cxnSp macro="">
      <cdr:nvCxnSpPr>
        <cdr:cNvPr id="9" name="Straight Connector 8"/>
        <cdr:cNvCxnSpPr/>
      </cdr:nvCxnSpPr>
      <cdr:spPr>
        <a:xfrm xmlns:a="http://schemas.openxmlformats.org/drawingml/2006/main" flipV="1">
          <a:off x="787401" y="3111492"/>
          <a:ext cx="1384300" cy="5334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0.31618</cdr:x>
      <cdr:y>0.18507</cdr:y>
    </cdr:from>
    <cdr:to>
      <cdr:x>0.94485</cdr:x>
      <cdr:y>0.73134</cdr:y>
    </cdr:to>
    <cdr:cxnSp macro="">
      <cdr:nvCxnSpPr>
        <cdr:cNvPr id="12" name="Straight Connector 11"/>
        <cdr:cNvCxnSpPr/>
      </cdr:nvCxnSpPr>
      <cdr:spPr>
        <a:xfrm xmlns:a="http://schemas.openxmlformats.org/drawingml/2006/main" flipV="1">
          <a:off x="2482575" y="789729"/>
          <a:ext cx="4936176" cy="233103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21</xdr:col>
      <xdr:colOff>419100</xdr:colOff>
      <xdr:row>37</xdr:row>
      <xdr:rowOff>12700</xdr:rowOff>
    </xdr:from>
    <xdr:to>
      <xdr:col>26</xdr:col>
      <xdr:colOff>889000</xdr:colOff>
      <xdr:row>57</xdr:row>
      <xdr:rowOff>12700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196848</xdr:colOff>
      <xdr:row>27</xdr:row>
      <xdr:rowOff>12708</xdr:rowOff>
    </xdr:from>
    <xdr:to>
      <xdr:col>44</xdr:col>
      <xdr:colOff>253999</xdr:colOff>
      <xdr:row>47</xdr:row>
      <xdr:rowOff>63500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279400</xdr:colOff>
      <xdr:row>50</xdr:row>
      <xdr:rowOff>38100</xdr:rowOff>
    </xdr:from>
    <xdr:to>
      <xdr:col>43</xdr:col>
      <xdr:colOff>254000</xdr:colOff>
      <xdr:row>70</xdr:row>
      <xdr:rowOff>50800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161924</xdr:colOff>
      <xdr:row>64</xdr:row>
      <xdr:rowOff>177808</xdr:rowOff>
    </xdr:from>
    <xdr:to>
      <xdr:col>20</xdr:col>
      <xdr:colOff>825500</xdr:colOff>
      <xdr:row>87</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247649</xdr:colOff>
      <xdr:row>73</xdr:row>
      <xdr:rowOff>25408</xdr:rowOff>
    </xdr:from>
    <xdr:to>
      <xdr:col>43</xdr:col>
      <xdr:colOff>19049</xdr:colOff>
      <xdr:row>87</xdr:row>
      <xdr:rowOff>88908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139700</xdr:colOff>
      <xdr:row>86</xdr:row>
      <xdr:rowOff>177800</xdr:rowOff>
    </xdr:from>
    <xdr:to>
      <xdr:col>7</xdr:col>
      <xdr:colOff>457200</xdr:colOff>
      <xdr:row>101</xdr:row>
      <xdr:rowOff>63500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95249</xdr:colOff>
      <xdr:row>49</xdr:row>
      <xdr:rowOff>50808</xdr:rowOff>
    </xdr:from>
    <xdr:to>
      <xdr:col>7</xdr:col>
      <xdr:colOff>431800</xdr:colOff>
      <xdr:row>63</xdr:row>
      <xdr:rowOff>114308</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419100</xdr:colOff>
      <xdr:row>57</xdr:row>
      <xdr:rowOff>101600</xdr:rowOff>
    </xdr:from>
    <xdr:to>
      <xdr:col>26</xdr:col>
      <xdr:colOff>889000</xdr:colOff>
      <xdr:row>77</xdr:row>
      <xdr:rowOff>88900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304800</xdr:colOff>
      <xdr:row>31</xdr:row>
      <xdr:rowOff>152408</xdr:rowOff>
    </xdr:from>
    <xdr:to>
      <xdr:col>7</xdr:col>
      <xdr:colOff>488949</xdr:colOff>
      <xdr:row>48</xdr:row>
      <xdr:rowOff>165100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88900</xdr:colOff>
      <xdr:row>29</xdr:row>
      <xdr:rowOff>76208</xdr:rowOff>
    </xdr:from>
    <xdr:to>
      <xdr:col>14</xdr:col>
      <xdr:colOff>177800</xdr:colOff>
      <xdr:row>43</xdr:row>
      <xdr:rowOff>152408</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76200</xdr:colOff>
      <xdr:row>46</xdr:row>
      <xdr:rowOff>76208</xdr:rowOff>
    </xdr:from>
    <xdr:to>
      <xdr:col>15</xdr:col>
      <xdr:colOff>330200</xdr:colOff>
      <xdr:row>64</xdr:row>
      <xdr:rowOff>38100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273049</xdr:colOff>
      <xdr:row>26</xdr:row>
      <xdr:rowOff>63500</xdr:rowOff>
    </xdr:from>
    <xdr:to>
      <xdr:col>20</xdr:col>
      <xdr:colOff>736600</xdr:colOff>
      <xdr:row>43</xdr:row>
      <xdr:rowOff>88908</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698500</xdr:colOff>
      <xdr:row>46</xdr:row>
      <xdr:rowOff>63500</xdr:rowOff>
    </xdr:from>
    <xdr:to>
      <xdr:col>21</xdr:col>
      <xdr:colOff>50800</xdr:colOff>
      <xdr:row>64</xdr:row>
      <xdr:rowOff>25400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984249</xdr:colOff>
      <xdr:row>21</xdr:row>
      <xdr:rowOff>38108</xdr:rowOff>
    </xdr:from>
    <xdr:to>
      <xdr:col>25</xdr:col>
      <xdr:colOff>44449</xdr:colOff>
      <xdr:row>35</xdr:row>
      <xdr:rowOff>114308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0.11397</cdr:x>
      <cdr:y>0.73134</cdr:y>
    </cdr:from>
    <cdr:to>
      <cdr:x>0.31434</cdr:x>
      <cdr:y>0.85672</cdr:y>
    </cdr:to>
    <cdr:cxnSp macro="">
      <cdr:nvCxnSpPr>
        <cdr:cNvPr id="9" name="Straight Connector 8"/>
        <cdr:cNvCxnSpPr/>
      </cdr:nvCxnSpPr>
      <cdr:spPr>
        <a:xfrm xmlns:a="http://schemas.openxmlformats.org/drawingml/2006/main" flipV="1">
          <a:off x="787401" y="3111492"/>
          <a:ext cx="1384300" cy="5334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0.31618</cdr:x>
      <cdr:y>0.18507</cdr:y>
    </cdr:from>
    <cdr:to>
      <cdr:x>0.94485</cdr:x>
      <cdr:y>0.73134</cdr:y>
    </cdr:to>
    <cdr:cxnSp macro="">
      <cdr:nvCxnSpPr>
        <cdr:cNvPr id="12" name="Straight Connector 11"/>
        <cdr:cNvCxnSpPr/>
      </cdr:nvCxnSpPr>
      <cdr:spPr>
        <a:xfrm xmlns:a="http://schemas.openxmlformats.org/drawingml/2006/main" flipV="1">
          <a:off x="2675318" y="787379"/>
          <a:ext cx="5319413" cy="232410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27</xdr:col>
      <xdr:colOff>165108</xdr:colOff>
      <xdr:row>53</xdr:row>
      <xdr:rowOff>38100</xdr:rowOff>
    </xdr:from>
    <xdr:to>
      <xdr:col>39</xdr:col>
      <xdr:colOff>114300</xdr:colOff>
      <xdr:row>118</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12700</xdr:colOff>
      <xdr:row>118</xdr:row>
      <xdr:rowOff>38100</xdr:rowOff>
    </xdr:from>
    <xdr:to>
      <xdr:col>36</xdr:col>
      <xdr:colOff>431792</xdr:colOff>
      <xdr:row>170</xdr:row>
      <xdr:rowOff>101600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571508</xdr:colOff>
      <xdr:row>124</xdr:row>
      <xdr:rowOff>107948</xdr:rowOff>
    </xdr:from>
    <xdr:to>
      <xdr:col>23</xdr:col>
      <xdr:colOff>673108</xdr:colOff>
      <xdr:row>159</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139700</xdr:colOff>
      <xdr:row>143</xdr:row>
      <xdr:rowOff>44448</xdr:rowOff>
    </xdr:from>
    <xdr:to>
      <xdr:col>14</xdr:col>
      <xdr:colOff>596900</xdr:colOff>
      <xdr:row>167</xdr:row>
      <xdr:rowOff>38099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596900</xdr:colOff>
      <xdr:row>112</xdr:row>
      <xdr:rowOff>101600</xdr:rowOff>
    </xdr:from>
    <xdr:to>
      <xdr:col>39</xdr:col>
      <xdr:colOff>292100</xdr:colOff>
      <xdr:row>149</xdr:row>
      <xdr:rowOff>177800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584200</xdr:colOff>
      <xdr:row>79</xdr:row>
      <xdr:rowOff>139700</xdr:rowOff>
    </xdr:from>
    <xdr:to>
      <xdr:col>55</xdr:col>
      <xdr:colOff>279400</xdr:colOff>
      <xdr:row>117</xdr:row>
      <xdr:rowOff>25400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25400</xdr:colOff>
      <xdr:row>170</xdr:row>
      <xdr:rowOff>165100</xdr:rowOff>
    </xdr:from>
    <xdr:to>
      <xdr:col>10</xdr:col>
      <xdr:colOff>533400</xdr:colOff>
      <xdr:row>185</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76200</xdr:colOff>
      <xdr:row>171</xdr:row>
      <xdr:rowOff>50800</xdr:rowOff>
    </xdr:from>
    <xdr:to>
      <xdr:col>16</xdr:col>
      <xdr:colOff>584200</xdr:colOff>
      <xdr:row>185</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533400</xdr:colOff>
      <xdr:row>95</xdr:row>
      <xdr:rowOff>139700</xdr:rowOff>
    </xdr:from>
    <xdr:to>
      <xdr:col>38</xdr:col>
      <xdr:colOff>228600</xdr:colOff>
      <xdr:row>110</xdr:row>
      <xdr:rowOff>25400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762008</xdr:colOff>
      <xdr:row>131</xdr:row>
      <xdr:rowOff>82549</xdr:rowOff>
    </xdr:from>
    <xdr:to>
      <xdr:col>30</xdr:col>
      <xdr:colOff>406408</xdr:colOff>
      <xdr:row>145</xdr:row>
      <xdr:rowOff>158749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387349</xdr:colOff>
      <xdr:row>78</xdr:row>
      <xdr:rowOff>171449</xdr:rowOff>
    </xdr:from>
    <xdr:to>
      <xdr:col>38</xdr:col>
      <xdr:colOff>82549</xdr:colOff>
      <xdr:row>93</xdr:row>
      <xdr:rowOff>57149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528638</xdr:colOff>
      <xdr:row>29</xdr:row>
      <xdr:rowOff>47624</xdr:rowOff>
    </xdr:from>
    <xdr:to>
      <xdr:col>5</xdr:col>
      <xdr:colOff>1066801</xdr:colOff>
      <xdr:row>46</xdr:row>
      <xdr:rowOff>38099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1187450</xdr:colOff>
      <xdr:row>25</xdr:row>
      <xdr:rowOff>177800</xdr:rowOff>
    </xdr:from>
    <xdr:to>
      <xdr:col>10</xdr:col>
      <xdr:colOff>942975</xdr:colOff>
      <xdr:row>46</xdr:row>
      <xdr:rowOff>34925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76200</xdr:colOff>
      <xdr:row>48</xdr:row>
      <xdr:rowOff>38100</xdr:rowOff>
    </xdr:from>
    <xdr:to>
      <xdr:col>6</xdr:col>
      <xdr:colOff>1362075</xdr:colOff>
      <xdr:row>65</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29</xdr:row>
      <xdr:rowOff>50800</xdr:rowOff>
    </xdr:from>
    <xdr:to>
      <xdr:col>15</xdr:col>
      <xdr:colOff>0</xdr:colOff>
      <xdr:row>43</xdr:row>
      <xdr:rowOff>127000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44</xdr:row>
      <xdr:rowOff>12700</xdr:rowOff>
    </xdr:from>
    <xdr:to>
      <xdr:col>15</xdr:col>
      <xdr:colOff>0</xdr:colOff>
      <xdr:row>58</xdr:row>
      <xdr:rowOff>88900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190500</xdr:colOff>
      <xdr:row>45</xdr:row>
      <xdr:rowOff>38100</xdr:rowOff>
    </xdr:from>
    <xdr:to>
      <xdr:col>11</xdr:col>
      <xdr:colOff>279400</xdr:colOff>
      <xdr:row>59</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85725</xdr:colOff>
      <xdr:row>26</xdr:row>
      <xdr:rowOff>47625</xdr:rowOff>
    </xdr:from>
    <xdr:to>
      <xdr:col>28</xdr:col>
      <xdr:colOff>762000</xdr:colOff>
      <xdr:row>40</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20</xdr:row>
      <xdr:rowOff>19050</xdr:rowOff>
    </xdr:from>
    <xdr:to>
      <xdr:col>12</xdr:col>
      <xdr:colOff>695325</xdr:colOff>
      <xdr:row>34</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85725</xdr:colOff>
      <xdr:row>26</xdr:row>
      <xdr:rowOff>47625</xdr:rowOff>
    </xdr:from>
    <xdr:to>
      <xdr:col>28</xdr:col>
      <xdr:colOff>762000</xdr:colOff>
      <xdr:row>40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1619250</xdr:colOff>
      <xdr:row>33</xdr:row>
      <xdr:rowOff>104775</xdr:rowOff>
    </xdr:from>
    <xdr:to>
      <xdr:col>10</xdr:col>
      <xdr:colOff>123825</xdr:colOff>
      <xdr:row>47</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514350</xdr:colOff>
      <xdr:row>135</xdr:row>
      <xdr:rowOff>152400</xdr:rowOff>
    </xdr:from>
    <xdr:to>
      <xdr:col>22</xdr:col>
      <xdr:colOff>57150</xdr:colOff>
      <xdr:row>150</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292100</xdr:colOff>
      <xdr:row>53</xdr:row>
      <xdr:rowOff>139700</xdr:rowOff>
    </xdr:from>
    <xdr:to>
      <xdr:col>55</xdr:col>
      <xdr:colOff>596900</xdr:colOff>
      <xdr:row>68</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514350</xdr:colOff>
      <xdr:row>135</xdr:row>
      <xdr:rowOff>152400</xdr:rowOff>
    </xdr:from>
    <xdr:to>
      <xdr:col>22</xdr:col>
      <xdr:colOff>57150</xdr:colOff>
      <xdr:row>150</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292100</xdr:colOff>
      <xdr:row>53</xdr:row>
      <xdr:rowOff>139700</xdr:rowOff>
    </xdr:from>
    <xdr:to>
      <xdr:col>56</xdr:col>
      <xdr:colOff>596900</xdr:colOff>
      <xdr:row>68</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317500</xdr:colOff>
      <xdr:row>43</xdr:row>
      <xdr:rowOff>114300</xdr:rowOff>
    </xdr:from>
    <xdr:to>
      <xdr:col>21</xdr:col>
      <xdr:colOff>469900</xdr:colOff>
      <xdr:row>58</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56</xdr:col>
      <xdr:colOff>292100</xdr:colOff>
      <xdr:row>56</xdr:row>
      <xdr:rowOff>139700</xdr:rowOff>
    </xdr:from>
    <xdr:to>
      <xdr:col>63</xdr:col>
      <xdr:colOff>596900</xdr:colOff>
      <xdr:row>71</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330208</xdr:colOff>
      <xdr:row>16</xdr:row>
      <xdr:rowOff>107949</xdr:rowOff>
    </xdr:from>
    <xdr:to>
      <xdr:col>7</xdr:col>
      <xdr:colOff>419108</xdr:colOff>
      <xdr:row>30</xdr:row>
      <xdr:rowOff>120649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184149</xdr:colOff>
      <xdr:row>17</xdr:row>
      <xdr:rowOff>120649</xdr:rowOff>
    </xdr:from>
    <xdr:to>
      <xdr:col>31</xdr:col>
      <xdr:colOff>311149</xdr:colOff>
      <xdr:row>31</xdr:row>
      <xdr:rowOff>146049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323850</xdr:colOff>
      <xdr:row>120</xdr:row>
      <xdr:rowOff>95250</xdr:rowOff>
    </xdr:from>
    <xdr:to>
      <xdr:col>14</xdr:col>
      <xdr:colOff>419100</xdr:colOff>
      <xdr:row>134</xdr:row>
      <xdr:rowOff>180975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76200</xdr:colOff>
      <xdr:row>110</xdr:row>
      <xdr:rowOff>63500</xdr:rowOff>
    </xdr:from>
    <xdr:to>
      <xdr:col>43</xdr:col>
      <xdr:colOff>63499</xdr:colOff>
      <xdr:row>124</xdr:row>
      <xdr:rowOff>130175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400051</xdr:colOff>
      <xdr:row>26</xdr:row>
      <xdr:rowOff>85725</xdr:rowOff>
    </xdr:from>
    <xdr:to>
      <xdr:col>15</xdr:col>
      <xdr:colOff>66676</xdr:colOff>
      <xdr:row>40</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733425</xdr:colOff>
      <xdr:row>105</xdr:row>
      <xdr:rowOff>85725</xdr:rowOff>
    </xdr:from>
    <xdr:to>
      <xdr:col>14</xdr:col>
      <xdr:colOff>561975</xdr:colOff>
      <xdr:row>119</xdr:row>
      <xdr:rowOff>152400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704848</xdr:colOff>
      <xdr:row>141</xdr:row>
      <xdr:rowOff>38099</xdr:rowOff>
    </xdr:from>
    <xdr:to>
      <xdr:col>9</xdr:col>
      <xdr:colOff>247650</xdr:colOff>
      <xdr:row>159</xdr:row>
      <xdr:rowOff>66674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374649</xdr:colOff>
      <xdr:row>111</xdr:row>
      <xdr:rowOff>25408</xdr:rowOff>
    </xdr:from>
    <xdr:to>
      <xdr:col>25</xdr:col>
      <xdr:colOff>69849</xdr:colOff>
      <xdr:row>125</xdr:row>
      <xdr:rowOff>101608</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323849</xdr:colOff>
      <xdr:row>126</xdr:row>
      <xdr:rowOff>38100</xdr:rowOff>
    </xdr:from>
    <xdr:to>
      <xdr:col>25</xdr:col>
      <xdr:colOff>19049</xdr:colOff>
      <xdr:row>140</xdr:row>
      <xdr:rowOff>114300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161</xdr:row>
      <xdr:rowOff>0</xdr:rowOff>
    </xdr:from>
    <xdr:to>
      <xdr:col>8</xdr:col>
      <xdr:colOff>596902</xdr:colOff>
      <xdr:row>179</xdr:row>
      <xdr:rowOff>28575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152</xdr:row>
      <xdr:rowOff>0</xdr:rowOff>
    </xdr:from>
    <xdr:to>
      <xdr:col>13</xdr:col>
      <xdr:colOff>1168402</xdr:colOff>
      <xdr:row>170</xdr:row>
      <xdr:rowOff>28575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152</xdr:row>
      <xdr:rowOff>0</xdr:rowOff>
    </xdr:from>
    <xdr:to>
      <xdr:col>22</xdr:col>
      <xdr:colOff>139702</xdr:colOff>
      <xdr:row>170</xdr:row>
      <xdr:rowOff>28575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406400</xdr:colOff>
      <xdr:row>111</xdr:row>
      <xdr:rowOff>177800</xdr:rowOff>
    </xdr:from>
    <xdr:to>
      <xdr:col>6</xdr:col>
      <xdr:colOff>139702</xdr:colOff>
      <xdr:row>130</xdr:row>
      <xdr:rowOff>15875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542925</xdr:colOff>
      <xdr:row>38</xdr:row>
      <xdr:rowOff>171450</xdr:rowOff>
    </xdr:from>
    <xdr:to>
      <xdr:col>10</xdr:col>
      <xdr:colOff>581025</xdr:colOff>
      <xdr:row>57</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609599</xdr:colOff>
      <xdr:row>39</xdr:row>
      <xdr:rowOff>0</xdr:rowOff>
    </xdr:from>
    <xdr:to>
      <xdr:col>22</xdr:col>
      <xdr:colOff>238125</xdr:colOff>
      <xdr:row>60</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352425</xdr:colOff>
      <xdr:row>39</xdr:row>
      <xdr:rowOff>19050</xdr:rowOff>
    </xdr:from>
    <xdr:to>
      <xdr:col>33</xdr:col>
      <xdr:colOff>523875</xdr:colOff>
      <xdr:row>58</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69</xdr:col>
      <xdr:colOff>241300</xdr:colOff>
      <xdr:row>35</xdr:row>
      <xdr:rowOff>114300</xdr:rowOff>
    </xdr:from>
    <xdr:to>
      <xdr:col>75</xdr:col>
      <xdr:colOff>596900</xdr:colOff>
      <xdr:row>83</xdr:row>
      <xdr:rowOff>12700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209549</xdr:colOff>
      <xdr:row>135</xdr:row>
      <xdr:rowOff>88900</xdr:rowOff>
    </xdr:from>
    <xdr:to>
      <xdr:col>8</xdr:col>
      <xdr:colOff>336549</xdr:colOff>
      <xdr:row>149</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431800</xdr:colOff>
      <xdr:row>46</xdr:row>
      <xdr:rowOff>12700</xdr:rowOff>
    </xdr:from>
    <xdr:to>
      <xdr:col>15</xdr:col>
      <xdr:colOff>889000</xdr:colOff>
      <xdr:row>70</xdr:row>
      <xdr:rowOff>127000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831848</xdr:colOff>
      <xdr:row>45</xdr:row>
      <xdr:rowOff>177800</xdr:rowOff>
    </xdr:from>
    <xdr:to>
      <xdr:col>23</xdr:col>
      <xdr:colOff>736600</xdr:colOff>
      <xdr:row>70</xdr:row>
      <xdr:rowOff>139700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19048</xdr:colOff>
      <xdr:row>46</xdr:row>
      <xdr:rowOff>12700</xdr:rowOff>
    </xdr:from>
    <xdr:to>
      <xdr:col>32</xdr:col>
      <xdr:colOff>571500</xdr:colOff>
      <xdr:row>70</xdr:row>
      <xdr:rowOff>165100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546100</xdr:colOff>
      <xdr:row>99</xdr:row>
      <xdr:rowOff>63500</xdr:rowOff>
    </xdr:from>
    <xdr:to>
      <xdr:col>17</xdr:col>
      <xdr:colOff>6349</xdr:colOff>
      <xdr:row>115</xdr:row>
      <xdr:rowOff>101600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596901</xdr:colOff>
      <xdr:row>99</xdr:row>
      <xdr:rowOff>101600</xdr:rowOff>
    </xdr:from>
    <xdr:to>
      <xdr:col>23</xdr:col>
      <xdr:colOff>800101</xdr:colOff>
      <xdr:row>115</xdr:row>
      <xdr:rowOff>127000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35</xdr:col>
      <xdr:colOff>63500</xdr:colOff>
      <xdr:row>40</xdr:row>
      <xdr:rowOff>165100</xdr:rowOff>
    </xdr:from>
    <xdr:to>
      <xdr:col>46</xdr:col>
      <xdr:colOff>88899</xdr:colOff>
      <xdr:row>87</xdr:row>
      <xdr:rowOff>165100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146048</xdr:colOff>
      <xdr:row>75</xdr:row>
      <xdr:rowOff>25408</xdr:rowOff>
    </xdr:from>
    <xdr:to>
      <xdr:col>38</xdr:col>
      <xdr:colOff>380999</xdr:colOff>
      <xdr:row>94</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590548</xdr:colOff>
      <xdr:row>53</xdr:row>
      <xdr:rowOff>152408</xdr:rowOff>
    </xdr:from>
    <xdr:to>
      <xdr:col>25</xdr:col>
      <xdr:colOff>127000</xdr:colOff>
      <xdr:row>74</xdr:row>
      <xdr:rowOff>63500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641348</xdr:colOff>
      <xdr:row>75</xdr:row>
      <xdr:rowOff>38108</xdr:rowOff>
    </xdr:from>
    <xdr:to>
      <xdr:col>28</xdr:col>
      <xdr:colOff>457199</xdr:colOff>
      <xdr:row>94</xdr:row>
      <xdr:rowOff>50800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444500</xdr:colOff>
      <xdr:row>96</xdr:row>
      <xdr:rowOff>152400</xdr:rowOff>
    </xdr:from>
    <xdr:to>
      <xdr:col>8</xdr:col>
      <xdr:colOff>355600</xdr:colOff>
      <xdr:row>114</xdr:row>
      <xdr:rowOff>127000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546108</xdr:colOff>
      <xdr:row>57</xdr:row>
      <xdr:rowOff>127008</xdr:rowOff>
    </xdr:from>
    <xdr:to>
      <xdr:col>34</xdr:col>
      <xdr:colOff>38108</xdr:colOff>
      <xdr:row>72</xdr:row>
      <xdr:rowOff>12708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482600</xdr:colOff>
      <xdr:row>77</xdr:row>
      <xdr:rowOff>88900</xdr:rowOff>
    </xdr:from>
    <xdr:to>
      <xdr:col>17</xdr:col>
      <xdr:colOff>558800</xdr:colOff>
      <xdr:row>95</xdr:row>
      <xdr:rowOff>63500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342900</xdr:colOff>
      <xdr:row>76</xdr:row>
      <xdr:rowOff>127000</xdr:rowOff>
    </xdr:from>
    <xdr:to>
      <xdr:col>8</xdr:col>
      <xdr:colOff>361951</xdr:colOff>
      <xdr:row>94</xdr:row>
      <xdr:rowOff>101600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177800</xdr:colOff>
      <xdr:row>66</xdr:row>
      <xdr:rowOff>88900</xdr:rowOff>
    </xdr:from>
    <xdr:to>
      <xdr:col>50</xdr:col>
      <xdr:colOff>114300</xdr:colOff>
      <xdr:row>84</xdr:row>
      <xdr:rowOff>63500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298449</xdr:colOff>
      <xdr:row>56</xdr:row>
      <xdr:rowOff>139708</xdr:rowOff>
    </xdr:from>
    <xdr:to>
      <xdr:col>41</xdr:col>
      <xdr:colOff>603249</xdr:colOff>
      <xdr:row>71</xdr:row>
      <xdr:rowOff>12708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55</xdr:col>
      <xdr:colOff>260349</xdr:colOff>
      <xdr:row>51</xdr:row>
      <xdr:rowOff>38108</xdr:rowOff>
    </xdr:from>
    <xdr:to>
      <xdr:col>62</xdr:col>
      <xdr:colOff>565149</xdr:colOff>
      <xdr:row>65</xdr:row>
      <xdr:rowOff>101608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63</xdr:col>
      <xdr:colOff>222248</xdr:colOff>
      <xdr:row>51</xdr:row>
      <xdr:rowOff>12708</xdr:rowOff>
    </xdr:from>
    <xdr:to>
      <xdr:col>70</xdr:col>
      <xdr:colOff>368300</xdr:colOff>
      <xdr:row>65</xdr:row>
      <xdr:rowOff>76208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42</xdr:col>
      <xdr:colOff>276225</xdr:colOff>
      <xdr:row>15</xdr:row>
      <xdr:rowOff>57150</xdr:rowOff>
    </xdr:from>
    <xdr:to>
      <xdr:col>49</xdr:col>
      <xdr:colOff>581025</xdr:colOff>
      <xdr:row>29</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276225</xdr:colOff>
      <xdr:row>0</xdr:row>
      <xdr:rowOff>9525</xdr:rowOff>
    </xdr:from>
    <xdr:to>
      <xdr:col>56</xdr:col>
      <xdr:colOff>581025</xdr:colOff>
      <xdr:row>14</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533400</xdr:colOff>
      <xdr:row>49</xdr:row>
      <xdr:rowOff>63500</xdr:rowOff>
    </xdr:from>
    <xdr:to>
      <xdr:col>20</xdr:col>
      <xdr:colOff>228600</xdr:colOff>
      <xdr:row>63</xdr:row>
      <xdr:rowOff>139700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419100</xdr:colOff>
      <xdr:row>161</xdr:row>
      <xdr:rowOff>127000</xdr:rowOff>
    </xdr:from>
    <xdr:to>
      <xdr:col>26</xdr:col>
      <xdr:colOff>501651</xdr:colOff>
      <xdr:row>180</xdr:row>
      <xdr:rowOff>101592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469900</xdr:colOff>
      <xdr:row>122</xdr:row>
      <xdr:rowOff>12700</xdr:rowOff>
    </xdr:from>
    <xdr:to>
      <xdr:col>20</xdr:col>
      <xdr:colOff>596900</xdr:colOff>
      <xdr:row>136</xdr:row>
      <xdr:rowOff>88900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254000</xdr:colOff>
      <xdr:row>39</xdr:row>
      <xdr:rowOff>152400</xdr:rowOff>
    </xdr:from>
    <xdr:to>
      <xdr:col>31</xdr:col>
      <xdr:colOff>177800</xdr:colOff>
      <xdr:row>54</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163</xdr:row>
      <xdr:rowOff>0</xdr:rowOff>
    </xdr:from>
    <xdr:to>
      <xdr:col>36</xdr:col>
      <xdr:colOff>234951</xdr:colOff>
      <xdr:row>181</xdr:row>
      <xdr:rowOff>165092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27</xdr:col>
      <xdr:colOff>142875</xdr:colOff>
      <xdr:row>61</xdr:row>
      <xdr:rowOff>165100</xdr:rowOff>
    </xdr:from>
    <xdr:to>
      <xdr:col>33</xdr:col>
      <xdr:colOff>155575</xdr:colOff>
      <xdr:row>76</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92074</xdr:colOff>
      <xdr:row>61</xdr:row>
      <xdr:rowOff>127000</xdr:rowOff>
    </xdr:from>
    <xdr:to>
      <xdr:col>42</xdr:col>
      <xdr:colOff>126999</xdr:colOff>
      <xdr:row>78</xdr:row>
      <xdr:rowOff>88900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546100</xdr:colOff>
      <xdr:row>82</xdr:row>
      <xdr:rowOff>50800</xdr:rowOff>
    </xdr:from>
    <xdr:to>
      <xdr:col>26</xdr:col>
      <xdr:colOff>292100</xdr:colOff>
      <xdr:row>100</xdr:row>
      <xdr:rowOff>63500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577848</xdr:colOff>
      <xdr:row>59</xdr:row>
      <xdr:rowOff>127008</xdr:rowOff>
    </xdr:from>
    <xdr:to>
      <xdr:col>26</xdr:col>
      <xdr:colOff>139699</xdr:colOff>
      <xdr:row>80</xdr:row>
      <xdr:rowOff>50800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73</xdr:row>
      <xdr:rowOff>0</xdr:rowOff>
    </xdr:from>
    <xdr:to>
      <xdr:col>14</xdr:col>
      <xdr:colOff>82551</xdr:colOff>
      <xdr:row>93</xdr:row>
      <xdr:rowOff>63500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349248</xdr:colOff>
      <xdr:row>99</xdr:row>
      <xdr:rowOff>63508</xdr:rowOff>
    </xdr:from>
    <xdr:to>
      <xdr:col>14</xdr:col>
      <xdr:colOff>292099</xdr:colOff>
      <xdr:row>117</xdr:row>
      <xdr:rowOff>25400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298449</xdr:colOff>
      <xdr:row>101</xdr:row>
      <xdr:rowOff>0</xdr:rowOff>
    </xdr:from>
    <xdr:to>
      <xdr:col>23</xdr:col>
      <xdr:colOff>444500</xdr:colOff>
      <xdr:row>117</xdr:row>
      <xdr:rowOff>114300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127000</xdr:colOff>
      <xdr:row>27</xdr:row>
      <xdr:rowOff>165100</xdr:rowOff>
    </xdr:from>
    <xdr:to>
      <xdr:col>27</xdr:col>
      <xdr:colOff>317500</xdr:colOff>
      <xdr:row>45</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641348</xdr:colOff>
      <xdr:row>39</xdr:row>
      <xdr:rowOff>165108</xdr:rowOff>
    </xdr:from>
    <xdr:to>
      <xdr:col>11</xdr:col>
      <xdr:colOff>215899</xdr:colOff>
      <xdr:row>63</xdr:row>
      <xdr:rowOff>127000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571500</xdr:colOff>
      <xdr:row>38</xdr:row>
      <xdr:rowOff>165100</xdr:rowOff>
    </xdr:from>
    <xdr:to>
      <xdr:col>22</xdr:col>
      <xdr:colOff>120651</xdr:colOff>
      <xdr:row>73</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19048</xdr:colOff>
      <xdr:row>20</xdr:row>
      <xdr:rowOff>57148</xdr:rowOff>
    </xdr:from>
    <xdr:to>
      <xdr:col>34</xdr:col>
      <xdr:colOff>533399</xdr:colOff>
      <xdr:row>37</xdr:row>
      <xdr:rowOff>63499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39</xdr:row>
      <xdr:rowOff>0</xdr:rowOff>
    </xdr:from>
    <xdr:to>
      <xdr:col>34</xdr:col>
      <xdr:colOff>387351</xdr:colOff>
      <xdr:row>73</xdr:row>
      <xdr:rowOff>63500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400049</xdr:colOff>
      <xdr:row>4</xdr:row>
      <xdr:rowOff>177808</xdr:rowOff>
    </xdr:from>
    <xdr:to>
      <xdr:col>33</xdr:col>
      <xdr:colOff>95249</xdr:colOff>
      <xdr:row>19</xdr:row>
      <xdr:rowOff>63508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42</xdr:col>
      <xdr:colOff>222250</xdr:colOff>
      <xdr:row>25</xdr:row>
      <xdr:rowOff>142875</xdr:rowOff>
    </xdr:from>
    <xdr:to>
      <xdr:col>47</xdr:col>
      <xdr:colOff>898525</xdr:colOff>
      <xdr:row>40</xdr:row>
      <xdr:rowOff>41275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346075</xdr:colOff>
      <xdr:row>44</xdr:row>
      <xdr:rowOff>139700</xdr:rowOff>
    </xdr:from>
    <xdr:to>
      <xdr:col>47</xdr:col>
      <xdr:colOff>1057275</xdr:colOff>
      <xdr:row>59</xdr:row>
      <xdr:rowOff>25400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368300</xdr:colOff>
      <xdr:row>29</xdr:row>
      <xdr:rowOff>38100</xdr:rowOff>
    </xdr:from>
    <xdr:to>
      <xdr:col>41</xdr:col>
      <xdr:colOff>406400</xdr:colOff>
      <xdr:row>43</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254000</xdr:colOff>
      <xdr:row>61</xdr:row>
      <xdr:rowOff>38100</xdr:rowOff>
    </xdr:from>
    <xdr:to>
      <xdr:col>43</xdr:col>
      <xdr:colOff>520700</xdr:colOff>
      <xdr:row>75</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381000</xdr:colOff>
      <xdr:row>63</xdr:row>
      <xdr:rowOff>88900</xdr:rowOff>
    </xdr:from>
    <xdr:to>
      <xdr:col>36</xdr:col>
      <xdr:colOff>241300</xdr:colOff>
      <xdr:row>77</xdr:row>
      <xdr:rowOff>152400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330200</xdr:colOff>
      <xdr:row>11</xdr:row>
      <xdr:rowOff>25400</xdr:rowOff>
    </xdr:from>
    <xdr:to>
      <xdr:col>40</xdr:col>
      <xdr:colOff>279400</xdr:colOff>
      <xdr:row>25</xdr:row>
      <xdr:rowOff>88900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374648</xdr:colOff>
      <xdr:row>66</xdr:row>
      <xdr:rowOff>165100</xdr:rowOff>
    </xdr:from>
    <xdr:to>
      <xdr:col>13</xdr:col>
      <xdr:colOff>241299</xdr:colOff>
      <xdr:row>84</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86</xdr:row>
      <xdr:rowOff>0</xdr:rowOff>
    </xdr:from>
    <xdr:to>
      <xdr:col>12</xdr:col>
      <xdr:colOff>831851</xdr:colOff>
      <xdr:row>103</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254000</xdr:colOff>
      <xdr:row>54</xdr:row>
      <xdr:rowOff>177800</xdr:rowOff>
    </xdr:from>
    <xdr:to>
      <xdr:col>20</xdr:col>
      <xdr:colOff>254000</xdr:colOff>
      <xdr:row>69</xdr:row>
      <xdr:rowOff>63500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177800</xdr:colOff>
      <xdr:row>71</xdr:row>
      <xdr:rowOff>139700</xdr:rowOff>
    </xdr:from>
    <xdr:to>
      <xdr:col>20</xdr:col>
      <xdr:colOff>76200</xdr:colOff>
      <xdr:row>86</xdr:row>
      <xdr:rowOff>25400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333375</xdr:colOff>
      <xdr:row>27</xdr:row>
      <xdr:rowOff>47625</xdr:rowOff>
    </xdr:from>
    <xdr:to>
      <xdr:col>22</xdr:col>
      <xdr:colOff>28575</xdr:colOff>
      <xdr:row>41</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38</xdr:col>
      <xdr:colOff>76200</xdr:colOff>
      <xdr:row>2</xdr:row>
      <xdr:rowOff>127000</xdr:rowOff>
    </xdr:from>
    <xdr:to>
      <xdr:col>45</xdr:col>
      <xdr:colOff>381000</xdr:colOff>
      <xdr:row>20</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127000</xdr:colOff>
      <xdr:row>41</xdr:row>
      <xdr:rowOff>177800</xdr:rowOff>
    </xdr:from>
    <xdr:to>
      <xdr:col>42</xdr:col>
      <xdr:colOff>431800</xdr:colOff>
      <xdr:row>56</xdr:row>
      <xdr:rowOff>63500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63500</xdr:colOff>
      <xdr:row>22</xdr:row>
      <xdr:rowOff>88900</xdr:rowOff>
    </xdr:from>
    <xdr:to>
      <xdr:col>45</xdr:col>
      <xdr:colOff>368300</xdr:colOff>
      <xdr:row>36</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58</xdr:row>
      <xdr:rowOff>0</xdr:rowOff>
    </xdr:from>
    <xdr:to>
      <xdr:col>42</xdr:col>
      <xdr:colOff>304800</xdr:colOff>
      <xdr:row>72</xdr:row>
      <xdr:rowOff>63500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61</xdr:row>
      <xdr:rowOff>0</xdr:rowOff>
    </xdr:from>
    <xdr:to>
      <xdr:col>34</xdr:col>
      <xdr:colOff>304800</xdr:colOff>
      <xdr:row>75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476249</xdr:colOff>
      <xdr:row>54</xdr:row>
      <xdr:rowOff>12708</xdr:rowOff>
    </xdr:from>
    <xdr:to>
      <xdr:col>20</xdr:col>
      <xdr:colOff>171449</xdr:colOff>
      <xdr:row>68</xdr:row>
      <xdr:rowOff>76208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400049</xdr:colOff>
      <xdr:row>69</xdr:row>
      <xdr:rowOff>127008</xdr:rowOff>
    </xdr:from>
    <xdr:to>
      <xdr:col>20</xdr:col>
      <xdr:colOff>95249</xdr:colOff>
      <xdr:row>84</xdr:row>
      <xdr:rowOff>12708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95249</xdr:colOff>
      <xdr:row>6</xdr:row>
      <xdr:rowOff>12708</xdr:rowOff>
    </xdr:from>
    <xdr:to>
      <xdr:col>67</xdr:col>
      <xdr:colOff>400049</xdr:colOff>
      <xdr:row>20</xdr:row>
      <xdr:rowOff>88908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48</xdr:col>
      <xdr:colOff>501649</xdr:colOff>
      <xdr:row>53</xdr:row>
      <xdr:rowOff>177808</xdr:rowOff>
    </xdr:from>
    <xdr:to>
      <xdr:col>56</xdr:col>
      <xdr:colOff>196849</xdr:colOff>
      <xdr:row>68</xdr:row>
      <xdr:rowOff>50808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600075</xdr:colOff>
      <xdr:row>30</xdr:row>
      <xdr:rowOff>69850</xdr:rowOff>
    </xdr:from>
    <xdr:to>
      <xdr:col>22</xdr:col>
      <xdr:colOff>295275</xdr:colOff>
      <xdr:row>47</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18</xdr:col>
      <xdr:colOff>485776</xdr:colOff>
      <xdr:row>1</xdr:row>
      <xdr:rowOff>19050</xdr:rowOff>
    </xdr:from>
    <xdr:to>
      <xdr:col>30</xdr:col>
      <xdr:colOff>504826</xdr:colOff>
      <xdr:row>36</xdr:row>
      <xdr:rowOff>180975</xdr:rowOff>
    </xdr:to>
    <xdr:pic>
      <xdr:nvPicPr>
        <xdr:cNvPr id="2" name="Picture 1" descr="https://upload.wikimedia.org/wikipedia/commons/f/f3/PEV_Registrations_UK_2011_20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76" y="209550"/>
          <a:ext cx="7334250" cy="707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41</xdr:row>
      <xdr:rowOff>171450</xdr:rowOff>
    </xdr:from>
    <xdr:to>
      <xdr:col>21</xdr:col>
      <xdr:colOff>533400</xdr:colOff>
      <xdr:row>88</xdr:row>
      <xdr:rowOff>19050</xdr:rowOff>
    </xdr:to>
    <xdr:pic>
      <xdr:nvPicPr>
        <xdr:cNvPr id="3" name="Picture 2" descr="https://www.hitachicapitalvehiclesolutions.co.uk/media/3184/171219-ule-vans-graph.png?width=2408&amp;height=9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229600"/>
          <a:ext cx="13335000" cy="880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571500</xdr:colOff>
      <xdr:row>43</xdr:row>
      <xdr:rowOff>114300</xdr:rowOff>
    </xdr:from>
    <xdr:to>
      <xdr:col>41</xdr:col>
      <xdr:colOff>882650</xdr:colOff>
      <xdr:row>57</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66675</xdr:colOff>
      <xdr:row>31</xdr:row>
      <xdr:rowOff>171450</xdr:rowOff>
    </xdr:from>
    <xdr:to>
      <xdr:col>56</xdr:col>
      <xdr:colOff>438150</xdr:colOff>
      <xdr:row>46</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400049</xdr:colOff>
      <xdr:row>22</xdr:row>
      <xdr:rowOff>0</xdr:rowOff>
    </xdr:from>
    <xdr:to>
      <xdr:col>44</xdr:col>
      <xdr:colOff>704849</xdr:colOff>
      <xdr:row>39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177800</xdr:colOff>
      <xdr:row>75</xdr:row>
      <xdr:rowOff>12700</xdr:rowOff>
    </xdr:from>
    <xdr:to>
      <xdr:col>41</xdr:col>
      <xdr:colOff>482600</xdr:colOff>
      <xdr:row>89</xdr:row>
      <xdr:rowOff>88900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241300</xdr:colOff>
      <xdr:row>75</xdr:row>
      <xdr:rowOff>0</xdr:rowOff>
    </xdr:from>
    <xdr:to>
      <xdr:col>24</xdr:col>
      <xdr:colOff>25400</xdr:colOff>
      <xdr:row>89</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75</xdr:row>
      <xdr:rowOff>0</xdr:rowOff>
    </xdr:from>
    <xdr:to>
      <xdr:col>33</xdr:col>
      <xdr:colOff>304800</xdr:colOff>
      <xdr:row>89</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336549</xdr:colOff>
      <xdr:row>70</xdr:row>
      <xdr:rowOff>139708</xdr:rowOff>
    </xdr:from>
    <xdr:to>
      <xdr:col>17</xdr:col>
      <xdr:colOff>361949</xdr:colOff>
      <xdr:row>85</xdr:row>
      <xdr:rowOff>25408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133349</xdr:colOff>
      <xdr:row>51</xdr:row>
      <xdr:rowOff>165108</xdr:rowOff>
    </xdr:from>
    <xdr:to>
      <xdr:col>17</xdr:col>
      <xdr:colOff>158749</xdr:colOff>
      <xdr:row>66</xdr:row>
      <xdr:rowOff>38108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428625</xdr:colOff>
      <xdr:row>27</xdr:row>
      <xdr:rowOff>136525</xdr:rowOff>
    </xdr:from>
    <xdr:to>
      <xdr:col>19</xdr:col>
      <xdr:colOff>123825</xdr:colOff>
      <xdr:row>42</xdr:row>
      <xdr:rowOff>22225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28</xdr:col>
      <xdr:colOff>393700</xdr:colOff>
      <xdr:row>69</xdr:row>
      <xdr:rowOff>165100</xdr:rowOff>
    </xdr:from>
    <xdr:to>
      <xdr:col>36</xdr:col>
      <xdr:colOff>88900</xdr:colOff>
      <xdr:row>84</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57149</xdr:colOff>
      <xdr:row>16</xdr:row>
      <xdr:rowOff>152400</xdr:rowOff>
    </xdr:from>
    <xdr:to>
      <xdr:col>45</xdr:col>
      <xdr:colOff>12700</xdr:colOff>
      <xdr:row>33</xdr:row>
      <xdr:rowOff>12700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63500</xdr:colOff>
      <xdr:row>1</xdr:row>
      <xdr:rowOff>63500</xdr:rowOff>
    </xdr:from>
    <xdr:to>
      <xdr:col>44</xdr:col>
      <xdr:colOff>368300</xdr:colOff>
      <xdr:row>15</xdr:row>
      <xdr:rowOff>139700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584200</xdr:colOff>
      <xdr:row>57</xdr:row>
      <xdr:rowOff>177800</xdr:rowOff>
    </xdr:from>
    <xdr:to>
      <xdr:col>9</xdr:col>
      <xdr:colOff>0</xdr:colOff>
      <xdr:row>72</xdr:row>
      <xdr:rowOff>50800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34</xdr:row>
      <xdr:rowOff>0</xdr:rowOff>
    </xdr:from>
    <xdr:to>
      <xdr:col>44</xdr:col>
      <xdr:colOff>565151</xdr:colOff>
      <xdr:row>50</xdr:row>
      <xdr:rowOff>50800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38100</xdr:colOff>
      <xdr:row>50</xdr:row>
      <xdr:rowOff>139700</xdr:rowOff>
    </xdr:from>
    <xdr:to>
      <xdr:col>45</xdr:col>
      <xdr:colOff>95251</xdr:colOff>
      <xdr:row>66</xdr:row>
      <xdr:rowOff>177800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330200</xdr:colOff>
      <xdr:row>53</xdr:row>
      <xdr:rowOff>88900</xdr:rowOff>
    </xdr:from>
    <xdr:to>
      <xdr:col>24</xdr:col>
      <xdr:colOff>25400</xdr:colOff>
      <xdr:row>67</xdr:row>
      <xdr:rowOff>152400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209549</xdr:colOff>
      <xdr:row>68</xdr:row>
      <xdr:rowOff>12708</xdr:rowOff>
    </xdr:from>
    <xdr:to>
      <xdr:col>23</xdr:col>
      <xdr:colOff>514349</xdr:colOff>
      <xdr:row>82</xdr:row>
      <xdr:rowOff>88908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63500</xdr:colOff>
      <xdr:row>26</xdr:row>
      <xdr:rowOff>88900</xdr:rowOff>
    </xdr:from>
    <xdr:to>
      <xdr:col>21</xdr:col>
      <xdr:colOff>584200</xdr:colOff>
      <xdr:row>46</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241300</xdr:colOff>
      <xdr:row>57</xdr:row>
      <xdr:rowOff>177800</xdr:rowOff>
    </xdr:from>
    <xdr:to>
      <xdr:col>19</xdr:col>
      <xdr:colOff>508000</xdr:colOff>
      <xdr:row>72</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59</xdr:col>
      <xdr:colOff>139700</xdr:colOff>
      <xdr:row>25</xdr:row>
      <xdr:rowOff>101600</xdr:rowOff>
    </xdr:from>
    <xdr:to>
      <xdr:col>66</xdr:col>
      <xdr:colOff>342900</xdr:colOff>
      <xdr:row>39</xdr:row>
      <xdr:rowOff>165100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0</xdr:colOff>
      <xdr:row>42</xdr:row>
      <xdr:rowOff>63500</xdr:rowOff>
    </xdr:from>
    <xdr:to>
      <xdr:col>59</xdr:col>
      <xdr:colOff>431800</xdr:colOff>
      <xdr:row>56</xdr:row>
      <xdr:rowOff>127000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38100</xdr:colOff>
      <xdr:row>6</xdr:row>
      <xdr:rowOff>127000</xdr:rowOff>
    </xdr:from>
    <xdr:to>
      <xdr:col>57</xdr:col>
      <xdr:colOff>342900</xdr:colOff>
      <xdr:row>21</xdr:row>
      <xdr:rowOff>12700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457200</xdr:colOff>
      <xdr:row>69</xdr:row>
      <xdr:rowOff>76200</xdr:rowOff>
    </xdr:from>
    <xdr:to>
      <xdr:col>58</xdr:col>
      <xdr:colOff>215900</xdr:colOff>
      <xdr:row>83</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107949</xdr:colOff>
      <xdr:row>77</xdr:row>
      <xdr:rowOff>12708</xdr:rowOff>
    </xdr:from>
    <xdr:to>
      <xdr:col>10</xdr:col>
      <xdr:colOff>463549</xdr:colOff>
      <xdr:row>91</xdr:row>
      <xdr:rowOff>88908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171449</xdr:colOff>
      <xdr:row>63</xdr:row>
      <xdr:rowOff>8</xdr:rowOff>
    </xdr:from>
    <xdr:to>
      <xdr:col>20</xdr:col>
      <xdr:colOff>152400</xdr:colOff>
      <xdr:row>78</xdr:row>
      <xdr:rowOff>127000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476249</xdr:colOff>
      <xdr:row>82</xdr:row>
      <xdr:rowOff>88908</xdr:rowOff>
    </xdr:from>
    <xdr:to>
      <xdr:col>17</xdr:col>
      <xdr:colOff>463549</xdr:colOff>
      <xdr:row>96</xdr:row>
      <xdr:rowOff>165108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100</xdr:row>
      <xdr:rowOff>0</xdr:rowOff>
    </xdr:from>
    <xdr:to>
      <xdr:col>9</xdr:col>
      <xdr:colOff>419100</xdr:colOff>
      <xdr:row>115</xdr:row>
      <xdr:rowOff>139692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100</xdr:row>
      <xdr:rowOff>0</xdr:rowOff>
    </xdr:from>
    <xdr:to>
      <xdr:col>16</xdr:col>
      <xdr:colOff>901700</xdr:colOff>
      <xdr:row>115</xdr:row>
      <xdr:rowOff>139692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539749</xdr:colOff>
      <xdr:row>57</xdr:row>
      <xdr:rowOff>152400</xdr:rowOff>
    </xdr:from>
    <xdr:to>
      <xdr:col>35</xdr:col>
      <xdr:colOff>234949</xdr:colOff>
      <xdr:row>72</xdr:row>
      <xdr:rowOff>25400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514349</xdr:colOff>
      <xdr:row>72</xdr:row>
      <xdr:rowOff>152400</xdr:rowOff>
    </xdr:from>
    <xdr:to>
      <xdr:col>35</xdr:col>
      <xdr:colOff>209549</xdr:colOff>
      <xdr:row>87</xdr:row>
      <xdr:rowOff>38100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27</xdr:col>
      <xdr:colOff>444498</xdr:colOff>
      <xdr:row>31</xdr:row>
      <xdr:rowOff>152400</xdr:rowOff>
    </xdr:from>
    <xdr:to>
      <xdr:col>35</xdr:col>
      <xdr:colOff>441325</xdr:colOff>
      <xdr:row>47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317500</xdr:colOff>
      <xdr:row>45</xdr:row>
      <xdr:rowOff>76200</xdr:rowOff>
    </xdr:from>
    <xdr:to>
      <xdr:col>21</xdr:col>
      <xdr:colOff>139700</xdr:colOff>
      <xdr:row>65</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152400</xdr:colOff>
      <xdr:row>44</xdr:row>
      <xdr:rowOff>38100</xdr:rowOff>
    </xdr:from>
    <xdr:to>
      <xdr:col>23</xdr:col>
      <xdr:colOff>673100</xdr:colOff>
      <xdr:row>58</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61</xdr:col>
      <xdr:colOff>228600</xdr:colOff>
      <xdr:row>4</xdr:row>
      <xdr:rowOff>177800</xdr:rowOff>
    </xdr:from>
    <xdr:to>
      <xdr:col>75</xdr:col>
      <xdr:colOff>292100</xdr:colOff>
      <xdr:row>74</xdr:row>
      <xdr:rowOff>139552</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266600" y="939800"/>
          <a:ext cx="8597900" cy="13296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460375</xdr:colOff>
      <xdr:row>24</xdr:row>
      <xdr:rowOff>57150</xdr:rowOff>
    </xdr:from>
    <xdr:to>
      <xdr:col>22</xdr:col>
      <xdr:colOff>155575</xdr:colOff>
      <xdr:row>42</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35</xdr:col>
      <xdr:colOff>317500</xdr:colOff>
      <xdr:row>11</xdr:row>
      <xdr:rowOff>25400</xdr:rowOff>
    </xdr:from>
    <xdr:to>
      <xdr:col>44</xdr:col>
      <xdr:colOff>12700</xdr:colOff>
      <xdr:row>28</xdr:row>
      <xdr:rowOff>139700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431800</xdr:colOff>
      <xdr:row>64</xdr:row>
      <xdr:rowOff>114300</xdr:rowOff>
    </xdr:from>
    <xdr:to>
      <xdr:col>8</xdr:col>
      <xdr:colOff>101600</xdr:colOff>
      <xdr:row>79</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438148</xdr:colOff>
      <xdr:row>30</xdr:row>
      <xdr:rowOff>50800</xdr:rowOff>
    </xdr:from>
    <xdr:to>
      <xdr:col>44</xdr:col>
      <xdr:colOff>558799</xdr:colOff>
      <xdr:row>47</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51</xdr:row>
      <xdr:rowOff>0</xdr:rowOff>
    </xdr:from>
    <xdr:to>
      <xdr:col>40</xdr:col>
      <xdr:colOff>120651</xdr:colOff>
      <xdr:row>67</xdr:row>
      <xdr:rowOff>165100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70</xdr:row>
      <xdr:rowOff>0</xdr:rowOff>
    </xdr:from>
    <xdr:to>
      <xdr:col>40</xdr:col>
      <xdr:colOff>120651</xdr:colOff>
      <xdr:row>86</xdr:row>
      <xdr:rowOff>177800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514349</xdr:colOff>
      <xdr:row>88</xdr:row>
      <xdr:rowOff>101608</xdr:rowOff>
    </xdr:from>
    <xdr:to>
      <xdr:col>39</xdr:col>
      <xdr:colOff>209549</xdr:colOff>
      <xdr:row>102</xdr:row>
      <xdr:rowOff>177808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158749</xdr:colOff>
      <xdr:row>54</xdr:row>
      <xdr:rowOff>114308</xdr:rowOff>
    </xdr:from>
    <xdr:to>
      <xdr:col>21</xdr:col>
      <xdr:colOff>463549</xdr:colOff>
      <xdr:row>69</xdr:row>
      <xdr:rowOff>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146049</xdr:colOff>
      <xdr:row>69</xdr:row>
      <xdr:rowOff>114308</xdr:rowOff>
    </xdr:from>
    <xdr:to>
      <xdr:col>21</xdr:col>
      <xdr:colOff>450849</xdr:colOff>
      <xdr:row>84</xdr:row>
      <xdr:rowOff>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581025</xdr:colOff>
      <xdr:row>30</xdr:row>
      <xdr:rowOff>177800</xdr:rowOff>
    </xdr:from>
    <xdr:to>
      <xdr:col>19</xdr:col>
      <xdr:colOff>568325</xdr:colOff>
      <xdr:row>45</xdr:row>
      <xdr:rowOff>63500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35</xdr:col>
      <xdr:colOff>419100</xdr:colOff>
      <xdr:row>35</xdr:row>
      <xdr:rowOff>165100</xdr:rowOff>
    </xdr:from>
    <xdr:to>
      <xdr:col>43</xdr:col>
      <xdr:colOff>114300</xdr:colOff>
      <xdr:row>50</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431800</xdr:colOff>
      <xdr:row>3</xdr:row>
      <xdr:rowOff>88900</xdr:rowOff>
    </xdr:from>
    <xdr:to>
      <xdr:col>44</xdr:col>
      <xdr:colOff>127000</xdr:colOff>
      <xdr:row>17</xdr:row>
      <xdr:rowOff>165100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514349</xdr:colOff>
      <xdr:row>18</xdr:row>
      <xdr:rowOff>177800</xdr:rowOff>
    </xdr:from>
    <xdr:to>
      <xdr:col>42</xdr:col>
      <xdr:colOff>209549</xdr:colOff>
      <xdr:row>33</xdr:row>
      <xdr:rowOff>63500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82548</xdr:colOff>
      <xdr:row>73</xdr:row>
      <xdr:rowOff>12700</xdr:rowOff>
    </xdr:from>
    <xdr:to>
      <xdr:col>35</xdr:col>
      <xdr:colOff>215899</xdr:colOff>
      <xdr:row>88</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215900</xdr:colOff>
      <xdr:row>72</xdr:row>
      <xdr:rowOff>114300</xdr:rowOff>
    </xdr:from>
    <xdr:to>
      <xdr:col>8</xdr:col>
      <xdr:colOff>577851</xdr:colOff>
      <xdr:row>88</xdr:row>
      <xdr:rowOff>25400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381000</xdr:colOff>
      <xdr:row>89</xdr:row>
      <xdr:rowOff>25400</xdr:rowOff>
    </xdr:from>
    <xdr:to>
      <xdr:col>9</xdr:col>
      <xdr:colOff>6351</xdr:colOff>
      <xdr:row>104</xdr:row>
      <xdr:rowOff>127000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38100</xdr:colOff>
      <xdr:row>49</xdr:row>
      <xdr:rowOff>139700</xdr:rowOff>
    </xdr:from>
    <xdr:to>
      <xdr:col>23</xdr:col>
      <xdr:colOff>342900</xdr:colOff>
      <xdr:row>64</xdr:row>
      <xdr:rowOff>12700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374649</xdr:colOff>
      <xdr:row>65</xdr:row>
      <xdr:rowOff>8</xdr:rowOff>
    </xdr:from>
    <xdr:to>
      <xdr:col>23</xdr:col>
      <xdr:colOff>69849</xdr:colOff>
      <xdr:row>79</xdr:row>
      <xdr:rowOff>76208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241300</xdr:colOff>
      <xdr:row>28</xdr:row>
      <xdr:rowOff>63500</xdr:rowOff>
    </xdr:from>
    <xdr:to>
      <xdr:col>20</xdr:col>
      <xdr:colOff>546100</xdr:colOff>
      <xdr:row>42</xdr:row>
      <xdr:rowOff>139700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19050</xdr:colOff>
      <xdr:row>17</xdr:row>
      <xdr:rowOff>9525</xdr:rowOff>
    </xdr:from>
    <xdr:to>
      <xdr:col>10</xdr:col>
      <xdr:colOff>264160</xdr:colOff>
      <xdr:row>35</xdr:row>
      <xdr:rowOff>184150</xdr:rowOff>
    </xdr:to>
    <xdr:pic>
      <xdr:nvPicPr>
        <xdr:cNvPr id="2" name="Picture 1" descr="https://upload.wikimedia.org/wikipedia/commons/e/e9/EV_Registrations_France_2010_2013.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3248025"/>
          <a:ext cx="5731510" cy="36036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37</xdr:col>
      <xdr:colOff>228600</xdr:colOff>
      <xdr:row>6</xdr:row>
      <xdr:rowOff>101600</xdr:rowOff>
    </xdr:from>
    <xdr:to>
      <xdr:col>44</xdr:col>
      <xdr:colOff>533400</xdr:colOff>
      <xdr:row>20</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63500</xdr:colOff>
      <xdr:row>70</xdr:row>
      <xdr:rowOff>165100</xdr:rowOff>
    </xdr:from>
    <xdr:to>
      <xdr:col>9</xdr:col>
      <xdr:colOff>88900</xdr:colOff>
      <xdr:row>85</xdr:row>
      <xdr:rowOff>63500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184149</xdr:colOff>
      <xdr:row>21</xdr:row>
      <xdr:rowOff>165100</xdr:rowOff>
    </xdr:from>
    <xdr:to>
      <xdr:col>44</xdr:col>
      <xdr:colOff>488949</xdr:colOff>
      <xdr:row>36</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171449</xdr:colOff>
      <xdr:row>46</xdr:row>
      <xdr:rowOff>38108</xdr:rowOff>
    </xdr:from>
    <xdr:to>
      <xdr:col>23</xdr:col>
      <xdr:colOff>476249</xdr:colOff>
      <xdr:row>60</xdr:row>
      <xdr:rowOff>101608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361949</xdr:colOff>
      <xdr:row>62</xdr:row>
      <xdr:rowOff>63500</xdr:rowOff>
    </xdr:from>
    <xdr:to>
      <xdr:col>21</xdr:col>
      <xdr:colOff>57149</xdr:colOff>
      <xdr:row>76</xdr:row>
      <xdr:rowOff>139700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565149</xdr:colOff>
      <xdr:row>36</xdr:row>
      <xdr:rowOff>177808</xdr:rowOff>
    </xdr:from>
    <xdr:to>
      <xdr:col>43</xdr:col>
      <xdr:colOff>260349</xdr:colOff>
      <xdr:row>51</xdr:row>
      <xdr:rowOff>63508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482600</xdr:colOff>
      <xdr:row>51</xdr:row>
      <xdr:rowOff>177800</xdr:rowOff>
    </xdr:from>
    <xdr:to>
      <xdr:col>40</xdr:col>
      <xdr:colOff>177800</xdr:colOff>
      <xdr:row>66</xdr:row>
      <xdr:rowOff>50800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266700</xdr:colOff>
      <xdr:row>66</xdr:row>
      <xdr:rowOff>88900</xdr:rowOff>
    </xdr:from>
    <xdr:to>
      <xdr:col>29</xdr:col>
      <xdr:colOff>571500</xdr:colOff>
      <xdr:row>80</xdr:row>
      <xdr:rowOff>165100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149225</xdr:colOff>
      <xdr:row>28</xdr:row>
      <xdr:rowOff>19050</xdr:rowOff>
    </xdr:from>
    <xdr:to>
      <xdr:col>23</xdr:col>
      <xdr:colOff>454025</xdr:colOff>
      <xdr:row>45</xdr:row>
      <xdr:rowOff>95250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36</xdr:col>
      <xdr:colOff>12700</xdr:colOff>
      <xdr:row>14</xdr:row>
      <xdr:rowOff>38100</xdr:rowOff>
    </xdr:from>
    <xdr:to>
      <xdr:col>43</xdr:col>
      <xdr:colOff>317500</xdr:colOff>
      <xdr:row>28</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520700</xdr:colOff>
      <xdr:row>47</xdr:row>
      <xdr:rowOff>25400</xdr:rowOff>
    </xdr:from>
    <xdr:to>
      <xdr:col>40</xdr:col>
      <xdr:colOff>228600</xdr:colOff>
      <xdr:row>63</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463549</xdr:colOff>
      <xdr:row>31</xdr:row>
      <xdr:rowOff>88908</xdr:rowOff>
    </xdr:from>
    <xdr:to>
      <xdr:col>43</xdr:col>
      <xdr:colOff>158749</xdr:colOff>
      <xdr:row>45</xdr:row>
      <xdr:rowOff>165108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38100</xdr:colOff>
      <xdr:row>64</xdr:row>
      <xdr:rowOff>25400</xdr:rowOff>
    </xdr:from>
    <xdr:to>
      <xdr:col>40</xdr:col>
      <xdr:colOff>355600</xdr:colOff>
      <xdr:row>80</xdr:row>
      <xdr:rowOff>177800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0</xdr:colOff>
      <xdr:row>80</xdr:row>
      <xdr:rowOff>177800</xdr:rowOff>
    </xdr:from>
    <xdr:to>
      <xdr:col>40</xdr:col>
      <xdr:colOff>317500</xdr:colOff>
      <xdr:row>97</xdr:row>
      <xdr:rowOff>139700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565149</xdr:colOff>
      <xdr:row>46</xdr:row>
      <xdr:rowOff>76208</xdr:rowOff>
    </xdr:from>
    <xdr:to>
      <xdr:col>24</xdr:col>
      <xdr:colOff>260349</xdr:colOff>
      <xdr:row>60</xdr:row>
      <xdr:rowOff>127008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539749</xdr:colOff>
      <xdr:row>61</xdr:row>
      <xdr:rowOff>38108</xdr:rowOff>
    </xdr:from>
    <xdr:to>
      <xdr:col>24</xdr:col>
      <xdr:colOff>234949</xdr:colOff>
      <xdr:row>75</xdr:row>
      <xdr:rowOff>114308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355600</xdr:colOff>
      <xdr:row>26</xdr:row>
      <xdr:rowOff>0</xdr:rowOff>
    </xdr:from>
    <xdr:to>
      <xdr:col>22</xdr:col>
      <xdr:colOff>177800</xdr:colOff>
      <xdr:row>46</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409575</xdr:colOff>
      <xdr:row>25</xdr:row>
      <xdr:rowOff>66675</xdr:rowOff>
    </xdr:from>
    <xdr:to>
      <xdr:col>23</xdr:col>
      <xdr:colOff>104775</xdr:colOff>
      <xdr:row>39</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104775</xdr:colOff>
      <xdr:row>4</xdr:row>
      <xdr:rowOff>38100</xdr:rowOff>
    </xdr:from>
    <xdr:to>
      <xdr:col>27</xdr:col>
      <xdr:colOff>409575</xdr:colOff>
      <xdr:row>18</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314325</xdr:colOff>
      <xdr:row>46</xdr:row>
      <xdr:rowOff>104775</xdr:rowOff>
    </xdr:from>
    <xdr:to>
      <xdr:col>11</xdr:col>
      <xdr:colOff>9525</xdr:colOff>
      <xdr:row>60</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46</xdr:row>
      <xdr:rowOff>161925</xdr:rowOff>
    </xdr:from>
    <xdr:to>
      <xdr:col>18</xdr:col>
      <xdr:colOff>266700</xdr:colOff>
      <xdr:row>61</xdr:row>
      <xdr:rowOff>47625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276225</xdr:colOff>
      <xdr:row>48</xdr:row>
      <xdr:rowOff>66675</xdr:rowOff>
    </xdr:from>
    <xdr:to>
      <xdr:col>26</xdr:col>
      <xdr:colOff>581025</xdr:colOff>
      <xdr:row>62</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444500</xdr:colOff>
      <xdr:row>78</xdr:row>
      <xdr:rowOff>50800</xdr:rowOff>
    </xdr:from>
    <xdr:to>
      <xdr:col>16</xdr:col>
      <xdr:colOff>114300</xdr:colOff>
      <xdr:row>92</xdr:row>
      <xdr:rowOff>127000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336549</xdr:colOff>
      <xdr:row>75</xdr:row>
      <xdr:rowOff>12700</xdr:rowOff>
    </xdr:from>
    <xdr:to>
      <xdr:col>8</xdr:col>
      <xdr:colOff>69849</xdr:colOff>
      <xdr:row>89</xdr:row>
      <xdr:rowOff>88900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393700</xdr:colOff>
      <xdr:row>2</xdr:row>
      <xdr:rowOff>152400</xdr:rowOff>
    </xdr:from>
    <xdr:to>
      <xdr:col>45</xdr:col>
      <xdr:colOff>88900</xdr:colOff>
      <xdr:row>17</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425449</xdr:colOff>
      <xdr:row>17</xdr:row>
      <xdr:rowOff>88900</xdr:rowOff>
    </xdr:from>
    <xdr:to>
      <xdr:col>45</xdr:col>
      <xdr:colOff>120649</xdr:colOff>
      <xdr:row>31</xdr:row>
      <xdr:rowOff>165100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158749</xdr:colOff>
      <xdr:row>46</xdr:row>
      <xdr:rowOff>101608</xdr:rowOff>
    </xdr:from>
    <xdr:to>
      <xdr:col>23</xdr:col>
      <xdr:colOff>463549</xdr:colOff>
      <xdr:row>60</xdr:row>
      <xdr:rowOff>165108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488949</xdr:colOff>
      <xdr:row>62</xdr:row>
      <xdr:rowOff>8</xdr:rowOff>
    </xdr:from>
    <xdr:to>
      <xdr:col>20</xdr:col>
      <xdr:colOff>184149</xdr:colOff>
      <xdr:row>76</xdr:row>
      <xdr:rowOff>76208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355600</xdr:colOff>
      <xdr:row>32</xdr:row>
      <xdr:rowOff>127000</xdr:rowOff>
    </xdr:from>
    <xdr:to>
      <xdr:col>45</xdr:col>
      <xdr:colOff>50800</xdr:colOff>
      <xdr:row>47</xdr:row>
      <xdr:rowOff>12700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35</xdr:col>
      <xdr:colOff>0</xdr:colOff>
      <xdr:row>48</xdr:row>
      <xdr:rowOff>0</xdr:rowOff>
    </xdr:from>
    <xdr:to>
      <xdr:col>42</xdr:col>
      <xdr:colOff>304800</xdr:colOff>
      <xdr:row>62</xdr:row>
      <xdr:rowOff>63500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0</xdr:colOff>
      <xdr:row>63</xdr:row>
      <xdr:rowOff>0</xdr:rowOff>
    </xdr:from>
    <xdr:to>
      <xdr:col>42</xdr:col>
      <xdr:colOff>304800</xdr:colOff>
      <xdr:row>77</xdr:row>
      <xdr:rowOff>76200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596900</xdr:colOff>
      <xdr:row>26</xdr:row>
      <xdr:rowOff>0</xdr:rowOff>
    </xdr:from>
    <xdr:to>
      <xdr:col>21</xdr:col>
      <xdr:colOff>292100</xdr:colOff>
      <xdr:row>40</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55</xdr:row>
      <xdr:rowOff>0</xdr:rowOff>
    </xdr:from>
    <xdr:to>
      <xdr:col>22</xdr:col>
      <xdr:colOff>76200</xdr:colOff>
      <xdr:row>69</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40</xdr:col>
      <xdr:colOff>0</xdr:colOff>
      <xdr:row>7</xdr:row>
      <xdr:rowOff>0</xdr:rowOff>
    </xdr:from>
    <xdr:to>
      <xdr:col>47</xdr:col>
      <xdr:colOff>304800</xdr:colOff>
      <xdr:row>21</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596900</xdr:colOff>
      <xdr:row>22</xdr:row>
      <xdr:rowOff>0</xdr:rowOff>
    </xdr:from>
    <xdr:to>
      <xdr:col>47</xdr:col>
      <xdr:colOff>292100</xdr:colOff>
      <xdr:row>36</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171449</xdr:colOff>
      <xdr:row>47</xdr:row>
      <xdr:rowOff>38108</xdr:rowOff>
    </xdr:from>
    <xdr:to>
      <xdr:col>23</xdr:col>
      <xdr:colOff>476249</xdr:colOff>
      <xdr:row>61</xdr:row>
      <xdr:rowOff>88908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311149</xdr:colOff>
      <xdr:row>63</xdr:row>
      <xdr:rowOff>88908</xdr:rowOff>
    </xdr:from>
    <xdr:to>
      <xdr:col>21</xdr:col>
      <xdr:colOff>6349</xdr:colOff>
      <xdr:row>77</xdr:row>
      <xdr:rowOff>165108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38100</xdr:colOff>
      <xdr:row>37</xdr:row>
      <xdr:rowOff>177808</xdr:rowOff>
    </xdr:from>
    <xdr:to>
      <xdr:col>47</xdr:col>
      <xdr:colOff>342900</xdr:colOff>
      <xdr:row>52</xdr:row>
      <xdr:rowOff>63508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53</xdr:row>
      <xdr:rowOff>0</xdr:rowOff>
    </xdr:from>
    <xdr:to>
      <xdr:col>44</xdr:col>
      <xdr:colOff>304800</xdr:colOff>
      <xdr:row>67</xdr:row>
      <xdr:rowOff>50800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0</xdr:colOff>
      <xdr:row>68</xdr:row>
      <xdr:rowOff>0</xdr:rowOff>
    </xdr:from>
    <xdr:to>
      <xdr:col>44</xdr:col>
      <xdr:colOff>304800</xdr:colOff>
      <xdr:row>82</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292100</xdr:colOff>
      <xdr:row>28</xdr:row>
      <xdr:rowOff>25400</xdr:rowOff>
    </xdr:from>
    <xdr:to>
      <xdr:col>20</xdr:col>
      <xdr:colOff>596900</xdr:colOff>
      <xdr:row>46</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38</xdr:col>
      <xdr:colOff>571500</xdr:colOff>
      <xdr:row>6</xdr:row>
      <xdr:rowOff>177800</xdr:rowOff>
    </xdr:from>
    <xdr:to>
      <xdr:col>46</xdr:col>
      <xdr:colOff>266700</xdr:colOff>
      <xdr:row>21</xdr:row>
      <xdr:rowOff>63500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101600</xdr:colOff>
      <xdr:row>22</xdr:row>
      <xdr:rowOff>12700</xdr:rowOff>
    </xdr:from>
    <xdr:to>
      <xdr:col>46</xdr:col>
      <xdr:colOff>406400</xdr:colOff>
      <xdr:row>36</xdr:row>
      <xdr:rowOff>88900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127000</xdr:colOff>
      <xdr:row>39</xdr:row>
      <xdr:rowOff>50800</xdr:rowOff>
    </xdr:from>
    <xdr:to>
      <xdr:col>44</xdr:col>
      <xdr:colOff>292100</xdr:colOff>
      <xdr:row>57</xdr:row>
      <xdr:rowOff>25400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58</xdr:row>
      <xdr:rowOff>0</xdr:rowOff>
    </xdr:from>
    <xdr:to>
      <xdr:col>44</xdr:col>
      <xdr:colOff>165100</xdr:colOff>
      <xdr:row>75</xdr:row>
      <xdr:rowOff>165100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77</xdr:row>
      <xdr:rowOff>0</xdr:rowOff>
    </xdr:from>
    <xdr:to>
      <xdr:col>44</xdr:col>
      <xdr:colOff>165100</xdr:colOff>
      <xdr:row>94</xdr:row>
      <xdr:rowOff>165100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133349</xdr:colOff>
      <xdr:row>46</xdr:row>
      <xdr:rowOff>101608</xdr:rowOff>
    </xdr:from>
    <xdr:to>
      <xdr:col>23</xdr:col>
      <xdr:colOff>438149</xdr:colOff>
      <xdr:row>60</xdr:row>
      <xdr:rowOff>165108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6349</xdr:colOff>
      <xdr:row>62</xdr:row>
      <xdr:rowOff>25408</xdr:rowOff>
    </xdr:from>
    <xdr:to>
      <xdr:col>23</xdr:col>
      <xdr:colOff>311149</xdr:colOff>
      <xdr:row>76</xdr:row>
      <xdr:rowOff>101608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13</xdr:col>
      <xdr:colOff>317500</xdr:colOff>
      <xdr:row>25</xdr:row>
      <xdr:rowOff>88900</xdr:rowOff>
    </xdr:from>
    <xdr:to>
      <xdr:col>22</xdr:col>
      <xdr:colOff>457200</xdr:colOff>
      <xdr:row>42</xdr:row>
      <xdr:rowOff>88900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16</xdr:col>
      <xdr:colOff>600075</xdr:colOff>
      <xdr:row>5</xdr:row>
      <xdr:rowOff>152400</xdr:rowOff>
    </xdr:from>
    <xdr:to>
      <xdr:col>24</xdr:col>
      <xdr:colOff>295275</xdr:colOff>
      <xdr:row>20</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28575</xdr:colOff>
      <xdr:row>20</xdr:row>
      <xdr:rowOff>95250</xdr:rowOff>
    </xdr:from>
    <xdr:to>
      <xdr:col>24</xdr:col>
      <xdr:colOff>333375</xdr:colOff>
      <xdr:row>34</xdr:row>
      <xdr:rowOff>171450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123825</xdr:colOff>
      <xdr:row>6</xdr:row>
      <xdr:rowOff>95250</xdr:rowOff>
    </xdr:from>
    <xdr:to>
      <xdr:col>32</xdr:col>
      <xdr:colOff>428625</xdr:colOff>
      <xdr:row>20</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24</xdr:col>
      <xdr:colOff>660400</xdr:colOff>
      <xdr:row>60</xdr:row>
      <xdr:rowOff>0</xdr:rowOff>
    </xdr:from>
    <xdr:to>
      <xdr:col>32</xdr:col>
      <xdr:colOff>254000</xdr:colOff>
      <xdr:row>74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127000</xdr:colOff>
      <xdr:row>5</xdr:row>
      <xdr:rowOff>38100</xdr:rowOff>
    </xdr:from>
    <xdr:to>
      <xdr:col>47</xdr:col>
      <xdr:colOff>431800</xdr:colOff>
      <xdr:row>19</xdr:row>
      <xdr:rowOff>114300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50800</xdr:colOff>
      <xdr:row>20</xdr:row>
      <xdr:rowOff>76200</xdr:rowOff>
    </xdr:from>
    <xdr:to>
      <xdr:col>47</xdr:col>
      <xdr:colOff>355600</xdr:colOff>
      <xdr:row>34</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285749</xdr:colOff>
      <xdr:row>46</xdr:row>
      <xdr:rowOff>139708</xdr:rowOff>
    </xdr:from>
    <xdr:to>
      <xdr:col>23</xdr:col>
      <xdr:colOff>590549</xdr:colOff>
      <xdr:row>61</xdr:row>
      <xdr:rowOff>12708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552449</xdr:colOff>
      <xdr:row>62</xdr:row>
      <xdr:rowOff>8</xdr:rowOff>
    </xdr:from>
    <xdr:to>
      <xdr:col>22</xdr:col>
      <xdr:colOff>247649</xdr:colOff>
      <xdr:row>76</xdr:row>
      <xdr:rowOff>76208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596900</xdr:colOff>
      <xdr:row>36</xdr:row>
      <xdr:rowOff>12708</xdr:rowOff>
    </xdr:from>
    <xdr:to>
      <xdr:col>47</xdr:col>
      <xdr:colOff>292100</xdr:colOff>
      <xdr:row>50</xdr:row>
      <xdr:rowOff>88908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571500</xdr:colOff>
      <xdr:row>51</xdr:row>
      <xdr:rowOff>0</xdr:rowOff>
    </xdr:from>
    <xdr:to>
      <xdr:col>44</xdr:col>
      <xdr:colOff>266700</xdr:colOff>
      <xdr:row>65</xdr:row>
      <xdr:rowOff>63500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558800</xdr:colOff>
      <xdr:row>65</xdr:row>
      <xdr:rowOff>152400</xdr:rowOff>
    </xdr:from>
    <xdr:to>
      <xdr:col>44</xdr:col>
      <xdr:colOff>254000</xdr:colOff>
      <xdr:row>80</xdr:row>
      <xdr:rowOff>38100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533400</xdr:colOff>
      <xdr:row>29</xdr:row>
      <xdr:rowOff>76200</xdr:rowOff>
    </xdr:from>
    <xdr:to>
      <xdr:col>21</xdr:col>
      <xdr:colOff>228600</xdr:colOff>
      <xdr:row>43</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406400</xdr:colOff>
      <xdr:row>7</xdr:row>
      <xdr:rowOff>0</xdr:rowOff>
    </xdr:from>
    <xdr:to>
      <xdr:col>32</xdr:col>
      <xdr:colOff>304800</xdr:colOff>
      <xdr:row>22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28</xdr:col>
      <xdr:colOff>200025</xdr:colOff>
      <xdr:row>17</xdr:row>
      <xdr:rowOff>76200</xdr:rowOff>
    </xdr:from>
    <xdr:to>
      <xdr:col>35</xdr:col>
      <xdr:colOff>504825</xdr:colOff>
      <xdr:row>31</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419100</xdr:colOff>
      <xdr:row>17</xdr:row>
      <xdr:rowOff>152400</xdr:rowOff>
    </xdr:from>
    <xdr:to>
      <xdr:col>28</xdr:col>
      <xdr:colOff>114300</xdr:colOff>
      <xdr:row>32</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85725</xdr:colOff>
      <xdr:row>18</xdr:row>
      <xdr:rowOff>95250</xdr:rowOff>
    </xdr:from>
    <xdr:to>
      <xdr:col>20</xdr:col>
      <xdr:colOff>390525</xdr:colOff>
      <xdr:row>32</xdr:row>
      <xdr:rowOff>161925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xdr:colOff>
      <xdr:row>4</xdr:row>
      <xdr:rowOff>19050</xdr:rowOff>
    </xdr:from>
    <xdr:to>
      <xdr:col>20</xdr:col>
      <xdr:colOff>381000</xdr:colOff>
      <xdr:row>18</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390525</xdr:colOff>
      <xdr:row>3</xdr:row>
      <xdr:rowOff>19050</xdr:rowOff>
    </xdr:from>
    <xdr:to>
      <xdr:col>28</xdr:col>
      <xdr:colOff>85725</xdr:colOff>
      <xdr:row>17</xdr:row>
      <xdr:rowOff>85725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133350</xdr:colOff>
      <xdr:row>3</xdr:row>
      <xdr:rowOff>9525</xdr:rowOff>
    </xdr:from>
    <xdr:to>
      <xdr:col>35</xdr:col>
      <xdr:colOff>438150</xdr:colOff>
      <xdr:row>17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76200</xdr:colOff>
      <xdr:row>32</xdr:row>
      <xdr:rowOff>142875</xdr:rowOff>
    </xdr:from>
    <xdr:to>
      <xdr:col>20</xdr:col>
      <xdr:colOff>381000</xdr:colOff>
      <xdr:row>47</xdr:row>
      <xdr:rowOff>19050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32</xdr:col>
      <xdr:colOff>114300</xdr:colOff>
      <xdr:row>1</xdr:row>
      <xdr:rowOff>123825</xdr:rowOff>
    </xdr:from>
    <xdr:to>
      <xdr:col>39</xdr:col>
      <xdr:colOff>419100</xdr:colOff>
      <xdr:row>16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295275</xdr:colOff>
      <xdr:row>1</xdr:row>
      <xdr:rowOff>57150</xdr:rowOff>
    </xdr:from>
    <xdr:to>
      <xdr:col>31</xdr:col>
      <xdr:colOff>600075</xdr:colOff>
      <xdr:row>15</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323850</xdr:colOff>
      <xdr:row>39</xdr:row>
      <xdr:rowOff>114300</xdr:rowOff>
    </xdr:from>
    <xdr:to>
      <xdr:col>32</xdr:col>
      <xdr:colOff>19050</xdr:colOff>
      <xdr:row>53</xdr:row>
      <xdr:rowOff>190500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444500</xdr:colOff>
      <xdr:row>39</xdr:row>
      <xdr:rowOff>127000</xdr:rowOff>
    </xdr:from>
    <xdr:to>
      <xdr:col>40</xdr:col>
      <xdr:colOff>139700</xdr:colOff>
      <xdr:row>54</xdr:row>
      <xdr:rowOff>12700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558800</xdr:colOff>
      <xdr:row>54</xdr:row>
      <xdr:rowOff>0</xdr:rowOff>
    </xdr:from>
    <xdr:to>
      <xdr:col>32</xdr:col>
      <xdr:colOff>355600</xdr:colOff>
      <xdr:row>68</xdr:row>
      <xdr:rowOff>76200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596900</xdr:colOff>
      <xdr:row>55</xdr:row>
      <xdr:rowOff>165100</xdr:rowOff>
    </xdr:from>
    <xdr:to>
      <xdr:col>40</xdr:col>
      <xdr:colOff>292100</xdr:colOff>
      <xdr:row>70</xdr:row>
      <xdr:rowOff>50800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482600</xdr:colOff>
      <xdr:row>139</xdr:row>
      <xdr:rowOff>38100</xdr:rowOff>
    </xdr:from>
    <xdr:to>
      <xdr:col>35</xdr:col>
      <xdr:colOff>139700</xdr:colOff>
      <xdr:row>156</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266700</xdr:colOff>
      <xdr:row>138</xdr:row>
      <xdr:rowOff>139700</xdr:rowOff>
    </xdr:from>
    <xdr:to>
      <xdr:col>15</xdr:col>
      <xdr:colOff>355600</xdr:colOff>
      <xdr:row>153</xdr:row>
      <xdr:rowOff>25400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158748</xdr:colOff>
      <xdr:row>111</xdr:row>
      <xdr:rowOff>0</xdr:rowOff>
    </xdr:from>
    <xdr:to>
      <xdr:col>47</xdr:col>
      <xdr:colOff>698499</xdr:colOff>
      <xdr:row>125</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457200</xdr:colOff>
      <xdr:row>126</xdr:row>
      <xdr:rowOff>12700</xdr:rowOff>
    </xdr:from>
    <xdr:to>
      <xdr:col>26</xdr:col>
      <xdr:colOff>469900</xdr:colOff>
      <xdr:row>144</xdr:row>
      <xdr:rowOff>50800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114300</xdr:colOff>
      <xdr:row>144</xdr:row>
      <xdr:rowOff>127000</xdr:rowOff>
    </xdr:from>
    <xdr:to>
      <xdr:col>43</xdr:col>
      <xdr:colOff>342900</xdr:colOff>
      <xdr:row>162</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266700</xdr:colOff>
      <xdr:row>145</xdr:row>
      <xdr:rowOff>0</xdr:rowOff>
    </xdr:from>
    <xdr:to>
      <xdr:col>23</xdr:col>
      <xdr:colOff>355600</xdr:colOff>
      <xdr:row>159</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342900</xdr:colOff>
      <xdr:row>155</xdr:row>
      <xdr:rowOff>25400</xdr:rowOff>
    </xdr:from>
    <xdr:to>
      <xdr:col>15</xdr:col>
      <xdr:colOff>279400</xdr:colOff>
      <xdr:row>169</xdr:row>
      <xdr:rowOff>101600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60325</xdr:colOff>
      <xdr:row>26</xdr:row>
      <xdr:rowOff>107950</xdr:rowOff>
    </xdr:from>
    <xdr:to>
      <xdr:col>22</xdr:col>
      <xdr:colOff>847725</xdr:colOff>
      <xdr:row>45</xdr:row>
      <xdr:rowOff>12700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36</xdr:col>
      <xdr:colOff>349249</xdr:colOff>
      <xdr:row>4</xdr:row>
      <xdr:rowOff>127000</xdr:rowOff>
    </xdr:from>
    <xdr:to>
      <xdr:col>44</xdr:col>
      <xdr:colOff>44449</xdr:colOff>
      <xdr:row>19</xdr:row>
      <xdr:rowOff>12700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311149</xdr:colOff>
      <xdr:row>20</xdr:row>
      <xdr:rowOff>12700</xdr:rowOff>
    </xdr:from>
    <xdr:to>
      <xdr:col>44</xdr:col>
      <xdr:colOff>6349</xdr:colOff>
      <xdr:row>34</xdr:row>
      <xdr:rowOff>88900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412749</xdr:colOff>
      <xdr:row>59</xdr:row>
      <xdr:rowOff>63508</xdr:rowOff>
    </xdr:from>
    <xdr:to>
      <xdr:col>22</xdr:col>
      <xdr:colOff>107949</xdr:colOff>
      <xdr:row>73</xdr:row>
      <xdr:rowOff>139708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184149</xdr:colOff>
      <xdr:row>69</xdr:row>
      <xdr:rowOff>38108</xdr:rowOff>
    </xdr:from>
    <xdr:to>
      <xdr:col>14</xdr:col>
      <xdr:colOff>184149</xdr:colOff>
      <xdr:row>83</xdr:row>
      <xdr:rowOff>114308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266700</xdr:colOff>
      <xdr:row>34</xdr:row>
      <xdr:rowOff>152400</xdr:rowOff>
    </xdr:from>
    <xdr:to>
      <xdr:col>43</xdr:col>
      <xdr:colOff>571500</xdr:colOff>
      <xdr:row>49</xdr:row>
      <xdr:rowOff>38100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50</xdr:row>
      <xdr:rowOff>0</xdr:rowOff>
    </xdr:from>
    <xdr:to>
      <xdr:col>40</xdr:col>
      <xdr:colOff>304800</xdr:colOff>
      <xdr:row>64</xdr:row>
      <xdr:rowOff>63500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0</xdr:colOff>
      <xdr:row>65</xdr:row>
      <xdr:rowOff>0</xdr:rowOff>
    </xdr:from>
    <xdr:to>
      <xdr:col>40</xdr:col>
      <xdr:colOff>304800</xdr:colOff>
      <xdr:row>79</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13</xdr:col>
      <xdr:colOff>419100</xdr:colOff>
      <xdr:row>27</xdr:row>
      <xdr:rowOff>0</xdr:rowOff>
    </xdr:from>
    <xdr:to>
      <xdr:col>22</xdr:col>
      <xdr:colOff>114300</xdr:colOff>
      <xdr:row>41</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20</xdr:col>
      <xdr:colOff>352425</xdr:colOff>
      <xdr:row>35</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2286000"/>
          <a:ext cx="5838825"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45</xdr:col>
      <xdr:colOff>476249</xdr:colOff>
      <xdr:row>36</xdr:row>
      <xdr:rowOff>25400</xdr:rowOff>
    </xdr:from>
    <xdr:to>
      <xdr:col>51</xdr:col>
      <xdr:colOff>184149</xdr:colOff>
      <xdr:row>50</xdr:row>
      <xdr:rowOff>88900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171449</xdr:colOff>
      <xdr:row>55</xdr:row>
      <xdr:rowOff>88900</xdr:rowOff>
    </xdr:from>
    <xdr:to>
      <xdr:col>46</xdr:col>
      <xdr:colOff>107949</xdr:colOff>
      <xdr:row>69</xdr:row>
      <xdr:rowOff>165100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393700</xdr:colOff>
      <xdr:row>82</xdr:row>
      <xdr:rowOff>177800</xdr:rowOff>
    </xdr:from>
    <xdr:to>
      <xdr:col>46</xdr:col>
      <xdr:colOff>330200</xdr:colOff>
      <xdr:row>97</xdr:row>
      <xdr:rowOff>63500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349249</xdr:colOff>
      <xdr:row>56</xdr:row>
      <xdr:rowOff>38100</xdr:rowOff>
    </xdr:from>
    <xdr:to>
      <xdr:col>29</xdr:col>
      <xdr:colOff>31749</xdr:colOff>
      <xdr:row>70</xdr:row>
      <xdr:rowOff>114300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488949</xdr:colOff>
      <xdr:row>73</xdr:row>
      <xdr:rowOff>0</xdr:rowOff>
    </xdr:from>
    <xdr:to>
      <xdr:col>28</xdr:col>
      <xdr:colOff>171449</xdr:colOff>
      <xdr:row>87</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292100</xdr:colOff>
      <xdr:row>65</xdr:row>
      <xdr:rowOff>139700</xdr:rowOff>
    </xdr:from>
    <xdr:to>
      <xdr:col>15</xdr:col>
      <xdr:colOff>292100</xdr:colOff>
      <xdr:row>82</xdr:row>
      <xdr:rowOff>88900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25400</xdr:colOff>
      <xdr:row>83</xdr:row>
      <xdr:rowOff>38100</xdr:rowOff>
    </xdr:from>
    <xdr:to>
      <xdr:col>11</xdr:col>
      <xdr:colOff>647700</xdr:colOff>
      <xdr:row>100</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901700</xdr:colOff>
      <xdr:row>82</xdr:row>
      <xdr:rowOff>177800</xdr:rowOff>
    </xdr:from>
    <xdr:to>
      <xdr:col>18</xdr:col>
      <xdr:colOff>495300</xdr:colOff>
      <xdr:row>100</xdr:row>
      <xdr:rowOff>25400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161925</xdr:colOff>
      <xdr:row>29</xdr:row>
      <xdr:rowOff>50800</xdr:rowOff>
    </xdr:from>
    <xdr:to>
      <xdr:col>31</xdr:col>
      <xdr:colOff>288925</xdr:colOff>
      <xdr:row>43</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33</xdr:col>
      <xdr:colOff>0</xdr:colOff>
      <xdr:row>31</xdr:row>
      <xdr:rowOff>0</xdr:rowOff>
    </xdr:from>
    <xdr:to>
      <xdr:col>42</xdr:col>
      <xdr:colOff>114300</xdr:colOff>
      <xdr:row>38</xdr:row>
      <xdr:rowOff>19050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87375" y="3810000"/>
          <a:ext cx="574357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13</xdr:col>
      <xdr:colOff>495300</xdr:colOff>
      <xdr:row>1</xdr:row>
      <xdr:rowOff>133350</xdr:rowOff>
    </xdr:from>
    <xdr:to>
      <xdr:col>25</xdr:col>
      <xdr:colOff>133350</xdr:colOff>
      <xdr:row>31</xdr:row>
      <xdr:rowOff>133350</xdr:rowOff>
    </xdr:to>
    <xdr:pic>
      <xdr:nvPicPr>
        <xdr:cNvPr id="2" name="Picture 1" descr="https://upload.wikimedia.org/wikipedia/commons/8/83/Registrations_EVs_Norway_2013_201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0" y="323850"/>
          <a:ext cx="6953250"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14</xdr:row>
      <xdr:rowOff>19050</xdr:rowOff>
    </xdr:from>
    <xdr:to>
      <xdr:col>8</xdr:col>
      <xdr:colOff>142875</xdr:colOff>
      <xdr:row>28</xdr:row>
      <xdr:rowOff>95250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36</xdr:col>
      <xdr:colOff>234949</xdr:colOff>
      <xdr:row>19</xdr:row>
      <xdr:rowOff>25400</xdr:rowOff>
    </xdr:from>
    <xdr:to>
      <xdr:col>43</xdr:col>
      <xdr:colOff>539749</xdr:colOff>
      <xdr:row>34</xdr:row>
      <xdr:rowOff>139700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539749</xdr:colOff>
      <xdr:row>3</xdr:row>
      <xdr:rowOff>76208</xdr:rowOff>
    </xdr:from>
    <xdr:to>
      <xdr:col>43</xdr:col>
      <xdr:colOff>234949</xdr:colOff>
      <xdr:row>17</xdr:row>
      <xdr:rowOff>152408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171449</xdr:colOff>
      <xdr:row>46</xdr:row>
      <xdr:rowOff>127008</xdr:rowOff>
    </xdr:from>
    <xdr:to>
      <xdr:col>23</xdr:col>
      <xdr:colOff>476249</xdr:colOff>
      <xdr:row>61</xdr:row>
      <xdr:rowOff>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6349</xdr:colOff>
      <xdr:row>62</xdr:row>
      <xdr:rowOff>114308</xdr:rowOff>
    </xdr:from>
    <xdr:to>
      <xdr:col>23</xdr:col>
      <xdr:colOff>311149</xdr:colOff>
      <xdr:row>77</xdr:row>
      <xdr:rowOff>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228600</xdr:colOff>
      <xdr:row>35</xdr:row>
      <xdr:rowOff>127008</xdr:rowOff>
    </xdr:from>
    <xdr:to>
      <xdr:col>43</xdr:col>
      <xdr:colOff>533400</xdr:colOff>
      <xdr:row>50</xdr:row>
      <xdr:rowOff>12708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571500</xdr:colOff>
      <xdr:row>51</xdr:row>
      <xdr:rowOff>0</xdr:rowOff>
    </xdr:from>
    <xdr:to>
      <xdr:col>40</xdr:col>
      <xdr:colOff>266700</xdr:colOff>
      <xdr:row>65</xdr:row>
      <xdr:rowOff>63500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0</xdr:colOff>
      <xdr:row>36</xdr:row>
      <xdr:rowOff>0</xdr:rowOff>
    </xdr:from>
    <xdr:to>
      <xdr:col>52</xdr:col>
      <xdr:colOff>304800</xdr:colOff>
      <xdr:row>50</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77</xdr:col>
      <xdr:colOff>397809</xdr:colOff>
      <xdr:row>152</xdr:row>
      <xdr:rowOff>6724</xdr:rowOff>
    </xdr:from>
    <xdr:to>
      <xdr:col>85</xdr:col>
      <xdr:colOff>128866</xdr:colOff>
      <xdr:row>162</xdr:row>
      <xdr:rowOff>168088</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84042</xdr:colOff>
      <xdr:row>156</xdr:row>
      <xdr:rowOff>118784</xdr:rowOff>
    </xdr:from>
    <xdr:to>
      <xdr:col>77</xdr:col>
      <xdr:colOff>420219</xdr:colOff>
      <xdr:row>171</xdr:row>
      <xdr:rowOff>4484</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554692</xdr:colOff>
      <xdr:row>164</xdr:row>
      <xdr:rowOff>96371</xdr:rowOff>
    </xdr:from>
    <xdr:to>
      <xdr:col>85</xdr:col>
      <xdr:colOff>84044</xdr:colOff>
      <xdr:row>174</xdr:row>
      <xdr:rowOff>150160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85</xdr:col>
      <xdr:colOff>117662</xdr:colOff>
      <xdr:row>155</xdr:row>
      <xdr:rowOff>17930</xdr:rowOff>
    </xdr:from>
    <xdr:to>
      <xdr:col>93</xdr:col>
      <xdr:colOff>453839</xdr:colOff>
      <xdr:row>165</xdr:row>
      <xdr:rowOff>71718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88</xdr:col>
      <xdr:colOff>184896</xdr:colOff>
      <xdr:row>141</xdr:row>
      <xdr:rowOff>73958</xdr:rowOff>
    </xdr:from>
    <xdr:to>
      <xdr:col>95</xdr:col>
      <xdr:colOff>521074</xdr:colOff>
      <xdr:row>155</xdr:row>
      <xdr:rowOff>150158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70</xdr:col>
      <xdr:colOff>95250</xdr:colOff>
      <xdr:row>168</xdr:row>
      <xdr:rowOff>73961</xdr:rowOff>
    </xdr:from>
    <xdr:to>
      <xdr:col>78</xdr:col>
      <xdr:colOff>28013</xdr:colOff>
      <xdr:row>182</xdr:row>
      <xdr:rowOff>150161</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565896</xdr:colOff>
      <xdr:row>166</xdr:row>
      <xdr:rowOff>17929</xdr:rowOff>
    </xdr:from>
    <xdr:to>
      <xdr:col>94</xdr:col>
      <xdr:colOff>341780</xdr:colOff>
      <xdr:row>180</xdr:row>
      <xdr:rowOff>94129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97</xdr:col>
      <xdr:colOff>95249</xdr:colOff>
      <xdr:row>137</xdr:row>
      <xdr:rowOff>129990</xdr:rowOff>
    </xdr:from>
    <xdr:to>
      <xdr:col>104</xdr:col>
      <xdr:colOff>431425</xdr:colOff>
      <xdr:row>152</xdr:row>
      <xdr:rowOff>15690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96</xdr:col>
      <xdr:colOff>173690</xdr:colOff>
      <xdr:row>153</xdr:row>
      <xdr:rowOff>96371</xdr:rowOff>
    </xdr:from>
    <xdr:to>
      <xdr:col>103</xdr:col>
      <xdr:colOff>509867</xdr:colOff>
      <xdr:row>163</xdr:row>
      <xdr:rowOff>150160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78</xdr:col>
      <xdr:colOff>0</xdr:colOff>
      <xdr:row>177</xdr:row>
      <xdr:rowOff>0</xdr:rowOff>
    </xdr:from>
    <xdr:to>
      <xdr:col>84</xdr:col>
      <xdr:colOff>336177</xdr:colOff>
      <xdr:row>188</xdr:row>
      <xdr:rowOff>49307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64</xdr:col>
      <xdr:colOff>0</xdr:colOff>
      <xdr:row>172</xdr:row>
      <xdr:rowOff>0</xdr:rowOff>
    </xdr:from>
    <xdr:to>
      <xdr:col>71</xdr:col>
      <xdr:colOff>201706</xdr:colOff>
      <xdr:row>186</xdr:row>
      <xdr:rowOff>76200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64</xdr:col>
      <xdr:colOff>0</xdr:colOff>
      <xdr:row>188</xdr:row>
      <xdr:rowOff>0</xdr:rowOff>
    </xdr:from>
    <xdr:to>
      <xdr:col>73</xdr:col>
      <xdr:colOff>246528</xdr:colOff>
      <xdr:row>202</xdr:row>
      <xdr:rowOff>4481</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425825</xdr:colOff>
      <xdr:row>150</xdr:row>
      <xdr:rowOff>168087</xdr:rowOff>
    </xdr:from>
    <xdr:to>
      <xdr:col>46</xdr:col>
      <xdr:colOff>9</xdr:colOff>
      <xdr:row>177</xdr:row>
      <xdr:rowOff>56028</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369794</xdr:colOff>
      <xdr:row>123</xdr:row>
      <xdr:rowOff>100852</xdr:rowOff>
    </xdr:from>
    <xdr:to>
      <xdr:col>45</xdr:col>
      <xdr:colOff>145676</xdr:colOff>
      <xdr:row>149</xdr:row>
      <xdr:rowOff>123264</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291358</xdr:colOff>
      <xdr:row>166</xdr:row>
      <xdr:rowOff>145678</xdr:rowOff>
    </xdr:from>
    <xdr:to>
      <xdr:col>28</xdr:col>
      <xdr:colOff>403410</xdr:colOff>
      <xdr:row>194</xdr:row>
      <xdr:rowOff>123265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22412</xdr:colOff>
      <xdr:row>157</xdr:row>
      <xdr:rowOff>168088</xdr:rowOff>
    </xdr:from>
    <xdr:to>
      <xdr:col>14</xdr:col>
      <xdr:colOff>22412</xdr:colOff>
      <xdr:row>185</xdr:row>
      <xdr:rowOff>112060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27</xdr:col>
      <xdr:colOff>235323</xdr:colOff>
      <xdr:row>124</xdr:row>
      <xdr:rowOff>44824</xdr:rowOff>
    </xdr:from>
    <xdr:to>
      <xdr:col>40</xdr:col>
      <xdr:colOff>201699</xdr:colOff>
      <xdr:row>167</xdr:row>
      <xdr:rowOff>11207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46</xdr:col>
      <xdr:colOff>106457</xdr:colOff>
      <xdr:row>129</xdr:row>
      <xdr:rowOff>152401</xdr:rowOff>
    </xdr:from>
    <xdr:to>
      <xdr:col>53</xdr:col>
      <xdr:colOff>487457</xdr:colOff>
      <xdr:row>144</xdr:row>
      <xdr:rowOff>38101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13</xdr:col>
      <xdr:colOff>323849</xdr:colOff>
      <xdr:row>28</xdr:row>
      <xdr:rowOff>114308</xdr:rowOff>
    </xdr:from>
    <xdr:to>
      <xdr:col>21</xdr:col>
      <xdr:colOff>57149</xdr:colOff>
      <xdr:row>43</xdr:row>
      <xdr:rowOff>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37</xdr:col>
      <xdr:colOff>146049</xdr:colOff>
      <xdr:row>4</xdr:row>
      <xdr:rowOff>165100</xdr:rowOff>
    </xdr:from>
    <xdr:to>
      <xdr:col>44</xdr:col>
      <xdr:colOff>450849</xdr:colOff>
      <xdr:row>19</xdr:row>
      <xdr:rowOff>50800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19049</xdr:colOff>
      <xdr:row>20</xdr:row>
      <xdr:rowOff>63508</xdr:rowOff>
    </xdr:from>
    <xdr:to>
      <xdr:col>44</xdr:col>
      <xdr:colOff>323849</xdr:colOff>
      <xdr:row>34</xdr:row>
      <xdr:rowOff>139708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311149</xdr:colOff>
      <xdr:row>46</xdr:row>
      <xdr:rowOff>63508</xdr:rowOff>
    </xdr:from>
    <xdr:to>
      <xdr:col>24</xdr:col>
      <xdr:colOff>6349</xdr:colOff>
      <xdr:row>60</xdr:row>
      <xdr:rowOff>127008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19049</xdr:colOff>
      <xdr:row>63</xdr:row>
      <xdr:rowOff>76208</xdr:rowOff>
    </xdr:from>
    <xdr:to>
      <xdr:col>23</xdr:col>
      <xdr:colOff>323849</xdr:colOff>
      <xdr:row>77</xdr:row>
      <xdr:rowOff>152408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50800</xdr:colOff>
      <xdr:row>39</xdr:row>
      <xdr:rowOff>127000</xdr:rowOff>
    </xdr:from>
    <xdr:to>
      <xdr:col>40</xdr:col>
      <xdr:colOff>355600</xdr:colOff>
      <xdr:row>54</xdr:row>
      <xdr:rowOff>12700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55</xdr:row>
      <xdr:rowOff>0</xdr:rowOff>
    </xdr:from>
    <xdr:to>
      <xdr:col>40</xdr:col>
      <xdr:colOff>304800</xdr:colOff>
      <xdr:row>69</xdr:row>
      <xdr:rowOff>63500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228600</xdr:colOff>
      <xdr:row>62</xdr:row>
      <xdr:rowOff>63500</xdr:rowOff>
    </xdr:from>
    <xdr:to>
      <xdr:col>13</xdr:col>
      <xdr:colOff>0</xdr:colOff>
      <xdr:row>76</xdr:row>
      <xdr:rowOff>139700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53</xdr:col>
      <xdr:colOff>193676</xdr:colOff>
      <xdr:row>0</xdr:row>
      <xdr:rowOff>66676</xdr:rowOff>
    </xdr:from>
    <xdr:to>
      <xdr:col>64</xdr:col>
      <xdr:colOff>517526</xdr:colOff>
      <xdr:row>28</xdr:row>
      <xdr:rowOff>28576</xdr:rowOff>
    </xdr:to>
    <xdr:pic>
      <xdr:nvPicPr>
        <xdr:cNvPr id="2" name="Picture 1" descr="https://upload.wikimedia.org/wikipedia/commons/c/cd/PEV_Registrations_in_Sweden_from_20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2876" y="66676"/>
          <a:ext cx="7029450"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469900</xdr:colOff>
      <xdr:row>26</xdr:row>
      <xdr:rowOff>149225</xdr:rowOff>
    </xdr:from>
    <xdr:to>
      <xdr:col>20</xdr:col>
      <xdr:colOff>165100</xdr:colOff>
      <xdr:row>41</xdr:row>
      <xdr:rowOff>34925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37</xdr:col>
      <xdr:colOff>38100</xdr:colOff>
      <xdr:row>3</xdr:row>
      <xdr:rowOff>0</xdr:rowOff>
    </xdr:from>
    <xdr:to>
      <xdr:col>47</xdr:col>
      <xdr:colOff>571500</xdr:colOff>
      <xdr:row>25</xdr:row>
      <xdr:rowOff>50800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158749</xdr:colOff>
      <xdr:row>26</xdr:row>
      <xdr:rowOff>63508</xdr:rowOff>
    </xdr:from>
    <xdr:to>
      <xdr:col>44</xdr:col>
      <xdr:colOff>463549</xdr:colOff>
      <xdr:row>40</xdr:row>
      <xdr:rowOff>139708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260349</xdr:colOff>
      <xdr:row>45</xdr:row>
      <xdr:rowOff>177808</xdr:rowOff>
    </xdr:from>
    <xdr:to>
      <xdr:col>24</xdr:col>
      <xdr:colOff>196849</xdr:colOff>
      <xdr:row>60</xdr:row>
      <xdr:rowOff>50808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247649</xdr:colOff>
      <xdr:row>61</xdr:row>
      <xdr:rowOff>8</xdr:rowOff>
    </xdr:from>
    <xdr:to>
      <xdr:col>20</xdr:col>
      <xdr:colOff>552449</xdr:colOff>
      <xdr:row>75</xdr:row>
      <xdr:rowOff>76208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342900</xdr:colOff>
      <xdr:row>42</xdr:row>
      <xdr:rowOff>25408</xdr:rowOff>
    </xdr:from>
    <xdr:to>
      <xdr:col>42</xdr:col>
      <xdr:colOff>38100</xdr:colOff>
      <xdr:row>56</xdr:row>
      <xdr:rowOff>101608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0</xdr:colOff>
      <xdr:row>58</xdr:row>
      <xdr:rowOff>0</xdr:rowOff>
    </xdr:from>
    <xdr:to>
      <xdr:col>41</xdr:col>
      <xdr:colOff>304800</xdr:colOff>
      <xdr:row>72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355600</xdr:colOff>
      <xdr:row>75</xdr:row>
      <xdr:rowOff>0</xdr:rowOff>
    </xdr:from>
    <xdr:to>
      <xdr:col>29</xdr:col>
      <xdr:colOff>50800</xdr:colOff>
      <xdr:row>89</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15</xdr:col>
      <xdr:colOff>88900</xdr:colOff>
      <xdr:row>31</xdr:row>
      <xdr:rowOff>0</xdr:rowOff>
    </xdr:from>
    <xdr:to>
      <xdr:col>22</xdr:col>
      <xdr:colOff>393700</xdr:colOff>
      <xdr:row>45</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36</xdr:col>
      <xdr:colOff>409575</xdr:colOff>
      <xdr:row>14</xdr:row>
      <xdr:rowOff>38100</xdr:rowOff>
    </xdr:from>
    <xdr:to>
      <xdr:col>44</xdr:col>
      <xdr:colOff>104775</xdr:colOff>
      <xdr:row>28</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330208</xdr:colOff>
      <xdr:row>63</xdr:row>
      <xdr:rowOff>101608</xdr:rowOff>
    </xdr:from>
    <xdr:to>
      <xdr:col>7</xdr:col>
      <xdr:colOff>711208</xdr:colOff>
      <xdr:row>77</xdr:row>
      <xdr:rowOff>165108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501649</xdr:colOff>
      <xdr:row>30</xdr:row>
      <xdr:rowOff>152408</xdr:rowOff>
    </xdr:from>
    <xdr:to>
      <xdr:col>44</xdr:col>
      <xdr:colOff>196849</xdr:colOff>
      <xdr:row>45</xdr:row>
      <xdr:rowOff>38108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527049</xdr:colOff>
      <xdr:row>46</xdr:row>
      <xdr:rowOff>25408</xdr:rowOff>
    </xdr:from>
    <xdr:to>
      <xdr:col>41</xdr:col>
      <xdr:colOff>222249</xdr:colOff>
      <xdr:row>60</xdr:row>
      <xdr:rowOff>88908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62</xdr:row>
      <xdr:rowOff>0</xdr:rowOff>
    </xdr:from>
    <xdr:to>
      <xdr:col>41</xdr:col>
      <xdr:colOff>304800</xdr:colOff>
      <xdr:row>76</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0</xdr:colOff>
      <xdr:row>78</xdr:row>
      <xdr:rowOff>0</xdr:rowOff>
    </xdr:from>
    <xdr:to>
      <xdr:col>41</xdr:col>
      <xdr:colOff>304800</xdr:colOff>
      <xdr:row>92</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222249</xdr:colOff>
      <xdr:row>46</xdr:row>
      <xdr:rowOff>152408</xdr:rowOff>
    </xdr:from>
    <xdr:to>
      <xdr:col>24</xdr:col>
      <xdr:colOff>527049</xdr:colOff>
      <xdr:row>61</xdr:row>
      <xdr:rowOff>25408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476249</xdr:colOff>
      <xdr:row>63</xdr:row>
      <xdr:rowOff>38108</xdr:rowOff>
    </xdr:from>
    <xdr:to>
      <xdr:col>26</xdr:col>
      <xdr:colOff>171449</xdr:colOff>
      <xdr:row>77</xdr:row>
      <xdr:rowOff>114308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15</xdr:col>
      <xdr:colOff>279400</xdr:colOff>
      <xdr:row>32</xdr:row>
      <xdr:rowOff>88900</xdr:rowOff>
    </xdr:from>
    <xdr:to>
      <xdr:col>23</xdr:col>
      <xdr:colOff>584200</xdr:colOff>
      <xdr:row>46</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19</xdr:col>
      <xdr:colOff>152400</xdr:colOff>
      <xdr:row>31</xdr:row>
      <xdr:rowOff>95250</xdr:rowOff>
    </xdr:to>
    <xdr:pic>
      <xdr:nvPicPr>
        <xdr:cNvPr id="2" name="Picture 1" descr="Annual US Sales of SUVs">
          <a:hlinkClick xmlns:r="http://schemas.openxmlformats.org/officeDocument/2006/relationships" r:id="rId1" tooltip="Annual US Sales of SUVs"/>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0" y="381000"/>
          <a:ext cx="4419600"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8</xdr:col>
      <xdr:colOff>133349</xdr:colOff>
      <xdr:row>24</xdr:row>
      <xdr:rowOff>12700</xdr:rowOff>
    </xdr:from>
    <xdr:to>
      <xdr:col>14</xdr:col>
      <xdr:colOff>133349</xdr:colOff>
      <xdr:row>38</xdr:row>
      <xdr:rowOff>25400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177800</xdr:colOff>
      <xdr:row>39</xdr:row>
      <xdr:rowOff>114308</xdr:rowOff>
    </xdr:from>
    <xdr:to>
      <xdr:col>14</xdr:col>
      <xdr:colOff>177800</xdr:colOff>
      <xdr:row>54</xdr:row>
      <xdr:rowOff>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107949</xdr:colOff>
      <xdr:row>71</xdr:row>
      <xdr:rowOff>63508</xdr:rowOff>
    </xdr:from>
    <xdr:to>
      <xdr:col>14</xdr:col>
      <xdr:colOff>107949</xdr:colOff>
      <xdr:row>85</xdr:row>
      <xdr:rowOff>139708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56</xdr:row>
      <xdr:rowOff>0</xdr:rowOff>
    </xdr:from>
    <xdr:to>
      <xdr:col>14</xdr:col>
      <xdr:colOff>0</xdr:colOff>
      <xdr:row>70</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22</xdr:col>
      <xdr:colOff>133349</xdr:colOff>
      <xdr:row>4</xdr:row>
      <xdr:rowOff>88908</xdr:rowOff>
    </xdr:from>
    <xdr:to>
      <xdr:col>29</xdr:col>
      <xdr:colOff>438149</xdr:colOff>
      <xdr:row>18</xdr:row>
      <xdr:rowOff>152408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488949</xdr:colOff>
      <xdr:row>28</xdr:row>
      <xdr:rowOff>139708</xdr:rowOff>
    </xdr:from>
    <xdr:to>
      <xdr:col>22</xdr:col>
      <xdr:colOff>158749</xdr:colOff>
      <xdr:row>43</xdr:row>
      <xdr:rowOff>25408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400049</xdr:colOff>
      <xdr:row>24</xdr:row>
      <xdr:rowOff>139708</xdr:rowOff>
    </xdr:from>
    <xdr:to>
      <xdr:col>32</xdr:col>
      <xdr:colOff>95249</xdr:colOff>
      <xdr:row>39</xdr:row>
      <xdr:rowOff>25408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24</xdr:col>
      <xdr:colOff>577849</xdr:colOff>
      <xdr:row>31</xdr:row>
      <xdr:rowOff>139700</xdr:rowOff>
    </xdr:from>
    <xdr:to>
      <xdr:col>32</xdr:col>
      <xdr:colOff>273049</xdr:colOff>
      <xdr:row>56</xdr:row>
      <xdr:rowOff>25408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222249</xdr:colOff>
      <xdr:row>2</xdr:row>
      <xdr:rowOff>25408</xdr:rowOff>
    </xdr:from>
    <xdr:to>
      <xdr:col>30</xdr:col>
      <xdr:colOff>527049</xdr:colOff>
      <xdr:row>16</xdr:row>
      <xdr:rowOff>88908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495299</xdr:colOff>
      <xdr:row>16</xdr:row>
      <xdr:rowOff>165108</xdr:rowOff>
    </xdr:from>
    <xdr:to>
      <xdr:col>32</xdr:col>
      <xdr:colOff>158748</xdr:colOff>
      <xdr:row>31</xdr:row>
      <xdr:rowOff>114300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603249</xdr:colOff>
      <xdr:row>62</xdr:row>
      <xdr:rowOff>12700</xdr:rowOff>
    </xdr:from>
    <xdr:to>
      <xdr:col>14</xdr:col>
      <xdr:colOff>501649</xdr:colOff>
      <xdr:row>76</xdr:row>
      <xdr:rowOff>88900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628649</xdr:colOff>
      <xdr:row>32</xdr:row>
      <xdr:rowOff>127000</xdr:rowOff>
    </xdr:from>
    <xdr:to>
      <xdr:col>22</xdr:col>
      <xdr:colOff>44449</xdr:colOff>
      <xdr:row>47</xdr:row>
      <xdr:rowOff>12700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971549</xdr:colOff>
      <xdr:row>57</xdr:row>
      <xdr:rowOff>88900</xdr:rowOff>
    </xdr:from>
    <xdr:to>
      <xdr:col>27</xdr:col>
      <xdr:colOff>438149</xdr:colOff>
      <xdr:row>71</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2.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hyperlink" Target="https://en.wikibooks.org/wiki/Transportation_Deployment_Casebook/Life_cycle_of_Sport_Utility_Vehicles_(SUV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24.bin"/><Relationship Id="rId1" Type="http://schemas.openxmlformats.org/officeDocument/2006/relationships/hyperlink" Target="https://en.wikipedia.org/wiki/File:EV_Registrations_France_2010_2013.png" TargetMode="Externa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0.bin"/><Relationship Id="rId1" Type="http://schemas.openxmlformats.org/officeDocument/2006/relationships/hyperlink" Target="https://www.wikizero.com/en/Plug-in_electric_vehicles_in_the_Netherlands" TargetMode="Externa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6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topLeftCell="C49" workbookViewId="0">
      <selection activeCell="O86" sqref="O86"/>
    </sheetView>
  </sheetViews>
  <sheetFormatPr defaultRowHeight="15"/>
  <cols>
    <col min="2" max="2" width="13.5703125" customWidth="1"/>
    <col min="3" max="3" width="27" customWidth="1"/>
  </cols>
  <sheetData>
    <row r="1" spans="1:27" s="33" customFormat="1">
      <c r="A1" s="33" t="s">
        <v>1363</v>
      </c>
      <c r="B1" s="4" t="s">
        <v>7</v>
      </c>
      <c r="C1" s="4"/>
      <c r="D1" s="7">
        <v>2007</v>
      </c>
      <c r="E1" s="7">
        <f>D1+1</f>
        <v>2008</v>
      </c>
      <c r="F1" s="7">
        <f t="shared" ref="F1:O1" si="0">E1+1</f>
        <v>2009</v>
      </c>
      <c r="G1" s="7">
        <f t="shared" si="0"/>
        <v>2010</v>
      </c>
      <c r="H1" s="7">
        <f t="shared" si="0"/>
        <v>2011</v>
      </c>
      <c r="I1" s="7">
        <f t="shared" si="0"/>
        <v>2012</v>
      </c>
      <c r="J1" s="7">
        <f t="shared" si="0"/>
        <v>2013</v>
      </c>
      <c r="K1" s="7">
        <f t="shared" si="0"/>
        <v>2014</v>
      </c>
      <c r="L1" s="7">
        <f t="shared" si="0"/>
        <v>2015</v>
      </c>
      <c r="M1" s="7">
        <f t="shared" si="0"/>
        <v>2016</v>
      </c>
      <c r="N1" s="7">
        <f t="shared" si="0"/>
        <v>2017</v>
      </c>
      <c r="O1" s="7">
        <f t="shared" si="0"/>
        <v>2018</v>
      </c>
      <c r="Q1" s="33" t="s">
        <v>1363</v>
      </c>
      <c r="R1" s="33" t="s">
        <v>1362</v>
      </c>
    </row>
    <row r="2" spans="1:27" s="33" customFormat="1">
      <c r="A2" s="33" t="s">
        <v>1362</v>
      </c>
      <c r="B2" s="1" t="s">
        <v>692</v>
      </c>
      <c r="C2" s="64" t="s">
        <v>186</v>
      </c>
      <c r="D2" s="68">
        <v>0</v>
      </c>
      <c r="E2" s="67">
        <v>0</v>
      </c>
      <c r="F2" s="67">
        <v>0</v>
      </c>
      <c r="G2" s="67">
        <v>37</v>
      </c>
      <c r="H2" s="67">
        <v>148</v>
      </c>
      <c r="I2" s="67">
        <v>130</v>
      </c>
      <c r="J2" s="67">
        <v>207</v>
      </c>
      <c r="K2" s="163">
        <f>(J2+L2)/2</f>
        <v>383</v>
      </c>
      <c r="L2" s="162">
        <v>559</v>
      </c>
      <c r="M2" s="67">
        <v>900</v>
      </c>
      <c r="N2">
        <v>1024</v>
      </c>
      <c r="Q2" s="33" t="s">
        <v>7</v>
      </c>
      <c r="R2" s="33" t="s">
        <v>692</v>
      </c>
      <c r="U2" s="33" t="s">
        <v>692</v>
      </c>
      <c r="W2" s="33" t="s">
        <v>1364</v>
      </c>
      <c r="Y2" s="33" t="s">
        <v>692</v>
      </c>
      <c r="AA2" s="33" t="s">
        <v>1364</v>
      </c>
    </row>
    <row r="3" spans="1:27" s="33" customFormat="1">
      <c r="C3" s="85" t="s">
        <v>257</v>
      </c>
      <c r="D3" s="67">
        <v>0</v>
      </c>
      <c r="E3" s="67">
        <f t="shared" ref="E3:N3" si="1">E2/1000</f>
        <v>0</v>
      </c>
      <c r="F3" s="67">
        <f t="shared" si="1"/>
        <v>0</v>
      </c>
      <c r="G3" s="67">
        <f t="shared" si="1"/>
        <v>3.6999999999999998E-2</v>
      </c>
      <c r="H3" s="67">
        <f t="shared" si="1"/>
        <v>0.14799999999999999</v>
      </c>
      <c r="I3" s="67">
        <f t="shared" si="1"/>
        <v>0.13</v>
      </c>
      <c r="J3" s="67">
        <f t="shared" si="1"/>
        <v>0.20699999999999999</v>
      </c>
      <c r="K3" s="161">
        <f>K2/1000</f>
        <v>0.38300000000000001</v>
      </c>
      <c r="L3" s="67">
        <f t="shared" si="1"/>
        <v>0.55900000000000005</v>
      </c>
      <c r="M3" s="67">
        <f>M2/1000</f>
        <v>0.9</v>
      </c>
      <c r="N3" s="67">
        <f t="shared" si="1"/>
        <v>1.024</v>
      </c>
      <c r="R3" s="33" t="s">
        <v>186</v>
      </c>
      <c r="S3" s="33" t="s">
        <v>257</v>
      </c>
      <c r="U3" s="33" t="s">
        <v>332</v>
      </c>
      <c r="V3" s="33" t="s">
        <v>257</v>
      </c>
      <c r="W3" s="33" t="s">
        <v>1365</v>
      </c>
      <c r="Y3" s="33" t="s">
        <v>256</v>
      </c>
      <c r="Z3" s="33" t="s">
        <v>257</v>
      </c>
      <c r="AA3" s="33" t="s">
        <v>1366</v>
      </c>
    </row>
    <row r="4" spans="1:27" s="33" customFormat="1">
      <c r="C4" s="85"/>
      <c r="D4" s="67"/>
      <c r="E4" s="67"/>
      <c r="F4" s="67"/>
      <c r="G4" s="67"/>
      <c r="H4" s="67"/>
      <c r="I4" s="67"/>
      <c r="J4" s="67"/>
      <c r="K4" s="67"/>
      <c r="L4" s="67"/>
      <c r="M4" s="67"/>
      <c r="N4" s="67"/>
      <c r="O4" s="67"/>
      <c r="Q4" s="33">
        <v>2007</v>
      </c>
      <c r="R4" s="33">
        <v>0</v>
      </c>
      <c r="S4" s="33">
        <v>0</v>
      </c>
      <c r="U4" s="33">
        <v>0</v>
      </c>
      <c r="V4" s="33">
        <v>0</v>
      </c>
      <c r="Y4" s="33">
        <f t="shared" ref="Y4:Y14" si="2">R4+U4</f>
        <v>0</v>
      </c>
      <c r="Z4" s="33">
        <v>0</v>
      </c>
    </row>
    <row r="5" spans="1:27" s="33" customFormat="1">
      <c r="C5" s="85"/>
      <c r="D5" s="67"/>
      <c r="E5" s="67"/>
      <c r="F5" s="67"/>
      <c r="G5" s="67"/>
      <c r="H5" s="67"/>
      <c r="I5" s="67"/>
      <c r="J5" s="67"/>
      <c r="K5" s="67"/>
      <c r="L5" s="67"/>
      <c r="M5" s="67"/>
      <c r="N5" s="67"/>
      <c r="O5" s="67"/>
      <c r="Q5" s="33">
        <f t="shared" ref="Q5:Q14" si="3">Q4+1</f>
        <v>2008</v>
      </c>
      <c r="R5" s="33">
        <v>0</v>
      </c>
      <c r="S5" s="33">
        <f t="shared" ref="S5:S15" si="4">R5/1000</f>
        <v>0</v>
      </c>
      <c r="U5" s="33">
        <v>0</v>
      </c>
      <c r="V5" s="33">
        <f t="shared" ref="V5:V10" si="5">U5/1000</f>
        <v>0</v>
      </c>
      <c r="Y5" s="33">
        <f t="shared" si="2"/>
        <v>0</v>
      </c>
      <c r="Z5" s="33">
        <f t="shared" ref="Z5:Z17" si="6">Y5/1000</f>
        <v>0</v>
      </c>
    </row>
    <row r="6" spans="1:27" s="33" customFormat="1">
      <c r="B6" s="1" t="s">
        <v>692</v>
      </c>
      <c r="C6" s="64" t="s">
        <v>332</v>
      </c>
      <c r="D6" s="68">
        <v>0</v>
      </c>
      <c r="E6" s="67">
        <v>0</v>
      </c>
      <c r="F6" s="67">
        <v>0</v>
      </c>
      <c r="G6" s="67">
        <v>3</v>
      </c>
      <c r="H6" s="67">
        <v>4</v>
      </c>
      <c r="I6" s="67">
        <v>3</v>
      </c>
      <c r="J6" s="67">
        <v>133</v>
      </c>
      <c r="K6" s="163">
        <f>K7*1000</f>
        <v>939</v>
      </c>
      <c r="L6" s="67">
        <v>1209</v>
      </c>
      <c r="M6" s="67">
        <v>847</v>
      </c>
      <c r="N6" s="67">
        <v>610</v>
      </c>
      <c r="O6" s="67"/>
      <c r="Q6" s="67">
        <f t="shared" si="3"/>
        <v>2009</v>
      </c>
      <c r="R6" s="67">
        <v>0</v>
      </c>
      <c r="S6" s="33">
        <f t="shared" si="4"/>
        <v>0</v>
      </c>
      <c r="U6" s="33">
        <v>0</v>
      </c>
      <c r="V6" s="33">
        <f t="shared" si="5"/>
        <v>0</v>
      </c>
      <c r="Y6" s="33">
        <f t="shared" si="2"/>
        <v>0</v>
      </c>
      <c r="Z6" s="33">
        <f t="shared" si="6"/>
        <v>0</v>
      </c>
    </row>
    <row r="7" spans="1:27" s="33" customFormat="1">
      <c r="C7" s="85" t="s">
        <v>257</v>
      </c>
      <c r="D7" s="67">
        <v>0</v>
      </c>
      <c r="E7" s="67">
        <f t="shared" ref="E7:N7" si="7">E6/1000</f>
        <v>0</v>
      </c>
      <c r="F7" s="67">
        <f t="shared" si="7"/>
        <v>0</v>
      </c>
      <c r="G7" s="67">
        <f t="shared" si="7"/>
        <v>3.0000000000000001E-3</v>
      </c>
      <c r="H7" s="67">
        <f t="shared" si="7"/>
        <v>4.0000000000000001E-3</v>
      </c>
      <c r="I7" s="67">
        <f t="shared" si="7"/>
        <v>3.0000000000000001E-3</v>
      </c>
      <c r="J7" s="67">
        <f t="shared" si="7"/>
        <v>0.13300000000000001</v>
      </c>
      <c r="K7" s="161">
        <f>K8</f>
        <v>0.93900000000000006</v>
      </c>
      <c r="L7" s="161">
        <f>L8</f>
        <v>1.2119999999999997</v>
      </c>
      <c r="M7" s="67">
        <f t="shared" si="7"/>
        <v>0.84699999999999998</v>
      </c>
      <c r="N7" s="67">
        <f t="shared" si="7"/>
        <v>0.61</v>
      </c>
      <c r="Q7" s="33">
        <f t="shared" si="3"/>
        <v>2010</v>
      </c>
      <c r="R7" s="33">
        <v>37</v>
      </c>
      <c r="S7" s="33">
        <f t="shared" si="4"/>
        <v>3.6999999999999998E-2</v>
      </c>
      <c r="U7" s="33">
        <v>3</v>
      </c>
      <c r="V7" s="33">
        <f t="shared" si="5"/>
        <v>3.0000000000000001E-3</v>
      </c>
      <c r="Y7" s="33">
        <f t="shared" si="2"/>
        <v>40</v>
      </c>
      <c r="Z7" s="33">
        <f t="shared" si="6"/>
        <v>0.04</v>
      </c>
    </row>
    <row r="8" spans="1:27" s="33" customFormat="1">
      <c r="C8" s="85" t="s">
        <v>702</v>
      </c>
      <c r="D8" s="67"/>
      <c r="E8" s="67"/>
      <c r="F8" s="67"/>
      <c r="G8" s="67"/>
      <c r="H8" s="67"/>
      <c r="I8" s="67"/>
      <c r="J8" s="67"/>
      <c r="K8" s="161">
        <f>K13-K3</f>
        <v>0.93900000000000006</v>
      </c>
      <c r="L8" s="67">
        <f>L13-L3</f>
        <v>1.2119999999999997</v>
      </c>
      <c r="M8" s="67">
        <f>M13-M3</f>
        <v>0.46899999999999997</v>
      </c>
      <c r="N8" s="67">
        <f>N13-N3</f>
        <v>1.2599999999999998</v>
      </c>
      <c r="Q8" s="33">
        <f t="shared" si="3"/>
        <v>2011</v>
      </c>
      <c r="R8" s="33">
        <v>148</v>
      </c>
      <c r="S8" s="33">
        <f t="shared" si="4"/>
        <v>0.14799999999999999</v>
      </c>
      <c r="U8" s="33">
        <v>4</v>
      </c>
      <c r="V8" s="33">
        <f t="shared" si="5"/>
        <v>4.0000000000000001E-3</v>
      </c>
      <c r="Y8" s="33">
        <f t="shared" si="2"/>
        <v>152</v>
      </c>
      <c r="Z8" s="33">
        <f t="shared" si="6"/>
        <v>0.152</v>
      </c>
    </row>
    <row r="9" spans="1:27" s="33" customFormat="1">
      <c r="C9" s="85"/>
      <c r="D9" s="67"/>
      <c r="E9" s="67"/>
      <c r="F9" s="67"/>
      <c r="G9" s="67"/>
      <c r="H9" s="67"/>
      <c r="I9" s="67"/>
      <c r="J9" s="67"/>
      <c r="K9" s="67"/>
      <c r="L9" s="67"/>
      <c r="M9" s="67"/>
      <c r="N9" s="67"/>
      <c r="Q9" s="33">
        <f t="shared" si="3"/>
        <v>2012</v>
      </c>
      <c r="R9" s="33">
        <v>130</v>
      </c>
      <c r="S9" s="33">
        <f t="shared" si="4"/>
        <v>0.13</v>
      </c>
      <c r="U9" s="33">
        <v>3</v>
      </c>
      <c r="V9" s="33">
        <f t="shared" si="5"/>
        <v>3.0000000000000001E-3</v>
      </c>
      <c r="Y9" s="33">
        <f t="shared" si="2"/>
        <v>133</v>
      </c>
      <c r="Z9" s="33">
        <f t="shared" si="6"/>
        <v>0.13300000000000001</v>
      </c>
      <c r="AA9" s="33">
        <v>0.253</v>
      </c>
    </row>
    <row r="10" spans="1:27">
      <c r="Q10">
        <f t="shared" si="3"/>
        <v>2013</v>
      </c>
      <c r="R10">
        <v>207</v>
      </c>
      <c r="S10">
        <f t="shared" si="4"/>
        <v>0.20699999999999999</v>
      </c>
      <c r="U10">
        <v>133</v>
      </c>
      <c r="V10">
        <f t="shared" si="5"/>
        <v>0.13300000000000001</v>
      </c>
      <c r="Y10">
        <f t="shared" si="2"/>
        <v>340</v>
      </c>
      <c r="Z10">
        <f t="shared" si="6"/>
        <v>0.34</v>
      </c>
      <c r="AA10">
        <v>0.29299999999999998</v>
      </c>
    </row>
    <row r="11" spans="1:27">
      <c r="B11" s="1" t="s">
        <v>692</v>
      </c>
      <c r="C11" t="s">
        <v>256</v>
      </c>
      <c r="D11" s="67">
        <f t="shared" ref="D11:N11" si="8">D2+D6</f>
        <v>0</v>
      </c>
      <c r="E11" s="67">
        <f t="shared" si="8"/>
        <v>0</v>
      </c>
      <c r="F11" s="67">
        <f t="shared" si="8"/>
        <v>0</v>
      </c>
      <c r="G11" s="67">
        <f t="shared" si="8"/>
        <v>40</v>
      </c>
      <c r="H11" s="67">
        <f t="shared" si="8"/>
        <v>152</v>
      </c>
      <c r="I11" s="67">
        <f t="shared" si="8"/>
        <v>133</v>
      </c>
      <c r="J11" s="67">
        <f t="shared" si="8"/>
        <v>340</v>
      </c>
      <c r="K11" s="67">
        <f>K2+K6</f>
        <v>1322</v>
      </c>
      <c r="L11" s="67">
        <f t="shared" si="8"/>
        <v>1768</v>
      </c>
      <c r="M11">
        <f t="shared" si="8"/>
        <v>1747</v>
      </c>
      <c r="N11" s="67">
        <f t="shared" si="8"/>
        <v>1634</v>
      </c>
      <c r="O11">
        <v>3000</v>
      </c>
      <c r="Q11">
        <f t="shared" si="3"/>
        <v>2014</v>
      </c>
      <c r="R11">
        <v>180</v>
      </c>
      <c r="S11">
        <f t="shared" si="4"/>
        <v>0.18</v>
      </c>
      <c r="U11">
        <f>V11*1000</f>
        <v>1142.0000000000002</v>
      </c>
      <c r="V11">
        <f>W11</f>
        <v>1.1420000000000001</v>
      </c>
      <c r="W11">
        <f>AA11-S11</f>
        <v>1.1420000000000001</v>
      </c>
      <c r="Y11">
        <f t="shared" si="2"/>
        <v>1322.0000000000002</v>
      </c>
      <c r="Z11">
        <f t="shared" si="6"/>
        <v>1.3220000000000003</v>
      </c>
      <c r="AA11">
        <v>1.3220000000000001</v>
      </c>
    </row>
    <row r="12" spans="1:27">
      <c r="C12" s="85" t="s">
        <v>257</v>
      </c>
      <c r="D12" s="67">
        <v>0</v>
      </c>
      <c r="E12" s="67">
        <f t="shared" ref="E12:O12" si="9">E11/1000</f>
        <v>0</v>
      </c>
      <c r="F12" s="67">
        <f t="shared" si="9"/>
        <v>0</v>
      </c>
      <c r="G12" s="67">
        <f t="shared" si="9"/>
        <v>0.04</v>
      </c>
      <c r="H12" s="67">
        <f t="shared" si="9"/>
        <v>0.152</v>
      </c>
      <c r="I12" s="67">
        <f t="shared" si="9"/>
        <v>0.13300000000000001</v>
      </c>
      <c r="J12" s="67">
        <f>J11/1000</f>
        <v>0.34</v>
      </c>
      <c r="K12" s="67">
        <f>K11/1000</f>
        <v>1.3220000000000001</v>
      </c>
      <c r="L12" s="67">
        <f t="shared" si="9"/>
        <v>1.768</v>
      </c>
      <c r="M12">
        <f t="shared" si="9"/>
        <v>1.7470000000000001</v>
      </c>
      <c r="N12">
        <f t="shared" si="9"/>
        <v>1.6339999999999999</v>
      </c>
      <c r="O12">
        <f t="shared" si="9"/>
        <v>3</v>
      </c>
      <c r="Q12">
        <f t="shared" si="3"/>
        <v>2015</v>
      </c>
      <c r="R12">
        <v>559</v>
      </c>
      <c r="S12">
        <f t="shared" si="4"/>
        <v>0.55900000000000005</v>
      </c>
      <c r="U12">
        <v>1209</v>
      </c>
      <c r="V12">
        <f>W12</f>
        <v>1.2119999999999997</v>
      </c>
      <c r="W12">
        <f>AA12-S12</f>
        <v>1.2119999999999997</v>
      </c>
      <c r="Y12">
        <f t="shared" si="2"/>
        <v>1768</v>
      </c>
      <c r="Z12">
        <f t="shared" si="6"/>
        <v>1.768</v>
      </c>
      <c r="AA12">
        <v>1.7709999999999999</v>
      </c>
    </row>
    <row r="13" spans="1:27">
      <c r="C13" t="s">
        <v>701</v>
      </c>
      <c r="I13">
        <v>0.253</v>
      </c>
      <c r="J13">
        <v>0.29299999999999998</v>
      </c>
      <c r="K13">
        <v>1.3220000000000001</v>
      </c>
      <c r="L13">
        <v>1.7709999999999999</v>
      </c>
      <c r="M13">
        <v>1.369</v>
      </c>
      <c r="N13">
        <v>2.2839999999999998</v>
      </c>
      <c r="Q13">
        <f t="shared" si="3"/>
        <v>2016</v>
      </c>
      <c r="R13">
        <v>900</v>
      </c>
      <c r="S13">
        <f t="shared" si="4"/>
        <v>0.9</v>
      </c>
      <c r="U13">
        <v>847</v>
      </c>
      <c r="V13">
        <f>U13/1000</f>
        <v>0.84699999999999998</v>
      </c>
      <c r="W13">
        <f>AA13-S13</f>
        <v>0.46899999999999997</v>
      </c>
      <c r="Y13">
        <f t="shared" si="2"/>
        <v>1747</v>
      </c>
      <c r="Z13">
        <f t="shared" si="6"/>
        <v>1.7470000000000001</v>
      </c>
      <c r="AA13">
        <v>1.369</v>
      </c>
    </row>
    <row r="14" spans="1:27">
      <c r="Q14">
        <f t="shared" si="3"/>
        <v>2017</v>
      </c>
      <c r="R14">
        <f>AVERAGE(N2,N26)</f>
        <v>1283</v>
      </c>
      <c r="S14">
        <f t="shared" si="4"/>
        <v>1.2829999999999999</v>
      </c>
      <c r="U14">
        <v>610</v>
      </c>
      <c r="V14">
        <f>U14/1000</f>
        <v>0.61</v>
      </c>
      <c r="W14">
        <f>AA14-S14</f>
        <v>1.0009999999999999</v>
      </c>
      <c r="Y14">
        <f t="shared" si="2"/>
        <v>1893</v>
      </c>
      <c r="Z14">
        <f t="shared" si="6"/>
        <v>1.893</v>
      </c>
      <c r="AA14">
        <v>2.2839999999999998</v>
      </c>
    </row>
    <row r="15" spans="1:27">
      <c r="A15" t="s">
        <v>1371</v>
      </c>
      <c r="B15" t="s">
        <v>1370</v>
      </c>
      <c r="Q15">
        <f t="shared" ref="Q15:Q18" si="10">Q14+1</f>
        <v>2018</v>
      </c>
      <c r="R15" s="3">
        <v>1600</v>
      </c>
      <c r="S15">
        <f t="shared" si="4"/>
        <v>1.6</v>
      </c>
      <c r="U15" s="3">
        <f>Y15-R15</f>
        <v>1400</v>
      </c>
      <c r="V15">
        <f>U15/1000</f>
        <v>1.4</v>
      </c>
      <c r="Y15">
        <v>3000</v>
      </c>
      <c r="Z15">
        <f t="shared" si="6"/>
        <v>3</v>
      </c>
    </row>
    <row r="16" spans="1:27">
      <c r="A16" s="126">
        <v>43405</v>
      </c>
      <c r="C16" t="s">
        <v>6</v>
      </c>
      <c r="G16" s="33">
        <v>40</v>
      </c>
      <c r="H16">
        <v>152</v>
      </c>
      <c r="I16">
        <v>133</v>
      </c>
      <c r="J16">
        <v>340</v>
      </c>
      <c r="K16">
        <v>384</v>
      </c>
      <c r="L16">
        <v>1768</v>
      </c>
      <c r="M16">
        <v>1747</v>
      </c>
      <c r="N16">
        <v>1634</v>
      </c>
      <c r="O16">
        <v>3000</v>
      </c>
      <c r="Q16">
        <f t="shared" si="10"/>
        <v>2019</v>
      </c>
      <c r="R16" s="3">
        <f t="shared" ref="R16:R17" si="11">Y16/2</f>
        <v>2500</v>
      </c>
      <c r="S16">
        <f t="shared" ref="S16:S17" si="12">R16/1000</f>
        <v>2.5</v>
      </c>
      <c r="U16" s="3">
        <f t="shared" ref="U16:U17" si="13">Y16-R16</f>
        <v>2500</v>
      </c>
      <c r="V16">
        <f t="shared" ref="V16:V17" si="14">U16/1000</f>
        <v>2.5</v>
      </c>
      <c r="Y16">
        <v>5000</v>
      </c>
      <c r="Z16">
        <f t="shared" si="6"/>
        <v>5</v>
      </c>
    </row>
    <row r="17" spans="1:27">
      <c r="C17" t="s">
        <v>5</v>
      </c>
      <c r="G17" s="67">
        <v>37</v>
      </c>
      <c r="H17">
        <v>148</v>
      </c>
      <c r="I17">
        <v>130</v>
      </c>
      <c r="J17">
        <v>207</v>
      </c>
      <c r="K17">
        <v>180</v>
      </c>
      <c r="L17">
        <v>559</v>
      </c>
      <c r="M17">
        <v>900</v>
      </c>
      <c r="N17">
        <v>1024</v>
      </c>
      <c r="Q17">
        <f t="shared" si="10"/>
        <v>2020</v>
      </c>
      <c r="R17" s="3">
        <f t="shared" si="11"/>
        <v>4000</v>
      </c>
      <c r="S17">
        <f t="shared" si="12"/>
        <v>4</v>
      </c>
      <c r="U17" s="3">
        <f t="shared" si="13"/>
        <v>4000</v>
      </c>
      <c r="V17">
        <f t="shared" si="14"/>
        <v>4</v>
      </c>
      <c r="Y17">
        <v>8000</v>
      </c>
      <c r="Z17">
        <f t="shared" si="6"/>
        <v>8</v>
      </c>
    </row>
    <row r="18" spans="1:27">
      <c r="C18" t="s">
        <v>0</v>
      </c>
      <c r="G18">
        <v>3</v>
      </c>
      <c r="H18">
        <v>4</v>
      </c>
      <c r="I18">
        <v>3</v>
      </c>
      <c r="J18">
        <v>133</v>
      </c>
      <c r="K18">
        <v>204</v>
      </c>
      <c r="L18">
        <v>1209</v>
      </c>
      <c r="M18">
        <v>847</v>
      </c>
      <c r="N18">
        <v>610</v>
      </c>
      <c r="Q18">
        <f t="shared" si="10"/>
        <v>2021</v>
      </c>
    </row>
    <row r="24" spans="1:27">
      <c r="Q24" t="s">
        <v>1362</v>
      </c>
    </row>
    <row r="25" spans="1:27">
      <c r="A25" t="s">
        <v>1362</v>
      </c>
      <c r="B25" t="s">
        <v>7</v>
      </c>
      <c r="D25">
        <v>2007</v>
      </c>
      <c r="E25">
        <v>2008</v>
      </c>
      <c r="F25">
        <v>2009</v>
      </c>
      <c r="G25">
        <v>2010</v>
      </c>
      <c r="H25">
        <v>2011</v>
      </c>
      <c r="I25">
        <v>2012</v>
      </c>
      <c r="J25">
        <v>2013</v>
      </c>
      <c r="K25">
        <v>2014</v>
      </c>
      <c r="L25">
        <v>2015</v>
      </c>
      <c r="M25">
        <v>2016</v>
      </c>
      <c r="N25">
        <v>2017</v>
      </c>
      <c r="Q25" t="s">
        <v>7</v>
      </c>
      <c r="R25" t="s">
        <v>692</v>
      </c>
      <c r="U25" t="s">
        <v>692</v>
      </c>
      <c r="W25" s="33" t="s">
        <v>1364</v>
      </c>
      <c r="Y25" t="s">
        <v>692</v>
      </c>
      <c r="AA25" s="33" t="s">
        <v>1364</v>
      </c>
    </row>
    <row r="26" spans="1:27">
      <c r="B26" t="s">
        <v>692</v>
      </c>
      <c r="C26" t="s">
        <v>186</v>
      </c>
      <c r="D26">
        <v>0</v>
      </c>
      <c r="E26">
        <v>0</v>
      </c>
      <c r="F26">
        <v>0</v>
      </c>
      <c r="G26">
        <v>25</v>
      </c>
      <c r="H26">
        <v>136</v>
      </c>
      <c r="I26">
        <v>118</v>
      </c>
      <c r="J26">
        <v>195</v>
      </c>
      <c r="K26" s="163">
        <v>398.5</v>
      </c>
      <c r="L26" s="162">
        <v>602</v>
      </c>
      <c r="M26" s="157">
        <v>842</v>
      </c>
      <c r="N26" s="157">
        <v>1542</v>
      </c>
      <c r="R26" t="s">
        <v>186</v>
      </c>
      <c r="S26" t="s">
        <v>257</v>
      </c>
      <c r="U26" t="s">
        <v>332</v>
      </c>
      <c r="V26" t="s">
        <v>257</v>
      </c>
      <c r="W26" s="33" t="s">
        <v>1365</v>
      </c>
      <c r="Y26" t="s">
        <v>256</v>
      </c>
      <c r="Z26" t="s">
        <v>257</v>
      </c>
      <c r="AA26" t="s">
        <v>1366</v>
      </c>
    </row>
    <row r="27" spans="1:27">
      <c r="C27" t="s">
        <v>257</v>
      </c>
      <c r="D27">
        <v>0</v>
      </c>
      <c r="E27">
        <v>0</v>
      </c>
      <c r="F27">
        <v>0</v>
      </c>
      <c r="G27">
        <v>2.5000000000000001E-2</v>
      </c>
      <c r="H27">
        <v>0.13600000000000001</v>
      </c>
      <c r="I27">
        <v>0.11799999999999999</v>
      </c>
      <c r="J27">
        <v>0.19500000000000001</v>
      </c>
      <c r="K27" s="161">
        <v>0.39850000000000002</v>
      </c>
      <c r="L27" s="67">
        <v>0.60199999999999998</v>
      </c>
      <c r="M27" s="67">
        <v>0.84199999999999997</v>
      </c>
      <c r="N27" s="67">
        <v>1.542</v>
      </c>
      <c r="Q27">
        <v>2007</v>
      </c>
      <c r="R27">
        <v>0</v>
      </c>
      <c r="S27">
        <v>0</v>
      </c>
      <c r="U27">
        <v>0</v>
      </c>
      <c r="V27">
        <v>0</v>
      </c>
      <c r="Y27">
        <v>0</v>
      </c>
      <c r="Z27">
        <v>0</v>
      </c>
    </row>
    <row r="28" spans="1:27">
      <c r="K28" s="67"/>
      <c r="L28" s="67"/>
      <c r="M28" s="67"/>
      <c r="N28" s="67"/>
      <c r="O28" s="158" t="s">
        <v>691</v>
      </c>
      <c r="Q28">
        <v>2008</v>
      </c>
      <c r="R28">
        <v>0</v>
      </c>
      <c r="S28">
        <v>0</v>
      </c>
      <c r="U28">
        <v>0</v>
      </c>
      <c r="V28">
        <v>0</v>
      </c>
      <c r="Y28">
        <v>0</v>
      </c>
      <c r="Z28">
        <v>0</v>
      </c>
    </row>
    <row r="29" spans="1:27">
      <c r="K29" s="67"/>
      <c r="L29" s="67"/>
      <c r="M29" s="67"/>
      <c r="N29" s="67"/>
      <c r="Q29">
        <v>2009</v>
      </c>
      <c r="R29">
        <v>0</v>
      </c>
      <c r="S29">
        <v>0</v>
      </c>
      <c r="U29">
        <v>0</v>
      </c>
      <c r="V29">
        <v>0</v>
      </c>
      <c r="Y29">
        <v>0</v>
      </c>
      <c r="Z29">
        <v>0</v>
      </c>
    </row>
    <row r="30" spans="1:27">
      <c r="B30" t="s">
        <v>692</v>
      </c>
      <c r="C30" t="s">
        <v>332</v>
      </c>
      <c r="D30">
        <v>0</v>
      </c>
      <c r="E30">
        <v>0</v>
      </c>
      <c r="F30">
        <v>0</v>
      </c>
      <c r="G30">
        <v>3</v>
      </c>
      <c r="H30">
        <v>3</v>
      </c>
      <c r="I30">
        <v>3</v>
      </c>
      <c r="J30">
        <v>133</v>
      </c>
      <c r="K30" s="163">
        <v>923.5</v>
      </c>
      <c r="L30" s="67">
        <v>1169</v>
      </c>
      <c r="M30" s="157">
        <v>527</v>
      </c>
      <c r="N30" s="157">
        <v>882</v>
      </c>
      <c r="Q30">
        <v>2010</v>
      </c>
      <c r="R30">
        <v>25</v>
      </c>
      <c r="S30">
        <v>2.5000000000000001E-2</v>
      </c>
      <c r="U30">
        <v>3</v>
      </c>
      <c r="V30">
        <v>3.0000000000000001E-3</v>
      </c>
      <c r="Y30">
        <v>28</v>
      </c>
      <c r="Z30">
        <v>2.8000000000000001E-2</v>
      </c>
    </row>
    <row r="31" spans="1:27">
      <c r="C31" t="s">
        <v>257</v>
      </c>
      <c r="D31">
        <v>0</v>
      </c>
      <c r="E31">
        <v>0</v>
      </c>
      <c r="F31">
        <v>0</v>
      </c>
      <c r="G31">
        <v>3.0000000000000001E-3</v>
      </c>
      <c r="H31">
        <v>3.0000000000000001E-3</v>
      </c>
      <c r="I31">
        <v>3.0000000000000001E-3</v>
      </c>
      <c r="J31">
        <v>0.13300000000000001</v>
      </c>
      <c r="K31" s="161">
        <v>0.92349999999999999</v>
      </c>
      <c r="L31" s="161">
        <v>1.169</v>
      </c>
      <c r="M31" s="67">
        <v>0.52700000000000002</v>
      </c>
      <c r="N31" s="67">
        <v>0.88200000000000001</v>
      </c>
      <c r="Q31">
        <v>2011</v>
      </c>
      <c r="R31">
        <v>136</v>
      </c>
      <c r="S31">
        <v>0.13600000000000001</v>
      </c>
      <c r="U31">
        <v>3</v>
      </c>
      <c r="V31">
        <v>3.0000000000000001E-3</v>
      </c>
      <c r="Y31">
        <v>139</v>
      </c>
      <c r="Z31">
        <v>0.13900000000000001</v>
      </c>
    </row>
    <row r="32" spans="1:27">
      <c r="C32" t="s">
        <v>702</v>
      </c>
      <c r="K32" s="161">
        <v>0.92349999999999999</v>
      </c>
      <c r="L32" s="67">
        <v>1.169</v>
      </c>
      <c r="M32" s="67">
        <v>0.52700000000000002</v>
      </c>
      <c r="N32" s="67">
        <v>0.74199999999999977</v>
      </c>
      <c r="Q32">
        <v>2012</v>
      </c>
      <c r="R32">
        <v>118</v>
      </c>
      <c r="S32">
        <v>0.11799999999999999</v>
      </c>
      <c r="U32">
        <v>3</v>
      </c>
      <c r="V32">
        <v>3.0000000000000001E-3</v>
      </c>
      <c r="Y32">
        <v>121</v>
      </c>
      <c r="Z32">
        <v>0.121</v>
      </c>
      <c r="AA32">
        <v>0.253</v>
      </c>
    </row>
    <row r="33" spans="2:27">
      <c r="K33" s="67"/>
      <c r="L33" s="67"/>
      <c r="M33" s="67"/>
      <c r="N33" s="67"/>
      <c r="Q33">
        <v>2013</v>
      </c>
      <c r="R33">
        <v>195</v>
      </c>
      <c r="S33">
        <v>0.19500000000000001</v>
      </c>
      <c r="U33">
        <v>133</v>
      </c>
      <c r="V33">
        <v>0.13300000000000001</v>
      </c>
      <c r="Y33">
        <v>328</v>
      </c>
      <c r="Z33">
        <v>0.32800000000000001</v>
      </c>
      <c r="AA33">
        <v>0.29299999999999998</v>
      </c>
    </row>
    <row r="34" spans="2:27">
      <c r="Q34">
        <v>2014</v>
      </c>
      <c r="R34" s="15">
        <v>398.5</v>
      </c>
      <c r="S34" s="14">
        <v>0.39850000000000002</v>
      </c>
      <c r="U34" s="15">
        <v>923.5</v>
      </c>
      <c r="V34" s="14">
        <v>0.92349999999999999</v>
      </c>
      <c r="W34">
        <v>0.92349999999999999</v>
      </c>
      <c r="Y34">
        <v>1322</v>
      </c>
      <c r="Z34">
        <v>1.3220000000000001</v>
      </c>
      <c r="AA34">
        <v>1.3220000000000001</v>
      </c>
    </row>
    <row r="35" spans="2:27">
      <c r="B35" t="s">
        <v>692</v>
      </c>
      <c r="C35" t="s">
        <v>256</v>
      </c>
      <c r="D35">
        <v>0</v>
      </c>
      <c r="E35">
        <v>0</v>
      </c>
      <c r="F35">
        <v>0</v>
      </c>
      <c r="G35">
        <v>28</v>
      </c>
      <c r="H35">
        <v>139</v>
      </c>
      <c r="I35">
        <v>121</v>
      </c>
      <c r="J35">
        <v>328</v>
      </c>
      <c r="K35" s="67">
        <v>1322</v>
      </c>
      <c r="L35" s="67">
        <v>1771</v>
      </c>
      <c r="M35" s="157">
        <v>1369</v>
      </c>
      <c r="N35" s="157">
        <v>2424</v>
      </c>
      <c r="Q35">
        <v>2015</v>
      </c>
      <c r="R35">
        <v>602</v>
      </c>
      <c r="S35">
        <v>0.60199999999999998</v>
      </c>
      <c r="U35">
        <v>1169</v>
      </c>
      <c r="V35">
        <v>1.169</v>
      </c>
      <c r="W35">
        <v>1.169</v>
      </c>
      <c r="Y35">
        <v>1771</v>
      </c>
      <c r="Z35">
        <v>1.7709999999999999</v>
      </c>
      <c r="AA35">
        <v>1.7709999999999999</v>
      </c>
    </row>
    <row r="36" spans="2:27">
      <c r="C36" t="s">
        <v>257</v>
      </c>
      <c r="D36">
        <v>0</v>
      </c>
      <c r="E36">
        <v>0</v>
      </c>
      <c r="F36">
        <v>0</v>
      </c>
      <c r="G36">
        <v>2.8000000000000001E-2</v>
      </c>
      <c r="H36">
        <v>0.13900000000000001</v>
      </c>
      <c r="I36">
        <v>0.121</v>
      </c>
      <c r="J36">
        <v>0.32800000000000001</v>
      </c>
      <c r="K36" s="67">
        <v>1.3220000000000001</v>
      </c>
      <c r="L36" s="67">
        <v>1.7709999999999999</v>
      </c>
      <c r="M36" s="157">
        <v>1.369</v>
      </c>
      <c r="N36" s="157">
        <v>2.4239999999999999</v>
      </c>
      <c r="Q36">
        <v>2016</v>
      </c>
      <c r="R36">
        <v>842</v>
      </c>
      <c r="S36">
        <v>0.84199999999999997</v>
      </c>
      <c r="U36">
        <v>527</v>
      </c>
      <c r="V36">
        <v>0.52700000000000002</v>
      </c>
      <c r="W36">
        <v>0.52700000000000002</v>
      </c>
      <c r="Y36">
        <v>1369</v>
      </c>
      <c r="Z36">
        <v>1.369</v>
      </c>
      <c r="AA36">
        <v>1.369</v>
      </c>
    </row>
    <row r="37" spans="2:27">
      <c r="C37" t="s">
        <v>701</v>
      </c>
      <c r="I37">
        <v>0.253</v>
      </c>
      <c r="J37">
        <v>0.29299999999999998</v>
      </c>
      <c r="K37">
        <v>1.3220000000000001</v>
      </c>
      <c r="L37">
        <v>1.7709999999999999</v>
      </c>
      <c r="M37">
        <v>1.369</v>
      </c>
      <c r="N37">
        <v>2.2839999999999998</v>
      </c>
      <c r="Q37">
        <v>2017</v>
      </c>
      <c r="R37">
        <v>1542</v>
      </c>
      <c r="S37">
        <v>1.542</v>
      </c>
      <c r="U37">
        <v>882</v>
      </c>
      <c r="V37">
        <v>0.88200000000000001</v>
      </c>
      <c r="W37">
        <v>0.74199999999999977</v>
      </c>
      <c r="Y37">
        <v>2424</v>
      </c>
      <c r="Z37">
        <v>2.4239999999999999</v>
      </c>
      <c r="AA37">
        <v>2.2839999999999998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2"/>
  <sheetViews>
    <sheetView zoomScale="75" zoomScaleNormal="75" workbookViewId="0">
      <selection activeCell="AC54" sqref="AC54"/>
    </sheetView>
  </sheetViews>
  <sheetFormatPr defaultRowHeight="15"/>
  <cols>
    <col min="9" max="10" width="10.140625" customWidth="1"/>
    <col min="16" max="16" width="12.140625" customWidth="1"/>
    <col min="21" max="21" width="11.5703125" customWidth="1"/>
    <col min="24" max="24" width="11.28515625" customWidth="1"/>
    <col min="25" max="25" width="10.7109375" customWidth="1"/>
    <col min="28" max="28" width="8.42578125" customWidth="1"/>
    <col min="29" max="29" width="14.42578125" customWidth="1"/>
    <col min="32" max="32" width="5.5703125" customWidth="1"/>
    <col min="33" max="33" width="10.140625" customWidth="1"/>
    <col min="34" max="34" width="10.42578125" customWidth="1"/>
    <col min="35" max="35" width="7.85546875" customWidth="1"/>
    <col min="37" max="37" width="10.140625" customWidth="1"/>
    <col min="38" max="38" width="13.140625" customWidth="1"/>
    <col min="39" max="39" width="11.85546875" customWidth="1"/>
    <col min="40" max="40" width="7.85546875" customWidth="1"/>
    <col min="41" max="41" width="15.42578125" customWidth="1"/>
    <col min="42" max="42" width="9.7109375" customWidth="1"/>
    <col min="44" max="44" width="8.5703125" customWidth="1"/>
    <col min="45" max="45" width="11.42578125" customWidth="1"/>
    <col min="47" max="47" width="10.42578125" customWidth="1"/>
    <col min="48" max="48" width="13.28515625" customWidth="1"/>
  </cols>
  <sheetData>
    <row r="1" spans="1:48">
      <c r="A1" s="33"/>
      <c r="B1" s="94"/>
      <c r="C1" s="94"/>
      <c r="D1" s="94"/>
      <c r="E1" s="94" t="s">
        <v>254</v>
      </c>
      <c r="F1" s="94"/>
      <c r="G1" s="94"/>
      <c r="H1" s="94"/>
      <c r="I1" s="94"/>
      <c r="J1" s="94" t="s">
        <v>251</v>
      </c>
      <c r="K1" s="94"/>
      <c r="L1" s="94"/>
      <c r="M1" s="94"/>
      <c r="N1" s="94"/>
      <c r="O1" s="94"/>
      <c r="P1" s="94"/>
      <c r="Q1" s="94"/>
      <c r="R1" s="94"/>
      <c r="S1" s="94"/>
      <c r="T1" s="94"/>
      <c r="U1" s="94"/>
      <c r="V1" s="94"/>
      <c r="W1" s="94"/>
      <c r="X1" s="94"/>
      <c r="Y1" s="94"/>
      <c r="AG1" s="22" t="s">
        <v>952</v>
      </c>
    </row>
    <row r="2" spans="1:48">
      <c r="A2" s="79"/>
      <c r="B2" s="262" t="s">
        <v>255</v>
      </c>
      <c r="C2" s="262" t="s">
        <v>539</v>
      </c>
      <c r="D2" s="262" t="s">
        <v>540</v>
      </c>
      <c r="E2" s="262" t="s">
        <v>238</v>
      </c>
      <c r="F2" s="262" t="s">
        <v>239</v>
      </c>
      <c r="G2" s="262" t="s">
        <v>541</v>
      </c>
      <c r="H2" s="262" t="s">
        <v>542</v>
      </c>
      <c r="I2" s="262" t="s">
        <v>240</v>
      </c>
      <c r="J2" s="262" t="s">
        <v>241</v>
      </c>
      <c r="K2" s="143" t="s">
        <v>242</v>
      </c>
      <c r="L2" s="262" t="s">
        <v>544</v>
      </c>
      <c r="M2" s="263" t="s">
        <v>538</v>
      </c>
      <c r="N2" s="262" t="s">
        <v>243</v>
      </c>
      <c r="O2" s="262" t="s">
        <v>244</v>
      </c>
      <c r="P2" s="143" t="s">
        <v>245</v>
      </c>
      <c r="Q2" s="264" t="s">
        <v>331</v>
      </c>
      <c r="R2" s="262" t="s">
        <v>246</v>
      </c>
      <c r="S2" s="262" t="s">
        <v>545</v>
      </c>
      <c r="T2" s="262" t="s">
        <v>247</v>
      </c>
      <c r="U2" s="262" t="s">
        <v>546</v>
      </c>
      <c r="V2" s="262" t="s">
        <v>248</v>
      </c>
      <c r="W2" s="262" t="s">
        <v>249</v>
      </c>
      <c r="X2" s="143" t="s">
        <v>648</v>
      </c>
      <c r="Y2" s="262" t="s">
        <v>158</v>
      </c>
      <c r="AB2" s="33"/>
      <c r="AC2" s="33"/>
      <c r="AD2" s="27" t="s">
        <v>1380</v>
      </c>
      <c r="AE2" s="27" t="s">
        <v>1296</v>
      </c>
      <c r="AF2" s="33"/>
      <c r="AG2" s="265" t="s">
        <v>1381</v>
      </c>
      <c r="AH2" s="27" t="s">
        <v>1108</v>
      </c>
      <c r="AI2" s="27" t="s">
        <v>1110</v>
      </c>
      <c r="AJ2" s="27" t="s">
        <v>1111</v>
      </c>
      <c r="AK2" s="27" t="s">
        <v>1113</v>
      </c>
      <c r="AL2" s="27" t="s">
        <v>1112</v>
      </c>
      <c r="AM2" s="27" t="s">
        <v>1114</v>
      </c>
      <c r="AN2" s="27" t="s">
        <v>1115</v>
      </c>
      <c r="AO2" s="27" t="s">
        <v>1116</v>
      </c>
      <c r="AP2" s="27" t="s">
        <v>1304</v>
      </c>
      <c r="AQ2" s="27" t="s">
        <v>1117</v>
      </c>
      <c r="AR2" s="27" t="s">
        <v>1118</v>
      </c>
      <c r="AS2" s="27" t="s">
        <v>956</v>
      </c>
      <c r="AT2" s="27" t="s">
        <v>969</v>
      </c>
      <c r="AU2" s="27" t="s">
        <v>972</v>
      </c>
      <c r="AV2" s="27" t="s">
        <v>1368</v>
      </c>
    </row>
    <row r="3" spans="1:48">
      <c r="A3" s="33">
        <v>2005</v>
      </c>
      <c r="B3" s="94">
        <v>0</v>
      </c>
      <c r="C3" s="94">
        <v>0</v>
      </c>
      <c r="D3" s="94">
        <v>0</v>
      </c>
      <c r="E3" s="94">
        <v>0</v>
      </c>
      <c r="F3" s="94">
        <v>0</v>
      </c>
      <c r="G3" s="94">
        <v>0</v>
      </c>
      <c r="H3" s="94">
        <v>0</v>
      </c>
      <c r="I3" s="94">
        <v>0.01</v>
      </c>
      <c r="J3" s="94">
        <v>0.02</v>
      </c>
      <c r="K3" s="94">
        <v>9.9000000000000005E-2</v>
      </c>
      <c r="L3" s="94">
        <v>0</v>
      </c>
      <c r="M3" s="94">
        <v>0</v>
      </c>
      <c r="N3" s="94">
        <v>0</v>
      </c>
      <c r="O3" s="94">
        <v>0</v>
      </c>
      <c r="P3" s="94">
        <v>0</v>
      </c>
      <c r="Q3" s="94">
        <v>0</v>
      </c>
      <c r="R3" s="94">
        <v>0</v>
      </c>
      <c r="S3" s="94">
        <v>0</v>
      </c>
      <c r="T3" s="94">
        <v>0</v>
      </c>
      <c r="U3" s="94">
        <v>0</v>
      </c>
      <c r="V3" s="94">
        <v>0.22</v>
      </c>
      <c r="W3" s="94">
        <v>1.1200000000000001</v>
      </c>
      <c r="X3" s="94">
        <v>0</v>
      </c>
      <c r="Y3" s="94">
        <v>1.4690000000000001</v>
      </c>
      <c r="AC3" s="72" t="s">
        <v>246</v>
      </c>
      <c r="AD3" s="83">
        <v>2011.1084011511434</v>
      </c>
      <c r="AE3" s="83">
        <v>2010.7553982903667</v>
      </c>
      <c r="AF3" s="33"/>
      <c r="AG3" s="72">
        <v>0.43210268169697175</v>
      </c>
      <c r="AH3" s="33">
        <v>0</v>
      </c>
      <c r="AI3" s="33">
        <v>0</v>
      </c>
      <c r="AJ3" s="33">
        <v>0</v>
      </c>
      <c r="AK3" s="33">
        <v>0</v>
      </c>
      <c r="AL3" s="33">
        <v>0</v>
      </c>
      <c r="AM3" s="33">
        <v>0</v>
      </c>
      <c r="AN3" s="33">
        <v>0</v>
      </c>
      <c r="AO3" s="33">
        <v>0</v>
      </c>
      <c r="AP3" s="33">
        <v>0</v>
      </c>
      <c r="AQ3" s="33">
        <v>0</v>
      </c>
      <c r="AR3" s="33">
        <v>0</v>
      </c>
      <c r="AS3" s="33">
        <v>0</v>
      </c>
      <c r="AT3" s="33">
        <v>0</v>
      </c>
      <c r="AU3" s="33">
        <v>0</v>
      </c>
      <c r="AV3" s="33">
        <v>0</v>
      </c>
    </row>
    <row r="4" spans="1:48">
      <c r="A4" s="33">
        <v>2006</v>
      </c>
      <c r="B4" s="94">
        <v>0</v>
      </c>
      <c r="C4" s="94">
        <v>0</v>
      </c>
      <c r="D4" s="94">
        <v>0</v>
      </c>
      <c r="E4" s="94">
        <v>0</v>
      </c>
      <c r="F4" s="94">
        <v>0</v>
      </c>
      <c r="G4" s="94">
        <v>0</v>
      </c>
      <c r="H4" s="94">
        <v>0</v>
      </c>
      <c r="I4" s="94">
        <v>0</v>
      </c>
      <c r="J4" s="94">
        <v>0.02</v>
      </c>
      <c r="K4" s="94">
        <v>0.123</v>
      </c>
      <c r="L4" s="94">
        <v>0</v>
      </c>
      <c r="M4" s="94">
        <v>0</v>
      </c>
      <c r="N4" s="94">
        <v>0</v>
      </c>
      <c r="O4" s="94">
        <v>0</v>
      </c>
      <c r="P4" s="94">
        <v>0</v>
      </c>
      <c r="Q4" s="94">
        <v>0</v>
      </c>
      <c r="R4" s="94">
        <v>0</v>
      </c>
      <c r="S4" s="94">
        <v>0</v>
      </c>
      <c r="T4" s="94">
        <v>0</v>
      </c>
      <c r="U4" s="94">
        <v>0</v>
      </c>
      <c r="V4" s="94">
        <v>0.32</v>
      </c>
      <c r="W4" s="94">
        <v>1.2366666666666668</v>
      </c>
      <c r="X4" s="94">
        <v>0</v>
      </c>
      <c r="Y4" s="94">
        <v>1.6996666666666669</v>
      </c>
      <c r="AC4" s="72" t="s">
        <v>540</v>
      </c>
      <c r="AD4" s="83">
        <v>2016.2086860429163</v>
      </c>
      <c r="AE4" s="83">
        <v>2016.6624453579125</v>
      </c>
      <c r="AF4" s="33"/>
      <c r="AG4" s="72">
        <v>0.97986785152797662</v>
      </c>
      <c r="AH4" s="33">
        <v>0</v>
      </c>
      <c r="AI4" s="33">
        <v>0</v>
      </c>
      <c r="AJ4" s="33">
        <v>0</v>
      </c>
      <c r="AK4" s="33">
        <v>0</v>
      </c>
      <c r="AL4" s="33">
        <v>0</v>
      </c>
      <c r="AM4" s="33">
        <v>0</v>
      </c>
      <c r="AN4" s="33">
        <v>0</v>
      </c>
      <c r="AO4" s="33">
        <v>0</v>
      </c>
      <c r="AP4" s="33">
        <v>0</v>
      </c>
      <c r="AQ4" s="33">
        <v>0</v>
      </c>
      <c r="AR4" s="33">
        <v>0</v>
      </c>
      <c r="AS4" s="33">
        <v>0</v>
      </c>
      <c r="AT4" s="33">
        <v>0</v>
      </c>
      <c r="AU4" s="33">
        <v>0</v>
      </c>
      <c r="AV4" s="33">
        <v>0</v>
      </c>
    </row>
    <row r="5" spans="1:48">
      <c r="A5" s="33">
        <v>2007</v>
      </c>
      <c r="B5" s="94">
        <v>0</v>
      </c>
      <c r="C5" s="94">
        <v>0</v>
      </c>
      <c r="D5" s="94">
        <v>0</v>
      </c>
      <c r="E5" s="94">
        <v>0</v>
      </c>
      <c r="F5" s="94">
        <v>0</v>
      </c>
      <c r="G5" s="94">
        <v>0</v>
      </c>
      <c r="H5" s="94">
        <v>0</v>
      </c>
      <c r="I5" s="94">
        <v>0</v>
      </c>
      <c r="J5" s="94">
        <v>0.02</v>
      </c>
      <c r="K5" s="94">
        <v>0.13500000000000001</v>
      </c>
      <c r="L5" s="94">
        <v>0</v>
      </c>
      <c r="M5" s="94">
        <v>0</v>
      </c>
      <c r="N5" s="94">
        <v>0</v>
      </c>
      <c r="O5" s="94">
        <v>0</v>
      </c>
      <c r="P5" s="94">
        <v>0</v>
      </c>
      <c r="Q5" s="94">
        <v>0</v>
      </c>
      <c r="R5" s="94">
        <v>0.01</v>
      </c>
      <c r="S5" s="94">
        <v>0</v>
      </c>
      <c r="T5" s="94">
        <v>0</v>
      </c>
      <c r="U5" s="94">
        <v>0</v>
      </c>
      <c r="V5" s="94">
        <v>0.45</v>
      </c>
      <c r="W5" s="94">
        <v>1.3533333333333335</v>
      </c>
      <c r="X5" s="94">
        <v>0</v>
      </c>
      <c r="Y5" s="94">
        <v>1.9683333333333335</v>
      </c>
      <c r="AC5" s="72" t="s">
        <v>542</v>
      </c>
      <c r="AD5" s="83">
        <v>2016.5819020208137</v>
      </c>
      <c r="AE5" s="83">
        <v>2016.7784537735472</v>
      </c>
      <c r="AF5" s="33"/>
      <c r="AG5" s="72">
        <v>0.99062540411988342</v>
      </c>
      <c r="AH5" s="33">
        <v>0</v>
      </c>
      <c r="AI5" s="33">
        <v>0</v>
      </c>
      <c r="AJ5" s="33">
        <v>0</v>
      </c>
      <c r="AK5" s="33">
        <v>0</v>
      </c>
      <c r="AL5" s="33">
        <v>0</v>
      </c>
      <c r="AM5" s="33">
        <v>0</v>
      </c>
      <c r="AN5" s="33">
        <v>0</v>
      </c>
      <c r="AO5" s="33">
        <v>0</v>
      </c>
      <c r="AP5" s="33">
        <v>0</v>
      </c>
      <c r="AQ5" s="33">
        <v>0</v>
      </c>
      <c r="AR5" s="33">
        <v>0</v>
      </c>
      <c r="AS5" s="33">
        <v>0</v>
      </c>
      <c r="AT5" s="33">
        <v>0</v>
      </c>
      <c r="AU5" s="33">
        <v>0</v>
      </c>
      <c r="AV5" s="33">
        <v>0</v>
      </c>
    </row>
    <row r="6" spans="1:48">
      <c r="A6" s="33">
        <v>2008</v>
      </c>
      <c r="B6" s="94">
        <v>0</v>
      </c>
      <c r="C6" s="94">
        <v>0</v>
      </c>
      <c r="D6" s="94">
        <v>0</v>
      </c>
      <c r="E6" s="94">
        <v>0</v>
      </c>
      <c r="F6" s="94">
        <v>0</v>
      </c>
      <c r="G6" s="94">
        <v>0</v>
      </c>
      <c r="H6" s="94">
        <v>0</v>
      </c>
      <c r="I6" s="94">
        <v>0</v>
      </c>
      <c r="J6" s="94">
        <v>7.0000000000000007E-2</v>
      </c>
      <c r="K6" s="94">
        <v>0.19500000000000001</v>
      </c>
      <c r="L6" s="94">
        <v>0</v>
      </c>
      <c r="M6" s="94">
        <v>0</v>
      </c>
      <c r="N6" s="94">
        <v>0</v>
      </c>
      <c r="O6" s="94">
        <v>0</v>
      </c>
      <c r="P6" s="94">
        <v>0.01</v>
      </c>
      <c r="Q6" s="94">
        <v>0</v>
      </c>
      <c r="R6" s="94">
        <v>0.24</v>
      </c>
      <c r="S6" s="94">
        <v>0</v>
      </c>
      <c r="T6" s="94">
        <v>0</v>
      </c>
      <c r="U6" s="94">
        <v>0</v>
      </c>
      <c r="V6" s="94">
        <v>0.22</v>
      </c>
      <c r="W6" s="94">
        <v>1.47</v>
      </c>
      <c r="X6" s="94">
        <v>0</v>
      </c>
      <c r="Y6" s="94">
        <v>2.2050000000000001</v>
      </c>
      <c r="AB6" t="s">
        <v>1119</v>
      </c>
      <c r="AC6" s="72" t="s">
        <v>241</v>
      </c>
      <c r="AD6" s="83">
        <v>2017.4694448564735</v>
      </c>
      <c r="AE6" s="83">
        <v>2016.8381940777847</v>
      </c>
      <c r="AF6" s="33"/>
      <c r="AG6" s="72">
        <v>0.99616517001682436</v>
      </c>
      <c r="AH6" s="33">
        <v>0</v>
      </c>
      <c r="AI6" s="33">
        <v>0</v>
      </c>
      <c r="AJ6" s="33">
        <v>0</v>
      </c>
      <c r="AK6" s="33">
        <v>0</v>
      </c>
      <c r="AL6" s="33">
        <v>0</v>
      </c>
      <c r="AM6" s="33">
        <v>0</v>
      </c>
      <c r="AN6" s="33">
        <v>0</v>
      </c>
      <c r="AO6" s="33">
        <v>0</v>
      </c>
      <c r="AP6" s="33">
        <v>0</v>
      </c>
      <c r="AQ6" s="33">
        <v>0</v>
      </c>
      <c r="AR6" s="33">
        <v>0</v>
      </c>
      <c r="AS6" s="33">
        <v>0</v>
      </c>
      <c r="AT6" s="33">
        <v>0</v>
      </c>
      <c r="AU6" s="33">
        <v>0</v>
      </c>
      <c r="AV6" s="33">
        <v>0</v>
      </c>
    </row>
    <row r="7" spans="1:48">
      <c r="A7" s="33">
        <v>2009</v>
      </c>
      <c r="B7" s="94">
        <v>0</v>
      </c>
      <c r="C7" s="94">
        <v>0.04</v>
      </c>
      <c r="D7" s="94">
        <v>0</v>
      </c>
      <c r="E7" s="94">
        <v>0</v>
      </c>
      <c r="F7" s="94">
        <v>0.48</v>
      </c>
      <c r="G7" s="94">
        <v>3.1E-2</v>
      </c>
      <c r="H7" s="94">
        <v>0</v>
      </c>
      <c r="I7" s="94">
        <v>0.1</v>
      </c>
      <c r="J7" s="94">
        <v>0.02</v>
      </c>
      <c r="K7" s="94">
        <v>0.2495</v>
      </c>
      <c r="L7" s="94">
        <v>0</v>
      </c>
      <c r="M7" s="94">
        <v>0</v>
      </c>
      <c r="N7" s="94">
        <v>0.98599999999999999</v>
      </c>
      <c r="O7" s="94">
        <v>0</v>
      </c>
      <c r="P7" s="94">
        <v>0.03</v>
      </c>
      <c r="Q7" s="94">
        <v>0</v>
      </c>
      <c r="R7" s="94">
        <v>0.15</v>
      </c>
      <c r="S7" s="94">
        <v>0</v>
      </c>
      <c r="T7" s="94">
        <v>0</v>
      </c>
      <c r="U7" s="94">
        <v>0.03</v>
      </c>
      <c r="V7" s="94">
        <v>0.18</v>
      </c>
      <c r="W7" s="94">
        <v>1.33</v>
      </c>
      <c r="X7" s="94">
        <v>0</v>
      </c>
      <c r="Y7" s="94">
        <v>3.6265000000000001</v>
      </c>
      <c r="AC7" s="72" t="s">
        <v>244</v>
      </c>
      <c r="AD7" s="83">
        <v>2018.1619318725568</v>
      </c>
      <c r="AE7" s="83">
        <v>2018.1619318725566</v>
      </c>
      <c r="AF7" s="33"/>
      <c r="AG7" s="72">
        <v>0.81525081827607682</v>
      </c>
      <c r="AH7" s="33">
        <v>1</v>
      </c>
      <c r="AI7" s="33">
        <v>0</v>
      </c>
      <c r="AJ7" s="33">
        <v>0</v>
      </c>
      <c r="AK7" s="33">
        <v>0</v>
      </c>
      <c r="AL7" s="33">
        <v>0</v>
      </c>
      <c r="AM7" s="33">
        <v>0</v>
      </c>
      <c r="AN7" s="33">
        <v>0</v>
      </c>
      <c r="AO7" s="33">
        <v>0</v>
      </c>
      <c r="AP7" s="33">
        <v>0</v>
      </c>
      <c r="AQ7" s="33">
        <v>0</v>
      </c>
      <c r="AR7" s="33">
        <v>0</v>
      </c>
      <c r="AS7" s="33">
        <v>0</v>
      </c>
      <c r="AT7" s="33">
        <v>0</v>
      </c>
      <c r="AU7" s="33">
        <v>0</v>
      </c>
      <c r="AV7" s="33">
        <v>0</v>
      </c>
    </row>
    <row r="8" spans="1:48" ht="15.75" thickBot="1">
      <c r="A8" s="33">
        <v>2010</v>
      </c>
      <c r="B8" s="94">
        <v>3.6999999999999998E-2</v>
      </c>
      <c r="C8" s="94">
        <v>0.112</v>
      </c>
      <c r="D8" s="94">
        <v>0</v>
      </c>
      <c r="E8" s="94">
        <v>0</v>
      </c>
      <c r="F8" s="94">
        <v>1.0900000000000001</v>
      </c>
      <c r="G8" s="94">
        <v>0</v>
      </c>
      <c r="H8" s="94">
        <v>0</v>
      </c>
      <c r="I8" s="94">
        <v>0.19</v>
      </c>
      <c r="J8" s="94">
        <v>0.14000000000000001</v>
      </c>
      <c r="K8" s="94">
        <v>0.28999999999999998</v>
      </c>
      <c r="L8" s="94">
        <v>1.7999999999999999E-2</v>
      </c>
      <c r="M8" s="94">
        <v>0.04</v>
      </c>
      <c r="N8" s="94">
        <v>2.44</v>
      </c>
      <c r="O8" s="94">
        <v>0.06</v>
      </c>
      <c r="P8" s="94">
        <v>0.12</v>
      </c>
      <c r="Q8" s="94">
        <v>0</v>
      </c>
      <c r="R8" s="94">
        <v>0.39</v>
      </c>
      <c r="S8" s="94">
        <v>7.2999999999999995E-2</v>
      </c>
      <c r="T8" s="94">
        <v>0.06</v>
      </c>
      <c r="U8" s="94">
        <v>0.123</v>
      </c>
      <c r="V8" s="94">
        <v>0.26</v>
      </c>
      <c r="W8" s="94">
        <v>1.19</v>
      </c>
      <c r="X8" s="94">
        <v>4.0000000000000001E-3</v>
      </c>
      <c r="Y8" s="94">
        <v>6.6369999999999987</v>
      </c>
      <c r="AB8" s="228"/>
      <c r="AC8" s="260" t="s">
        <v>1133</v>
      </c>
      <c r="AD8" s="83">
        <v>2013.1099537407679</v>
      </c>
      <c r="AE8" s="83">
        <v>2013.1852580973257</v>
      </c>
      <c r="AF8" s="33"/>
      <c r="AG8" s="72">
        <v>0.77374951993106611</v>
      </c>
      <c r="AH8" s="33">
        <v>0</v>
      </c>
      <c r="AI8" s="33">
        <v>0</v>
      </c>
      <c r="AJ8" s="33">
        <v>1</v>
      </c>
      <c r="AK8">
        <v>0</v>
      </c>
      <c r="AL8">
        <v>0</v>
      </c>
      <c r="AM8">
        <v>0</v>
      </c>
      <c r="AN8" s="33">
        <v>0</v>
      </c>
      <c r="AO8" s="33">
        <v>0</v>
      </c>
      <c r="AP8" s="33">
        <v>0</v>
      </c>
      <c r="AQ8" s="33">
        <v>0</v>
      </c>
      <c r="AR8" s="33">
        <v>0</v>
      </c>
      <c r="AS8" s="33">
        <v>0</v>
      </c>
      <c r="AT8" s="33">
        <v>0</v>
      </c>
      <c r="AU8" s="33">
        <v>0</v>
      </c>
      <c r="AV8" s="33">
        <v>0</v>
      </c>
    </row>
    <row r="9" spans="1:48">
      <c r="A9" s="33">
        <v>2011</v>
      </c>
      <c r="B9" s="94">
        <v>0.14799999999999999</v>
      </c>
      <c r="C9" s="94">
        <v>0.63100000000000001</v>
      </c>
      <c r="D9" s="94">
        <v>0.28799999999999998</v>
      </c>
      <c r="E9" s="94">
        <v>0.22</v>
      </c>
      <c r="F9" s="94">
        <v>4.75</v>
      </c>
      <c r="G9" s="94">
        <v>0.41499999999999998</v>
      </c>
      <c r="H9" s="94">
        <v>2.9000000000000001E-2</v>
      </c>
      <c r="I9" s="94">
        <v>2.63</v>
      </c>
      <c r="J9" s="94">
        <v>1.4</v>
      </c>
      <c r="K9" s="94">
        <v>0.40949999999999998</v>
      </c>
      <c r="L9" s="94">
        <v>4.5999999999999999E-2</v>
      </c>
      <c r="M9" s="94">
        <v>0.11700000000000001</v>
      </c>
      <c r="N9" s="94">
        <v>12.61</v>
      </c>
      <c r="O9" s="94">
        <v>0.27</v>
      </c>
      <c r="P9" s="94">
        <v>0.86</v>
      </c>
      <c r="Q9" s="94">
        <v>0</v>
      </c>
      <c r="R9" s="94">
        <v>1.84</v>
      </c>
      <c r="S9" s="94">
        <v>0.56799999999999995</v>
      </c>
      <c r="T9" s="94">
        <v>0.183</v>
      </c>
      <c r="U9" s="94">
        <v>0.39800000000000002</v>
      </c>
      <c r="V9" s="94">
        <v>1.21</v>
      </c>
      <c r="W9" s="94">
        <v>9.75</v>
      </c>
      <c r="X9" s="94">
        <v>0.43000000000000005</v>
      </c>
      <c r="Y9" s="94">
        <v>39.202500000000001</v>
      </c>
      <c r="AC9" s="33" t="s">
        <v>1132</v>
      </c>
      <c r="AD9" s="83">
        <v>2016.5345039542317</v>
      </c>
      <c r="AE9" s="83">
        <v>2016.4591995976739</v>
      </c>
      <c r="AF9" s="33"/>
      <c r="AG9" s="72">
        <v>1.077344717573552</v>
      </c>
      <c r="AH9" s="33">
        <v>0</v>
      </c>
      <c r="AI9" s="33">
        <v>0</v>
      </c>
      <c r="AJ9" s="33">
        <v>1</v>
      </c>
      <c r="AK9" s="33">
        <v>0</v>
      </c>
      <c r="AL9" s="33">
        <v>0</v>
      </c>
      <c r="AM9" s="33">
        <v>0</v>
      </c>
      <c r="AN9" s="33">
        <v>0</v>
      </c>
      <c r="AO9" s="33">
        <v>0</v>
      </c>
      <c r="AP9" s="33">
        <v>0</v>
      </c>
      <c r="AQ9" s="33">
        <v>0</v>
      </c>
      <c r="AR9" s="33">
        <v>0</v>
      </c>
      <c r="AS9" s="33">
        <v>0</v>
      </c>
      <c r="AT9" s="33">
        <v>0</v>
      </c>
      <c r="AU9" s="33">
        <v>0</v>
      </c>
      <c r="AV9" s="33">
        <v>0</v>
      </c>
    </row>
    <row r="10" spans="1:48">
      <c r="A10" s="33">
        <v>2012</v>
      </c>
      <c r="B10" s="94">
        <v>0.13</v>
      </c>
      <c r="C10" s="94">
        <v>0.42699999999999999</v>
      </c>
      <c r="D10" s="94">
        <v>0.58499999999999996</v>
      </c>
      <c r="E10" s="94">
        <v>0.62</v>
      </c>
      <c r="F10" s="94">
        <v>9.64</v>
      </c>
      <c r="G10" s="94">
        <v>0.47099999999999997</v>
      </c>
      <c r="H10" s="94">
        <v>5.0999999999999997E-2</v>
      </c>
      <c r="I10" s="94">
        <v>5.66</v>
      </c>
      <c r="J10" s="94">
        <v>2.21</v>
      </c>
      <c r="K10" s="94">
        <v>0.3</v>
      </c>
      <c r="L10" s="94">
        <v>0.13900000000000001</v>
      </c>
      <c r="M10" s="94">
        <v>0.50700000000000001</v>
      </c>
      <c r="N10" s="94">
        <v>13.47</v>
      </c>
      <c r="O10" s="94">
        <v>0.51</v>
      </c>
      <c r="P10" s="94">
        <v>0.79</v>
      </c>
      <c r="Q10" s="94">
        <v>0</v>
      </c>
      <c r="R10" s="94">
        <v>4.18</v>
      </c>
      <c r="S10" s="94">
        <v>0.443</v>
      </c>
      <c r="T10" s="94">
        <v>0.3</v>
      </c>
      <c r="U10" s="94">
        <v>0.46300000000000002</v>
      </c>
      <c r="V10" s="94">
        <v>1.71</v>
      </c>
      <c r="W10" s="94">
        <v>14.65</v>
      </c>
      <c r="X10" s="94">
        <v>0.88700000000000012</v>
      </c>
      <c r="Y10" s="94">
        <v>58.143000000000001</v>
      </c>
      <c r="AB10" s="31"/>
      <c r="AC10" s="33" t="s">
        <v>255</v>
      </c>
      <c r="AD10" s="83">
        <v>2021.6707626641812</v>
      </c>
      <c r="AE10" s="12">
        <v>2021.6707626641812</v>
      </c>
      <c r="AF10" s="33"/>
      <c r="AG10" s="72">
        <v>1.2384816719404439</v>
      </c>
      <c r="AH10" s="33">
        <v>0</v>
      </c>
      <c r="AI10" s="33">
        <v>0</v>
      </c>
      <c r="AJ10" s="33">
        <v>0</v>
      </c>
      <c r="AK10" s="33">
        <v>0</v>
      </c>
      <c r="AL10" s="33">
        <v>0</v>
      </c>
      <c r="AM10" s="33">
        <v>0</v>
      </c>
      <c r="AN10" s="33">
        <v>0</v>
      </c>
      <c r="AO10" s="33">
        <v>0</v>
      </c>
      <c r="AP10" s="33">
        <v>0</v>
      </c>
      <c r="AQ10" s="33">
        <v>0</v>
      </c>
      <c r="AR10" s="33">
        <v>0</v>
      </c>
      <c r="AS10" s="33">
        <v>0</v>
      </c>
      <c r="AT10" s="33">
        <v>0</v>
      </c>
      <c r="AU10" s="33">
        <v>0</v>
      </c>
      <c r="AV10" s="33">
        <v>1</v>
      </c>
    </row>
    <row r="11" spans="1:48">
      <c r="A11" s="33">
        <v>2013</v>
      </c>
      <c r="B11" s="94">
        <v>0.20699999999999999</v>
      </c>
      <c r="C11" s="94">
        <v>0.65400000000000003</v>
      </c>
      <c r="D11" s="94">
        <v>0.49399999999999999</v>
      </c>
      <c r="E11" s="94">
        <v>1.64</v>
      </c>
      <c r="F11" s="94">
        <v>14.61</v>
      </c>
      <c r="G11" s="94">
        <v>0.497</v>
      </c>
      <c r="H11" s="94">
        <v>0.05</v>
      </c>
      <c r="I11" s="94">
        <v>8.7799999999999994</v>
      </c>
      <c r="J11" s="94">
        <v>5.31</v>
      </c>
      <c r="K11" s="94">
        <v>0.41</v>
      </c>
      <c r="L11" s="94">
        <v>4.7E-2</v>
      </c>
      <c r="M11" s="94">
        <v>0.83599999999999997</v>
      </c>
      <c r="N11" s="94">
        <v>14.76</v>
      </c>
      <c r="O11" s="94">
        <v>0.6</v>
      </c>
      <c r="P11" s="94">
        <v>2.25</v>
      </c>
      <c r="Q11" s="94">
        <v>0.01</v>
      </c>
      <c r="R11" s="94">
        <v>8.1999999999999993</v>
      </c>
      <c r="S11" s="94">
        <v>0.92100000000000004</v>
      </c>
      <c r="T11" s="94">
        <v>0.44400000000000001</v>
      </c>
      <c r="U11" s="94">
        <v>1.127</v>
      </c>
      <c r="V11" s="94">
        <v>2.68</v>
      </c>
      <c r="W11" s="94">
        <v>47.69</v>
      </c>
      <c r="X11" s="94">
        <v>0.68400000000000016</v>
      </c>
      <c r="Y11" s="94">
        <v>112.901</v>
      </c>
      <c r="AC11" s="33" t="s">
        <v>539</v>
      </c>
      <c r="AD11" s="12">
        <v>2016.9574758290712</v>
      </c>
      <c r="AE11" s="12">
        <v>2016.9574758290712</v>
      </c>
      <c r="AG11" s="13">
        <v>1.087584438041759</v>
      </c>
      <c r="AH11">
        <v>0</v>
      </c>
      <c r="AI11">
        <v>0</v>
      </c>
      <c r="AJ11">
        <v>0</v>
      </c>
      <c r="AK11">
        <v>0</v>
      </c>
      <c r="AL11">
        <v>0</v>
      </c>
      <c r="AM11">
        <v>0</v>
      </c>
      <c r="AN11">
        <v>0</v>
      </c>
      <c r="AO11">
        <v>0</v>
      </c>
      <c r="AP11">
        <v>0</v>
      </c>
      <c r="AQ11">
        <v>0</v>
      </c>
      <c r="AR11" s="33">
        <v>0</v>
      </c>
      <c r="AS11" s="33">
        <v>1</v>
      </c>
      <c r="AT11" s="33">
        <v>0</v>
      </c>
      <c r="AU11" s="33">
        <v>0</v>
      </c>
      <c r="AV11" s="33">
        <v>0</v>
      </c>
    </row>
    <row r="12" spans="1:48">
      <c r="A12" s="33">
        <v>2014</v>
      </c>
      <c r="B12" s="94">
        <v>0.18</v>
      </c>
      <c r="C12" s="94">
        <v>1.2709999999999999</v>
      </c>
      <c r="D12" s="94">
        <v>1.169</v>
      </c>
      <c r="E12" s="94">
        <v>2.83</v>
      </c>
      <c r="F12" s="94">
        <v>48.91</v>
      </c>
      <c r="G12" s="94">
        <v>1.5329999999999999</v>
      </c>
      <c r="H12" s="94">
        <v>0.185</v>
      </c>
      <c r="I12" s="94">
        <v>10.57</v>
      </c>
      <c r="J12" s="94">
        <v>8.35</v>
      </c>
      <c r="K12" s="94">
        <v>0.65</v>
      </c>
      <c r="L12" s="94">
        <v>0.222</v>
      </c>
      <c r="M12" s="94">
        <v>1.075</v>
      </c>
      <c r="N12" s="94">
        <v>16.11</v>
      </c>
      <c r="O12" s="94">
        <v>1.31</v>
      </c>
      <c r="P12" s="94">
        <v>2.66</v>
      </c>
      <c r="Q12" s="94">
        <v>0.04</v>
      </c>
      <c r="R12" s="94">
        <v>18.09</v>
      </c>
      <c r="S12" s="94">
        <v>1.0349999999999999</v>
      </c>
      <c r="T12" s="94">
        <v>1.2030000000000001</v>
      </c>
      <c r="U12" s="94">
        <v>1.292</v>
      </c>
      <c r="V12" s="94">
        <v>6.81</v>
      </c>
      <c r="W12" s="94">
        <v>63.42</v>
      </c>
      <c r="X12" s="94">
        <v>1.7569999999999997</v>
      </c>
      <c r="Y12" s="94">
        <v>190.67200000000003</v>
      </c>
      <c r="AC12" s="33" t="s">
        <v>238</v>
      </c>
      <c r="AD12" s="12">
        <v>2016.8670958973294</v>
      </c>
      <c r="AE12" s="12">
        <v>2017.5250909359129</v>
      </c>
      <c r="AG12" s="13">
        <v>1.059861661655807</v>
      </c>
      <c r="AH12">
        <v>0</v>
      </c>
      <c r="AI12">
        <v>0</v>
      </c>
      <c r="AJ12">
        <v>0</v>
      </c>
      <c r="AK12">
        <v>0</v>
      </c>
      <c r="AL12">
        <v>0</v>
      </c>
      <c r="AM12">
        <v>0</v>
      </c>
      <c r="AN12" s="33">
        <v>0</v>
      </c>
      <c r="AO12" s="33">
        <v>0</v>
      </c>
      <c r="AP12" s="33">
        <v>0</v>
      </c>
      <c r="AQ12" s="33">
        <v>0</v>
      </c>
      <c r="AR12" s="33">
        <v>0</v>
      </c>
      <c r="AS12" s="33">
        <v>0</v>
      </c>
      <c r="AT12" s="33">
        <v>0</v>
      </c>
      <c r="AU12" s="33">
        <v>0</v>
      </c>
      <c r="AV12" s="33">
        <v>0</v>
      </c>
    </row>
    <row r="13" spans="1:48">
      <c r="A13" s="33">
        <v>2015</v>
      </c>
      <c r="B13" s="94">
        <v>0.55900000000000005</v>
      </c>
      <c r="C13" s="94">
        <v>1.677</v>
      </c>
      <c r="D13" s="94">
        <v>1.3580000000000001</v>
      </c>
      <c r="E13" s="94">
        <v>4.38</v>
      </c>
      <c r="F13" s="61">
        <v>146.72</v>
      </c>
      <c r="G13" s="94">
        <v>4.524</v>
      </c>
      <c r="H13" s="94">
        <v>0.24199999999999999</v>
      </c>
      <c r="I13" s="94">
        <v>17.27</v>
      </c>
      <c r="J13" s="94">
        <v>12.08</v>
      </c>
      <c r="K13" s="94">
        <v>0.82499999999999996</v>
      </c>
      <c r="L13" s="94">
        <v>0.46</v>
      </c>
      <c r="M13" s="94">
        <v>1.4510000000000001</v>
      </c>
      <c r="N13" s="94">
        <v>10.47</v>
      </c>
      <c r="O13" s="94">
        <v>2.92</v>
      </c>
      <c r="P13" s="94">
        <v>2.54</v>
      </c>
      <c r="Q13" s="94">
        <v>6.8000000000000005E-2</v>
      </c>
      <c r="R13" s="94">
        <v>27.79</v>
      </c>
      <c r="S13" s="94">
        <v>1.4219999999999999</v>
      </c>
      <c r="T13" s="94">
        <v>2.9780000000000002</v>
      </c>
      <c r="U13" s="94">
        <v>3.0649999999999999</v>
      </c>
      <c r="V13" s="94">
        <v>10.1</v>
      </c>
      <c r="W13" s="94">
        <v>71.040000000000006</v>
      </c>
      <c r="X13" s="94">
        <v>2.3250000000000002</v>
      </c>
      <c r="Y13" s="94">
        <v>326.26399999999995</v>
      </c>
      <c r="AC13" s="33" t="s">
        <v>239</v>
      </c>
      <c r="AD13" s="12">
        <v>2016.8206240858601</v>
      </c>
      <c r="AE13" s="12">
        <v>2016.8206240858601</v>
      </c>
      <c r="AG13" s="13">
        <v>0.83837128198464517</v>
      </c>
      <c r="AH13">
        <v>0</v>
      </c>
      <c r="AI13">
        <v>0</v>
      </c>
      <c r="AJ13">
        <v>0</v>
      </c>
      <c r="AK13">
        <v>1</v>
      </c>
      <c r="AL13">
        <v>0</v>
      </c>
      <c r="AM13">
        <v>0</v>
      </c>
      <c r="AN13" s="33">
        <v>0</v>
      </c>
      <c r="AO13" s="33">
        <v>0</v>
      </c>
      <c r="AP13" s="33">
        <v>0</v>
      </c>
      <c r="AQ13" s="33">
        <v>0</v>
      </c>
      <c r="AR13" s="33">
        <v>0</v>
      </c>
      <c r="AS13" s="33">
        <v>0</v>
      </c>
      <c r="AT13" s="33">
        <v>0</v>
      </c>
      <c r="AU13" s="33">
        <v>0</v>
      </c>
      <c r="AV13" s="33">
        <v>0</v>
      </c>
    </row>
    <row r="14" spans="1:48">
      <c r="A14" s="33">
        <v>2016</v>
      </c>
      <c r="B14" s="94">
        <v>0.9</v>
      </c>
      <c r="C14" s="94">
        <v>3.8260000000000001</v>
      </c>
      <c r="D14" s="94">
        <v>2.0539999999999998</v>
      </c>
      <c r="E14" s="94">
        <v>5.22</v>
      </c>
      <c r="F14" s="61">
        <v>257</v>
      </c>
      <c r="G14" s="94">
        <v>1.3120000000000001</v>
      </c>
      <c r="H14" s="94">
        <v>0.223</v>
      </c>
      <c r="I14" s="94">
        <v>21.751999999999999</v>
      </c>
      <c r="J14" s="94">
        <v>11.41</v>
      </c>
      <c r="K14" s="94">
        <v>1.4125000000000001</v>
      </c>
      <c r="L14" s="94">
        <v>0.39200000000000002</v>
      </c>
      <c r="M14" s="94">
        <v>1.377</v>
      </c>
      <c r="N14" s="94">
        <v>15.46</v>
      </c>
      <c r="O14" s="94">
        <v>5.0999999999999996</v>
      </c>
      <c r="P14" s="94">
        <v>4.2679999999999998</v>
      </c>
      <c r="Q14" s="94">
        <v>0.38300000000000001</v>
      </c>
      <c r="R14" s="94">
        <v>24.222000000000001</v>
      </c>
      <c r="S14" s="94">
        <v>2.0049999999999999</v>
      </c>
      <c r="T14" s="94">
        <v>2.9449999999999998</v>
      </c>
      <c r="U14" s="94">
        <v>3.2949999999999999</v>
      </c>
      <c r="V14" s="94">
        <v>10.263999999999999</v>
      </c>
      <c r="W14" s="94">
        <v>86.73</v>
      </c>
      <c r="X14" s="94">
        <v>2.4929999999999994</v>
      </c>
      <c r="Y14" s="94">
        <v>464.04350000000005</v>
      </c>
      <c r="AB14" t="s">
        <v>1147</v>
      </c>
      <c r="AC14" s="33" t="s">
        <v>1145</v>
      </c>
      <c r="AD14" s="12">
        <v>2015.6962336906015</v>
      </c>
      <c r="AE14" s="12">
        <v>2016.016445924917</v>
      </c>
      <c r="AG14" s="13">
        <v>0.61715258478212465</v>
      </c>
      <c r="AH14">
        <v>0</v>
      </c>
      <c r="AI14">
        <v>0</v>
      </c>
      <c r="AJ14">
        <v>0</v>
      </c>
      <c r="AK14">
        <v>0</v>
      </c>
      <c r="AL14">
        <v>1</v>
      </c>
      <c r="AM14">
        <v>0</v>
      </c>
      <c r="AN14" s="33">
        <v>0</v>
      </c>
      <c r="AO14" s="33">
        <v>0</v>
      </c>
      <c r="AP14" s="33">
        <v>0</v>
      </c>
      <c r="AQ14" s="33">
        <v>0</v>
      </c>
      <c r="AR14" s="33">
        <v>0</v>
      </c>
      <c r="AS14" s="33">
        <v>0</v>
      </c>
      <c r="AT14" s="33">
        <v>0</v>
      </c>
      <c r="AU14" s="33">
        <v>0</v>
      </c>
      <c r="AV14" s="33">
        <v>0</v>
      </c>
    </row>
    <row r="15" spans="1:48">
      <c r="A15" s="33">
        <v>2017</v>
      </c>
      <c r="B15" s="94">
        <v>1.2829999999999999</v>
      </c>
      <c r="C15" s="94">
        <v>5.4329999999999998</v>
      </c>
      <c r="D15" s="94">
        <v>2.7090000000000001</v>
      </c>
      <c r="E15" s="94">
        <v>9.8379999999999992</v>
      </c>
      <c r="F15" s="61">
        <v>468</v>
      </c>
      <c r="G15" s="94">
        <v>0.69799999999999995</v>
      </c>
      <c r="H15" s="94">
        <v>0.502</v>
      </c>
      <c r="I15" s="94">
        <v>24.91</v>
      </c>
      <c r="J15" s="94">
        <v>25.056000000000001</v>
      </c>
      <c r="K15" s="94">
        <v>2</v>
      </c>
      <c r="L15" s="94">
        <v>0.622</v>
      </c>
      <c r="M15" s="94">
        <v>1.9670000000000001</v>
      </c>
      <c r="N15" s="94">
        <v>21.84</v>
      </c>
      <c r="O15" s="94">
        <v>11.81</v>
      </c>
      <c r="P15" s="94">
        <v>9.8970000000000002</v>
      </c>
      <c r="Q15" s="94">
        <v>0.68700000000000006</v>
      </c>
      <c r="R15" s="94">
        <v>33.024999999999999</v>
      </c>
      <c r="S15" s="94">
        <v>3.92</v>
      </c>
      <c r="T15" s="94">
        <v>4.2169999999999996</v>
      </c>
      <c r="U15" s="94">
        <v>4.7729999999999997</v>
      </c>
      <c r="V15" s="94">
        <v>13.597</v>
      </c>
      <c r="W15" s="94">
        <v>104.48699999999999</v>
      </c>
      <c r="X15" s="94">
        <v>5.8170000000000002</v>
      </c>
      <c r="Y15" s="94">
        <v>757.08799999999985</v>
      </c>
      <c r="AC15" s="33" t="s">
        <v>1146</v>
      </c>
      <c r="AD15" s="12">
        <v>2020.3330475950395</v>
      </c>
      <c r="AE15" s="12">
        <v>2020.012835360724</v>
      </c>
      <c r="AG15" s="13">
        <v>0.98774095372248583</v>
      </c>
      <c r="AH15">
        <v>0</v>
      </c>
      <c r="AI15">
        <v>0</v>
      </c>
      <c r="AJ15">
        <v>0</v>
      </c>
      <c r="AK15">
        <v>0</v>
      </c>
      <c r="AL15">
        <v>1</v>
      </c>
      <c r="AM15">
        <v>0</v>
      </c>
      <c r="AN15" s="33">
        <v>0</v>
      </c>
      <c r="AO15" s="33">
        <v>0</v>
      </c>
      <c r="AP15" s="33">
        <v>0</v>
      </c>
      <c r="AQ15" s="33">
        <v>0</v>
      </c>
      <c r="AR15" s="33">
        <v>0</v>
      </c>
      <c r="AS15" s="33">
        <v>0</v>
      </c>
      <c r="AT15" s="33">
        <v>0</v>
      </c>
      <c r="AU15" s="33">
        <v>0</v>
      </c>
      <c r="AV15" s="33">
        <v>0</v>
      </c>
    </row>
    <row r="16" spans="1:48">
      <c r="AC16" s="33" t="s">
        <v>544</v>
      </c>
      <c r="AD16" s="12">
        <v>2019.2343404313958</v>
      </c>
      <c r="AE16" s="12">
        <v>2019.2343404313958</v>
      </c>
      <c r="AG16" s="13">
        <v>0.88840245924441641</v>
      </c>
      <c r="AH16">
        <v>0</v>
      </c>
      <c r="AI16">
        <v>0</v>
      </c>
      <c r="AJ16">
        <v>0</v>
      </c>
      <c r="AK16">
        <v>0</v>
      </c>
      <c r="AL16">
        <v>0</v>
      </c>
      <c r="AM16">
        <v>1</v>
      </c>
      <c r="AN16" s="33">
        <v>0</v>
      </c>
      <c r="AO16" s="33">
        <v>0</v>
      </c>
      <c r="AP16" s="33">
        <v>0</v>
      </c>
      <c r="AQ16" s="33">
        <v>0</v>
      </c>
      <c r="AR16" s="33">
        <v>0</v>
      </c>
      <c r="AS16" s="33">
        <v>0</v>
      </c>
      <c r="AT16" s="33">
        <v>0</v>
      </c>
      <c r="AU16" s="33">
        <v>0</v>
      </c>
      <c r="AV16" s="33">
        <v>0</v>
      </c>
    </row>
    <row r="17" spans="1:48">
      <c r="A17" s="33"/>
      <c r="B17" s="33"/>
      <c r="C17" s="33"/>
      <c r="D17" s="33"/>
      <c r="E17" s="33" t="s">
        <v>302</v>
      </c>
      <c r="F17" s="33"/>
      <c r="G17" s="33"/>
      <c r="H17" s="33"/>
      <c r="I17" s="33"/>
      <c r="J17" t="s">
        <v>251</v>
      </c>
      <c r="AC17" s="33" t="s">
        <v>684</v>
      </c>
      <c r="AD17" s="12">
        <v>2020.9080263450765</v>
      </c>
      <c r="AE17" s="12">
        <v>2020.9080263450765</v>
      </c>
      <c r="AG17" s="13">
        <v>1.1973314151843735</v>
      </c>
      <c r="AH17">
        <v>0</v>
      </c>
      <c r="AI17">
        <v>0</v>
      </c>
      <c r="AJ17">
        <v>0</v>
      </c>
      <c r="AK17">
        <v>0</v>
      </c>
      <c r="AL17">
        <v>0</v>
      </c>
      <c r="AM17">
        <v>0</v>
      </c>
      <c r="AN17" s="33">
        <v>1</v>
      </c>
      <c r="AO17" s="33">
        <v>0</v>
      </c>
      <c r="AP17" s="33">
        <v>0</v>
      </c>
      <c r="AQ17" s="33">
        <v>0</v>
      </c>
      <c r="AR17" s="33">
        <v>0</v>
      </c>
      <c r="AS17" s="33">
        <v>0</v>
      </c>
      <c r="AT17" s="33">
        <v>0</v>
      </c>
      <c r="AU17" s="33">
        <v>0</v>
      </c>
      <c r="AV17" s="33">
        <v>0</v>
      </c>
    </row>
    <row r="18" spans="1:48">
      <c r="A18" s="79"/>
      <c r="B18" s="143" t="s">
        <v>255</v>
      </c>
      <c r="C18" s="143" t="s">
        <v>539</v>
      </c>
      <c r="D18" s="143" t="s">
        <v>540</v>
      </c>
      <c r="E18" s="143" t="s">
        <v>238</v>
      </c>
      <c r="F18" s="143" t="s">
        <v>239</v>
      </c>
      <c r="G18" s="143" t="s">
        <v>541</v>
      </c>
      <c r="H18" s="143" t="s">
        <v>542</v>
      </c>
      <c r="I18" s="143" t="s">
        <v>240</v>
      </c>
      <c r="J18" s="149" t="s">
        <v>241</v>
      </c>
      <c r="K18" s="149" t="s">
        <v>242</v>
      </c>
      <c r="L18" s="149" t="s">
        <v>544</v>
      </c>
      <c r="M18" s="7" t="s">
        <v>538</v>
      </c>
      <c r="N18" s="149" t="s">
        <v>243</v>
      </c>
      <c r="O18" s="149" t="s">
        <v>244</v>
      </c>
      <c r="P18" s="149" t="s">
        <v>245</v>
      </c>
      <c r="Q18" s="150" t="s">
        <v>331</v>
      </c>
      <c r="R18" s="149" t="s">
        <v>246</v>
      </c>
      <c r="S18" s="149" t="s">
        <v>545</v>
      </c>
      <c r="T18" s="149" t="s">
        <v>247</v>
      </c>
      <c r="U18" s="149" t="s">
        <v>546</v>
      </c>
      <c r="V18" s="149" t="s">
        <v>248</v>
      </c>
      <c r="W18" s="149" t="s">
        <v>249</v>
      </c>
      <c r="X18" s="143" t="s">
        <v>648</v>
      </c>
      <c r="Y18" s="149" t="s">
        <v>158</v>
      </c>
      <c r="AC18" s="33" t="s">
        <v>685</v>
      </c>
      <c r="AD18" s="12">
        <v>2014.5322870015141</v>
      </c>
      <c r="AE18" s="12">
        <v>2015.0637270397592</v>
      </c>
      <c r="AG18" s="13">
        <v>0.83161743113324038</v>
      </c>
      <c r="AH18">
        <v>0</v>
      </c>
      <c r="AI18">
        <v>0</v>
      </c>
      <c r="AJ18">
        <v>0</v>
      </c>
      <c r="AK18">
        <v>0</v>
      </c>
      <c r="AL18">
        <v>0</v>
      </c>
      <c r="AM18">
        <v>0</v>
      </c>
      <c r="AN18" s="33">
        <v>0</v>
      </c>
      <c r="AO18" s="33">
        <v>0</v>
      </c>
      <c r="AP18" s="33">
        <v>0</v>
      </c>
      <c r="AQ18" s="33">
        <v>0</v>
      </c>
      <c r="AR18" s="33">
        <v>0</v>
      </c>
      <c r="AS18" s="33">
        <v>0</v>
      </c>
      <c r="AT18" s="33">
        <v>0</v>
      </c>
      <c r="AU18" s="33">
        <v>0</v>
      </c>
      <c r="AV18" s="33">
        <v>0</v>
      </c>
    </row>
    <row r="19" spans="1:48">
      <c r="A19" s="33">
        <v>2005</v>
      </c>
      <c r="B19" s="94">
        <v>0</v>
      </c>
      <c r="C19" s="94">
        <v>0</v>
      </c>
      <c r="D19" s="94">
        <v>0</v>
      </c>
      <c r="E19" s="94">
        <v>0</v>
      </c>
      <c r="F19" s="94">
        <v>0</v>
      </c>
      <c r="G19" s="94">
        <v>0</v>
      </c>
      <c r="H19" s="94">
        <v>0</v>
      </c>
      <c r="I19" s="94">
        <v>0</v>
      </c>
      <c r="J19" s="84">
        <v>0</v>
      </c>
      <c r="K19" s="84">
        <v>0</v>
      </c>
      <c r="L19" s="84">
        <v>0</v>
      </c>
      <c r="M19" s="84">
        <v>0</v>
      </c>
      <c r="N19" s="84">
        <v>0</v>
      </c>
      <c r="O19" s="84">
        <v>0</v>
      </c>
      <c r="P19" s="84">
        <v>0</v>
      </c>
      <c r="Q19" s="84">
        <v>0</v>
      </c>
      <c r="R19" s="84">
        <v>0</v>
      </c>
      <c r="S19" s="84">
        <v>0</v>
      </c>
      <c r="T19" s="84">
        <v>0</v>
      </c>
      <c r="U19" s="84">
        <v>0</v>
      </c>
      <c r="V19" s="84">
        <v>0</v>
      </c>
      <c r="W19" s="84">
        <v>0</v>
      </c>
      <c r="X19" s="84">
        <v>0</v>
      </c>
      <c r="Y19" s="84">
        <v>0</v>
      </c>
      <c r="AB19" s="31"/>
      <c r="AC19" s="33" t="s">
        <v>546</v>
      </c>
      <c r="AD19" s="12">
        <v>2016.0623384192609</v>
      </c>
      <c r="AE19" s="12">
        <v>2016.0623384192609</v>
      </c>
      <c r="AG19" s="13">
        <v>1.1193410917942783</v>
      </c>
      <c r="AH19">
        <v>0</v>
      </c>
      <c r="AI19">
        <v>0</v>
      </c>
      <c r="AJ19">
        <v>0</v>
      </c>
      <c r="AK19">
        <v>0</v>
      </c>
      <c r="AL19">
        <v>0</v>
      </c>
      <c r="AM19">
        <v>0</v>
      </c>
      <c r="AN19" s="33">
        <v>0</v>
      </c>
      <c r="AO19" s="33">
        <v>1</v>
      </c>
      <c r="AP19" s="33">
        <v>0</v>
      </c>
      <c r="AQ19" s="33">
        <v>0</v>
      </c>
      <c r="AR19" s="33">
        <v>0</v>
      </c>
      <c r="AS19" s="33">
        <v>0</v>
      </c>
      <c r="AT19" s="33">
        <v>0</v>
      </c>
      <c r="AU19" s="33">
        <v>0</v>
      </c>
      <c r="AV19" s="33">
        <v>0</v>
      </c>
    </row>
    <row r="20" spans="1:48" ht="15.75" thickBot="1">
      <c r="A20" s="33">
        <v>2006</v>
      </c>
      <c r="B20" s="94">
        <v>0</v>
      </c>
      <c r="C20" s="94">
        <v>0</v>
      </c>
      <c r="D20" s="94">
        <v>0</v>
      </c>
      <c r="E20" s="94">
        <v>0</v>
      </c>
      <c r="F20" s="94">
        <v>0</v>
      </c>
      <c r="G20" s="94">
        <v>0</v>
      </c>
      <c r="H20" s="94">
        <v>0</v>
      </c>
      <c r="I20" s="94">
        <v>0</v>
      </c>
      <c r="J20" s="84">
        <v>0</v>
      </c>
      <c r="K20" s="84">
        <v>0</v>
      </c>
      <c r="L20" s="84">
        <v>0</v>
      </c>
      <c r="M20" s="84">
        <v>0</v>
      </c>
      <c r="N20" s="84">
        <v>0</v>
      </c>
      <c r="O20" s="84">
        <v>0</v>
      </c>
      <c r="P20" s="84">
        <v>0</v>
      </c>
      <c r="Q20" s="84">
        <v>0</v>
      </c>
      <c r="R20" s="84">
        <v>0</v>
      </c>
      <c r="S20" s="84">
        <v>0</v>
      </c>
      <c r="T20" s="84">
        <v>0</v>
      </c>
      <c r="U20" s="84">
        <v>0</v>
      </c>
      <c r="V20" s="84">
        <v>0</v>
      </c>
      <c r="W20" s="84">
        <v>0</v>
      </c>
      <c r="X20" s="84">
        <v>0</v>
      </c>
      <c r="Y20" s="84">
        <v>0</v>
      </c>
      <c r="AB20" s="228"/>
      <c r="AC20" s="261" t="s">
        <v>248</v>
      </c>
      <c r="AD20" s="12">
        <v>2017.3629305135437</v>
      </c>
      <c r="AE20" s="12">
        <v>2017.3629305135437</v>
      </c>
      <c r="AF20" s="12"/>
      <c r="AG20" s="13">
        <v>0.79188404015234848</v>
      </c>
      <c r="AH20">
        <v>0</v>
      </c>
      <c r="AI20">
        <v>1</v>
      </c>
      <c r="AJ20">
        <v>0</v>
      </c>
      <c r="AK20" s="33">
        <v>0</v>
      </c>
      <c r="AL20" s="33">
        <v>0</v>
      </c>
      <c r="AM20" s="33">
        <v>0</v>
      </c>
      <c r="AN20" s="33">
        <v>0</v>
      </c>
      <c r="AO20" s="33">
        <v>0</v>
      </c>
      <c r="AP20" s="33">
        <v>0</v>
      </c>
      <c r="AQ20" s="33">
        <v>0</v>
      </c>
      <c r="AR20" s="33">
        <v>0</v>
      </c>
      <c r="AS20" s="33">
        <v>0</v>
      </c>
      <c r="AT20" s="33">
        <v>0</v>
      </c>
      <c r="AU20" s="33">
        <v>0</v>
      </c>
      <c r="AV20" s="33">
        <v>0</v>
      </c>
    </row>
    <row r="21" spans="1:48">
      <c r="A21" s="33">
        <v>2007</v>
      </c>
      <c r="B21" s="94">
        <v>0</v>
      </c>
      <c r="C21" s="94">
        <v>0</v>
      </c>
      <c r="D21" s="94">
        <v>0</v>
      </c>
      <c r="E21" s="94">
        <v>0</v>
      </c>
      <c r="F21" s="94">
        <v>0</v>
      </c>
      <c r="G21" s="94">
        <v>0</v>
      </c>
      <c r="H21" s="94">
        <v>0</v>
      </c>
      <c r="I21" s="94">
        <v>0</v>
      </c>
      <c r="J21" s="84">
        <v>0</v>
      </c>
      <c r="K21" s="84">
        <v>0</v>
      </c>
      <c r="L21" s="84">
        <v>0</v>
      </c>
      <c r="M21" s="84">
        <v>0</v>
      </c>
      <c r="N21" s="84">
        <v>0</v>
      </c>
      <c r="O21" s="84">
        <v>0</v>
      </c>
      <c r="P21" s="84">
        <v>0</v>
      </c>
      <c r="Q21" s="84">
        <v>0</v>
      </c>
      <c r="R21" s="84">
        <v>0</v>
      </c>
      <c r="S21" s="84">
        <v>0</v>
      </c>
      <c r="T21" s="84">
        <v>0</v>
      </c>
      <c r="U21" s="84">
        <v>0</v>
      </c>
      <c r="V21" s="84">
        <v>0</v>
      </c>
      <c r="W21" s="84">
        <v>0</v>
      </c>
      <c r="X21" s="84">
        <v>0</v>
      </c>
      <c r="Y21" s="84">
        <v>0</v>
      </c>
      <c r="AC21" s="33" t="s">
        <v>240</v>
      </c>
      <c r="AD21" s="12">
        <v>2017.7386567954632</v>
      </c>
      <c r="AE21" s="12">
        <v>2016.8831642903697</v>
      </c>
      <c r="AG21" s="13">
        <v>1.0003352935747243</v>
      </c>
      <c r="AH21">
        <v>0</v>
      </c>
      <c r="AI21">
        <v>0</v>
      </c>
      <c r="AJ21">
        <v>0</v>
      </c>
      <c r="AK21">
        <v>0</v>
      </c>
      <c r="AL21">
        <v>0</v>
      </c>
      <c r="AM21">
        <v>0</v>
      </c>
      <c r="AN21" s="33">
        <v>0</v>
      </c>
      <c r="AO21" s="33">
        <v>0</v>
      </c>
      <c r="AP21" s="33">
        <v>0</v>
      </c>
      <c r="AQ21" s="33">
        <v>0</v>
      </c>
      <c r="AR21" s="33">
        <v>0</v>
      </c>
      <c r="AS21" s="33">
        <v>0</v>
      </c>
      <c r="AT21" s="33">
        <v>0</v>
      </c>
      <c r="AU21" s="33">
        <v>0</v>
      </c>
      <c r="AV21" s="33">
        <v>0</v>
      </c>
    </row>
    <row r="22" spans="1:48">
      <c r="A22" s="33">
        <v>2008</v>
      </c>
      <c r="B22" s="94">
        <v>0</v>
      </c>
      <c r="C22" s="94">
        <v>0</v>
      </c>
      <c r="D22" s="94">
        <v>0</v>
      </c>
      <c r="E22" s="94">
        <v>0</v>
      </c>
      <c r="F22" s="94">
        <v>0</v>
      </c>
      <c r="G22" s="94">
        <v>0</v>
      </c>
      <c r="H22" s="94">
        <v>0</v>
      </c>
      <c r="I22" s="94">
        <v>0</v>
      </c>
      <c r="J22" s="84">
        <v>0</v>
      </c>
      <c r="K22" s="84">
        <v>0</v>
      </c>
      <c r="L22" s="84">
        <v>0</v>
      </c>
      <c r="M22" s="84">
        <v>0</v>
      </c>
      <c r="N22" s="84">
        <v>0</v>
      </c>
      <c r="O22" s="84">
        <v>0</v>
      </c>
      <c r="P22" s="84">
        <v>0</v>
      </c>
      <c r="Q22" s="84">
        <v>0</v>
      </c>
      <c r="R22" s="84">
        <v>0</v>
      </c>
      <c r="S22" s="84">
        <v>0</v>
      </c>
      <c r="T22" s="84">
        <v>0</v>
      </c>
      <c r="U22" s="84">
        <v>0</v>
      </c>
      <c r="V22" s="84">
        <v>0</v>
      </c>
      <c r="W22" s="84">
        <v>0</v>
      </c>
      <c r="X22" s="84">
        <v>0</v>
      </c>
      <c r="Y22" s="84">
        <v>0</v>
      </c>
      <c r="AB22" s="31"/>
      <c r="AC22" s="33" t="s">
        <v>242</v>
      </c>
      <c r="AD22" s="12">
        <v>2027.3040095358092</v>
      </c>
      <c r="AE22" s="12">
        <v>2027.3040095358092</v>
      </c>
      <c r="AG22" s="13">
        <v>1.1884818570030606</v>
      </c>
      <c r="AH22">
        <v>0</v>
      </c>
      <c r="AI22">
        <v>0</v>
      </c>
      <c r="AJ22">
        <v>0</v>
      </c>
      <c r="AK22">
        <v>0</v>
      </c>
      <c r="AL22">
        <v>0</v>
      </c>
      <c r="AM22">
        <v>0</v>
      </c>
      <c r="AN22" s="33">
        <v>0</v>
      </c>
      <c r="AO22" s="33">
        <v>0</v>
      </c>
      <c r="AP22" s="33">
        <v>0</v>
      </c>
      <c r="AQ22" s="33">
        <v>1</v>
      </c>
      <c r="AR22" s="33">
        <v>0</v>
      </c>
      <c r="AS22" s="33">
        <v>0</v>
      </c>
      <c r="AT22" s="33">
        <v>0</v>
      </c>
      <c r="AU22" s="33">
        <v>0</v>
      </c>
      <c r="AV22" s="33">
        <v>0</v>
      </c>
    </row>
    <row r="23" spans="1:48">
      <c r="A23" s="33">
        <v>2009</v>
      </c>
      <c r="B23" s="94">
        <v>0</v>
      </c>
      <c r="C23" s="94">
        <v>0</v>
      </c>
      <c r="D23" s="94">
        <v>0</v>
      </c>
      <c r="E23" s="94">
        <v>0</v>
      </c>
      <c r="F23" s="94">
        <v>0</v>
      </c>
      <c r="G23" s="94">
        <v>0</v>
      </c>
      <c r="H23" s="94">
        <v>0</v>
      </c>
      <c r="I23" s="94">
        <v>0</v>
      </c>
      <c r="J23" s="84">
        <v>0</v>
      </c>
      <c r="K23" s="84">
        <v>0.44</v>
      </c>
      <c r="L23" s="84">
        <v>0</v>
      </c>
      <c r="M23" s="84">
        <v>0</v>
      </c>
      <c r="N23" s="84">
        <v>4.0000000000000036E-3</v>
      </c>
      <c r="O23" s="84">
        <v>0</v>
      </c>
      <c r="P23" s="84">
        <v>0</v>
      </c>
      <c r="Q23" s="84">
        <v>0</v>
      </c>
      <c r="R23" s="84">
        <v>4.0000000000000036E-3</v>
      </c>
      <c r="S23" s="84">
        <v>0</v>
      </c>
      <c r="T23" s="84">
        <v>0</v>
      </c>
      <c r="U23" s="84">
        <v>0</v>
      </c>
      <c r="V23" s="84">
        <v>0</v>
      </c>
      <c r="W23" s="84">
        <v>0</v>
      </c>
      <c r="X23" s="84">
        <v>0</v>
      </c>
      <c r="Y23" s="84">
        <v>0.44800000000000001</v>
      </c>
      <c r="AC23" s="33" t="s">
        <v>538</v>
      </c>
      <c r="AD23" s="12">
        <v>2020.7573164804394</v>
      </c>
      <c r="AE23" s="12">
        <v>2020.7573164804394</v>
      </c>
      <c r="AG23" s="13">
        <v>1.1693614258505789</v>
      </c>
      <c r="AH23">
        <v>0</v>
      </c>
      <c r="AI23">
        <v>0</v>
      </c>
      <c r="AJ23">
        <v>0</v>
      </c>
      <c r="AK23">
        <v>0</v>
      </c>
      <c r="AL23">
        <v>0</v>
      </c>
      <c r="AM23">
        <v>0</v>
      </c>
      <c r="AN23" s="33">
        <v>0</v>
      </c>
      <c r="AO23" s="33">
        <v>0</v>
      </c>
      <c r="AP23" s="33">
        <v>0</v>
      </c>
      <c r="AQ23" s="33">
        <v>0</v>
      </c>
      <c r="AR23" s="33">
        <v>0</v>
      </c>
      <c r="AS23" s="33">
        <v>0</v>
      </c>
      <c r="AT23" s="33">
        <v>1</v>
      </c>
      <c r="AU23" s="33">
        <v>0</v>
      </c>
      <c r="AV23" s="33">
        <v>0</v>
      </c>
    </row>
    <row r="24" spans="1:48">
      <c r="A24" s="33">
        <v>2010</v>
      </c>
      <c r="B24" s="94">
        <v>3.0000000000000001E-3</v>
      </c>
      <c r="C24" s="94">
        <v>0</v>
      </c>
      <c r="D24" s="94">
        <v>0</v>
      </c>
      <c r="E24" s="94">
        <v>0</v>
      </c>
      <c r="F24" s="94">
        <v>0.33999999999999986</v>
      </c>
      <c r="G24" s="94">
        <v>0</v>
      </c>
      <c r="H24" s="94">
        <v>0</v>
      </c>
      <c r="I24" s="94">
        <v>0</v>
      </c>
      <c r="J24" s="84">
        <v>0</v>
      </c>
      <c r="K24" s="84">
        <v>0.88</v>
      </c>
      <c r="L24" s="84">
        <v>0</v>
      </c>
      <c r="M24" s="84">
        <v>0</v>
      </c>
      <c r="N24" s="84">
        <v>0</v>
      </c>
      <c r="O24" s="84">
        <v>0</v>
      </c>
      <c r="P24" s="84">
        <v>0</v>
      </c>
      <c r="Q24" s="84">
        <v>0</v>
      </c>
      <c r="R24" s="84">
        <v>0</v>
      </c>
      <c r="S24" s="84">
        <v>0</v>
      </c>
      <c r="T24" s="84">
        <v>0</v>
      </c>
      <c r="U24" s="84">
        <v>0</v>
      </c>
      <c r="V24" s="84">
        <v>2.0000000000000018E-2</v>
      </c>
      <c r="W24" s="84">
        <v>0</v>
      </c>
      <c r="X24" s="84">
        <v>0</v>
      </c>
      <c r="Y24" s="84">
        <v>1.2429999999999999</v>
      </c>
      <c r="AC24" s="33" t="s">
        <v>243</v>
      </c>
      <c r="AD24" s="12">
        <v>2019.7106232622343</v>
      </c>
      <c r="AE24" s="12">
        <v>2019.7106232622343</v>
      </c>
      <c r="AG24" s="13">
        <v>0.88280546779102798</v>
      </c>
      <c r="AH24">
        <v>0</v>
      </c>
      <c r="AI24">
        <v>0</v>
      </c>
      <c r="AJ24">
        <v>0</v>
      </c>
      <c r="AK24">
        <v>0</v>
      </c>
      <c r="AL24">
        <v>0</v>
      </c>
      <c r="AM24">
        <v>0</v>
      </c>
      <c r="AN24">
        <v>0</v>
      </c>
      <c r="AO24">
        <v>0</v>
      </c>
      <c r="AP24" s="33">
        <v>0</v>
      </c>
      <c r="AQ24">
        <v>0</v>
      </c>
      <c r="AR24" s="33">
        <v>0</v>
      </c>
      <c r="AS24" s="33">
        <v>0</v>
      </c>
      <c r="AT24" s="33">
        <v>0</v>
      </c>
      <c r="AU24" s="33">
        <v>1</v>
      </c>
      <c r="AV24" s="33">
        <v>0</v>
      </c>
    </row>
    <row r="25" spans="1:48">
      <c r="A25" s="33">
        <v>2011</v>
      </c>
      <c r="B25" s="94">
        <v>4.0000000000000001E-3</v>
      </c>
      <c r="C25" s="94">
        <v>0</v>
      </c>
      <c r="D25" s="94">
        <v>0</v>
      </c>
      <c r="E25" s="94">
        <v>0.30000000000000004</v>
      </c>
      <c r="F25" s="94">
        <v>0.32000000000000028</v>
      </c>
      <c r="G25" s="94">
        <v>0</v>
      </c>
      <c r="H25" s="94">
        <v>0</v>
      </c>
      <c r="I25" s="94">
        <v>0.10000000000000009</v>
      </c>
      <c r="J25" s="84">
        <v>0.25</v>
      </c>
      <c r="K25" s="84">
        <v>1.33</v>
      </c>
      <c r="L25" s="84">
        <v>0</v>
      </c>
      <c r="M25" s="84">
        <v>0</v>
      </c>
      <c r="N25" s="84">
        <v>9.9999999999997868E-3</v>
      </c>
      <c r="O25" s="84">
        <v>0</v>
      </c>
      <c r="P25" s="84">
        <v>2.0000000000000018E-2</v>
      </c>
      <c r="Q25" s="84">
        <v>0</v>
      </c>
      <c r="R25" s="84">
        <v>0</v>
      </c>
      <c r="S25" s="84">
        <v>8.0000000000000002E-3</v>
      </c>
      <c r="T25" s="84">
        <v>0</v>
      </c>
      <c r="U25" s="84">
        <v>3.7999999999999999E-2</v>
      </c>
      <c r="V25" s="84">
        <v>1.0000000000000009E-2</v>
      </c>
      <c r="W25" s="84">
        <v>7.98</v>
      </c>
      <c r="X25" s="84">
        <v>1.7000000000000001E-2</v>
      </c>
      <c r="Y25" s="84">
        <v>10.387</v>
      </c>
      <c r="AB25" t="s">
        <v>1150</v>
      </c>
      <c r="AC25" s="33" t="s">
        <v>545</v>
      </c>
      <c r="AD25" s="12">
        <v>2021.640076145691</v>
      </c>
      <c r="AE25" s="12">
        <v>2021.640076145691</v>
      </c>
      <c r="AG25" s="13">
        <v>1.0318729025750819</v>
      </c>
      <c r="AH25">
        <v>0</v>
      </c>
      <c r="AI25">
        <v>0</v>
      </c>
      <c r="AJ25">
        <v>0</v>
      </c>
      <c r="AK25">
        <v>0</v>
      </c>
      <c r="AL25">
        <v>0</v>
      </c>
      <c r="AM25">
        <v>0</v>
      </c>
      <c r="AN25" s="33">
        <v>0</v>
      </c>
      <c r="AO25" s="33">
        <v>0</v>
      </c>
      <c r="AP25" s="33">
        <v>1</v>
      </c>
      <c r="AQ25" s="33">
        <v>0</v>
      </c>
      <c r="AR25" s="33">
        <v>0</v>
      </c>
      <c r="AS25" s="33">
        <v>0</v>
      </c>
      <c r="AT25" s="33">
        <v>0</v>
      </c>
      <c r="AU25" s="33">
        <v>0</v>
      </c>
      <c r="AV25" s="33">
        <v>0</v>
      </c>
    </row>
    <row r="26" spans="1:48">
      <c r="A26" s="33">
        <v>2012</v>
      </c>
      <c r="B26" s="94">
        <v>3.0000000000000001E-3</v>
      </c>
      <c r="C26" s="94">
        <v>0.26700000000000002</v>
      </c>
      <c r="D26" s="94">
        <v>0.32600000000000001</v>
      </c>
      <c r="E26" s="94">
        <v>1.4</v>
      </c>
      <c r="F26" s="94">
        <v>0.25999999999999979</v>
      </c>
      <c r="G26" s="94">
        <v>3.3000000000000002E-2</v>
      </c>
      <c r="H26" s="94">
        <v>0.128</v>
      </c>
      <c r="I26" s="94">
        <v>0.59999999999999964</v>
      </c>
      <c r="J26" s="84">
        <v>1.1600000000000001</v>
      </c>
      <c r="K26" s="84">
        <v>2.76</v>
      </c>
      <c r="L26" s="84">
        <v>0</v>
      </c>
      <c r="M26" s="84">
        <v>0.14499999999999999</v>
      </c>
      <c r="N26" s="84">
        <v>10.97</v>
      </c>
      <c r="O26" s="84">
        <v>0</v>
      </c>
      <c r="P26" s="84">
        <v>4.33</v>
      </c>
      <c r="Q26" s="84">
        <v>0</v>
      </c>
      <c r="R26" s="84">
        <v>0.33000000000000007</v>
      </c>
      <c r="S26" s="84">
        <v>0.109</v>
      </c>
      <c r="T26" s="84">
        <v>0.65700000000000003</v>
      </c>
      <c r="U26" s="84">
        <v>0.39400000000000002</v>
      </c>
      <c r="V26" s="84">
        <v>0.98</v>
      </c>
      <c r="W26" s="84">
        <v>38.590000000000003</v>
      </c>
      <c r="X26" s="84">
        <v>0.14414285714285716</v>
      </c>
      <c r="Y26" s="84">
        <v>63.58614285714286</v>
      </c>
      <c r="AC26" s="33" t="s">
        <v>249</v>
      </c>
      <c r="AD26" s="12">
        <v>2017.485814631053</v>
      </c>
      <c r="AE26" s="12">
        <v>2017.485814631053</v>
      </c>
      <c r="AG26" s="13">
        <v>0.85789725124348437</v>
      </c>
      <c r="AH26">
        <v>0</v>
      </c>
      <c r="AI26">
        <v>0</v>
      </c>
      <c r="AJ26">
        <v>0</v>
      </c>
      <c r="AK26">
        <v>0</v>
      </c>
      <c r="AL26">
        <v>0</v>
      </c>
      <c r="AM26">
        <v>0</v>
      </c>
      <c r="AN26" s="33">
        <v>0</v>
      </c>
      <c r="AO26" s="33">
        <v>0</v>
      </c>
      <c r="AP26" s="33">
        <v>0</v>
      </c>
      <c r="AQ26" s="33">
        <v>0</v>
      </c>
      <c r="AR26" s="33">
        <v>1</v>
      </c>
      <c r="AS26" s="33">
        <v>0</v>
      </c>
      <c r="AT26" s="33">
        <v>0</v>
      </c>
      <c r="AU26" s="33">
        <v>0</v>
      </c>
      <c r="AV26" s="33">
        <v>0</v>
      </c>
    </row>
    <row r="27" spans="1:48">
      <c r="A27" s="33">
        <v>2013</v>
      </c>
      <c r="B27" s="94">
        <v>0.13300000000000001</v>
      </c>
      <c r="C27" s="94">
        <v>0.184</v>
      </c>
      <c r="D27" s="94">
        <v>0.31900000000000001</v>
      </c>
      <c r="E27" s="94">
        <v>1.4800000000000002</v>
      </c>
      <c r="F27" s="94">
        <v>0.73000000000000043</v>
      </c>
      <c r="G27" s="94">
        <v>1.0999999999999999E-2</v>
      </c>
      <c r="H27" s="94">
        <v>0.16800000000000001</v>
      </c>
      <c r="I27" s="94">
        <v>0.83999999999999986</v>
      </c>
      <c r="J27" s="84">
        <v>1.62</v>
      </c>
      <c r="K27" s="84">
        <v>2.95</v>
      </c>
      <c r="L27" s="84">
        <v>0</v>
      </c>
      <c r="M27" s="84">
        <v>0.218</v>
      </c>
      <c r="N27" s="84">
        <v>14.12</v>
      </c>
      <c r="O27" s="84">
        <v>0</v>
      </c>
      <c r="P27" s="84">
        <v>20.170000000000002</v>
      </c>
      <c r="Q27" s="84">
        <v>6.0000000000000001E-3</v>
      </c>
      <c r="R27" s="84">
        <v>0.32000000000000028</v>
      </c>
      <c r="S27" s="84">
        <v>8.6999999999999994E-2</v>
      </c>
      <c r="T27" s="84">
        <v>1.1120000000000001</v>
      </c>
      <c r="U27" s="84">
        <v>0.218</v>
      </c>
      <c r="V27" s="84">
        <v>1.0699999999999998</v>
      </c>
      <c r="W27" s="84">
        <v>49.010000000000005</v>
      </c>
      <c r="X27" s="84">
        <v>0.17200000000000001</v>
      </c>
      <c r="Y27" s="84">
        <v>94.938000000000017</v>
      </c>
    </row>
    <row r="28" spans="1:48">
      <c r="A28" s="33">
        <v>2014</v>
      </c>
      <c r="B28" s="94">
        <v>1.1420000000000001</v>
      </c>
      <c r="C28" s="94">
        <v>0.434</v>
      </c>
      <c r="D28" s="94">
        <v>0.85199999999999998</v>
      </c>
      <c r="E28" s="94">
        <v>2.2400000000000002</v>
      </c>
      <c r="F28" s="61">
        <v>24.260000000000005</v>
      </c>
      <c r="G28" s="94">
        <v>0.1</v>
      </c>
      <c r="H28" s="94">
        <v>0.29099999999999998</v>
      </c>
      <c r="I28" s="94">
        <v>2.0700000000000003</v>
      </c>
      <c r="J28" s="84">
        <v>4.3900000000000006</v>
      </c>
      <c r="K28" s="84">
        <v>3.35</v>
      </c>
      <c r="L28" s="84">
        <v>3.5000000000000003E-2</v>
      </c>
      <c r="M28" s="84">
        <v>0.44600000000000001</v>
      </c>
      <c r="N28" s="84">
        <v>16.18</v>
      </c>
      <c r="O28" s="84">
        <v>0</v>
      </c>
      <c r="P28" s="84">
        <v>12.43</v>
      </c>
      <c r="Q28" s="84">
        <v>0.214</v>
      </c>
      <c r="R28" s="84">
        <v>1.6700000000000017</v>
      </c>
      <c r="S28" s="84">
        <v>0.41699999999999998</v>
      </c>
      <c r="T28" s="84">
        <v>3.472</v>
      </c>
      <c r="U28" s="84">
        <v>0.83699999999999997</v>
      </c>
      <c r="V28" s="84">
        <v>7.9300000000000006</v>
      </c>
      <c r="W28" s="84">
        <v>55.36</v>
      </c>
      <c r="X28" s="84">
        <v>0.54900000000000004</v>
      </c>
      <c r="Y28" s="84">
        <v>138.66900000000001</v>
      </c>
    </row>
    <row r="29" spans="1:48">
      <c r="A29" s="33">
        <v>2015</v>
      </c>
      <c r="B29" s="94">
        <v>1.2119999999999997</v>
      </c>
      <c r="C29" s="94">
        <v>1.101</v>
      </c>
      <c r="D29" s="94">
        <v>2.4510000000000001</v>
      </c>
      <c r="E29" s="94">
        <v>2.58</v>
      </c>
      <c r="F29" s="61">
        <v>60.66</v>
      </c>
      <c r="G29" s="94">
        <v>0.44400000000000001</v>
      </c>
      <c r="H29" s="94">
        <v>0.41499999999999998</v>
      </c>
      <c r="I29" s="94">
        <v>5.68</v>
      </c>
      <c r="J29" s="84">
        <v>11.110000000000001</v>
      </c>
      <c r="K29" s="84">
        <v>4.3499999999999996</v>
      </c>
      <c r="L29" s="84">
        <v>9.9000000000000005E-2</v>
      </c>
      <c r="M29" s="84">
        <v>0.89100000000000001</v>
      </c>
      <c r="N29" s="84">
        <v>14.179999999999998</v>
      </c>
      <c r="O29" s="84">
        <v>0.27</v>
      </c>
      <c r="P29" s="84">
        <v>41.230000000000004</v>
      </c>
      <c r="Q29" s="84">
        <v>0.22699999999999998</v>
      </c>
      <c r="R29" s="84">
        <v>7.82</v>
      </c>
      <c r="S29" s="84">
        <v>0.86899999999999999</v>
      </c>
      <c r="T29" s="84">
        <v>5.7119999999999997</v>
      </c>
      <c r="U29" s="84">
        <v>2.5579999999999998</v>
      </c>
      <c r="V29" s="84">
        <v>19.240000000000002</v>
      </c>
      <c r="W29" s="84">
        <v>42.83</v>
      </c>
      <c r="X29" s="84">
        <v>1.5719999999999998</v>
      </c>
      <c r="Y29" s="84">
        <v>227.50099999999998</v>
      </c>
    </row>
    <row r="30" spans="1:48">
      <c r="A30" s="33">
        <v>2016</v>
      </c>
      <c r="B30" s="94">
        <v>0.84699999999999998</v>
      </c>
      <c r="C30" s="94">
        <v>1.2370000000000001</v>
      </c>
      <c r="D30" s="94">
        <v>6.6710000000000003</v>
      </c>
      <c r="E30" s="94">
        <v>6.36</v>
      </c>
      <c r="F30" s="61">
        <v>79</v>
      </c>
      <c r="G30" s="94">
        <v>0.57199999999999995</v>
      </c>
      <c r="H30" s="94">
        <v>1.2070000000000001</v>
      </c>
      <c r="I30" s="94">
        <v>7.4290000000000003</v>
      </c>
      <c r="J30" s="94">
        <v>13.750999999999999</v>
      </c>
      <c r="K30" s="84">
        <v>5.35</v>
      </c>
      <c r="L30" s="84">
        <v>0.29799999999999999</v>
      </c>
      <c r="M30" s="84">
        <v>1.452</v>
      </c>
      <c r="N30" s="94">
        <v>9.39</v>
      </c>
      <c r="O30" s="94">
        <v>0.16000000000000014</v>
      </c>
      <c r="P30" s="94">
        <v>18.628</v>
      </c>
      <c r="Q30" s="94">
        <v>0.33099999999999996</v>
      </c>
      <c r="R30" s="94">
        <v>20.686</v>
      </c>
      <c r="S30" s="94">
        <v>1.5109999999999999</v>
      </c>
      <c r="T30" s="94">
        <v>10.295999999999999</v>
      </c>
      <c r="U30" s="94">
        <v>2.8290000000000002</v>
      </c>
      <c r="V30" s="94">
        <v>24.899000000000001</v>
      </c>
      <c r="W30" s="94">
        <v>72.89</v>
      </c>
      <c r="X30" s="84">
        <v>2.7890000000000001</v>
      </c>
      <c r="Y30" s="84">
        <v>288.58300000000003</v>
      </c>
    </row>
    <row r="31" spans="1:48">
      <c r="A31" s="33">
        <v>2017</v>
      </c>
      <c r="B31" s="94">
        <v>0.61</v>
      </c>
      <c r="C31" s="94">
        <v>1.7210000000000001</v>
      </c>
      <c r="D31" s="94">
        <v>11.287000000000001</v>
      </c>
      <c r="E31" s="94">
        <v>8.7260000000000009</v>
      </c>
      <c r="F31" s="61">
        <v>111</v>
      </c>
      <c r="G31" s="94">
        <v>0.61399999999999999</v>
      </c>
      <c r="H31" s="94">
        <v>2.5529999999999999</v>
      </c>
      <c r="I31" s="94">
        <v>11.868</v>
      </c>
      <c r="J31" s="94">
        <v>29.439</v>
      </c>
      <c r="K31" s="84">
        <v>6.35</v>
      </c>
      <c r="L31" s="84">
        <v>0.32600000000000001</v>
      </c>
      <c r="M31" s="84">
        <v>2.863</v>
      </c>
      <c r="N31" s="94">
        <v>34.159999999999997</v>
      </c>
      <c r="O31" s="94">
        <v>0.29599999999999999</v>
      </c>
      <c r="P31" s="94">
        <v>1.1579999999999999</v>
      </c>
      <c r="Q31" s="94">
        <v>0.42199999999999993</v>
      </c>
      <c r="R31" s="94">
        <v>29.288000000000004</v>
      </c>
      <c r="S31" s="94">
        <v>3.37</v>
      </c>
      <c r="T31" s="94">
        <v>15.446999999999999</v>
      </c>
      <c r="U31" s="94">
        <v>3.4039999999999999</v>
      </c>
      <c r="V31" s="94">
        <v>31.154</v>
      </c>
      <c r="W31" s="94">
        <v>89.992000000000019</v>
      </c>
      <c r="X31" s="84">
        <v>7.270999999999999</v>
      </c>
      <c r="Y31" s="84">
        <v>403.31899999999996</v>
      </c>
    </row>
    <row r="32" spans="1:48">
      <c r="A32" s="33"/>
      <c r="B32" s="33"/>
      <c r="C32" s="33"/>
      <c r="D32" s="33"/>
      <c r="E32" s="33"/>
      <c r="F32" s="33"/>
      <c r="G32" s="33"/>
      <c r="H32" s="33"/>
      <c r="I32" s="33"/>
    </row>
    <row r="33" spans="1:25">
      <c r="A33" s="33"/>
      <c r="B33" s="33"/>
      <c r="C33" s="33"/>
      <c r="D33" s="33"/>
      <c r="E33" s="33" t="s">
        <v>250</v>
      </c>
      <c r="F33" s="33"/>
      <c r="G33" s="33"/>
      <c r="H33" s="33"/>
      <c r="I33" s="33"/>
      <c r="J33" s="33" t="s">
        <v>251</v>
      </c>
      <c r="K33" s="33"/>
      <c r="L33" s="33"/>
      <c r="M33" s="33"/>
      <c r="N33" s="33"/>
      <c r="O33" s="33"/>
      <c r="P33" s="33"/>
      <c r="Q33" s="33"/>
      <c r="R33" s="33"/>
      <c r="S33" s="33"/>
      <c r="T33" s="33"/>
      <c r="U33" s="33"/>
      <c r="V33" s="33"/>
      <c r="W33" s="33"/>
      <c r="X33" s="33"/>
      <c r="Y33" s="33"/>
    </row>
    <row r="34" spans="1:25">
      <c r="A34" s="79"/>
      <c r="B34" s="143" t="s">
        <v>255</v>
      </c>
      <c r="C34" s="143" t="s">
        <v>539</v>
      </c>
      <c r="D34" s="143" t="s">
        <v>540</v>
      </c>
      <c r="E34" s="143" t="s">
        <v>238</v>
      </c>
      <c r="F34" s="143" t="s">
        <v>239</v>
      </c>
      <c r="G34" s="143" t="s">
        <v>541</v>
      </c>
      <c r="H34" s="143" t="s">
        <v>542</v>
      </c>
      <c r="I34" s="143" t="s">
        <v>240</v>
      </c>
      <c r="J34" s="143" t="s">
        <v>241</v>
      </c>
      <c r="K34" s="143" t="s">
        <v>242</v>
      </c>
      <c r="L34" s="143" t="s">
        <v>544</v>
      </c>
      <c r="M34" s="147" t="s">
        <v>538</v>
      </c>
      <c r="N34" s="143" t="s">
        <v>243</v>
      </c>
      <c r="O34" s="143" t="s">
        <v>244</v>
      </c>
      <c r="P34" s="143" t="s">
        <v>245</v>
      </c>
      <c r="Q34" s="154" t="s">
        <v>331</v>
      </c>
      <c r="R34" s="143" t="s">
        <v>246</v>
      </c>
      <c r="S34" s="143" t="s">
        <v>545</v>
      </c>
      <c r="T34" s="143" t="s">
        <v>247</v>
      </c>
      <c r="U34" s="143" t="s">
        <v>546</v>
      </c>
      <c r="V34" s="143" t="s">
        <v>248</v>
      </c>
      <c r="W34" s="143" t="s">
        <v>249</v>
      </c>
      <c r="X34" s="143" t="s">
        <v>648</v>
      </c>
      <c r="Y34" s="143" t="s">
        <v>158</v>
      </c>
    </row>
    <row r="35" spans="1:25">
      <c r="A35" s="33">
        <v>2005</v>
      </c>
      <c r="B35" s="94">
        <v>0</v>
      </c>
      <c r="C35" s="94">
        <v>0</v>
      </c>
      <c r="D35" s="94">
        <v>0</v>
      </c>
      <c r="E35" s="94">
        <v>0</v>
      </c>
      <c r="F35" s="94">
        <v>0</v>
      </c>
      <c r="G35" s="94">
        <v>0</v>
      </c>
      <c r="H35" s="94">
        <v>0</v>
      </c>
      <c r="I35" s="94">
        <v>0.01</v>
      </c>
      <c r="J35" s="94">
        <v>0.02</v>
      </c>
      <c r="K35" s="94">
        <v>9.9000000000000005E-2</v>
      </c>
      <c r="L35" s="94">
        <v>0</v>
      </c>
      <c r="M35" s="94">
        <v>0</v>
      </c>
      <c r="N35" s="94">
        <v>0</v>
      </c>
      <c r="O35" s="94">
        <v>0</v>
      </c>
      <c r="P35" s="94">
        <v>0</v>
      </c>
      <c r="Q35" s="94">
        <v>0</v>
      </c>
      <c r="R35" s="94">
        <v>0</v>
      </c>
      <c r="S35" s="94">
        <v>0</v>
      </c>
      <c r="T35" s="94">
        <v>0</v>
      </c>
      <c r="U35" s="94">
        <v>0</v>
      </c>
      <c r="V35" s="94">
        <v>0.22</v>
      </c>
      <c r="W35" s="94">
        <v>1.1200000000000001</v>
      </c>
      <c r="X35" s="94">
        <v>0</v>
      </c>
      <c r="Y35" s="94">
        <v>1.4690000000000001</v>
      </c>
    </row>
    <row r="36" spans="1:25">
      <c r="A36" s="33">
        <v>2006</v>
      </c>
      <c r="B36" s="94">
        <v>0</v>
      </c>
      <c r="C36" s="94">
        <v>0</v>
      </c>
      <c r="D36" s="94">
        <v>0</v>
      </c>
      <c r="E36" s="94">
        <v>0</v>
      </c>
      <c r="F36" s="94">
        <v>0</v>
      </c>
      <c r="G36" s="94">
        <v>0</v>
      </c>
      <c r="H36" s="94">
        <v>0</v>
      </c>
      <c r="I36" s="94">
        <v>0</v>
      </c>
      <c r="J36" s="94">
        <v>0.02</v>
      </c>
      <c r="K36" s="94">
        <v>0.123</v>
      </c>
      <c r="L36" s="94">
        <v>0</v>
      </c>
      <c r="M36" s="94">
        <v>0</v>
      </c>
      <c r="N36" s="94">
        <v>0</v>
      </c>
      <c r="O36" s="94">
        <v>0</v>
      </c>
      <c r="P36" s="94">
        <v>0</v>
      </c>
      <c r="Q36" s="94">
        <v>0</v>
      </c>
      <c r="R36" s="94">
        <v>0</v>
      </c>
      <c r="S36" s="94">
        <v>0</v>
      </c>
      <c r="T36" s="94">
        <v>0</v>
      </c>
      <c r="U36" s="94">
        <v>0</v>
      </c>
      <c r="V36" s="94">
        <v>0.32</v>
      </c>
      <c r="W36" s="94">
        <v>1.2366666666666668</v>
      </c>
      <c r="X36" s="94">
        <v>0</v>
      </c>
      <c r="Y36" s="94">
        <v>1.6996666666666669</v>
      </c>
    </row>
    <row r="37" spans="1:25">
      <c r="A37" s="33">
        <v>2007</v>
      </c>
      <c r="B37" s="94">
        <v>0</v>
      </c>
      <c r="C37" s="94">
        <v>0</v>
      </c>
      <c r="D37" s="94">
        <v>0</v>
      </c>
      <c r="E37" s="94">
        <v>0</v>
      </c>
      <c r="F37" s="94">
        <v>0</v>
      </c>
      <c r="G37" s="94">
        <v>0</v>
      </c>
      <c r="H37" s="94">
        <v>0</v>
      </c>
      <c r="I37" s="94">
        <v>0</v>
      </c>
      <c r="J37" s="94">
        <v>0.02</v>
      </c>
      <c r="K37" s="94">
        <v>0.13500000000000001</v>
      </c>
      <c r="L37" s="94">
        <v>0</v>
      </c>
      <c r="M37" s="94">
        <v>0</v>
      </c>
      <c r="N37" s="94">
        <v>0</v>
      </c>
      <c r="O37" s="94">
        <v>0</v>
      </c>
      <c r="P37" s="94">
        <v>0</v>
      </c>
      <c r="Q37" s="94">
        <v>0</v>
      </c>
      <c r="R37" s="94">
        <v>0.01</v>
      </c>
      <c r="S37" s="94">
        <v>0</v>
      </c>
      <c r="T37" s="94">
        <v>0</v>
      </c>
      <c r="U37" s="94">
        <v>0</v>
      </c>
      <c r="V37" s="94">
        <v>0.45</v>
      </c>
      <c r="W37" s="94">
        <v>1.3533333333333335</v>
      </c>
      <c r="X37" s="94">
        <v>0</v>
      </c>
      <c r="Y37" s="94">
        <v>1.9683333333333335</v>
      </c>
    </row>
    <row r="38" spans="1:25">
      <c r="A38" s="33">
        <v>2008</v>
      </c>
      <c r="B38" s="94">
        <v>0</v>
      </c>
      <c r="C38" s="94">
        <v>0</v>
      </c>
      <c r="D38" s="94">
        <v>0</v>
      </c>
      <c r="E38" s="94">
        <v>0</v>
      </c>
      <c r="F38" s="94">
        <v>0</v>
      </c>
      <c r="G38" s="94">
        <v>0</v>
      </c>
      <c r="H38" s="94">
        <v>0</v>
      </c>
      <c r="I38" s="94">
        <v>0</v>
      </c>
      <c r="J38" s="94">
        <v>7.0000000000000007E-2</v>
      </c>
      <c r="K38" s="94">
        <v>0.19500000000000001</v>
      </c>
      <c r="L38" s="94">
        <v>0</v>
      </c>
      <c r="M38" s="94">
        <v>0</v>
      </c>
      <c r="N38" s="94">
        <v>0</v>
      </c>
      <c r="O38" s="94">
        <v>0</v>
      </c>
      <c r="P38" s="94">
        <v>0.01</v>
      </c>
      <c r="Q38" s="94">
        <v>0</v>
      </c>
      <c r="R38" s="94">
        <v>0.24</v>
      </c>
      <c r="S38" s="94">
        <v>0</v>
      </c>
      <c r="T38" s="94">
        <v>0</v>
      </c>
      <c r="U38" s="94">
        <v>0</v>
      </c>
      <c r="V38" s="94">
        <v>0.22</v>
      </c>
      <c r="W38" s="94">
        <v>1.47</v>
      </c>
      <c r="X38" s="94">
        <v>0</v>
      </c>
      <c r="Y38" s="94">
        <v>2.2050000000000001</v>
      </c>
    </row>
    <row r="39" spans="1:25">
      <c r="A39" s="33">
        <v>2009</v>
      </c>
      <c r="B39" s="94">
        <v>0</v>
      </c>
      <c r="C39" s="94">
        <v>0.04</v>
      </c>
      <c r="D39" s="94">
        <v>0</v>
      </c>
      <c r="E39" s="94">
        <v>0</v>
      </c>
      <c r="F39" s="94">
        <v>0.48</v>
      </c>
      <c r="G39" s="94">
        <v>0</v>
      </c>
      <c r="H39" s="94">
        <v>0</v>
      </c>
      <c r="I39" s="94">
        <v>0.1</v>
      </c>
      <c r="J39" s="94">
        <v>0.02</v>
      </c>
      <c r="K39" s="94">
        <v>0.6895</v>
      </c>
      <c r="L39" s="94">
        <v>0</v>
      </c>
      <c r="M39" s="94">
        <v>0</v>
      </c>
      <c r="N39" s="94">
        <v>0.99</v>
      </c>
      <c r="O39" s="94">
        <v>0</v>
      </c>
      <c r="P39" s="94">
        <v>0.03</v>
      </c>
      <c r="Q39" s="94">
        <v>0</v>
      </c>
      <c r="R39" s="94">
        <v>0.154</v>
      </c>
      <c r="S39" s="94">
        <v>0</v>
      </c>
      <c r="T39" s="94">
        <v>0</v>
      </c>
      <c r="U39" s="94">
        <v>0</v>
      </c>
      <c r="V39" s="94">
        <v>0.18</v>
      </c>
      <c r="W39" s="94">
        <v>1.33</v>
      </c>
      <c r="X39" s="94">
        <v>0</v>
      </c>
      <c r="Y39" s="94">
        <v>4.0134999999999996</v>
      </c>
    </row>
    <row r="40" spans="1:25">
      <c r="A40" s="33">
        <v>2010</v>
      </c>
      <c r="B40" s="94">
        <v>0.04</v>
      </c>
      <c r="C40" s="94">
        <v>0.112</v>
      </c>
      <c r="D40" s="94">
        <v>0</v>
      </c>
      <c r="E40" s="94">
        <v>0</v>
      </c>
      <c r="F40" s="94">
        <v>1.43</v>
      </c>
      <c r="G40" s="94">
        <v>0</v>
      </c>
      <c r="H40" s="94">
        <v>0</v>
      </c>
      <c r="I40" s="94">
        <v>0.19</v>
      </c>
      <c r="J40" s="94">
        <v>0.14000000000000001</v>
      </c>
      <c r="K40" s="94">
        <v>1.17</v>
      </c>
      <c r="L40" s="94">
        <v>0</v>
      </c>
      <c r="M40" s="94">
        <v>0.04</v>
      </c>
      <c r="N40" s="94">
        <v>2.44</v>
      </c>
      <c r="O40" s="94">
        <v>0.06</v>
      </c>
      <c r="P40" s="94">
        <v>0.12</v>
      </c>
      <c r="Q40" s="94">
        <v>0</v>
      </c>
      <c r="R40" s="94">
        <v>0.39</v>
      </c>
      <c r="S40" s="94">
        <v>7.2999999999999995E-2</v>
      </c>
      <c r="T40" s="94">
        <v>0.06</v>
      </c>
      <c r="U40" s="94">
        <v>0.123</v>
      </c>
      <c r="V40" s="94">
        <v>0.28000000000000003</v>
      </c>
      <c r="W40" s="94">
        <v>1.19</v>
      </c>
      <c r="X40" s="94">
        <v>4.0000000000000001E-3</v>
      </c>
      <c r="Y40" s="94">
        <v>7.8619999999999983</v>
      </c>
    </row>
    <row r="41" spans="1:25">
      <c r="A41" s="33">
        <v>2011</v>
      </c>
      <c r="B41" s="94">
        <v>0.152</v>
      </c>
      <c r="C41" s="94">
        <v>0.63100000000000001</v>
      </c>
      <c r="D41" s="94">
        <v>0.28799999999999998</v>
      </c>
      <c r="E41" s="94">
        <v>0.52</v>
      </c>
      <c r="F41" s="94">
        <v>5.07</v>
      </c>
      <c r="G41" s="94">
        <v>0.41499999999999998</v>
      </c>
      <c r="H41" s="94">
        <v>2.9000000000000001E-2</v>
      </c>
      <c r="I41" s="94">
        <v>2.73</v>
      </c>
      <c r="J41" s="94">
        <v>1.65</v>
      </c>
      <c r="K41" s="94">
        <v>1.7395</v>
      </c>
      <c r="L41" s="94">
        <v>4.5999999999999999E-2</v>
      </c>
      <c r="M41" s="94">
        <v>0.11700000000000001</v>
      </c>
      <c r="N41" s="94">
        <v>12.62</v>
      </c>
      <c r="O41" s="94">
        <v>0.27</v>
      </c>
      <c r="P41" s="94">
        <v>0.88</v>
      </c>
      <c r="Q41" s="94">
        <v>0</v>
      </c>
      <c r="R41" s="94">
        <v>1.84</v>
      </c>
      <c r="S41" s="94">
        <v>0.57599999999999996</v>
      </c>
      <c r="T41" s="94">
        <v>0.183</v>
      </c>
      <c r="U41" s="94">
        <v>0.436</v>
      </c>
      <c r="V41" s="94">
        <v>1.22</v>
      </c>
      <c r="W41" s="94">
        <v>17.73</v>
      </c>
      <c r="X41" s="94">
        <v>0.44700000000000006</v>
      </c>
      <c r="Y41" s="94">
        <v>49.589500000000001</v>
      </c>
    </row>
    <row r="42" spans="1:25">
      <c r="A42" s="33">
        <v>2012</v>
      </c>
      <c r="B42" s="94">
        <v>0.13300000000000001</v>
      </c>
      <c r="C42" s="94">
        <v>0.69399999999999995</v>
      </c>
      <c r="D42" s="94">
        <v>0.91100000000000003</v>
      </c>
      <c r="E42" s="94">
        <v>2.02</v>
      </c>
      <c r="F42" s="94">
        <v>9.9</v>
      </c>
      <c r="G42" s="94">
        <v>0.504</v>
      </c>
      <c r="H42" s="94">
        <v>0.17899999999999999</v>
      </c>
      <c r="I42" s="94">
        <v>6.26</v>
      </c>
      <c r="J42" s="94">
        <v>3.37</v>
      </c>
      <c r="K42" s="94">
        <v>3.0599999999999996</v>
      </c>
      <c r="L42" s="94">
        <v>0.13900000000000001</v>
      </c>
      <c r="M42" s="94">
        <v>0.65200000000000002</v>
      </c>
      <c r="N42" s="94">
        <v>24.44</v>
      </c>
      <c r="O42" s="94">
        <v>0.51</v>
      </c>
      <c r="P42" s="94">
        <v>5.12</v>
      </c>
      <c r="Q42" s="94">
        <v>0</v>
      </c>
      <c r="R42" s="94">
        <v>4.51</v>
      </c>
      <c r="S42" s="94">
        <v>0.55200000000000005</v>
      </c>
      <c r="T42" s="94">
        <v>0.95700000000000007</v>
      </c>
      <c r="U42" s="94">
        <v>0.85699999999999998</v>
      </c>
      <c r="V42" s="94">
        <v>2.69</v>
      </c>
      <c r="W42" s="94">
        <v>53.24</v>
      </c>
      <c r="X42" s="94">
        <v>1.0311428571428574</v>
      </c>
      <c r="Y42" s="94">
        <v>121.72914285714286</v>
      </c>
    </row>
    <row r="43" spans="1:25">
      <c r="A43" s="33">
        <v>2013</v>
      </c>
      <c r="B43" s="94">
        <v>0.33999999999999997</v>
      </c>
      <c r="C43" s="94">
        <v>0.83800000000000008</v>
      </c>
      <c r="D43" s="94">
        <v>0.81299999999999994</v>
      </c>
      <c r="E43" s="94">
        <v>3.12</v>
      </c>
      <c r="F43" s="94">
        <v>15.34</v>
      </c>
      <c r="G43" s="94">
        <v>0.50800000000000001</v>
      </c>
      <c r="H43" s="94">
        <v>0.21800000000000003</v>
      </c>
      <c r="I43" s="94">
        <v>9.6199999999999992</v>
      </c>
      <c r="J43" s="94">
        <v>6.93</v>
      </c>
      <c r="K43" s="94">
        <v>3.3600000000000003</v>
      </c>
      <c r="L43" s="94">
        <v>4.7E-2</v>
      </c>
      <c r="M43" s="94">
        <v>1.054</v>
      </c>
      <c r="N43" s="94">
        <v>28.88</v>
      </c>
      <c r="O43" s="94">
        <v>0.6</v>
      </c>
      <c r="P43" s="94">
        <v>22.42</v>
      </c>
      <c r="Q43" s="94">
        <v>1.6E-2</v>
      </c>
      <c r="R43" s="94">
        <v>8.52</v>
      </c>
      <c r="S43" s="94">
        <v>1.008</v>
      </c>
      <c r="T43" s="94">
        <v>1.556</v>
      </c>
      <c r="U43" s="94">
        <v>1.345</v>
      </c>
      <c r="V43" s="94">
        <v>3.75</v>
      </c>
      <c r="W43" s="94">
        <v>96.7</v>
      </c>
      <c r="X43" s="94">
        <v>0.85600000000000021</v>
      </c>
      <c r="Y43" s="94">
        <v>207.839</v>
      </c>
    </row>
    <row r="44" spans="1:25">
      <c r="A44" s="33">
        <v>2014</v>
      </c>
      <c r="B44" s="94">
        <v>1.3220000000000001</v>
      </c>
      <c r="C44" s="94">
        <v>1.7049999999999998</v>
      </c>
      <c r="D44" s="94">
        <v>2.0209999999999999</v>
      </c>
      <c r="E44" s="94">
        <v>5.07</v>
      </c>
      <c r="F44" s="94">
        <v>73.17</v>
      </c>
      <c r="G44" s="94">
        <v>1.633</v>
      </c>
      <c r="H44" s="94">
        <v>0.47599999999999998</v>
      </c>
      <c r="I44" s="94">
        <v>12.64</v>
      </c>
      <c r="J44" s="94">
        <v>12.74</v>
      </c>
      <c r="K44" s="94">
        <v>4</v>
      </c>
      <c r="L44" s="94">
        <v>0.25700000000000001</v>
      </c>
      <c r="M44" s="94">
        <v>1.5209999999999999</v>
      </c>
      <c r="N44" s="94">
        <v>32.29</v>
      </c>
      <c r="O44" s="94">
        <v>1.31</v>
      </c>
      <c r="P44" s="94">
        <v>15.09</v>
      </c>
      <c r="Q44" s="94">
        <v>0.254</v>
      </c>
      <c r="R44" s="94">
        <v>19.760000000000002</v>
      </c>
      <c r="S44" s="94">
        <v>1.452</v>
      </c>
      <c r="T44" s="94">
        <v>4.6749999999999998</v>
      </c>
      <c r="U44" s="94">
        <v>2.129</v>
      </c>
      <c r="V44" s="94">
        <v>14.74</v>
      </c>
      <c r="W44" s="94">
        <v>118.78</v>
      </c>
      <c r="X44" s="94">
        <v>2.3059999999999996</v>
      </c>
      <c r="Y44" s="94">
        <v>329.34099999999995</v>
      </c>
    </row>
    <row r="45" spans="1:25">
      <c r="A45" s="33">
        <v>2015</v>
      </c>
      <c r="B45" s="94">
        <v>1.7709999999999999</v>
      </c>
      <c r="C45" s="94">
        <v>2.778</v>
      </c>
      <c r="D45" s="94">
        <v>3.8090000000000002</v>
      </c>
      <c r="E45" s="94">
        <v>6.96</v>
      </c>
      <c r="F45" s="61">
        <v>207.38</v>
      </c>
      <c r="G45" s="94">
        <v>4.968</v>
      </c>
      <c r="H45" s="94">
        <v>0.65700000000000003</v>
      </c>
      <c r="I45" s="94">
        <v>22.95</v>
      </c>
      <c r="J45" s="94">
        <v>23.19</v>
      </c>
      <c r="K45" s="94">
        <v>5.1749999999999998</v>
      </c>
      <c r="L45" s="94">
        <v>0.55900000000000005</v>
      </c>
      <c r="M45" s="94">
        <v>2.3420000000000001</v>
      </c>
      <c r="N45" s="94">
        <v>24.65</v>
      </c>
      <c r="O45" s="94">
        <v>3.19</v>
      </c>
      <c r="P45" s="94">
        <v>43.77</v>
      </c>
      <c r="Q45" s="94">
        <v>0.29499999999999998</v>
      </c>
      <c r="R45" s="94">
        <v>35.61</v>
      </c>
      <c r="S45" s="94">
        <v>2.2909999999999999</v>
      </c>
      <c r="T45" s="94">
        <v>8.69</v>
      </c>
      <c r="U45" s="94">
        <v>5.6229999999999993</v>
      </c>
      <c r="V45" s="94">
        <v>29.34</v>
      </c>
      <c r="W45" s="94">
        <v>113.87</v>
      </c>
      <c r="X45" s="94">
        <v>3.8970000000000002</v>
      </c>
      <c r="Y45" s="94">
        <v>553.76499999999999</v>
      </c>
    </row>
    <row r="46" spans="1:25">
      <c r="A46" s="33">
        <v>2016</v>
      </c>
      <c r="B46" s="94">
        <v>1.7469999999999999</v>
      </c>
      <c r="C46" s="94">
        <v>5.0630000000000006</v>
      </c>
      <c r="D46" s="94">
        <v>8.7249999999999996</v>
      </c>
      <c r="E46" s="94">
        <v>11.58</v>
      </c>
      <c r="F46" s="61">
        <v>336</v>
      </c>
      <c r="G46" s="94">
        <v>1.8839999999999999</v>
      </c>
      <c r="H46" s="94">
        <v>1.4300000000000002</v>
      </c>
      <c r="I46" s="94">
        <v>29.180999999999997</v>
      </c>
      <c r="J46" s="94">
        <v>25.161000000000001</v>
      </c>
      <c r="K46" s="94">
        <v>6.7624999999999993</v>
      </c>
      <c r="L46" s="94">
        <v>0.69</v>
      </c>
      <c r="M46" s="94">
        <v>2.8289999999999997</v>
      </c>
      <c r="N46" s="94">
        <v>24.85</v>
      </c>
      <c r="O46" s="94">
        <v>5.26</v>
      </c>
      <c r="P46" s="94">
        <v>22.896000000000001</v>
      </c>
      <c r="Q46" s="94">
        <v>0.71399999999999997</v>
      </c>
      <c r="R46" s="94">
        <v>44.908000000000001</v>
      </c>
      <c r="S46" s="94">
        <v>3.516</v>
      </c>
      <c r="T46" s="94">
        <v>13.241</v>
      </c>
      <c r="U46" s="94">
        <v>6.1240000000000006</v>
      </c>
      <c r="V46" s="94">
        <v>35.162999999999997</v>
      </c>
      <c r="W46" s="94">
        <v>159.62</v>
      </c>
      <c r="X46" s="94">
        <v>5.282</v>
      </c>
      <c r="Y46" s="94">
        <v>752.62650000000008</v>
      </c>
    </row>
    <row r="47" spans="1:25">
      <c r="A47" s="33">
        <v>2017</v>
      </c>
      <c r="B47" s="94">
        <v>1.8929999999999998</v>
      </c>
      <c r="C47" s="94">
        <v>7.1539999999999999</v>
      </c>
      <c r="D47" s="94">
        <v>13.996</v>
      </c>
      <c r="E47" s="94">
        <v>19.236999999999998</v>
      </c>
      <c r="F47" s="61">
        <v>579</v>
      </c>
      <c r="G47" s="94">
        <v>1.3119999999999998</v>
      </c>
      <c r="H47" s="94">
        <v>3.0549999999999997</v>
      </c>
      <c r="I47" s="94">
        <v>36.777999999999999</v>
      </c>
      <c r="J47" s="94">
        <v>54.495000000000005</v>
      </c>
      <c r="K47" s="94">
        <v>8.35</v>
      </c>
      <c r="L47" s="94">
        <v>0.94799999999999995</v>
      </c>
      <c r="M47" s="94">
        <v>4.83</v>
      </c>
      <c r="N47" s="94">
        <v>56</v>
      </c>
      <c r="O47" s="94">
        <v>12.106</v>
      </c>
      <c r="P47" s="94">
        <v>11.055</v>
      </c>
      <c r="Q47" s="94">
        <v>1.109</v>
      </c>
      <c r="R47" s="94">
        <v>62.313000000000002</v>
      </c>
      <c r="S47" s="94">
        <v>7.29</v>
      </c>
      <c r="T47" s="94">
        <v>19.663999999999998</v>
      </c>
      <c r="U47" s="94">
        <v>8.1769999999999996</v>
      </c>
      <c r="V47" s="94">
        <v>44.750999999999998</v>
      </c>
      <c r="W47" s="94">
        <v>194.47900000000001</v>
      </c>
      <c r="X47" s="94">
        <v>13.087999999999999</v>
      </c>
      <c r="Y47" s="94">
        <v>1161.08</v>
      </c>
    </row>
    <row r="48" spans="1:25">
      <c r="A48" s="33">
        <v>2018</v>
      </c>
      <c r="B48" s="94">
        <v>3</v>
      </c>
      <c r="C48" s="94">
        <v>9.2162200117027488</v>
      </c>
      <c r="D48" s="94">
        <v>18.308409429280395</v>
      </c>
      <c r="E48" s="94">
        <v>48.222999999999999</v>
      </c>
      <c r="F48" s="61">
        <v>1100</v>
      </c>
      <c r="G48" s="94">
        <v>2.2829999999999999</v>
      </c>
      <c r="H48" s="94">
        <v>5.6251649999999991</v>
      </c>
      <c r="I48" s="94">
        <v>42.955394517282478</v>
      </c>
      <c r="J48" s="94">
        <v>81.494296390350073</v>
      </c>
      <c r="K48" s="94">
        <v>12</v>
      </c>
      <c r="L48" s="94">
        <v>1.8052463000000001</v>
      </c>
      <c r="M48" s="94">
        <v>9.0495864888123929</v>
      </c>
      <c r="N48" s="94">
        <v>64</v>
      </c>
      <c r="O48" s="94">
        <v>23.75</v>
      </c>
      <c r="P48" s="94">
        <v>25.890752867891528</v>
      </c>
      <c r="Q48" s="94">
        <v>1.581</v>
      </c>
      <c r="R48" s="94">
        <v>73.352908504145205</v>
      </c>
      <c r="S48" s="94">
        <v>10.09977177508269</v>
      </c>
      <c r="T48" s="94">
        <v>36.775444679564693</v>
      </c>
      <c r="U48" s="94">
        <v>11.160186430501351</v>
      </c>
      <c r="V48" s="94">
        <v>57.460939799999998</v>
      </c>
      <c r="W48" s="94">
        <v>350</v>
      </c>
      <c r="X48" s="94">
        <v>23.445667917748857</v>
      </c>
      <c r="Y48" s="94">
        <v>2011.476990112362</v>
      </c>
    </row>
    <row r="50" spans="1:25">
      <c r="A50" s="33"/>
      <c r="C50" s="33"/>
      <c r="D50" s="33"/>
      <c r="E50" s="33" t="s">
        <v>333</v>
      </c>
      <c r="F50" s="33"/>
      <c r="G50" s="33"/>
      <c r="H50" s="33"/>
      <c r="I50" s="33"/>
      <c r="J50" s="33"/>
      <c r="K50" s="33"/>
      <c r="L50" s="33"/>
      <c r="M50" s="33"/>
      <c r="N50" s="33" t="s">
        <v>251</v>
      </c>
      <c r="O50" s="33"/>
      <c r="P50" s="33"/>
      <c r="Q50" s="33"/>
      <c r="R50" s="33"/>
      <c r="S50" s="33"/>
      <c r="T50" s="33"/>
      <c r="U50" s="33"/>
      <c r="V50" s="33"/>
      <c r="W50" s="33" t="s">
        <v>1379</v>
      </c>
      <c r="X50" s="33"/>
      <c r="Y50" s="33"/>
    </row>
    <row r="51" spans="1:25">
      <c r="A51" s="33"/>
      <c r="B51" s="143" t="s">
        <v>255</v>
      </c>
      <c r="C51" s="143" t="s">
        <v>539</v>
      </c>
      <c r="D51" s="143" t="s">
        <v>540</v>
      </c>
      <c r="E51" s="143" t="s">
        <v>238</v>
      </c>
      <c r="F51" s="143" t="s">
        <v>239</v>
      </c>
      <c r="G51" s="143" t="s">
        <v>541</v>
      </c>
      <c r="H51" s="143" t="s">
        <v>542</v>
      </c>
      <c r="I51" s="143" t="s">
        <v>240</v>
      </c>
      <c r="J51" s="143" t="s">
        <v>241</v>
      </c>
      <c r="K51" s="143" t="s">
        <v>242</v>
      </c>
      <c r="L51" s="143" t="s">
        <v>544</v>
      </c>
      <c r="M51" s="147" t="s">
        <v>538</v>
      </c>
      <c r="N51" s="143" t="s">
        <v>243</v>
      </c>
      <c r="O51" s="143" t="s">
        <v>244</v>
      </c>
      <c r="P51" s="143" t="s">
        <v>245</v>
      </c>
      <c r="Q51" s="154" t="s">
        <v>331</v>
      </c>
      <c r="R51" s="143" t="s">
        <v>246</v>
      </c>
      <c r="S51" s="143" t="s">
        <v>545</v>
      </c>
      <c r="T51" s="143" t="s">
        <v>247</v>
      </c>
      <c r="U51" s="143" t="s">
        <v>546</v>
      </c>
      <c r="V51" s="143" t="s">
        <v>248</v>
      </c>
      <c r="W51" s="143" t="s">
        <v>249</v>
      </c>
      <c r="X51" s="143" t="s">
        <v>648</v>
      </c>
      <c r="Y51" s="143" t="s">
        <v>158</v>
      </c>
    </row>
    <row r="52" spans="1:25">
      <c r="A52" s="33">
        <v>2005</v>
      </c>
      <c r="B52" s="61">
        <v>789.096</v>
      </c>
      <c r="C52" s="61">
        <v>307.90499999999997</v>
      </c>
      <c r="D52" s="61">
        <v>480.00799999999998</v>
      </c>
      <c r="E52" s="61"/>
      <c r="F52" s="61"/>
      <c r="G52" s="61">
        <v>148.178</v>
      </c>
      <c r="H52" s="61">
        <v>147.74</v>
      </c>
      <c r="I52" s="61">
        <v>2067.7890000000002</v>
      </c>
      <c r="J52" s="61">
        <v>3340.7080000000001</v>
      </c>
      <c r="K52" s="61">
        <v>1062</v>
      </c>
      <c r="L52" s="61">
        <v>171.74199999999999</v>
      </c>
      <c r="M52" s="61">
        <v>2264.6610000000001</v>
      </c>
      <c r="N52" s="61"/>
      <c r="O52" s="61"/>
      <c r="P52" s="61">
        <v>465.19600000000003</v>
      </c>
      <c r="Q52" s="61">
        <v>235</v>
      </c>
      <c r="R52" s="61">
        <v>109.907</v>
      </c>
      <c r="S52" s="61">
        <v>1649.3510000000001</v>
      </c>
      <c r="T52" s="61">
        <v>273.93200000000002</v>
      </c>
      <c r="U52" s="61"/>
      <c r="V52" s="61">
        <v>2439.2510000000002</v>
      </c>
      <c r="W52" s="61">
        <v>13144.8</v>
      </c>
      <c r="X52" s="61"/>
      <c r="Y52" s="61"/>
    </row>
    <row r="53" spans="1:25">
      <c r="A53" s="33">
        <v>2006</v>
      </c>
      <c r="B53" s="61">
        <v>769.24099999999999</v>
      </c>
      <c r="C53" s="61">
        <v>308.59500000000003</v>
      </c>
      <c r="D53" s="61">
        <v>526.11300000000006</v>
      </c>
      <c r="E53" s="61"/>
      <c r="F53" s="61"/>
      <c r="G53" s="61">
        <v>156.90899999999999</v>
      </c>
      <c r="H53" s="61">
        <v>145.233</v>
      </c>
      <c r="I53" s="61">
        <v>2000.5630000000001</v>
      </c>
      <c r="J53" s="61">
        <v>3466.489</v>
      </c>
      <c r="K53" s="61">
        <v>1143</v>
      </c>
      <c r="L53" s="61">
        <v>178.483</v>
      </c>
      <c r="M53" s="61">
        <v>2354.1410000000001</v>
      </c>
      <c r="N53" s="61"/>
      <c r="O53" s="61"/>
      <c r="P53" s="61">
        <v>484.01</v>
      </c>
      <c r="Q53" s="61">
        <v>205</v>
      </c>
      <c r="R53" s="61">
        <v>109.164</v>
      </c>
      <c r="S53" s="61">
        <v>1634.489</v>
      </c>
      <c r="T53" s="61">
        <v>282.47500000000002</v>
      </c>
      <c r="U53" s="61"/>
      <c r="V53" s="61">
        <v>2344.4070000000002</v>
      </c>
      <c r="W53" s="61">
        <v>12998.3</v>
      </c>
      <c r="X53" s="61"/>
      <c r="Y53" s="61"/>
    </row>
    <row r="54" spans="1:25">
      <c r="A54" s="33">
        <v>2007</v>
      </c>
      <c r="B54" s="61">
        <v>835.19500000000005</v>
      </c>
      <c r="C54" s="61">
        <v>298.18099999999998</v>
      </c>
      <c r="D54" s="61">
        <v>524.57500000000005</v>
      </c>
      <c r="E54" s="61"/>
      <c r="F54" s="61"/>
      <c r="G54" s="61">
        <v>162.77600000000001</v>
      </c>
      <c r="H54" s="61">
        <v>124.998</v>
      </c>
      <c r="I54" s="61">
        <v>2064.9989999999998</v>
      </c>
      <c r="J54" s="61">
        <v>3146.578</v>
      </c>
      <c r="K54" s="61">
        <v>1380</v>
      </c>
      <c r="L54" s="61">
        <v>186.32499999999999</v>
      </c>
      <c r="M54" s="61">
        <v>2512.9720000000002</v>
      </c>
      <c r="N54" s="61"/>
      <c r="O54" s="61"/>
      <c r="P54" s="61">
        <v>505.53899999999999</v>
      </c>
      <c r="Q54" s="61">
        <v>203</v>
      </c>
      <c r="R54" s="61">
        <v>129.19499999999999</v>
      </c>
      <c r="S54" s="61">
        <v>1614.8140000000001</v>
      </c>
      <c r="T54" s="61">
        <v>306.32499999999999</v>
      </c>
      <c r="U54" s="61"/>
      <c r="V54" s="61">
        <v>2403.623</v>
      </c>
      <c r="W54" s="61">
        <v>12660</v>
      </c>
      <c r="X54" s="61"/>
      <c r="Y54" s="61"/>
    </row>
    <row r="55" spans="1:25">
      <c r="A55" s="33">
        <v>2008</v>
      </c>
      <c r="B55" s="61">
        <v>791.22500000000002</v>
      </c>
      <c r="C55" s="61">
        <v>293.69600000000003</v>
      </c>
      <c r="D55" s="61">
        <v>535.69299999999998</v>
      </c>
      <c r="E55" s="61"/>
      <c r="F55" s="61"/>
      <c r="G55" s="61">
        <v>150.649</v>
      </c>
      <c r="H55" s="61">
        <v>139.07</v>
      </c>
      <c r="I55" s="61">
        <v>2050.2829999999999</v>
      </c>
      <c r="J55" s="61">
        <v>3088.2689999999998</v>
      </c>
      <c r="K55" s="61">
        <v>1550</v>
      </c>
      <c r="L55" s="61">
        <v>151.61600000000001</v>
      </c>
      <c r="M55" s="61">
        <v>2174.3229999999999</v>
      </c>
      <c r="N55" s="61"/>
      <c r="O55" s="61"/>
      <c r="P55" s="61">
        <v>499.952</v>
      </c>
      <c r="Q55" s="61">
        <v>170</v>
      </c>
      <c r="R55" s="61">
        <v>110.517</v>
      </c>
      <c r="S55" s="61">
        <v>1161.1759999999999</v>
      </c>
      <c r="T55" s="61">
        <v>253.923</v>
      </c>
      <c r="U55" s="61"/>
      <c r="V55" s="61">
        <v>2130.857</v>
      </c>
      <c r="W55" s="61">
        <v>10693.4</v>
      </c>
      <c r="X55" s="61"/>
      <c r="Y55" s="61"/>
    </row>
    <row r="56" spans="1:25">
      <c r="A56" s="33">
        <v>2009</v>
      </c>
      <c r="B56" s="61">
        <v>728.71500000000003</v>
      </c>
      <c r="C56" s="61">
        <v>319.22800000000001</v>
      </c>
      <c r="D56" s="61">
        <v>474.92700000000002</v>
      </c>
      <c r="E56" s="61">
        <v>747.67100000000005</v>
      </c>
      <c r="F56" s="61">
        <v>11399</v>
      </c>
      <c r="G56" s="61">
        <v>111.965</v>
      </c>
      <c r="H56" s="61">
        <v>90.260999999999996</v>
      </c>
      <c r="I56" s="61">
        <v>2242.8939999999998</v>
      </c>
      <c r="J56" s="61">
        <v>3789.5639999999999</v>
      </c>
      <c r="K56" s="61">
        <v>1553</v>
      </c>
      <c r="L56" s="61">
        <v>57.454999999999998</v>
      </c>
      <c r="M56" s="61">
        <v>2165.0810000000001</v>
      </c>
      <c r="N56" s="61">
        <v>3923.7425944841675</v>
      </c>
      <c r="O56" s="61">
        <v>1225</v>
      </c>
      <c r="P56" s="61">
        <v>387.279</v>
      </c>
      <c r="Q56" s="61">
        <v>130</v>
      </c>
      <c r="R56" s="61">
        <v>98.674999999999997</v>
      </c>
      <c r="S56" s="61">
        <v>953.11599999999999</v>
      </c>
      <c r="T56" s="61">
        <v>212.22900000000001</v>
      </c>
      <c r="U56" s="61">
        <v>296.59699999999998</v>
      </c>
      <c r="V56" s="61">
        <v>1988.9570000000001</v>
      </c>
      <c r="W56" s="61">
        <v>8652</v>
      </c>
      <c r="X56" s="61">
        <v>2584.1659999999993</v>
      </c>
      <c r="Y56" s="61">
        <v>44131.522594484173</v>
      </c>
    </row>
    <row r="57" spans="1:25">
      <c r="A57" s="33">
        <v>2010</v>
      </c>
      <c r="B57" s="61">
        <v>827.40700000000004</v>
      </c>
      <c r="C57" s="61">
        <v>328.01299999999998</v>
      </c>
      <c r="D57" s="61">
        <v>546.22299999999996</v>
      </c>
      <c r="E57" s="61">
        <v>710</v>
      </c>
      <c r="F57" s="61">
        <v>12547</v>
      </c>
      <c r="G57" s="61">
        <v>153.30099999999999</v>
      </c>
      <c r="H57" s="61">
        <v>111.386</v>
      </c>
      <c r="I57" s="61">
        <v>2203.1410000000001</v>
      </c>
      <c r="J57" s="61">
        <v>2877.79</v>
      </c>
      <c r="K57" s="61">
        <v>1950</v>
      </c>
      <c r="L57" s="61">
        <v>88.385999999999996</v>
      </c>
      <c r="M57" s="61">
        <v>1967.376</v>
      </c>
      <c r="N57" s="61">
        <v>4212</v>
      </c>
      <c r="O57" s="61">
        <v>1218</v>
      </c>
      <c r="P57" s="61">
        <v>483.06099999999998</v>
      </c>
      <c r="Q57" s="61">
        <v>157</v>
      </c>
      <c r="R57" s="61">
        <v>127.754</v>
      </c>
      <c r="S57" s="61">
        <v>981.88499999999999</v>
      </c>
      <c r="T57" s="61">
        <v>288.79300000000001</v>
      </c>
      <c r="U57" s="61">
        <v>296.59699999999998</v>
      </c>
      <c r="V57" s="61">
        <v>2025.0340000000001</v>
      </c>
      <c r="W57" s="61">
        <v>9522.3389999999999</v>
      </c>
      <c r="X57" s="61">
        <v>2721.0009999999997</v>
      </c>
      <c r="Y57" s="61">
        <v>46343.487000000001</v>
      </c>
    </row>
    <row r="58" spans="1:25">
      <c r="A58" s="33">
        <v>2011</v>
      </c>
      <c r="B58" s="61">
        <v>803.45</v>
      </c>
      <c r="C58" s="61">
        <v>356.14400000000001</v>
      </c>
      <c r="D58" s="61">
        <v>572.20899999999995</v>
      </c>
      <c r="E58" s="61">
        <v>691</v>
      </c>
      <c r="F58" s="61">
        <v>13695</v>
      </c>
      <c r="G58" s="61">
        <v>170.00800000000001</v>
      </c>
      <c r="H58" s="61">
        <v>126.169</v>
      </c>
      <c r="I58" s="61">
        <v>2161</v>
      </c>
      <c r="J58" s="61">
        <v>3174</v>
      </c>
      <c r="K58" s="61">
        <v>2514</v>
      </c>
      <c r="L58" s="61">
        <v>89.896000000000001</v>
      </c>
      <c r="M58" s="61">
        <v>1743.989</v>
      </c>
      <c r="N58" s="61">
        <v>3525</v>
      </c>
      <c r="O58" s="61">
        <v>1211</v>
      </c>
      <c r="P58" s="61">
        <v>555.91700000000003</v>
      </c>
      <c r="Q58" s="61">
        <v>150</v>
      </c>
      <c r="R58" s="61">
        <v>138.345</v>
      </c>
      <c r="S58" s="61">
        <v>808.05799999999999</v>
      </c>
      <c r="T58" s="61">
        <v>304.983</v>
      </c>
      <c r="U58" s="61">
        <v>327.95499999999998</v>
      </c>
      <c r="V58" s="61">
        <v>1937.105</v>
      </c>
      <c r="W58" s="61">
        <v>10540.907999999999</v>
      </c>
      <c r="X58" s="61">
        <v>2857.8360000000002</v>
      </c>
      <c r="Y58" s="61">
        <v>48453.972000000016</v>
      </c>
    </row>
    <row r="59" spans="1:25">
      <c r="A59" s="33">
        <v>2012</v>
      </c>
      <c r="B59" s="61">
        <v>882.68</v>
      </c>
      <c r="C59" s="61">
        <v>336.01</v>
      </c>
      <c r="D59" s="61">
        <v>486.73599999999999</v>
      </c>
      <c r="E59" s="61">
        <v>732</v>
      </c>
      <c r="F59" s="61">
        <v>15249</v>
      </c>
      <c r="G59" s="61">
        <v>170.78299999999999</v>
      </c>
      <c r="H59" s="61">
        <v>111.292</v>
      </c>
      <c r="I59" s="61">
        <v>1860.5239999999999</v>
      </c>
      <c r="J59" s="61">
        <v>3082.3519999999999</v>
      </c>
      <c r="K59" s="61">
        <v>2761</v>
      </c>
      <c r="L59" s="61">
        <v>79.498000000000005</v>
      </c>
      <c r="M59" s="61">
        <v>1396.079</v>
      </c>
      <c r="N59" s="61">
        <v>4572</v>
      </c>
      <c r="O59" s="61">
        <v>1176</v>
      </c>
      <c r="P59" s="61">
        <v>502.541</v>
      </c>
      <c r="Q59" s="61">
        <v>161</v>
      </c>
      <c r="R59" s="61">
        <v>127.967</v>
      </c>
      <c r="S59" s="61">
        <v>699.58900000000006</v>
      </c>
      <c r="T59" s="61">
        <v>279.89499999999998</v>
      </c>
      <c r="U59" s="61">
        <v>334.04500000000002</v>
      </c>
      <c r="V59" s="61">
        <v>2039.9860000000001</v>
      </c>
      <c r="W59" s="61">
        <v>12038.475</v>
      </c>
      <c r="X59" s="61">
        <v>2670.777</v>
      </c>
      <c r="Y59" s="61">
        <v>51750.228999999985</v>
      </c>
    </row>
    <row r="60" spans="1:25">
      <c r="A60" s="33">
        <v>2013</v>
      </c>
      <c r="B60" s="61">
        <v>899.96500000000003</v>
      </c>
      <c r="C60" s="61">
        <v>319.03500000000003</v>
      </c>
      <c r="D60" s="61">
        <v>486.065</v>
      </c>
      <c r="E60" s="61">
        <v>759</v>
      </c>
      <c r="F60" s="61">
        <v>17523</v>
      </c>
      <c r="G60" s="61">
        <v>181.27</v>
      </c>
      <c r="H60" s="61">
        <v>103.49299999999999</v>
      </c>
      <c r="I60" s="61">
        <v>1756.251</v>
      </c>
      <c r="J60" s="61">
        <v>2952.2570000000001</v>
      </c>
      <c r="K60" s="61">
        <v>2578</v>
      </c>
      <c r="L60" s="61">
        <v>74.367000000000004</v>
      </c>
      <c r="M60" s="61">
        <v>1286.7159999999999</v>
      </c>
      <c r="N60" s="61">
        <v>4562</v>
      </c>
      <c r="O60" s="61">
        <v>1137</v>
      </c>
      <c r="P60" s="61">
        <v>417.024</v>
      </c>
      <c r="Q60" s="61">
        <v>187</v>
      </c>
      <c r="R60" s="61">
        <v>142.15100000000001</v>
      </c>
      <c r="S60" s="61">
        <v>722.70299999999997</v>
      </c>
      <c r="T60" s="61">
        <v>269.55200000000002</v>
      </c>
      <c r="U60" s="61">
        <v>307.846</v>
      </c>
      <c r="V60" s="61">
        <v>2264.7370000000001</v>
      </c>
      <c r="W60" s="61">
        <v>12333.341</v>
      </c>
      <c r="X60" s="61">
        <v>2856.348</v>
      </c>
      <c r="Y60" s="61">
        <v>54119.120999999992</v>
      </c>
    </row>
    <row r="61" spans="1:25">
      <c r="A61" s="33">
        <v>2014</v>
      </c>
      <c r="B61" s="61">
        <v>883.94899999999996</v>
      </c>
      <c r="C61" s="61">
        <v>303.31799999999998</v>
      </c>
      <c r="D61" s="61">
        <v>482.93900000000002</v>
      </c>
      <c r="E61" s="61">
        <v>806</v>
      </c>
      <c r="F61" s="61">
        <v>19367</v>
      </c>
      <c r="G61" s="61">
        <v>189.06800000000001</v>
      </c>
      <c r="H61" s="61">
        <v>106.28100000000001</v>
      </c>
      <c r="I61" s="61">
        <v>1765.2280000000001</v>
      </c>
      <c r="J61" s="61">
        <v>3036.6289999999999</v>
      </c>
      <c r="K61" s="61">
        <v>2573</v>
      </c>
      <c r="L61" s="61">
        <v>96.343999999999994</v>
      </c>
      <c r="M61" s="61">
        <v>1370.952</v>
      </c>
      <c r="N61" s="61">
        <v>4700</v>
      </c>
      <c r="O61" s="61">
        <v>1140.0327352085353</v>
      </c>
      <c r="P61" s="61">
        <v>387.82499999999999</v>
      </c>
      <c r="Q61" s="61">
        <v>226</v>
      </c>
      <c r="R61" s="61">
        <v>144.202</v>
      </c>
      <c r="S61" s="61">
        <v>855.30799999999999</v>
      </c>
      <c r="T61" s="61">
        <v>303.94600000000003</v>
      </c>
      <c r="U61" s="61">
        <v>301.892</v>
      </c>
      <c r="V61" s="61">
        <v>2476.4349999999999</v>
      </c>
      <c r="W61" s="61">
        <v>13002.618999999999</v>
      </c>
      <c r="X61" s="61">
        <v>3010.5639999999994</v>
      </c>
      <c r="Y61" s="61">
        <v>57529.531735208526</v>
      </c>
    </row>
    <row r="62" spans="1:25">
      <c r="A62" s="33">
        <v>2015</v>
      </c>
      <c r="B62" s="61">
        <v>924.154</v>
      </c>
      <c r="C62" s="61">
        <v>308.55500000000001</v>
      </c>
      <c r="D62" s="61">
        <v>501.06599999999997</v>
      </c>
      <c r="E62" s="61">
        <v>855.35617977528091</v>
      </c>
      <c r="F62" s="61">
        <v>21203</v>
      </c>
      <c r="G62" s="61">
        <v>207.38900000000001</v>
      </c>
      <c r="H62" s="61">
        <v>108.849</v>
      </c>
      <c r="I62" s="61">
        <v>1885.568</v>
      </c>
      <c r="J62" s="61">
        <v>3205.9189999999999</v>
      </c>
      <c r="K62" s="61">
        <v>2727</v>
      </c>
      <c r="L62" s="61">
        <v>124.94499999999999</v>
      </c>
      <c r="M62" s="61">
        <v>1583.616</v>
      </c>
      <c r="N62" s="61">
        <v>4216</v>
      </c>
      <c r="O62" s="61">
        <v>1309</v>
      </c>
      <c r="P62" s="61">
        <v>452.38799999999998</v>
      </c>
      <c r="Q62" s="61">
        <v>249</v>
      </c>
      <c r="R62" s="61">
        <v>150.68600000000001</v>
      </c>
      <c r="S62" s="61">
        <v>1034.232</v>
      </c>
      <c r="T62" s="61">
        <v>345.10599999999999</v>
      </c>
      <c r="U62" s="61">
        <v>323.762</v>
      </c>
      <c r="V62" s="61">
        <v>2633.5030000000002</v>
      </c>
      <c r="W62" s="61">
        <v>13623.689</v>
      </c>
      <c r="X62" s="61">
        <v>3387.7179756097566</v>
      </c>
      <c r="Y62" s="61">
        <v>61360.501155385027</v>
      </c>
    </row>
    <row r="63" spans="1:25">
      <c r="A63" s="33">
        <v>2016</v>
      </c>
      <c r="B63" s="61">
        <v>927.28</v>
      </c>
      <c r="C63" s="61">
        <v>329.60399999999998</v>
      </c>
      <c r="D63" s="61">
        <v>539.51900000000001</v>
      </c>
      <c r="E63" s="61">
        <v>888.8640449438202</v>
      </c>
      <c r="F63" s="61">
        <v>24525.547445255474</v>
      </c>
      <c r="G63" s="61">
        <v>223.142</v>
      </c>
      <c r="H63" s="61">
        <v>119.039</v>
      </c>
      <c r="I63" s="61">
        <v>1983.729</v>
      </c>
      <c r="J63" s="61">
        <v>3351.4690000000001</v>
      </c>
      <c r="K63" s="61">
        <v>2830</v>
      </c>
      <c r="L63" s="61">
        <v>146.6</v>
      </c>
      <c r="M63" s="61">
        <v>1844.18</v>
      </c>
      <c r="N63" s="61">
        <v>4146</v>
      </c>
      <c r="O63" s="61">
        <v>1325</v>
      </c>
      <c r="P63" s="61">
        <v>384.69799999999998</v>
      </c>
      <c r="Q63" s="61">
        <v>257</v>
      </c>
      <c r="R63" s="61">
        <v>154.60300000000001</v>
      </c>
      <c r="S63" s="61">
        <v>1147.0070000000001</v>
      </c>
      <c r="T63" s="61">
        <v>372.31799999999998</v>
      </c>
      <c r="U63" s="61">
        <v>317.315</v>
      </c>
      <c r="V63" s="61">
        <v>2692.7860000000001</v>
      </c>
      <c r="W63" s="61">
        <v>13843.272000000001</v>
      </c>
      <c r="X63" s="61">
        <v>3889.4460432463943</v>
      </c>
      <c r="Y63" s="61">
        <v>66238.418533445685</v>
      </c>
    </row>
    <row r="64" spans="1:25">
      <c r="A64" s="33">
        <v>2017</v>
      </c>
      <c r="B64" s="61">
        <v>916.65800000000002</v>
      </c>
      <c r="C64" s="61">
        <v>353.935</v>
      </c>
      <c r="D64" s="61">
        <v>546.55799999999999</v>
      </c>
      <c r="E64" s="61">
        <v>906.27444103668699</v>
      </c>
      <c r="F64" s="61">
        <v>27571.428571428572</v>
      </c>
      <c r="G64" s="61">
        <v>221.81800000000001</v>
      </c>
      <c r="H64" s="61">
        <v>118.533</v>
      </c>
      <c r="I64" s="61">
        <v>2107.8857142857141</v>
      </c>
      <c r="J64" s="61">
        <v>3441.261</v>
      </c>
      <c r="K64" s="61">
        <v>2950</v>
      </c>
      <c r="L64" s="61">
        <v>131.33799999999999</v>
      </c>
      <c r="M64" s="61">
        <v>1970.201</v>
      </c>
      <c r="N64" s="61">
        <v>4391</v>
      </c>
      <c r="O64" s="61">
        <v>1329.3657993200561</v>
      </c>
      <c r="P64" s="61">
        <v>418.46100000000001</v>
      </c>
      <c r="Q64" s="61">
        <v>273</v>
      </c>
      <c r="R64" s="61">
        <v>158.65</v>
      </c>
      <c r="S64" s="61">
        <v>1234.931</v>
      </c>
      <c r="T64" s="61">
        <v>379.39299999999997</v>
      </c>
      <c r="U64" s="61">
        <v>314.02800000000002</v>
      </c>
      <c r="V64" s="61">
        <v>2544.105263157895</v>
      </c>
      <c r="W64" s="61">
        <v>13399.933000000001</v>
      </c>
      <c r="X64" s="61">
        <v>4124.874771810285</v>
      </c>
      <c r="Y64" s="61">
        <v>69803.632561039209</v>
      </c>
    </row>
    <row r="65" spans="1:25">
      <c r="A65" s="33">
        <v>2018</v>
      </c>
      <c r="B65" s="61">
        <v>889.52499999999998</v>
      </c>
      <c r="C65" s="61">
        <v>349.06799999999998</v>
      </c>
      <c r="D65" s="61">
        <v>562.61599999999999</v>
      </c>
      <c r="E65" s="61">
        <v>892.44247316794065</v>
      </c>
      <c r="F65" s="61">
        <v>27874.714285714283</v>
      </c>
      <c r="G65" s="61">
        <v>222.499</v>
      </c>
      <c r="H65" s="61">
        <v>123.63</v>
      </c>
      <c r="I65" s="61">
        <v>2193.453112922839</v>
      </c>
      <c r="J65" s="61">
        <v>3451.0459999999998</v>
      </c>
      <c r="K65" s="61">
        <v>3099.5908001623138</v>
      </c>
      <c r="L65" s="61">
        <v>126.241</v>
      </c>
      <c r="M65" s="61">
        <v>1909.056</v>
      </c>
      <c r="N65" s="61">
        <v>4326.0662600309679</v>
      </c>
      <c r="O65" s="61">
        <v>1324.0917676058862</v>
      </c>
      <c r="P65" s="61">
        <v>452.47500000000002</v>
      </c>
      <c r="Q65" s="61">
        <v>270</v>
      </c>
      <c r="R65" s="61">
        <v>151.155</v>
      </c>
      <c r="S65" s="61">
        <v>1328.731</v>
      </c>
      <c r="T65" s="61">
        <v>356.916</v>
      </c>
      <c r="U65" s="61">
        <v>302.07400000000001</v>
      </c>
      <c r="V65" s="61">
        <v>2374.4189999999999</v>
      </c>
      <c r="W65" s="61">
        <v>13381.030003026313</v>
      </c>
      <c r="X65" s="61">
        <v>4360.3035003741752</v>
      </c>
      <c r="Y65" s="61">
        <v>70321.143203004729</v>
      </c>
    </row>
    <row r="67" spans="1:25">
      <c r="A67" s="33"/>
      <c r="B67" s="33"/>
      <c r="C67" s="33"/>
      <c r="D67" s="33"/>
      <c r="E67" s="33" t="s">
        <v>649</v>
      </c>
      <c r="F67" s="33"/>
      <c r="G67" s="33"/>
      <c r="H67" s="33"/>
      <c r="I67" s="33"/>
      <c r="J67" s="33"/>
      <c r="K67" s="33"/>
      <c r="L67" s="33"/>
      <c r="M67" s="33"/>
      <c r="N67" s="33"/>
      <c r="O67" s="33"/>
      <c r="P67" s="33"/>
      <c r="Q67" s="33"/>
      <c r="R67" s="33"/>
      <c r="S67" s="33"/>
      <c r="T67" s="33"/>
      <c r="U67" s="33"/>
      <c r="V67" s="33"/>
      <c r="W67" s="33"/>
      <c r="X67" s="33"/>
      <c r="Y67" s="33"/>
    </row>
    <row r="68" spans="1:25">
      <c r="A68" s="33"/>
      <c r="B68" s="143" t="s">
        <v>255</v>
      </c>
      <c r="C68" s="143" t="s">
        <v>539</v>
      </c>
      <c r="D68" s="143" t="s">
        <v>540</v>
      </c>
      <c r="E68" s="143" t="s">
        <v>238</v>
      </c>
      <c r="F68" s="143" t="s">
        <v>239</v>
      </c>
      <c r="G68" s="143" t="s">
        <v>541</v>
      </c>
      <c r="H68" s="143" t="s">
        <v>542</v>
      </c>
      <c r="I68" s="143" t="s">
        <v>240</v>
      </c>
      <c r="J68" s="143" t="s">
        <v>241</v>
      </c>
      <c r="K68" s="143" t="s">
        <v>242</v>
      </c>
      <c r="L68" s="143" t="s">
        <v>544</v>
      </c>
      <c r="M68" s="147" t="s">
        <v>538</v>
      </c>
      <c r="N68" s="143" t="s">
        <v>243</v>
      </c>
      <c r="O68" s="143" t="s">
        <v>244</v>
      </c>
      <c r="P68" s="143" t="s">
        <v>245</v>
      </c>
      <c r="Q68" s="154" t="s">
        <v>331</v>
      </c>
      <c r="R68" s="143" t="s">
        <v>246</v>
      </c>
      <c r="S68" s="143" t="s">
        <v>545</v>
      </c>
      <c r="T68" s="143" t="s">
        <v>247</v>
      </c>
      <c r="U68" s="143" t="s">
        <v>546</v>
      </c>
      <c r="V68" s="143" t="s">
        <v>248</v>
      </c>
      <c r="W68" s="143" t="s">
        <v>249</v>
      </c>
      <c r="X68" s="143" t="s">
        <v>648</v>
      </c>
      <c r="Y68" s="154" t="s">
        <v>158</v>
      </c>
    </row>
    <row r="69" spans="1:25">
      <c r="A69" s="33">
        <v>2005</v>
      </c>
      <c r="B69" s="72">
        <v>0</v>
      </c>
      <c r="C69" s="72">
        <v>0</v>
      </c>
      <c r="D69" s="72">
        <v>0</v>
      </c>
      <c r="E69" s="72">
        <v>0</v>
      </c>
      <c r="F69" s="72">
        <v>0</v>
      </c>
      <c r="G69" s="72">
        <v>0</v>
      </c>
      <c r="H69" s="72">
        <v>0</v>
      </c>
      <c r="I69" s="72">
        <v>4.8360833721429019E-4</v>
      </c>
      <c r="J69" s="72">
        <v>5.9867549034516032E-4</v>
      </c>
      <c r="K69" s="72">
        <v>9.3220338983050852E-3</v>
      </c>
      <c r="L69" s="72">
        <v>0</v>
      </c>
      <c r="M69" s="72">
        <v>0</v>
      </c>
      <c r="N69" s="72">
        <v>0</v>
      </c>
      <c r="O69" s="72">
        <v>0</v>
      </c>
      <c r="P69" s="72">
        <v>0</v>
      </c>
      <c r="Q69" s="72">
        <v>0</v>
      </c>
      <c r="R69" s="72">
        <v>0</v>
      </c>
      <c r="S69" s="72">
        <v>0</v>
      </c>
      <c r="T69" s="72">
        <v>0</v>
      </c>
      <c r="U69" s="72">
        <v>0</v>
      </c>
      <c r="V69" s="72">
        <v>9.0191620296558236E-3</v>
      </c>
      <c r="W69" s="72">
        <v>8.5204795812792913E-3</v>
      </c>
      <c r="X69" s="72">
        <v>0</v>
      </c>
      <c r="Y69" s="72"/>
    </row>
    <row r="70" spans="1:25">
      <c r="A70" s="33">
        <v>2006</v>
      </c>
      <c r="B70" s="72">
        <v>0</v>
      </c>
      <c r="C70" s="72">
        <v>0</v>
      </c>
      <c r="D70" s="72">
        <v>0</v>
      </c>
      <c r="E70" s="72">
        <v>0</v>
      </c>
      <c r="F70" s="72">
        <v>0</v>
      </c>
      <c r="G70" s="72">
        <v>0</v>
      </c>
      <c r="H70" s="72">
        <v>0</v>
      </c>
      <c r="I70" s="72">
        <v>0</v>
      </c>
      <c r="J70" s="72">
        <v>5.7695264574617142E-4</v>
      </c>
      <c r="K70" s="72">
        <v>1.0761154855643044E-2</v>
      </c>
      <c r="L70" s="72">
        <v>0</v>
      </c>
      <c r="M70" s="72">
        <v>0</v>
      </c>
      <c r="N70" s="72">
        <v>0</v>
      </c>
      <c r="O70" s="72">
        <v>0</v>
      </c>
      <c r="P70" s="72">
        <v>0</v>
      </c>
      <c r="Q70" s="72">
        <v>0</v>
      </c>
      <c r="R70" s="72">
        <v>0</v>
      </c>
      <c r="S70" s="72">
        <v>0</v>
      </c>
      <c r="T70" s="72">
        <v>0</v>
      </c>
      <c r="U70" s="72">
        <v>0</v>
      </c>
      <c r="V70" s="72">
        <v>1.3649507103502078E-2</v>
      </c>
      <c r="W70" s="72">
        <v>9.5140646597375571E-3</v>
      </c>
      <c r="X70" s="72">
        <v>0</v>
      </c>
      <c r="Y70" s="72"/>
    </row>
    <row r="71" spans="1:25">
      <c r="A71" s="33">
        <v>2007</v>
      </c>
      <c r="B71" s="72">
        <v>0</v>
      </c>
      <c r="C71" s="72">
        <v>0</v>
      </c>
      <c r="D71" s="72">
        <v>0</v>
      </c>
      <c r="E71" s="72">
        <v>0</v>
      </c>
      <c r="F71" s="72">
        <v>0</v>
      </c>
      <c r="G71" s="72">
        <v>0</v>
      </c>
      <c r="H71" s="72">
        <v>0</v>
      </c>
      <c r="I71" s="72">
        <v>0</v>
      </c>
      <c r="J71" s="72">
        <v>6.3561113056787412E-4</v>
      </c>
      <c r="K71" s="72">
        <v>9.7826086956521747E-3</v>
      </c>
      <c r="L71" s="72">
        <v>0</v>
      </c>
      <c r="M71" s="72">
        <v>0</v>
      </c>
      <c r="N71" s="72">
        <v>0</v>
      </c>
      <c r="O71" s="72">
        <v>0</v>
      </c>
      <c r="P71" s="72">
        <v>0</v>
      </c>
      <c r="Q71" s="72">
        <v>0</v>
      </c>
      <c r="R71" s="72">
        <v>7.7402376252950975E-3</v>
      </c>
      <c r="S71" s="72">
        <v>0</v>
      </c>
      <c r="T71" s="72">
        <v>0</v>
      </c>
      <c r="U71" s="72">
        <v>0</v>
      </c>
      <c r="V71" s="72">
        <v>1.8721737976379823E-2</v>
      </c>
      <c r="W71" s="72">
        <v>1.0689836756187468E-2</v>
      </c>
      <c r="X71" s="72">
        <v>0</v>
      </c>
      <c r="Y71" s="72"/>
    </row>
    <row r="72" spans="1:25">
      <c r="A72" s="33">
        <v>2008</v>
      </c>
      <c r="B72" s="72">
        <v>0</v>
      </c>
      <c r="C72" s="72">
        <v>0</v>
      </c>
      <c r="D72" s="72">
        <v>0</v>
      </c>
      <c r="E72" s="72">
        <v>0</v>
      </c>
      <c r="F72" s="72">
        <v>0</v>
      </c>
      <c r="G72" s="72">
        <v>0</v>
      </c>
      <c r="H72" s="72">
        <v>0</v>
      </c>
      <c r="I72" s="72">
        <v>0</v>
      </c>
      <c r="J72" s="72">
        <v>2.266641927889054E-3</v>
      </c>
      <c r="K72" s="72">
        <v>1.2580645161290323E-2</v>
      </c>
      <c r="L72" s="72">
        <v>0</v>
      </c>
      <c r="M72" s="72">
        <v>0</v>
      </c>
      <c r="N72" s="72">
        <v>0</v>
      </c>
      <c r="O72" s="72">
        <v>0</v>
      </c>
      <c r="P72" s="72">
        <v>2.0001920184337697E-3</v>
      </c>
      <c r="Q72" s="72">
        <v>0</v>
      </c>
      <c r="R72" s="72">
        <v>0.21716116072640407</v>
      </c>
      <c r="S72" s="72">
        <v>0</v>
      </c>
      <c r="T72" s="72">
        <v>0</v>
      </c>
      <c r="U72" s="72">
        <v>0</v>
      </c>
      <c r="V72" s="72">
        <v>1.0324484467986355E-2</v>
      </c>
      <c r="W72" s="72">
        <v>1.3746797089793705E-2</v>
      </c>
      <c r="X72" s="72">
        <v>0</v>
      </c>
      <c r="Y72" s="72"/>
    </row>
    <row r="73" spans="1:25">
      <c r="A73" s="33">
        <v>2009</v>
      </c>
      <c r="B73" s="72">
        <v>0</v>
      </c>
      <c r="C73" s="72">
        <v>1.2530229177891664E-2</v>
      </c>
      <c r="D73" s="72">
        <v>0</v>
      </c>
      <c r="E73" s="72">
        <v>0</v>
      </c>
      <c r="F73" s="72">
        <v>0</v>
      </c>
      <c r="G73" s="72">
        <v>0</v>
      </c>
      <c r="H73" s="72">
        <v>0</v>
      </c>
      <c r="I73" s="72">
        <v>4.4585254586262226E-3</v>
      </c>
      <c r="J73" s="72">
        <v>5.2776519937385946E-4</v>
      </c>
      <c r="K73" s="72">
        <v>4.4397939471989695E-2</v>
      </c>
      <c r="L73" s="72">
        <v>0</v>
      </c>
      <c r="M73" s="72">
        <v>0</v>
      </c>
      <c r="N73" s="72">
        <v>2.5231012895486578E-2</v>
      </c>
      <c r="O73" s="72">
        <v>0</v>
      </c>
      <c r="P73" s="72">
        <v>7.7463534041350025E-3</v>
      </c>
      <c r="Q73" s="72">
        <v>0</v>
      </c>
      <c r="R73" s="72">
        <v>0.15606789967063592</v>
      </c>
      <c r="S73" s="72">
        <v>0</v>
      </c>
      <c r="T73" s="72">
        <v>0</v>
      </c>
      <c r="U73" s="72">
        <v>0</v>
      </c>
      <c r="V73" s="72">
        <v>9.0499694060756468E-3</v>
      </c>
      <c r="W73" s="72">
        <v>1.5372168284789645E-2</v>
      </c>
      <c r="X73" s="72">
        <v>0</v>
      </c>
      <c r="Y73" s="72">
        <v>9.0944063654437145E-3</v>
      </c>
    </row>
    <row r="74" spans="1:25">
      <c r="A74" s="33">
        <v>2010</v>
      </c>
      <c r="B74" s="72">
        <v>4.8343801780743939E-3</v>
      </c>
      <c r="C74" s="72">
        <v>3.4144988155957234E-2</v>
      </c>
      <c r="D74" s="72">
        <v>0</v>
      </c>
      <c r="E74" s="72">
        <v>0</v>
      </c>
      <c r="F74" s="72">
        <v>1.1397146728301586E-2</v>
      </c>
      <c r="G74" s="72">
        <v>0</v>
      </c>
      <c r="H74" s="72">
        <v>0</v>
      </c>
      <c r="I74" s="72">
        <v>8.6240508437725946E-3</v>
      </c>
      <c r="J74" s="72">
        <v>4.8648442033643879E-3</v>
      </c>
      <c r="K74" s="72">
        <v>0.06</v>
      </c>
      <c r="L74" s="72">
        <v>0</v>
      </c>
      <c r="M74" s="72">
        <v>2.0331649872723872E-3</v>
      </c>
      <c r="N74" s="72">
        <v>5.7929724596391265E-2</v>
      </c>
      <c r="O74" s="72">
        <v>4.9261083743842356E-3</v>
      </c>
      <c r="P74" s="72">
        <v>2.4841583154094411E-2</v>
      </c>
      <c r="Q74" s="72">
        <v>0</v>
      </c>
      <c r="R74" s="72">
        <v>0.30527419885091661</v>
      </c>
      <c r="S74" s="72">
        <v>7.4346792139609015E-3</v>
      </c>
      <c r="T74" s="72">
        <v>2.0776126845179765E-2</v>
      </c>
      <c r="U74" s="72">
        <v>4.1470412714895974E-2</v>
      </c>
      <c r="V74" s="72">
        <v>1.3826928337993337E-2</v>
      </c>
      <c r="W74" s="72">
        <v>1.2496929588413098E-2</v>
      </c>
      <c r="X74" s="72">
        <v>1.4700472362928204E-4</v>
      </c>
      <c r="Y74" s="72">
        <v>1.6964627629336562E-2</v>
      </c>
    </row>
    <row r="75" spans="1:25">
      <c r="A75" s="33">
        <v>2011</v>
      </c>
      <c r="B75" s="72">
        <v>1.8918414338166656E-2</v>
      </c>
      <c r="C75" s="72">
        <v>0.17717552450694102</v>
      </c>
      <c r="D75" s="72">
        <v>5.0331260081543636E-2</v>
      </c>
      <c r="E75" s="72">
        <v>7.5253256150506515E-2</v>
      </c>
      <c r="F75" s="72">
        <v>3.7020810514786423E-2</v>
      </c>
      <c r="G75" s="72">
        <v>0.24410615971013125</v>
      </c>
      <c r="H75" s="72">
        <v>2.2985043869730284E-2</v>
      </c>
      <c r="I75" s="72">
        <v>0.12633040259139289</v>
      </c>
      <c r="J75" s="72">
        <v>5.1984877126654061E-2</v>
      </c>
      <c r="K75" s="72">
        <v>6.9192521877486077E-2</v>
      </c>
      <c r="L75" s="72">
        <v>5.117024116757142E-2</v>
      </c>
      <c r="M75" s="72">
        <v>6.7087579107437028E-3</v>
      </c>
      <c r="N75" s="72">
        <v>0.35801418439716309</v>
      </c>
      <c r="O75" s="72">
        <v>2.2295623451692819E-2</v>
      </c>
      <c r="P75" s="72">
        <v>0.15829701196401622</v>
      </c>
      <c r="Q75" s="72">
        <v>0</v>
      </c>
      <c r="R75" s="72">
        <v>1.3300083125519535</v>
      </c>
      <c r="S75" s="72">
        <v>7.1282011934786851E-2</v>
      </c>
      <c r="T75" s="72">
        <v>6.0003344448706981E-2</v>
      </c>
      <c r="U75" s="72">
        <v>0.13294506868320349</v>
      </c>
      <c r="V75" s="72">
        <v>6.2980581847654094E-2</v>
      </c>
      <c r="W75" s="72">
        <v>0.16820182853317761</v>
      </c>
      <c r="X75" s="72">
        <v>1.5641205443559392E-2</v>
      </c>
      <c r="Y75" s="72">
        <v>0.10234351891729328</v>
      </c>
    </row>
    <row r="76" spans="1:25">
      <c r="A76" s="33">
        <v>2012</v>
      </c>
      <c r="B76" s="72">
        <v>1.5067748221325963E-2</v>
      </c>
      <c r="C76" s="72">
        <v>0.20654147198000058</v>
      </c>
      <c r="D76" s="72">
        <v>0.18716511620262322</v>
      </c>
      <c r="E76" s="72">
        <v>0.27595628415300544</v>
      </c>
      <c r="F76" s="72">
        <v>6.4922289986228607E-2</v>
      </c>
      <c r="G76" s="72">
        <v>0.29511134012167489</v>
      </c>
      <c r="H76" s="72">
        <v>0.16083815548287389</v>
      </c>
      <c r="I76" s="72">
        <v>0.33646435090329391</v>
      </c>
      <c r="J76" s="72">
        <v>0.10933209445254793</v>
      </c>
      <c r="K76" s="72">
        <v>0.11082940963419051</v>
      </c>
      <c r="L76" s="72">
        <v>0.17484716596643943</v>
      </c>
      <c r="M76" s="72">
        <v>4.6702228169036283E-2</v>
      </c>
      <c r="N76" s="72">
        <v>0.53455818022747159</v>
      </c>
      <c r="O76" s="72">
        <v>4.336734693877551E-2</v>
      </c>
      <c r="P76" s="72">
        <v>1.0188223448435052</v>
      </c>
      <c r="Q76" s="72">
        <v>0</v>
      </c>
      <c r="R76" s="72">
        <v>3.5243461204841871</v>
      </c>
      <c r="S76" s="72">
        <v>7.8903470466230891E-2</v>
      </c>
      <c r="T76" s="72">
        <v>0.34191393201021814</v>
      </c>
      <c r="U76" s="72">
        <v>0.25655226092292954</v>
      </c>
      <c r="V76" s="72">
        <v>0.13186365004465717</v>
      </c>
      <c r="W76" s="72">
        <v>0.44224870675064742</v>
      </c>
      <c r="X76" s="72">
        <v>3.8608347201689146E-2</v>
      </c>
      <c r="Y76" s="72">
        <v>0.23522435592921317</v>
      </c>
    </row>
    <row r="77" spans="1:25">
      <c r="A77" s="33">
        <v>2013</v>
      </c>
      <c r="B77" s="72">
        <v>3.7779246970715524E-2</v>
      </c>
      <c r="C77" s="72">
        <v>0.26266710548999328</v>
      </c>
      <c r="D77" s="72">
        <v>0.16726158024132573</v>
      </c>
      <c r="E77" s="72">
        <v>0.41106719367588934</v>
      </c>
      <c r="F77" s="72">
        <v>8.7542087542087546E-2</v>
      </c>
      <c r="G77" s="72">
        <v>0.28024493848954596</v>
      </c>
      <c r="H77" s="72">
        <v>0.2106422656604795</v>
      </c>
      <c r="I77" s="72">
        <v>0.54775769522693507</v>
      </c>
      <c r="J77" s="72">
        <v>0.2347356615633395</v>
      </c>
      <c r="K77" s="72">
        <v>0.13033359193173003</v>
      </c>
      <c r="L77" s="72">
        <v>6.3200075302217371E-2</v>
      </c>
      <c r="M77" s="72">
        <v>8.1913957703176152E-2</v>
      </c>
      <c r="N77" s="72">
        <v>0.63305567733450241</v>
      </c>
      <c r="O77" s="72">
        <v>5.277044854881266E-2</v>
      </c>
      <c r="P77" s="72">
        <v>5.3761893799877232</v>
      </c>
      <c r="Q77" s="72">
        <v>8.5561497326203211E-3</v>
      </c>
      <c r="R77" s="72">
        <v>5.9936264957685834</v>
      </c>
      <c r="S77" s="72">
        <v>0.13947638241435278</v>
      </c>
      <c r="T77" s="72">
        <v>0.57725411052412889</v>
      </c>
      <c r="U77" s="72">
        <v>0.43690676507084714</v>
      </c>
      <c r="V77" s="72">
        <v>0.16558214044279757</v>
      </c>
      <c r="W77" s="72">
        <v>0.78405356666940451</v>
      </c>
      <c r="X77" s="72">
        <v>2.9968337191406656E-2</v>
      </c>
      <c r="Y77" s="72">
        <v>0.38403986642724675</v>
      </c>
    </row>
    <row r="78" spans="1:25">
      <c r="A78" s="33">
        <v>2014</v>
      </c>
      <c r="B78" s="72">
        <v>0.14955613955103744</v>
      </c>
      <c r="C78" s="72">
        <v>0.56211632675937462</v>
      </c>
      <c r="D78" s="72">
        <v>0.41847935246480406</v>
      </c>
      <c r="E78" s="72">
        <v>0.62903225806451613</v>
      </c>
      <c r="F78" s="72">
        <v>0.37780761088449427</v>
      </c>
      <c r="G78" s="72">
        <v>0.86371041106903335</v>
      </c>
      <c r="H78" s="72">
        <v>0.44786932753737729</v>
      </c>
      <c r="I78" s="72">
        <v>0.71605480991690595</v>
      </c>
      <c r="J78" s="72">
        <v>0.41954417217249784</v>
      </c>
      <c r="K78" s="72">
        <v>0.15546055188495919</v>
      </c>
      <c r="L78" s="72">
        <v>0.26675247031470567</v>
      </c>
      <c r="M78" s="72">
        <v>0.11094480331915341</v>
      </c>
      <c r="N78" s="72">
        <v>0.68702127659574463</v>
      </c>
      <c r="O78" s="72">
        <v>0.11490898107942263</v>
      </c>
      <c r="P78" s="72">
        <v>3.8909301875846061</v>
      </c>
      <c r="Q78" s="72">
        <v>0.11238938053097347</v>
      </c>
      <c r="R78" s="72">
        <v>13.7029999583917</v>
      </c>
      <c r="S78" s="72">
        <v>0.16976340686629846</v>
      </c>
      <c r="T78" s="72">
        <v>1.5381021628841962</v>
      </c>
      <c r="U78" s="72">
        <v>0.70521908497078434</v>
      </c>
      <c r="V78" s="72">
        <v>0.59521045373692427</v>
      </c>
      <c r="W78" s="72">
        <v>0.91350827091065279</v>
      </c>
      <c r="X78" s="72">
        <v>7.6596943297003478E-2</v>
      </c>
      <c r="Y78" s="72">
        <v>0.57247293705754376</v>
      </c>
    </row>
    <row r="79" spans="1:25">
      <c r="A79" s="33">
        <v>2015</v>
      </c>
      <c r="B79" s="72">
        <v>0.19163472754540908</v>
      </c>
      <c r="C79" s="72">
        <v>0.90032571178558107</v>
      </c>
      <c r="D79" s="72">
        <v>0.76017929773722437</v>
      </c>
      <c r="E79" s="72">
        <v>0.81369611450384693</v>
      </c>
      <c r="F79" s="72">
        <v>0.97806914115926991</v>
      </c>
      <c r="G79" s="72">
        <v>2.3954983147611491</v>
      </c>
      <c r="H79" s="72">
        <v>0.60358845740429401</v>
      </c>
      <c r="I79" s="72">
        <v>1.2171398750933407</v>
      </c>
      <c r="J79" s="72">
        <v>0.7233495294173059</v>
      </c>
      <c r="K79" s="72">
        <v>0.18976897689768976</v>
      </c>
      <c r="L79" s="72">
        <v>0.44739685461603113</v>
      </c>
      <c r="M79" s="72">
        <v>0.14788938732622051</v>
      </c>
      <c r="N79" s="72">
        <v>0.58467741935483863</v>
      </c>
      <c r="O79" s="72">
        <v>0.24369747899159661</v>
      </c>
      <c r="P79" s="72">
        <v>9.675322952863473</v>
      </c>
      <c r="Q79" s="72">
        <v>0.11847389558232932</v>
      </c>
      <c r="R79" s="72">
        <v>23.63192333727088</v>
      </c>
      <c r="S79" s="72">
        <v>0.22151702906117776</v>
      </c>
      <c r="T79" s="72">
        <v>2.5180669127746258</v>
      </c>
      <c r="U79" s="72">
        <v>1.736769602362229</v>
      </c>
      <c r="V79" s="72">
        <v>1.1141054329537501</v>
      </c>
      <c r="W79" s="72">
        <v>0.83582354236066314</v>
      </c>
      <c r="X79" s="72">
        <v>0.11503318836033208</v>
      </c>
      <c r="Y79" s="72">
        <v>0.90247796151091464</v>
      </c>
    </row>
    <row r="80" spans="1:25">
      <c r="A80" s="33">
        <v>2016</v>
      </c>
      <c r="B80" s="72">
        <v>0.18840048313346561</v>
      </c>
      <c r="C80" s="72">
        <v>1.5360857271149624</v>
      </c>
      <c r="D80" s="72">
        <v>1.6171812299474162</v>
      </c>
      <c r="E80" s="72">
        <v>1.302786412148317</v>
      </c>
      <c r="F80" s="72">
        <v>1.37</v>
      </c>
      <c r="G80" s="72">
        <v>0.84430541986716978</v>
      </c>
      <c r="H80" s="72">
        <v>1.2012869731768581</v>
      </c>
      <c r="I80" s="72">
        <v>1.4710174625667114</v>
      </c>
      <c r="J80" s="72">
        <v>0.75074541939668848</v>
      </c>
      <c r="K80" s="72">
        <v>0.23895759717314485</v>
      </c>
      <c r="L80" s="72">
        <v>0.47066848567530695</v>
      </c>
      <c r="M80" s="72">
        <v>0.15340151178301467</v>
      </c>
      <c r="N80" s="72">
        <v>0.59937288953207912</v>
      </c>
      <c r="O80" s="72">
        <v>0.3969811320754717</v>
      </c>
      <c r="P80" s="72">
        <v>5.9516815787968742</v>
      </c>
      <c r="Q80" s="72">
        <v>0.27782101167315176</v>
      </c>
      <c r="R80" s="72">
        <v>29.047301798800802</v>
      </c>
      <c r="S80" s="72">
        <v>0.30653692610419991</v>
      </c>
      <c r="T80" s="72">
        <v>3.5563684807073526</v>
      </c>
      <c r="U80" s="72">
        <v>1.9299434316058177</v>
      </c>
      <c r="V80" s="72">
        <v>1.3058222970559115</v>
      </c>
      <c r="W80" s="72">
        <v>1.1530510994799494</v>
      </c>
      <c r="X80" s="72">
        <v>0.13580340082546269</v>
      </c>
      <c r="Y80" s="72">
        <v>1.1362386310898671</v>
      </c>
    </row>
    <row r="81" spans="1:25">
      <c r="A81" s="33">
        <v>2017</v>
      </c>
      <c r="B81" s="72">
        <v>0.20651104337713735</v>
      </c>
      <c r="C81" s="72">
        <v>2.0212750928842866</v>
      </c>
      <c r="D81" s="72">
        <v>2.5607529301556289</v>
      </c>
      <c r="E81" s="72">
        <v>2.1226462017393763</v>
      </c>
      <c r="F81" s="72">
        <v>2.0999999999999996</v>
      </c>
      <c r="G81" s="72">
        <v>0.5914758946523726</v>
      </c>
      <c r="H81" s="72">
        <v>2.5773413311061049</v>
      </c>
      <c r="I81" s="72">
        <v>1.7447815007590544</v>
      </c>
      <c r="J81" s="72">
        <v>1.5835764854801773</v>
      </c>
      <c r="K81" s="72">
        <v>0.2830508474576271</v>
      </c>
      <c r="L81" s="72">
        <v>0.72180176338911817</v>
      </c>
      <c r="M81" s="72">
        <v>0.24515265193754346</v>
      </c>
      <c r="N81" s="72">
        <v>1.2753359143703029</v>
      </c>
      <c r="O81" s="72">
        <v>0.91065980531408097</v>
      </c>
      <c r="P81" s="72">
        <v>2.6418232523460965</v>
      </c>
      <c r="Q81" s="72">
        <v>0.40622710622710623</v>
      </c>
      <c r="R81" s="72">
        <v>39.277024897573277</v>
      </c>
      <c r="S81" s="72">
        <v>0.5903163820488756</v>
      </c>
      <c r="T81" s="72">
        <v>5.1830160282345741</v>
      </c>
      <c r="U81" s="72">
        <v>2.6039079317767841</v>
      </c>
      <c r="V81" s="72">
        <v>1.7590074061814718</v>
      </c>
      <c r="W81" s="72">
        <v>1.4513430776109104</v>
      </c>
      <c r="X81" s="72">
        <v>0.31729448102144603</v>
      </c>
      <c r="Y81" s="72">
        <v>1.6633518305579627</v>
      </c>
    </row>
    <row r="82" spans="1:25">
      <c r="A82" s="33">
        <v>2018</v>
      </c>
      <c r="B82" s="72">
        <v>0.33725864927910965</v>
      </c>
      <c r="C82" s="72">
        <v>2.6402362896921945</v>
      </c>
      <c r="D82" s="72">
        <v>3.2541572634408542</v>
      </c>
      <c r="E82" s="72">
        <v>5.4034855410703155</v>
      </c>
      <c r="F82" s="72">
        <v>3.9462287890202599</v>
      </c>
      <c r="G82" s="72">
        <v>1.0260720272900103</v>
      </c>
      <c r="H82" s="72">
        <v>4.55</v>
      </c>
      <c r="I82" s="72">
        <v>1.9583456908291597</v>
      </c>
      <c r="J82" s="72">
        <v>2.3614375580722506</v>
      </c>
      <c r="K82" s="72">
        <v>0.38714787769313308</v>
      </c>
      <c r="L82" s="72">
        <v>1.43</v>
      </c>
      <c r="M82" s="72">
        <v>0.4740346269995428</v>
      </c>
      <c r="N82" s="72">
        <v>1.4794040625614888</v>
      </c>
      <c r="O82" s="72">
        <v>1.7936823248242677</v>
      </c>
      <c r="P82" s="72">
        <v>5.7220294751956517</v>
      </c>
      <c r="Q82" s="72">
        <v>0.58555555555555561</v>
      </c>
      <c r="R82" s="72">
        <v>48.528271313648382</v>
      </c>
      <c r="S82" s="72">
        <v>0.76010658102224526</v>
      </c>
      <c r="T82" s="72">
        <v>10.303669401081681</v>
      </c>
      <c r="U82" s="72">
        <v>3.6945206904604002</v>
      </c>
      <c r="V82" s="72">
        <v>2.42</v>
      </c>
      <c r="W82" s="72">
        <v>2.6156431898055863</v>
      </c>
      <c r="X82" s="72">
        <v>0.53770724711563977</v>
      </c>
      <c r="Y82" s="72">
        <v>2.8604156566476502</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43"/>
  <sheetViews>
    <sheetView topLeftCell="A97" zoomScale="75" zoomScaleNormal="75" workbookViewId="0">
      <selection activeCell="P123" sqref="P123:AC143"/>
    </sheetView>
  </sheetViews>
  <sheetFormatPr defaultRowHeight="15"/>
  <cols>
    <col min="2" max="2" width="12.140625" customWidth="1"/>
    <col min="3" max="3" width="10.42578125" customWidth="1"/>
    <col min="7" max="7" width="13.85546875" customWidth="1"/>
    <col min="8" max="8" width="10.85546875" customWidth="1"/>
    <col min="10" max="10" width="19.5703125" customWidth="1"/>
    <col min="18" max="18" width="10.42578125" customWidth="1"/>
    <col min="21" max="21" width="13.7109375" customWidth="1"/>
    <col min="26" max="26" width="15.85546875" customWidth="1"/>
    <col min="28" max="28" width="9.42578125" customWidth="1"/>
  </cols>
  <sheetData>
    <row r="1" spans="1:36">
      <c r="A1" t="s">
        <v>5</v>
      </c>
      <c r="B1" t="s">
        <v>1395</v>
      </c>
      <c r="C1" t="s">
        <v>676</v>
      </c>
      <c r="F1" t="s">
        <v>676</v>
      </c>
      <c r="G1" t="s">
        <v>676</v>
      </c>
      <c r="H1" t="s">
        <v>676</v>
      </c>
      <c r="J1" t="s">
        <v>676</v>
      </c>
      <c r="U1" t="s">
        <v>730</v>
      </c>
      <c r="V1" s="33" t="s">
        <v>715</v>
      </c>
      <c r="W1" s="87" t="s">
        <v>1181</v>
      </c>
      <c r="X1" s="87" t="s">
        <v>1181</v>
      </c>
      <c r="Y1" s="87" t="s">
        <v>1181</v>
      </c>
      <c r="AH1" t="s">
        <v>880</v>
      </c>
      <c r="AJ1" t="s">
        <v>881</v>
      </c>
    </row>
    <row r="2" spans="1:36">
      <c r="B2" t="s">
        <v>710</v>
      </c>
      <c r="C2" t="s">
        <v>710</v>
      </c>
      <c r="D2" t="s">
        <v>714</v>
      </c>
      <c r="E2" t="s">
        <v>728</v>
      </c>
      <c r="F2" t="s">
        <v>269</v>
      </c>
      <c r="G2" t="s">
        <v>755</v>
      </c>
      <c r="H2" t="s">
        <v>269</v>
      </c>
      <c r="J2" t="s">
        <v>907</v>
      </c>
      <c r="M2" t="s">
        <v>269</v>
      </c>
      <c r="N2" t="s">
        <v>717</v>
      </c>
      <c r="O2" t="s">
        <v>725</v>
      </c>
      <c r="V2" s="33"/>
      <c r="W2" s="87" t="s">
        <v>338</v>
      </c>
      <c r="X2" s="87" t="s">
        <v>1182</v>
      </c>
      <c r="Y2" s="87" t="s">
        <v>1183</v>
      </c>
      <c r="AC2" t="s">
        <v>708</v>
      </c>
      <c r="AD2" t="s">
        <v>794</v>
      </c>
      <c r="AH2" t="s">
        <v>907</v>
      </c>
      <c r="AI2" t="s">
        <v>850</v>
      </c>
      <c r="AJ2" t="s">
        <v>907</v>
      </c>
    </row>
    <row r="3" spans="1:36">
      <c r="A3">
        <v>2009</v>
      </c>
      <c r="B3" s="3">
        <f>X3</f>
        <v>29.592572886961211</v>
      </c>
      <c r="C3" s="3">
        <f t="shared" ref="C3:C24" si="0">B3*AD3*1000</f>
        <v>47348.116619137938</v>
      </c>
      <c r="D3" s="12">
        <v>19.780267558528433</v>
      </c>
      <c r="E3" s="3">
        <f>C3*D3/100</f>
        <v>9365.5841511895505</v>
      </c>
      <c r="F3" s="3">
        <f>C3+E3</f>
        <v>56713.700770327487</v>
      </c>
      <c r="G3" s="3">
        <f>Austria!I3/AC3*AD3</f>
        <v>3222.9197754606612</v>
      </c>
      <c r="H3" s="3">
        <f>F3+G3</f>
        <v>59936.620545788144</v>
      </c>
      <c r="J3" s="3"/>
      <c r="L3">
        <v>2009</v>
      </c>
      <c r="M3" s="3">
        <f>H3</f>
        <v>59936.620545788144</v>
      </c>
      <c r="N3" s="3">
        <f>H28</f>
        <v>59936.620545788144</v>
      </c>
      <c r="O3" s="3">
        <f t="shared" ref="O3:O24" si="1">F53</f>
        <v>44079.138461538474</v>
      </c>
      <c r="T3">
        <v>2009</v>
      </c>
      <c r="U3" s="3">
        <f>'Vehicle price'!X5</f>
        <v>23</v>
      </c>
      <c r="V3">
        <v>1</v>
      </c>
      <c r="W3" s="3">
        <f t="shared" ref="W3:W24" si="2">X3*V3</f>
        <v>29.592572886961211</v>
      </c>
      <c r="X3" s="3">
        <f>'Vehicle price'!T5</f>
        <v>29.592572886961211</v>
      </c>
      <c r="Y3" s="3">
        <f>X3*Z3</f>
        <v>29.592572886961211</v>
      </c>
      <c r="Z3">
        <v>1</v>
      </c>
      <c r="AB3">
        <v>2009</v>
      </c>
      <c r="AC3">
        <v>0.71984416666666673</v>
      </c>
      <c r="AD3">
        <v>1.6</v>
      </c>
      <c r="AG3">
        <v>2009</v>
      </c>
      <c r="AI3" s="13">
        <f>CPIs!Q48</f>
        <v>97.749774769856458</v>
      </c>
    </row>
    <row r="4" spans="1:36">
      <c r="A4">
        <v>2010</v>
      </c>
      <c r="B4" s="3">
        <f t="shared" ref="B4:B24" si="3">X4</f>
        <v>30</v>
      </c>
      <c r="C4" s="3">
        <f t="shared" si="0"/>
        <v>41668.402887864271</v>
      </c>
      <c r="D4" s="12">
        <v>22.025418060200671</v>
      </c>
      <c r="E4" s="3">
        <f t="shared" ref="E4:E24" si="4">C4*D4/100</f>
        <v>9177.6399350608353</v>
      </c>
      <c r="F4" s="3">
        <f t="shared" ref="F4:F24" si="5">C4+E4</f>
        <v>50846.042822925105</v>
      </c>
      <c r="G4" s="3">
        <f>Austria!I4/AC4*AD4</f>
        <v>2654.6052631578955</v>
      </c>
      <c r="H4" s="3">
        <f>F4+G4</f>
        <v>53500.648086082998</v>
      </c>
      <c r="J4" s="3"/>
      <c r="L4">
        <v>2010</v>
      </c>
      <c r="M4" s="3">
        <f t="shared" ref="M4:M12" si="6">H4</f>
        <v>53500.648086082998</v>
      </c>
      <c r="N4" s="3">
        <f t="shared" ref="N4:N12" si="7">H29</f>
        <v>53500.648086082998</v>
      </c>
      <c r="O4" s="3">
        <f t="shared" si="1"/>
        <v>38981.966164242585</v>
      </c>
      <c r="T4">
        <v>2010</v>
      </c>
      <c r="U4" s="3">
        <f>'Vehicle price'!X6</f>
        <v>23</v>
      </c>
      <c r="V4">
        <v>1</v>
      </c>
      <c r="W4" s="3">
        <f t="shared" si="2"/>
        <v>30</v>
      </c>
      <c r="X4" s="3">
        <f>'Vehicle price'!T6</f>
        <v>30</v>
      </c>
      <c r="Y4" s="3">
        <f t="shared" ref="Y4:Y24" si="8">X4*Z4</f>
        <v>30</v>
      </c>
      <c r="Z4">
        <v>1</v>
      </c>
      <c r="AB4">
        <v>2010</v>
      </c>
      <c r="AC4">
        <v>0.75867129256384003</v>
      </c>
      <c r="AD4">
        <v>1.388946762928809</v>
      </c>
      <c r="AE4" s="3"/>
      <c r="AG4">
        <v>2010</v>
      </c>
      <c r="AH4" s="3"/>
      <c r="AI4" s="13">
        <f>CPIs!Q49</f>
        <v>100</v>
      </c>
    </row>
    <row r="5" spans="1:36">
      <c r="A5">
        <v>2011</v>
      </c>
      <c r="B5" s="3">
        <f t="shared" si="3"/>
        <v>30</v>
      </c>
      <c r="C5" s="3">
        <f t="shared" si="0"/>
        <v>37647.200134528073</v>
      </c>
      <c r="D5" s="12">
        <v>24.551137123745818</v>
      </c>
      <c r="E5" s="3">
        <f t="shared" si="4"/>
        <v>9242.8157282790071</v>
      </c>
      <c r="F5" s="3">
        <f t="shared" si="5"/>
        <v>46890.015862807079</v>
      </c>
      <c r="G5" s="3">
        <f>Austria!I5/AC5*AD5</f>
        <v>2543.3465778722925</v>
      </c>
      <c r="H5" s="3">
        <f t="shared" ref="H5:H24" si="9">F5+G5</f>
        <v>49433.362440679368</v>
      </c>
      <c r="J5" s="3"/>
      <c r="L5">
        <v>2011</v>
      </c>
      <c r="M5" s="3">
        <f t="shared" si="6"/>
        <v>49433.362440679368</v>
      </c>
      <c r="N5" s="3">
        <f t="shared" si="7"/>
        <v>49433.362440679368</v>
      </c>
      <c r="O5" s="3">
        <f t="shared" si="1"/>
        <v>35949.012161485429</v>
      </c>
      <c r="T5">
        <v>2011</v>
      </c>
      <c r="U5" s="3">
        <f>'Vehicle price'!X7</f>
        <v>23</v>
      </c>
      <c r="V5">
        <v>1</v>
      </c>
      <c r="W5" s="3">
        <f t="shared" si="2"/>
        <v>30</v>
      </c>
      <c r="X5" s="3">
        <f>'Vehicle price'!T7</f>
        <v>30</v>
      </c>
      <c r="Y5" s="3">
        <f t="shared" si="8"/>
        <v>30</v>
      </c>
      <c r="Z5">
        <v>1</v>
      </c>
      <c r="AB5">
        <v>2011</v>
      </c>
      <c r="AC5">
        <v>0.71544109992713056</v>
      </c>
      <c r="AD5">
        <v>1.2549066711509356</v>
      </c>
      <c r="AE5" s="3"/>
      <c r="AG5">
        <v>2011</v>
      </c>
      <c r="AH5" s="3"/>
      <c r="AI5" s="13">
        <f>CPIs!Q50</f>
        <v>103.99966430664063</v>
      </c>
    </row>
    <row r="6" spans="1:36">
      <c r="A6">
        <v>2012</v>
      </c>
      <c r="B6" s="3">
        <f t="shared" si="3"/>
        <v>30.842462459493706</v>
      </c>
      <c r="C6" s="3">
        <f t="shared" si="0"/>
        <v>37871.853129738185</v>
      </c>
      <c r="D6" s="12">
        <v>25.670361204013371</v>
      </c>
      <c r="E6" s="3">
        <f t="shared" si="4"/>
        <v>9721.8414930572344</v>
      </c>
      <c r="F6" s="3">
        <f t="shared" si="5"/>
        <v>47593.694622795418</v>
      </c>
      <c r="G6" s="3">
        <f>Austria!I6/AC6*AD6</f>
        <v>2300.652243739185</v>
      </c>
      <c r="H6" s="3">
        <f t="shared" si="9"/>
        <v>49894.346866534601</v>
      </c>
      <c r="J6" s="3"/>
      <c r="L6">
        <v>2012</v>
      </c>
      <c r="M6" s="3">
        <f t="shared" si="6"/>
        <v>49894.346866534601</v>
      </c>
      <c r="N6" s="3">
        <f t="shared" si="7"/>
        <v>49894.346866534601</v>
      </c>
      <c r="O6" s="3">
        <f t="shared" si="1"/>
        <v>35491.815148091264</v>
      </c>
      <c r="T6">
        <v>2012</v>
      </c>
      <c r="U6" s="3">
        <f>'Vehicle price'!X8</f>
        <v>23</v>
      </c>
      <c r="V6">
        <v>1</v>
      </c>
      <c r="W6" s="3">
        <f t="shared" si="2"/>
        <v>30.842462459493706</v>
      </c>
      <c r="X6" s="3">
        <f>'Vehicle price'!T8</f>
        <v>30.842462459493706</v>
      </c>
      <c r="Y6" s="3">
        <f t="shared" si="8"/>
        <v>30.842462459493706</v>
      </c>
      <c r="Z6">
        <v>1</v>
      </c>
      <c r="AB6">
        <v>2012</v>
      </c>
      <c r="AC6">
        <v>0.773899446716382</v>
      </c>
      <c r="AD6">
        <v>1.2279127575976263</v>
      </c>
      <c r="AE6" s="3"/>
      <c r="AG6">
        <v>2012</v>
      </c>
      <c r="AH6" s="3"/>
      <c r="AI6" s="13">
        <f>CPIs!Q51</f>
        <v>105.11068725585938</v>
      </c>
    </row>
    <row r="7" spans="1:36">
      <c r="A7">
        <v>2013</v>
      </c>
      <c r="B7" s="3">
        <f t="shared" si="3"/>
        <v>31.143929334439989</v>
      </c>
      <c r="C7" s="3">
        <f t="shared" si="0"/>
        <v>38068.827505795518</v>
      </c>
      <c r="D7" s="12">
        <v>25.191404682274243</v>
      </c>
      <c r="E7" s="3">
        <f t="shared" si="4"/>
        <v>9590.0723947818769</v>
      </c>
      <c r="F7" s="3">
        <f t="shared" si="5"/>
        <v>47658.899900577395</v>
      </c>
      <c r="G7" s="3">
        <f>Austria!I7/AC7*AD7</f>
        <v>2357.9663032934541</v>
      </c>
      <c r="H7" s="3">
        <f t="shared" si="9"/>
        <v>50016.86620387085</v>
      </c>
      <c r="J7" s="3"/>
      <c r="L7">
        <v>2013</v>
      </c>
      <c r="M7" s="3">
        <f t="shared" si="6"/>
        <v>50016.86620387085</v>
      </c>
      <c r="N7" s="3">
        <f t="shared" si="7"/>
        <v>50016.86620387085</v>
      </c>
      <c r="O7" s="3">
        <f t="shared" si="1"/>
        <v>35196.416160022425</v>
      </c>
      <c r="T7">
        <v>2013</v>
      </c>
      <c r="U7" s="3">
        <f>'Vehicle price'!X9</f>
        <v>23</v>
      </c>
      <c r="V7">
        <v>1</v>
      </c>
      <c r="W7" s="3">
        <f t="shared" si="2"/>
        <v>31.143929334439989</v>
      </c>
      <c r="X7" s="3">
        <f>'Vehicle price'!T9</f>
        <v>31.143929334439989</v>
      </c>
      <c r="Y7" s="3">
        <f t="shared" si="8"/>
        <v>31.143929334439989</v>
      </c>
      <c r="Z7">
        <v>1</v>
      </c>
      <c r="AB7">
        <v>2013</v>
      </c>
      <c r="AC7">
        <v>0.75166876437654617</v>
      </c>
      <c r="AD7">
        <v>1.2223514604400847</v>
      </c>
      <c r="AE7" s="3"/>
      <c r="AG7">
        <v>2013</v>
      </c>
      <c r="AH7" s="3"/>
      <c r="AI7" s="13">
        <f>CPIs!Q52</f>
        <v>106.31058502197266</v>
      </c>
    </row>
    <row r="8" spans="1:36">
      <c r="A8">
        <v>2014</v>
      </c>
      <c r="B8" s="3">
        <f t="shared" si="3"/>
        <v>33.541755956678692</v>
      </c>
      <c r="C8" s="3">
        <f t="shared" si="0"/>
        <v>40583.721387368489</v>
      </c>
      <c r="D8" s="12">
        <v>24.865197278911573</v>
      </c>
      <c r="E8" s="3">
        <f t="shared" si="4"/>
        <v>10091.222386093003</v>
      </c>
      <c r="F8" s="3">
        <f t="shared" si="5"/>
        <v>50674.943773461491</v>
      </c>
      <c r="G8" s="3">
        <f>Austria!I8/AC8*AD8</f>
        <v>2316.411690552829</v>
      </c>
      <c r="H8" s="3">
        <f t="shared" si="9"/>
        <v>52991.355464014319</v>
      </c>
      <c r="J8" s="3"/>
      <c r="L8">
        <v>2014</v>
      </c>
      <c r="M8" s="3">
        <f t="shared" si="6"/>
        <v>52991.355464014319</v>
      </c>
      <c r="N8" s="3">
        <f t="shared" si="7"/>
        <v>52991.355464014319</v>
      </c>
      <c r="O8" s="3">
        <f t="shared" si="1"/>
        <v>34748.440370711724</v>
      </c>
      <c r="T8">
        <v>2014</v>
      </c>
      <c r="U8" s="3">
        <f>'Vehicle price'!X10</f>
        <v>23</v>
      </c>
      <c r="V8">
        <v>1</v>
      </c>
      <c r="W8" s="3">
        <f t="shared" si="2"/>
        <v>33.541755956678692</v>
      </c>
      <c r="X8" s="3">
        <f>'Vehicle price'!T10</f>
        <v>33.541755956678692</v>
      </c>
      <c r="Y8" s="3">
        <f t="shared" si="8"/>
        <v>33.541755956678692</v>
      </c>
      <c r="Z8">
        <v>1</v>
      </c>
      <c r="AB8">
        <v>2014</v>
      </c>
      <c r="AC8">
        <v>0.757387838338895</v>
      </c>
      <c r="AD8">
        <v>1.2099462365591398</v>
      </c>
      <c r="AE8" s="3"/>
      <c r="AG8">
        <v>2014</v>
      </c>
      <c r="AH8" s="3"/>
      <c r="AI8" s="13">
        <f>CPIs!Q53</f>
        <v>107.5882568359375</v>
      </c>
    </row>
    <row r="9" spans="1:36">
      <c r="A9">
        <v>2015</v>
      </c>
      <c r="B9" s="3">
        <f t="shared" si="3"/>
        <v>30</v>
      </c>
      <c r="C9" s="3">
        <f t="shared" si="0"/>
        <v>43241.755788251568</v>
      </c>
      <c r="D9" s="12">
        <v>22.606176870748303</v>
      </c>
      <c r="E9" s="3">
        <f t="shared" si="4"/>
        <v>9775.3077955091921</v>
      </c>
      <c r="F9" s="3">
        <f t="shared" si="5"/>
        <v>53017.063583760762</v>
      </c>
      <c r="G9" s="3">
        <f>Austria!I9/AC9*AD9</f>
        <v>2307.0529013813752</v>
      </c>
      <c r="H9" s="3">
        <f t="shared" si="9"/>
        <v>55324.116485142134</v>
      </c>
      <c r="J9" s="3"/>
      <c r="L9">
        <v>2015</v>
      </c>
      <c r="M9" s="3">
        <f t="shared" si="6"/>
        <v>55324.116485142134</v>
      </c>
      <c r="N9" s="3">
        <f t="shared" si="7"/>
        <v>55324.116485142134</v>
      </c>
      <c r="O9" s="3">
        <f t="shared" si="1"/>
        <v>40646.415414216586</v>
      </c>
      <c r="T9">
        <v>2015</v>
      </c>
      <c r="U9" s="3">
        <f>'Vehicle price'!X11</f>
        <v>23</v>
      </c>
      <c r="V9">
        <v>1</v>
      </c>
      <c r="W9" s="3">
        <f t="shared" si="2"/>
        <v>30</v>
      </c>
      <c r="X9" s="3">
        <f>'Vehicle price'!T11</f>
        <v>30</v>
      </c>
      <c r="Y9" s="3">
        <f t="shared" si="8"/>
        <v>30</v>
      </c>
      <c r="Z9">
        <v>1</v>
      </c>
      <c r="AB9">
        <v>2015</v>
      </c>
      <c r="AC9">
        <v>0.90592556207997499</v>
      </c>
      <c r="AD9">
        <v>1.4413918596083857</v>
      </c>
      <c r="AE9" s="3"/>
      <c r="AG9">
        <v>2015</v>
      </c>
      <c r="AH9" s="3"/>
      <c r="AI9" s="13">
        <f>CPIs!Q54</f>
        <v>107.95767211914063</v>
      </c>
    </row>
    <row r="10" spans="1:36">
      <c r="A10">
        <v>2016</v>
      </c>
      <c r="B10" s="3">
        <f t="shared" si="3"/>
        <v>30</v>
      </c>
      <c r="C10" s="3">
        <f t="shared" si="0"/>
        <v>43070.878498806174</v>
      </c>
      <c r="D10" s="12">
        <v>21.686123333333327</v>
      </c>
      <c r="E10" s="3">
        <f t="shared" si="4"/>
        <v>9340.4038320012532</v>
      </c>
      <c r="F10" s="3">
        <f t="shared" si="5"/>
        <v>52411.282330807429</v>
      </c>
      <c r="G10" s="3">
        <f>Austria!I10/AC10*AD10</f>
        <v>2295.854246507603</v>
      </c>
      <c r="H10" s="3">
        <f t="shared" si="9"/>
        <v>54707.136577315032</v>
      </c>
      <c r="J10" s="3"/>
      <c r="L10">
        <v>2016</v>
      </c>
      <c r="M10" s="3">
        <f t="shared" si="6"/>
        <v>54707.136577315032</v>
      </c>
      <c r="N10" s="3">
        <f t="shared" si="7"/>
        <v>54707.136577315032</v>
      </c>
      <c r="O10" s="3">
        <f t="shared" si="1"/>
        <v>40181.983120285695</v>
      </c>
      <c r="T10">
        <v>2016</v>
      </c>
      <c r="U10" s="3">
        <f>'Vehicle price'!X12</f>
        <v>23</v>
      </c>
      <c r="V10">
        <v>1</v>
      </c>
      <c r="W10" s="3">
        <f t="shared" si="2"/>
        <v>30</v>
      </c>
      <c r="X10" s="3">
        <f>'Vehicle price'!T12</f>
        <v>30</v>
      </c>
      <c r="Y10" s="3">
        <f t="shared" si="8"/>
        <v>30</v>
      </c>
      <c r="Z10">
        <v>1</v>
      </c>
      <c r="AB10">
        <v>2016</v>
      </c>
      <c r="AC10">
        <v>0.90674707708863456</v>
      </c>
      <c r="AD10">
        <v>1.4356959499602058</v>
      </c>
      <c r="AE10" s="3"/>
      <c r="AG10">
        <v>2016</v>
      </c>
      <c r="AH10" s="3"/>
      <c r="AI10" s="13">
        <f>CPIs!Q55</f>
        <v>108.69094848632813</v>
      </c>
    </row>
    <row r="11" spans="1:36">
      <c r="A11">
        <v>2017</v>
      </c>
      <c r="B11" s="3">
        <f t="shared" si="3"/>
        <v>30</v>
      </c>
      <c r="C11" s="3">
        <f t="shared" si="0"/>
        <v>42157.901579665871</v>
      </c>
      <c r="D11" s="12">
        <v>22.922933333333333</v>
      </c>
      <c r="E11" s="3">
        <f t="shared" si="4"/>
        <v>9663.8276738390869</v>
      </c>
      <c r="F11" s="3">
        <f t="shared" si="5"/>
        <v>51821.729253504956</v>
      </c>
      <c r="G11" s="3">
        <f>Austria!I11/AC11*AD11</f>
        <v>2310.06534582929</v>
      </c>
      <c r="H11" s="3">
        <f t="shared" si="9"/>
        <v>54131.794599334244</v>
      </c>
      <c r="L11">
        <v>2017</v>
      </c>
      <c r="M11" s="3">
        <f t="shared" si="6"/>
        <v>54131.794599334244</v>
      </c>
      <c r="N11" s="3">
        <f t="shared" si="7"/>
        <v>54131.794599334244</v>
      </c>
      <c r="O11" s="3">
        <f t="shared" si="1"/>
        <v>39729.992427687132</v>
      </c>
      <c r="T11">
        <v>2017</v>
      </c>
      <c r="U11" s="3">
        <f>'Vehicle price'!X13</f>
        <v>23</v>
      </c>
      <c r="V11">
        <v>1</v>
      </c>
      <c r="W11" s="3">
        <f t="shared" si="2"/>
        <v>30</v>
      </c>
      <c r="X11" s="3">
        <f>'Vehicle price'!T13</f>
        <v>30</v>
      </c>
      <c r="Y11" s="3">
        <f t="shared" si="8"/>
        <v>30</v>
      </c>
      <c r="Z11">
        <v>1</v>
      </c>
      <c r="AB11">
        <v>2017</v>
      </c>
      <c r="AC11">
        <v>0.88206678367895308</v>
      </c>
      <c r="AD11">
        <v>1.4052633859888624</v>
      </c>
      <c r="AE11" s="3"/>
      <c r="AG11">
        <v>2017</v>
      </c>
      <c r="AH11" s="3"/>
      <c r="AI11" s="13">
        <f>CPIs!Q56</f>
        <v>110.43000366210937</v>
      </c>
    </row>
    <row r="12" spans="1:36">
      <c r="A12">
        <v>2018</v>
      </c>
      <c r="B12" s="3">
        <f t="shared" si="3"/>
        <v>30.592100851060948</v>
      </c>
      <c r="C12" s="3">
        <f t="shared" si="0"/>
        <v>42828.941191485326</v>
      </c>
      <c r="D12" s="83">
        <v>23</v>
      </c>
      <c r="E12" s="3">
        <f t="shared" si="4"/>
        <v>9850.6564740416252</v>
      </c>
      <c r="F12" s="3">
        <f t="shared" si="5"/>
        <v>52679.597665526948</v>
      </c>
      <c r="G12" s="3">
        <f>Austria!I12/AC12*AD12</f>
        <v>2388.2352941176468</v>
      </c>
      <c r="H12" s="3">
        <f t="shared" si="9"/>
        <v>55067.832959644598</v>
      </c>
      <c r="J12" s="3">
        <f t="shared" ref="J12:J24" si="10">AH12</f>
        <v>511</v>
      </c>
      <c r="L12">
        <v>2018</v>
      </c>
      <c r="M12" s="3">
        <f t="shared" si="6"/>
        <v>55067.832959644598</v>
      </c>
      <c r="N12" s="3">
        <f t="shared" si="7"/>
        <v>55067.832959644598</v>
      </c>
      <c r="O12" s="3">
        <f t="shared" si="1"/>
        <v>39605.999999999993</v>
      </c>
      <c r="T12">
        <v>2018</v>
      </c>
      <c r="U12" s="3">
        <f>'Vehicle price'!X14</f>
        <v>23</v>
      </c>
      <c r="V12">
        <v>1</v>
      </c>
      <c r="W12" s="3">
        <f t="shared" si="2"/>
        <v>30.592100851060948</v>
      </c>
      <c r="X12" s="3">
        <f>'Vehicle price'!T14</f>
        <v>30.592100851060948</v>
      </c>
      <c r="Y12" s="3">
        <f t="shared" si="8"/>
        <v>30.592100851060948</v>
      </c>
      <c r="Z12">
        <v>1</v>
      </c>
      <c r="AB12">
        <v>2018</v>
      </c>
      <c r="AC12" s="14">
        <v>0.85</v>
      </c>
      <c r="AD12" s="14">
        <v>1.4</v>
      </c>
      <c r="AE12" s="3"/>
      <c r="AG12">
        <v>2018</v>
      </c>
      <c r="AH12" s="3">
        <f>586-75</f>
        <v>511</v>
      </c>
      <c r="AI12" s="20">
        <f>AI11*AI11/AI10</f>
        <v>112.19688372070313</v>
      </c>
      <c r="AJ12" s="3">
        <f>AH12*AI$11/AI12</f>
        <v>502.95275590551182</v>
      </c>
    </row>
    <row r="13" spans="1:36">
      <c r="A13">
        <v>2019</v>
      </c>
      <c r="B13" s="3">
        <f t="shared" si="3"/>
        <v>31.172994053473918</v>
      </c>
      <c r="C13" s="3">
        <f t="shared" si="0"/>
        <v>43642.191674863483</v>
      </c>
      <c r="D13" s="83">
        <v>23</v>
      </c>
      <c r="E13" s="3">
        <f t="shared" si="4"/>
        <v>10037.704085218602</v>
      </c>
      <c r="F13" s="3">
        <f t="shared" si="5"/>
        <v>53679.895760082087</v>
      </c>
      <c r="G13" s="3">
        <f>Austria!I13/AC13*AD13</f>
        <v>2388.2352941176468</v>
      </c>
      <c r="H13" s="3">
        <f t="shared" si="9"/>
        <v>56068.131054199737</v>
      </c>
      <c r="J13" s="3">
        <f t="shared" si="10"/>
        <v>511</v>
      </c>
      <c r="L13">
        <v>2019</v>
      </c>
      <c r="M13" s="3">
        <f t="shared" ref="M13:M24" si="11">H13</f>
        <v>56068.131054199737</v>
      </c>
      <c r="N13" s="3">
        <f t="shared" ref="N13:N24" si="12">H38</f>
        <v>56068.131054199737</v>
      </c>
      <c r="O13" s="3">
        <f t="shared" si="1"/>
        <v>39605.999999999993</v>
      </c>
      <c r="T13">
        <v>2019</v>
      </c>
      <c r="U13" s="3">
        <f>'Vehicle price'!X15</f>
        <v>23</v>
      </c>
      <c r="V13" s="20">
        <f>V12+(V24-V12)/12</f>
        <v>1.0249999999999999</v>
      </c>
      <c r="W13" s="3">
        <f t="shared" si="2"/>
        <v>31.952318904810763</v>
      </c>
      <c r="X13" s="3">
        <f>'Vehicle price'!T15</f>
        <v>31.172994053473918</v>
      </c>
      <c r="Y13" s="3">
        <f t="shared" si="8"/>
        <v>30.393669202137069</v>
      </c>
      <c r="Z13" s="20">
        <f>Z12+(Z24-Z12)/12</f>
        <v>0.97499999999999998</v>
      </c>
      <c r="AB13">
        <v>2019</v>
      </c>
      <c r="AC13" s="14">
        <v>0.85</v>
      </c>
      <c r="AD13" s="14">
        <v>1.4</v>
      </c>
      <c r="AE13" s="3"/>
      <c r="AG13">
        <v>2019</v>
      </c>
      <c r="AH13" s="3">
        <f t="shared" ref="AH13:AH24" si="13">586-75</f>
        <v>511</v>
      </c>
      <c r="AI13" s="20">
        <f t="shared" ref="AI13:AI24" si="14">AI12*AI12/AI11</f>
        <v>113.99203386023439</v>
      </c>
      <c r="AJ13" s="3">
        <f t="shared" ref="AJ13:AJ24" si="15">AH13*AI$11/AI13</f>
        <v>495.03224006448011</v>
      </c>
    </row>
    <row r="14" spans="1:36">
      <c r="A14">
        <v>2020</v>
      </c>
      <c r="B14" s="3">
        <f t="shared" si="3"/>
        <v>30.985903123425071</v>
      </c>
      <c r="C14" s="3">
        <f t="shared" si="0"/>
        <v>43380.2643727951</v>
      </c>
      <c r="D14" s="83">
        <v>23</v>
      </c>
      <c r="E14" s="3">
        <f t="shared" si="4"/>
        <v>9977.4608057428741</v>
      </c>
      <c r="F14" s="3">
        <f t="shared" si="5"/>
        <v>53357.725178537978</v>
      </c>
      <c r="G14" s="3">
        <f>Austria!I14/AC14*AD14</f>
        <v>2388.2352941176468</v>
      </c>
      <c r="H14" s="3">
        <f t="shared" si="9"/>
        <v>55745.960472655628</v>
      </c>
      <c r="J14" s="3">
        <f t="shared" si="10"/>
        <v>511</v>
      </c>
      <c r="L14">
        <v>2020</v>
      </c>
      <c r="M14" s="3">
        <f t="shared" si="11"/>
        <v>55745.960472655628</v>
      </c>
      <c r="N14" s="3">
        <f t="shared" si="12"/>
        <v>55745.960472655628</v>
      </c>
      <c r="O14" s="3">
        <f t="shared" si="1"/>
        <v>39605.999999999993</v>
      </c>
      <c r="T14">
        <v>2020</v>
      </c>
      <c r="U14" s="3">
        <f>'Vehicle price'!X16</f>
        <v>23</v>
      </c>
      <c r="V14" s="20">
        <f>V13+(V24-V12)/12</f>
        <v>1.0499999999999998</v>
      </c>
      <c r="W14" s="3">
        <f t="shared" si="2"/>
        <v>32.535198279596322</v>
      </c>
      <c r="X14" s="3">
        <f>'Vehicle price'!T16</f>
        <v>30.985903123425071</v>
      </c>
      <c r="Y14" s="3">
        <f t="shared" si="8"/>
        <v>29.436607967253817</v>
      </c>
      <c r="Z14" s="20">
        <f>Z13+(Z24-Z12)/12</f>
        <v>0.95</v>
      </c>
      <c r="AB14">
        <v>2020</v>
      </c>
      <c r="AC14" s="14">
        <v>0.85</v>
      </c>
      <c r="AD14" s="14">
        <v>1.4</v>
      </c>
      <c r="AE14" s="3"/>
      <c r="AG14">
        <v>2020</v>
      </c>
      <c r="AH14" s="3">
        <f t="shared" si="13"/>
        <v>511</v>
      </c>
      <c r="AI14" s="20">
        <f t="shared" si="14"/>
        <v>115.81590640199815</v>
      </c>
      <c r="AJ14" s="3">
        <f t="shared" si="15"/>
        <v>487.236456756378</v>
      </c>
    </row>
    <row r="15" spans="1:36">
      <c r="A15">
        <v>2021</v>
      </c>
      <c r="B15" s="3">
        <f t="shared" si="3"/>
        <v>30.206708843097807</v>
      </c>
      <c r="C15" s="3">
        <f t="shared" si="0"/>
        <v>42289.392380336925</v>
      </c>
      <c r="D15" s="83">
        <v>23</v>
      </c>
      <c r="E15" s="3">
        <f t="shared" si="4"/>
        <v>9726.5602474774932</v>
      </c>
      <c r="F15" s="3">
        <f t="shared" si="5"/>
        <v>52015.952627814419</v>
      </c>
      <c r="G15" s="3">
        <f>Austria!I15/AC15*AD15</f>
        <v>2388.2352941176468</v>
      </c>
      <c r="H15" s="3">
        <f t="shared" si="9"/>
        <v>54404.187921932069</v>
      </c>
      <c r="J15" s="3">
        <f t="shared" si="10"/>
        <v>511</v>
      </c>
      <c r="L15">
        <v>2021</v>
      </c>
      <c r="M15" s="3">
        <f t="shared" si="11"/>
        <v>54404.187921932069</v>
      </c>
      <c r="N15" s="3">
        <f t="shared" si="12"/>
        <v>54404.187921932069</v>
      </c>
      <c r="O15" s="3">
        <f t="shared" si="1"/>
        <v>39605.999999999993</v>
      </c>
      <c r="T15">
        <v>2021</v>
      </c>
      <c r="U15" s="3">
        <f>'Vehicle price'!X17</f>
        <v>23</v>
      </c>
      <c r="V15" s="20">
        <f>V14+(V24-V12)/12</f>
        <v>1.0749999999999997</v>
      </c>
      <c r="W15" s="3">
        <f t="shared" si="2"/>
        <v>32.472212006330132</v>
      </c>
      <c r="X15" s="3">
        <f>'Vehicle price'!T17</f>
        <v>30.206708843097807</v>
      </c>
      <c r="Y15" s="3">
        <f t="shared" si="8"/>
        <v>27.941205679865469</v>
      </c>
      <c r="Z15" s="20">
        <f>Z14+(Z24-Z12)/12</f>
        <v>0.92499999999999993</v>
      </c>
      <c r="AB15">
        <v>2021</v>
      </c>
      <c r="AC15" s="14">
        <v>0.85</v>
      </c>
      <c r="AD15" s="14">
        <v>1.4</v>
      </c>
      <c r="AE15" s="3"/>
      <c r="AG15">
        <v>2021</v>
      </c>
      <c r="AH15" s="3">
        <f t="shared" si="13"/>
        <v>511</v>
      </c>
      <c r="AI15" s="20">
        <f t="shared" si="14"/>
        <v>117.66896090443014</v>
      </c>
      <c r="AJ15" s="3">
        <f t="shared" si="15"/>
        <v>479.56344168934834</v>
      </c>
    </row>
    <row r="16" spans="1:36">
      <c r="A16">
        <v>2022</v>
      </c>
      <c r="B16" s="3">
        <f t="shared" si="3"/>
        <v>30.642454642697771</v>
      </c>
      <c r="C16" s="3">
        <f t="shared" si="0"/>
        <v>42899.436499776879</v>
      </c>
      <c r="D16" s="83">
        <v>23</v>
      </c>
      <c r="E16" s="3">
        <f t="shared" si="4"/>
        <v>9866.8703949486826</v>
      </c>
      <c r="F16" s="3">
        <f t="shared" si="5"/>
        <v>52766.30689472556</v>
      </c>
      <c r="G16" s="3">
        <f>Austria!I16/AC16*AD16</f>
        <v>2388.2352941176468</v>
      </c>
      <c r="H16" s="3">
        <f t="shared" si="9"/>
        <v>55154.542188843203</v>
      </c>
      <c r="J16" s="3">
        <f t="shared" si="10"/>
        <v>511</v>
      </c>
      <c r="L16">
        <v>2022</v>
      </c>
      <c r="M16" s="3">
        <f t="shared" si="11"/>
        <v>55154.542188843203</v>
      </c>
      <c r="N16" s="3">
        <f t="shared" si="12"/>
        <v>55154.542188843203</v>
      </c>
      <c r="O16" s="3">
        <f t="shared" si="1"/>
        <v>39605.999999999993</v>
      </c>
      <c r="T16">
        <v>2022</v>
      </c>
      <c r="U16" s="3">
        <f>'Vehicle price'!X18</f>
        <v>23</v>
      </c>
      <c r="V16" s="20">
        <f>V15+(V24-V12)/12</f>
        <v>1.0999999999999996</v>
      </c>
      <c r="W16" s="3">
        <f t="shared" si="2"/>
        <v>33.706700106967538</v>
      </c>
      <c r="X16" s="3">
        <f>'Vehicle price'!T18</f>
        <v>30.642454642697771</v>
      </c>
      <c r="Y16" s="3">
        <f t="shared" si="8"/>
        <v>27.57820917842799</v>
      </c>
      <c r="Z16" s="20">
        <f>Z15+(Z24-Z12)/12</f>
        <v>0.89999999999999991</v>
      </c>
      <c r="AB16">
        <v>2022</v>
      </c>
      <c r="AC16" s="14">
        <v>0.85</v>
      </c>
      <c r="AD16" s="14">
        <v>1.4</v>
      </c>
      <c r="AE16" s="3"/>
      <c r="AG16">
        <v>2022</v>
      </c>
      <c r="AH16" s="3">
        <f t="shared" si="13"/>
        <v>511</v>
      </c>
      <c r="AI16" s="20">
        <f t="shared" si="14"/>
        <v>119.55166427890104</v>
      </c>
      <c r="AJ16" s="3">
        <f t="shared" si="15"/>
        <v>472.01126150526403</v>
      </c>
    </row>
    <row r="17" spans="1:36">
      <c r="A17">
        <v>2023</v>
      </c>
      <c r="B17" s="3">
        <f t="shared" si="3"/>
        <v>30.361546257811007</v>
      </c>
      <c r="C17" s="3">
        <f t="shared" si="0"/>
        <v>42506.164760935404</v>
      </c>
      <c r="D17" s="83">
        <v>23</v>
      </c>
      <c r="E17" s="3">
        <f t="shared" si="4"/>
        <v>9776.4178950151436</v>
      </c>
      <c r="F17" s="3">
        <f t="shared" si="5"/>
        <v>52282.582655950551</v>
      </c>
      <c r="G17" s="3">
        <f>Austria!I17/AC17*AD17</f>
        <v>2388.2352941176468</v>
      </c>
      <c r="H17" s="3">
        <f t="shared" si="9"/>
        <v>54670.817950068202</v>
      </c>
      <c r="J17" s="3">
        <f t="shared" si="10"/>
        <v>511</v>
      </c>
      <c r="L17">
        <v>2023</v>
      </c>
      <c r="M17" s="3">
        <f t="shared" si="11"/>
        <v>54670.817950068202</v>
      </c>
      <c r="N17" s="3">
        <f t="shared" si="12"/>
        <v>54670.817950068202</v>
      </c>
      <c r="O17" s="3">
        <f t="shared" si="1"/>
        <v>39605.999999999993</v>
      </c>
      <c r="T17">
        <v>2023</v>
      </c>
      <c r="U17" s="3">
        <f>'Vehicle price'!X19</f>
        <v>23</v>
      </c>
      <c r="V17" s="20">
        <f>V16+(V24-V12)/12</f>
        <v>1.1249999999999996</v>
      </c>
      <c r="W17" s="3">
        <f t="shared" si="2"/>
        <v>34.156739540037371</v>
      </c>
      <c r="X17" s="3">
        <f>'Vehicle price'!T19</f>
        <v>30.361546257811007</v>
      </c>
      <c r="Y17" s="3">
        <f t="shared" si="8"/>
        <v>26.566352975584628</v>
      </c>
      <c r="Z17" s="20">
        <f>Z16+(Z24-Z12)/12</f>
        <v>0.87499999999999989</v>
      </c>
      <c r="AB17">
        <v>2023</v>
      </c>
      <c r="AC17" s="14">
        <v>0.85</v>
      </c>
      <c r="AD17" s="14">
        <v>1.4</v>
      </c>
      <c r="AE17" s="3"/>
      <c r="AG17">
        <v>2023</v>
      </c>
      <c r="AH17" s="3">
        <f t="shared" si="13"/>
        <v>511</v>
      </c>
      <c r="AI17" s="20">
        <f t="shared" si="14"/>
        <v>121.46449090736348</v>
      </c>
      <c r="AJ17" s="3">
        <f t="shared" si="15"/>
        <v>464.57801329258263</v>
      </c>
    </row>
    <row r="18" spans="1:36">
      <c r="A18">
        <v>2024</v>
      </c>
      <c r="B18" s="3">
        <f t="shared" si="3"/>
        <v>29.275640447464834</v>
      </c>
      <c r="C18" s="3">
        <f t="shared" si="0"/>
        <v>40985.896626450769</v>
      </c>
      <c r="D18" s="83">
        <v>23</v>
      </c>
      <c r="E18" s="3">
        <f t="shared" si="4"/>
        <v>9426.7562240836778</v>
      </c>
      <c r="F18" s="3">
        <f t="shared" si="5"/>
        <v>50412.652850534447</v>
      </c>
      <c r="G18" s="3">
        <f>Austria!I18/AC18*AD18</f>
        <v>2388.2352941176468</v>
      </c>
      <c r="H18" s="3">
        <f t="shared" si="9"/>
        <v>52800.888144652097</v>
      </c>
      <c r="J18" s="3">
        <f t="shared" si="10"/>
        <v>511</v>
      </c>
      <c r="L18">
        <v>2024</v>
      </c>
      <c r="M18" s="3">
        <f t="shared" si="11"/>
        <v>52800.888144652097</v>
      </c>
      <c r="N18" s="3">
        <f t="shared" si="12"/>
        <v>52800.888144652097</v>
      </c>
      <c r="O18" s="3">
        <f t="shared" si="1"/>
        <v>39605.999999999993</v>
      </c>
      <c r="T18">
        <v>2024</v>
      </c>
      <c r="U18" s="3">
        <f>'Vehicle price'!X20</f>
        <v>23</v>
      </c>
      <c r="V18" s="20">
        <f>V17+(V24-V12)/12</f>
        <v>1.1499999999999995</v>
      </c>
      <c r="W18" s="3">
        <f t="shared" si="2"/>
        <v>33.666986514584543</v>
      </c>
      <c r="X18" s="3">
        <f>'Vehicle price'!T20</f>
        <v>29.275640447464834</v>
      </c>
      <c r="Y18" s="3">
        <f t="shared" si="8"/>
        <v>24.884294380345104</v>
      </c>
      <c r="Z18" s="20">
        <f>Z17+(Z24-Z12)/12</f>
        <v>0.84999999999999987</v>
      </c>
      <c r="AB18">
        <v>2024</v>
      </c>
      <c r="AC18" s="14">
        <v>0.85</v>
      </c>
      <c r="AD18" s="14">
        <v>1.4</v>
      </c>
      <c r="AE18" s="3"/>
      <c r="AG18">
        <v>2024</v>
      </c>
      <c r="AH18" s="3">
        <f t="shared" si="13"/>
        <v>511</v>
      </c>
      <c r="AI18" s="20">
        <f t="shared" si="14"/>
        <v>123.40792276188132</v>
      </c>
      <c r="AJ18" s="3">
        <f t="shared" si="15"/>
        <v>457.26182410687255</v>
      </c>
    </row>
    <row r="19" spans="1:36">
      <c r="A19">
        <v>2025</v>
      </c>
      <c r="B19" s="3">
        <f t="shared" si="3"/>
        <v>28.343375828936317</v>
      </c>
      <c r="C19" s="3">
        <f t="shared" si="0"/>
        <v>39680.726160510843</v>
      </c>
      <c r="D19" s="83">
        <v>23</v>
      </c>
      <c r="E19" s="3">
        <f t="shared" si="4"/>
        <v>9126.5670169174937</v>
      </c>
      <c r="F19" s="3">
        <f t="shared" si="5"/>
        <v>48807.293177428335</v>
      </c>
      <c r="G19" s="3">
        <f>Austria!I19/AC19*AD19</f>
        <v>2388.2352941176468</v>
      </c>
      <c r="H19" s="3">
        <f t="shared" si="9"/>
        <v>51195.528471545986</v>
      </c>
      <c r="J19" s="3">
        <f t="shared" si="10"/>
        <v>511</v>
      </c>
      <c r="L19">
        <v>2025</v>
      </c>
      <c r="M19" s="3">
        <f t="shared" si="11"/>
        <v>51195.528471545986</v>
      </c>
      <c r="N19" s="3">
        <f t="shared" si="12"/>
        <v>51195.528471545986</v>
      </c>
      <c r="O19" s="3">
        <f t="shared" si="1"/>
        <v>39605.999999999993</v>
      </c>
      <c r="T19">
        <v>2025</v>
      </c>
      <c r="U19" s="3">
        <f>'Vehicle price'!X21</f>
        <v>23</v>
      </c>
      <c r="V19" s="20">
        <f>V18+(V24-V12)/12</f>
        <v>1.1749999999999994</v>
      </c>
      <c r="W19" s="3">
        <f t="shared" si="2"/>
        <v>33.303466599000153</v>
      </c>
      <c r="X19" s="3">
        <f>'Vehicle price'!T21</f>
        <v>28.343375828936317</v>
      </c>
      <c r="Y19" s="3">
        <f t="shared" si="8"/>
        <v>23.383285058872456</v>
      </c>
      <c r="Z19" s="20">
        <f>Z18+(Z24-Z12)/12</f>
        <v>0.82499999999999984</v>
      </c>
      <c r="AB19">
        <v>2025</v>
      </c>
      <c r="AC19" s="14">
        <v>0.85</v>
      </c>
      <c r="AD19" s="14">
        <v>1.4</v>
      </c>
      <c r="AE19" s="3"/>
      <c r="AG19">
        <v>2025</v>
      </c>
      <c r="AH19" s="3">
        <f t="shared" si="13"/>
        <v>511</v>
      </c>
      <c r="AI19" s="20">
        <f t="shared" si="14"/>
        <v>125.38244952607144</v>
      </c>
      <c r="AJ19" s="3">
        <f t="shared" si="15"/>
        <v>450.06085049889026</v>
      </c>
    </row>
    <row r="20" spans="1:36">
      <c r="A20">
        <v>2026</v>
      </c>
      <c r="B20" s="3">
        <f t="shared" si="3"/>
        <v>27.812270474504896</v>
      </c>
      <c r="C20" s="3">
        <f t="shared" si="0"/>
        <v>38937.178664306848</v>
      </c>
      <c r="D20" s="83">
        <v>23</v>
      </c>
      <c r="E20" s="3">
        <f t="shared" si="4"/>
        <v>8955.5510927905743</v>
      </c>
      <c r="F20" s="3">
        <f t="shared" si="5"/>
        <v>47892.729757097419</v>
      </c>
      <c r="G20" s="3">
        <f>Austria!I20/AC20*AD20</f>
        <v>2388.2352941176468</v>
      </c>
      <c r="H20" s="3">
        <f t="shared" si="9"/>
        <v>50280.965051215069</v>
      </c>
      <c r="J20" s="3">
        <f t="shared" si="10"/>
        <v>511</v>
      </c>
      <c r="L20">
        <v>2026</v>
      </c>
      <c r="M20" s="3">
        <f t="shared" si="11"/>
        <v>50280.965051215069</v>
      </c>
      <c r="N20" s="3">
        <f t="shared" si="12"/>
        <v>50280.965051215069</v>
      </c>
      <c r="O20" s="3">
        <f t="shared" si="1"/>
        <v>39605.999999999993</v>
      </c>
      <c r="T20">
        <v>2026</v>
      </c>
      <c r="U20" s="3">
        <f>'Vehicle price'!X22</f>
        <v>23</v>
      </c>
      <c r="V20" s="20">
        <f>V19+(V24-V12)/12</f>
        <v>1.1999999999999993</v>
      </c>
      <c r="W20" s="3">
        <f t="shared" si="2"/>
        <v>33.374724569405856</v>
      </c>
      <c r="X20" s="3">
        <f>'Vehicle price'!T22</f>
        <v>27.812270474504896</v>
      </c>
      <c r="Y20" s="3">
        <f t="shared" si="8"/>
        <v>22.24981637960391</v>
      </c>
      <c r="Z20" s="20">
        <f>Z19+(Z24-Z12)/12</f>
        <v>0.79999999999999982</v>
      </c>
      <c r="AB20">
        <v>2026</v>
      </c>
      <c r="AC20" s="14">
        <v>0.85</v>
      </c>
      <c r="AD20" s="14">
        <v>1.4</v>
      </c>
      <c r="AE20" s="3"/>
      <c r="AG20">
        <v>2026</v>
      </c>
      <c r="AH20" s="3">
        <f t="shared" si="13"/>
        <v>511</v>
      </c>
      <c r="AI20" s="20">
        <f t="shared" si="14"/>
        <v>127.3885687184886</v>
      </c>
      <c r="AJ20" s="3">
        <f t="shared" si="15"/>
        <v>442.97327805008877</v>
      </c>
    </row>
    <row r="21" spans="1:36">
      <c r="A21">
        <v>2027</v>
      </c>
      <c r="B21" s="3">
        <f t="shared" si="3"/>
        <v>27.281165120073478</v>
      </c>
      <c r="C21" s="3">
        <f t="shared" si="0"/>
        <v>38193.631168102867</v>
      </c>
      <c r="D21" s="83">
        <v>23</v>
      </c>
      <c r="E21" s="3">
        <f t="shared" si="4"/>
        <v>8784.5351686636586</v>
      </c>
      <c r="F21" s="3">
        <f t="shared" si="5"/>
        <v>46978.166336766524</v>
      </c>
      <c r="G21" s="3">
        <f>Austria!I21/AC21*AD21</f>
        <v>2388.2352941176468</v>
      </c>
      <c r="H21" s="3">
        <f t="shared" si="9"/>
        <v>49366.401630884167</v>
      </c>
      <c r="J21" s="3">
        <f t="shared" si="10"/>
        <v>511</v>
      </c>
      <c r="L21">
        <v>2027</v>
      </c>
      <c r="M21" s="3">
        <f t="shared" si="11"/>
        <v>49366.401630884167</v>
      </c>
      <c r="N21" s="3">
        <f t="shared" si="12"/>
        <v>49366.401630884167</v>
      </c>
      <c r="O21" s="3">
        <f t="shared" si="1"/>
        <v>39605.999999999993</v>
      </c>
      <c r="T21">
        <v>2027</v>
      </c>
      <c r="U21" s="3">
        <f>'Vehicle price'!X23</f>
        <v>23</v>
      </c>
      <c r="V21" s="20">
        <f>V20+(V24-V12)/12</f>
        <v>1.2249999999999992</v>
      </c>
      <c r="W21" s="3">
        <f t="shared" si="2"/>
        <v>33.41942727208999</v>
      </c>
      <c r="X21" s="3">
        <f>'Vehicle price'!T23</f>
        <v>27.281165120073478</v>
      </c>
      <c r="Y21" s="3">
        <f t="shared" si="8"/>
        <v>21.142902968056941</v>
      </c>
      <c r="Z21" s="20">
        <f>Z20+(Z24-Z12)/12</f>
        <v>0.7749999999999998</v>
      </c>
      <c r="AB21">
        <v>2027</v>
      </c>
      <c r="AC21" s="14">
        <v>0.85</v>
      </c>
      <c r="AD21" s="14">
        <v>1.4</v>
      </c>
      <c r="AE21" s="3"/>
      <c r="AG21">
        <v>2027</v>
      </c>
      <c r="AH21" s="3">
        <f t="shared" si="13"/>
        <v>511</v>
      </c>
      <c r="AI21" s="20">
        <f t="shared" si="14"/>
        <v>129.42678581798444</v>
      </c>
      <c r="AJ21" s="3">
        <f t="shared" si="15"/>
        <v>435.99732091544166</v>
      </c>
    </row>
    <row r="22" spans="1:36">
      <c r="A22">
        <v>2028</v>
      </c>
      <c r="B22" s="3">
        <f t="shared" si="3"/>
        <v>26.683671596338133</v>
      </c>
      <c r="C22" s="3">
        <f t="shared" si="0"/>
        <v>37357.140234873383</v>
      </c>
      <c r="D22" s="83">
        <v>23</v>
      </c>
      <c r="E22" s="3">
        <f t="shared" si="4"/>
        <v>8592.1422540208787</v>
      </c>
      <c r="F22" s="3">
        <f t="shared" si="5"/>
        <v>45949.282488894263</v>
      </c>
      <c r="G22" s="3">
        <f>Austria!I22/AC22*AD22</f>
        <v>2388.2352941176468</v>
      </c>
      <c r="H22" s="3">
        <f t="shared" si="9"/>
        <v>48337.517783011906</v>
      </c>
      <c r="J22" s="3">
        <f t="shared" si="10"/>
        <v>511</v>
      </c>
      <c r="L22">
        <v>2028</v>
      </c>
      <c r="M22" s="3">
        <f t="shared" si="11"/>
        <v>48337.517783011906</v>
      </c>
      <c r="N22" s="3">
        <f t="shared" si="12"/>
        <v>48337.517783011906</v>
      </c>
      <c r="O22" s="3">
        <f t="shared" si="1"/>
        <v>39605.999999999993</v>
      </c>
      <c r="T22">
        <v>2028</v>
      </c>
      <c r="U22" s="3">
        <f>'Vehicle price'!X24</f>
        <v>23</v>
      </c>
      <c r="V22" s="20">
        <f>V21+(V24-V12)/12</f>
        <v>1.2499999999999991</v>
      </c>
      <c r="W22" s="3">
        <f t="shared" si="2"/>
        <v>33.354589495422644</v>
      </c>
      <c r="X22" s="3">
        <f>'Vehicle price'!T24</f>
        <v>26.683671596338133</v>
      </c>
      <c r="Y22" s="3">
        <f t="shared" si="8"/>
        <v>20.012753697253594</v>
      </c>
      <c r="Z22" s="20">
        <f>Z21+(Z24-Z12)/12</f>
        <v>0.74999999999999978</v>
      </c>
      <c r="AB22">
        <v>2028</v>
      </c>
      <c r="AC22" s="14">
        <v>0.85</v>
      </c>
      <c r="AD22" s="14">
        <v>1.4</v>
      </c>
      <c r="AE22" s="3"/>
      <c r="AG22">
        <v>2028</v>
      </c>
      <c r="AH22" s="3">
        <f t="shared" si="13"/>
        <v>511</v>
      </c>
      <c r="AI22" s="20">
        <f t="shared" si="14"/>
        <v>131.49761439107223</v>
      </c>
      <c r="AJ22" s="3">
        <f t="shared" si="15"/>
        <v>429.13122137346602</v>
      </c>
    </row>
    <row r="23" spans="1:36">
      <c r="A23">
        <v>2029</v>
      </c>
      <c r="B23" s="3">
        <f t="shared" si="3"/>
        <v>26.152566241906715</v>
      </c>
      <c r="C23" s="3">
        <f t="shared" si="0"/>
        <v>36613.592738669395</v>
      </c>
      <c r="D23" s="83">
        <v>23</v>
      </c>
      <c r="E23" s="3">
        <f t="shared" si="4"/>
        <v>8421.1263298939612</v>
      </c>
      <c r="F23" s="3">
        <f t="shared" si="5"/>
        <v>45034.719068563354</v>
      </c>
      <c r="G23" s="3">
        <f>Austria!I23/AC23*AD23</f>
        <v>2388.2352941176468</v>
      </c>
      <c r="H23" s="3">
        <f t="shared" si="9"/>
        <v>47422.954362681005</v>
      </c>
      <c r="J23" s="3">
        <f t="shared" si="10"/>
        <v>511</v>
      </c>
      <c r="L23">
        <v>2029</v>
      </c>
      <c r="M23" s="3">
        <f t="shared" si="11"/>
        <v>47422.954362681005</v>
      </c>
      <c r="N23" s="3">
        <f t="shared" si="12"/>
        <v>47422.954362681005</v>
      </c>
      <c r="O23" s="3">
        <f t="shared" si="1"/>
        <v>39605.999999999993</v>
      </c>
      <c r="T23">
        <v>2029</v>
      </c>
      <c r="U23" s="3">
        <f>'Vehicle price'!X25</f>
        <v>23</v>
      </c>
      <c r="V23" s="20">
        <f>V22+(V24-V12)/12</f>
        <v>1.274999999999999</v>
      </c>
      <c r="W23" s="3">
        <f t="shared" si="2"/>
        <v>33.344521958431038</v>
      </c>
      <c r="X23" s="3">
        <f>'Vehicle price'!T25</f>
        <v>26.152566241906715</v>
      </c>
      <c r="Y23" s="3">
        <f t="shared" si="8"/>
        <v>18.960610525382361</v>
      </c>
      <c r="Z23" s="20">
        <f>Z22+(Z24-Z12)/12</f>
        <v>0.72499999999999976</v>
      </c>
      <c r="AB23">
        <v>2029</v>
      </c>
      <c r="AC23" s="14">
        <v>0.85</v>
      </c>
      <c r="AD23" s="14">
        <v>1.4</v>
      </c>
      <c r="AE23" s="3"/>
      <c r="AG23">
        <v>2029</v>
      </c>
      <c r="AH23" s="3">
        <f t="shared" si="13"/>
        <v>511</v>
      </c>
      <c r="AI23" s="20">
        <f t="shared" si="14"/>
        <v>133.60157622132942</v>
      </c>
      <c r="AJ23" s="3">
        <f t="shared" si="15"/>
        <v>422.37324938333262</v>
      </c>
    </row>
    <row r="24" spans="1:36">
      <c r="A24">
        <v>2030</v>
      </c>
      <c r="B24" s="3">
        <f t="shared" si="3"/>
        <v>25.55507271817137</v>
      </c>
      <c r="C24" s="3">
        <f t="shared" si="0"/>
        <v>35777.101805439917</v>
      </c>
      <c r="D24" s="83">
        <v>23</v>
      </c>
      <c r="E24" s="3">
        <f t="shared" si="4"/>
        <v>8228.7334152511812</v>
      </c>
      <c r="F24" s="3">
        <f t="shared" si="5"/>
        <v>44005.8352206911</v>
      </c>
      <c r="G24" s="3">
        <f>Austria!I24/AC24*AD24</f>
        <v>2388.2352941176468</v>
      </c>
      <c r="H24" s="3">
        <f t="shared" si="9"/>
        <v>46394.070514808744</v>
      </c>
      <c r="J24" s="3">
        <f t="shared" si="10"/>
        <v>511</v>
      </c>
      <c r="L24">
        <v>2030</v>
      </c>
      <c r="M24" s="3">
        <f t="shared" si="11"/>
        <v>46394.070514808744</v>
      </c>
      <c r="N24" s="3">
        <f t="shared" si="12"/>
        <v>46394.070514808744</v>
      </c>
      <c r="O24" s="3">
        <f t="shared" si="1"/>
        <v>39605.999999999993</v>
      </c>
      <c r="T24">
        <v>2030</v>
      </c>
      <c r="U24" s="3">
        <f>'Vehicle price'!X26</f>
        <v>23</v>
      </c>
      <c r="V24">
        <v>1.3</v>
      </c>
      <c r="W24" s="3">
        <f t="shared" si="2"/>
        <v>33.221594533622785</v>
      </c>
      <c r="X24" s="3">
        <f>'Vehicle price'!T26</f>
        <v>25.55507271817137</v>
      </c>
      <c r="Y24" s="3">
        <f t="shared" si="8"/>
        <v>17.88855090271996</v>
      </c>
      <c r="Z24">
        <v>0.7</v>
      </c>
      <c r="AB24">
        <v>2030</v>
      </c>
      <c r="AC24" s="14">
        <v>0.85</v>
      </c>
      <c r="AD24" s="14">
        <v>1.4</v>
      </c>
      <c r="AE24" s="3"/>
      <c r="AG24">
        <v>2030</v>
      </c>
      <c r="AH24" s="3">
        <f t="shared" si="13"/>
        <v>511</v>
      </c>
      <c r="AI24" s="20">
        <f t="shared" si="14"/>
        <v>135.73920144087074</v>
      </c>
      <c r="AJ24" s="3">
        <f t="shared" si="15"/>
        <v>415.72170214894925</v>
      </c>
    </row>
    <row r="26" spans="1:36">
      <c r="A26" t="s">
        <v>324</v>
      </c>
      <c r="B26" t="s">
        <v>1395</v>
      </c>
      <c r="C26" t="s">
        <v>676</v>
      </c>
      <c r="F26" t="s">
        <v>676</v>
      </c>
      <c r="G26" t="s">
        <v>676</v>
      </c>
      <c r="H26" t="s">
        <v>676</v>
      </c>
      <c r="J26" t="s">
        <v>676</v>
      </c>
    </row>
    <row r="27" spans="1:36">
      <c r="B27" t="s">
        <v>711</v>
      </c>
      <c r="C27" t="s">
        <v>711</v>
      </c>
      <c r="D27" t="s">
        <v>714</v>
      </c>
      <c r="E27" t="s">
        <v>728</v>
      </c>
      <c r="F27" t="s">
        <v>717</v>
      </c>
      <c r="G27" t="s">
        <v>755</v>
      </c>
      <c r="H27" t="s">
        <v>717</v>
      </c>
      <c r="J27" t="s">
        <v>907</v>
      </c>
    </row>
    <row r="28" spans="1:36">
      <c r="A28">
        <v>2009</v>
      </c>
      <c r="B28" s="3">
        <f t="shared" ref="B28:B49" si="16">B3</f>
        <v>29.592572886961211</v>
      </c>
      <c r="C28" s="3">
        <f t="shared" ref="C28:C49" si="17">B28*AD3*1000</f>
        <v>47348.116619137938</v>
      </c>
      <c r="D28" s="12">
        <v>19.780267558528433</v>
      </c>
      <c r="E28" s="3">
        <f>C28*D28/100</f>
        <v>9365.5841511895505</v>
      </c>
      <c r="F28" s="3">
        <f>C28+E28</f>
        <v>56713.700770327487</v>
      </c>
      <c r="G28" s="3">
        <f>Austria!I28/AC3*AD3</f>
        <v>3222.9197754606612</v>
      </c>
      <c r="H28" s="3">
        <f>F28+G28</f>
        <v>59936.620545788144</v>
      </c>
      <c r="J28" s="3"/>
    </row>
    <row r="29" spans="1:36">
      <c r="A29">
        <v>2010</v>
      </c>
      <c r="B29" s="3">
        <f t="shared" si="16"/>
        <v>30</v>
      </c>
      <c r="C29" s="3">
        <f t="shared" si="17"/>
        <v>41668.402887864271</v>
      </c>
      <c r="D29" s="12">
        <v>22.025418060200671</v>
      </c>
      <c r="E29" s="3">
        <f t="shared" ref="E29:E49" si="18">C29*D29/100</f>
        <v>9177.6399350608353</v>
      </c>
      <c r="F29" s="3">
        <f t="shared" ref="F29:F49" si="19">C29+E29</f>
        <v>50846.042822925105</v>
      </c>
      <c r="G29" s="3">
        <f>Austria!I29/AC4*AD4</f>
        <v>2654.6052631578955</v>
      </c>
      <c r="H29" s="3">
        <f>F29+G29</f>
        <v>53500.648086082998</v>
      </c>
      <c r="J29" s="3"/>
    </row>
    <row r="30" spans="1:36">
      <c r="A30">
        <v>2011</v>
      </c>
      <c r="B30" s="3">
        <f t="shared" si="16"/>
        <v>30</v>
      </c>
      <c r="C30" s="3">
        <f t="shared" si="17"/>
        <v>37647.200134528073</v>
      </c>
      <c r="D30" s="12">
        <v>24.551137123745818</v>
      </c>
      <c r="E30" s="3">
        <f t="shared" si="18"/>
        <v>9242.8157282790071</v>
      </c>
      <c r="F30" s="3">
        <f t="shared" si="19"/>
        <v>46890.015862807079</v>
      </c>
      <c r="G30" s="3">
        <f>Austria!I30/AC5*AD5</f>
        <v>2543.3465778722925</v>
      </c>
      <c r="H30" s="3">
        <f t="shared" ref="H30:H49" si="20">F30+G30</f>
        <v>49433.362440679368</v>
      </c>
      <c r="J30" s="3"/>
    </row>
    <row r="31" spans="1:36">
      <c r="A31">
        <v>2012</v>
      </c>
      <c r="B31" s="3">
        <f t="shared" si="16"/>
        <v>30.842462459493706</v>
      </c>
      <c r="C31" s="3">
        <f t="shared" si="17"/>
        <v>37871.853129738185</v>
      </c>
      <c r="D31" s="12">
        <v>25.670361204013371</v>
      </c>
      <c r="E31" s="3">
        <f t="shared" si="18"/>
        <v>9721.8414930572344</v>
      </c>
      <c r="F31" s="3">
        <f t="shared" si="19"/>
        <v>47593.694622795418</v>
      </c>
      <c r="G31" s="3">
        <f>Austria!I31/AC6*AD6</f>
        <v>2300.652243739185</v>
      </c>
      <c r="H31" s="3">
        <f t="shared" si="20"/>
        <v>49894.346866534601</v>
      </c>
      <c r="J31" s="3"/>
    </row>
    <row r="32" spans="1:36">
      <c r="A32">
        <v>2013</v>
      </c>
      <c r="B32" s="3">
        <f t="shared" si="16"/>
        <v>31.143929334439989</v>
      </c>
      <c r="C32" s="3">
        <f t="shared" si="17"/>
        <v>38068.827505795518</v>
      </c>
      <c r="D32" s="12">
        <v>25.191404682274243</v>
      </c>
      <c r="E32" s="3">
        <f t="shared" si="18"/>
        <v>9590.0723947818769</v>
      </c>
      <c r="F32" s="3">
        <f t="shared" si="19"/>
        <v>47658.899900577395</v>
      </c>
      <c r="G32" s="3">
        <f>Austria!I32/AC7*AD7</f>
        <v>2357.9663032934541</v>
      </c>
      <c r="H32" s="3">
        <f t="shared" si="20"/>
        <v>50016.86620387085</v>
      </c>
      <c r="J32" s="3"/>
    </row>
    <row r="33" spans="1:10">
      <c r="A33">
        <v>2014</v>
      </c>
      <c r="B33" s="3">
        <f t="shared" si="16"/>
        <v>33.541755956678692</v>
      </c>
      <c r="C33" s="3">
        <f t="shared" si="17"/>
        <v>40583.721387368489</v>
      </c>
      <c r="D33" s="12">
        <v>24.865197278911573</v>
      </c>
      <c r="E33" s="3">
        <f t="shared" si="18"/>
        <v>10091.222386093003</v>
      </c>
      <c r="F33" s="3">
        <f t="shared" si="19"/>
        <v>50674.943773461491</v>
      </c>
      <c r="G33" s="3">
        <f>Austria!I33/AC8*AD8</f>
        <v>2316.411690552829</v>
      </c>
      <c r="H33" s="3">
        <f t="shared" si="20"/>
        <v>52991.355464014319</v>
      </c>
      <c r="J33" s="3"/>
    </row>
    <row r="34" spans="1:10">
      <c r="A34">
        <v>2015</v>
      </c>
      <c r="B34" s="3">
        <f t="shared" si="16"/>
        <v>30</v>
      </c>
      <c r="C34" s="3">
        <f t="shared" si="17"/>
        <v>43241.755788251568</v>
      </c>
      <c r="D34" s="12">
        <v>22.606176870748303</v>
      </c>
      <c r="E34" s="3">
        <f t="shared" si="18"/>
        <v>9775.3077955091921</v>
      </c>
      <c r="F34" s="3">
        <f t="shared" si="19"/>
        <v>53017.063583760762</v>
      </c>
      <c r="G34" s="3">
        <f>Austria!I34/AC9*AD9</f>
        <v>2307.0529013813752</v>
      </c>
      <c r="H34" s="3">
        <f t="shared" si="20"/>
        <v>55324.116485142134</v>
      </c>
      <c r="J34" s="3"/>
    </row>
    <row r="35" spans="1:10">
      <c r="A35">
        <v>2016</v>
      </c>
      <c r="B35" s="3">
        <f t="shared" si="16"/>
        <v>30</v>
      </c>
      <c r="C35" s="3">
        <f t="shared" si="17"/>
        <v>43070.878498806174</v>
      </c>
      <c r="D35" s="12">
        <v>21.686123333333327</v>
      </c>
      <c r="E35" s="3">
        <f t="shared" si="18"/>
        <v>9340.4038320012532</v>
      </c>
      <c r="F35" s="3">
        <f t="shared" si="19"/>
        <v>52411.282330807429</v>
      </c>
      <c r="G35" s="3">
        <f>Austria!I35/AC10*AD10</f>
        <v>2295.854246507603</v>
      </c>
      <c r="H35" s="3">
        <f t="shared" si="20"/>
        <v>54707.136577315032</v>
      </c>
      <c r="J35" s="3"/>
    </row>
    <row r="36" spans="1:10">
      <c r="A36">
        <v>2017</v>
      </c>
      <c r="B36" s="3">
        <f t="shared" si="16"/>
        <v>30</v>
      </c>
      <c r="C36" s="3">
        <f t="shared" si="17"/>
        <v>42157.901579665871</v>
      </c>
      <c r="D36" s="12">
        <v>22.922933333333333</v>
      </c>
      <c r="E36" s="3">
        <f t="shared" si="18"/>
        <v>9663.8276738390869</v>
      </c>
      <c r="F36" s="3">
        <f t="shared" si="19"/>
        <v>51821.729253504956</v>
      </c>
      <c r="G36" s="3">
        <f>Austria!I36/AC11*AD11</f>
        <v>2310.06534582929</v>
      </c>
      <c r="H36" s="3">
        <f t="shared" si="20"/>
        <v>54131.794599334244</v>
      </c>
      <c r="J36" s="3"/>
    </row>
    <row r="37" spans="1:10">
      <c r="A37">
        <v>2018</v>
      </c>
      <c r="B37" s="3">
        <f t="shared" si="16"/>
        <v>30.592100851060948</v>
      </c>
      <c r="C37" s="3">
        <f t="shared" si="17"/>
        <v>42828.941191485326</v>
      </c>
      <c r="D37" s="83">
        <v>23</v>
      </c>
      <c r="E37" s="3">
        <f t="shared" si="18"/>
        <v>9850.6564740416252</v>
      </c>
      <c r="F37" s="3">
        <f t="shared" si="19"/>
        <v>52679.597665526948</v>
      </c>
      <c r="G37" s="3">
        <f>Austria!I37/AC12*AD12</f>
        <v>2388.2352941176468</v>
      </c>
      <c r="H37" s="3">
        <f t="shared" si="20"/>
        <v>55067.832959644598</v>
      </c>
      <c r="J37" s="3">
        <f t="shared" ref="J37:J49" si="21">J12</f>
        <v>511</v>
      </c>
    </row>
    <row r="38" spans="1:10">
      <c r="A38">
        <v>2019</v>
      </c>
      <c r="B38" s="3">
        <f t="shared" si="16"/>
        <v>31.172994053473918</v>
      </c>
      <c r="C38" s="3">
        <f t="shared" si="17"/>
        <v>43642.191674863483</v>
      </c>
      <c r="D38" s="83">
        <v>23</v>
      </c>
      <c r="E38" s="3">
        <f t="shared" si="18"/>
        <v>10037.704085218602</v>
      </c>
      <c r="F38" s="3">
        <f t="shared" si="19"/>
        <v>53679.895760082087</v>
      </c>
      <c r="G38" s="3">
        <f>Austria!I38/AC13*AD13</f>
        <v>2388.2352941176468</v>
      </c>
      <c r="H38" s="3">
        <f t="shared" si="20"/>
        <v>56068.131054199737</v>
      </c>
      <c r="J38" s="3">
        <f t="shared" si="21"/>
        <v>511</v>
      </c>
    </row>
    <row r="39" spans="1:10">
      <c r="A39">
        <v>2020</v>
      </c>
      <c r="B39" s="3">
        <f t="shared" si="16"/>
        <v>30.985903123425071</v>
      </c>
      <c r="C39" s="3">
        <f t="shared" si="17"/>
        <v>43380.2643727951</v>
      </c>
      <c r="D39" s="83">
        <v>23</v>
      </c>
      <c r="E39" s="3">
        <f t="shared" si="18"/>
        <v>9977.4608057428741</v>
      </c>
      <c r="F39" s="3">
        <f t="shared" si="19"/>
        <v>53357.725178537978</v>
      </c>
      <c r="G39" s="3">
        <f>Austria!I39/AC14*AD14</f>
        <v>2388.2352941176468</v>
      </c>
      <c r="H39" s="3">
        <f t="shared" si="20"/>
        <v>55745.960472655628</v>
      </c>
      <c r="J39" s="3">
        <f t="shared" si="21"/>
        <v>511</v>
      </c>
    </row>
    <row r="40" spans="1:10">
      <c r="A40">
        <v>2021</v>
      </c>
      <c r="B40" s="3">
        <f t="shared" si="16"/>
        <v>30.206708843097807</v>
      </c>
      <c r="C40" s="3">
        <f t="shared" si="17"/>
        <v>42289.392380336925</v>
      </c>
      <c r="D40" s="83">
        <v>23</v>
      </c>
      <c r="E40" s="3">
        <f t="shared" si="18"/>
        <v>9726.5602474774932</v>
      </c>
      <c r="F40" s="3">
        <f t="shared" si="19"/>
        <v>52015.952627814419</v>
      </c>
      <c r="G40" s="3">
        <f>Austria!I40/AC15*AD15</f>
        <v>2388.2352941176468</v>
      </c>
      <c r="H40" s="3">
        <f t="shared" si="20"/>
        <v>54404.187921932069</v>
      </c>
      <c r="J40" s="3">
        <f t="shared" si="21"/>
        <v>511</v>
      </c>
    </row>
    <row r="41" spans="1:10">
      <c r="A41">
        <v>2022</v>
      </c>
      <c r="B41" s="3">
        <f t="shared" si="16"/>
        <v>30.642454642697771</v>
      </c>
      <c r="C41" s="3">
        <f t="shared" si="17"/>
        <v>42899.436499776879</v>
      </c>
      <c r="D41" s="83">
        <v>23</v>
      </c>
      <c r="E41" s="3">
        <f t="shared" si="18"/>
        <v>9866.8703949486826</v>
      </c>
      <c r="F41" s="3">
        <f t="shared" si="19"/>
        <v>52766.30689472556</v>
      </c>
      <c r="G41" s="3">
        <f>Austria!I41/AC16*AD16</f>
        <v>2388.2352941176468</v>
      </c>
      <c r="H41" s="3">
        <f t="shared" si="20"/>
        <v>55154.542188843203</v>
      </c>
      <c r="J41" s="3">
        <f t="shared" si="21"/>
        <v>511</v>
      </c>
    </row>
    <row r="42" spans="1:10">
      <c r="A42">
        <v>2023</v>
      </c>
      <c r="B42" s="3">
        <f t="shared" si="16"/>
        <v>30.361546257811007</v>
      </c>
      <c r="C42" s="3">
        <f t="shared" si="17"/>
        <v>42506.164760935404</v>
      </c>
      <c r="D42" s="83">
        <v>23</v>
      </c>
      <c r="E42" s="3">
        <f t="shared" si="18"/>
        <v>9776.4178950151436</v>
      </c>
      <c r="F42" s="3">
        <f t="shared" si="19"/>
        <v>52282.582655950551</v>
      </c>
      <c r="G42" s="3">
        <f>Austria!I42/AC17*AD17</f>
        <v>2388.2352941176468</v>
      </c>
      <c r="H42" s="3">
        <f t="shared" si="20"/>
        <v>54670.817950068202</v>
      </c>
      <c r="J42" s="3">
        <f t="shared" si="21"/>
        <v>511</v>
      </c>
    </row>
    <row r="43" spans="1:10">
      <c r="A43">
        <v>2024</v>
      </c>
      <c r="B43" s="3">
        <f t="shared" si="16"/>
        <v>29.275640447464834</v>
      </c>
      <c r="C43" s="3">
        <f t="shared" si="17"/>
        <v>40985.896626450769</v>
      </c>
      <c r="D43" s="83">
        <v>23</v>
      </c>
      <c r="E43" s="3">
        <f t="shared" si="18"/>
        <v>9426.7562240836778</v>
      </c>
      <c r="F43" s="3">
        <f t="shared" si="19"/>
        <v>50412.652850534447</v>
      </c>
      <c r="G43" s="3">
        <f>Austria!I43/AC18*AD18</f>
        <v>2388.2352941176468</v>
      </c>
      <c r="H43" s="3">
        <f t="shared" si="20"/>
        <v>52800.888144652097</v>
      </c>
      <c r="J43" s="3">
        <f t="shared" si="21"/>
        <v>511</v>
      </c>
    </row>
    <row r="44" spans="1:10">
      <c r="A44">
        <v>2025</v>
      </c>
      <c r="B44" s="3">
        <f t="shared" si="16"/>
        <v>28.343375828936317</v>
      </c>
      <c r="C44" s="3">
        <f t="shared" si="17"/>
        <v>39680.726160510843</v>
      </c>
      <c r="D44" s="83">
        <v>23</v>
      </c>
      <c r="E44" s="3">
        <f t="shared" si="18"/>
        <v>9126.5670169174937</v>
      </c>
      <c r="F44" s="3">
        <f t="shared" si="19"/>
        <v>48807.293177428335</v>
      </c>
      <c r="G44" s="3">
        <f>Austria!I44/AC19*AD19</f>
        <v>2388.2352941176468</v>
      </c>
      <c r="H44" s="3">
        <f t="shared" si="20"/>
        <v>51195.528471545986</v>
      </c>
      <c r="J44" s="3">
        <f t="shared" si="21"/>
        <v>511</v>
      </c>
    </row>
    <row r="45" spans="1:10">
      <c r="A45">
        <v>2026</v>
      </c>
      <c r="B45" s="3">
        <f t="shared" si="16"/>
        <v>27.812270474504896</v>
      </c>
      <c r="C45" s="3">
        <f t="shared" si="17"/>
        <v>38937.178664306848</v>
      </c>
      <c r="D45" s="83">
        <v>23</v>
      </c>
      <c r="E45" s="3">
        <f t="shared" si="18"/>
        <v>8955.5510927905743</v>
      </c>
      <c r="F45" s="3">
        <f t="shared" si="19"/>
        <v>47892.729757097419</v>
      </c>
      <c r="G45" s="3">
        <f>Austria!I45/AC20*AD20</f>
        <v>2388.2352941176468</v>
      </c>
      <c r="H45" s="3">
        <f t="shared" si="20"/>
        <v>50280.965051215069</v>
      </c>
      <c r="J45" s="3">
        <f t="shared" si="21"/>
        <v>511</v>
      </c>
    </row>
    <row r="46" spans="1:10">
      <c r="A46">
        <v>2027</v>
      </c>
      <c r="B46" s="3">
        <f t="shared" si="16"/>
        <v>27.281165120073478</v>
      </c>
      <c r="C46" s="3">
        <f t="shared" si="17"/>
        <v>38193.631168102867</v>
      </c>
      <c r="D46" s="83">
        <v>23</v>
      </c>
      <c r="E46" s="3">
        <f t="shared" si="18"/>
        <v>8784.5351686636586</v>
      </c>
      <c r="F46" s="3">
        <f t="shared" si="19"/>
        <v>46978.166336766524</v>
      </c>
      <c r="G46" s="3">
        <f>Austria!I46/AC21*AD21</f>
        <v>2388.2352941176468</v>
      </c>
      <c r="H46" s="3">
        <f t="shared" si="20"/>
        <v>49366.401630884167</v>
      </c>
      <c r="J46" s="3">
        <f t="shared" si="21"/>
        <v>511</v>
      </c>
    </row>
    <row r="47" spans="1:10">
      <c r="A47">
        <v>2028</v>
      </c>
      <c r="B47" s="3">
        <f t="shared" si="16"/>
        <v>26.683671596338133</v>
      </c>
      <c r="C47" s="3">
        <f t="shared" si="17"/>
        <v>37357.140234873383</v>
      </c>
      <c r="D47" s="83">
        <v>23</v>
      </c>
      <c r="E47" s="3">
        <f t="shared" si="18"/>
        <v>8592.1422540208787</v>
      </c>
      <c r="F47" s="3">
        <f t="shared" si="19"/>
        <v>45949.282488894263</v>
      </c>
      <c r="G47" s="3">
        <f>Austria!I47/AC22*AD22</f>
        <v>2388.2352941176468</v>
      </c>
      <c r="H47" s="3">
        <f t="shared" si="20"/>
        <v>48337.517783011906</v>
      </c>
      <c r="J47" s="3">
        <f t="shared" si="21"/>
        <v>511</v>
      </c>
    </row>
    <row r="48" spans="1:10">
      <c r="A48">
        <v>2029</v>
      </c>
      <c r="B48" s="3">
        <f t="shared" si="16"/>
        <v>26.152566241906715</v>
      </c>
      <c r="C48" s="3">
        <f t="shared" si="17"/>
        <v>36613.592738669395</v>
      </c>
      <c r="D48" s="83">
        <v>23</v>
      </c>
      <c r="E48" s="3">
        <f t="shared" si="18"/>
        <v>8421.1263298939612</v>
      </c>
      <c r="F48" s="3">
        <f t="shared" si="19"/>
        <v>45034.719068563354</v>
      </c>
      <c r="G48" s="3">
        <f>Austria!I48/AC23*AD23</f>
        <v>2388.2352941176468</v>
      </c>
      <c r="H48" s="3">
        <f t="shared" si="20"/>
        <v>47422.954362681005</v>
      </c>
      <c r="J48" s="3">
        <f t="shared" si="21"/>
        <v>511</v>
      </c>
    </row>
    <row r="49" spans="1:10">
      <c r="A49">
        <v>2030</v>
      </c>
      <c r="B49" s="3">
        <f t="shared" si="16"/>
        <v>25.55507271817137</v>
      </c>
      <c r="C49" s="3">
        <f t="shared" si="17"/>
        <v>35777.101805439917</v>
      </c>
      <c r="D49" s="83">
        <v>23</v>
      </c>
      <c r="E49" s="3">
        <f t="shared" si="18"/>
        <v>8228.7334152511812</v>
      </c>
      <c r="F49" s="3">
        <f t="shared" si="19"/>
        <v>44005.8352206911</v>
      </c>
      <c r="G49" s="3">
        <f>Austria!I49/AC24*AD24</f>
        <v>2388.2352941176468</v>
      </c>
      <c r="H49" s="3">
        <f t="shared" si="20"/>
        <v>46394.070514808744</v>
      </c>
      <c r="J49" s="3">
        <f t="shared" si="21"/>
        <v>511</v>
      </c>
    </row>
    <row r="51" spans="1:10">
      <c r="A51" t="s">
        <v>716</v>
      </c>
      <c r="B51" t="s">
        <v>1395</v>
      </c>
      <c r="C51" t="s">
        <v>676</v>
      </c>
      <c r="F51" t="s">
        <v>676</v>
      </c>
    </row>
    <row r="52" spans="1:10">
      <c r="B52" t="s">
        <v>724</v>
      </c>
      <c r="C52" t="s">
        <v>724</v>
      </c>
      <c r="D52" t="s">
        <v>714</v>
      </c>
      <c r="E52" t="s">
        <v>728</v>
      </c>
      <c r="F52" t="s">
        <v>725</v>
      </c>
    </row>
    <row r="53" spans="1:10">
      <c r="A53">
        <v>2009</v>
      </c>
      <c r="B53" s="3">
        <f t="shared" ref="B53:B74" si="22">U3</f>
        <v>23</v>
      </c>
      <c r="C53" s="3">
        <f t="shared" ref="C53:C74" si="23">B53*AD3*1000</f>
        <v>36800.000000000007</v>
      </c>
      <c r="D53" s="12">
        <v>19.780267558528433</v>
      </c>
      <c r="E53" s="3">
        <f>C53*D53/100</f>
        <v>7279.138461538465</v>
      </c>
      <c r="F53" s="3">
        <f>C53+E53</f>
        <v>44079.138461538474</v>
      </c>
    </row>
    <row r="54" spans="1:10">
      <c r="A54">
        <v>2010</v>
      </c>
      <c r="B54" s="3">
        <f t="shared" si="22"/>
        <v>23</v>
      </c>
      <c r="C54" s="3">
        <f t="shared" si="23"/>
        <v>31945.775547362609</v>
      </c>
      <c r="D54" s="12">
        <v>22.025418060200671</v>
      </c>
      <c r="E54" s="3">
        <f t="shared" ref="E54:E74" si="24">C54*D54/100</f>
        <v>7036.1906168799742</v>
      </c>
      <c r="F54" s="3">
        <f t="shared" ref="F54:F74" si="25">C54+E54</f>
        <v>38981.966164242585</v>
      </c>
    </row>
    <row r="55" spans="1:10">
      <c r="A55">
        <v>2011</v>
      </c>
      <c r="B55" s="3">
        <f t="shared" si="22"/>
        <v>23</v>
      </c>
      <c r="C55" s="3">
        <f t="shared" si="23"/>
        <v>28862.85343647152</v>
      </c>
      <c r="D55" s="12">
        <v>24.551137123745818</v>
      </c>
      <c r="E55" s="3">
        <f t="shared" si="24"/>
        <v>7086.1587250139055</v>
      </c>
      <c r="F55" s="3">
        <f t="shared" si="25"/>
        <v>35949.012161485429</v>
      </c>
    </row>
    <row r="56" spans="1:10">
      <c r="A56">
        <v>2012</v>
      </c>
      <c r="B56" s="3">
        <f t="shared" si="22"/>
        <v>23</v>
      </c>
      <c r="C56" s="3">
        <f t="shared" si="23"/>
        <v>28241.993424745408</v>
      </c>
      <c r="D56" s="12">
        <v>25.670361204013371</v>
      </c>
      <c r="E56" s="3">
        <f t="shared" si="24"/>
        <v>7249.8217233458527</v>
      </c>
      <c r="F56" s="3">
        <f t="shared" si="25"/>
        <v>35491.815148091264</v>
      </c>
    </row>
    <row r="57" spans="1:10">
      <c r="A57">
        <v>2013</v>
      </c>
      <c r="B57" s="3">
        <f t="shared" si="22"/>
        <v>23</v>
      </c>
      <c r="C57" s="3">
        <f t="shared" si="23"/>
        <v>28114.083590121947</v>
      </c>
      <c r="D57" s="12">
        <v>25.191404682274243</v>
      </c>
      <c r="E57" s="3">
        <f t="shared" si="24"/>
        <v>7082.3325699004754</v>
      </c>
      <c r="F57" s="3">
        <f t="shared" si="25"/>
        <v>35196.416160022425</v>
      </c>
    </row>
    <row r="58" spans="1:10">
      <c r="A58">
        <v>2014</v>
      </c>
      <c r="B58" s="3">
        <f t="shared" si="22"/>
        <v>23</v>
      </c>
      <c r="C58" s="3">
        <f t="shared" si="23"/>
        <v>27828.763440860213</v>
      </c>
      <c r="D58" s="12">
        <v>24.865197278911573</v>
      </c>
      <c r="E58" s="3">
        <f t="shared" si="24"/>
        <v>6919.6769298515119</v>
      </c>
      <c r="F58" s="3">
        <f t="shared" si="25"/>
        <v>34748.440370711724</v>
      </c>
    </row>
    <row r="59" spans="1:10">
      <c r="A59">
        <v>2015</v>
      </c>
      <c r="B59" s="3">
        <f t="shared" si="22"/>
        <v>23</v>
      </c>
      <c r="C59" s="3">
        <f t="shared" si="23"/>
        <v>33152.012770992871</v>
      </c>
      <c r="D59" s="12">
        <v>22.606176870748303</v>
      </c>
      <c r="E59" s="3">
        <f t="shared" si="24"/>
        <v>7494.4026432237142</v>
      </c>
      <c r="F59" s="3">
        <f t="shared" si="25"/>
        <v>40646.415414216586</v>
      </c>
    </row>
    <row r="60" spans="1:10">
      <c r="A60">
        <v>2016</v>
      </c>
      <c r="B60" s="3">
        <f t="shared" si="22"/>
        <v>23</v>
      </c>
      <c r="C60" s="3">
        <f t="shared" si="23"/>
        <v>33021.006849084733</v>
      </c>
      <c r="D60" s="12">
        <v>21.686123333333327</v>
      </c>
      <c r="E60" s="3">
        <f t="shared" si="24"/>
        <v>7160.9762712009597</v>
      </c>
      <c r="F60" s="3">
        <f t="shared" si="25"/>
        <v>40181.983120285695</v>
      </c>
    </row>
    <row r="61" spans="1:10">
      <c r="A61">
        <v>2017</v>
      </c>
      <c r="B61" s="3">
        <f t="shared" si="22"/>
        <v>23</v>
      </c>
      <c r="C61" s="3">
        <f t="shared" si="23"/>
        <v>32321.057877743831</v>
      </c>
      <c r="D61" s="12">
        <v>22.922933333333333</v>
      </c>
      <c r="E61" s="3">
        <f t="shared" si="24"/>
        <v>7408.9345499432993</v>
      </c>
      <c r="F61" s="3">
        <f t="shared" si="25"/>
        <v>39729.992427687132</v>
      </c>
    </row>
    <row r="62" spans="1:10">
      <c r="A62">
        <v>2018</v>
      </c>
      <c r="B62" s="3">
        <f t="shared" si="22"/>
        <v>23</v>
      </c>
      <c r="C62" s="3">
        <f t="shared" si="23"/>
        <v>32199.999999999996</v>
      </c>
      <c r="D62" s="83">
        <v>23</v>
      </c>
      <c r="E62" s="3">
        <f t="shared" si="24"/>
        <v>7405.9999999999991</v>
      </c>
      <c r="F62" s="3">
        <f t="shared" si="25"/>
        <v>39605.999999999993</v>
      </c>
    </row>
    <row r="63" spans="1:10">
      <c r="A63">
        <v>2019</v>
      </c>
      <c r="B63" s="3">
        <f t="shared" si="22"/>
        <v>23</v>
      </c>
      <c r="C63" s="3">
        <f t="shared" si="23"/>
        <v>32199.999999999996</v>
      </c>
      <c r="D63" s="83">
        <v>23</v>
      </c>
      <c r="E63" s="3">
        <f t="shared" si="24"/>
        <v>7405.9999999999991</v>
      </c>
      <c r="F63" s="3">
        <f t="shared" si="25"/>
        <v>39605.999999999993</v>
      </c>
    </row>
    <row r="64" spans="1:10">
      <c r="A64">
        <v>2020</v>
      </c>
      <c r="B64" s="3">
        <f t="shared" si="22"/>
        <v>23</v>
      </c>
      <c r="C64" s="3">
        <f t="shared" si="23"/>
        <v>32199.999999999996</v>
      </c>
      <c r="D64" s="83">
        <v>23</v>
      </c>
      <c r="E64" s="3">
        <f t="shared" si="24"/>
        <v>7405.9999999999991</v>
      </c>
      <c r="F64" s="3">
        <f t="shared" si="25"/>
        <v>39605.999999999993</v>
      </c>
    </row>
    <row r="65" spans="1:6">
      <c r="A65">
        <v>2021</v>
      </c>
      <c r="B65" s="3">
        <f t="shared" si="22"/>
        <v>23</v>
      </c>
      <c r="C65" s="3">
        <f t="shared" si="23"/>
        <v>32199.999999999996</v>
      </c>
      <c r="D65" s="83">
        <v>23</v>
      </c>
      <c r="E65" s="3">
        <f t="shared" si="24"/>
        <v>7405.9999999999991</v>
      </c>
      <c r="F65" s="3">
        <f t="shared" si="25"/>
        <v>39605.999999999993</v>
      </c>
    </row>
    <row r="66" spans="1:6">
      <c r="A66">
        <v>2022</v>
      </c>
      <c r="B66" s="3">
        <f t="shared" si="22"/>
        <v>23</v>
      </c>
      <c r="C66" s="3">
        <f t="shared" si="23"/>
        <v>32199.999999999996</v>
      </c>
      <c r="D66" s="83">
        <v>23</v>
      </c>
      <c r="E66" s="3">
        <f t="shared" si="24"/>
        <v>7405.9999999999991</v>
      </c>
      <c r="F66" s="3">
        <f t="shared" si="25"/>
        <v>39605.999999999993</v>
      </c>
    </row>
    <row r="67" spans="1:6">
      <c r="A67">
        <v>2023</v>
      </c>
      <c r="B67" s="3">
        <f t="shared" si="22"/>
        <v>23</v>
      </c>
      <c r="C67" s="3">
        <f t="shared" si="23"/>
        <v>32199.999999999996</v>
      </c>
      <c r="D67" s="83">
        <v>23</v>
      </c>
      <c r="E67" s="3">
        <f t="shared" si="24"/>
        <v>7405.9999999999991</v>
      </c>
      <c r="F67" s="3">
        <f t="shared" si="25"/>
        <v>39605.999999999993</v>
      </c>
    </row>
    <row r="68" spans="1:6">
      <c r="A68">
        <v>2024</v>
      </c>
      <c r="B68" s="3">
        <f t="shared" si="22"/>
        <v>23</v>
      </c>
      <c r="C68" s="3">
        <f t="shared" si="23"/>
        <v>32199.999999999996</v>
      </c>
      <c r="D68" s="83">
        <v>23</v>
      </c>
      <c r="E68" s="3">
        <f t="shared" si="24"/>
        <v>7405.9999999999991</v>
      </c>
      <c r="F68" s="3">
        <f t="shared" si="25"/>
        <v>39605.999999999993</v>
      </c>
    </row>
    <row r="69" spans="1:6">
      <c r="A69">
        <v>2025</v>
      </c>
      <c r="B69" s="3">
        <f t="shared" si="22"/>
        <v>23</v>
      </c>
      <c r="C69" s="3">
        <f t="shared" si="23"/>
        <v>32199.999999999996</v>
      </c>
      <c r="D69" s="83">
        <v>23</v>
      </c>
      <c r="E69" s="3">
        <f t="shared" si="24"/>
        <v>7405.9999999999991</v>
      </c>
      <c r="F69" s="3">
        <f t="shared" si="25"/>
        <v>39605.999999999993</v>
      </c>
    </row>
    <row r="70" spans="1:6">
      <c r="A70">
        <v>2026</v>
      </c>
      <c r="B70" s="3">
        <f t="shared" si="22"/>
        <v>23</v>
      </c>
      <c r="C70" s="3">
        <f t="shared" si="23"/>
        <v>32199.999999999996</v>
      </c>
      <c r="D70" s="83">
        <v>23</v>
      </c>
      <c r="E70" s="3">
        <f t="shared" si="24"/>
        <v>7405.9999999999991</v>
      </c>
      <c r="F70" s="3">
        <f t="shared" si="25"/>
        <v>39605.999999999993</v>
      </c>
    </row>
    <row r="71" spans="1:6">
      <c r="A71">
        <v>2027</v>
      </c>
      <c r="B71" s="3">
        <f t="shared" si="22"/>
        <v>23</v>
      </c>
      <c r="C71" s="3">
        <f t="shared" si="23"/>
        <v>32199.999999999996</v>
      </c>
      <c r="D71" s="83">
        <v>23</v>
      </c>
      <c r="E71" s="3">
        <f t="shared" si="24"/>
        <v>7405.9999999999991</v>
      </c>
      <c r="F71" s="3">
        <f t="shared" si="25"/>
        <v>39605.999999999993</v>
      </c>
    </row>
    <row r="72" spans="1:6">
      <c r="A72">
        <v>2028</v>
      </c>
      <c r="B72" s="3">
        <f t="shared" si="22"/>
        <v>23</v>
      </c>
      <c r="C72" s="3">
        <f t="shared" si="23"/>
        <v>32199.999999999996</v>
      </c>
      <c r="D72" s="83">
        <v>23</v>
      </c>
      <c r="E72" s="3">
        <f t="shared" si="24"/>
        <v>7405.9999999999991</v>
      </c>
      <c r="F72" s="3">
        <f t="shared" si="25"/>
        <v>39605.999999999993</v>
      </c>
    </row>
    <row r="73" spans="1:6">
      <c r="A73">
        <v>2029</v>
      </c>
      <c r="B73" s="3">
        <f t="shared" si="22"/>
        <v>23</v>
      </c>
      <c r="C73" s="3">
        <f t="shared" si="23"/>
        <v>32199.999999999996</v>
      </c>
      <c r="D73" s="83">
        <v>23</v>
      </c>
      <c r="E73" s="3">
        <f t="shared" si="24"/>
        <v>7405.9999999999991</v>
      </c>
      <c r="F73" s="3">
        <f t="shared" si="25"/>
        <v>39605.999999999993</v>
      </c>
    </row>
    <row r="74" spans="1:6">
      <c r="A74">
        <v>2030</v>
      </c>
      <c r="B74" s="3">
        <f t="shared" si="22"/>
        <v>23</v>
      </c>
      <c r="C74" s="3">
        <f t="shared" si="23"/>
        <v>32199.999999999996</v>
      </c>
      <c r="D74" s="83">
        <v>23</v>
      </c>
      <c r="E74" s="3">
        <f t="shared" si="24"/>
        <v>7405.9999999999991</v>
      </c>
      <c r="F74" s="3">
        <f t="shared" si="25"/>
        <v>39605.999999999993</v>
      </c>
    </row>
    <row r="83" spans="1:30">
      <c r="AA83" s="87" t="s">
        <v>1228</v>
      </c>
      <c r="AB83" s="87"/>
      <c r="AC83" s="87"/>
      <c r="AD83" s="234"/>
    </row>
    <row r="84" spans="1:30">
      <c r="AA84" s="235" t="s">
        <v>1167</v>
      </c>
      <c r="AB84" s="235" t="s">
        <v>1168</v>
      </c>
      <c r="AC84" s="235" t="s">
        <v>1169</v>
      </c>
      <c r="AD84" s="235" t="s">
        <v>1170</v>
      </c>
    </row>
    <row r="85" spans="1:30">
      <c r="B85" t="s">
        <v>980</v>
      </c>
      <c r="C85" t="s">
        <v>980</v>
      </c>
      <c r="D85" t="s">
        <v>980</v>
      </c>
      <c r="E85" t="s">
        <v>980</v>
      </c>
      <c r="F85" t="s">
        <v>980</v>
      </c>
      <c r="J85" t="s">
        <v>812</v>
      </c>
      <c r="K85" t="s">
        <v>812</v>
      </c>
      <c r="L85" t="s">
        <v>812</v>
      </c>
      <c r="M85" t="s">
        <v>812</v>
      </c>
      <c r="N85" t="s">
        <v>812</v>
      </c>
      <c r="U85" t="s">
        <v>1104</v>
      </c>
      <c r="Z85" s="3">
        <v>2010</v>
      </c>
      <c r="AA85" s="13">
        <v>1.9512981647094725</v>
      </c>
      <c r="AB85" s="13">
        <f t="shared" ref="AB85:AD85" si="26">AA85</f>
        <v>1.9512981647094725</v>
      </c>
      <c r="AC85" s="13">
        <f t="shared" si="26"/>
        <v>1.9512981647094725</v>
      </c>
      <c r="AD85" s="13">
        <f t="shared" si="26"/>
        <v>1.9512981647094725</v>
      </c>
    </row>
    <row r="86" spans="1:30">
      <c r="B86" t="s">
        <v>978</v>
      </c>
      <c r="C86" t="s">
        <v>979</v>
      </c>
      <c r="D86" t="s">
        <v>916</v>
      </c>
      <c r="E86" t="s">
        <v>981</v>
      </c>
      <c r="F86" t="s">
        <v>983</v>
      </c>
      <c r="J86" t="s">
        <v>725</v>
      </c>
      <c r="K86" t="s">
        <v>979</v>
      </c>
      <c r="L86" t="s">
        <v>916</v>
      </c>
      <c r="M86" t="s">
        <v>985</v>
      </c>
      <c r="N86" t="s">
        <v>983</v>
      </c>
      <c r="R86" t="s">
        <v>997</v>
      </c>
      <c r="S86" t="s">
        <v>984</v>
      </c>
      <c r="U86" t="s">
        <v>934</v>
      </c>
      <c r="V86" t="s">
        <v>986</v>
      </c>
      <c r="W86" t="s">
        <v>987</v>
      </c>
      <c r="Z86" s="3">
        <v>2011</v>
      </c>
      <c r="AA86" s="13">
        <v>2.2086072022303731</v>
      </c>
      <c r="AB86" s="13">
        <f t="shared" ref="AB86:AD86" si="27">AA86</f>
        <v>2.2086072022303731</v>
      </c>
      <c r="AC86" s="13">
        <f t="shared" si="27"/>
        <v>2.2086072022303731</v>
      </c>
      <c r="AD86" s="13">
        <f t="shared" si="27"/>
        <v>2.2086072022303731</v>
      </c>
    </row>
    <row r="87" spans="1:30">
      <c r="A87" s="3">
        <v>2012</v>
      </c>
      <c r="B87" s="3">
        <f t="shared" ref="B87:B105" si="28">M6</f>
        <v>49894.346866534601</v>
      </c>
      <c r="C87" s="3">
        <f>B87/5</f>
        <v>9978.8693733069194</v>
      </c>
      <c r="D87" s="3">
        <f>B87*0.13</f>
        <v>6486.265092649498</v>
      </c>
      <c r="E87" s="3">
        <f t="shared" ref="E87:E105" si="29">J6</f>
        <v>0</v>
      </c>
      <c r="F87" s="3">
        <f>C87+D87-E87</f>
        <v>16465.134465956417</v>
      </c>
      <c r="G87" s="3"/>
      <c r="H87" s="3"/>
      <c r="I87" s="3">
        <v>2012</v>
      </c>
      <c r="J87" s="3">
        <f>F56</f>
        <v>35491.815148091264</v>
      </c>
      <c r="K87" s="3">
        <f>J87/5</f>
        <v>7098.3630296182528</v>
      </c>
      <c r="L87" s="3">
        <f>J87*0.13</f>
        <v>4613.9359692518647</v>
      </c>
      <c r="M87" s="3">
        <f t="shared" ref="M87:M105" si="30">W87/100*V87*U87</f>
        <v>2216.732695880843</v>
      </c>
      <c r="N87" s="3">
        <f t="shared" ref="N87:N105" si="31">SUM(K87:M87)</f>
        <v>13929.03169475096</v>
      </c>
      <c r="O87" s="3"/>
      <c r="P87" s="3"/>
      <c r="Q87" s="3">
        <v>2012</v>
      </c>
      <c r="R87" s="13">
        <f>N87/F87</f>
        <v>0.84597132951151144</v>
      </c>
      <c r="S87" s="13">
        <f t="shared" ref="S87:S92" si="32">F87/N87</f>
        <v>1.1820731567551221</v>
      </c>
      <c r="U87" s="13">
        <f>AC87</f>
        <v>2.2535516039261765</v>
      </c>
      <c r="V87" s="12">
        <f>'Country L per 100 km'!Q7</f>
        <v>8.06280188947742</v>
      </c>
      <c r="W87" s="3">
        <f>'Country distance travelled'!Q7</f>
        <v>12200</v>
      </c>
      <c r="Z87" s="3">
        <v>2012</v>
      </c>
      <c r="AA87" s="13">
        <v>2.2535516039261765</v>
      </c>
      <c r="AB87" s="13">
        <f t="shared" ref="AB87:AD87" si="33">AA87</f>
        <v>2.2535516039261765</v>
      </c>
      <c r="AC87" s="13">
        <f t="shared" si="33"/>
        <v>2.2535516039261765</v>
      </c>
      <c r="AD87" s="13">
        <f t="shared" si="33"/>
        <v>2.2535516039261765</v>
      </c>
    </row>
    <row r="88" spans="1:30">
      <c r="A88" s="3">
        <v>2013</v>
      </c>
      <c r="B88" s="3">
        <f t="shared" si="28"/>
        <v>50016.86620387085</v>
      </c>
      <c r="C88" s="3">
        <f t="shared" ref="C88:C105" si="34">B88/5</f>
        <v>10003.37324077417</v>
      </c>
      <c r="D88" s="3">
        <f t="shared" ref="D88:D105" si="35">B88*0.13</f>
        <v>6502.1926065032103</v>
      </c>
      <c r="E88" s="3">
        <f t="shared" si="29"/>
        <v>0</v>
      </c>
      <c r="F88" s="3">
        <f t="shared" ref="F88:F105" si="36">C88+D88-E88</f>
        <v>16505.565847277379</v>
      </c>
      <c r="G88" s="3"/>
      <c r="H88" s="3"/>
      <c r="I88" s="3">
        <v>2013</v>
      </c>
      <c r="J88" s="3">
        <f t="shared" ref="J88:J105" si="37">F57</f>
        <v>35196.416160022425</v>
      </c>
      <c r="K88" s="3">
        <f t="shared" ref="K88:K105" si="38">J88/5</f>
        <v>7039.2832320044854</v>
      </c>
      <c r="L88" s="3">
        <f t="shared" ref="L88:L105" si="39">J88*0.13</f>
        <v>4575.5341008029154</v>
      </c>
      <c r="M88" s="3">
        <f t="shared" si="30"/>
        <v>2185.6246436551537</v>
      </c>
      <c r="N88" s="3">
        <f t="shared" si="31"/>
        <v>13800.441976462555</v>
      </c>
      <c r="O88" s="3"/>
      <c r="P88" s="3"/>
      <c r="Q88" s="3">
        <v>2013</v>
      </c>
      <c r="R88" s="13">
        <f t="shared" ref="R88:R105" si="40">N88/F88</f>
        <v>0.83610838332688608</v>
      </c>
      <c r="S88" s="13">
        <f t="shared" si="32"/>
        <v>1.1960171910021844</v>
      </c>
      <c r="U88" s="13">
        <f t="shared" ref="U88:U105" si="41">AC88</f>
        <v>2.239369511941756</v>
      </c>
      <c r="V88" s="12">
        <f>'Country L per 100 km'!Q8</f>
        <v>8</v>
      </c>
      <c r="W88" s="3">
        <f>'Country distance travelled'!Q8</f>
        <v>12200</v>
      </c>
      <c r="Z88" s="3">
        <v>2013</v>
      </c>
      <c r="AA88" s="13">
        <v>2.239369511941756</v>
      </c>
      <c r="AB88" s="13">
        <f t="shared" ref="AB88:AD88" si="42">AA88</f>
        <v>2.239369511941756</v>
      </c>
      <c r="AC88" s="13">
        <f t="shared" si="42"/>
        <v>2.239369511941756</v>
      </c>
      <c r="AD88" s="13">
        <f t="shared" si="42"/>
        <v>2.239369511941756</v>
      </c>
    </row>
    <row r="89" spans="1:30">
      <c r="A89" s="3">
        <v>2014</v>
      </c>
      <c r="B89" s="3">
        <f t="shared" si="28"/>
        <v>52991.355464014319</v>
      </c>
      <c r="C89" s="3">
        <f t="shared" si="34"/>
        <v>10598.271092802865</v>
      </c>
      <c r="D89" s="3">
        <f t="shared" si="35"/>
        <v>6888.8762103218614</v>
      </c>
      <c r="E89" s="3">
        <f t="shared" si="29"/>
        <v>0</v>
      </c>
      <c r="F89" s="3">
        <f t="shared" si="36"/>
        <v>17487.147303124726</v>
      </c>
      <c r="G89" s="3"/>
      <c r="H89" s="3"/>
      <c r="I89" s="3">
        <v>2014</v>
      </c>
      <c r="J89" s="3">
        <f t="shared" si="37"/>
        <v>34748.440370711724</v>
      </c>
      <c r="K89" s="3">
        <f t="shared" si="38"/>
        <v>6949.6880741423447</v>
      </c>
      <c r="L89" s="3">
        <f t="shared" si="39"/>
        <v>4517.2972481925244</v>
      </c>
      <c r="M89" s="3">
        <f t="shared" si="30"/>
        <v>2144.7843033848585</v>
      </c>
      <c r="N89" s="3">
        <f t="shared" si="31"/>
        <v>13611.769625719728</v>
      </c>
      <c r="O89" s="3"/>
      <c r="P89" s="3"/>
      <c r="Q89" s="3">
        <v>2014</v>
      </c>
      <c r="R89" s="13">
        <f t="shared" si="40"/>
        <v>0.7783870856561883</v>
      </c>
      <c r="S89" s="13">
        <f t="shared" si="32"/>
        <v>1.2847078509235412</v>
      </c>
      <c r="U89" s="13">
        <f t="shared" si="41"/>
        <v>2.2238951998211856</v>
      </c>
      <c r="V89" s="12">
        <f>'Country L per 100 km'!Q9</f>
        <v>7.9051383399209483</v>
      </c>
      <c r="W89" s="3">
        <f>'Country distance travelled'!Q9</f>
        <v>12200</v>
      </c>
      <c r="Z89" s="3">
        <v>2014</v>
      </c>
      <c r="AA89" s="13">
        <v>2.2238951998211856</v>
      </c>
      <c r="AB89" s="13">
        <f t="shared" ref="AB89:AD89" si="43">AA89</f>
        <v>2.2238951998211856</v>
      </c>
      <c r="AC89" s="13">
        <f t="shared" si="43"/>
        <v>2.2238951998211856</v>
      </c>
      <c r="AD89" s="13">
        <f t="shared" si="43"/>
        <v>2.2238951998211856</v>
      </c>
    </row>
    <row r="90" spans="1:30">
      <c r="A90" s="3">
        <v>2015</v>
      </c>
      <c r="B90" s="3">
        <f t="shared" si="28"/>
        <v>55324.116485142134</v>
      </c>
      <c r="C90" s="3">
        <f t="shared" si="34"/>
        <v>11064.823297028426</v>
      </c>
      <c r="D90" s="3">
        <f t="shared" si="35"/>
        <v>7192.1351430684781</v>
      </c>
      <c r="E90" s="3">
        <f t="shared" si="29"/>
        <v>0</v>
      </c>
      <c r="F90" s="3">
        <f t="shared" si="36"/>
        <v>18256.958440096903</v>
      </c>
      <c r="G90" s="3"/>
      <c r="H90" s="3"/>
      <c r="I90" s="3">
        <v>2015</v>
      </c>
      <c r="J90" s="3">
        <f t="shared" si="37"/>
        <v>40646.415414216586</v>
      </c>
      <c r="K90" s="3">
        <f t="shared" si="38"/>
        <v>8129.2830828433171</v>
      </c>
      <c r="L90" s="3">
        <f t="shared" si="39"/>
        <v>5284.0340038481563</v>
      </c>
      <c r="M90" s="3">
        <f t="shared" si="30"/>
        <v>1922.2857697329548</v>
      </c>
      <c r="N90" s="3">
        <f t="shared" si="31"/>
        <v>15335.602856424428</v>
      </c>
      <c r="O90" s="3"/>
      <c r="P90" s="3"/>
      <c r="Q90" s="3">
        <v>2015</v>
      </c>
      <c r="R90" s="13">
        <f t="shared" si="40"/>
        <v>0.83998673200370333</v>
      </c>
      <c r="S90" s="13">
        <f t="shared" si="32"/>
        <v>1.1904949946228331</v>
      </c>
      <c r="U90" s="13">
        <f t="shared" si="41"/>
        <v>2.0151148403262473</v>
      </c>
      <c r="V90" s="12">
        <f>'Country L per 100 km'!Q10</f>
        <v>7.8191279326616705</v>
      </c>
      <c r="W90" s="3">
        <f>'Country distance travelled'!Q10</f>
        <v>12200</v>
      </c>
      <c r="Z90" s="3">
        <v>2015</v>
      </c>
      <c r="AA90" s="13">
        <v>2.0151148403262473</v>
      </c>
      <c r="AB90" s="13">
        <f t="shared" ref="AB90:AD90" si="44">AA90</f>
        <v>2.0151148403262473</v>
      </c>
      <c r="AC90" s="13">
        <f t="shared" si="44"/>
        <v>2.0151148403262473</v>
      </c>
      <c r="AD90" s="13">
        <f t="shared" si="44"/>
        <v>2.0151148403262473</v>
      </c>
    </row>
    <row r="91" spans="1:30">
      <c r="A91" s="3">
        <v>2016</v>
      </c>
      <c r="B91" s="3">
        <f t="shared" si="28"/>
        <v>54707.136577315032</v>
      </c>
      <c r="C91" s="3">
        <f t="shared" si="34"/>
        <v>10941.427315463006</v>
      </c>
      <c r="D91" s="3">
        <f t="shared" si="35"/>
        <v>7111.9277550509541</v>
      </c>
      <c r="E91" s="3">
        <f t="shared" si="29"/>
        <v>0</v>
      </c>
      <c r="F91" s="3">
        <f t="shared" si="36"/>
        <v>18053.355070513961</v>
      </c>
      <c r="G91" s="3"/>
      <c r="H91" s="3"/>
      <c r="I91" s="3">
        <v>2016</v>
      </c>
      <c r="J91" s="3">
        <f t="shared" si="37"/>
        <v>40181.983120285695</v>
      </c>
      <c r="K91" s="3">
        <f t="shared" si="38"/>
        <v>8036.396624057139</v>
      </c>
      <c r="L91" s="3">
        <f t="shared" si="39"/>
        <v>5223.6578056371409</v>
      </c>
      <c r="M91" s="3">
        <f t="shared" si="30"/>
        <v>1806.4480167536813</v>
      </c>
      <c r="N91" s="3">
        <f t="shared" si="31"/>
        <v>15066.502446447961</v>
      </c>
      <c r="O91" s="3"/>
      <c r="P91" s="3"/>
      <c r="Q91" s="3">
        <v>2016</v>
      </c>
      <c r="R91" s="13">
        <f t="shared" si="40"/>
        <v>0.83455415282091572</v>
      </c>
      <c r="S91" s="13">
        <f t="shared" si="32"/>
        <v>1.1982445915820477</v>
      </c>
      <c r="U91" s="13">
        <f t="shared" si="41"/>
        <v>1.9126199999999998</v>
      </c>
      <c r="V91" s="12">
        <f>'Country L per 100 km'!Q11</f>
        <v>7.7417108244174946</v>
      </c>
      <c r="W91" s="3">
        <f>'Country distance travelled'!Q11</f>
        <v>12200</v>
      </c>
      <c r="Z91" s="3">
        <v>2016</v>
      </c>
      <c r="AA91" s="13">
        <v>1.9126199999999998</v>
      </c>
      <c r="AB91" s="13">
        <f t="shared" ref="AB91:AD91" si="45">AA91</f>
        <v>1.9126199999999998</v>
      </c>
      <c r="AC91" s="13">
        <f t="shared" si="45"/>
        <v>1.9126199999999998</v>
      </c>
      <c r="AD91" s="13">
        <f t="shared" si="45"/>
        <v>1.9126199999999998</v>
      </c>
    </row>
    <row r="92" spans="1:30">
      <c r="A92" s="3">
        <v>2017</v>
      </c>
      <c r="B92" s="3">
        <f t="shared" si="28"/>
        <v>54131.794599334244</v>
      </c>
      <c r="C92" s="3">
        <f t="shared" si="34"/>
        <v>10826.358919866849</v>
      </c>
      <c r="D92" s="3">
        <f t="shared" si="35"/>
        <v>7037.1332979134522</v>
      </c>
      <c r="E92" s="3">
        <f t="shared" si="29"/>
        <v>0</v>
      </c>
      <c r="F92" s="3">
        <f t="shared" si="36"/>
        <v>17863.492217780302</v>
      </c>
      <c r="G92" s="3"/>
      <c r="H92" s="3"/>
      <c r="I92" s="3">
        <v>2017</v>
      </c>
      <c r="J92" s="3">
        <f t="shared" si="37"/>
        <v>39729.992427687132</v>
      </c>
      <c r="K92" s="3">
        <f t="shared" si="38"/>
        <v>7945.9984855374259</v>
      </c>
      <c r="L92" s="3">
        <f t="shared" si="39"/>
        <v>5164.899015599327</v>
      </c>
      <c r="M92" s="3">
        <f t="shared" si="30"/>
        <v>1889.7567222804585</v>
      </c>
      <c r="N92" s="3">
        <f t="shared" si="31"/>
        <v>15000.654223417212</v>
      </c>
      <c r="O92" s="3"/>
      <c r="P92" s="3"/>
      <c r="Q92" s="3">
        <v>2017</v>
      </c>
      <c r="R92" s="13">
        <f>N92/F92</f>
        <v>0.83973805572498395</v>
      </c>
      <c r="S92" s="13">
        <f t="shared" si="32"/>
        <v>1.1908475424954448</v>
      </c>
      <c r="U92" s="13">
        <f t="shared" si="41"/>
        <v>2.020833333333333</v>
      </c>
      <c r="V92" s="12">
        <f>'Country L per 100 km'!Q12</f>
        <v>7.6650602221955397</v>
      </c>
      <c r="W92" s="3">
        <f>'Country distance travelled'!Q12</f>
        <v>12200</v>
      </c>
      <c r="Z92" s="3">
        <v>2017</v>
      </c>
      <c r="AA92" s="13">
        <v>2.020833333333333</v>
      </c>
      <c r="AB92" s="13">
        <f t="shared" ref="AB92:AD92" si="46">AA92</f>
        <v>2.020833333333333</v>
      </c>
      <c r="AC92" s="13">
        <f t="shared" si="46"/>
        <v>2.020833333333333</v>
      </c>
      <c r="AD92" s="13">
        <f t="shared" si="46"/>
        <v>2.020833333333333</v>
      </c>
    </row>
    <row r="93" spans="1:30">
      <c r="A93" s="3">
        <v>2018</v>
      </c>
      <c r="B93" s="3">
        <f t="shared" si="28"/>
        <v>55067.832959644598</v>
      </c>
      <c r="C93" s="3">
        <f t="shared" si="34"/>
        <v>11013.56659192892</v>
      </c>
      <c r="D93" s="3">
        <f t="shared" si="35"/>
        <v>7158.8182847537983</v>
      </c>
      <c r="E93" s="3">
        <f t="shared" si="29"/>
        <v>511</v>
      </c>
      <c r="F93" s="3">
        <f t="shared" si="36"/>
        <v>17661.384876682718</v>
      </c>
      <c r="G93" s="3"/>
      <c r="H93" s="3"/>
      <c r="I93" s="3">
        <v>2018</v>
      </c>
      <c r="J93" s="3">
        <f t="shared" si="37"/>
        <v>39605.999999999993</v>
      </c>
      <c r="K93" s="3">
        <f t="shared" si="38"/>
        <v>7921.1999999999989</v>
      </c>
      <c r="L93" s="3">
        <f t="shared" si="39"/>
        <v>5148.7799999999988</v>
      </c>
      <c r="M93" s="3">
        <f t="shared" si="30"/>
        <v>2053.4577019987478</v>
      </c>
      <c r="N93" s="3">
        <f t="shared" si="31"/>
        <v>15123.437701998746</v>
      </c>
      <c r="O93" s="3"/>
      <c r="P93" s="3"/>
      <c r="Q93" s="3">
        <v>2018</v>
      </c>
      <c r="R93" s="13">
        <f t="shared" si="40"/>
        <v>0.85629965076891146</v>
      </c>
      <c r="S93" s="13"/>
      <c r="T93" s="3"/>
      <c r="U93" s="13">
        <f t="shared" si="41"/>
        <v>2.2178477690288712</v>
      </c>
      <c r="V93" s="12">
        <f>'Country L per 100 km'!Q13</f>
        <v>7.589168536827267</v>
      </c>
      <c r="W93" s="3">
        <f>'Country distance travelled'!Q13</f>
        <v>12200</v>
      </c>
      <c r="Z93" s="3">
        <v>2018</v>
      </c>
      <c r="AA93" s="13">
        <v>2.2178477690288712</v>
      </c>
      <c r="AB93" s="13">
        <f>AA93</f>
        <v>2.2178477690288712</v>
      </c>
      <c r="AC93" s="13">
        <f t="shared" ref="AC93:AD93" si="47">AB93</f>
        <v>2.2178477690288712</v>
      </c>
      <c r="AD93" s="13">
        <f t="shared" si="47"/>
        <v>2.2178477690288712</v>
      </c>
    </row>
    <row r="94" spans="1:30">
      <c r="A94" s="3">
        <v>2019</v>
      </c>
      <c r="B94" s="3">
        <f t="shared" si="28"/>
        <v>56068.131054199737</v>
      </c>
      <c r="C94" s="3">
        <f t="shared" si="34"/>
        <v>11213.626210839948</v>
      </c>
      <c r="D94" s="3">
        <f t="shared" si="35"/>
        <v>7288.8570370459665</v>
      </c>
      <c r="E94" s="3">
        <f t="shared" si="29"/>
        <v>511</v>
      </c>
      <c r="F94" s="3">
        <f t="shared" si="36"/>
        <v>17991.483247885913</v>
      </c>
      <c r="G94" s="3"/>
      <c r="H94" s="3"/>
      <c r="I94" s="3">
        <v>2019</v>
      </c>
      <c r="J94" s="3">
        <f t="shared" si="37"/>
        <v>39605.999999999993</v>
      </c>
      <c r="K94" s="3">
        <f t="shared" si="38"/>
        <v>7921.1999999999989</v>
      </c>
      <c r="L94" s="3">
        <f t="shared" si="39"/>
        <v>5148.7799999999988</v>
      </c>
      <c r="M94" s="3">
        <f t="shared" si="30"/>
        <v>1999.1503569406982</v>
      </c>
      <c r="N94" s="3">
        <f t="shared" si="31"/>
        <v>15069.130356940695</v>
      </c>
      <c r="O94" s="3"/>
      <c r="P94" s="3"/>
      <c r="Q94" s="3">
        <v>2019</v>
      </c>
      <c r="R94" s="13">
        <f t="shared" si="40"/>
        <v>0.83757020748755617</v>
      </c>
      <c r="S94" s="13"/>
      <c r="T94" s="3"/>
      <c r="U94" s="13">
        <f t="shared" si="41"/>
        <v>2.1807847643154776</v>
      </c>
      <c r="V94" s="12">
        <f>'Country L per 100 km'!Q14</f>
        <v>7.5140282542844226</v>
      </c>
      <c r="W94" s="3">
        <f>'Country distance travelled'!Q14</f>
        <v>12200</v>
      </c>
      <c r="Z94" s="3">
        <v>2019</v>
      </c>
      <c r="AA94" s="13"/>
      <c r="AB94" s="13">
        <v>2.6551740295900519</v>
      </c>
      <c r="AC94" s="13">
        <v>2.1807847643154776</v>
      </c>
      <c r="AD94" s="13">
        <v>1.7675766026313859</v>
      </c>
    </row>
    <row r="95" spans="1:30">
      <c r="A95" s="3">
        <v>2020</v>
      </c>
      <c r="B95" s="3">
        <f t="shared" si="28"/>
        <v>55745.960472655628</v>
      </c>
      <c r="C95" s="3">
        <f t="shared" si="34"/>
        <v>11149.192094531125</v>
      </c>
      <c r="D95" s="3">
        <f t="shared" si="35"/>
        <v>7246.9748614452319</v>
      </c>
      <c r="E95" s="3">
        <f t="shared" si="29"/>
        <v>511</v>
      </c>
      <c r="F95" s="3">
        <f t="shared" si="36"/>
        <v>17885.166955976358</v>
      </c>
      <c r="G95" s="3"/>
      <c r="H95" s="3"/>
      <c r="I95" s="3">
        <v>2020</v>
      </c>
      <c r="J95" s="3">
        <f t="shared" si="37"/>
        <v>39605.999999999993</v>
      </c>
      <c r="K95" s="3">
        <f t="shared" si="38"/>
        <v>7921.1999999999989</v>
      </c>
      <c r="L95" s="3">
        <f t="shared" si="39"/>
        <v>5148.7799999999988</v>
      </c>
      <c r="M95" s="3">
        <f t="shared" si="30"/>
        <v>1982.2425932757656</v>
      </c>
      <c r="N95" s="3">
        <f t="shared" si="31"/>
        <v>15052.222593275763</v>
      </c>
      <c r="O95" s="3"/>
      <c r="P95" s="3"/>
      <c r="Q95" s="3">
        <v>2020</v>
      </c>
      <c r="R95" s="13">
        <f t="shared" si="40"/>
        <v>0.84160369485653796</v>
      </c>
      <c r="S95" s="13"/>
      <c r="T95" s="3"/>
      <c r="U95" s="13">
        <f t="shared" si="41"/>
        <v>2.1839642405588378</v>
      </c>
      <c r="V95" s="12">
        <f>'Country L per 100 km'!Q15</f>
        <v>7.4396319349350719</v>
      </c>
      <c r="W95" s="3">
        <f>'Country distance travelled'!Q15</f>
        <v>12200</v>
      </c>
      <c r="Z95" s="3">
        <v>2020</v>
      </c>
      <c r="AA95" s="13"/>
      <c r="AB95" s="13">
        <v>2.8563627797006834</v>
      </c>
      <c r="AC95" s="13">
        <v>2.1839642405588378</v>
      </c>
      <c r="AD95" s="13">
        <v>1.7794112349908349</v>
      </c>
    </row>
    <row r="96" spans="1:30">
      <c r="A96" s="3">
        <v>2021</v>
      </c>
      <c r="B96" s="3">
        <f t="shared" si="28"/>
        <v>54404.187921932069</v>
      </c>
      <c r="C96" s="3">
        <f t="shared" si="34"/>
        <v>10880.837584386414</v>
      </c>
      <c r="D96" s="3">
        <f t="shared" si="35"/>
        <v>7072.5444298511693</v>
      </c>
      <c r="E96" s="3">
        <f t="shared" si="29"/>
        <v>511</v>
      </c>
      <c r="F96" s="3">
        <f t="shared" si="36"/>
        <v>17442.382014237584</v>
      </c>
      <c r="G96" s="3"/>
      <c r="H96" s="3"/>
      <c r="I96" s="3">
        <v>2021</v>
      </c>
      <c r="J96" s="3">
        <f t="shared" si="37"/>
        <v>39605.999999999993</v>
      </c>
      <c r="K96" s="3">
        <f t="shared" si="38"/>
        <v>7921.1999999999989</v>
      </c>
      <c r="L96" s="3">
        <f t="shared" si="39"/>
        <v>5148.7799999999988</v>
      </c>
      <c r="M96" s="3">
        <f t="shared" si="30"/>
        <v>2046.797029449036</v>
      </c>
      <c r="N96" s="3">
        <f t="shared" si="31"/>
        <v>15116.777029449033</v>
      </c>
      <c r="O96" s="3"/>
      <c r="P96" s="3"/>
      <c r="Q96" s="3">
        <v>2021</v>
      </c>
      <c r="R96" s="13">
        <f t="shared" si="40"/>
        <v>0.86666930107996465</v>
      </c>
      <c r="S96" s="13"/>
      <c r="T96" s="3"/>
      <c r="U96" s="13">
        <f t="shared" si="41"/>
        <v>2.2776388977384072</v>
      </c>
      <c r="V96" s="12">
        <f>'Country L per 100 km'!Q16</f>
        <v>7.3659722128070015</v>
      </c>
      <c r="W96" s="3">
        <f>'Country distance travelled'!Q16</f>
        <v>12200</v>
      </c>
      <c r="Z96" s="3">
        <v>2021</v>
      </c>
      <c r="AA96" s="13"/>
      <c r="AB96" s="13">
        <v>3.0693861621707637</v>
      </c>
      <c r="AC96" s="13">
        <v>2.2776388977384072</v>
      </c>
      <c r="AD96" s="13">
        <v>1.8030804997097325</v>
      </c>
    </row>
    <row r="97" spans="1:30">
      <c r="A97" s="3">
        <v>2022</v>
      </c>
      <c r="B97" s="3">
        <f t="shared" si="28"/>
        <v>55154.542188843203</v>
      </c>
      <c r="C97" s="3">
        <f t="shared" si="34"/>
        <v>11030.908437768641</v>
      </c>
      <c r="D97" s="3">
        <f t="shared" si="35"/>
        <v>7170.090484549617</v>
      </c>
      <c r="E97" s="3">
        <f t="shared" si="29"/>
        <v>511</v>
      </c>
      <c r="F97" s="3">
        <f t="shared" si="36"/>
        <v>17689.998922318257</v>
      </c>
      <c r="G97" s="3"/>
      <c r="H97" s="3"/>
      <c r="I97" s="3">
        <v>2022</v>
      </c>
      <c r="J97" s="3">
        <f t="shared" si="37"/>
        <v>39605.999999999993</v>
      </c>
      <c r="K97" s="3">
        <f t="shared" si="38"/>
        <v>7921.1999999999989</v>
      </c>
      <c r="L97" s="3">
        <f t="shared" si="39"/>
        <v>5148.7799999999988</v>
      </c>
      <c r="M97" s="3">
        <f t="shared" si="30"/>
        <v>2088.589380963866</v>
      </c>
      <c r="N97" s="3">
        <f t="shared" si="31"/>
        <v>15158.569380963863</v>
      </c>
      <c r="O97" s="3"/>
      <c r="P97" s="3"/>
      <c r="Q97" s="3">
        <v>2022</v>
      </c>
      <c r="R97" s="13">
        <f t="shared" si="40"/>
        <v>0.85690052597116539</v>
      </c>
      <c r="S97" s="13"/>
      <c r="T97" s="3"/>
      <c r="U97" s="13">
        <f t="shared" si="41"/>
        <v>2.3473861211020393</v>
      </c>
      <c r="V97" s="12">
        <f>'Country L per 100 km'!Q17</f>
        <v>7.293041794858417</v>
      </c>
      <c r="W97" s="3">
        <f>'Country distance travelled'!Q17</f>
        <v>12200</v>
      </c>
      <c r="Z97" s="3">
        <v>2022</v>
      </c>
      <c r="AA97" s="13"/>
      <c r="AB97" s="13">
        <v>3.1640632210463555</v>
      </c>
      <c r="AC97" s="13">
        <v>2.3473861211020393</v>
      </c>
      <c r="AD97" s="13">
        <v>1.8149151320691814</v>
      </c>
    </row>
    <row r="98" spans="1:30">
      <c r="A98" s="3">
        <v>2023</v>
      </c>
      <c r="B98" s="3">
        <f t="shared" si="28"/>
        <v>54670.817950068202</v>
      </c>
      <c r="C98" s="3">
        <f t="shared" si="34"/>
        <v>10934.163590013641</v>
      </c>
      <c r="D98" s="3">
        <f t="shared" si="35"/>
        <v>7107.2063335088669</v>
      </c>
      <c r="E98" s="3">
        <f t="shared" si="29"/>
        <v>511</v>
      </c>
      <c r="F98" s="3">
        <f t="shared" si="36"/>
        <v>17530.369923522507</v>
      </c>
      <c r="G98" s="3"/>
      <c r="H98" s="3"/>
      <c r="I98" s="3">
        <v>2023</v>
      </c>
      <c r="J98" s="3">
        <f t="shared" si="37"/>
        <v>39605.999999999993</v>
      </c>
      <c r="K98" s="3">
        <f t="shared" si="38"/>
        <v>7921.1999999999989</v>
      </c>
      <c r="L98" s="3">
        <f t="shared" si="39"/>
        <v>5148.7799999999988</v>
      </c>
      <c r="M98" s="3">
        <f t="shared" si="30"/>
        <v>2096.1843831492056</v>
      </c>
      <c r="N98" s="3">
        <f t="shared" si="31"/>
        <v>15166.164383149204</v>
      </c>
      <c r="O98" s="3"/>
      <c r="P98" s="3"/>
      <c r="Q98" s="3">
        <v>2023</v>
      </c>
      <c r="R98" s="13">
        <f t="shared" si="40"/>
        <v>0.86513658578299724</v>
      </c>
      <c r="S98" s="13"/>
      <c r="T98" s="3"/>
      <c r="U98" s="13">
        <f t="shared" si="41"/>
        <v>2.3794814408491036</v>
      </c>
      <c r="V98" s="12">
        <f>'Country L per 100 km'!Q18</f>
        <v>7.220833460255859</v>
      </c>
      <c r="W98" s="3">
        <f>'Country distance travelled'!Q18</f>
        <v>12200</v>
      </c>
      <c r="Z98" s="3">
        <v>2023</v>
      </c>
      <c r="AA98" s="13"/>
      <c r="AB98" s="13">
        <v>3.2350710152030477</v>
      </c>
      <c r="AC98" s="13">
        <v>2.3794814408491036</v>
      </c>
      <c r="AD98" s="13">
        <v>1.8149151320691814</v>
      </c>
    </row>
    <row r="99" spans="1:30">
      <c r="A99" s="3">
        <v>2024</v>
      </c>
      <c r="B99" s="3">
        <f t="shared" si="28"/>
        <v>52800.888144652097</v>
      </c>
      <c r="C99" s="3">
        <f t="shared" si="34"/>
        <v>10560.17762893042</v>
      </c>
      <c r="D99" s="3">
        <f t="shared" si="35"/>
        <v>6864.115458804773</v>
      </c>
      <c r="E99" s="3">
        <f t="shared" si="29"/>
        <v>511</v>
      </c>
      <c r="F99" s="3">
        <f t="shared" si="36"/>
        <v>16913.293087735194</v>
      </c>
      <c r="G99" s="3"/>
      <c r="H99" s="3"/>
      <c r="I99" s="3">
        <v>2024</v>
      </c>
      <c r="J99" s="3">
        <f t="shared" si="37"/>
        <v>39605.999999999993</v>
      </c>
      <c r="K99" s="3">
        <f t="shared" si="38"/>
        <v>7921.1999999999989</v>
      </c>
      <c r="L99" s="3">
        <f t="shared" si="39"/>
        <v>5148.7799999999988</v>
      </c>
      <c r="M99" s="3">
        <f t="shared" si="30"/>
        <v>2082.8313889351602</v>
      </c>
      <c r="N99" s="3">
        <f t="shared" si="31"/>
        <v>15152.811388935159</v>
      </c>
      <c r="O99" s="3"/>
      <c r="P99" s="3"/>
      <c r="Q99" s="3">
        <v>2024</v>
      </c>
      <c r="R99" s="13">
        <f t="shared" si="40"/>
        <v>0.89591135861787541</v>
      </c>
      <c r="S99" s="13"/>
      <c r="T99" s="3"/>
      <c r="U99" s="13">
        <f t="shared" si="41"/>
        <v>2.387967041913015</v>
      </c>
      <c r="V99" s="12">
        <f>'Country L per 100 km'!Q19</f>
        <v>7.1493400596592664</v>
      </c>
      <c r="W99" s="3">
        <f>'Country distance travelled'!Q19</f>
        <v>12200</v>
      </c>
      <c r="Z99" s="3">
        <v>2024</v>
      </c>
      <c r="AA99" s="13"/>
      <c r="AB99" s="13">
        <v>3.294244177000293</v>
      </c>
      <c r="AC99" s="13">
        <v>2.387967041913015</v>
      </c>
      <c r="AD99" s="13">
        <v>1.8149151320691814</v>
      </c>
    </row>
    <row r="100" spans="1:30">
      <c r="A100" s="3">
        <v>2025</v>
      </c>
      <c r="B100" s="3">
        <f t="shared" si="28"/>
        <v>51195.528471545986</v>
      </c>
      <c r="C100" s="3">
        <f t="shared" si="34"/>
        <v>10239.105694309197</v>
      </c>
      <c r="D100" s="3">
        <f t="shared" si="35"/>
        <v>6655.4187013009787</v>
      </c>
      <c r="E100" s="3">
        <f t="shared" si="29"/>
        <v>511</v>
      </c>
      <c r="F100" s="3">
        <f t="shared" si="36"/>
        <v>16383.524395610177</v>
      </c>
      <c r="G100" s="3"/>
      <c r="H100" s="3"/>
      <c r="I100" s="3">
        <v>2025</v>
      </c>
      <c r="J100" s="3">
        <f t="shared" si="37"/>
        <v>39605.999999999993</v>
      </c>
      <c r="K100" s="3">
        <f t="shared" si="38"/>
        <v>7921.1999999999989</v>
      </c>
      <c r="L100" s="3">
        <f t="shared" si="39"/>
        <v>5148.7799999999988</v>
      </c>
      <c r="M100" s="3">
        <f t="shared" si="30"/>
        <v>2100.5526284042262</v>
      </c>
      <c r="N100" s="3">
        <f t="shared" si="31"/>
        <v>15170.532628404224</v>
      </c>
      <c r="O100" s="3"/>
      <c r="P100" s="3"/>
      <c r="Q100" s="3">
        <v>2025</v>
      </c>
      <c r="R100" s="13">
        <f t="shared" si="40"/>
        <v>0.92596270876057885</v>
      </c>
      <c r="S100" s="13"/>
      <c r="T100" s="3"/>
      <c r="U100" s="13">
        <f t="shared" si="41"/>
        <v>2.4323672947369306</v>
      </c>
      <c r="V100" s="12">
        <f>'Country L per 100 km'!Q20</f>
        <v>7.0785545145141251</v>
      </c>
      <c r="W100" s="3">
        <f>'Country distance travelled'!Q20</f>
        <v>12200</v>
      </c>
      <c r="Z100" s="3">
        <v>2025</v>
      </c>
      <c r="AA100" s="13"/>
      <c r="AB100" s="13">
        <v>3.3534173387975357</v>
      </c>
      <c r="AC100" s="13">
        <v>2.4323672947369306</v>
      </c>
      <c r="AD100" s="13">
        <v>1.8267497644286306</v>
      </c>
    </row>
    <row r="101" spans="1:30">
      <c r="A101" s="3">
        <v>2026</v>
      </c>
      <c r="B101" s="3">
        <f t="shared" si="28"/>
        <v>50280.965051215069</v>
      </c>
      <c r="C101" s="3">
        <f t="shared" si="34"/>
        <v>10056.193010243014</v>
      </c>
      <c r="D101" s="3">
        <f t="shared" si="35"/>
        <v>6536.5254566579588</v>
      </c>
      <c r="E101" s="3">
        <f t="shared" si="29"/>
        <v>511</v>
      </c>
      <c r="F101" s="3">
        <f t="shared" si="36"/>
        <v>16081.718466900973</v>
      </c>
      <c r="G101" s="3"/>
      <c r="H101" s="3"/>
      <c r="I101" s="3">
        <v>2026</v>
      </c>
      <c r="J101" s="3">
        <f t="shared" si="37"/>
        <v>39605.999999999993</v>
      </c>
      <c r="K101" s="3">
        <f t="shared" si="38"/>
        <v>7921.1999999999989</v>
      </c>
      <c r="L101" s="3">
        <f t="shared" si="39"/>
        <v>5148.7799999999988</v>
      </c>
      <c r="M101" s="3">
        <f t="shared" si="30"/>
        <v>2146.4806957861915</v>
      </c>
      <c r="N101" s="3">
        <f t="shared" si="31"/>
        <v>15216.460695786189</v>
      </c>
      <c r="O101" s="3"/>
      <c r="P101" s="3"/>
      <c r="Q101" s="3">
        <v>2026</v>
      </c>
      <c r="R101" s="13">
        <f t="shared" si="40"/>
        <v>0.94619618712417841</v>
      </c>
      <c r="S101" s="13"/>
      <c r="T101" s="3"/>
      <c r="U101" s="13">
        <f t="shared" si="41"/>
        <v>2.5104059123968185</v>
      </c>
      <c r="V101" s="12">
        <f>'Country L per 100 km'!Q21</f>
        <v>7.0084698163506198</v>
      </c>
      <c r="W101" s="3">
        <f>'Country distance travelled'!Q21</f>
        <v>12200</v>
      </c>
      <c r="Z101" s="3">
        <v>2026</v>
      </c>
      <c r="AA101" s="13"/>
      <c r="AB101" s="13">
        <v>3.4125905005947819</v>
      </c>
      <c r="AC101" s="13">
        <v>2.5104059123968185</v>
      </c>
      <c r="AD101" s="13">
        <v>1.8385843967880795</v>
      </c>
    </row>
    <row r="102" spans="1:30">
      <c r="A102" s="3">
        <v>2027</v>
      </c>
      <c r="B102" s="3">
        <f t="shared" si="28"/>
        <v>49366.401630884167</v>
      </c>
      <c r="C102" s="3">
        <f t="shared" si="34"/>
        <v>9873.2803261768331</v>
      </c>
      <c r="D102" s="3">
        <f t="shared" si="35"/>
        <v>6417.6322120149416</v>
      </c>
      <c r="E102" s="3">
        <f t="shared" si="29"/>
        <v>511</v>
      </c>
      <c r="F102" s="3">
        <f t="shared" si="36"/>
        <v>15779.912538191775</v>
      </c>
      <c r="G102" s="3"/>
      <c r="H102" s="3"/>
      <c r="I102" s="3">
        <v>2027</v>
      </c>
      <c r="J102" s="3">
        <f t="shared" si="37"/>
        <v>39605.999999999993</v>
      </c>
      <c r="K102" s="3">
        <f t="shared" si="38"/>
        <v>7921.1999999999989</v>
      </c>
      <c r="L102" s="3">
        <f t="shared" si="39"/>
        <v>5148.7799999999988</v>
      </c>
      <c r="M102" s="3">
        <f t="shared" si="30"/>
        <v>2159.2766247819941</v>
      </c>
      <c r="N102" s="3">
        <f t="shared" si="31"/>
        <v>15229.256624781992</v>
      </c>
      <c r="O102" s="3"/>
      <c r="P102" s="3"/>
      <c r="Q102" s="3">
        <v>2027</v>
      </c>
      <c r="R102" s="13">
        <f t="shared" si="40"/>
        <v>0.96510399458317386</v>
      </c>
      <c r="S102" s="13"/>
      <c r="T102" s="3"/>
      <c r="U102" s="13">
        <f t="shared" si="41"/>
        <v>2.5506250413313007</v>
      </c>
      <c r="V102" s="12">
        <f>'Country L per 100 km'!Q22</f>
        <v>6.9390790260897228</v>
      </c>
      <c r="W102" s="3">
        <f>'Country distance travelled'!Q22</f>
        <v>12200</v>
      </c>
      <c r="Z102" s="3">
        <v>2027</v>
      </c>
      <c r="AA102" s="13"/>
      <c r="AB102" s="13">
        <v>3.4717636623920267</v>
      </c>
      <c r="AC102" s="13">
        <v>2.5506250413313007</v>
      </c>
      <c r="AD102" s="13">
        <v>1.8504190291475282</v>
      </c>
    </row>
    <row r="103" spans="1:30">
      <c r="A103" s="3">
        <v>2028</v>
      </c>
      <c r="B103" s="3">
        <f t="shared" si="28"/>
        <v>48337.517783011906</v>
      </c>
      <c r="C103" s="3">
        <f t="shared" si="34"/>
        <v>9667.5035566023817</v>
      </c>
      <c r="D103" s="3">
        <f t="shared" si="35"/>
        <v>6283.877311791548</v>
      </c>
      <c r="E103" s="3">
        <f t="shared" si="29"/>
        <v>511</v>
      </c>
      <c r="F103" s="3">
        <f t="shared" si="36"/>
        <v>15440.38086839393</v>
      </c>
      <c r="G103" s="3"/>
      <c r="H103" s="3"/>
      <c r="I103" s="3">
        <v>2028</v>
      </c>
      <c r="J103" s="3">
        <f t="shared" si="37"/>
        <v>39605.999999999993</v>
      </c>
      <c r="K103" s="3">
        <f t="shared" si="38"/>
        <v>7921.1999999999989</v>
      </c>
      <c r="L103" s="3">
        <f t="shared" si="39"/>
        <v>5148.7799999999988</v>
      </c>
      <c r="M103" s="3">
        <f t="shared" si="30"/>
        <v>2159.2376170116941</v>
      </c>
      <c r="N103" s="3">
        <f t="shared" si="31"/>
        <v>15229.217617011691</v>
      </c>
      <c r="O103" s="3"/>
      <c r="P103" s="3"/>
      <c r="Q103" s="3">
        <v>2028</v>
      </c>
      <c r="R103" s="13">
        <f t="shared" si="40"/>
        <v>0.98632396097077601</v>
      </c>
      <c r="S103" s="13"/>
      <c r="T103" s="3"/>
      <c r="U103" s="13">
        <f t="shared" si="41"/>
        <v>2.5760847534101838</v>
      </c>
      <c r="V103" s="12">
        <f>'Country L per 100 km'!Q23</f>
        <v>6.8703752733561609</v>
      </c>
      <c r="W103" s="3">
        <f>'Country distance travelled'!Q23</f>
        <v>12200</v>
      </c>
      <c r="Z103" s="3">
        <v>2028</v>
      </c>
      <c r="AA103" s="13"/>
      <c r="AB103" s="13">
        <v>3.5191021918298215</v>
      </c>
      <c r="AC103" s="13">
        <v>2.5760847534101838</v>
      </c>
      <c r="AD103" s="13">
        <v>1.8504190291475282</v>
      </c>
    </row>
    <row r="104" spans="1:30">
      <c r="A104" s="3">
        <v>2029</v>
      </c>
      <c r="B104" s="3">
        <f t="shared" si="28"/>
        <v>47422.954362681005</v>
      </c>
      <c r="C104" s="3">
        <f t="shared" si="34"/>
        <v>9484.5908725362005</v>
      </c>
      <c r="D104" s="3">
        <f t="shared" si="35"/>
        <v>6164.9840671485308</v>
      </c>
      <c r="E104" s="3">
        <f t="shared" si="29"/>
        <v>511</v>
      </c>
      <c r="F104" s="3">
        <f t="shared" si="36"/>
        <v>15138.574939684731</v>
      </c>
      <c r="G104" s="3"/>
      <c r="H104" s="3"/>
      <c r="I104" s="3">
        <v>2029</v>
      </c>
      <c r="J104" s="3">
        <f t="shared" si="37"/>
        <v>39605.999999999993</v>
      </c>
      <c r="K104" s="3">
        <f t="shared" si="38"/>
        <v>7921.1999999999989</v>
      </c>
      <c r="L104" s="3">
        <f t="shared" si="39"/>
        <v>5148.7799999999988</v>
      </c>
      <c r="M104" s="3">
        <f t="shared" si="30"/>
        <v>2166.4975454252572</v>
      </c>
      <c r="N104" s="3">
        <f t="shared" si="31"/>
        <v>15236.477545425256</v>
      </c>
      <c r="O104" s="3"/>
      <c r="P104" s="3"/>
      <c r="Q104" s="3">
        <v>2029</v>
      </c>
      <c r="R104" s="13">
        <f t="shared" si="40"/>
        <v>1.0064670952272978</v>
      </c>
      <c r="S104" s="13"/>
      <c r="T104" s="3"/>
      <c r="U104" s="13">
        <f t="shared" si="41"/>
        <v>2.6105936945571329</v>
      </c>
      <c r="V104" s="12">
        <f>'Country L per 100 km'!Q24</f>
        <v>6.8023517557981794</v>
      </c>
      <c r="W104" s="3">
        <f>'Country distance travelled'!Q24</f>
        <v>12200</v>
      </c>
      <c r="Z104" s="3">
        <v>2029</v>
      </c>
      <c r="AA104" s="13"/>
      <c r="AB104" s="13">
        <v>3.5782753536270659</v>
      </c>
      <c r="AC104" s="13">
        <v>2.6105936945571329</v>
      </c>
      <c r="AD104" s="13">
        <v>1.8504190291475282</v>
      </c>
    </row>
    <row r="105" spans="1:30">
      <c r="A105" s="3">
        <v>2030</v>
      </c>
      <c r="B105" s="3">
        <f t="shared" si="28"/>
        <v>46394.070514808744</v>
      </c>
      <c r="C105" s="3">
        <f t="shared" si="34"/>
        <v>9278.8141029617491</v>
      </c>
      <c r="D105" s="3">
        <f t="shared" si="35"/>
        <v>6031.2291669251372</v>
      </c>
      <c r="E105" s="3">
        <f t="shared" si="29"/>
        <v>511</v>
      </c>
      <c r="F105" s="3">
        <f t="shared" si="36"/>
        <v>14799.043269886886</v>
      </c>
      <c r="G105" s="3"/>
      <c r="H105" s="3"/>
      <c r="I105" s="3">
        <v>2030</v>
      </c>
      <c r="J105" s="3">
        <f t="shared" si="37"/>
        <v>39605.999999999993</v>
      </c>
      <c r="K105" s="3">
        <f t="shared" si="38"/>
        <v>7921.1999999999989</v>
      </c>
      <c r="L105" s="3">
        <f t="shared" si="39"/>
        <v>5148.7799999999988</v>
      </c>
      <c r="M105" s="3">
        <f t="shared" si="30"/>
        <v>2166.7281076736986</v>
      </c>
      <c r="N105" s="3">
        <f t="shared" si="31"/>
        <v>15236.708107673696</v>
      </c>
      <c r="O105" s="3"/>
      <c r="P105" s="3"/>
      <c r="Q105" s="3">
        <v>2030</v>
      </c>
      <c r="R105" s="13">
        <f t="shared" si="40"/>
        <v>1.0295738602695601</v>
      </c>
      <c r="S105" s="13"/>
      <c r="T105" s="3"/>
      <c r="U105" s="13">
        <f t="shared" si="41"/>
        <v>2.6369802334340511</v>
      </c>
      <c r="V105" s="12">
        <f>'Country L per 100 km'!Q25</f>
        <v>6.7350017384140388</v>
      </c>
      <c r="W105" s="3">
        <f>'Country distance travelled'!Q25</f>
        <v>12200</v>
      </c>
      <c r="Z105" s="3">
        <v>2030</v>
      </c>
      <c r="AA105" s="13"/>
      <c r="AB105" s="13">
        <v>3.6137792507054116</v>
      </c>
      <c r="AC105" s="13">
        <v>2.6369802334340511</v>
      </c>
      <c r="AD105" s="13">
        <v>1.8622536615069771</v>
      </c>
    </row>
    <row r="106" spans="1:30">
      <c r="A106" s="3">
        <v>2031</v>
      </c>
      <c r="B106" s="3"/>
      <c r="C106" s="3"/>
      <c r="D106" s="3"/>
      <c r="E106" s="3"/>
      <c r="F106" s="3"/>
      <c r="G106" s="3"/>
      <c r="H106" s="3"/>
      <c r="I106" s="3">
        <v>2031</v>
      </c>
      <c r="J106" s="3"/>
      <c r="K106" s="3"/>
      <c r="L106" s="3"/>
      <c r="M106" s="3"/>
      <c r="N106" s="3"/>
      <c r="O106" s="3"/>
      <c r="P106" s="3"/>
      <c r="Q106" s="3">
        <v>2031</v>
      </c>
      <c r="R106" s="3"/>
      <c r="S106" s="3"/>
      <c r="T106" s="3"/>
      <c r="U106" s="13">
        <f>U105</f>
        <v>2.6369802334340511</v>
      </c>
      <c r="V106" s="12">
        <f>'Country L per 100 km'!Q26</f>
        <v>6.6683185528851867</v>
      </c>
      <c r="W106" s="3">
        <f>'Country distance travelled'!Q26</f>
        <v>12200</v>
      </c>
      <c r="Z106" s="3">
        <v>2031</v>
      </c>
    </row>
    <row r="107" spans="1:30">
      <c r="A107" s="3">
        <v>2032</v>
      </c>
      <c r="B107" s="3"/>
      <c r="C107" s="3"/>
      <c r="D107" s="3"/>
      <c r="E107" s="3"/>
      <c r="F107" s="3"/>
      <c r="G107" s="3"/>
      <c r="H107" s="3"/>
      <c r="I107" s="3">
        <v>2032</v>
      </c>
      <c r="J107" s="3"/>
      <c r="K107" s="3"/>
      <c r="L107" s="3"/>
      <c r="M107" s="3"/>
      <c r="N107" s="3"/>
      <c r="O107" s="3"/>
      <c r="P107" s="3"/>
      <c r="Q107" s="3">
        <v>2032</v>
      </c>
      <c r="R107" s="3"/>
      <c r="S107" s="3"/>
      <c r="T107" s="3"/>
      <c r="U107" s="13">
        <f t="shared" ref="U107:U115" si="48">U106</f>
        <v>2.6369802334340511</v>
      </c>
      <c r="V107" s="12">
        <f>'Country L per 100 km'!Q27</f>
        <v>6.6022955969160266</v>
      </c>
      <c r="W107" s="3">
        <f>'Country distance travelled'!Q27</f>
        <v>12200</v>
      </c>
      <c r="Z107" s="3">
        <v>2032</v>
      </c>
    </row>
    <row r="108" spans="1:30">
      <c r="A108" s="3">
        <v>2033</v>
      </c>
      <c r="B108" s="3"/>
      <c r="C108" s="3"/>
      <c r="D108" s="3"/>
      <c r="E108" s="3"/>
      <c r="F108" s="3"/>
      <c r="G108" s="3"/>
      <c r="H108" s="3"/>
      <c r="I108" s="3">
        <v>2033</v>
      </c>
      <c r="J108" s="3"/>
      <c r="K108" s="3"/>
      <c r="L108" s="3"/>
      <c r="M108" s="3"/>
      <c r="N108" s="3"/>
      <c r="O108" s="3"/>
      <c r="P108" s="3"/>
      <c r="Q108" s="3">
        <v>2033</v>
      </c>
      <c r="R108" s="3"/>
      <c r="S108" s="3"/>
      <c r="T108" s="3"/>
      <c r="U108" s="13">
        <f t="shared" si="48"/>
        <v>2.6369802334340511</v>
      </c>
      <c r="V108" s="12">
        <f>'Country L per 100 km'!Q28</f>
        <v>6.5369263335802241</v>
      </c>
      <c r="W108" s="3">
        <f>'Country distance travelled'!Q28</f>
        <v>12200</v>
      </c>
      <c r="Z108" s="3">
        <v>2033</v>
      </c>
    </row>
    <row r="109" spans="1:30">
      <c r="A109" s="3">
        <v>2034</v>
      </c>
      <c r="B109" s="3"/>
      <c r="C109" s="3"/>
      <c r="D109" s="3"/>
      <c r="E109" s="3"/>
      <c r="F109" s="3"/>
      <c r="G109" s="3"/>
      <c r="H109" s="3"/>
      <c r="I109" s="3">
        <v>2034</v>
      </c>
      <c r="J109" s="3"/>
      <c r="K109" s="3"/>
      <c r="L109" s="3"/>
      <c r="M109" s="3"/>
      <c r="N109" s="3"/>
      <c r="O109" s="3"/>
      <c r="P109" s="3"/>
      <c r="Q109" s="3">
        <v>2034</v>
      </c>
      <c r="R109" s="3"/>
      <c r="S109" s="3"/>
      <c r="T109" s="3"/>
      <c r="U109" s="13">
        <f t="shared" si="48"/>
        <v>2.6369802334340511</v>
      </c>
      <c r="V109" s="12">
        <f>'Country L per 100 km'!Q29</f>
        <v>6.4722042906734885</v>
      </c>
      <c r="W109" s="3">
        <f>'Country distance travelled'!Q29</f>
        <v>12200</v>
      </c>
      <c r="Z109" s="3">
        <v>2034</v>
      </c>
    </row>
    <row r="110" spans="1:30">
      <c r="A110" s="3">
        <v>2035</v>
      </c>
      <c r="B110" s="3"/>
      <c r="C110" s="3"/>
      <c r="D110" s="3"/>
      <c r="E110" s="3"/>
      <c r="F110" s="3"/>
      <c r="G110" s="3"/>
      <c r="H110" s="3"/>
      <c r="I110" s="3">
        <v>2035</v>
      </c>
      <c r="J110" s="3"/>
      <c r="K110" s="3"/>
      <c r="L110" s="3"/>
      <c r="M110" s="3"/>
      <c r="N110" s="3"/>
      <c r="O110" s="3"/>
      <c r="P110" s="3"/>
      <c r="Q110" s="3">
        <v>2035</v>
      </c>
      <c r="R110" s="3"/>
      <c r="S110" s="3"/>
      <c r="T110" s="3"/>
      <c r="U110" s="13">
        <f t="shared" si="48"/>
        <v>2.6369802334340511</v>
      </c>
      <c r="V110" s="12">
        <f>'Country L per 100 km'!Q30</f>
        <v>6.4081230600727608</v>
      </c>
      <c r="W110" s="3">
        <f>'Country distance travelled'!Q30</f>
        <v>12200</v>
      </c>
      <c r="Z110" s="3">
        <v>2035</v>
      </c>
    </row>
    <row r="111" spans="1:30">
      <c r="A111" s="3">
        <v>2036</v>
      </c>
      <c r="B111" s="3"/>
      <c r="C111" s="3"/>
      <c r="D111" s="3"/>
      <c r="E111" s="3"/>
      <c r="F111" s="3"/>
      <c r="G111" s="3"/>
      <c r="H111" s="3"/>
      <c r="I111" s="3">
        <v>2036</v>
      </c>
      <c r="J111" s="3"/>
      <c r="K111" s="3"/>
      <c r="L111" s="3"/>
      <c r="M111" s="3"/>
      <c r="N111" s="3"/>
      <c r="O111" s="3"/>
      <c r="P111" s="3"/>
      <c r="Q111" s="3">
        <v>2036</v>
      </c>
      <c r="R111" s="3"/>
      <c r="S111" s="3"/>
      <c r="T111" s="3"/>
      <c r="U111" s="13">
        <f t="shared" si="48"/>
        <v>2.6369802334340511</v>
      </c>
      <c r="V111" s="12">
        <f>'Country L per 100 km'!Q31</f>
        <v>6.344676297101743</v>
      </c>
      <c r="W111" s="3">
        <f>'Country distance travelled'!Q31</f>
        <v>12200</v>
      </c>
      <c r="Z111" s="3">
        <v>2036</v>
      </c>
    </row>
    <row r="112" spans="1:30">
      <c r="A112" s="3">
        <v>2037</v>
      </c>
      <c r="B112" s="3"/>
      <c r="C112" s="3"/>
      <c r="D112" s="3"/>
      <c r="E112" s="3"/>
      <c r="F112" s="3"/>
      <c r="G112" s="3"/>
      <c r="H112" s="3"/>
      <c r="I112" s="3">
        <v>2037</v>
      </c>
      <c r="J112" s="3"/>
      <c r="K112" s="3"/>
      <c r="L112" s="3"/>
      <c r="M112" s="3"/>
      <c r="N112" s="3"/>
      <c r="O112" s="3"/>
      <c r="P112" s="3"/>
      <c r="Q112" s="3">
        <v>2037</v>
      </c>
      <c r="R112" s="3"/>
      <c r="S112" s="3"/>
      <c r="T112" s="3"/>
      <c r="U112" s="13">
        <f t="shared" si="48"/>
        <v>2.6369802334340511</v>
      </c>
      <c r="V112" s="12">
        <f>'Country L per 100 km'!Q32</f>
        <v>6.2818577199027166</v>
      </c>
      <c r="W112" s="3">
        <f>'Country distance travelled'!Q32</f>
        <v>12200</v>
      </c>
      <c r="Z112" s="3">
        <v>2037</v>
      </c>
    </row>
    <row r="113" spans="1:29">
      <c r="A113" s="3">
        <v>2038</v>
      </c>
      <c r="B113" s="3"/>
      <c r="C113" s="3"/>
      <c r="D113" s="3"/>
      <c r="E113" s="3"/>
      <c r="F113" s="3"/>
      <c r="G113" s="3"/>
      <c r="H113" s="3"/>
      <c r="I113" s="3">
        <v>2038</v>
      </c>
      <c r="J113" s="3"/>
      <c r="K113" s="3"/>
      <c r="L113" s="3"/>
      <c r="M113" s="3"/>
      <c r="N113" s="3"/>
      <c r="O113" s="3"/>
      <c r="P113" s="3"/>
      <c r="Q113" s="3">
        <v>2038</v>
      </c>
      <c r="R113" s="3"/>
      <c r="S113" s="3"/>
      <c r="T113" s="3"/>
      <c r="U113" s="13">
        <f t="shared" si="48"/>
        <v>2.6369802334340511</v>
      </c>
      <c r="V113" s="12">
        <f>'Country L per 100 km'!Q33</f>
        <v>6.219661108814571</v>
      </c>
      <c r="W113" s="3">
        <f>'Country distance travelled'!Q33</f>
        <v>12200</v>
      </c>
      <c r="Z113" s="3">
        <v>2038</v>
      </c>
    </row>
    <row r="114" spans="1:29">
      <c r="A114" s="3">
        <v>2039</v>
      </c>
      <c r="B114" s="3"/>
      <c r="C114" s="3"/>
      <c r="D114" s="3"/>
      <c r="E114" s="3"/>
      <c r="F114" s="3"/>
      <c r="G114" s="3"/>
      <c r="H114" s="3"/>
      <c r="I114" s="3">
        <v>2039</v>
      </c>
      <c r="J114" s="3"/>
      <c r="K114" s="3"/>
      <c r="L114" s="3"/>
      <c r="M114" s="3"/>
      <c r="N114" s="3"/>
      <c r="O114" s="3"/>
      <c r="P114" s="3"/>
      <c r="Q114" s="3">
        <v>2039</v>
      </c>
      <c r="R114" s="3"/>
      <c r="S114" s="3"/>
      <c r="T114" s="3"/>
      <c r="U114" s="13">
        <f t="shared" si="48"/>
        <v>2.6369802334340511</v>
      </c>
      <c r="V114" s="12">
        <f>'Country L per 100 km'!Q34</f>
        <v>6.158080305757001</v>
      </c>
      <c r="W114" s="3">
        <f>'Country distance travelled'!Q34</f>
        <v>12200</v>
      </c>
      <c r="Z114" s="3">
        <v>2039</v>
      </c>
    </row>
    <row r="115" spans="1:29">
      <c r="A115" s="3">
        <v>2040</v>
      </c>
      <c r="B115" s="3"/>
      <c r="C115" s="3"/>
      <c r="D115" s="3"/>
      <c r="E115" s="3"/>
      <c r="F115" s="3"/>
      <c r="G115" s="3"/>
      <c r="H115" s="3"/>
      <c r="I115" s="3">
        <v>2040</v>
      </c>
      <c r="J115" s="3"/>
      <c r="K115" s="3"/>
      <c r="L115" s="3"/>
      <c r="M115" s="3"/>
      <c r="N115" s="3"/>
      <c r="O115" s="3"/>
      <c r="P115" s="3"/>
      <c r="Q115" s="3">
        <v>2040</v>
      </c>
      <c r="R115" s="3"/>
      <c r="S115" s="3"/>
      <c r="T115" s="3"/>
      <c r="U115" s="13">
        <f t="shared" si="48"/>
        <v>2.6369802334340511</v>
      </c>
      <c r="V115" s="12">
        <f>'Country L per 100 km'!Q35</f>
        <v>6.0971092136207927</v>
      </c>
      <c r="W115" s="3">
        <f>'Country distance travelled'!Q35</f>
        <v>12200</v>
      </c>
      <c r="Z115" s="3">
        <v>2040</v>
      </c>
    </row>
    <row r="123" spans="1:29">
      <c r="Q123" s="87" t="s">
        <v>980</v>
      </c>
      <c r="R123" s="87" t="s">
        <v>980</v>
      </c>
      <c r="S123" s="87" t="s">
        <v>980</v>
      </c>
      <c r="T123" s="87" t="s">
        <v>980</v>
      </c>
      <c r="U123" s="87" t="s">
        <v>980</v>
      </c>
      <c r="W123" s="14" t="s">
        <v>812</v>
      </c>
      <c r="X123" s="14" t="s">
        <v>812</v>
      </c>
      <c r="Y123" s="14" t="s">
        <v>812</v>
      </c>
      <c r="Z123" s="14" t="s">
        <v>812</v>
      </c>
      <c r="AA123" s="14" t="s">
        <v>812</v>
      </c>
      <c r="AC123" s="248" t="s">
        <v>952</v>
      </c>
    </row>
    <row r="124" spans="1:29">
      <c r="Q124" s="87" t="s">
        <v>978</v>
      </c>
      <c r="R124" s="87" t="s">
        <v>979</v>
      </c>
      <c r="S124" s="87" t="s">
        <v>916</v>
      </c>
      <c r="T124" s="87" t="s">
        <v>981</v>
      </c>
      <c r="U124" s="87" t="s">
        <v>983</v>
      </c>
      <c r="W124" s="14" t="s">
        <v>725</v>
      </c>
      <c r="X124" s="14" t="s">
        <v>979</v>
      </c>
      <c r="Y124" s="14" t="s">
        <v>916</v>
      </c>
      <c r="Z124" s="14" t="s">
        <v>985</v>
      </c>
      <c r="AA124" s="14" t="s">
        <v>983</v>
      </c>
      <c r="AC124" s="248" t="s">
        <v>1204</v>
      </c>
    </row>
    <row r="125" spans="1:29">
      <c r="P125">
        <v>2012</v>
      </c>
      <c r="Q125" s="3">
        <f>B87</f>
        <v>49894.346866534601</v>
      </c>
      <c r="R125" s="3">
        <f t="shared" ref="R125:U140" si="49">C87</f>
        <v>9978.8693733069194</v>
      </c>
      <c r="S125" s="3">
        <f t="shared" si="49"/>
        <v>6486.265092649498</v>
      </c>
      <c r="T125" s="3">
        <f t="shared" si="49"/>
        <v>0</v>
      </c>
      <c r="U125" s="3">
        <f t="shared" si="49"/>
        <v>16465.134465956417</v>
      </c>
      <c r="V125" s="3"/>
      <c r="W125" s="3">
        <f>J87</f>
        <v>35491.815148091264</v>
      </c>
      <c r="X125" s="3">
        <f t="shared" ref="X125:AA140" si="50">K87</f>
        <v>7098.3630296182528</v>
      </c>
      <c r="Y125" s="3">
        <f t="shared" si="50"/>
        <v>4613.9359692518647</v>
      </c>
      <c r="Z125" s="3">
        <f t="shared" si="50"/>
        <v>2216.732695880843</v>
      </c>
      <c r="AA125" s="3">
        <f t="shared" si="50"/>
        <v>13929.03169475096</v>
      </c>
      <c r="AC125" s="13">
        <f>U125/AA125</f>
        <v>1.1820731567551221</v>
      </c>
    </row>
    <row r="126" spans="1:29">
      <c r="P126">
        <v>2013</v>
      </c>
      <c r="Q126" s="3">
        <f t="shared" ref="Q126:U141" si="51">B88</f>
        <v>50016.86620387085</v>
      </c>
      <c r="R126" s="3">
        <f t="shared" si="49"/>
        <v>10003.37324077417</v>
      </c>
      <c r="S126" s="3">
        <f t="shared" si="49"/>
        <v>6502.1926065032103</v>
      </c>
      <c r="T126" s="3">
        <f t="shared" si="49"/>
        <v>0</v>
      </c>
      <c r="U126" s="3">
        <f t="shared" si="49"/>
        <v>16505.565847277379</v>
      </c>
      <c r="V126" s="3"/>
      <c r="W126" s="3">
        <f t="shared" ref="W126:AA141" si="52">J88</f>
        <v>35196.416160022425</v>
      </c>
      <c r="X126" s="3">
        <f t="shared" si="50"/>
        <v>7039.2832320044854</v>
      </c>
      <c r="Y126" s="3">
        <f t="shared" si="50"/>
        <v>4575.5341008029154</v>
      </c>
      <c r="Z126" s="3">
        <f t="shared" si="50"/>
        <v>2185.6246436551537</v>
      </c>
      <c r="AA126" s="3">
        <f t="shared" si="50"/>
        <v>13800.441976462555</v>
      </c>
      <c r="AC126" s="13">
        <f t="shared" ref="AC126:AC143" si="53">U126/AA126</f>
        <v>1.1960171910021844</v>
      </c>
    </row>
    <row r="127" spans="1:29">
      <c r="P127">
        <v>2014</v>
      </c>
      <c r="Q127" s="3">
        <f t="shared" si="51"/>
        <v>52991.355464014319</v>
      </c>
      <c r="R127" s="3">
        <f t="shared" si="49"/>
        <v>10598.271092802865</v>
      </c>
      <c r="S127" s="3">
        <f t="shared" si="49"/>
        <v>6888.8762103218614</v>
      </c>
      <c r="T127" s="3">
        <f t="shared" si="49"/>
        <v>0</v>
      </c>
      <c r="U127" s="3">
        <f t="shared" si="49"/>
        <v>17487.147303124726</v>
      </c>
      <c r="V127" s="3"/>
      <c r="W127" s="3">
        <f t="shared" si="52"/>
        <v>34748.440370711724</v>
      </c>
      <c r="X127" s="3">
        <f t="shared" si="50"/>
        <v>6949.6880741423447</v>
      </c>
      <c r="Y127" s="3">
        <f t="shared" si="50"/>
        <v>4517.2972481925244</v>
      </c>
      <c r="Z127" s="3">
        <f t="shared" si="50"/>
        <v>2144.7843033848585</v>
      </c>
      <c r="AA127" s="3">
        <f t="shared" si="50"/>
        <v>13611.769625719728</v>
      </c>
      <c r="AC127" s="13">
        <f t="shared" si="53"/>
        <v>1.2847078509235412</v>
      </c>
    </row>
    <row r="128" spans="1:29">
      <c r="P128">
        <v>2015</v>
      </c>
      <c r="Q128" s="3">
        <f t="shared" si="51"/>
        <v>55324.116485142134</v>
      </c>
      <c r="R128" s="3">
        <f t="shared" si="49"/>
        <v>11064.823297028426</v>
      </c>
      <c r="S128" s="3">
        <f t="shared" si="49"/>
        <v>7192.1351430684781</v>
      </c>
      <c r="T128" s="3">
        <f t="shared" si="49"/>
        <v>0</v>
      </c>
      <c r="U128" s="3">
        <f t="shared" si="49"/>
        <v>18256.958440096903</v>
      </c>
      <c r="V128" s="3"/>
      <c r="W128" s="3">
        <f t="shared" si="52"/>
        <v>40646.415414216586</v>
      </c>
      <c r="X128" s="3">
        <f t="shared" si="50"/>
        <v>8129.2830828433171</v>
      </c>
      <c r="Y128" s="3">
        <f t="shared" si="50"/>
        <v>5284.0340038481563</v>
      </c>
      <c r="Z128" s="3">
        <f t="shared" si="50"/>
        <v>1922.2857697329548</v>
      </c>
      <c r="AA128" s="3">
        <f t="shared" si="50"/>
        <v>15335.602856424428</v>
      </c>
      <c r="AC128" s="13">
        <f t="shared" si="53"/>
        <v>1.1904949946228331</v>
      </c>
    </row>
    <row r="129" spans="16:29">
      <c r="P129">
        <v>2016</v>
      </c>
      <c r="Q129" s="3">
        <f t="shared" si="51"/>
        <v>54707.136577315032</v>
      </c>
      <c r="R129" s="3">
        <f t="shared" si="49"/>
        <v>10941.427315463006</v>
      </c>
      <c r="S129" s="3">
        <f t="shared" si="49"/>
        <v>7111.9277550509541</v>
      </c>
      <c r="T129" s="3">
        <f t="shared" si="49"/>
        <v>0</v>
      </c>
      <c r="U129" s="3">
        <f t="shared" si="49"/>
        <v>18053.355070513961</v>
      </c>
      <c r="V129" s="3"/>
      <c r="W129" s="3">
        <f t="shared" si="52"/>
        <v>40181.983120285695</v>
      </c>
      <c r="X129" s="3">
        <f t="shared" si="50"/>
        <v>8036.396624057139</v>
      </c>
      <c r="Y129" s="3">
        <f t="shared" si="50"/>
        <v>5223.6578056371409</v>
      </c>
      <c r="Z129" s="3">
        <f t="shared" si="50"/>
        <v>1806.4480167536813</v>
      </c>
      <c r="AA129" s="3">
        <f t="shared" si="50"/>
        <v>15066.502446447961</v>
      </c>
      <c r="AC129" s="13">
        <f t="shared" si="53"/>
        <v>1.1982445915820477</v>
      </c>
    </row>
    <row r="130" spans="16:29">
      <c r="P130">
        <v>2017</v>
      </c>
      <c r="Q130" s="3">
        <f t="shared" si="51"/>
        <v>54131.794599334244</v>
      </c>
      <c r="R130" s="3">
        <f t="shared" si="49"/>
        <v>10826.358919866849</v>
      </c>
      <c r="S130" s="3">
        <f t="shared" si="49"/>
        <v>7037.1332979134522</v>
      </c>
      <c r="T130" s="3">
        <f t="shared" si="49"/>
        <v>0</v>
      </c>
      <c r="U130" s="3">
        <f t="shared" si="49"/>
        <v>17863.492217780302</v>
      </c>
      <c r="V130" s="3"/>
      <c r="W130" s="3">
        <f t="shared" si="52"/>
        <v>39729.992427687132</v>
      </c>
      <c r="X130" s="3">
        <f t="shared" si="50"/>
        <v>7945.9984855374259</v>
      </c>
      <c r="Y130" s="3">
        <f t="shared" si="50"/>
        <v>5164.899015599327</v>
      </c>
      <c r="Z130" s="3">
        <f t="shared" si="50"/>
        <v>1889.7567222804585</v>
      </c>
      <c r="AA130" s="3">
        <f t="shared" si="50"/>
        <v>15000.654223417212</v>
      </c>
      <c r="AC130" s="13">
        <f t="shared" si="53"/>
        <v>1.1908475424954448</v>
      </c>
    </row>
    <row r="131" spans="16:29">
      <c r="P131">
        <v>2018</v>
      </c>
      <c r="Q131" s="3">
        <f t="shared" si="51"/>
        <v>55067.832959644598</v>
      </c>
      <c r="R131" s="3">
        <f t="shared" si="49"/>
        <v>11013.56659192892</v>
      </c>
      <c r="S131" s="3">
        <f t="shared" si="49"/>
        <v>7158.8182847537983</v>
      </c>
      <c r="T131" s="3">
        <f t="shared" si="49"/>
        <v>511</v>
      </c>
      <c r="U131" s="3">
        <f t="shared" si="49"/>
        <v>17661.384876682718</v>
      </c>
      <c r="V131" s="3"/>
      <c r="W131" s="3">
        <f t="shared" si="52"/>
        <v>39605.999999999993</v>
      </c>
      <c r="X131" s="3">
        <f t="shared" si="50"/>
        <v>7921.1999999999989</v>
      </c>
      <c r="Y131" s="3">
        <f t="shared" si="50"/>
        <v>5148.7799999999988</v>
      </c>
      <c r="Z131" s="3">
        <f t="shared" si="50"/>
        <v>2053.4577019987478</v>
      </c>
      <c r="AA131" s="3">
        <f t="shared" si="50"/>
        <v>15123.437701998746</v>
      </c>
      <c r="AC131" s="13">
        <f t="shared" si="53"/>
        <v>1.1678154943798624</v>
      </c>
    </row>
    <row r="132" spans="16:29">
      <c r="P132">
        <v>2019</v>
      </c>
      <c r="Q132" s="3">
        <f t="shared" si="51"/>
        <v>56068.131054199737</v>
      </c>
      <c r="R132" s="3">
        <f t="shared" si="49"/>
        <v>11213.626210839948</v>
      </c>
      <c r="S132" s="3">
        <f t="shared" si="49"/>
        <v>7288.8570370459665</v>
      </c>
      <c r="T132" s="3">
        <f t="shared" si="49"/>
        <v>511</v>
      </c>
      <c r="U132" s="3">
        <f t="shared" si="49"/>
        <v>17991.483247885913</v>
      </c>
      <c r="V132" s="3"/>
      <c r="W132" s="3">
        <f t="shared" si="52"/>
        <v>39605.999999999993</v>
      </c>
      <c r="X132" s="3">
        <f t="shared" si="50"/>
        <v>7921.1999999999989</v>
      </c>
      <c r="Y132" s="3">
        <f t="shared" si="50"/>
        <v>5148.7799999999988</v>
      </c>
      <c r="Z132" s="3">
        <f t="shared" si="50"/>
        <v>1999.1503569406982</v>
      </c>
      <c r="AA132" s="3">
        <f t="shared" si="50"/>
        <v>15069.130356940695</v>
      </c>
      <c r="AC132" s="13">
        <f t="shared" si="53"/>
        <v>1.1939297638101067</v>
      </c>
    </row>
    <row r="133" spans="16:29">
      <c r="P133">
        <v>2020</v>
      </c>
      <c r="Q133" s="3">
        <f t="shared" si="51"/>
        <v>55745.960472655628</v>
      </c>
      <c r="R133" s="3">
        <f t="shared" si="49"/>
        <v>11149.192094531125</v>
      </c>
      <c r="S133" s="3">
        <f t="shared" si="49"/>
        <v>7246.9748614452319</v>
      </c>
      <c r="T133" s="3">
        <f t="shared" si="49"/>
        <v>511</v>
      </c>
      <c r="U133" s="3">
        <f t="shared" si="49"/>
        <v>17885.166955976358</v>
      </c>
      <c r="V133" s="3"/>
      <c r="W133" s="3">
        <f t="shared" si="52"/>
        <v>39605.999999999993</v>
      </c>
      <c r="X133" s="3">
        <f t="shared" si="50"/>
        <v>7921.1999999999989</v>
      </c>
      <c r="Y133" s="3">
        <f t="shared" si="50"/>
        <v>5148.7799999999988</v>
      </c>
      <c r="Z133" s="3">
        <f t="shared" si="50"/>
        <v>1982.2425932757656</v>
      </c>
      <c r="AA133" s="3">
        <f t="shared" si="50"/>
        <v>15052.222593275763</v>
      </c>
      <c r="AC133" s="13">
        <f t="shared" si="53"/>
        <v>1.1882077111964946</v>
      </c>
    </row>
    <row r="134" spans="16:29">
      <c r="P134">
        <v>2021</v>
      </c>
      <c r="Q134" s="3">
        <f t="shared" si="51"/>
        <v>54404.187921932069</v>
      </c>
      <c r="R134" s="3">
        <f t="shared" si="49"/>
        <v>10880.837584386414</v>
      </c>
      <c r="S134" s="3">
        <f t="shared" si="49"/>
        <v>7072.5444298511693</v>
      </c>
      <c r="T134" s="3">
        <f t="shared" si="49"/>
        <v>511</v>
      </c>
      <c r="U134" s="3">
        <f t="shared" si="49"/>
        <v>17442.382014237584</v>
      </c>
      <c r="V134" s="3"/>
      <c r="W134" s="3">
        <f t="shared" si="52"/>
        <v>39605.999999999993</v>
      </c>
      <c r="X134" s="3">
        <f t="shared" si="50"/>
        <v>7921.1999999999989</v>
      </c>
      <c r="Y134" s="3">
        <f t="shared" si="50"/>
        <v>5148.7799999999988</v>
      </c>
      <c r="Z134" s="3">
        <f t="shared" si="50"/>
        <v>2046.797029449036</v>
      </c>
      <c r="AA134" s="3">
        <f t="shared" si="50"/>
        <v>15116.777029449033</v>
      </c>
      <c r="AC134" s="13">
        <f t="shared" si="53"/>
        <v>1.1538426465018325</v>
      </c>
    </row>
    <row r="135" spans="16:29">
      <c r="P135">
        <v>2022</v>
      </c>
      <c r="Q135" s="3">
        <f t="shared" si="51"/>
        <v>55154.542188843203</v>
      </c>
      <c r="R135" s="3">
        <f t="shared" si="49"/>
        <v>11030.908437768641</v>
      </c>
      <c r="S135" s="3">
        <f t="shared" si="49"/>
        <v>7170.090484549617</v>
      </c>
      <c r="T135" s="3">
        <f t="shared" si="49"/>
        <v>511</v>
      </c>
      <c r="U135" s="3">
        <f t="shared" si="49"/>
        <v>17689.998922318257</v>
      </c>
      <c r="V135" s="3"/>
      <c r="W135" s="3">
        <f t="shared" si="52"/>
        <v>39605.999999999993</v>
      </c>
      <c r="X135" s="3">
        <f t="shared" si="50"/>
        <v>7921.1999999999989</v>
      </c>
      <c r="Y135" s="3">
        <f t="shared" si="50"/>
        <v>5148.7799999999988</v>
      </c>
      <c r="Z135" s="3">
        <f t="shared" si="50"/>
        <v>2088.589380963866</v>
      </c>
      <c r="AA135" s="3">
        <f t="shared" si="50"/>
        <v>15158.569380963863</v>
      </c>
      <c r="AC135" s="13">
        <f t="shared" si="53"/>
        <v>1.1669965995955636</v>
      </c>
    </row>
    <row r="136" spans="16:29">
      <c r="P136">
        <v>2023</v>
      </c>
      <c r="Q136" s="3">
        <f t="shared" si="51"/>
        <v>54670.817950068202</v>
      </c>
      <c r="R136" s="3">
        <f t="shared" si="49"/>
        <v>10934.163590013641</v>
      </c>
      <c r="S136" s="3">
        <f t="shared" si="49"/>
        <v>7107.2063335088669</v>
      </c>
      <c r="T136" s="3">
        <f t="shared" si="49"/>
        <v>511</v>
      </c>
      <c r="U136" s="3">
        <f t="shared" si="49"/>
        <v>17530.369923522507</v>
      </c>
      <c r="V136" s="3"/>
      <c r="W136" s="3">
        <f t="shared" si="52"/>
        <v>39605.999999999993</v>
      </c>
      <c r="X136" s="3">
        <f t="shared" si="50"/>
        <v>7921.1999999999989</v>
      </c>
      <c r="Y136" s="3">
        <f t="shared" si="50"/>
        <v>5148.7799999999988</v>
      </c>
      <c r="Z136" s="3">
        <f t="shared" si="50"/>
        <v>2096.1843831492056</v>
      </c>
      <c r="AA136" s="3">
        <f t="shared" si="50"/>
        <v>15166.164383149204</v>
      </c>
      <c r="AC136" s="13">
        <f t="shared" si="53"/>
        <v>1.1558868465780392</v>
      </c>
    </row>
    <row r="137" spans="16:29">
      <c r="P137">
        <v>2024</v>
      </c>
      <c r="Q137" s="3">
        <f t="shared" si="51"/>
        <v>52800.888144652097</v>
      </c>
      <c r="R137" s="3">
        <f t="shared" si="49"/>
        <v>10560.17762893042</v>
      </c>
      <c r="S137" s="3">
        <f t="shared" si="49"/>
        <v>6864.115458804773</v>
      </c>
      <c r="T137" s="3">
        <f t="shared" si="49"/>
        <v>511</v>
      </c>
      <c r="U137" s="3">
        <f t="shared" si="49"/>
        <v>16913.293087735194</v>
      </c>
      <c r="V137" s="3"/>
      <c r="W137" s="3">
        <f t="shared" si="52"/>
        <v>39605.999999999993</v>
      </c>
      <c r="X137" s="3">
        <f t="shared" si="50"/>
        <v>7921.1999999999989</v>
      </c>
      <c r="Y137" s="3">
        <f t="shared" si="50"/>
        <v>5148.7799999999988</v>
      </c>
      <c r="Z137" s="3">
        <f t="shared" si="50"/>
        <v>2082.8313889351602</v>
      </c>
      <c r="AA137" s="3">
        <f t="shared" si="50"/>
        <v>15152.811388935159</v>
      </c>
      <c r="AC137" s="13">
        <f t="shared" si="53"/>
        <v>1.1161818525693237</v>
      </c>
    </row>
    <row r="138" spans="16:29">
      <c r="P138">
        <v>2025</v>
      </c>
      <c r="Q138" s="3">
        <f t="shared" si="51"/>
        <v>51195.528471545986</v>
      </c>
      <c r="R138" s="3">
        <f t="shared" si="49"/>
        <v>10239.105694309197</v>
      </c>
      <c r="S138" s="3">
        <f t="shared" si="49"/>
        <v>6655.4187013009787</v>
      </c>
      <c r="T138" s="3">
        <f t="shared" si="49"/>
        <v>511</v>
      </c>
      <c r="U138" s="3">
        <f t="shared" si="49"/>
        <v>16383.524395610177</v>
      </c>
      <c r="V138" s="3"/>
      <c r="W138" s="3">
        <f t="shared" si="52"/>
        <v>39605.999999999993</v>
      </c>
      <c r="X138" s="3">
        <f t="shared" si="50"/>
        <v>7921.1999999999989</v>
      </c>
      <c r="Y138" s="3">
        <f t="shared" si="50"/>
        <v>5148.7799999999988</v>
      </c>
      <c r="Z138" s="3">
        <f t="shared" si="50"/>
        <v>2100.5526284042262</v>
      </c>
      <c r="AA138" s="3">
        <f t="shared" si="50"/>
        <v>15170.532628404224</v>
      </c>
      <c r="AC138" s="13">
        <f t="shared" si="53"/>
        <v>1.0799570982059545</v>
      </c>
    </row>
    <row r="139" spans="16:29">
      <c r="P139">
        <v>2026</v>
      </c>
      <c r="Q139" s="3">
        <f t="shared" si="51"/>
        <v>50280.965051215069</v>
      </c>
      <c r="R139" s="3">
        <f t="shared" si="49"/>
        <v>10056.193010243014</v>
      </c>
      <c r="S139" s="3">
        <f t="shared" si="49"/>
        <v>6536.5254566579588</v>
      </c>
      <c r="T139" s="3">
        <f t="shared" si="49"/>
        <v>511</v>
      </c>
      <c r="U139" s="3">
        <f t="shared" si="49"/>
        <v>16081.718466900973</v>
      </c>
      <c r="V139" s="3"/>
      <c r="W139" s="3">
        <f t="shared" si="52"/>
        <v>39605.999999999993</v>
      </c>
      <c r="X139" s="3">
        <f t="shared" si="50"/>
        <v>7921.1999999999989</v>
      </c>
      <c r="Y139" s="3">
        <f t="shared" si="50"/>
        <v>5148.7799999999988</v>
      </c>
      <c r="Z139" s="3">
        <f t="shared" si="50"/>
        <v>2146.4806957861915</v>
      </c>
      <c r="AA139" s="3">
        <f t="shared" si="50"/>
        <v>15216.460695786189</v>
      </c>
      <c r="AC139" s="13">
        <f t="shared" si="53"/>
        <v>1.0568632738199359</v>
      </c>
    </row>
    <row r="140" spans="16:29">
      <c r="P140">
        <v>2027</v>
      </c>
      <c r="Q140" s="3">
        <f t="shared" si="51"/>
        <v>49366.401630884167</v>
      </c>
      <c r="R140" s="3">
        <f t="shared" si="49"/>
        <v>9873.2803261768331</v>
      </c>
      <c r="S140" s="3">
        <f t="shared" si="49"/>
        <v>6417.6322120149416</v>
      </c>
      <c r="T140" s="3">
        <f t="shared" si="49"/>
        <v>511</v>
      </c>
      <c r="U140" s="3">
        <f t="shared" si="49"/>
        <v>15779.912538191775</v>
      </c>
      <c r="V140" s="3"/>
      <c r="W140" s="3">
        <f t="shared" si="52"/>
        <v>39605.999999999993</v>
      </c>
      <c r="X140" s="3">
        <f t="shared" si="50"/>
        <v>7921.1999999999989</v>
      </c>
      <c r="Y140" s="3">
        <f t="shared" si="50"/>
        <v>5148.7799999999988</v>
      </c>
      <c r="Z140" s="3">
        <f t="shared" si="50"/>
        <v>2159.2766247819941</v>
      </c>
      <c r="AA140" s="3">
        <f t="shared" si="50"/>
        <v>15229.256624781992</v>
      </c>
      <c r="AC140" s="13">
        <f t="shared" si="53"/>
        <v>1.0361577670517235</v>
      </c>
    </row>
    <row r="141" spans="16:29">
      <c r="P141">
        <v>2028</v>
      </c>
      <c r="Q141" s="3">
        <f t="shared" si="51"/>
        <v>48337.517783011906</v>
      </c>
      <c r="R141" s="3">
        <f t="shared" si="51"/>
        <v>9667.5035566023817</v>
      </c>
      <c r="S141" s="3">
        <f t="shared" si="51"/>
        <v>6283.877311791548</v>
      </c>
      <c r="T141" s="3">
        <f t="shared" si="51"/>
        <v>511</v>
      </c>
      <c r="U141" s="3">
        <f t="shared" si="51"/>
        <v>15440.38086839393</v>
      </c>
      <c r="V141" s="3"/>
      <c r="W141" s="3">
        <f t="shared" si="52"/>
        <v>39605.999999999993</v>
      </c>
      <c r="X141" s="3">
        <f t="shared" si="52"/>
        <v>7921.1999999999989</v>
      </c>
      <c r="Y141" s="3">
        <f t="shared" si="52"/>
        <v>5148.7799999999988</v>
      </c>
      <c r="Z141" s="3">
        <f t="shared" si="52"/>
        <v>2159.2376170116941</v>
      </c>
      <c r="AA141" s="3">
        <f t="shared" si="52"/>
        <v>15229.217617011691</v>
      </c>
      <c r="AC141" s="13">
        <f t="shared" si="53"/>
        <v>1.0138656664244103</v>
      </c>
    </row>
    <row r="142" spans="16:29">
      <c r="P142">
        <v>2029</v>
      </c>
      <c r="Q142" s="3">
        <f t="shared" ref="Q142:U143" si="54">B104</f>
        <v>47422.954362681005</v>
      </c>
      <c r="R142" s="3">
        <f t="shared" si="54"/>
        <v>9484.5908725362005</v>
      </c>
      <c r="S142" s="3">
        <f t="shared" si="54"/>
        <v>6164.9840671485308</v>
      </c>
      <c r="T142" s="3">
        <f t="shared" si="54"/>
        <v>511</v>
      </c>
      <c r="U142" s="3">
        <f t="shared" si="54"/>
        <v>15138.574939684731</v>
      </c>
      <c r="V142" s="3"/>
      <c r="W142" s="3">
        <f t="shared" ref="W142:AA143" si="55">J104</f>
        <v>39605.999999999993</v>
      </c>
      <c r="X142" s="3">
        <f t="shared" si="55"/>
        <v>7921.1999999999989</v>
      </c>
      <c r="Y142" s="3">
        <f t="shared" si="55"/>
        <v>5148.7799999999988</v>
      </c>
      <c r="Z142" s="3">
        <f t="shared" si="55"/>
        <v>2166.4975454252572</v>
      </c>
      <c r="AA142" s="3">
        <f t="shared" si="55"/>
        <v>15236.477545425256</v>
      </c>
      <c r="AC142" s="13">
        <f t="shared" si="53"/>
        <v>0.99357445935593425</v>
      </c>
    </row>
    <row r="143" spans="16:29">
      <c r="P143">
        <v>2030</v>
      </c>
      <c r="Q143" s="3">
        <f t="shared" si="54"/>
        <v>46394.070514808744</v>
      </c>
      <c r="R143" s="3">
        <f t="shared" si="54"/>
        <v>9278.8141029617491</v>
      </c>
      <c r="S143" s="3">
        <f t="shared" si="54"/>
        <v>6031.2291669251372</v>
      </c>
      <c r="T143" s="3">
        <f t="shared" si="54"/>
        <v>511</v>
      </c>
      <c r="U143" s="3">
        <f t="shared" si="54"/>
        <v>14799.043269886886</v>
      </c>
      <c r="V143" s="3"/>
      <c r="W143" s="3">
        <f t="shared" si="55"/>
        <v>39605.999999999993</v>
      </c>
      <c r="X143" s="3">
        <f t="shared" si="55"/>
        <v>7921.1999999999989</v>
      </c>
      <c r="Y143" s="3">
        <f t="shared" si="55"/>
        <v>5148.7799999999988</v>
      </c>
      <c r="Z143" s="3">
        <f t="shared" si="55"/>
        <v>2166.7281076736986</v>
      </c>
      <c r="AA143" s="3">
        <f t="shared" si="55"/>
        <v>15236.708107673696</v>
      </c>
      <c r="AC143" s="13">
        <f t="shared" si="53"/>
        <v>0.97127563022839647</v>
      </c>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4"/>
  <sheetViews>
    <sheetView zoomScale="75" zoomScaleNormal="75" workbookViewId="0">
      <pane xSplit="1" ySplit="3" topLeftCell="B4" activePane="bottomRight" state="frozen"/>
      <selection pane="topRight" activeCell="B1" sqref="B1"/>
      <selection pane="bottomLeft" activeCell="A4" sqref="A4"/>
      <selection pane="bottomRight" activeCell="X60" sqref="X60"/>
    </sheetView>
  </sheetViews>
  <sheetFormatPr defaultRowHeight="15"/>
  <sheetData>
    <row r="3" spans="1:12">
      <c r="A3" s="22"/>
    </row>
    <row r="4" spans="1:12">
      <c r="A4">
        <v>2000</v>
      </c>
    </row>
    <row r="5" spans="1:12">
      <c r="A5">
        <v>2001</v>
      </c>
    </row>
    <row r="6" spans="1:12">
      <c r="A6">
        <v>2002</v>
      </c>
    </row>
    <row r="7" spans="1:12">
      <c r="A7">
        <v>2003</v>
      </c>
    </row>
    <row r="8" spans="1:12">
      <c r="A8">
        <v>2004</v>
      </c>
    </row>
    <row r="9" spans="1:12">
      <c r="A9">
        <v>2005</v>
      </c>
    </row>
    <row r="11" spans="1:12">
      <c r="A11">
        <v>2007</v>
      </c>
      <c r="L11" s="130" t="s">
        <v>533</v>
      </c>
    </row>
    <row r="12" spans="1:12">
      <c r="A12">
        <v>2008</v>
      </c>
    </row>
    <row r="13" spans="1:12">
      <c r="A13">
        <v>2009</v>
      </c>
    </row>
    <row r="14" spans="1:12">
      <c r="A14">
        <v>2010</v>
      </c>
    </row>
    <row r="15" spans="1:12">
      <c r="A15">
        <v>2011</v>
      </c>
    </row>
    <row r="16" spans="1:12">
      <c r="A16">
        <v>2012</v>
      </c>
    </row>
    <row r="17" spans="1:1">
      <c r="A17">
        <v>2013</v>
      </c>
    </row>
    <row r="18" spans="1:1">
      <c r="A18">
        <v>2014</v>
      </c>
    </row>
    <row r="19" spans="1:1">
      <c r="A19">
        <v>2015</v>
      </c>
    </row>
    <row r="20" spans="1:1">
      <c r="A20">
        <v>2016</v>
      </c>
    </row>
    <row r="21" spans="1:1">
      <c r="A21">
        <v>2017</v>
      </c>
    </row>
    <row r="22" spans="1:1">
      <c r="A22">
        <v>2018</v>
      </c>
    </row>
    <row r="23" spans="1:1">
      <c r="A23">
        <v>2019</v>
      </c>
    </row>
    <row r="24" spans="1:1">
      <c r="A24">
        <v>2020</v>
      </c>
    </row>
    <row r="25" spans="1:1">
      <c r="A25">
        <v>2021</v>
      </c>
    </row>
    <row r="26" spans="1:1">
      <c r="A26">
        <v>2022</v>
      </c>
    </row>
    <row r="27" spans="1:1">
      <c r="A27">
        <v>2023</v>
      </c>
    </row>
    <row r="28" spans="1:1">
      <c r="A28">
        <v>2024</v>
      </c>
    </row>
    <row r="29" spans="1:1">
      <c r="A29">
        <v>2025</v>
      </c>
    </row>
    <row r="30" spans="1:1">
      <c r="A30">
        <v>2026</v>
      </c>
    </row>
    <row r="31" spans="1:1">
      <c r="A31">
        <v>2027</v>
      </c>
    </row>
    <row r="32" spans="1:1">
      <c r="A32">
        <v>2028</v>
      </c>
    </row>
    <row r="33" spans="1:1">
      <c r="A33">
        <v>2029</v>
      </c>
    </row>
    <row r="34" spans="1:1">
      <c r="A34">
        <v>2030</v>
      </c>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75" zoomScaleNormal="75" workbookViewId="0">
      <selection activeCell="I40" sqref="I40"/>
    </sheetView>
  </sheetViews>
  <sheetFormatPr defaultRowHeight="15"/>
  <cols>
    <col min="8" max="8" width="10.7109375" customWidth="1"/>
  </cols>
  <sheetData>
    <row r="1" spans="1:9">
      <c r="D1" t="s">
        <v>946</v>
      </c>
      <c r="H1" t="s">
        <v>946</v>
      </c>
      <c r="I1" t="s">
        <v>970</v>
      </c>
    </row>
    <row r="2" spans="1:9">
      <c r="D2" t="s">
        <v>948</v>
      </c>
      <c r="E2" t="s">
        <v>246</v>
      </c>
      <c r="H2" t="s">
        <v>971</v>
      </c>
      <c r="I2" t="s">
        <v>246</v>
      </c>
    </row>
    <row r="3" spans="1:9">
      <c r="B3" t="str">
        <f>'Australia EV uptake'!D3</f>
        <v xml:space="preserve"> predicted raw</v>
      </c>
      <c r="C3" t="s">
        <v>938</v>
      </c>
      <c r="D3" t="s">
        <v>944</v>
      </c>
      <c r="E3" t="s">
        <v>945</v>
      </c>
      <c r="G3" t="s">
        <v>968</v>
      </c>
      <c r="H3" t="s">
        <v>944</v>
      </c>
      <c r="I3" t="s">
        <v>945</v>
      </c>
    </row>
    <row r="4" spans="1:9">
      <c r="A4">
        <v>2009</v>
      </c>
      <c r="B4">
        <f>'Australia EV uptake'!D4</f>
        <v>0</v>
      </c>
      <c r="C4" s="13">
        <f>'EV %sales'!R67</f>
        <v>0.15606789967063592</v>
      </c>
      <c r="D4" s="13"/>
      <c r="E4" s="13"/>
      <c r="F4" s="13"/>
      <c r="G4" s="13"/>
      <c r="H4" s="13"/>
      <c r="I4" s="13"/>
    </row>
    <row r="5" spans="1:9">
      <c r="A5">
        <v>2010</v>
      </c>
      <c r="B5" s="13">
        <f>'Australia EV uptake'!D5</f>
        <v>0</v>
      </c>
      <c r="C5" s="13">
        <f>'EV %sales'!R68</f>
        <v>0.30527419885091661</v>
      </c>
      <c r="D5" s="13"/>
      <c r="E5" s="13"/>
      <c r="F5" s="13"/>
      <c r="G5" s="13">
        <f t="shared" ref="G5:G11" si="0">AVERAGE(C4:C6)</f>
        <v>0.5971168036911686</v>
      </c>
      <c r="H5" s="13"/>
      <c r="I5" s="13"/>
    </row>
    <row r="6" spans="1:9">
      <c r="A6">
        <v>2011</v>
      </c>
      <c r="B6" s="13">
        <f>'Australia EV uptake'!D6</f>
        <v>1.9307934808819711E-2</v>
      </c>
      <c r="C6" s="13">
        <f>'EV %sales'!R69</f>
        <v>1.3300083125519535</v>
      </c>
      <c r="D6" s="13"/>
      <c r="E6" s="13"/>
      <c r="F6" s="13"/>
      <c r="G6" s="13">
        <f t="shared" si="0"/>
        <v>1.7198762106290191</v>
      </c>
      <c r="H6" s="13"/>
      <c r="I6" s="13"/>
    </row>
    <row r="7" spans="1:9">
      <c r="A7">
        <v>2012</v>
      </c>
      <c r="B7" s="72">
        <f>'Australia EV uptake'!D7</f>
        <v>1.5945111417234707E-2</v>
      </c>
      <c r="C7" s="13">
        <f>'EV %sales'!R70</f>
        <v>3.5243461204841871</v>
      </c>
      <c r="D7" s="13">
        <f>A16+(C7-B16)/(B17-B16)</f>
        <v>2023.6267320089905</v>
      </c>
      <c r="E7" s="13">
        <f t="shared" ref="E7:E12" si="1">D7-A7</f>
        <v>11.62673200899053</v>
      </c>
      <c r="F7" s="13">
        <v>9.5</v>
      </c>
      <c r="G7" s="72">
        <f t="shared" si="0"/>
        <v>3.615993642934908</v>
      </c>
      <c r="H7" s="13"/>
      <c r="I7" s="13">
        <f t="shared" ref="I7:I12" si="2">H7-A7</f>
        <v>-2012</v>
      </c>
    </row>
    <row r="8" spans="1:9">
      <c r="A8">
        <v>2013</v>
      </c>
      <c r="B8" s="72">
        <f>'Australia EV uptake'!D8</f>
        <v>3.3737289203929641E-2</v>
      </c>
      <c r="C8" s="13">
        <f>'EV %sales'!R71</f>
        <v>5.9936264957685834</v>
      </c>
      <c r="D8" s="13">
        <f>A17+(C8-B17)/(B18-B17)</f>
        <v>2025.198696270402</v>
      </c>
      <c r="E8" s="13">
        <f t="shared" si="1"/>
        <v>12.198696270402024</v>
      </c>
      <c r="F8" s="13">
        <v>10</v>
      </c>
      <c r="G8" s="72">
        <f t="shared" si="0"/>
        <v>7.7403241915481571</v>
      </c>
      <c r="H8" s="13"/>
      <c r="I8" s="13">
        <f t="shared" si="2"/>
        <v>-2013</v>
      </c>
    </row>
    <row r="9" spans="1:9">
      <c r="A9">
        <v>2014</v>
      </c>
      <c r="B9" s="72">
        <f>'Australia EV uptake'!D9</f>
        <v>0.14852189694342086</v>
      </c>
      <c r="C9" s="13">
        <f>'EV %sales'!R72</f>
        <v>13.7029999583917</v>
      </c>
      <c r="D9" s="13">
        <f>A19+(C9-B19)/(B20-B19)</f>
        <v>2027.444731342058</v>
      </c>
      <c r="E9" s="13">
        <f t="shared" si="1"/>
        <v>13.444731342058049</v>
      </c>
      <c r="F9" s="13">
        <v>10</v>
      </c>
      <c r="G9" s="72">
        <f t="shared" si="0"/>
        <v>14.442849930477054</v>
      </c>
      <c r="H9" s="13"/>
      <c r="I9" s="13">
        <f t="shared" si="2"/>
        <v>-2014</v>
      </c>
    </row>
    <row r="10" spans="1:9">
      <c r="A10">
        <v>2015</v>
      </c>
      <c r="B10" s="72">
        <f>'Australia EV uptake'!D10</f>
        <v>0.19105189234029193</v>
      </c>
      <c r="C10" s="13">
        <f>'EV %sales'!R73</f>
        <v>23.63192333727088</v>
      </c>
      <c r="D10" s="13">
        <f>A21</f>
        <v>2026</v>
      </c>
      <c r="E10" s="13">
        <f t="shared" si="1"/>
        <v>11</v>
      </c>
      <c r="F10" s="13">
        <v>10.5</v>
      </c>
      <c r="G10" s="72">
        <f t="shared" si="0"/>
        <v>22.127408364821125</v>
      </c>
      <c r="H10" s="13"/>
      <c r="I10" s="13">
        <f t="shared" si="2"/>
        <v>-2015</v>
      </c>
    </row>
    <row r="11" spans="1:9">
      <c r="A11">
        <v>2016</v>
      </c>
      <c r="B11" s="72">
        <f>'Australia EV uptake'!D11</f>
        <v>0.19728827949079125</v>
      </c>
      <c r="C11" s="13">
        <f>'EV %sales'!R74</f>
        <v>29.047301798800802</v>
      </c>
      <c r="D11" s="13">
        <f>A21+(C11-B21)/(B22-B21)</f>
        <v>2029.9048446175807</v>
      </c>
      <c r="E11" s="13">
        <f t="shared" si="1"/>
        <v>13.904844617580693</v>
      </c>
      <c r="F11" s="13">
        <v>10.5</v>
      </c>
      <c r="G11" s="72">
        <f t="shared" si="0"/>
        <v>30.652083344548316</v>
      </c>
      <c r="H11" s="13"/>
      <c r="I11" s="13">
        <f t="shared" si="2"/>
        <v>-2016</v>
      </c>
    </row>
    <row r="12" spans="1:9">
      <c r="A12">
        <v>2017</v>
      </c>
      <c r="B12" s="72">
        <f>'Australia EV uptake'!D12</f>
        <v>0.21240931229561377</v>
      </c>
      <c r="C12" s="13">
        <f>'EV %sales'!R75</f>
        <v>39.277024897573277</v>
      </c>
      <c r="D12" s="13">
        <f>A22+(C12-B22)/(B23-B22)</f>
        <v>2031.104404151042</v>
      </c>
      <c r="E12" s="13">
        <f t="shared" si="1"/>
        <v>14.10440415104199</v>
      </c>
      <c r="F12" s="13">
        <v>11</v>
      </c>
      <c r="G12" s="72">
        <f>C12</f>
        <v>39.277024897573277</v>
      </c>
      <c r="H12" s="13"/>
      <c r="I12" s="13">
        <f t="shared" si="2"/>
        <v>-2017</v>
      </c>
    </row>
    <row r="13" spans="1:9">
      <c r="A13">
        <v>2018</v>
      </c>
      <c r="B13" s="13">
        <f>'Australia EV uptake'!D13</f>
        <v>0.32791105969958972</v>
      </c>
      <c r="C13" s="13"/>
      <c r="D13" s="13"/>
      <c r="E13" s="13"/>
      <c r="F13" s="13"/>
      <c r="G13" s="13"/>
    </row>
    <row r="14" spans="1:9">
      <c r="A14">
        <v>2019</v>
      </c>
      <c r="B14" s="13">
        <f>'Australia EV uptake'!D14</f>
        <v>0.62592473597208209</v>
      </c>
      <c r="C14" s="13"/>
      <c r="D14" s="13"/>
      <c r="E14" s="13"/>
      <c r="F14" s="13"/>
      <c r="G14" s="13"/>
    </row>
    <row r="15" spans="1:9">
      <c r="A15">
        <v>2020</v>
      </c>
      <c r="B15" s="13">
        <f>'Australia EV uptake'!D15</f>
        <v>0.96294157557979021</v>
      </c>
      <c r="C15" s="13"/>
      <c r="D15" s="13"/>
      <c r="E15" s="13"/>
      <c r="F15" s="13"/>
      <c r="G15" s="13"/>
    </row>
    <row r="16" spans="1:9">
      <c r="A16">
        <v>2021</v>
      </c>
      <c r="B16" s="13">
        <f>'Australia EV uptake'!D16</f>
        <v>1.4772543508293725</v>
      </c>
      <c r="C16" s="13"/>
      <c r="D16" s="13"/>
      <c r="E16" s="13"/>
      <c r="F16" s="13"/>
      <c r="G16" s="13"/>
    </row>
    <row r="17" spans="1:7">
      <c r="A17">
        <v>2022</v>
      </c>
      <c r="B17" s="13">
        <f>'Australia EV uptake'!D17</f>
        <v>2.2565846223029289</v>
      </c>
      <c r="C17" s="13"/>
      <c r="D17" s="13"/>
      <c r="E17" s="13"/>
      <c r="F17" s="13"/>
      <c r="G17" s="13"/>
    </row>
    <row r="18" spans="1:7">
      <c r="A18">
        <v>2023</v>
      </c>
      <c r="B18" s="13">
        <f>'Australia EV uptake'!D18</f>
        <v>3.4248861919283669</v>
      </c>
      <c r="C18" s="13"/>
      <c r="D18" s="13"/>
      <c r="E18" s="13"/>
      <c r="F18" s="13"/>
      <c r="G18" s="13"/>
    </row>
    <row r="19" spans="1:7">
      <c r="A19">
        <v>2024</v>
      </c>
      <c r="B19" s="13">
        <f>'Australia EV uptake'!D19</f>
        <v>5.1484202707284563</v>
      </c>
      <c r="C19" s="13"/>
      <c r="D19" s="13"/>
      <c r="E19" s="13"/>
      <c r="F19" s="13"/>
      <c r="G19" s="13"/>
    </row>
    <row r="20" spans="1:7">
      <c r="A20">
        <v>2025</v>
      </c>
      <c r="B20" s="13">
        <f>'Australia EV uptake'!D20</f>
        <v>7.6318010741069422</v>
      </c>
      <c r="C20" s="13"/>
      <c r="D20" s="13"/>
      <c r="E20" s="13"/>
      <c r="F20" s="13"/>
      <c r="G20" s="13"/>
    </row>
    <row r="21" spans="1:7">
      <c r="A21">
        <v>2026</v>
      </c>
      <c r="B21" s="13">
        <f>'Australia EV uptake'!D21</f>
        <v>11.091081532193469</v>
      </c>
      <c r="C21" s="13"/>
      <c r="D21" s="13"/>
      <c r="E21" s="13"/>
      <c r="F21" s="13"/>
      <c r="G21" s="13"/>
    </row>
    <row r="22" spans="1:7">
      <c r="A22">
        <v>2027</v>
      </c>
      <c r="B22" s="13">
        <f>'Australia EV uptake'!D22</f>
        <v>15.689528339977821</v>
      </c>
      <c r="C22" s="13"/>
      <c r="D22" s="13"/>
      <c r="E22" s="13"/>
      <c r="F22" s="13"/>
      <c r="G22" s="13"/>
    </row>
    <row r="23" spans="1:7">
      <c r="A23">
        <v>2028</v>
      </c>
      <c r="B23" s="13">
        <f>'Australia EV uptake'!D23</f>
        <v>21.43640308466075</v>
      </c>
      <c r="C23" s="13"/>
      <c r="D23" s="13"/>
      <c r="E23" s="13"/>
      <c r="F23" s="13"/>
      <c r="G23" s="13"/>
    </row>
    <row r="24" spans="1:7">
      <c r="A24">
        <v>2029</v>
      </c>
      <c r="B24" s="13">
        <f>'Australia EV uptake'!D24</f>
        <v>28.089189867793255</v>
      </c>
      <c r="C24" s="13"/>
      <c r="D24" s="13"/>
      <c r="E24" s="13"/>
      <c r="F24" s="13"/>
      <c r="G24" s="13"/>
    </row>
    <row r="25" spans="1:7">
      <c r="A25">
        <v>2030</v>
      </c>
      <c r="B25" s="13">
        <f>'Australia EV uptake'!D25</f>
        <v>35.141157291165442</v>
      </c>
      <c r="C25" s="13"/>
      <c r="D25" s="13"/>
      <c r="E25" s="13"/>
      <c r="F25" s="13"/>
      <c r="G25" s="13"/>
    </row>
    <row r="26" spans="1:7">
      <c r="A26">
        <v>2031</v>
      </c>
      <c r="B26" s="13">
        <f>'Australia EV uptake'!D26</f>
        <v>41.951353198671526</v>
      </c>
    </row>
    <row r="27" spans="1:7">
      <c r="A27">
        <v>2032</v>
      </c>
      <c r="B27" s="13">
        <f>'Australia EV uptake'!D27</f>
        <v>47.961401436211673</v>
      </c>
    </row>
    <row r="28" spans="1:7">
      <c r="A28">
        <v>2033</v>
      </c>
      <c r="B28" s="13">
        <f>'Australia EV uptake'!D28</f>
        <v>52.857885146385492</v>
      </c>
    </row>
    <row r="29" spans="1:7">
      <c r="A29">
        <v>2034</v>
      </c>
      <c r="B29" s="13">
        <f>'Australia EV uptake'!D29</f>
        <v>56.593863394225558</v>
      </c>
    </row>
    <row r="30" spans="1:7">
      <c r="A30">
        <v>2035</v>
      </c>
      <c r="B30" s="13">
        <f>'Australia EV uptake'!D30</f>
        <v>59.304195582809022</v>
      </c>
    </row>
    <row r="31" spans="1:7">
      <c r="A31">
        <v>2036</v>
      </c>
      <c r="B31" s="13">
        <f>'Australia EV uptake'!D31</f>
        <v>61.199340704064824</v>
      </c>
    </row>
    <row r="32" spans="1:7">
      <c r="A32">
        <v>2037</v>
      </c>
      <c r="B32" s="13">
        <f>'Australia EV uptake'!D32</f>
        <v>62.490602530055654</v>
      </c>
    </row>
    <row r="33" spans="1:2">
      <c r="A33">
        <v>2038</v>
      </c>
      <c r="B33" s="13">
        <f>'Australia EV uptake'!D33</f>
        <v>63.35495464768961</v>
      </c>
    </row>
    <row r="34" spans="1:2">
      <c r="A34">
        <v>2039</v>
      </c>
      <c r="B34" s="13">
        <f>'Australia EV uptake'!D34</f>
        <v>63.926697580784932</v>
      </c>
    </row>
    <row r="35" spans="1:2">
      <c r="A35">
        <v>2040</v>
      </c>
      <c r="B35" s="13">
        <f>'Australia EV uptake'!D35</f>
        <v>64.301918201083282</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 customWidth="1"/>
    <col min="2" max="7" width="13.5703125" customWidth="1"/>
  </cols>
  <sheetData>
    <row r="1" spans="1:7">
      <c r="A1" t="s">
        <v>148</v>
      </c>
    </row>
    <row r="2" spans="1:7" ht="15.75" thickBot="1"/>
    <row r="3" spans="1:7">
      <c r="A3" s="44" t="s">
        <v>149</v>
      </c>
      <c r="B3" s="44"/>
    </row>
    <row r="4" spans="1:7">
      <c r="A4" s="41" t="s">
        <v>150</v>
      </c>
      <c r="B4" s="41">
        <v>0.9996111316665387</v>
      </c>
    </row>
    <row r="5" spans="1:7">
      <c r="A5" s="41" t="s">
        <v>151</v>
      </c>
      <c r="B5" s="41">
        <v>0.99922241455165828</v>
      </c>
    </row>
    <row r="6" spans="1:7">
      <c r="A6" s="41" t="s">
        <v>152</v>
      </c>
      <c r="B6" s="41">
        <v>0.99883362182748736</v>
      </c>
    </row>
    <row r="7" spans="1:7">
      <c r="A7" s="41" t="s">
        <v>153</v>
      </c>
      <c r="B7" s="41">
        <v>4.8604745117495622E-2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2</v>
      </c>
      <c r="C12" s="41">
        <v>12.143150407897377</v>
      </c>
      <c r="D12" s="41">
        <v>6.0715752039486883</v>
      </c>
      <c r="E12" s="41">
        <v>2570.0645933706637</v>
      </c>
      <c r="F12" s="41">
        <v>6.0463912947279945E-7</v>
      </c>
    </row>
    <row r="13" spans="1:7">
      <c r="A13" s="41" t="s">
        <v>157</v>
      </c>
      <c r="B13" s="41">
        <v>4</v>
      </c>
      <c r="C13" s="41">
        <v>9.4496849917468581E-3</v>
      </c>
      <c r="D13" s="41">
        <v>2.3624212479367145E-3</v>
      </c>
      <c r="E13" s="41"/>
      <c r="F13" s="41"/>
    </row>
    <row r="14" spans="1:7" ht="15.75" thickBot="1">
      <c r="A14" s="42" t="s">
        <v>158</v>
      </c>
      <c r="B14" s="42">
        <v>6</v>
      </c>
      <c r="C14" s="42">
        <v>12.152600092889124</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-4.868186238242683</v>
      </c>
      <c r="C17" s="41">
        <v>6.0334826353379813E-2</v>
      </c>
      <c r="D17" s="41">
        <v>-80.686173019373896</v>
      </c>
      <c r="E17" s="41">
        <v>1.4141978876084158E-7</v>
      </c>
      <c r="F17" s="41">
        <v>-5.0357025715444834</v>
      </c>
      <c r="G17" s="41">
        <v>-4.7006699049408827</v>
      </c>
    </row>
    <row r="18" spans="1:7">
      <c r="A18" s="41" t="s">
        <v>329</v>
      </c>
      <c r="B18" s="41">
        <v>0.66173352867860946</v>
      </c>
      <c r="C18" s="41">
        <v>9.2299152150522E-3</v>
      </c>
      <c r="D18" s="41">
        <v>71.694431992121721</v>
      </c>
      <c r="E18" s="41">
        <v>2.268017857500624E-7</v>
      </c>
      <c r="F18" s="41">
        <v>0.63610717575838716</v>
      </c>
      <c r="G18" s="41">
        <v>0.68735988159883177</v>
      </c>
    </row>
    <row r="19" spans="1:7" ht="15.75" thickBot="1">
      <c r="A19" s="42" t="s">
        <v>327</v>
      </c>
      <c r="B19" s="42">
        <v>0.36609969053372943</v>
      </c>
      <c r="C19" s="42">
        <v>5.0683788389616437E-2</v>
      </c>
      <c r="D19" s="42">
        <v>7.2232108562889525</v>
      </c>
      <c r="E19" s="42">
        <v>1.9484066536745999E-3</v>
      </c>
      <c r="F19" s="42">
        <v>0.22537893434649811</v>
      </c>
      <c r="G19" s="42">
        <v>0.50682044672096072</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X78"/>
  <sheetViews>
    <sheetView zoomScale="75" zoomScaleNormal="75" workbookViewId="0">
      <pane xSplit="1" ySplit="3" topLeftCell="E58" activePane="bottomRight" state="frozen"/>
      <selection pane="topRight" activeCell="B1" sqref="B1"/>
      <selection pane="bottomLeft" activeCell="A4" sqref="A4"/>
      <selection pane="bottomRight" activeCell="U105" sqref="U105"/>
    </sheetView>
  </sheetViews>
  <sheetFormatPr defaultRowHeight="15"/>
  <cols>
    <col min="2" max="2" width="9.42578125" customWidth="1"/>
    <col min="3" max="3" width="10.140625" customWidth="1"/>
    <col min="4" max="4" width="9.28515625" customWidth="1"/>
    <col min="5" max="5" width="18.7109375" customWidth="1"/>
    <col min="6" max="6" width="10.28515625" customWidth="1"/>
    <col min="7" max="7" width="15" customWidth="1"/>
    <col min="8" max="8" width="10.42578125" customWidth="1"/>
    <col min="9" max="9" width="19" customWidth="1"/>
    <col min="10" max="13" width="15.42578125" customWidth="1"/>
    <col min="14" max="14" width="12.5703125" customWidth="1"/>
    <col min="15" max="17" width="10.42578125" customWidth="1"/>
    <col min="18" max="18" width="15.42578125" customWidth="1"/>
    <col min="19" max="38" width="10.42578125" customWidth="1"/>
    <col min="39" max="39" width="7" customWidth="1"/>
    <col min="40" max="40" width="9.85546875" customWidth="1"/>
    <col min="41" max="41" width="7.5703125" customWidth="1"/>
    <col min="42" max="42" width="14.85546875" customWidth="1"/>
    <col min="43" max="43" width="17.85546875" customWidth="1"/>
    <col min="44" max="44" width="11.85546875" customWidth="1"/>
    <col min="45" max="45" width="15.7109375" customWidth="1"/>
    <col min="54" max="54" width="16.42578125" style="33" customWidth="1"/>
    <col min="55" max="55" width="11.140625" customWidth="1"/>
    <col min="56" max="56" width="12.7109375" customWidth="1"/>
    <col min="57" max="57" width="15.85546875" customWidth="1"/>
    <col min="58" max="58" width="11.140625" customWidth="1"/>
    <col min="59" max="59" width="12.7109375" customWidth="1"/>
    <col min="60" max="60" width="18.85546875" customWidth="1"/>
    <col min="64" max="64" width="18.28515625" customWidth="1"/>
    <col min="65" max="65" width="14.42578125" customWidth="1"/>
  </cols>
  <sheetData>
    <row r="1" spans="1:76">
      <c r="AZ1" t="s">
        <v>311</v>
      </c>
      <c r="BB1"/>
      <c r="BH1" t="s">
        <v>276</v>
      </c>
      <c r="BI1" s="33"/>
    </row>
    <row r="2" spans="1:76">
      <c r="B2" t="s">
        <v>322</v>
      </c>
      <c r="E2" t="s">
        <v>322</v>
      </c>
      <c r="F2" s="14" t="s">
        <v>1339</v>
      </c>
      <c r="H2" t="s">
        <v>1135</v>
      </c>
      <c r="I2" t="s">
        <v>282</v>
      </c>
      <c r="R2" t="s">
        <v>282</v>
      </c>
      <c r="AK2" t="s">
        <v>5</v>
      </c>
      <c r="AL2" t="s">
        <v>325</v>
      </c>
      <c r="AO2" t="s">
        <v>282</v>
      </c>
      <c r="AU2" t="s">
        <v>276</v>
      </c>
      <c r="AZ2" t="s">
        <v>310</v>
      </c>
      <c r="BB2"/>
      <c r="BD2" t="s">
        <v>316</v>
      </c>
      <c r="BH2" t="s">
        <v>270</v>
      </c>
      <c r="BI2" s="33" t="s">
        <v>306</v>
      </c>
      <c r="BL2" t="s">
        <v>307</v>
      </c>
    </row>
    <row r="3" spans="1:76">
      <c r="A3" s="22"/>
      <c r="B3" t="s">
        <v>5</v>
      </c>
      <c r="C3" t="s">
        <v>321</v>
      </c>
      <c r="D3" t="s">
        <v>320</v>
      </c>
      <c r="E3" t="s">
        <v>324</v>
      </c>
      <c r="F3" s="14" t="s">
        <v>328</v>
      </c>
      <c r="G3" s="14" t="s">
        <v>1298</v>
      </c>
      <c r="H3" t="s">
        <v>1298</v>
      </c>
      <c r="I3" s="33" t="s">
        <v>1321</v>
      </c>
      <c r="J3" s="14" t="s">
        <v>1321</v>
      </c>
      <c r="K3" s="87" t="s">
        <v>1137</v>
      </c>
      <c r="L3" s="87" t="s">
        <v>1384</v>
      </c>
      <c r="M3" s="87" t="s">
        <v>1383</v>
      </c>
      <c r="N3" s="87" t="s">
        <v>1382</v>
      </c>
      <c r="O3" s="87" t="s">
        <v>1136</v>
      </c>
      <c r="P3" t="s">
        <v>1163</v>
      </c>
      <c r="R3" s="14" t="s">
        <v>1328</v>
      </c>
      <c r="S3" s="14" t="s">
        <v>1160</v>
      </c>
      <c r="T3" s="14" t="s">
        <v>944</v>
      </c>
      <c r="U3" s="14" t="s">
        <v>1153</v>
      </c>
      <c r="V3" s="14" t="s">
        <v>1152</v>
      </c>
      <c r="AI3" s="14" t="s">
        <v>170</v>
      </c>
      <c r="AK3" t="s">
        <v>323</v>
      </c>
      <c r="AL3" t="s">
        <v>323</v>
      </c>
      <c r="AM3" t="s">
        <v>170</v>
      </c>
      <c r="AN3" t="s">
        <v>943</v>
      </c>
      <c r="AO3" t="s">
        <v>943</v>
      </c>
      <c r="AP3" t="s">
        <v>329</v>
      </c>
      <c r="AQ3" t="s">
        <v>327</v>
      </c>
      <c r="AT3" t="s">
        <v>290</v>
      </c>
      <c r="AU3" t="s">
        <v>273</v>
      </c>
      <c r="AV3" t="s">
        <v>271</v>
      </c>
      <c r="AW3" s="22" t="s">
        <v>272</v>
      </c>
      <c r="AX3" t="s">
        <v>286</v>
      </c>
      <c r="AZ3" t="s">
        <v>312</v>
      </c>
      <c r="BA3" t="s">
        <v>317</v>
      </c>
      <c r="BB3" t="s">
        <v>318</v>
      </c>
      <c r="BC3" t="s">
        <v>319</v>
      </c>
      <c r="BD3" t="s">
        <v>313</v>
      </c>
      <c r="BG3" s="22"/>
      <c r="BH3" t="s">
        <v>269</v>
      </c>
      <c r="BI3" t="s">
        <v>305</v>
      </c>
      <c r="BJ3" t="s">
        <v>293</v>
      </c>
      <c r="BK3" t="s">
        <v>269</v>
      </c>
      <c r="BL3" t="s">
        <v>304</v>
      </c>
      <c r="BM3" t="s">
        <v>293</v>
      </c>
      <c r="BN3" t="s">
        <v>289</v>
      </c>
      <c r="BO3" t="s">
        <v>290</v>
      </c>
      <c r="BP3" t="s">
        <v>326</v>
      </c>
    </row>
    <row r="4" spans="1:76">
      <c r="A4">
        <v>1999</v>
      </c>
      <c r="I4" s="33"/>
      <c r="J4" s="14"/>
      <c r="S4" s="13"/>
      <c r="T4" s="13"/>
      <c r="U4" s="13"/>
      <c r="V4" s="13"/>
      <c r="AN4">
        <f t="shared" ref="AN4:AN35" si="0">AJ$70+AJ$71*AP4</f>
        <v>-11.485521525028776</v>
      </c>
      <c r="AP4" s="75">
        <v>-10</v>
      </c>
      <c r="AW4" s="22"/>
      <c r="BB4"/>
      <c r="BG4" s="22"/>
    </row>
    <row r="5" spans="1:76">
      <c r="A5">
        <v>2000</v>
      </c>
      <c r="B5">
        <v>0</v>
      </c>
      <c r="C5">
        <v>0</v>
      </c>
      <c r="D5">
        <v>0</v>
      </c>
      <c r="E5" s="12">
        <f>F5-B5</f>
        <v>0</v>
      </c>
      <c r="F5" s="12">
        <v>0</v>
      </c>
      <c r="G5" s="84"/>
      <c r="H5" s="84">
        <f t="shared" ref="H5:H36" si="1">65*EXP(AO5)/(1+EXP(AO5))</f>
        <v>1.2947720192725987E-3</v>
      </c>
      <c r="I5" s="94">
        <f>J5</f>
        <v>1.2947720192725987E-3</v>
      </c>
      <c r="J5" s="93">
        <f t="shared" ref="J5:J13" si="2">H5</f>
        <v>1.2947720192725987E-3</v>
      </c>
      <c r="K5" s="84"/>
      <c r="L5" s="84"/>
      <c r="M5" s="84"/>
      <c r="N5" s="84"/>
      <c r="O5" s="84"/>
      <c r="P5" s="84"/>
      <c r="Q5" s="84"/>
      <c r="R5" s="84"/>
      <c r="S5" s="13"/>
      <c r="T5" s="13"/>
      <c r="U5" s="13"/>
      <c r="V5" s="13"/>
      <c r="W5" s="84"/>
      <c r="X5" s="84"/>
      <c r="Y5" s="84"/>
      <c r="Z5" s="84"/>
      <c r="AA5" s="84"/>
      <c r="AB5" s="84"/>
      <c r="AC5" s="84"/>
      <c r="AD5" s="84"/>
      <c r="AE5" s="84"/>
      <c r="AF5" s="84"/>
      <c r="AG5" s="84"/>
      <c r="AH5" s="84"/>
      <c r="AI5" s="84"/>
      <c r="AJ5" s="12"/>
      <c r="AK5" s="12"/>
      <c r="AN5">
        <f t="shared" si="0"/>
        <v>-10.823787996350168</v>
      </c>
      <c r="AO5" s="84">
        <f>AVERAGE(AN4:AN6)</f>
        <v>-10.823787996350168</v>
      </c>
      <c r="AP5" s="75">
        <v>-9</v>
      </c>
      <c r="AZ5">
        <v>0</v>
      </c>
      <c r="BA5">
        <v>0</v>
      </c>
      <c r="BB5">
        <v>0</v>
      </c>
      <c r="BG5">
        <v>2000</v>
      </c>
      <c r="BI5" s="33"/>
      <c r="BJ5">
        <v>10</v>
      </c>
      <c r="BO5" s="3"/>
    </row>
    <row r="6" spans="1:76">
      <c r="A6">
        <v>2001</v>
      </c>
      <c r="B6">
        <v>0</v>
      </c>
      <c r="C6">
        <v>0</v>
      </c>
      <c r="D6" s="12">
        <f>C6-C5</f>
        <v>0</v>
      </c>
      <c r="E6" s="12">
        <f t="shared" ref="E6:E23" si="3">F6-B6</f>
        <v>0</v>
      </c>
      <c r="F6" s="12">
        <v>0</v>
      </c>
      <c r="G6" s="84"/>
      <c r="H6" s="84">
        <f t="shared" si="1"/>
        <v>2.5094145378495112E-3</v>
      </c>
      <c r="I6" s="94">
        <f t="shared" ref="I6:I23" si="4">J6</f>
        <v>2.5094145378495112E-3</v>
      </c>
      <c r="J6" s="93">
        <f t="shared" si="2"/>
        <v>2.5094145378495112E-3</v>
      </c>
      <c r="K6" s="84"/>
      <c r="L6" s="84"/>
      <c r="M6" s="84"/>
      <c r="N6" s="84"/>
      <c r="O6" s="84"/>
      <c r="P6" s="84"/>
      <c r="Q6" s="84"/>
      <c r="R6" s="84"/>
      <c r="S6" s="13"/>
      <c r="T6" s="13"/>
      <c r="U6" s="13"/>
      <c r="V6" s="13"/>
      <c r="W6" s="84"/>
      <c r="X6" s="84"/>
      <c r="Y6" s="84"/>
      <c r="Z6" s="84"/>
      <c r="AA6" s="84"/>
      <c r="AB6" s="84"/>
      <c r="AC6" s="84"/>
      <c r="AD6" s="84"/>
      <c r="AE6" s="84"/>
      <c r="AF6" s="84"/>
      <c r="AG6" s="84"/>
      <c r="AH6" s="84"/>
      <c r="AI6" s="84"/>
      <c r="AJ6" s="12"/>
      <c r="AK6" s="12"/>
      <c r="AN6">
        <f t="shared" si="0"/>
        <v>-10.16205446767156</v>
      </c>
      <c r="AO6" s="84">
        <f t="shared" ref="AO6:AO60" si="5">AVERAGE(AN5:AN7)</f>
        <v>-10.16205446767156</v>
      </c>
      <c r="AP6" s="75">
        <v>-8</v>
      </c>
      <c r="AQ6" s="12"/>
      <c r="AR6" s="12"/>
      <c r="AZ6" s="15">
        <f>AZ5+(AZ18-AZ5)/13</f>
        <v>313.52827979688169</v>
      </c>
      <c r="BA6" s="15">
        <f>BA5+(BA18-BA5)/13</f>
        <v>31.076923076923077</v>
      </c>
      <c r="BB6" s="21">
        <f>BB5+(BB18-BB5)/13</f>
        <v>7.6923076923076927E-2</v>
      </c>
      <c r="BG6">
        <v>2001</v>
      </c>
      <c r="BI6" s="33"/>
      <c r="BJ6" s="20">
        <f>BJ5+(BJ18-BJ5)/13</f>
        <v>9.2307692307692299</v>
      </c>
      <c r="BO6" s="3"/>
      <c r="BU6">
        <v>2017</v>
      </c>
      <c r="BV6" t="s">
        <v>297</v>
      </c>
    </row>
    <row r="7" spans="1:76">
      <c r="A7">
        <v>2002</v>
      </c>
      <c r="B7">
        <v>0</v>
      </c>
      <c r="C7" s="12">
        <f>AVERAGE(B5:B9)</f>
        <v>0</v>
      </c>
      <c r="D7" s="12">
        <f t="shared" ref="D7:D24" si="6">C7-C6</f>
        <v>0</v>
      </c>
      <c r="E7" s="12">
        <f t="shared" si="3"/>
        <v>0</v>
      </c>
      <c r="F7" s="12">
        <v>0</v>
      </c>
      <c r="G7" s="84"/>
      <c r="H7" s="84">
        <f t="shared" si="1"/>
        <v>4.8634437857841203E-3</v>
      </c>
      <c r="I7" s="94">
        <f t="shared" si="4"/>
        <v>4.8634437857841203E-3</v>
      </c>
      <c r="J7" s="93">
        <f t="shared" si="2"/>
        <v>4.8634437857841203E-3</v>
      </c>
      <c r="K7" s="84"/>
      <c r="L7" s="84"/>
      <c r="M7" s="84"/>
      <c r="N7" s="84"/>
      <c r="O7" s="84"/>
      <c r="P7" s="84"/>
      <c r="Q7" s="84"/>
      <c r="R7" s="84"/>
      <c r="S7" s="13"/>
      <c r="T7" s="13"/>
      <c r="U7" s="13"/>
      <c r="V7" s="13"/>
      <c r="W7" s="84"/>
      <c r="X7" s="84"/>
      <c r="Y7" s="84"/>
      <c r="Z7" s="84"/>
      <c r="AA7" s="84"/>
      <c r="AB7" s="84"/>
      <c r="AC7" s="84"/>
      <c r="AD7" s="84"/>
      <c r="AE7" s="84"/>
      <c r="AF7" s="84"/>
      <c r="AG7" s="84"/>
      <c r="AH7" s="84"/>
      <c r="AI7" s="84"/>
      <c r="AJ7" s="12"/>
      <c r="AK7" s="12"/>
      <c r="AN7">
        <f t="shared" si="0"/>
        <v>-9.5003209389929495</v>
      </c>
      <c r="AO7" s="84">
        <f t="shared" si="5"/>
        <v>-9.5003209389929495</v>
      </c>
      <c r="AP7" s="75">
        <v>-7</v>
      </c>
      <c r="AQ7" s="12"/>
      <c r="AR7" s="12"/>
      <c r="AZ7" s="15">
        <f>AZ6+(AZ18-AZ5)/13</f>
        <v>627.05655959376338</v>
      </c>
      <c r="BA7" s="15">
        <f>BA6+(BA18-BA5)/13</f>
        <v>62.153846153846153</v>
      </c>
      <c r="BB7" s="21">
        <f>BB6+(BB18-BB5)/13</f>
        <v>0.15384615384615385</v>
      </c>
      <c r="BG7">
        <v>2002</v>
      </c>
      <c r="BI7" s="33"/>
      <c r="BJ7" s="20">
        <f>BJ6+(BJ18-BJ5)/13</f>
        <v>8.4615384615384599</v>
      </c>
      <c r="BO7" s="3"/>
      <c r="BV7" t="s">
        <v>294</v>
      </c>
      <c r="BW7" t="s">
        <v>293</v>
      </c>
      <c r="BX7" t="s">
        <v>295</v>
      </c>
    </row>
    <row r="8" spans="1:76">
      <c r="A8">
        <v>2003</v>
      </c>
      <c r="B8">
        <v>0</v>
      </c>
      <c r="C8" s="12">
        <f t="shared" ref="C8:C24" si="7">AVERAGE(B6:B10)</f>
        <v>0</v>
      </c>
      <c r="D8" s="12">
        <f t="shared" si="6"/>
        <v>0</v>
      </c>
      <c r="E8" s="12">
        <f t="shared" si="3"/>
        <v>0</v>
      </c>
      <c r="F8" s="12">
        <v>0</v>
      </c>
      <c r="G8" s="84"/>
      <c r="H8" s="84">
        <f t="shared" si="1"/>
        <v>9.4254183688098226E-3</v>
      </c>
      <c r="I8" s="94">
        <f t="shared" si="4"/>
        <v>9.4254183688098226E-3</v>
      </c>
      <c r="J8" s="93">
        <f t="shared" si="2"/>
        <v>9.4254183688098226E-3</v>
      </c>
      <c r="K8" s="84"/>
      <c r="L8" s="84"/>
      <c r="M8" s="84"/>
      <c r="N8" s="84"/>
      <c r="O8" s="84"/>
      <c r="P8" s="84"/>
      <c r="Q8" s="84"/>
      <c r="R8" s="84"/>
      <c r="S8" s="13"/>
      <c r="T8" s="13"/>
      <c r="U8" s="13"/>
      <c r="V8" s="13"/>
      <c r="W8" s="84"/>
      <c r="X8" s="84"/>
      <c r="Y8" s="84"/>
      <c r="Z8" s="84"/>
      <c r="AA8" s="84"/>
      <c r="AB8" s="84"/>
      <c r="AC8" s="84"/>
      <c r="AD8" s="84"/>
      <c r="AE8" s="84"/>
      <c r="AF8" s="84"/>
      <c r="AG8" s="84"/>
      <c r="AH8" s="84"/>
      <c r="AI8" s="84"/>
      <c r="AJ8" s="12"/>
      <c r="AK8" s="12"/>
      <c r="AN8">
        <f t="shared" si="0"/>
        <v>-8.8385874103143394</v>
      </c>
      <c r="AO8" s="84">
        <f t="shared" si="5"/>
        <v>-8.8385874103143394</v>
      </c>
      <c r="AP8" s="75">
        <v>-6</v>
      </c>
      <c r="AQ8" s="12"/>
      <c r="AR8" s="12"/>
      <c r="AZ8" s="15">
        <f>AZ7+(AZ18-AZ5)/13</f>
        <v>940.58483939064513</v>
      </c>
      <c r="BA8" s="15">
        <f>BA7+(BA18-BA5)/13</f>
        <v>93.230769230769226</v>
      </c>
      <c r="BB8" s="21">
        <f>BB7+(BB18-BB5)/13</f>
        <v>0.23076923076923078</v>
      </c>
      <c r="BG8">
        <v>2003</v>
      </c>
      <c r="BI8" s="33"/>
      <c r="BJ8" s="20">
        <f>BJ7+(BJ18-BJ5)/13</f>
        <v>7.6923076923076907</v>
      </c>
      <c r="BO8" s="3"/>
      <c r="BU8" t="s">
        <v>291</v>
      </c>
      <c r="BV8">
        <v>32.299999999999997</v>
      </c>
      <c r="BW8">
        <v>0</v>
      </c>
      <c r="BX8">
        <f>BV8+BW8</f>
        <v>32.299999999999997</v>
      </c>
    </row>
    <row r="9" spans="1:76">
      <c r="A9">
        <v>2004</v>
      </c>
      <c r="B9">
        <v>0</v>
      </c>
      <c r="C9" s="12">
        <f t="shared" si="7"/>
        <v>0</v>
      </c>
      <c r="D9" s="12">
        <f t="shared" si="6"/>
        <v>0</v>
      </c>
      <c r="E9" s="12">
        <f>F9-B9</f>
        <v>0</v>
      </c>
      <c r="F9" s="12">
        <v>0</v>
      </c>
      <c r="G9" s="84"/>
      <c r="H9" s="84">
        <f t="shared" si="1"/>
        <v>1.8265382867910188E-2</v>
      </c>
      <c r="I9" s="94">
        <f t="shared" si="4"/>
        <v>1.8265382867910188E-2</v>
      </c>
      <c r="J9" s="93">
        <f t="shared" si="2"/>
        <v>1.8265382867910188E-2</v>
      </c>
      <c r="K9" s="84"/>
      <c r="L9" s="84"/>
      <c r="M9" s="84"/>
      <c r="N9" s="84"/>
      <c r="O9" s="84"/>
      <c r="P9" s="84"/>
      <c r="Q9" s="84"/>
      <c r="R9" s="84"/>
      <c r="S9" s="13"/>
      <c r="T9" s="13"/>
      <c r="U9" s="13"/>
      <c r="V9" s="13"/>
      <c r="W9" s="84"/>
      <c r="X9" s="84"/>
      <c r="Y9" s="84"/>
      <c r="Z9" s="84"/>
      <c r="AA9" s="84"/>
      <c r="AB9" s="84"/>
      <c r="AC9" s="84"/>
      <c r="AD9" s="84"/>
      <c r="AE9" s="84"/>
      <c r="AF9" s="84"/>
      <c r="AG9" s="84"/>
      <c r="AH9" s="84"/>
      <c r="AI9" s="84"/>
      <c r="AJ9" s="12"/>
      <c r="AK9" s="12"/>
      <c r="AN9">
        <f t="shared" si="0"/>
        <v>-8.1768538816357292</v>
      </c>
      <c r="AO9" s="84">
        <f t="shared" si="5"/>
        <v>-8.1768538816357292</v>
      </c>
      <c r="AP9" s="75">
        <v>-5</v>
      </c>
      <c r="AQ9" s="12"/>
      <c r="AR9" s="12"/>
      <c r="AZ9" s="15">
        <f>AZ8+(AZ18-AZ5)/13</f>
        <v>1254.1131191875268</v>
      </c>
      <c r="BA9" s="15">
        <f>BA8+(BA18-BA5)/13</f>
        <v>124.30769230769231</v>
      </c>
      <c r="BB9" s="21">
        <f>BB8+(BB18-BB5)/13</f>
        <v>0.30769230769230771</v>
      </c>
      <c r="BG9">
        <v>2004</v>
      </c>
      <c r="BI9" s="33"/>
      <c r="BJ9" s="20">
        <f>BJ8+(BJ18-BJ5)/13</f>
        <v>6.9230769230769216</v>
      </c>
      <c r="BO9" s="13">
        <v>1.05</v>
      </c>
      <c r="BU9" t="s">
        <v>292</v>
      </c>
      <c r="BV9">
        <v>22.2</v>
      </c>
      <c r="BW9">
        <v>14.6</v>
      </c>
      <c r="BX9">
        <f>BV9+BW9</f>
        <v>36.799999999999997</v>
      </c>
    </row>
    <row r="10" spans="1:76">
      <c r="A10">
        <v>2005</v>
      </c>
      <c r="B10">
        <v>0</v>
      </c>
      <c r="C10" s="12">
        <f t="shared" si="7"/>
        <v>0</v>
      </c>
      <c r="D10" s="12">
        <f t="shared" si="6"/>
        <v>0</v>
      </c>
      <c r="E10" s="12">
        <f t="shared" si="3"/>
        <v>0</v>
      </c>
      <c r="F10" s="12">
        <f>'EV %sales'!R63</f>
        <v>0</v>
      </c>
      <c r="G10" s="84"/>
      <c r="H10" s="84">
        <f t="shared" si="1"/>
        <v>3.5391708155787099E-2</v>
      </c>
      <c r="I10" s="94">
        <f t="shared" si="4"/>
        <v>3.5391708155787099E-2</v>
      </c>
      <c r="J10" s="93">
        <f t="shared" si="2"/>
        <v>3.5391708155787099E-2</v>
      </c>
      <c r="K10" s="84"/>
      <c r="L10" s="84"/>
      <c r="M10" s="84"/>
      <c r="N10" s="84"/>
      <c r="O10" s="84"/>
      <c r="P10" s="84"/>
      <c r="Q10" s="84"/>
      <c r="R10" s="84"/>
      <c r="S10" s="13"/>
      <c r="T10" s="13"/>
      <c r="U10" s="13"/>
      <c r="V10" s="13"/>
      <c r="W10" s="84"/>
      <c r="X10" s="84"/>
      <c r="Y10" s="84"/>
      <c r="Z10" s="84"/>
      <c r="AA10" s="84"/>
      <c r="AB10" s="84"/>
      <c r="AC10" s="84"/>
      <c r="AD10" s="84"/>
      <c r="AE10" s="84"/>
      <c r="AF10" s="84"/>
      <c r="AG10" s="84"/>
      <c r="AH10" s="84"/>
      <c r="AI10" s="84"/>
      <c r="AJ10" s="12"/>
      <c r="AK10" s="12"/>
      <c r="AN10">
        <f t="shared" si="0"/>
        <v>-7.5151203529571209</v>
      </c>
      <c r="AO10" s="84">
        <f t="shared" si="5"/>
        <v>-7.51512035295712</v>
      </c>
      <c r="AP10" s="75">
        <v>-4</v>
      </c>
      <c r="AQ10" s="12"/>
      <c r="AR10" s="12"/>
      <c r="AZ10" s="15">
        <f>AZ9+(AZ18-AZ5)/13</f>
        <v>1567.6413989844084</v>
      </c>
      <c r="BA10" s="15">
        <f>BA9+(BA18-BA5)/13</f>
        <v>155.38461538461539</v>
      </c>
      <c r="BB10" s="21">
        <f>BB9+(BB18-BB5)/13</f>
        <v>0.38461538461538464</v>
      </c>
      <c r="BG10">
        <v>2005</v>
      </c>
      <c r="BH10" s="15">
        <v>30</v>
      </c>
      <c r="BI10" s="61">
        <f t="shared" ref="BI10:BI20" si="8">AVERAGE(BH9:BH11)*32/BH$22</f>
        <v>32</v>
      </c>
      <c r="BJ10" s="20">
        <f>BJ9+(BJ18-BJ5)/13</f>
        <v>6.1538461538461524</v>
      </c>
      <c r="BK10" s="3">
        <f>BI10+BJ10</f>
        <v>38.153846153846153</v>
      </c>
      <c r="BL10">
        <f t="shared" ref="BL10:BL35" si="9">BV$9</f>
        <v>22.2</v>
      </c>
      <c r="BM10" s="3">
        <f t="shared" ref="BM10:BM35" si="10">BW$9</f>
        <v>14.6</v>
      </c>
      <c r="BN10" s="3">
        <f>BL10+BM10</f>
        <v>36.799999999999997</v>
      </c>
      <c r="BO10" s="13">
        <f>BK10/BN10</f>
        <v>1.0367892976588629</v>
      </c>
    </row>
    <row r="11" spans="1:76">
      <c r="A11">
        <v>2006</v>
      </c>
      <c r="B11">
        <f>'EV %sales'!AU63</f>
        <v>0</v>
      </c>
      <c r="C11" s="12">
        <f t="shared" si="7"/>
        <v>0</v>
      </c>
      <c r="D11" s="12">
        <f t="shared" si="6"/>
        <v>0</v>
      </c>
      <c r="E11" s="12">
        <f t="shared" si="3"/>
        <v>0</v>
      </c>
      <c r="F11" s="12">
        <f>'EV %sales'!R64</f>
        <v>0</v>
      </c>
      <c r="G11" s="84"/>
      <c r="H11" s="84">
        <f t="shared" si="1"/>
        <v>6.8559392134657435E-2</v>
      </c>
      <c r="I11" s="94">
        <f t="shared" si="4"/>
        <v>6.8559392134657435E-2</v>
      </c>
      <c r="J11" s="93">
        <f t="shared" si="2"/>
        <v>6.8559392134657435E-2</v>
      </c>
      <c r="K11" s="84"/>
      <c r="L11" s="84"/>
      <c r="M11" s="84"/>
      <c r="N11" s="84"/>
      <c r="O11" s="84"/>
      <c r="P11" s="84"/>
      <c r="Q11" s="84"/>
      <c r="R11" s="84"/>
      <c r="S11" s="13"/>
      <c r="T11" s="13"/>
      <c r="U11" s="13"/>
      <c r="V11" s="13"/>
      <c r="W11" s="84"/>
      <c r="X11" s="236" t="s">
        <v>1318</v>
      </c>
      <c r="Y11" s="236"/>
      <c r="Z11" s="236"/>
      <c r="AA11" s="236"/>
      <c r="AC11" s="236" t="s">
        <v>1318</v>
      </c>
      <c r="AD11" s="236"/>
      <c r="AE11" s="236"/>
      <c r="AF11" s="236"/>
      <c r="AG11" s="84"/>
      <c r="AH11" s="84"/>
      <c r="AI11" s="84"/>
      <c r="AJ11" s="12"/>
      <c r="AK11" t="s">
        <v>5</v>
      </c>
      <c r="AL11" t="s">
        <v>325</v>
      </c>
      <c r="AM11" t="s">
        <v>1296</v>
      </c>
      <c r="AN11">
        <f t="shared" si="0"/>
        <v>-6.8533868242785116</v>
      </c>
      <c r="AO11" s="84">
        <f t="shared" si="5"/>
        <v>-6.8533868242785116</v>
      </c>
      <c r="AP11" s="75">
        <v>-3</v>
      </c>
      <c r="AQ11" s="12"/>
      <c r="AR11" s="12"/>
      <c r="AZ11" s="15">
        <f>AZ10+(AZ18-AZ5)/13</f>
        <v>1881.16967878129</v>
      </c>
      <c r="BA11" s="15">
        <f>BA10+(BA18-BA5)/13</f>
        <v>186.46153846153845</v>
      </c>
      <c r="BB11" s="21">
        <f>BB10+(BB18-BB5)/13</f>
        <v>0.46153846153846156</v>
      </c>
      <c r="BG11">
        <v>2006</v>
      </c>
      <c r="BH11" s="15">
        <v>30</v>
      </c>
      <c r="BI11" s="61">
        <f t="shared" si="8"/>
        <v>32</v>
      </c>
      <c r="BJ11" s="20">
        <f>BJ10+(BJ18-BJ5)/13</f>
        <v>5.3846153846153832</v>
      </c>
      <c r="BK11" s="3">
        <f>BI11+BJ11</f>
        <v>37.384615384615387</v>
      </c>
      <c r="BL11">
        <f t="shared" si="9"/>
        <v>22.2</v>
      </c>
      <c r="BM11" s="3">
        <f t="shared" si="10"/>
        <v>14.6</v>
      </c>
      <c r="BN11" s="3">
        <f>BL11+BM11</f>
        <v>36.799999999999997</v>
      </c>
      <c r="BO11" s="13">
        <f>BK11/BN11</f>
        <v>1.0158862876254182</v>
      </c>
      <c r="BU11" t="s">
        <v>296</v>
      </c>
      <c r="BW11" t="s">
        <v>314</v>
      </c>
    </row>
    <row r="12" spans="1:76">
      <c r="A12">
        <v>2007</v>
      </c>
      <c r="B12" s="12">
        <f>'EV %sales'!R46/'EV %sales'!AU46*100</f>
        <v>0</v>
      </c>
      <c r="C12" s="12">
        <f>AVERAGE(B10:B14)</f>
        <v>1.5480475250590196E-3</v>
      </c>
      <c r="D12" s="12">
        <f t="shared" si="6"/>
        <v>1.5480475250590196E-3</v>
      </c>
      <c r="E12" s="12">
        <f t="shared" si="3"/>
        <v>7.7402376252950975E-3</v>
      </c>
      <c r="F12" s="12">
        <f>'EV %sales'!R65</f>
        <v>7.7402376252950975E-3</v>
      </c>
      <c r="G12" s="84">
        <f t="shared" ref="G12:G55" si="11">65*EXP(AM12)/(1+EXP(AM12))</f>
        <v>0.13274697913279793</v>
      </c>
      <c r="H12" s="84">
        <f t="shared" si="1"/>
        <v>0.13274697913279793</v>
      </c>
      <c r="I12" s="94">
        <f t="shared" si="4"/>
        <v>0.13274697913279793</v>
      </c>
      <c r="J12" s="93">
        <f t="shared" si="2"/>
        <v>0.13274697913279793</v>
      </c>
      <c r="K12" s="84"/>
      <c r="L12" s="84"/>
      <c r="M12" s="84"/>
      <c r="N12" s="84"/>
      <c r="O12" s="84"/>
      <c r="P12" s="84"/>
      <c r="Q12" s="84"/>
      <c r="R12" s="84">
        <f t="shared" ref="R12:R15" si="12">G12</f>
        <v>0.13274697913279793</v>
      </c>
      <c r="S12" s="13"/>
      <c r="T12" s="13"/>
      <c r="U12" s="13"/>
      <c r="V12" s="13"/>
      <c r="W12" s="84"/>
      <c r="Y12" t="s">
        <v>1172</v>
      </c>
      <c r="AD12" t="s">
        <v>1184</v>
      </c>
      <c r="AG12" s="84"/>
      <c r="AH12" s="84"/>
      <c r="AI12" s="84"/>
      <c r="AL12">
        <f t="shared" ref="AL12:AL23" si="13">LN(F12/(65-F12))</f>
        <v>-9.035591073135377</v>
      </c>
      <c r="AM12">
        <f t="shared" ref="AM12:AM43" si="14">AJ$70+AJ$71*AP12+AJ$72*AQ12</f>
        <v>-6.1916532955999024</v>
      </c>
      <c r="AN12">
        <f t="shared" si="0"/>
        <v>-6.1916532955999024</v>
      </c>
      <c r="AO12" s="84">
        <f t="shared" si="5"/>
        <v>-6.1916532955999024</v>
      </c>
      <c r="AP12" s="75">
        <v>-2</v>
      </c>
      <c r="AQ12" s="180">
        <v>0</v>
      </c>
      <c r="AR12" s="3"/>
      <c r="AU12" s="15">
        <f>AU13</f>
        <v>8.1857682376240835</v>
      </c>
      <c r="AX12">
        <f>'Recharge facilities'!AR46</f>
        <v>0</v>
      </c>
      <c r="AZ12" s="15">
        <f>AZ11+(AZ18-AZ5)/13</f>
        <v>2194.6979585781719</v>
      </c>
      <c r="BA12" s="15">
        <f>BA11+(BA18-BA5)/13</f>
        <v>217.53846153846152</v>
      </c>
      <c r="BB12" s="21">
        <f>BB11+(BB18-BB5)/13</f>
        <v>0.53846153846153855</v>
      </c>
      <c r="BG12">
        <v>2007</v>
      </c>
      <c r="BH12" s="15">
        <v>30</v>
      </c>
      <c r="BI12" s="61">
        <f t="shared" si="8"/>
        <v>32</v>
      </c>
      <c r="BJ12" s="20">
        <f>BJ11+(BJ18-BJ5)/13</f>
        <v>4.6153846153846141</v>
      </c>
      <c r="BK12" s="3">
        <f>BI12+BJ12</f>
        <v>36.615384615384613</v>
      </c>
      <c r="BL12">
        <f t="shared" si="9"/>
        <v>22.2</v>
      </c>
      <c r="BM12" s="3">
        <f t="shared" si="10"/>
        <v>14.6</v>
      </c>
      <c r="BN12" s="3">
        <f t="shared" ref="BN12:BN21" si="15">BL12+BM12</f>
        <v>36.799999999999997</v>
      </c>
      <c r="BO12" s="13">
        <f>BK12/BN12</f>
        <v>0.99498327759197325</v>
      </c>
      <c r="BP12" s="13">
        <f>BO11</f>
        <v>1.0158862876254182</v>
      </c>
    </row>
    <row r="13" spans="1:76">
      <c r="B13" s="12">
        <f>'EV %sales'!R47/'EV %sales'!AU47*100</f>
        <v>0</v>
      </c>
      <c r="C13" s="12">
        <f t="shared" si="7"/>
        <v>4.4980279670339837E-2</v>
      </c>
      <c r="D13" s="12">
        <f t="shared" si="6"/>
        <v>4.3432232145280816E-2</v>
      </c>
      <c r="E13" s="12">
        <f t="shared" si="3"/>
        <v>0.21716116072640407</v>
      </c>
      <c r="F13" s="12">
        <f>'EV %sales'!R66</f>
        <v>0.21716116072640407</v>
      </c>
      <c r="G13" s="84">
        <f t="shared" si="11"/>
        <v>0.2567914610014122</v>
      </c>
      <c r="H13" s="84">
        <f t="shared" si="1"/>
        <v>0.2567914610014122</v>
      </c>
      <c r="I13" s="94">
        <f t="shared" si="4"/>
        <v>0.2567914610014122</v>
      </c>
      <c r="J13" s="93">
        <f t="shared" si="2"/>
        <v>0.2567914610014122</v>
      </c>
      <c r="K13" s="84"/>
      <c r="L13" s="84"/>
      <c r="M13" s="84"/>
      <c r="N13" s="84"/>
      <c r="O13" s="84"/>
      <c r="P13" s="84"/>
      <c r="Q13" s="84"/>
      <c r="R13" s="84">
        <f t="shared" si="12"/>
        <v>0.2567914610014122</v>
      </c>
      <c r="S13" s="13"/>
      <c r="T13" s="13"/>
      <c r="U13" s="13"/>
      <c r="V13" s="13"/>
      <c r="W13" s="84"/>
      <c r="Y13" s="236" t="s">
        <v>1173</v>
      </c>
      <c r="Z13" s="236" t="s">
        <v>1147</v>
      </c>
      <c r="AA13" s="236" t="s">
        <v>1174</v>
      </c>
      <c r="AD13" s="236" t="s">
        <v>1173</v>
      </c>
      <c r="AE13" s="236" t="s">
        <v>1147</v>
      </c>
      <c r="AF13" s="236" t="s">
        <v>1174</v>
      </c>
      <c r="AG13" s="84"/>
      <c r="AH13" s="84"/>
      <c r="AI13" s="84"/>
      <c r="AL13">
        <f t="shared" si="13"/>
        <v>-5.6981562604871927</v>
      </c>
      <c r="AM13">
        <f t="shared" si="14"/>
        <v>-5.5299197669212923</v>
      </c>
      <c r="AN13">
        <f t="shared" si="0"/>
        <v>-5.5299197669212923</v>
      </c>
      <c r="AO13" s="84">
        <f t="shared" si="5"/>
        <v>-5.5299197669212923</v>
      </c>
      <c r="AP13" s="75">
        <v>-1</v>
      </c>
      <c r="AQ13" s="180">
        <v>0</v>
      </c>
      <c r="AR13" s="3"/>
      <c r="AU13" s="15">
        <f>AU14</f>
        <v>8.1857682376240835</v>
      </c>
      <c r="AX13">
        <f>'Recharge facilities'!AR47</f>
        <v>0</v>
      </c>
      <c r="AZ13" s="15">
        <f>AZ12+(AZ18-AZ5)/13</f>
        <v>2508.2262383750535</v>
      </c>
      <c r="BA13" s="15">
        <f>BA12+(BA18-BA5)/13</f>
        <v>248.61538461538458</v>
      </c>
      <c r="BB13" s="21">
        <f>BB12+(BB18-BB5)/13</f>
        <v>0.61538461538461542</v>
      </c>
      <c r="BG13">
        <v>2008</v>
      </c>
      <c r="BH13" s="15">
        <v>30</v>
      </c>
      <c r="BI13" s="61">
        <f t="shared" si="8"/>
        <v>31.855137026475099</v>
      </c>
      <c r="BJ13" s="20">
        <f>BJ12+(BJ18-BJ5)/13</f>
        <v>3.8461538461538449</v>
      </c>
      <c r="BK13" s="3">
        <f t="shared" ref="BK13:BK28" si="16">BI13+BJ13</f>
        <v>35.701290872628945</v>
      </c>
      <c r="BL13">
        <f t="shared" si="9"/>
        <v>22.2</v>
      </c>
      <c r="BM13" s="3">
        <f t="shared" si="10"/>
        <v>14.6</v>
      </c>
      <c r="BN13" s="3">
        <f t="shared" si="15"/>
        <v>36.799999999999997</v>
      </c>
      <c r="BO13" s="13">
        <f t="shared" ref="BO13:BO28" si="17">BK13/BN13</f>
        <v>0.97014377371274318</v>
      </c>
      <c r="BP13" s="13">
        <f t="shared" ref="BP13:BP35" si="18">BO12</f>
        <v>0.99498327759197325</v>
      </c>
      <c r="BU13" t="s">
        <v>309</v>
      </c>
      <c r="BW13">
        <v>2017</v>
      </c>
    </row>
    <row r="14" spans="1:76">
      <c r="A14">
        <v>2009</v>
      </c>
      <c r="B14" s="12">
        <f>'EV %sales'!R48/'EV %sales'!AU48*100</f>
        <v>7.7402376252950975E-3</v>
      </c>
      <c r="C14" s="12">
        <f t="shared" si="7"/>
        <v>7.5383117268515668E-2</v>
      </c>
      <c r="D14" s="12">
        <f t="shared" si="6"/>
        <v>3.040283759817583E-2</v>
      </c>
      <c r="E14" s="12">
        <f t="shared" si="3"/>
        <v>0.14832766204534081</v>
      </c>
      <c r="F14" s="12">
        <f>'EV %sales'!R67</f>
        <v>0.15606789967063592</v>
      </c>
      <c r="G14" s="84">
        <f t="shared" si="11"/>
        <v>0.49586237167526709</v>
      </c>
      <c r="H14" s="84">
        <f t="shared" si="1"/>
        <v>0.49586237167526709</v>
      </c>
      <c r="I14" s="94">
        <f t="shared" si="4"/>
        <v>0.49586237167526709</v>
      </c>
      <c r="J14" s="84">
        <f t="shared" ref="J14:J19" si="19">G14</f>
        <v>0.49586237167526709</v>
      </c>
      <c r="K14" s="84"/>
      <c r="L14" s="84"/>
      <c r="M14" s="84"/>
      <c r="N14" s="84"/>
      <c r="O14" s="84"/>
      <c r="P14" s="84"/>
      <c r="Q14" s="84"/>
      <c r="R14" s="84">
        <f t="shared" si="12"/>
        <v>0.49586237167526709</v>
      </c>
      <c r="S14" s="13"/>
      <c r="T14" s="13"/>
      <c r="U14" s="13"/>
      <c r="V14" s="13"/>
      <c r="W14" s="84"/>
      <c r="X14">
        <v>2009</v>
      </c>
      <c r="Y14" s="13">
        <v>0.49586237167526709</v>
      </c>
      <c r="Z14" s="84">
        <v>0.49586237167526709</v>
      </c>
      <c r="AA14" s="72">
        <v>0.49586237167526709</v>
      </c>
      <c r="AC14">
        <v>2009</v>
      </c>
      <c r="AD14" s="13">
        <v>0.49586237167526709</v>
      </c>
      <c r="AE14" s="13">
        <f>Z14</f>
        <v>0.49586237167526709</v>
      </c>
      <c r="AF14" s="13">
        <v>0.49586237167526709</v>
      </c>
      <c r="AG14" s="84"/>
      <c r="AH14" s="84"/>
      <c r="AI14" s="13">
        <f>65*EXP(AM14)/(1+EXP(AM14))</f>
        <v>0.49586237167526709</v>
      </c>
      <c r="AK14">
        <f t="shared" ref="AK14:AK22" si="20">LN(B14/(65-B14))</f>
        <v>-9.035591073135377</v>
      </c>
      <c r="AL14">
        <f t="shared" si="13"/>
        <v>-6.0294474502846924</v>
      </c>
      <c r="AM14">
        <f t="shared" si="14"/>
        <v>-4.868186238242683</v>
      </c>
      <c r="AN14">
        <f t="shared" si="0"/>
        <v>-4.868186238242683</v>
      </c>
      <c r="AO14" s="84">
        <f t="shared" si="5"/>
        <v>-4.868186238242683</v>
      </c>
      <c r="AP14" s="75">
        <v>0</v>
      </c>
      <c r="AQ14" s="180">
        <v>0</v>
      </c>
      <c r="AR14" s="3"/>
      <c r="AU14" s="3">
        <f>'Range acceptance'!O4</f>
        <v>8.1857682376240835</v>
      </c>
      <c r="AX14">
        <f>'Recharge facilities'!AR48</f>
        <v>0</v>
      </c>
      <c r="AZ14" s="15">
        <f>AZ13+(AZ18-AZ5)/13</f>
        <v>2821.7545181719352</v>
      </c>
      <c r="BA14" s="15">
        <f>BA13+(BA18-BA5)/13</f>
        <v>279.69230769230768</v>
      </c>
      <c r="BB14" s="21">
        <f>BB13+(BB18-BB5)/13</f>
        <v>0.69230769230769229</v>
      </c>
      <c r="BG14">
        <v>2009</v>
      </c>
      <c r="BH14" s="3">
        <f>'Vehicle price'!T5</f>
        <v>29.592572886961211</v>
      </c>
      <c r="BI14" s="61">
        <f>AVERAGE(BH13:BH15)*32/BH$22</f>
        <v>31.71027405295019</v>
      </c>
      <c r="BJ14" s="20">
        <f>BJ13+(BJ18-BJ5)/13</f>
        <v>3.0769230769230758</v>
      </c>
      <c r="BK14" s="3">
        <f t="shared" si="16"/>
        <v>34.787197129873263</v>
      </c>
      <c r="BL14">
        <f t="shared" si="9"/>
        <v>22.2</v>
      </c>
      <c r="BM14" s="3">
        <f t="shared" si="10"/>
        <v>14.6</v>
      </c>
      <c r="BN14" s="3">
        <f t="shared" si="15"/>
        <v>36.799999999999997</v>
      </c>
      <c r="BO14" s="13">
        <f t="shared" si="17"/>
        <v>0.94530426983351268</v>
      </c>
      <c r="BP14" s="13">
        <f t="shared" si="18"/>
        <v>0.97014377371274318</v>
      </c>
      <c r="BU14" t="s">
        <v>308</v>
      </c>
      <c r="BW14">
        <v>2014</v>
      </c>
    </row>
    <row r="15" spans="1:76">
      <c r="A15">
        <v>2010</v>
      </c>
      <c r="B15" s="12">
        <f>'EV %sales'!R49/'EV %sales'!AU49*100</f>
        <v>0.21716116072640407</v>
      </c>
      <c r="C15" s="12">
        <f t="shared" si="7"/>
        <v>0.13643795703869899</v>
      </c>
      <c r="D15" s="12">
        <f t="shared" si="6"/>
        <v>6.105483977018332E-2</v>
      </c>
      <c r="E15" s="12">
        <f t="shared" si="3"/>
        <v>8.8113038124512544E-2</v>
      </c>
      <c r="F15" s="12">
        <f>'EV %sales'!R68</f>
        <v>0.30527419885091661</v>
      </c>
      <c r="G15" s="84">
        <f t="shared" si="11"/>
        <v>0.95422607071705978</v>
      </c>
      <c r="H15" s="84">
        <f t="shared" si="1"/>
        <v>0.95422607071705978</v>
      </c>
      <c r="I15" s="94">
        <f t="shared" si="4"/>
        <v>0.95422607071705978</v>
      </c>
      <c r="J15" s="84">
        <f t="shared" si="19"/>
        <v>0.95422607071705978</v>
      </c>
      <c r="K15" s="230"/>
      <c r="L15" s="230"/>
      <c r="M15" s="230"/>
      <c r="N15" s="230"/>
      <c r="O15" s="13">
        <v>0</v>
      </c>
      <c r="P15" s="84"/>
      <c r="Q15" s="84"/>
      <c r="R15" s="84">
        <f t="shared" si="12"/>
        <v>0.95422607071705978</v>
      </c>
      <c r="S15" s="13"/>
      <c r="T15" s="13"/>
      <c r="U15" s="13"/>
      <c r="V15" s="13"/>
      <c r="W15" s="84"/>
      <c r="X15">
        <v>2010</v>
      </c>
      <c r="Y15" s="13">
        <v>0.95422607071705978</v>
      </c>
      <c r="Z15" s="84">
        <v>0.95422607071705978</v>
      </c>
      <c r="AA15" s="72">
        <v>0.95422607071705978</v>
      </c>
      <c r="AC15">
        <v>2010</v>
      </c>
      <c r="AD15" s="13">
        <v>0.95422607071705978</v>
      </c>
      <c r="AE15" s="13">
        <f t="shared" ref="AE15:AE55" si="21">Z15</f>
        <v>0.95422607071705978</v>
      </c>
      <c r="AF15" s="13">
        <v>0.95422607071705978</v>
      </c>
      <c r="AG15" s="84"/>
      <c r="AH15" s="84"/>
      <c r="AI15" s="13">
        <f t="shared" ref="AI15:AI22" si="22">65*EXP(AM15)/(1+EXP(AM15))</f>
        <v>0.95422607071705978</v>
      </c>
      <c r="AK15">
        <f t="shared" si="20"/>
        <v>-5.6981562604871927</v>
      </c>
      <c r="AL15">
        <f t="shared" si="13"/>
        <v>-5.3562245740461014</v>
      </c>
      <c r="AM15">
        <f t="shared" si="14"/>
        <v>-4.2064527095640738</v>
      </c>
      <c r="AN15">
        <f t="shared" si="0"/>
        <v>-4.2064527095640738</v>
      </c>
      <c r="AO15" s="84">
        <f t="shared" si="5"/>
        <v>-4.2064527095640738</v>
      </c>
      <c r="AP15" s="75">
        <v>1</v>
      </c>
      <c r="AQ15" s="180">
        <v>0</v>
      </c>
      <c r="AR15" s="3"/>
      <c r="AU15" s="3">
        <f>'Range acceptance'!O5</f>
        <v>8.1857682376240835</v>
      </c>
      <c r="AX15" s="12">
        <f>'Recharge facilities'!AR49</f>
        <v>1.0375568166038716</v>
      </c>
      <c r="AZ15" s="15">
        <f>AZ14+(AZ18-AZ5)/13</f>
        <v>3135.2827979688168</v>
      </c>
      <c r="BA15" s="15">
        <f>BA14+(BA18-BA5)/13</f>
        <v>310.76923076923077</v>
      </c>
      <c r="BB15" s="21">
        <f>BB14+(BB18-BB5)/13</f>
        <v>0.76923076923076916</v>
      </c>
      <c r="BG15">
        <v>2010</v>
      </c>
      <c r="BH15" s="15">
        <f>BH14</f>
        <v>29.592572886961211</v>
      </c>
      <c r="BI15" s="61">
        <f t="shared" si="8"/>
        <v>31.565411079425292</v>
      </c>
      <c r="BJ15" s="20">
        <f>BJ14+(BJ18-BJ5)/13</f>
        <v>2.3076923076923066</v>
      </c>
      <c r="BK15" s="3">
        <f t="shared" si="16"/>
        <v>33.873103387117595</v>
      </c>
      <c r="BL15">
        <f t="shared" si="9"/>
        <v>22.2</v>
      </c>
      <c r="BM15" s="3">
        <f t="shared" si="10"/>
        <v>14.6</v>
      </c>
      <c r="BN15" s="3">
        <f t="shared" si="15"/>
        <v>36.799999999999997</v>
      </c>
      <c r="BO15" s="13">
        <f t="shared" si="17"/>
        <v>0.9204647659542825</v>
      </c>
      <c r="BP15" s="13">
        <f t="shared" si="18"/>
        <v>0.94530426983351268</v>
      </c>
    </row>
    <row r="16" spans="1:76">
      <c r="A16">
        <v>2011</v>
      </c>
      <c r="B16" s="12">
        <f>'EV %sales'!R50/'EV %sales'!AU50*100</f>
        <v>0.15201418799087915</v>
      </c>
      <c r="C16" s="12">
        <f t="shared" si="7"/>
        <v>0.40243961954908969</v>
      </c>
      <c r="D16" s="12">
        <f t="shared" si="6"/>
        <v>0.2660016625103907</v>
      </c>
      <c r="E16" s="12">
        <f t="shared" si="3"/>
        <v>1.1779941245610743</v>
      </c>
      <c r="F16" s="12">
        <f>'EV %sales'!R69</f>
        <v>1.3300083125519535</v>
      </c>
      <c r="G16" s="84">
        <f t="shared" si="11"/>
        <v>1.8243074485334112</v>
      </c>
      <c r="H16" s="84">
        <f t="shared" si="1"/>
        <v>1.8243074485334112</v>
      </c>
      <c r="I16" s="94">
        <f t="shared" si="4"/>
        <v>1.8243074485334112</v>
      </c>
      <c r="J16" s="84">
        <f t="shared" si="19"/>
        <v>1.8243074485334112</v>
      </c>
      <c r="K16" s="230"/>
      <c r="L16" s="230"/>
      <c r="M16" s="230"/>
      <c r="N16" s="230"/>
      <c r="O16" s="13">
        <v>0</v>
      </c>
      <c r="P16" s="84"/>
      <c r="Q16" s="84"/>
      <c r="R16" s="84">
        <f>G16</f>
        <v>1.8243074485334112</v>
      </c>
      <c r="S16" s="13"/>
      <c r="T16" s="13"/>
      <c r="U16" s="13"/>
      <c r="V16" s="13"/>
      <c r="W16" s="84"/>
      <c r="X16">
        <v>2011</v>
      </c>
      <c r="Y16" s="13">
        <v>1.8243074485334112</v>
      </c>
      <c r="Z16" s="84">
        <v>1.8243074485334112</v>
      </c>
      <c r="AA16" s="72">
        <v>1.8243074485334112</v>
      </c>
      <c r="AC16">
        <v>2011</v>
      </c>
      <c r="AD16" s="13">
        <v>1.8243074485334112</v>
      </c>
      <c r="AE16" s="13">
        <f t="shared" si="21"/>
        <v>1.8243074485334112</v>
      </c>
      <c r="AF16" s="13">
        <v>1.8243074485334112</v>
      </c>
      <c r="AG16" s="84"/>
      <c r="AH16" s="84"/>
      <c r="AI16" s="13">
        <f t="shared" si="22"/>
        <v>1.8243074485334112</v>
      </c>
      <c r="AK16">
        <f t="shared" si="20"/>
        <v>-6.055827271544219</v>
      </c>
      <c r="AL16">
        <f t="shared" si="13"/>
        <v>-3.8685281712189239</v>
      </c>
      <c r="AM16">
        <f t="shared" si="14"/>
        <v>-3.5447191808854641</v>
      </c>
      <c r="AN16">
        <f t="shared" si="0"/>
        <v>-3.5447191808854641</v>
      </c>
      <c r="AO16" s="84">
        <f t="shared" si="5"/>
        <v>-3.5447191808854641</v>
      </c>
      <c r="AP16" s="75">
        <v>2</v>
      </c>
      <c r="AQ16" s="180">
        <v>0</v>
      </c>
      <c r="AR16" s="3"/>
      <c r="AU16" s="3">
        <f>'Range acceptance'!O6</f>
        <v>9.7516684952471575</v>
      </c>
      <c r="AX16" s="12">
        <f>'Recharge facilities'!AR50</f>
        <v>1.1302142873335039</v>
      </c>
      <c r="AZ16" s="15">
        <f>AZ15+(AZ18-AZ5)/13</f>
        <v>3448.8110777656984</v>
      </c>
      <c r="BA16" s="15">
        <f>BA15+(BA18-BA5)/13</f>
        <v>341.84615384615387</v>
      </c>
      <c r="BB16" s="21">
        <f>BB15+(BB18-BB5)/13</f>
        <v>0.84615384615384603</v>
      </c>
      <c r="BG16">
        <v>2011</v>
      </c>
      <c r="BH16" s="15">
        <f>BH15</f>
        <v>29.592572886961211</v>
      </c>
      <c r="BI16" s="61">
        <f t="shared" si="8"/>
        <v>32.009816260770179</v>
      </c>
      <c r="BJ16" s="20">
        <f>BJ15+(BJ18-BJ5)/13</f>
        <v>1.5384615384615374</v>
      </c>
      <c r="BK16" s="3">
        <f t="shared" si="16"/>
        <v>33.54827779923172</v>
      </c>
      <c r="BL16">
        <f t="shared" si="9"/>
        <v>22.2</v>
      </c>
      <c r="BM16" s="3">
        <f t="shared" si="10"/>
        <v>14.6</v>
      </c>
      <c r="BN16" s="3">
        <f t="shared" si="15"/>
        <v>36.799999999999997</v>
      </c>
      <c r="BO16" s="13">
        <f t="shared" si="17"/>
        <v>0.91163798367477511</v>
      </c>
      <c r="BP16" s="13">
        <f t="shared" si="18"/>
        <v>0.9204647659542825</v>
      </c>
      <c r="BU16" t="s">
        <v>315</v>
      </c>
    </row>
    <row r="17" spans="1:68">
      <c r="A17">
        <v>2012</v>
      </c>
      <c r="B17" s="12">
        <f>'EV %sales'!R51/'EV %sales'!AU51*100</f>
        <v>0.30527419885091661</v>
      </c>
      <c r="C17" s="12">
        <f>AVERAGE(B15:B19)</f>
        <v>1.0541849992357337</v>
      </c>
      <c r="D17" s="12">
        <f t="shared" si="6"/>
        <v>0.65174537968664403</v>
      </c>
      <c r="E17" s="12">
        <f t="shared" si="3"/>
        <v>3.2190719216332706</v>
      </c>
      <c r="F17" s="12">
        <f>'EV %sales'!R70</f>
        <v>3.5243461204841871</v>
      </c>
      <c r="G17" s="84">
        <f t="shared" si="11"/>
        <v>3.4450702320769127</v>
      </c>
      <c r="H17" s="84">
        <f t="shared" si="1"/>
        <v>3.4450702320769109</v>
      </c>
      <c r="I17" s="84">
        <f t="shared" si="4"/>
        <v>3.4450702320769127</v>
      </c>
      <c r="J17" s="84">
        <f t="shared" si="19"/>
        <v>3.4450702320769127</v>
      </c>
      <c r="K17" s="230">
        <f>P17-SUM(L17:L$17)</f>
        <v>-2.8829856522068549</v>
      </c>
      <c r="L17" s="13">
        <f>O17*M17</f>
        <v>0</v>
      </c>
      <c r="M17" s="13">
        <f>IF(N17&lt;0,0,N17)</f>
        <v>0</v>
      </c>
      <c r="N17" s="230">
        <f>IF((V17-0.6)/0.3&gt;1,1,(V17-0.6)/0.3)</f>
        <v>-0.59862525707881575</v>
      </c>
      <c r="O17" s="13">
        <v>0</v>
      </c>
      <c r="P17" s="13">
        <f>LN(R17/(65-R17))</f>
        <v>-2.8829856522068549</v>
      </c>
      <c r="Q17" s="84"/>
      <c r="R17" s="84">
        <f t="shared" ref="R17:R24" si="23">S17</f>
        <v>3.4450702320769109</v>
      </c>
      <c r="S17" s="84">
        <f t="shared" ref="S17:S60" si="24">LOOKUP(ROUND(T17,0),A$13:A$60,H$13:H$60)</f>
        <v>3.4450702320769109</v>
      </c>
      <c r="T17" s="13">
        <f t="shared" ref="T17:T24" si="25">A17-(U17-U$17)</f>
        <v>2012</v>
      </c>
      <c r="U17" s="13">
        <f t="shared" ref="U17:U60" si="26">R$64+R$65*V17</f>
        <v>2010.6293316601966</v>
      </c>
      <c r="V17" s="13">
        <f>1/'Norway with subs'!R79</f>
        <v>0.42041242287635527</v>
      </c>
      <c r="W17" s="84"/>
      <c r="X17">
        <v>2012</v>
      </c>
      <c r="Y17" s="13">
        <v>3.4450702320769127</v>
      </c>
      <c r="Z17" s="84">
        <v>3.4450702320769127</v>
      </c>
      <c r="AA17" s="13">
        <v>3.4450702320769127</v>
      </c>
      <c r="AC17">
        <v>2012</v>
      </c>
      <c r="AD17" s="13">
        <v>3.4450702320769127</v>
      </c>
      <c r="AE17" s="13">
        <f t="shared" si="21"/>
        <v>3.4450702320769127</v>
      </c>
      <c r="AF17" s="13">
        <v>3.4450702320769127</v>
      </c>
      <c r="AG17" s="84"/>
      <c r="AH17" s="84"/>
      <c r="AI17" s="13">
        <f t="shared" si="22"/>
        <v>3.4450702320769127</v>
      </c>
      <c r="AK17">
        <f t="shared" si="20"/>
        <v>-5.3562245740461014</v>
      </c>
      <c r="AL17" s="14">
        <f t="shared" si="13"/>
        <v>-2.8589463032343061</v>
      </c>
      <c r="AM17">
        <f t="shared" si="14"/>
        <v>-2.8829856522068544</v>
      </c>
      <c r="AN17">
        <f t="shared" si="0"/>
        <v>-2.8829856522068544</v>
      </c>
      <c r="AO17" s="84">
        <f t="shared" si="5"/>
        <v>-2.8829856522068549</v>
      </c>
      <c r="AP17" s="3">
        <v>3</v>
      </c>
      <c r="AQ17" s="12">
        <v>0</v>
      </c>
      <c r="AR17" s="3"/>
      <c r="AU17" s="3">
        <f>'Range acceptance'!O7</f>
        <v>13.666419139304844</v>
      </c>
      <c r="AX17" s="12">
        <f>'Recharge facilities'!AR51</f>
        <v>1.3316660668801625</v>
      </c>
      <c r="AZ17" s="15">
        <f>AZ16+(AZ18-AZ5)/13</f>
        <v>3762.3393575625801</v>
      </c>
      <c r="BA17" s="15">
        <f>BA16+(BA18-BA5)/13</f>
        <v>372.92307692307696</v>
      </c>
      <c r="BB17" s="21">
        <f>BB16+(BB18-BB5)/13</f>
        <v>0.92307692307692291</v>
      </c>
      <c r="BG17">
        <v>2012</v>
      </c>
      <c r="BH17" s="3">
        <f>'Vehicle price'!T8</f>
        <v>30.842462459493706</v>
      </c>
      <c r="BI17" s="61">
        <f t="shared" si="8"/>
        <v>32.561409664318184</v>
      </c>
      <c r="BJ17" s="20">
        <f>BJ16+(BJ18-BJ5)/13</f>
        <v>0.76923076923076816</v>
      </c>
      <c r="BK17" s="3">
        <f t="shared" si="16"/>
        <v>33.33064043354895</v>
      </c>
      <c r="BL17">
        <f t="shared" si="9"/>
        <v>22.2</v>
      </c>
      <c r="BM17" s="3">
        <f t="shared" si="10"/>
        <v>14.6</v>
      </c>
      <c r="BN17" s="3">
        <f t="shared" si="15"/>
        <v>36.799999999999997</v>
      </c>
      <c r="BO17" s="13">
        <f t="shared" si="17"/>
        <v>0.90572392482469977</v>
      </c>
      <c r="BP17" s="13">
        <f t="shared" si="18"/>
        <v>0.91163798367477511</v>
      </c>
    </row>
    <row r="18" spans="1:68">
      <c r="A18">
        <v>2013</v>
      </c>
      <c r="B18" s="12">
        <f>'EV %sales'!R52/'EV %sales'!AU52*100</f>
        <v>1.3300083125519535</v>
      </c>
      <c r="C18" s="12">
        <f t="shared" si="7"/>
        <v>2.1644555197970812</v>
      </c>
      <c r="D18" s="12">
        <f>C18-C17</f>
        <v>1.1102705205613475</v>
      </c>
      <c r="E18" s="12">
        <f t="shared" si="3"/>
        <v>4.6636181832166299</v>
      </c>
      <c r="F18" s="12">
        <f>'EV %sales'!R71</f>
        <v>5.9936264957685834</v>
      </c>
      <c r="G18" s="84">
        <f t="shared" si="11"/>
        <v>6.3607835641863382</v>
      </c>
      <c r="H18" s="84">
        <f t="shared" si="1"/>
        <v>6.3607835641863382</v>
      </c>
      <c r="I18" s="84">
        <f t="shared" si="4"/>
        <v>6.3607835641863382</v>
      </c>
      <c r="J18" s="84">
        <f t="shared" si="19"/>
        <v>6.3607835641863382</v>
      </c>
      <c r="K18" s="230">
        <f>P18-SUM(L$17:L18)</f>
        <v>-2.2212521235282452</v>
      </c>
      <c r="L18" s="13">
        <f t="shared" ref="L18:L60" si="27">O18*M18</f>
        <v>0</v>
      </c>
      <c r="M18" s="13">
        <f t="shared" ref="M18:M60" si="28">IF(N18&lt;0,0,N18)</f>
        <v>0</v>
      </c>
      <c r="N18" s="230">
        <f t="shared" ref="N18:N60" si="29">IF((V18-0.6)/0.3&gt;1,1,(V18-0.6)/0.3)</f>
        <v>-0.57094506441991977</v>
      </c>
      <c r="O18" s="13">
        <v>0</v>
      </c>
      <c r="P18" s="13">
        <f t="shared" ref="P18:P60" si="30">LN(R18/(65-R18))</f>
        <v>-2.2212521235282452</v>
      </c>
      <c r="Q18" s="84"/>
      <c r="R18" s="84">
        <f t="shared" si="23"/>
        <v>6.3607835641863382</v>
      </c>
      <c r="S18" s="84">
        <f t="shared" si="24"/>
        <v>6.3607835641863382</v>
      </c>
      <c r="T18" s="13">
        <f t="shared" si="25"/>
        <v>2012.9104498369666</v>
      </c>
      <c r="U18" s="13">
        <f t="shared" si="26"/>
        <v>2010.71888182323</v>
      </c>
      <c r="V18" s="13">
        <f>1/'Norway with subs'!R80</f>
        <v>0.42871648067402407</v>
      </c>
      <c r="W18" s="84"/>
      <c r="X18">
        <v>2013</v>
      </c>
      <c r="Y18" s="13">
        <v>6.3607835641863382</v>
      </c>
      <c r="Z18" s="84">
        <v>6.3607835641863382</v>
      </c>
      <c r="AA18" s="13">
        <v>6.3607835641863382</v>
      </c>
      <c r="AC18">
        <v>2013</v>
      </c>
      <c r="AD18" s="13">
        <v>6.3607835641863382</v>
      </c>
      <c r="AE18" s="13">
        <f t="shared" si="21"/>
        <v>6.3607835641863382</v>
      </c>
      <c r="AF18" s="13">
        <v>6.3607835641863382</v>
      </c>
      <c r="AG18" s="84"/>
      <c r="AH18" s="84"/>
      <c r="AI18" s="13">
        <f t="shared" si="22"/>
        <v>6.3607835641863382</v>
      </c>
      <c r="AK18">
        <f t="shared" si="20"/>
        <v>-3.8685281712189239</v>
      </c>
      <c r="AL18" s="14">
        <f t="shared" si="13"/>
        <v>-2.2869488096321531</v>
      </c>
      <c r="AM18">
        <f t="shared" si="14"/>
        <v>-2.2212521235282452</v>
      </c>
      <c r="AN18">
        <f t="shared" si="0"/>
        <v>-2.2212521235282452</v>
      </c>
      <c r="AO18" s="84">
        <f t="shared" si="5"/>
        <v>-2.2212521235282452</v>
      </c>
      <c r="AP18" s="3">
        <v>4</v>
      </c>
      <c r="AQ18" s="12">
        <v>0</v>
      </c>
      <c r="AR18" s="3"/>
      <c r="AU18" s="3">
        <f>'Range acceptance'!O8</f>
        <v>17.581169783362526</v>
      </c>
      <c r="AX18" s="12">
        <f>'Recharge facilities'!AR52</f>
        <v>1.643125698259944</v>
      </c>
      <c r="AZ18" s="3">
        <f>0.3*BK18*1000*40/100</f>
        <v>4075.8676373594617</v>
      </c>
      <c r="BA18">
        <f>470-66</f>
        <v>404</v>
      </c>
      <c r="BB18">
        <v>1</v>
      </c>
      <c r="BD18" s="13">
        <f>9.97/4.55*1.1/1</f>
        <v>2.4103296703296708</v>
      </c>
      <c r="BG18">
        <v>2013</v>
      </c>
      <c r="BH18" s="3">
        <f>'Vehicle price'!T9</f>
        <v>31.143929334439989</v>
      </c>
      <c r="BI18" s="61">
        <f t="shared" si="8"/>
        <v>33.965563644662183</v>
      </c>
      <c r="BJ18" s="3">
        <v>0</v>
      </c>
      <c r="BK18" s="3">
        <f t="shared" si="16"/>
        <v>33.965563644662183</v>
      </c>
      <c r="BL18">
        <f t="shared" si="9"/>
        <v>22.2</v>
      </c>
      <c r="BM18" s="3">
        <f t="shared" si="10"/>
        <v>14.6</v>
      </c>
      <c r="BN18" s="3">
        <f t="shared" si="15"/>
        <v>36.799999999999997</v>
      </c>
      <c r="BO18" s="13">
        <f t="shared" si="17"/>
        <v>0.92297727295277676</v>
      </c>
      <c r="BP18" s="13">
        <f t="shared" si="18"/>
        <v>0.90572392482469977</v>
      </c>
    </row>
    <row r="19" spans="1:68">
      <c r="A19">
        <v>2014</v>
      </c>
      <c r="B19" s="12">
        <f>'EV %sales'!R53/'EV %sales'!AU53*100</f>
        <v>3.2664671360585151</v>
      </c>
      <c r="C19" s="12">
        <f t="shared" si="7"/>
        <v>4.6430331401675886</v>
      </c>
      <c r="D19" s="12">
        <f t="shared" si="6"/>
        <v>2.4785776203705074</v>
      </c>
      <c r="E19" s="12">
        <f t="shared" si="3"/>
        <v>10.436532822333184</v>
      </c>
      <c r="F19" s="12">
        <f>'EV %sales'!R72</f>
        <v>13.7029999583917</v>
      </c>
      <c r="G19" s="84">
        <f t="shared" si="11"/>
        <v>13.102487636563037</v>
      </c>
      <c r="H19" s="84">
        <f t="shared" si="1"/>
        <v>11.291522864493412</v>
      </c>
      <c r="I19" s="84">
        <f t="shared" si="4"/>
        <v>13.102487636563037</v>
      </c>
      <c r="J19" s="84">
        <f t="shared" si="19"/>
        <v>13.102487636563037</v>
      </c>
      <c r="K19" s="230">
        <f>P19-SUM(L$17:L19)</f>
        <v>-1.559518594849636</v>
      </c>
      <c r="L19" s="13">
        <f t="shared" si="27"/>
        <v>0</v>
      </c>
      <c r="M19" s="13">
        <f t="shared" si="28"/>
        <v>0</v>
      </c>
      <c r="N19" s="230">
        <f t="shared" si="29"/>
        <v>-0.57469591759457817</v>
      </c>
      <c r="O19" s="13">
        <v>0</v>
      </c>
      <c r="P19" s="13">
        <f t="shared" si="30"/>
        <v>-1.559518594849636</v>
      </c>
      <c r="Q19" s="84"/>
      <c r="R19" s="84">
        <f t="shared" si="23"/>
        <v>11.291522864493412</v>
      </c>
      <c r="S19" s="84">
        <f t="shared" si="24"/>
        <v>11.291522864493412</v>
      </c>
      <c r="T19" s="13">
        <f t="shared" si="25"/>
        <v>2013.922584489259</v>
      </c>
      <c r="U19" s="13">
        <f t="shared" si="26"/>
        <v>2010.7067471709377</v>
      </c>
      <c r="V19" s="20">
        <f>(V18+V20)/2</f>
        <v>0.42759122472162653</v>
      </c>
      <c r="W19" s="84"/>
      <c r="X19">
        <v>2014</v>
      </c>
      <c r="Y19" s="13">
        <v>13.102487636563037</v>
      </c>
      <c r="Z19" s="84">
        <v>13.102487636563037</v>
      </c>
      <c r="AA19" s="13">
        <v>13.102487636563037</v>
      </c>
      <c r="AC19">
        <v>2014</v>
      </c>
      <c r="AD19" s="13">
        <v>13.102487636563037</v>
      </c>
      <c r="AE19" s="13">
        <f t="shared" si="21"/>
        <v>13.102487636563037</v>
      </c>
      <c r="AF19" s="13">
        <v>13.102487636563037</v>
      </c>
      <c r="AG19" s="84"/>
      <c r="AH19" s="84"/>
      <c r="AI19" s="13">
        <f t="shared" si="22"/>
        <v>13.102487636563037</v>
      </c>
      <c r="AK19">
        <f t="shared" si="20"/>
        <v>-2.9391182513315322</v>
      </c>
      <c r="AL19" s="14">
        <f t="shared" si="13"/>
        <v>-1.3200174878180644</v>
      </c>
      <c r="AM19">
        <f t="shared" si="14"/>
        <v>-1.3764687495827712</v>
      </c>
      <c r="AN19">
        <f t="shared" si="0"/>
        <v>-1.559518594849636</v>
      </c>
      <c r="AO19" s="84">
        <f t="shared" si="5"/>
        <v>-1.5595185948496357</v>
      </c>
      <c r="AP19" s="3">
        <v>5</v>
      </c>
      <c r="AQ19" s="12">
        <v>0.5</v>
      </c>
      <c r="AR19" s="3"/>
      <c r="AU19" s="3">
        <f>'Range acceptance'!O9</f>
        <v>23.844770813854822</v>
      </c>
      <c r="AX19" s="12">
        <f>'Recharge facilities'!AR53</f>
        <v>1.906918998724918</v>
      </c>
      <c r="AZ19" s="3">
        <f>0.3*BK19*1000*40/100</f>
        <v>4140.6658529665901</v>
      </c>
      <c r="BA19">
        <f>470-66</f>
        <v>404</v>
      </c>
      <c r="BB19">
        <v>1</v>
      </c>
      <c r="BG19">
        <v>2014</v>
      </c>
      <c r="BH19" s="3">
        <f>'Vehicle price'!T10</f>
        <v>33.541755956678692</v>
      </c>
      <c r="BI19" s="61">
        <f t="shared" si="8"/>
        <v>34.505548774721589</v>
      </c>
      <c r="BJ19" s="3">
        <v>0</v>
      </c>
      <c r="BK19" s="3">
        <f t="shared" si="16"/>
        <v>34.505548774721589</v>
      </c>
      <c r="BL19">
        <f t="shared" si="9"/>
        <v>22.2</v>
      </c>
      <c r="BM19" s="3">
        <f t="shared" si="10"/>
        <v>14.6</v>
      </c>
      <c r="BN19" s="3">
        <f t="shared" si="15"/>
        <v>36.799999999999997</v>
      </c>
      <c r="BO19" s="13">
        <f>BK19/BN19</f>
        <v>0.93765078192178242</v>
      </c>
      <c r="BP19" s="13">
        <f t="shared" si="18"/>
        <v>0.92297727295277676</v>
      </c>
    </row>
    <row r="20" spans="1:68">
      <c r="A20">
        <v>2015</v>
      </c>
      <c r="B20" s="12">
        <f>'EV %sales'!R54/'EV %sales'!AU54*100</f>
        <v>5.7685137635331429</v>
      </c>
      <c r="C20" s="12">
        <f t="shared" si="7"/>
        <v>8.2704430549200545</v>
      </c>
      <c r="D20" s="12">
        <f t="shared" si="6"/>
        <v>3.6274099147524659</v>
      </c>
      <c r="E20" s="12">
        <f t="shared" si="3"/>
        <v>17.863409573737737</v>
      </c>
      <c r="F20" s="12">
        <f>'EV %sales'!R73</f>
        <v>23.63192333727088</v>
      </c>
      <c r="G20" s="84">
        <f t="shared" si="11"/>
        <v>24.058052640666737</v>
      </c>
      <c r="H20" s="84">
        <f t="shared" si="1"/>
        <v>18.81788217034801</v>
      </c>
      <c r="I20" s="84">
        <f t="shared" si="4"/>
        <v>18.817882170348014</v>
      </c>
      <c r="J20" s="84">
        <f t="shared" ref="J20:J60" si="31">65*EXP(K20)/(1+EXP(K20))</f>
        <v>18.817882170348014</v>
      </c>
      <c r="K20" s="230">
        <f>P20-SUM(L$17:L20)</f>
        <v>-0.89778506617102649</v>
      </c>
      <c r="L20" s="13">
        <f t="shared" si="27"/>
        <v>0</v>
      </c>
      <c r="M20" s="13">
        <f t="shared" si="28"/>
        <v>0</v>
      </c>
      <c r="N20" s="230">
        <f t="shared" si="29"/>
        <v>-0.57844677076923667</v>
      </c>
      <c r="O20" s="13">
        <v>0</v>
      </c>
      <c r="P20" s="13">
        <f t="shared" si="30"/>
        <v>-0.89778506617102649</v>
      </c>
      <c r="Q20" s="84"/>
      <c r="R20" s="84">
        <f t="shared" si="23"/>
        <v>18.81788217034801</v>
      </c>
      <c r="S20" s="84">
        <f t="shared" si="24"/>
        <v>18.81788217034801</v>
      </c>
      <c r="T20" s="13">
        <f t="shared" si="25"/>
        <v>2014.9347191415516</v>
      </c>
      <c r="U20" s="13">
        <f t="shared" si="26"/>
        <v>2010.694612518645</v>
      </c>
      <c r="V20" s="13">
        <f>1/'Norway with subs'!R82</f>
        <v>0.42646596876922899</v>
      </c>
      <c r="W20" s="84"/>
      <c r="X20">
        <v>2015</v>
      </c>
      <c r="Y20" s="13">
        <v>18.817882170348014</v>
      </c>
      <c r="Z20" s="84">
        <v>18.817882170348014</v>
      </c>
      <c r="AA20" s="13">
        <v>18.817882170348014</v>
      </c>
      <c r="AC20">
        <v>2015</v>
      </c>
      <c r="AD20" s="13">
        <v>18.817882170348014</v>
      </c>
      <c r="AE20" s="13">
        <f t="shared" si="21"/>
        <v>18.817882170348014</v>
      </c>
      <c r="AF20" s="13">
        <v>18.817882170348014</v>
      </c>
      <c r="AG20" s="84"/>
      <c r="AH20" s="84"/>
      <c r="AI20" s="13">
        <f t="shared" si="22"/>
        <v>24.058052640666737</v>
      </c>
      <c r="AK20">
        <f t="shared" si="20"/>
        <v>-2.32903879524026</v>
      </c>
      <c r="AL20" s="14">
        <f t="shared" si="13"/>
        <v>-0.55991100651965142</v>
      </c>
      <c r="AM20">
        <f t="shared" si="14"/>
        <v>-0.53168537563729679</v>
      </c>
      <c r="AN20">
        <f t="shared" si="0"/>
        <v>-0.89778506617102627</v>
      </c>
      <c r="AO20" s="84">
        <f t="shared" si="5"/>
        <v>-0.89778506617102627</v>
      </c>
      <c r="AP20" s="3">
        <v>6</v>
      </c>
      <c r="AQ20" s="12">
        <v>1</v>
      </c>
      <c r="AR20" s="3"/>
      <c r="AU20" s="3">
        <f>'Range acceptance'!O10</f>
        <v>30.108371844347118</v>
      </c>
      <c r="AX20" s="12">
        <f>'Recharge facilities'!AR54</f>
        <v>2.1988547535555827</v>
      </c>
      <c r="AZ20" s="3">
        <f>0.3*BK20*1000*40/100</f>
        <v>4142.2298416365811</v>
      </c>
      <c r="BA20">
        <f>470-66</f>
        <v>404</v>
      </c>
      <c r="BB20">
        <v>1</v>
      </c>
      <c r="BG20">
        <v>2015</v>
      </c>
      <c r="BH20" s="15">
        <f>BH19+(BH22-BH19)/3</f>
        <v>32.361170637785797</v>
      </c>
      <c r="BI20" s="61">
        <f t="shared" si="8"/>
        <v>34.518582013638181</v>
      </c>
      <c r="BJ20" s="3">
        <v>0</v>
      </c>
      <c r="BK20" s="3">
        <f t="shared" si="16"/>
        <v>34.518582013638181</v>
      </c>
      <c r="BL20">
        <f t="shared" si="9"/>
        <v>22.2</v>
      </c>
      <c r="BM20" s="3">
        <f t="shared" si="10"/>
        <v>14.6</v>
      </c>
      <c r="BN20" s="3">
        <f t="shared" si="15"/>
        <v>36.799999999999997</v>
      </c>
      <c r="BO20" s="13">
        <f t="shared" si="17"/>
        <v>0.93800494602277673</v>
      </c>
      <c r="BP20" s="13">
        <f t="shared" si="18"/>
        <v>0.93765078192178242</v>
      </c>
    </row>
    <row r="21" spans="1:68">
      <c r="A21">
        <v>2016</v>
      </c>
      <c r="B21" s="12">
        <f>'EV %sales'!R55/'EV %sales'!AU55*100</f>
        <v>12.544902289843415</v>
      </c>
      <c r="C21" s="12">
        <f t="shared" si="7"/>
        <v>13.604441392409663</v>
      </c>
      <c r="D21" s="12">
        <f t="shared" si="6"/>
        <v>5.3339983374896089</v>
      </c>
      <c r="E21" s="12">
        <f t="shared" si="3"/>
        <v>16.502399508957389</v>
      </c>
      <c r="F21" s="12">
        <f>'EV %sales'!R74</f>
        <v>29.047301798800802</v>
      </c>
      <c r="G21" s="84">
        <f t="shared" si="11"/>
        <v>28.681875004731541</v>
      </c>
      <c r="H21" s="84">
        <f t="shared" si="1"/>
        <v>28.681875004731538</v>
      </c>
      <c r="I21" s="84">
        <f t="shared" si="4"/>
        <v>28.681875004731538</v>
      </c>
      <c r="J21" s="84">
        <f t="shared" si="31"/>
        <v>28.681875004731538</v>
      </c>
      <c r="K21" s="230">
        <f>P21-SUM(L$17:L21)</f>
        <v>-0.23605153749241667</v>
      </c>
      <c r="L21" s="13">
        <f t="shared" si="27"/>
        <v>0</v>
      </c>
      <c r="M21" s="13">
        <f t="shared" si="28"/>
        <v>0</v>
      </c>
      <c r="N21" s="230">
        <f t="shared" si="29"/>
        <v>-0.55876817282071822</v>
      </c>
      <c r="O21" s="13">
        <v>0</v>
      </c>
      <c r="P21" s="13">
        <f t="shared" si="30"/>
        <v>-0.23605153749241667</v>
      </c>
      <c r="Q21" s="84"/>
      <c r="R21" s="84">
        <f t="shared" si="23"/>
        <v>28.681875004731538</v>
      </c>
      <c r="S21" s="84">
        <f t="shared" si="24"/>
        <v>28.681875004731538</v>
      </c>
      <c r="T21" s="13">
        <f t="shared" si="25"/>
        <v>2015.8710555075488</v>
      </c>
      <c r="U21" s="13">
        <f t="shared" si="26"/>
        <v>2010.7582761526478</v>
      </c>
      <c r="V21" s="13">
        <f>1/'Norway with subs'!R83</f>
        <v>0.43236954815378453</v>
      </c>
      <c r="W21" s="84"/>
      <c r="X21">
        <v>2016</v>
      </c>
      <c r="Y21" s="13">
        <v>28.681875004731538</v>
      </c>
      <c r="Z21" s="84">
        <v>28.681875004731538</v>
      </c>
      <c r="AA21" s="13">
        <v>28.681875004731538</v>
      </c>
      <c r="AC21">
        <v>2016</v>
      </c>
      <c r="AD21" s="13">
        <v>28.681875004731538</v>
      </c>
      <c r="AE21" s="13">
        <f t="shared" si="21"/>
        <v>28.681875004731538</v>
      </c>
      <c r="AF21" s="13">
        <v>28.681875004731538</v>
      </c>
      <c r="AG21" s="84"/>
      <c r="AH21" s="84"/>
      <c r="AI21" s="13">
        <f t="shared" si="22"/>
        <v>28.681875004731541</v>
      </c>
      <c r="AK21">
        <f t="shared" si="20"/>
        <v>-1.4306431309090812</v>
      </c>
      <c r="AL21" s="14">
        <f t="shared" si="13"/>
        <v>-0.21327853792232079</v>
      </c>
      <c r="AM21">
        <f t="shared" si="14"/>
        <v>-0.23605153749241659</v>
      </c>
      <c r="AN21">
        <f t="shared" si="0"/>
        <v>-0.23605153749241659</v>
      </c>
      <c r="AO21" s="84">
        <f t="shared" si="5"/>
        <v>-0.23605153749241672</v>
      </c>
      <c r="AP21" s="3">
        <v>7</v>
      </c>
      <c r="AQ21" s="3">
        <v>0</v>
      </c>
      <c r="AR21" s="3"/>
      <c r="AU21" s="3">
        <f>'Range acceptance'!O11</f>
        <v>37.589895297435142</v>
      </c>
      <c r="AX21" s="12">
        <f>'Recharge facilities'!AR55</f>
        <v>2.970173765970046</v>
      </c>
      <c r="AZ21" s="3">
        <f>0.3*BK21*1000*40/100</f>
        <v>3991.1149208182906</v>
      </c>
      <c r="BA21">
        <f>470-66</f>
        <v>404</v>
      </c>
      <c r="BB21">
        <v>1</v>
      </c>
      <c r="BG21">
        <v>2016</v>
      </c>
      <c r="BH21" s="15">
        <f>BH20+(BH22-BH19)/3</f>
        <v>31.180585318892899</v>
      </c>
      <c r="BI21" s="61">
        <f>AVERAGE(BH20:BH22)*32/BH$22</f>
        <v>33.25929100681909</v>
      </c>
      <c r="BJ21" s="3">
        <v>0</v>
      </c>
      <c r="BK21" s="3">
        <f t="shared" si="16"/>
        <v>33.25929100681909</v>
      </c>
      <c r="BL21">
        <f t="shared" si="9"/>
        <v>22.2</v>
      </c>
      <c r="BM21" s="3">
        <f t="shared" si="10"/>
        <v>14.6</v>
      </c>
      <c r="BN21" s="3">
        <f t="shared" si="15"/>
        <v>36.799999999999997</v>
      </c>
      <c r="BO21" s="13">
        <f t="shared" si="17"/>
        <v>0.90378508170704053</v>
      </c>
      <c r="BP21" s="13">
        <f t="shared" si="18"/>
        <v>0.93800494602277673</v>
      </c>
    </row>
    <row r="22" spans="1:68">
      <c r="A22">
        <v>2017</v>
      </c>
      <c r="B22" s="12">
        <f>'EV %sales'!R56/'EV %sales'!AU56*100</f>
        <v>18.442323772613246</v>
      </c>
      <c r="C22" s="12">
        <f t="shared" si="7"/>
        <v>19.951147965197961</v>
      </c>
      <c r="D22" s="12">
        <f t="shared" si="6"/>
        <v>6.3467065727882979</v>
      </c>
      <c r="E22" s="12">
        <f t="shared" si="3"/>
        <v>20.834701124960031</v>
      </c>
      <c r="F22" s="12">
        <f>'EV %sales'!R75</f>
        <v>39.277024897573277</v>
      </c>
      <c r="G22" s="84">
        <f t="shared" si="11"/>
        <v>39.314736357294422</v>
      </c>
      <c r="H22" s="84">
        <f t="shared" si="1"/>
        <v>39.314736357294422</v>
      </c>
      <c r="I22" s="84">
        <f t="shared" si="4"/>
        <v>39.314736357294422</v>
      </c>
      <c r="J22" s="84">
        <f t="shared" si="31"/>
        <v>39.314736357294422</v>
      </c>
      <c r="K22" s="230">
        <f>P22-SUM(L$17:L22)</f>
        <v>0.42568199118619277</v>
      </c>
      <c r="L22" s="13">
        <f t="shared" si="27"/>
        <v>0</v>
      </c>
      <c r="M22" s="13">
        <f t="shared" si="28"/>
        <v>0</v>
      </c>
      <c r="N22" s="230">
        <f t="shared" si="29"/>
        <v>-0.56950896823274966</v>
      </c>
      <c r="O22" s="13">
        <v>0</v>
      </c>
      <c r="P22" s="13">
        <f>LN(R22/(65-R22))</f>
        <v>0.42568199118619277</v>
      </c>
      <c r="Q22" s="84"/>
      <c r="R22" s="84">
        <f t="shared" si="23"/>
        <v>39.314736357294422</v>
      </c>
      <c r="S22" s="84">
        <f t="shared" si="24"/>
        <v>39.314736357294422</v>
      </c>
      <c r="T22" s="13">
        <f t="shared" si="25"/>
        <v>2016.905803819893</v>
      </c>
      <c r="U22" s="13">
        <f t="shared" si="26"/>
        <v>2010.7235278403036</v>
      </c>
      <c r="V22" s="13">
        <f>1/'Norway with subs'!R84</f>
        <v>0.4291473095301751</v>
      </c>
      <c r="W22" s="84"/>
      <c r="X22">
        <v>2017</v>
      </c>
      <c r="Y22" s="13">
        <v>39.314736357294422</v>
      </c>
      <c r="Z22" s="84">
        <v>39.314736357294422</v>
      </c>
      <c r="AA22" s="13">
        <v>39.314736357294422</v>
      </c>
      <c r="AC22">
        <v>2017</v>
      </c>
      <c r="AD22" s="13">
        <v>39.314736357294422</v>
      </c>
      <c r="AE22" s="13">
        <f t="shared" si="21"/>
        <v>39.314736357294422</v>
      </c>
      <c r="AF22" s="13">
        <v>39.314736357294422</v>
      </c>
      <c r="AG22" s="84"/>
      <c r="AH22" s="84"/>
      <c r="AI22" s="13">
        <f t="shared" si="22"/>
        <v>39.314736357294422</v>
      </c>
      <c r="AK22">
        <f t="shared" si="20"/>
        <v>-0.92604366474562894</v>
      </c>
      <c r="AL22" s="14">
        <f t="shared" si="13"/>
        <v>0.42325517431846632</v>
      </c>
      <c r="AM22">
        <f t="shared" si="14"/>
        <v>0.42568199118619265</v>
      </c>
      <c r="AN22">
        <f t="shared" si="0"/>
        <v>0.42568199118619265</v>
      </c>
      <c r="AO22" s="84">
        <f t="shared" si="5"/>
        <v>0.42568199118619265</v>
      </c>
      <c r="AP22" s="3">
        <v>8</v>
      </c>
      <c r="AQ22" s="3">
        <v>0</v>
      </c>
      <c r="AR22" s="3"/>
      <c r="AU22" s="3">
        <f>'Range acceptance'!O12</f>
        <v>45.071418750523165</v>
      </c>
      <c r="AZ22" s="3">
        <f>0.3*BK22*1000*40/100</f>
        <v>3915.6346099180309</v>
      </c>
      <c r="BA22">
        <f>470-66</f>
        <v>404</v>
      </c>
      <c r="BB22">
        <f>BB21/2</f>
        <v>0.5</v>
      </c>
      <c r="BF22" t="s">
        <v>139</v>
      </c>
      <c r="BG22">
        <v>2017</v>
      </c>
      <c r="BH22" s="96">
        <f>'Vehicle price'!T13</f>
        <v>30</v>
      </c>
      <c r="BI22" s="61">
        <f t="shared" ref="BI22:BI33" si="32">AVERAGE(BH21:BH23)*32/BH$22</f>
        <v>32.630288415983586</v>
      </c>
      <c r="BJ22" s="96">
        <v>0</v>
      </c>
      <c r="BK22" s="96">
        <f t="shared" si="16"/>
        <v>32.630288415983586</v>
      </c>
      <c r="BL22">
        <f t="shared" si="9"/>
        <v>22.2</v>
      </c>
      <c r="BM22" s="3">
        <f t="shared" si="10"/>
        <v>14.6</v>
      </c>
      <c r="BN22" s="3">
        <f>BL22+BM22</f>
        <v>36.799999999999997</v>
      </c>
      <c r="BO22" s="13">
        <f t="shared" si="17"/>
        <v>0.88669261999955407</v>
      </c>
      <c r="BP22" s="13">
        <f t="shared" si="18"/>
        <v>0.90378508170704053</v>
      </c>
    </row>
    <row r="23" spans="1:68">
      <c r="A23">
        <v>2018</v>
      </c>
      <c r="B23" s="83">
        <v>28</v>
      </c>
      <c r="C23" s="83">
        <f t="shared" si="7"/>
        <v>23.496806515614168</v>
      </c>
      <c r="D23" s="83">
        <f t="shared" si="6"/>
        <v>3.5456585504162064</v>
      </c>
      <c r="E23" s="12">
        <f t="shared" si="3"/>
        <v>20.528271313648382</v>
      </c>
      <c r="F23" s="12">
        <f>C66</f>
        <v>48.528271313648382</v>
      </c>
      <c r="G23" s="84">
        <f t="shared" si="11"/>
        <v>48.613157762113936</v>
      </c>
      <c r="H23" s="84">
        <f t="shared" si="1"/>
        <v>48.613157762113936</v>
      </c>
      <c r="I23" s="84">
        <f t="shared" si="4"/>
        <v>48.613157762113936</v>
      </c>
      <c r="J23" s="84">
        <f t="shared" si="31"/>
        <v>48.613157762113936</v>
      </c>
      <c r="K23" s="230">
        <f>P23-SUM(L$17:L23)</f>
        <v>1.0874155198648019</v>
      </c>
      <c r="L23" s="13">
        <f t="shared" si="27"/>
        <v>0</v>
      </c>
      <c r="M23" s="13">
        <f t="shared" si="28"/>
        <v>0</v>
      </c>
      <c r="N23" s="230">
        <f t="shared" si="29"/>
        <v>-0.53180442723397781</v>
      </c>
      <c r="O23" s="13">
        <v>0</v>
      </c>
      <c r="P23" s="13">
        <f t="shared" si="30"/>
        <v>1.0874155198648019</v>
      </c>
      <c r="Q23" s="84"/>
      <c r="R23" s="84">
        <f t="shared" si="23"/>
        <v>48.613157762113936</v>
      </c>
      <c r="S23" s="84">
        <f t="shared" si="24"/>
        <v>48.613157762113936</v>
      </c>
      <c r="T23" s="13">
        <f t="shared" si="25"/>
        <v>2017.7838231734736</v>
      </c>
      <c r="U23" s="13">
        <f t="shared" si="26"/>
        <v>2010.845508486723</v>
      </c>
      <c r="V23" s="13">
        <f>1/'Norway with subs'!R85</f>
        <v>0.44045867182980664</v>
      </c>
      <c r="W23" s="84"/>
      <c r="X23">
        <v>2018</v>
      </c>
      <c r="Y23" s="13">
        <v>48.613157762113936</v>
      </c>
      <c r="Z23" s="84">
        <v>48.613157762113936</v>
      </c>
      <c r="AA23" s="13">
        <v>48.613157762113936</v>
      </c>
      <c r="AC23">
        <v>2018</v>
      </c>
      <c r="AD23" s="13">
        <v>48.613157762113936</v>
      </c>
      <c r="AE23" s="13">
        <f t="shared" si="21"/>
        <v>48.613157762113936</v>
      </c>
      <c r="AF23" s="13">
        <v>48.613157762113936</v>
      </c>
      <c r="AG23" s="84"/>
      <c r="AH23" s="84"/>
      <c r="AI23" s="13">
        <f>65*EXP(AM23)/(1+EXP(AM23))</f>
        <v>48.613157762113936</v>
      </c>
      <c r="AL23" s="14">
        <f t="shared" si="13"/>
        <v>1.0805010434114337</v>
      </c>
      <c r="AM23">
        <f t="shared" si="14"/>
        <v>1.0874155198648019</v>
      </c>
      <c r="AN23">
        <f t="shared" si="0"/>
        <v>1.0874155198648019</v>
      </c>
      <c r="AO23" s="84">
        <f t="shared" si="5"/>
        <v>1.0874155198648019</v>
      </c>
      <c r="AP23" s="3">
        <v>9</v>
      </c>
      <c r="AQ23" s="3">
        <v>0</v>
      </c>
      <c r="AR23" s="3"/>
      <c r="AU23" s="3">
        <f>'Range acceptance'!O13</f>
        <v>52.552942203611181</v>
      </c>
      <c r="AZ23" s="15">
        <f>AZ22+(AZ35-AZ22)/13</f>
        <v>3714.8328350504398</v>
      </c>
      <c r="BA23">
        <f>470/2</f>
        <v>235</v>
      </c>
      <c r="BB23" s="21">
        <f>BB22+(BB35-BB22)/13</f>
        <v>0.46153846153846156</v>
      </c>
      <c r="BG23">
        <v>2018</v>
      </c>
      <c r="BH23" s="3">
        <f>'Vehicle price'!T14</f>
        <v>30.592100851060948</v>
      </c>
      <c r="BI23" s="61">
        <f t="shared" si="32"/>
        <v>32.627589299390173</v>
      </c>
      <c r="BJ23" s="3">
        <v>0</v>
      </c>
      <c r="BK23" s="3">
        <f t="shared" si="16"/>
        <v>32.627589299390173</v>
      </c>
      <c r="BL23">
        <f t="shared" si="9"/>
        <v>22.2</v>
      </c>
      <c r="BM23" s="3">
        <f t="shared" si="10"/>
        <v>14.6</v>
      </c>
      <c r="BN23" s="3">
        <f t="shared" ref="BN23:BN35" si="33">BL23+BM23</f>
        <v>36.799999999999997</v>
      </c>
      <c r="BO23" s="13">
        <f t="shared" si="17"/>
        <v>0.88661927443995048</v>
      </c>
      <c r="BP23" s="13">
        <f t="shared" si="18"/>
        <v>0.88669261999955407</v>
      </c>
    </row>
    <row r="24" spans="1:68">
      <c r="A24">
        <v>2019</v>
      </c>
      <c r="B24" s="97">
        <v>35</v>
      </c>
      <c r="C24" s="12">
        <f t="shared" si="7"/>
        <v>27.14744125753775</v>
      </c>
      <c r="D24" s="12">
        <f t="shared" si="6"/>
        <v>3.6506347419235823</v>
      </c>
      <c r="E24" s="97">
        <v>20</v>
      </c>
      <c r="G24" s="84">
        <f t="shared" si="11"/>
        <v>55.369953598215368</v>
      </c>
      <c r="H24" s="84">
        <f t="shared" si="1"/>
        <v>55.369953598215368</v>
      </c>
      <c r="I24" s="84">
        <f>AVERAGE(J23:J25)</f>
        <v>54.54352743116096</v>
      </c>
      <c r="J24" s="84">
        <f t="shared" si="31"/>
        <v>55.369953598215368</v>
      </c>
      <c r="K24" s="230">
        <f>P24-SUM(L$17:L24)</f>
        <v>1.7491490485434116</v>
      </c>
      <c r="L24" s="13">
        <f t="shared" si="27"/>
        <v>0</v>
      </c>
      <c r="M24" s="13">
        <f t="shared" si="28"/>
        <v>0</v>
      </c>
      <c r="N24" s="230">
        <f t="shared" si="29"/>
        <v>-0.48047883470367519</v>
      </c>
      <c r="O24" s="13">
        <v>0</v>
      </c>
      <c r="P24" s="13">
        <f>LN(R24/(65-R24))</f>
        <v>1.7491490485434116</v>
      </c>
      <c r="Q24" s="84"/>
      <c r="R24" s="84">
        <f t="shared" si="23"/>
        <v>55.369953598215368</v>
      </c>
      <c r="S24" s="84">
        <f t="shared" si="24"/>
        <v>55.369953598215368</v>
      </c>
      <c r="T24" s="13">
        <f t="shared" si="25"/>
        <v>2018.6177760929666</v>
      </c>
      <c r="U24" s="13">
        <f t="shared" si="26"/>
        <v>2011.0115555672301</v>
      </c>
      <c r="V24" s="13">
        <f>1/'Norway with subs'!R86</f>
        <v>0.45585634958889742</v>
      </c>
      <c r="W24" s="84"/>
      <c r="X24">
        <v>2019</v>
      </c>
      <c r="Y24" s="13">
        <v>55.369953598215368</v>
      </c>
      <c r="Z24" s="84">
        <v>55.369953598215368</v>
      </c>
      <c r="AA24" s="13">
        <v>55.369953598215368</v>
      </c>
      <c r="AC24">
        <v>2019</v>
      </c>
      <c r="AD24" s="13">
        <v>48.613157762113936</v>
      </c>
      <c r="AE24" s="13">
        <f t="shared" si="21"/>
        <v>55.369953598215368</v>
      </c>
      <c r="AF24" s="13">
        <v>55.369953598215368</v>
      </c>
      <c r="AG24" s="84"/>
      <c r="AH24" s="84"/>
      <c r="AI24" s="13">
        <f t="shared" ref="AI24:AI55" si="34">65*EXP(AM24)/(1+EXP(AM24))</f>
        <v>55.369953598215368</v>
      </c>
      <c r="AM24">
        <f t="shared" si="14"/>
        <v>1.7491490485434111</v>
      </c>
      <c r="AN24">
        <f t="shared" si="0"/>
        <v>1.7491490485434111</v>
      </c>
      <c r="AO24" s="84">
        <f t="shared" si="5"/>
        <v>1.7491490485434114</v>
      </c>
      <c r="AP24" s="3">
        <v>10</v>
      </c>
      <c r="AQ24" s="3">
        <v>0</v>
      </c>
      <c r="AR24" s="3"/>
      <c r="AU24" s="3">
        <f>'Range acceptance'!O14</f>
        <v>64.645171970811603</v>
      </c>
      <c r="AZ24" s="15">
        <f>AZ23+(AZ35-AZ22)/13</f>
        <v>3514.0310601828487</v>
      </c>
      <c r="BA24">
        <f>470/2</f>
        <v>235</v>
      </c>
      <c r="BB24" s="21">
        <f>BB23+(BB35-BB22)/13</f>
        <v>0.42307692307692313</v>
      </c>
      <c r="BG24">
        <v>2019</v>
      </c>
      <c r="BH24" s="3">
        <f>'Vehicle price'!T15</f>
        <v>31.172994053473918</v>
      </c>
      <c r="BI24" s="61">
        <f t="shared" si="32"/>
        <v>32.978132632163536</v>
      </c>
      <c r="BJ24" s="3">
        <v>0</v>
      </c>
      <c r="BK24" s="3">
        <f t="shared" si="16"/>
        <v>32.978132632163536</v>
      </c>
      <c r="BL24">
        <f t="shared" si="9"/>
        <v>22.2</v>
      </c>
      <c r="BM24" s="3">
        <f t="shared" si="10"/>
        <v>14.6</v>
      </c>
      <c r="BN24" s="3">
        <f t="shared" si="33"/>
        <v>36.799999999999997</v>
      </c>
      <c r="BO24" s="13">
        <f t="shared" si="17"/>
        <v>0.89614490848270489</v>
      </c>
      <c r="BP24" s="13">
        <f t="shared" si="18"/>
        <v>0.88661927443995048</v>
      </c>
    </row>
    <row r="25" spans="1:68">
      <c r="A25">
        <v>2020</v>
      </c>
      <c r="G25" s="84">
        <f t="shared" si="11"/>
        <v>59.647470933153592</v>
      </c>
      <c r="H25" s="84">
        <f t="shared" si="1"/>
        <v>59.647470933153592</v>
      </c>
      <c r="I25" s="84">
        <f t="shared" ref="I25:I55" si="35">AVERAGE(J23:J27)</f>
        <v>53.594387531671408</v>
      </c>
      <c r="J25" s="84">
        <f t="shared" si="31"/>
        <v>59.647470933153592</v>
      </c>
      <c r="K25" s="230">
        <f>P25-SUM(L$17:L25)</f>
        <v>2.4108825772220217</v>
      </c>
      <c r="L25" s="13">
        <f t="shared" si="27"/>
        <v>0</v>
      </c>
      <c r="M25" s="13">
        <f t="shared" si="28"/>
        <v>0</v>
      </c>
      <c r="N25" s="230">
        <f t="shared" si="29"/>
        <v>-0.40386973096153006</v>
      </c>
      <c r="O25" s="13">
        <v>0</v>
      </c>
      <c r="P25" s="13">
        <f t="shared" si="30"/>
        <v>2.4108825772220217</v>
      </c>
      <c r="Q25" s="84"/>
      <c r="R25" s="84">
        <f>S25</f>
        <v>59.647470933153592</v>
      </c>
      <c r="S25" s="84">
        <f t="shared" si="24"/>
        <v>59.647470933153592</v>
      </c>
      <c r="T25" s="20">
        <f>A25-(U25-U$17)+0.15</f>
        <v>2019.5199325243</v>
      </c>
      <c r="U25" s="13">
        <f t="shared" si="26"/>
        <v>2011.2593991358967</v>
      </c>
      <c r="V25" s="13">
        <f>1/'Norway with subs'!R87</f>
        <v>0.47883908071154097</v>
      </c>
      <c r="W25" s="84"/>
      <c r="X25">
        <v>2020</v>
      </c>
      <c r="Y25" s="13">
        <v>59.647470933153592</v>
      </c>
      <c r="Z25" s="84">
        <v>59.647470933153592</v>
      </c>
      <c r="AA25" s="13">
        <v>55.369953598215368</v>
      </c>
      <c r="AC25">
        <v>2020</v>
      </c>
      <c r="AD25" s="13">
        <v>55.369953598215368</v>
      </c>
      <c r="AE25" s="13">
        <f t="shared" si="21"/>
        <v>59.647470933153592</v>
      </c>
      <c r="AF25" s="13">
        <v>59.647470933153592</v>
      </c>
      <c r="AG25" s="84"/>
      <c r="AH25" s="84"/>
      <c r="AI25" s="13">
        <f t="shared" si="34"/>
        <v>59.647470933153592</v>
      </c>
      <c r="AM25">
        <f t="shared" si="14"/>
        <v>2.4108825772220213</v>
      </c>
      <c r="AN25">
        <f t="shared" si="0"/>
        <v>2.4108825772220213</v>
      </c>
      <c r="AO25" s="84">
        <f t="shared" si="5"/>
        <v>2.4108825772220208</v>
      </c>
      <c r="AP25" s="3">
        <v>11</v>
      </c>
      <c r="AQ25" s="3">
        <v>0</v>
      </c>
      <c r="AU25" s="3">
        <f>'Range acceptance'!O15</f>
        <v>74.917298113344003</v>
      </c>
      <c r="AZ25" s="15">
        <f>AZ24+(AZ35-AZ22)/13</f>
        <v>3313.2292853152576</v>
      </c>
      <c r="BA25">
        <v>0</v>
      </c>
      <c r="BB25" s="21">
        <f>BB24+(BB35-BB22)/13</f>
        <v>0.38461538461538469</v>
      </c>
      <c r="BG25">
        <v>2020</v>
      </c>
      <c r="BH25" s="3">
        <f>'Vehicle price'!T16</f>
        <v>30.985903123425071</v>
      </c>
      <c r="BI25" s="61">
        <f t="shared" si="32"/>
        <v>32.841104362665526</v>
      </c>
      <c r="BJ25" s="3">
        <v>0</v>
      </c>
      <c r="BK25" s="3">
        <f t="shared" si="16"/>
        <v>32.841104362665526</v>
      </c>
      <c r="BL25">
        <f t="shared" si="9"/>
        <v>22.2</v>
      </c>
      <c r="BM25" s="3">
        <f t="shared" si="10"/>
        <v>14.6</v>
      </c>
      <c r="BN25" s="3">
        <f t="shared" si="33"/>
        <v>36.799999999999997</v>
      </c>
      <c r="BO25" s="13">
        <f t="shared" si="17"/>
        <v>0.89242131420286763</v>
      </c>
      <c r="BP25" s="13">
        <f t="shared" si="18"/>
        <v>0.89614490848270489</v>
      </c>
    </row>
    <row r="26" spans="1:68">
      <c r="A26">
        <v>2021</v>
      </c>
      <c r="G26" s="84">
        <f t="shared" si="11"/>
        <v>62.123681562857406</v>
      </c>
      <c r="H26" s="84">
        <f t="shared" si="1"/>
        <v>62.123681562857406</v>
      </c>
      <c r="I26" s="84">
        <f t="shared" si="35"/>
        <v>55.17497197083776</v>
      </c>
      <c r="J26" s="84">
        <f t="shared" si="31"/>
        <v>48.077248062780114</v>
      </c>
      <c r="K26" s="230">
        <f>P26-SUM(L$17:L26)</f>
        <v>1.0441500669611474</v>
      </c>
      <c r="L26" s="13">
        <f t="shared" si="27"/>
        <v>4.326545290365455E-2</v>
      </c>
      <c r="M26" s="13">
        <f t="shared" si="28"/>
        <v>0.21632726451827272</v>
      </c>
      <c r="N26" s="230">
        <f t="shared" si="29"/>
        <v>0.21632726451827272</v>
      </c>
      <c r="O26" s="89">
        <v>0.2</v>
      </c>
      <c r="P26" s="13">
        <f t="shared" si="30"/>
        <v>1.0874155198648019</v>
      </c>
      <c r="Q26" s="84"/>
      <c r="R26" s="84">
        <f>S26</f>
        <v>48.613157762113936</v>
      </c>
      <c r="S26" s="84">
        <f t="shared" si="24"/>
        <v>48.613157762113936</v>
      </c>
      <c r="T26" s="13">
        <f t="shared" ref="T26:T60" si="36">A26-(U26-U$17)</f>
        <v>2018.3634890452925</v>
      </c>
      <c r="U26" s="13">
        <f t="shared" si="26"/>
        <v>2013.2658426149042</v>
      </c>
      <c r="V26" s="13">
        <f>1/'Norway with subs'!R88</f>
        <v>0.66489817935548179</v>
      </c>
      <c r="W26" s="84"/>
      <c r="X26">
        <v>2021</v>
      </c>
      <c r="Y26" s="13">
        <v>55.127442099908357</v>
      </c>
      <c r="Z26" s="84">
        <v>48.077248062780114</v>
      </c>
      <c r="AA26" s="13">
        <v>47.966350089588907</v>
      </c>
      <c r="AC26">
        <v>2021</v>
      </c>
      <c r="AD26" s="13">
        <v>47.501210201424591</v>
      </c>
      <c r="AE26" s="13">
        <f t="shared" si="21"/>
        <v>48.077248062780114</v>
      </c>
      <c r="AF26" s="13">
        <v>55.369953598215368</v>
      </c>
      <c r="AG26" s="84"/>
      <c r="AH26" s="84"/>
      <c r="AI26" s="13">
        <f t="shared" si="34"/>
        <v>62.123681562857406</v>
      </c>
      <c r="AM26">
        <f t="shared" si="14"/>
        <v>3.0726161059006305</v>
      </c>
      <c r="AN26">
        <f t="shared" si="0"/>
        <v>3.0726161059006305</v>
      </c>
      <c r="AO26" s="84">
        <f t="shared" si="5"/>
        <v>3.0726161059006305</v>
      </c>
      <c r="AP26" s="3">
        <v>12</v>
      </c>
      <c r="AQ26" s="3">
        <v>0</v>
      </c>
      <c r="AU26" s="3">
        <f>'Range acceptance'!O16</f>
        <v>84.067732487185665</v>
      </c>
      <c r="AZ26" s="15">
        <f>AZ25+(AZ35-AZ22)/13</f>
        <v>3112.4275104476665</v>
      </c>
      <c r="BA26">
        <v>0</v>
      </c>
      <c r="BB26" s="21">
        <f>BB25+(BB35-BB22)/13</f>
        <v>0.34615384615384626</v>
      </c>
      <c r="BG26">
        <v>2021</v>
      </c>
      <c r="BH26" s="3">
        <f>'Vehicle price'!T17</f>
        <v>30.206708843097807</v>
      </c>
      <c r="BI26" s="61">
        <f t="shared" si="32"/>
        <v>32.652468127722898</v>
      </c>
      <c r="BJ26" s="3">
        <v>0</v>
      </c>
      <c r="BK26" s="3">
        <f t="shared" si="16"/>
        <v>32.652468127722898</v>
      </c>
      <c r="BL26">
        <f t="shared" si="9"/>
        <v>22.2</v>
      </c>
      <c r="BM26" s="3">
        <f t="shared" si="10"/>
        <v>14.6</v>
      </c>
      <c r="BN26" s="3">
        <f t="shared" si="33"/>
        <v>36.799999999999997</v>
      </c>
      <c r="BO26" s="13">
        <f t="shared" si="17"/>
        <v>0.88729532955768753</v>
      </c>
      <c r="BP26" s="13">
        <f t="shared" si="18"/>
        <v>0.89242131420286763</v>
      </c>
    </row>
    <row r="27" spans="1:68">
      <c r="A27">
        <v>2022</v>
      </c>
      <c r="G27" s="84">
        <f t="shared" si="11"/>
        <v>63.483462457791383</v>
      </c>
      <c r="H27" s="84">
        <f t="shared" si="1"/>
        <v>63.483462457791383</v>
      </c>
      <c r="I27" s="84">
        <f t="shared" si="35"/>
        <v>56.098202810718718</v>
      </c>
      <c r="J27" s="84">
        <f t="shared" si="31"/>
        <v>56.264107302094025</v>
      </c>
      <c r="K27" s="230">
        <f>P27-SUM(L$17:L27)</f>
        <v>1.8626166699437625</v>
      </c>
      <c r="L27" s="13">
        <f t="shared" si="27"/>
        <v>6.9230351141026686E-2</v>
      </c>
      <c r="M27" s="13">
        <f t="shared" si="28"/>
        <v>0.3461517557051334</v>
      </c>
      <c r="N27" s="230">
        <f t="shared" si="29"/>
        <v>0.3461517557051334</v>
      </c>
      <c r="O27" s="20">
        <f>O26+(O45-O26)/19</f>
        <v>0.2</v>
      </c>
      <c r="P27" s="13">
        <f t="shared" si="30"/>
        <v>1.9751124739884438</v>
      </c>
      <c r="Q27" s="84"/>
      <c r="R27" s="84">
        <f>AVERAGE(S25:S29)</f>
        <v>57.080346957898783</v>
      </c>
      <c r="S27" s="84">
        <f t="shared" si="24"/>
        <v>55.369953598215368</v>
      </c>
      <c r="T27" s="13">
        <f t="shared" si="36"/>
        <v>2018.9434845859741</v>
      </c>
      <c r="U27" s="13">
        <f t="shared" si="26"/>
        <v>2013.6858470742225</v>
      </c>
      <c r="V27" s="13">
        <f>1/'Norway with subs'!R89</f>
        <v>0.70384552671153999</v>
      </c>
      <c r="W27" s="84"/>
      <c r="X27">
        <v>2022</v>
      </c>
      <c r="Y27" s="13">
        <v>57.922722042841244</v>
      </c>
      <c r="Z27" s="84">
        <v>56.264107302094025</v>
      </c>
      <c r="AA27" s="13">
        <v>55.175956218055035</v>
      </c>
      <c r="AC27">
        <v>2022</v>
      </c>
      <c r="AD27" s="13">
        <v>51.299404265649372</v>
      </c>
      <c r="AE27" s="13">
        <f t="shared" si="21"/>
        <v>56.264107302094025</v>
      </c>
      <c r="AF27" s="13">
        <v>60.164846880133439</v>
      </c>
      <c r="AG27" s="84"/>
      <c r="AH27" s="84"/>
      <c r="AI27" s="13">
        <f t="shared" si="34"/>
        <v>63.483462457791383</v>
      </c>
      <c r="AM27">
        <f t="shared" si="14"/>
        <v>3.7343496345792397</v>
      </c>
      <c r="AN27">
        <f t="shared" si="0"/>
        <v>3.7343496345792397</v>
      </c>
      <c r="AO27" s="84">
        <f t="shared" si="5"/>
        <v>3.7343496345792402</v>
      </c>
      <c r="AP27" s="3">
        <v>13</v>
      </c>
      <c r="AQ27" s="3">
        <v>0</v>
      </c>
      <c r="AU27" s="3">
        <f>'Range acceptance'!O17</f>
        <v>93.343337407191342</v>
      </c>
      <c r="AZ27" s="15">
        <f>AZ26+(AZ35-AZ22)/13</f>
        <v>2911.6257355800753</v>
      </c>
      <c r="BA27">
        <v>0</v>
      </c>
      <c r="BB27" s="21">
        <f>BB26+(BB35-BB22)/13</f>
        <v>0.30769230769230782</v>
      </c>
      <c r="BG27">
        <v>2022</v>
      </c>
      <c r="BH27" s="3">
        <f>'Vehicle price'!T18</f>
        <v>30.642454642697771</v>
      </c>
      <c r="BI27" s="61">
        <f t="shared" si="32"/>
        <v>32.430474575504562</v>
      </c>
      <c r="BJ27" s="3">
        <v>0</v>
      </c>
      <c r="BK27" s="3">
        <f t="shared" si="16"/>
        <v>32.430474575504562</v>
      </c>
      <c r="BL27">
        <f t="shared" si="9"/>
        <v>22.2</v>
      </c>
      <c r="BM27" s="3">
        <f t="shared" si="10"/>
        <v>14.6</v>
      </c>
      <c r="BN27" s="3">
        <f t="shared" si="33"/>
        <v>36.799999999999997</v>
      </c>
      <c r="BO27" s="13">
        <f t="shared" si="17"/>
        <v>0.88126289607349362</v>
      </c>
      <c r="BP27" s="13">
        <f t="shared" si="18"/>
        <v>0.88729532955768753</v>
      </c>
    </row>
    <row r="28" spans="1:68">
      <c r="A28">
        <v>2023</v>
      </c>
      <c r="G28" s="84">
        <f t="shared" si="11"/>
        <v>64.208595508841753</v>
      </c>
      <c r="H28" s="84">
        <f t="shared" si="1"/>
        <v>64.208595508841753</v>
      </c>
      <c r="I28" s="84">
        <f t="shared" si="35"/>
        <v>56.617526616246678</v>
      </c>
      <c r="J28" s="84">
        <f t="shared" si="31"/>
        <v>56.516079957945678</v>
      </c>
      <c r="K28" s="230">
        <f>P28-SUM(L$17:L28)</f>
        <v>1.8963525865862503</v>
      </c>
      <c r="L28" s="13">
        <f t="shared" si="27"/>
        <v>8.1507011644194355E-2</v>
      </c>
      <c r="M28" s="13">
        <f t="shared" si="28"/>
        <v>0.40753505822097175</v>
      </c>
      <c r="N28" s="230">
        <f t="shared" si="29"/>
        <v>0.40753505822097175</v>
      </c>
      <c r="O28" s="20">
        <f>O27+(O45-O26)/19</f>
        <v>0.2</v>
      </c>
      <c r="P28" s="13">
        <f t="shared" si="30"/>
        <v>2.0903554022751258</v>
      </c>
      <c r="Q28" s="84"/>
      <c r="R28" s="84">
        <f t="shared" ref="R28:R58" si="37">AVERAGE(S26:S30)</f>
        <v>57.847545262826337</v>
      </c>
      <c r="S28" s="84">
        <f t="shared" si="24"/>
        <v>59.647470933153592</v>
      </c>
      <c r="T28" s="13">
        <f t="shared" si="36"/>
        <v>2019.7448990914449</v>
      </c>
      <c r="U28" s="13">
        <f t="shared" si="26"/>
        <v>2013.8844325687517</v>
      </c>
      <c r="V28" s="13">
        <f>1/'Norway with subs'!R90</f>
        <v>0.7222605174662915</v>
      </c>
      <c r="W28" s="84"/>
      <c r="X28">
        <v>2023</v>
      </c>
      <c r="Y28" s="13">
        <v>58.526651289207187</v>
      </c>
      <c r="Z28" s="84">
        <v>56.516079957945678</v>
      </c>
      <c r="AA28" s="13">
        <v>56.28883768542962</v>
      </c>
      <c r="AC28">
        <v>2023</v>
      </c>
      <c r="AD28" s="13">
        <v>51.218046449341131</v>
      </c>
      <c r="AE28" s="13">
        <f t="shared" si="21"/>
        <v>56.516079957945678</v>
      </c>
      <c r="AF28" s="13">
        <v>61.140413000427543</v>
      </c>
      <c r="AG28" s="84"/>
      <c r="AH28" s="84"/>
      <c r="AI28" s="13">
        <f t="shared" si="34"/>
        <v>64.208595508841753</v>
      </c>
      <c r="AM28">
        <f t="shared" si="14"/>
        <v>4.3960831632578499</v>
      </c>
      <c r="AN28">
        <f t="shared" si="0"/>
        <v>4.3960831632578499</v>
      </c>
      <c r="AO28" s="84">
        <f t="shared" si="5"/>
        <v>4.396083163257849</v>
      </c>
      <c r="AP28" s="3">
        <v>14</v>
      </c>
      <c r="AQ28" s="3">
        <v>0</v>
      </c>
      <c r="AU28" s="3">
        <f>'Range acceptance'!O18</f>
        <v>98.879586689447336</v>
      </c>
      <c r="AZ28" s="15">
        <f>AZ27+(AZ35-AZ22)/13</f>
        <v>2710.8239607124842</v>
      </c>
      <c r="BA28">
        <v>0</v>
      </c>
      <c r="BB28" s="21">
        <f>BB27+(BB35-BB22)/13</f>
        <v>0.26923076923076938</v>
      </c>
      <c r="BG28">
        <v>2023</v>
      </c>
      <c r="BH28" s="3">
        <f>'Vehicle price'!T19</f>
        <v>30.361546257811007</v>
      </c>
      <c r="BI28" s="61">
        <f t="shared" si="32"/>
        <v>32.099428034835064</v>
      </c>
      <c r="BJ28" s="3">
        <v>0</v>
      </c>
      <c r="BK28" s="3">
        <f t="shared" si="16"/>
        <v>32.099428034835064</v>
      </c>
      <c r="BL28">
        <f t="shared" si="9"/>
        <v>22.2</v>
      </c>
      <c r="BM28" s="3">
        <f t="shared" si="10"/>
        <v>14.6</v>
      </c>
      <c r="BN28" s="3">
        <f t="shared" si="33"/>
        <v>36.799999999999997</v>
      </c>
      <c r="BO28" s="13">
        <f t="shared" si="17"/>
        <v>0.87226706616399641</v>
      </c>
      <c r="BP28" s="13">
        <f t="shared" si="18"/>
        <v>0.88126289607349362</v>
      </c>
    </row>
    <row r="29" spans="1:68">
      <c r="A29">
        <v>2024</v>
      </c>
      <c r="G29" s="84">
        <f t="shared" si="11"/>
        <v>64.589249257811147</v>
      </c>
      <c r="H29" s="84">
        <f t="shared" si="1"/>
        <v>64.589249257811147</v>
      </c>
      <c r="I29" s="84">
        <f t="shared" si="35"/>
        <v>59.719999901969935</v>
      </c>
      <c r="J29" s="84">
        <f t="shared" si="31"/>
        <v>59.986107797620143</v>
      </c>
      <c r="K29" s="230">
        <f>P29-SUM(L$17:L29)</f>
        <v>2.4819004985279367</v>
      </c>
      <c r="L29" s="13">
        <f t="shared" si="27"/>
        <v>6.0125433881716178E-2</v>
      </c>
      <c r="M29" s="13">
        <f t="shared" si="28"/>
        <v>0.30062716940858086</v>
      </c>
      <c r="N29" s="230">
        <f t="shared" si="29"/>
        <v>0.30062716940858086</v>
      </c>
      <c r="O29" s="20">
        <f>O28+(O45-O26)/19</f>
        <v>0.2</v>
      </c>
      <c r="P29" s="13">
        <f t="shared" si="30"/>
        <v>2.7360287480985286</v>
      </c>
      <c r="Q29" s="84"/>
      <c r="R29" s="84">
        <f t="shared" si="37"/>
        <v>61.042763561965771</v>
      </c>
      <c r="S29" s="84">
        <f t="shared" si="24"/>
        <v>62.123681562857406</v>
      </c>
      <c r="T29" s="13">
        <f t="shared" si="36"/>
        <v>2021.090764417987</v>
      </c>
      <c r="U29" s="13">
        <f t="shared" si="26"/>
        <v>2013.5385672422096</v>
      </c>
      <c r="V29" s="13">
        <f>1/'Norway with subs'!R91</f>
        <v>0.69018815082257423</v>
      </c>
      <c r="W29" s="84"/>
      <c r="X29">
        <v>2024</v>
      </c>
      <c r="Y29" s="13">
        <v>60.433781290636297</v>
      </c>
      <c r="Z29" s="84">
        <v>59.986107797620143</v>
      </c>
      <c r="AA29" s="13">
        <v>59.69379631401145</v>
      </c>
      <c r="AC29">
        <v>2024</v>
      </c>
      <c r="AD29" s="13">
        <v>53.758758766679129</v>
      </c>
      <c r="AE29" s="13">
        <f t="shared" si="21"/>
        <v>59.986107797620143</v>
      </c>
      <c r="AF29" s="13">
        <v>63.046566643872673</v>
      </c>
      <c r="AG29" s="84"/>
      <c r="AH29" s="84"/>
      <c r="AI29" s="13">
        <f t="shared" si="34"/>
        <v>64.589249257811147</v>
      </c>
      <c r="AM29">
        <f t="shared" si="14"/>
        <v>5.0578166919364582</v>
      </c>
      <c r="AN29">
        <f t="shared" si="0"/>
        <v>5.0578166919364582</v>
      </c>
      <c r="AO29" s="84">
        <f t="shared" si="5"/>
        <v>5.0578166919364591</v>
      </c>
      <c r="AP29" s="3">
        <v>15</v>
      </c>
      <c r="AQ29" s="3">
        <v>0</v>
      </c>
      <c r="AU29" s="3">
        <f>'Range acceptance'!O19</f>
        <v>98.879586689447336</v>
      </c>
      <c r="AZ29" s="15">
        <f>AZ28+(AZ35-AZ22)/13</f>
        <v>2510.0221858448931</v>
      </c>
      <c r="BA29">
        <v>0</v>
      </c>
      <c r="BB29" s="21">
        <f>BB28+(BB35-BB22)/13</f>
        <v>0.23076923076923092</v>
      </c>
      <c r="BG29">
        <v>2024</v>
      </c>
      <c r="BH29" s="3">
        <f>'Vehicle price'!T20</f>
        <v>29.275640447464834</v>
      </c>
      <c r="BI29" s="61">
        <f t="shared" si="32"/>
        <v>31.281977789942101</v>
      </c>
      <c r="BJ29" s="20">
        <f t="shared" ref="BJ29:BJ35" si="38">BK29-BI29</f>
        <v>0.8174502448929637</v>
      </c>
      <c r="BK29" s="3">
        <f>BN29*BO29</f>
        <v>32.099428034835064</v>
      </c>
      <c r="BL29">
        <f t="shared" si="9"/>
        <v>22.2</v>
      </c>
      <c r="BM29" s="3">
        <f t="shared" si="10"/>
        <v>14.6</v>
      </c>
      <c r="BN29" s="3">
        <f t="shared" si="33"/>
        <v>36.799999999999997</v>
      </c>
      <c r="BO29" s="20">
        <f>BO28</f>
        <v>0.87226706616399641</v>
      </c>
      <c r="BP29" s="13">
        <f t="shared" si="18"/>
        <v>0.87226706616399641</v>
      </c>
    </row>
    <row r="30" spans="1:68">
      <c r="A30" s="14">
        <v>2025</v>
      </c>
      <c r="G30" s="84">
        <f t="shared" si="11"/>
        <v>64.78742039856111</v>
      </c>
      <c r="H30" s="84">
        <f t="shared" si="1"/>
        <v>64.78742039856111</v>
      </c>
      <c r="I30" s="94">
        <f>AVERAGE(J28:J32)</f>
        <v>61.337426565441191</v>
      </c>
      <c r="J30" s="93">
        <f t="shared" si="31"/>
        <v>62.244089960793424</v>
      </c>
      <c r="K30" s="230">
        <f>P30-SUM(L$17:L30)</f>
        <v>3.1173158796274985</v>
      </c>
      <c r="L30" s="13">
        <f t="shared" si="27"/>
        <v>4.1164161961179335E-2</v>
      </c>
      <c r="M30" s="13">
        <f t="shared" si="28"/>
        <v>0.20582080980589668</v>
      </c>
      <c r="N30" s="230">
        <f t="shared" si="29"/>
        <v>0.20582080980589668</v>
      </c>
      <c r="O30" s="20">
        <f>O29+(O45-O26)/19</f>
        <v>0.2</v>
      </c>
      <c r="P30" s="13">
        <f t="shared" si="30"/>
        <v>3.4126082911592697</v>
      </c>
      <c r="Q30" s="84"/>
      <c r="R30" s="84">
        <f t="shared" si="37"/>
        <v>62.926256922034931</v>
      </c>
      <c r="S30" s="84">
        <f t="shared" si="24"/>
        <v>63.483462457791383</v>
      </c>
      <c r="T30" s="13">
        <f t="shared" si="36"/>
        <v>2022.3974792253462</v>
      </c>
      <c r="U30" s="13">
        <f t="shared" si="26"/>
        <v>2013.2318524348505</v>
      </c>
      <c r="V30" s="13">
        <f>1/'Norway with subs'!R92</f>
        <v>0.66174624294176898</v>
      </c>
      <c r="W30" s="84"/>
      <c r="X30" s="87">
        <v>2025</v>
      </c>
      <c r="Y30" s="13">
        <v>62.617453900978219</v>
      </c>
      <c r="Z30" s="84">
        <v>62.244089960793424</v>
      </c>
      <c r="AA30" s="89">
        <v>61.998452355210276</v>
      </c>
      <c r="AC30" s="87">
        <v>2025</v>
      </c>
      <c r="AD30" s="13">
        <v>57.583879507430559</v>
      </c>
      <c r="AE30" s="13">
        <f t="shared" si="21"/>
        <v>62.244089960793424</v>
      </c>
      <c r="AF30" s="13">
        <v>64.119110815685474</v>
      </c>
      <c r="AG30" s="84"/>
      <c r="AH30" s="84"/>
      <c r="AI30" s="13">
        <f t="shared" si="34"/>
        <v>64.78742039856111</v>
      </c>
      <c r="AM30">
        <f t="shared" si="14"/>
        <v>5.7195502206150683</v>
      </c>
      <c r="AN30">
        <f t="shared" si="0"/>
        <v>5.7195502206150683</v>
      </c>
      <c r="AO30" s="84">
        <f t="shared" si="5"/>
        <v>5.7195502206150683</v>
      </c>
      <c r="AP30" s="3">
        <v>16</v>
      </c>
      <c r="AQ30" s="3">
        <v>0</v>
      </c>
      <c r="AU30" s="3">
        <f>'Range acceptance'!O20</f>
        <v>98.879586689447336</v>
      </c>
      <c r="AZ30" s="15">
        <f>AZ29+(AZ35-AZ22)/13</f>
        <v>2309.220410977302</v>
      </c>
      <c r="BA30">
        <v>0</v>
      </c>
      <c r="BB30" s="21">
        <f>BB29+(BB35-BB22)/13</f>
        <v>0.19230769230769246</v>
      </c>
      <c r="BG30">
        <v>2025</v>
      </c>
      <c r="BH30" s="3">
        <f>'Vehicle price'!T21</f>
        <v>28.343375828936317</v>
      </c>
      <c r="BI30" s="61">
        <f t="shared" si="32"/>
        <v>30.375568622544375</v>
      </c>
      <c r="BJ30" s="20">
        <f t="shared" si="38"/>
        <v>1.7238594122906896</v>
      </c>
      <c r="BK30" s="3">
        <f t="shared" ref="BK30:BK35" si="39">BN30*BO30</f>
        <v>32.099428034835064</v>
      </c>
      <c r="BL30">
        <f t="shared" si="9"/>
        <v>22.2</v>
      </c>
      <c r="BM30" s="3">
        <f t="shared" si="10"/>
        <v>14.6</v>
      </c>
      <c r="BN30" s="3">
        <f t="shared" si="33"/>
        <v>36.799999999999997</v>
      </c>
      <c r="BO30" s="20">
        <f t="shared" ref="BO30:BO35" si="40">BO29</f>
        <v>0.87226706616399641</v>
      </c>
      <c r="BP30" s="13">
        <f t="shared" si="18"/>
        <v>0.87226706616399641</v>
      </c>
    </row>
    <row r="31" spans="1:68">
      <c r="A31">
        <v>2026</v>
      </c>
      <c r="G31" s="84">
        <f t="shared" si="11"/>
        <v>64.890144344344137</v>
      </c>
      <c r="H31" s="84">
        <f t="shared" si="1"/>
        <v>64.890144344344137</v>
      </c>
      <c r="I31" s="94">
        <f t="shared" si="35"/>
        <v>62.987712691032719</v>
      </c>
      <c r="J31" s="84">
        <f t="shared" si="31"/>
        <v>63.589614491396411</v>
      </c>
      <c r="K31" s="230">
        <f>P31-SUM(L$17:L31)</f>
        <v>3.8085870854742696</v>
      </c>
      <c r="L31" s="13">
        <f t="shared" si="27"/>
        <v>2.9713722749370827E-2</v>
      </c>
      <c r="M31" s="13">
        <f>IF(N31&lt;0,0,N31)</f>
        <v>0.14856861374685412</v>
      </c>
      <c r="N31" s="230">
        <f t="shared" si="29"/>
        <v>0.14856861374685412</v>
      </c>
      <c r="O31" s="20">
        <f>O30+(O45-O26)/19</f>
        <v>0.2</v>
      </c>
      <c r="P31" s="13">
        <f t="shared" si="30"/>
        <v>4.1335932197554115</v>
      </c>
      <c r="Q31" s="84"/>
      <c r="R31" s="84">
        <f t="shared" si="37"/>
        <v>63.974791604273037</v>
      </c>
      <c r="S31" s="84">
        <f t="shared" si="24"/>
        <v>64.589249257811147</v>
      </c>
      <c r="T31" s="13">
        <f t="shared" si="36"/>
        <v>2023.5826998831028</v>
      </c>
      <c r="U31" s="13">
        <f t="shared" si="26"/>
        <v>2013.0466317770938</v>
      </c>
      <c r="V31" s="13">
        <f>1/'Norway with subs'!R93</f>
        <v>0.64457058412405621</v>
      </c>
      <c r="W31" s="84"/>
      <c r="X31">
        <v>2026</v>
      </c>
      <c r="Y31" s="13">
        <v>63.892138720131371</v>
      </c>
      <c r="Z31" s="84">
        <v>63.589614491396411</v>
      </c>
      <c r="AA31" s="13">
        <v>63.38848736849534</v>
      </c>
      <c r="AC31">
        <v>2026</v>
      </c>
      <c r="AD31" s="13">
        <v>60.288671099117465</v>
      </c>
      <c r="AE31" s="13">
        <f t="shared" si="21"/>
        <v>63.589614491396411</v>
      </c>
      <c r="AF31" s="13">
        <v>64.695904307696964</v>
      </c>
      <c r="AG31" s="84"/>
      <c r="AH31" s="84"/>
      <c r="AI31" s="13">
        <f t="shared" si="34"/>
        <v>64.890144344344137</v>
      </c>
      <c r="AM31">
        <f t="shared" si="14"/>
        <v>6.3812837492936785</v>
      </c>
      <c r="AN31">
        <f t="shared" si="0"/>
        <v>6.3812837492936785</v>
      </c>
      <c r="AO31" s="84">
        <f t="shared" si="5"/>
        <v>6.3812837492936785</v>
      </c>
      <c r="AP31" s="3">
        <v>17</v>
      </c>
      <c r="AQ31" s="3">
        <v>0</v>
      </c>
      <c r="AU31" s="3">
        <f>'Range acceptance'!O21</f>
        <v>98.879586689447336</v>
      </c>
      <c r="AZ31" s="15">
        <f>AZ30+(AZ35-AZ22)/13</f>
        <v>2108.4186361097109</v>
      </c>
      <c r="BA31">
        <v>0</v>
      </c>
      <c r="BB31" s="21">
        <f>BB30+(BB35-BB22)/13</f>
        <v>0.15384615384615399</v>
      </c>
      <c r="BG31">
        <v>2026</v>
      </c>
      <c r="BH31" s="3">
        <f>'Vehicle price'!T22</f>
        <v>27.812270474504896</v>
      </c>
      <c r="BI31" s="61">
        <f t="shared" si="32"/>
        <v>29.666421839471891</v>
      </c>
      <c r="BJ31" s="20">
        <f t="shared" si="38"/>
        <v>2.4330061953631734</v>
      </c>
      <c r="BK31" s="3">
        <f t="shared" si="39"/>
        <v>32.099428034835064</v>
      </c>
      <c r="BL31">
        <f t="shared" si="9"/>
        <v>22.2</v>
      </c>
      <c r="BM31" s="3">
        <f t="shared" si="10"/>
        <v>14.6</v>
      </c>
      <c r="BN31" s="3">
        <f t="shared" si="33"/>
        <v>36.799999999999997</v>
      </c>
      <c r="BO31" s="20">
        <f t="shared" si="40"/>
        <v>0.87226706616399641</v>
      </c>
      <c r="BP31" s="13">
        <f t="shared" si="18"/>
        <v>0.87226706616399641</v>
      </c>
    </row>
    <row r="32" spans="1:68">
      <c r="A32">
        <v>2027</v>
      </c>
      <c r="G32" s="84">
        <f t="shared" si="11"/>
        <v>64.943272893507597</v>
      </c>
      <c r="H32" s="84">
        <f t="shared" si="1"/>
        <v>64.943272893507597</v>
      </c>
      <c r="I32" s="94">
        <f t="shared" si="35"/>
        <v>63.966437661315773</v>
      </c>
      <c r="J32" s="84">
        <f t="shared" si="31"/>
        <v>64.351240619450323</v>
      </c>
      <c r="K32" s="230">
        <f>P32-SUM(L$17:L32)</f>
        <v>4.597049598286933</v>
      </c>
      <c r="L32" s="13">
        <f t="shared" si="27"/>
        <v>1.8937549819053379E-2</v>
      </c>
      <c r="M32" s="13">
        <f t="shared" si="28"/>
        <v>9.4687749095266893E-2</v>
      </c>
      <c r="N32" s="230">
        <f t="shared" si="29"/>
        <v>9.4687749095266893E-2</v>
      </c>
      <c r="O32" s="20">
        <f>O31+(O45-O26)/19</f>
        <v>0.2</v>
      </c>
      <c r="P32" s="13">
        <f t="shared" si="30"/>
        <v>4.9409932823871285</v>
      </c>
      <c r="Q32" s="84"/>
      <c r="R32" s="84">
        <f t="shared" si="37"/>
        <v>64.538709870403082</v>
      </c>
      <c r="S32" s="84">
        <f t="shared" si="24"/>
        <v>64.78742039856111</v>
      </c>
      <c r="T32" s="13">
        <f t="shared" si="36"/>
        <v>2024.7570137064708</v>
      </c>
      <c r="U32" s="13">
        <f t="shared" si="26"/>
        <v>2012.8723179537258</v>
      </c>
      <c r="V32" s="13">
        <f>1/'Norway with subs'!R94</f>
        <v>0.62840632472858005</v>
      </c>
      <c r="W32" s="84"/>
      <c r="X32">
        <v>2027</v>
      </c>
      <c r="Y32" s="13">
        <v>64.599221925637664</v>
      </c>
      <c r="Z32" s="84">
        <v>64.351240619450323</v>
      </c>
      <c r="AA32" s="13">
        <v>64.186173450691271</v>
      </c>
      <c r="AC32">
        <v>2027</v>
      </c>
      <c r="AD32" s="13">
        <v>62.081860641957064</v>
      </c>
      <c r="AE32" s="13">
        <f t="shared" si="21"/>
        <v>64.351240619450323</v>
      </c>
      <c r="AF32" s="13">
        <v>64.85320008736376</v>
      </c>
      <c r="AG32" s="84"/>
      <c r="AH32" s="84"/>
      <c r="AI32" s="13">
        <f t="shared" si="34"/>
        <v>64.943272893507597</v>
      </c>
      <c r="AM32">
        <f t="shared" si="14"/>
        <v>7.0430172779722868</v>
      </c>
      <c r="AN32">
        <f t="shared" si="0"/>
        <v>7.0430172779722868</v>
      </c>
      <c r="AO32" s="84">
        <f t="shared" si="5"/>
        <v>7.0430172779722868</v>
      </c>
      <c r="AP32" s="3">
        <v>18</v>
      </c>
      <c r="AQ32" s="3">
        <v>0</v>
      </c>
      <c r="AU32" s="3">
        <f>'Range acceptance'!O22</f>
        <v>98.879586689447336</v>
      </c>
      <c r="AZ32" s="15">
        <f>AZ31+(AZ35-AZ22)/13</f>
        <v>1907.6168612421195</v>
      </c>
      <c r="BA32">
        <v>0</v>
      </c>
      <c r="BB32" s="21">
        <f>BB31+(BB35-BB22)/13</f>
        <v>0.11538461538461553</v>
      </c>
      <c r="BG32">
        <v>2027</v>
      </c>
      <c r="BH32" s="3">
        <f>'Vehicle price'!T23</f>
        <v>27.281165120073478</v>
      </c>
      <c r="BI32" s="61">
        <f t="shared" si="32"/>
        <v>29.076304778992537</v>
      </c>
      <c r="BJ32" s="20">
        <f t="shared" si="38"/>
        <v>3.0231232558425276</v>
      </c>
      <c r="BK32" s="3">
        <f t="shared" si="39"/>
        <v>32.099428034835064</v>
      </c>
      <c r="BL32">
        <f t="shared" si="9"/>
        <v>22.2</v>
      </c>
      <c r="BM32" s="3">
        <f t="shared" si="10"/>
        <v>14.6</v>
      </c>
      <c r="BN32" s="3">
        <f t="shared" si="33"/>
        <v>36.799999999999997</v>
      </c>
      <c r="BO32" s="20">
        <f t="shared" si="40"/>
        <v>0.87226706616399641</v>
      </c>
      <c r="BP32" s="13">
        <f t="shared" si="18"/>
        <v>0.87226706616399641</v>
      </c>
    </row>
    <row r="33" spans="1:68">
      <c r="A33">
        <v>2028</v>
      </c>
      <c r="G33" s="84">
        <f t="shared" si="11"/>
        <v>64.970718932031488</v>
      </c>
      <c r="H33" s="84">
        <f t="shared" si="1"/>
        <v>64.970718932031488</v>
      </c>
      <c r="I33" s="94">
        <f t="shared" si="35"/>
        <v>64.505192391744202</v>
      </c>
      <c r="J33" s="84">
        <f t="shared" si="31"/>
        <v>64.767510585903281</v>
      </c>
      <c r="K33" s="230">
        <f>P33-SUM(L$17:L33)</f>
        <v>5.6297146835362826</v>
      </c>
      <c r="L33" s="13">
        <f t="shared" si="27"/>
        <v>7.0771720320431308E-3</v>
      </c>
      <c r="M33" s="13">
        <f t="shared" si="28"/>
        <v>3.5385860160215651E-2</v>
      </c>
      <c r="N33" s="230">
        <f t="shared" si="29"/>
        <v>3.5385860160215651E-2</v>
      </c>
      <c r="O33" s="20">
        <f>O32+(O45-O26)/19</f>
        <v>0.2</v>
      </c>
      <c r="P33" s="13">
        <f t="shared" si="30"/>
        <v>5.9807355396685207</v>
      </c>
      <c r="Q33" s="84"/>
      <c r="R33" s="84">
        <f t="shared" si="37"/>
        <v>64.836161165251099</v>
      </c>
      <c r="S33" s="84">
        <f t="shared" si="24"/>
        <v>64.890144344344137</v>
      </c>
      <c r="T33" s="13">
        <f t="shared" si="36"/>
        <v>2025.9488654716581</v>
      </c>
      <c r="U33" s="13">
        <f t="shared" si="26"/>
        <v>2012.6804661885385</v>
      </c>
      <c r="V33" s="13">
        <f>1/'Norway with subs'!R95</f>
        <v>0.61061575804806467</v>
      </c>
      <c r="W33" s="84"/>
      <c r="X33">
        <v>2028</v>
      </c>
      <c r="Y33" s="13">
        <v>64.795839174494063</v>
      </c>
      <c r="Z33" s="84">
        <v>64.767510585903281</v>
      </c>
      <c r="AA33" s="13">
        <v>64.628902431400974</v>
      </c>
      <c r="AC33">
        <v>2028</v>
      </c>
      <c r="AD33" s="13">
        <v>63.224112684819445</v>
      </c>
      <c r="AE33" s="13">
        <f t="shared" si="21"/>
        <v>64.767510585903281</v>
      </c>
      <c r="AF33" s="13">
        <v>64.935616820397556</v>
      </c>
      <c r="AG33" s="84"/>
      <c r="AH33" s="84"/>
      <c r="AI33" s="13">
        <f t="shared" si="34"/>
        <v>64.970718932031488</v>
      </c>
      <c r="AM33">
        <f t="shared" si="14"/>
        <v>7.704750806650897</v>
      </c>
      <c r="AN33">
        <f t="shared" si="0"/>
        <v>7.704750806650897</v>
      </c>
      <c r="AO33" s="84">
        <f t="shared" si="5"/>
        <v>7.704750806650897</v>
      </c>
      <c r="AP33" s="3">
        <v>19</v>
      </c>
      <c r="AQ33" s="3">
        <v>0</v>
      </c>
      <c r="AU33" s="3">
        <f>'Range acceptance'!O23</f>
        <v>98.879586689447336</v>
      </c>
      <c r="AZ33" s="15">
        <f>AZ32+(AZ35-AZ22)/13</f>
        <v>1706.8150863745282</v>
      </c>
      <c r="BA33">
        <v>0</v>
      </c>
      <c r="BB33" s="21">
        <f>BB32+(BB35-BB22)/13</f>
        <v>7.6923076923077066E-2</v>
      </c>
      <c r="BG33">
        <v>2028</v>
      </c>
      <c r="BH33" s="3">
        <f>'Vehicle price'!T24</f>
        <v>26.683671596338133</v>
      </c>
      <c r="BI33" s="61">
        <f t="shared" si="32"/>
        <v>28.486187718513182</v>
      </c>
      <c r="BJ33" s="20">
        <f t="shared" si="38"/>
        <v>3.6132403163218818</v>
      </c>
      <c r="BK33" s="3">
        <f t="shared" si="39"/>
        <v>32.099428034835064</v>
      </c>
      <c r="BL33">
        <f t="shared" si="9"/>
        <v>22.2</v>
      </c>
      <c r="BM33" s="3">
        <f t="shared" si="10"/>
        <v>14.6</v>
      </c>
      <c r="BN33" s="3">
        <f t="shared" si="33"/>
        <v>36.799999999999997</v>
      </c>
      <c r="BO33" s="20">
        <f t="shared" si="40"/>
        <v>0.87226706616399641</v>
      </c>
      <c r="BP33" s="13">
        <f t="shared" si="18"/>
        <v>0.87226706616399641</v>
      </c>
    </row>
    <row r="34" spans="1:68">
      <c r="A34">
        <v>2029</v>
      </c>
      <c r="G34" s="84">
        <f t="shared" si="11"/>
        <v>64.984888958391409</v>
      </c>
      <c r="H34" s="84">
        <f t="shared" si="1"/>
        <v>64.984888958391409</v>
      </c>
      <c r="I34" s="94">
        <f t="shared" si="35"/>
        <v>64.780853096006197</v>
      </c>
      <c r="J34" s="84">
        <f t="shared" si="31"/>
        <v>64.879732649035418</v>
      </c>
      <c r="K34" s="230">
        <f>P34-SUM(L$17:L34)</f>
        <v>6.2905733787389106</v>
      </c>
      <c r="L34" s="13">
        <f t="shared" si="27"/>
        <v>0</v>
      </c>
      <c r="M34" s="13">
        <f t="shared" si="28"/>
        <v>0</v>
      </c>
      <c r="N34" s="230">
        <f t="shared" si="29"/>
        <v>-1.79624526371495E-2</v>
      </c>
      <c r="O34" s="20">
        <f>O33+(O45-O26)/19</f>
        <v>0.2</v>
      </c>
      <c r="P34" s="13">
        <f t="shared" si="30"/>
        <v>6.6415942348711487</v>
      </c>
      <c r="Q34" s="84"/>
      <c r="R34" s="84">
        <f t="shared" si="37"/>
        <v>64.915289105367151</v>
      </c>
      <c r="S34" s="84">
        <f t="shared" si="24"/>
        <v>64.943272893507597</v>
      </c>
      <c r="T34" s="13">
        <f t="shared" si="36"/>
        <v>2027.1214563985868</v>
      </c>
      <c r="U34" s="13">
        <f t="shared" si="26"/>
        <v>2012.5078752616098</v>
      </c>
      <c r="V34" s="13">
        <f>1/'Norway with subs'!R96</f>
        <v>0.59461126420885513</v>
      </c>
      <c r="W34" s="84"/>
      <c r="X34">
        <v>2029</v>
      </c>
      <c r="Y34" s="13">
        <v>64.89799748521061</v>
      </c>
      <c r="Z34" s="84">
        <v>64.879732649035418</v>
      </c>
      <c r="AA34" s="13">
        <v>64.867753636335891</v>
      </c>
      <c r="AC34">
        <v>2029</v>
      </c>
      <c r="AD34" s="13">
        <v>63.930321793839902</v>
      </c>
      <c r="AE34" s="13">
        <f t="shared" si="21"/>
        <v>64.879732649035418</v>
      </c>
      <c r="AF34" s="13">
        <v>64.978273056990801</v>
      </c>
      <c r="AG34" s="84"/>
      <c r="AH34" s="84"/>
      <c r="AI34" s="13">
        <f t="shared" si="34"/>
        <v>64.984888958391409</v>
      </c>
      <c r="AM34">
        <f t="shared" si="14"/>
        <v>8.3664843353295062</v>
      </c>
      <c r="AN34">
        <f t="shared" si="0"/>
        <v>8.3664843353295062</v>
      </c>
      <c r="AO34" s="84">
        <f t="shared" si="5"/>
        <v>8.3664843353295062</v>
      </c>
      <c r="AP34" s="3">
        <v>20</v>
      </c>
      <c r="AQ34" s="3">
        <v>0</v>
      </c>
      <c r="AU34" s="3">
        <f>'Range acceptance'!O24</f>
        <v>98.879586689447336</v>
      </c>
      <c r="AZ34" s="15">
        <f>AZ33+(AZ35-AZ22)/13</f>
        <v>1506.0133115069368</v>
      </c>
      <c r="BA34">
        <v>0</v>
      </c>
      <c r="BB34" s="21">
        <f>BB33+(BB35-BB22)/13</f>
        <v>3.8461538461538602E-2</v>
      </c>
      <c r="BG34">
        <v>2029</v>
      </c>
      <c r="BH34" s="3">
        <f>'Vehicle price'!T25</f>
        <v>26.152566241906715</v>
      </c>
      <c r="BI34" s="61">
        <f>AVERAGE(BH33:BH35)*32/BH$22</f>
        <v>27.872465975614656</v>
      </c>
      <c r="BJ34" s="20">
        <f t="shared" si="38"/>
        <v>4.2269620592204085</v>
      </c>
      <c r="BK34" s="3">
        <f t="shared" si="39"/>
        <v>32.099428034835064</v>
      </c>
      <c r="BL34">
        <f t="shared" si="9"/>
        <v>22.2</v>
      </c>
      <c r="BM34" s="3">
        <f t="shared" si="10"/>
        <v>14.6</v>
      </c>
      <c r="BN34" s="3">
        <f t="shared" si="33"/>
        <v>36.799999999999997</v>
      </c>
      <c r="BO34" s="20">
        <f t="shared" si="40"/>
        <v>0.87226706616399641</v>
      </c>
      <c r="BP34" s="13">
        <f t="shared" si="18"/>
        <v>0.87226706616399641</v>
      </c>
    </row>
    <row r="35" spans="1:68">
      <c r="A35" s="14">
        <v>2030</v>
      </c>
      <c r="G35" s="84">
        <f t="shared" si="11"/>
        <v>64.992202487941555</v>
      </c>
      <c r="H35" s="84">
        <f t="shared" si="1"/>
        <v>64.992202487941555</v>
      </c>
      <c r="I35" s="94">
        <f t="shared" si="35"/>
        <v>64.907293201750306</v>
      </c>
      <c r="J35" s="93">
        <f t="shared" si="31"/>
        <v>64.937863612935615</v>
      </c>
      <c r="K35" s="230">
        <f>P35-SUM(L$17:L35)</f>
        <v>6.9518543868474305</v>
      </c>
      <c r="L35" s="13">
        <f t="shared" si="27"/>
        <v>0</v>
      </c>
      <c r="M35" s="13">
        <f t="shared" si="28"/>
        <v>0</v>
      </c>
      <c r="N35" s="230">
        <f t="shared" si="29"/>
        <v>-7.733667509433273E-2</v>
      </c>
      <c r="O35" s="20">
        <f>O34+(O45-O26)/19</f>
        <v>0.2</v>
      </c>
      <c r="P35" s="13">
        <f t="shared" si="30"/>
        <v>7.3028752429796686</v>
      </c>
      <c r="Q35" s="84"/>
      <c r="R35" s="84">
        <f t="shared" si="37"/>
        <v>64.95624552324324</v>
      </c>
      <c r="S35" s="84">
        <f t="shared" si="24"/>
        <v>64.970718932031488</v>
      </c>
      <c r="T35" s="13">
        <f t="shared" si="36"/>
        <v>2028.313542175104</v>
      </c>
      <c r="U35" s="13">
        <f t="shared" si="26"/>
        <v>2012.3157894850926</v>
      </c>
      <c r="V35" s="13">
        <f>1/'Norway with subs'!R97</f>
        <v>0.57679899747170016</v>
      </c>
      <c r="W35" s="84"/>
      <c r="X35" s="87">
        <v>2030</v>
      </c>
      <c r="Y35" s="13">
        <v>64.950898229703</v>
      </c>
      <c r="Z35" s="84">
        <v>64.937863612935615</v>
      </c>
      <c r="AA35" s="89">
        <v>64.931668532037406</v>
      </c>
      <c r="AC35" s="87">
        <v>2030</v>
      </c>
      <c r="AD35" s="13">
        <v>64.361008757102624</v>
      </c>
      <c r="AE35" s="13">
        <f t="shared" si="21"/>
        <v>64.937863612935615</v>
      </c>
      <c r="AF35" s="13">
        <v>64.989551249228001</v>
      </c>
      <c r="AG35" s="84"/>
      <c r="AH35" s="84"/>
      <c r="AI35" s="13">
        <f t="shared" si="34"/>
        <v>64.992202487941555</v>
      </c>
      <c r="AM35">
        <f t="shared" si="14"/>
        <v>9.0282178640081163</v>
      </c>
      <c r="AN35">
        <f t="shared" si="0"/>
        <v>9.0282178640081163</v>
      </c>
      <c r="AO35" s="84">
        <f t="shared" si="5"/>
        <v>9.0282178640081163</v>
      </c>
      <c r="AP35" s="3">
        <v>21</v>
      </c>
      <c r="AQ35" s="3">
        <v>0</v>
      </c>
      <c r="AU35" s="3">
        <f>'Range acceptance'!O25</f>
        <v>98.879586689447336</v>
      </c>
      <c r="AZ35" s="3">
        <f>AZ22/3</f>
        <v>1305.2115366393436</v>
      </c>
      <c r="BA35">
        <v>0</v>
      </c>
      <c r="BB35">
        <v>0</v>
      </c>
      <c r="BG35">
        <v>2030</v>
      </c>
      <c r="BH35" s="3">
        <f>'Vehicle price'!T26</f>
        <v>25.55507271817137</v>
      </c>
      <c r="BI35" s="61">
        <f>AVERAGE(BH34:BH36)*32/BH$22</f>
        <v>27.57740744537498</v>
      </c>
      <c r="BJ35" s="20">
        <f t="shared" si="38"/>
        <v>4.5220205894600838</v>
      </c>
      <c r="BK35" s="3">
        <f t="shared" si="39"/>
        <v>32.099428034835064</v>
      </c>
      <c r="BL35">
        <f t="shared" si="9"/>
        <v>22.2</v>
      </c>
      <c r="BM35" s="3">
        <f t="shared" si="10"/>
        <v>14.6</v>
      </c>
      <c r="BN35" s="3">
        <f t="shared" si="33"/>
        <v>36.799999999999997</v>
      </c>
      <c r="BO35" s="20">
        <f t="shared" si="40"/>
        <v>0.87226706616399641</v>
      </c>
      <c r="BP35" s="13">
        <f t="shared" si="18"/>
        <v>0.87226706616399641</v>
      </c>
    </row>
    <row r="36" spans="1:68">
      <c r="A36">
        <v>2031</v>
      </c>
      <c r="G36" s="84">
        <f t="shared" si="11"/>
        <v>64.995976592197081</v>
      </c>
      <c r="H36" s="84">
        <f t="shared" si="1"/>
        <v>64.995976592197081</v>
      </c>
      <c r="I36" s="84">
        <f t="shared" si="35"/>
        <v>64.952082039147214</v>
      </c>
      <c r="J36" s="84">
        <f t="shared" si="31"/>
        <v>64.967918012706406</v>
      </c>
      <c r="K36" s="230">
        <f>P36-SUM(L$17:L36)</f>
        <v>7.6133541288630608</v>
      </c>
      <c r="L36" s="13">
        <f t="shared" si="27"/>
        <v>0</v>
      </c>
      <c r="M36" s="13">
        <f t="shared" si="28"/>
        <v>0</v>
      </c>
      <c r="N36" s="230">
        <f t="shared" si="29"/>
        <v>-7.733667509433273E-2</v>
      </c>
      <c r="O36" s="20">
        <f>O35+(O45-O26)/19</f>
        <v>0.2</v>
      </c>
      <c r="P36" s="13">
        <f t="shared" si="30"/>
        <v>7.9643749849952989</v>
      </c>
      <c r="Q36" s="84"/>
      <c r="R36" s="84">
        <f t="shared" si="37"/>
        <v>64.977411972813826</v>
      </c>
      <c r="S36" s="84">
        <f t="shared" si="24"/>
        <v>64.984888958391409</v>
      </c>
      <c r="T36" s="13">
        <f t="shared" si="36"/>
        <v>2029.313542175104</v>
      </c>
      <c r="U36" s="13">
        <f t="shared" si="26"/>
        <v>2012.3157894850926</v>
      </c>
      <c r="V36" s="20">
        <f>V35</f>
        <v>0.57679899747170016</v>
      </c>
      <c r="W36" s="84"/>
      <c r="X36">
        <v>2031</v>
      </c>
      <c r="Y36" s="13">
        <v>64.978243943754663</v>
      </c>
      <c r="Z36" s="84">
        <v>64.967918012706406</v>
      </c>
      <c r="AA36" s="13">
        <v>64.964717767615724</v>
      </c>
      <c r="AC36">
        <v>2031</v>
      </c>
      <c r="AD36" s="13">
        <v>64.619627179133161</v>
      </c>
      <c r="AE36" s="13">
        <f t="shared" si="21"/>
        <v>64.967918012706406</v>
      </c>
      <c r="AF36" s="13">
        <v>64.995372827322001</v>
      </c>
      <c r="AG36" s="84"/>
      <c r="AH36" s="84"/>
      <c r="AI36" s="13">
        <f t="shared" si="34"/>
        <v>64.995976592197081</v>
      </c>
      <c r="AM36">
        <f t="shared" si="14"/>
        <v>9.6899513926867265</v>
      </c>
      <c r="AN36">
        <f t="shared" ref="AN36:AN60" si="41">AJ$70+AJ$71*AP36</f>
        <v>9.6899513926867265</v>
      </c>
      <c r="AO36" s="84">
        <f t="shared" si="5"/>
        <v>9.6899513926867247</v>
      </c>
      <c r="AP36" s="3">
        <v>22</v>
      </c>
      <c r="AQ36" s="3">
        <v>0</v>
      </c>
      <c r="BB36"/>
      <c r="BD36" s="3"/>
      <c r="BE36" s="61"/>
    </row>
    <row r="37" spans="1:68">
      <c r="A37">
        <v>2032</v>
      </c>
      <c r="G37" s="84">
        <f t="shared" si="11"/>
        <v>64.997924035865111</v>
      </c>
      <c r="H37" s="84">
        <f t="shared" ref="H37:H60" si="42">65*EXP(AO37)/(1+EXP(AO37))</f>
        <v>64.997924035865111</v>
      </c>
      <c r="I37" s="84">
        <f t="shared" si="35"/>
        <v>64.975253632404787</v>
      </c>
      <c r="J37" s="84">
        <f t="shared" si="31"/>
        <v>64.98344114817084</v>
      </c>
      <c r="K37" s="230">
        <f>P37-SUM(L$17:L37)</f>
        <v>8.2749669522912388</v>
      </c>
      <c r="L37" s="13">
        <f t="shared" si="27"/>
        <v>0</v>
      </c>
      <c r="M37" s="13">
        <f t="shared" si="28"/>
        <v>0</v>
      </c>
      <c r="N37" s="230">
        <f t="shared" si="29"/>
        <v>-7.733667509433273E-2</v>
      </c>
      <c r="O37" s="20">
        <f>O36+(O45-O26)/19</f>
        <v>0.2</v>
      </c>
      <c r="P37" s="13">
        <f t="shared" si="30"/>
        <v>8.6259878084234778</v>
      </c>
      <c r="Q37" s="84"/>
      <c r="R37" s="84">
        <f t="shared" si="37"/>
        <v>64.988342201285334</v>
      </c>
      <c r="S37" s="84">
        <f t="shared" si="24"/>
        <v>64.992202487941555</v>
      </c>
      <c r="T37" s="13">
        <f t="shared" si="36"/>
        <v>2030.313542175104</v>
      </c>
      <c r="U37" s="13">
        <f t="shared" si="26"/>
        <v>2012.3157894850926</v>
      </c>
      <c r="V37" s="20">
        <f t="shared" ref="V37:V60" si="43">V36</f>
        <v>0.57679899747170016</v>
      </c>
      <c r="W37" s="84"/>
      <c r="X37">
        <v>2032</v>
      </c>
      <c r="Y37" s="13">
        <v>64.992366812151786</v>
      </c>
      <c r="Z37" s="84">
        <v>64.98344114817084</v>
      </c>
      <c r="AA37" s="13">
        <v>64.981788934144532</v>
      </c>
      <c r="AC37">
        <v>2032</v>
      </c>
      <c r="AD37" s="13">
        <v>64.774037923226771</v>
      </c>
      <c r="AE37" s="13">
        <f t="shared" si="21"/>
        <v>64.98344114817084</v>
      </c>
      <c r="AF37" s="13">
        <v>64.998377179031763</v>
      </c>
      <c r="AG37" s="84"/>
      <c r="AH37" s="84"/>
      <c r="AI37" s="13">
        <f t="shared" si="34"/>
        <v>64.997924035865111</v>
      </c>
      <c r="AM37">
        <f t="shared" si="14"/>
        <v>10.351684921365333</v>
      </c>
      <c r="AN37">
        <f t="shared" si="41"/>
        <v>10.351684921365333</v>
      </c>
      <c r="AO37" s="84">
        <f t="shared" si="5"/>
        <v>10.351684921365335</v>
      </c>
      <c r="AP37" s="3">
        <v>23</v>
      </c>
      <c r="AQ37" s="3">
        <v>0</v>
      </c>
      <c r="BB37"/>
      <c r="BE37" s="33"/>
    </row>
    <row r="38" spans="1:68">
      <c r="A38">
        <v>2033</v>
      </c>
      <c r="G38" s="84">
        <f t="shared" si="11"/>
        <v>64.998928877011707</v>
      </c>
      <c r="H38" s="84">
        <f t="shared" si="42"/>
        <v>64.998928877011707</v>
      </c>
      <c r="I38" s="84">
        <f t="shared" si="35"/>
        <v>64.987225877513794</v>
      </c>
      <c r="J38" s="84">
        <f t="shared" si="31"/>
        <v>64.991454772887778</v>
      </c>
      <c r="K38" s="230">
        <f>P38-SUM(L$17:L38)</f>
        <v>8.9366381806129276</v>
      </c>
      <c r="L38" s="13">
        <f t="shared" si="27"/>
        <v>0</v>
      </c>
      <c r="M38" s="13">
        <f t="shared" si="28"/>
        <v>0</v>
      </c>
      <c r="N38" s="230">
        <f t="shared" si="29"/>
        <v>-7.733667509433273E-2</v>
      </c>
      <c r="O38" s="20">
        <f>O37+(O45-O26)/19</f>
        <v>0.2</v>
      </c>
      <c r="P38" s="13">
        <f t="shared" si="30"/>
        <v>9.2876590367451666</v>
      </c>
      <c r="Q38" s="84"/>
      <c r="R38" s="84">
        <f t="shared" si="37"/>
        <v>64.993984190281367</v>
      </c>
      <c r="S38" s="84">
        <f t="shared" si="24"/>
        <v>64.995976592197081</v>
      </c>
      <c r="T38" s="13">
        <f t="shared" si="36"/>
        <v>2031.313542175104</v>
      </c>
      <c r="U38" s="13">
        <f t="shared" si="26"/>
        <v>2012.3157894850926</v>
      </c>
      <c r="V38" s="20">
        <f t="shared" si="43"/>
        <v>0.57679899747170016</v>
      </c>
      <c r="W38" s="84"/>
      <c r="X38">
        <v>2033</v>
      </c>
      <c r="Y38" s="13">
        <v>64.996061259403746</v>
      </c>
      <c r="Z38" s="84">
        <v>64.991454772887778</v>
      </c>
      <c r="AA38" s="13">
        <v>64.990602029047025</v>
      </c>
      <c r="AC38">
        <v>2033</v>
      </c>
      <c r="AD38" s="13">
        <v>64.865925628944453</v>
      </c>
      <c r="AE38" s="13">
        <f t="shared" si="21"/>
        <v>64.991454772887778</v>
      </c>
      <c r="AF38" s="13">
        <v>64.999162678280911</v>
      </c>
      <c r="AG38" s="84"/>
      <c r="AH38" s="84"/>
      <c r="AI38" s="13">
        <f t="shared" si="34"/>
        <v>64.998928877011707</v>
      </c>
      <c r="AM38">
        <f t="shared" si="14"/>
        <v>11.013418450043943</v>
      </c>
      <c r="AN38">
        <f t="shared" si="41"/>
        <v>11.013418450043943</v>
      </c>
      <c r="AO38" s="84">
        <f t="shared" si="5"/>
        <v>11.013418450043943</v>
      </c>
      <c r="AP38" s="3">
        <v>24</v>
      </c>
      <c r="AQ38" s="3">
        <v>0</v>
      </c>
      <c r="BB38"/>
      <c r="BE38" s="33"/>
    </row>
    <row r="39" spans="1:68">
      <c r="A39">
        <v>2034</v>
      </c>
      <c r="G39" s="84">
        <f t="shared" si="11"/>
        <v>64.999447343115634</v>
      </c>
      <c r="H39" s="84">
        <f t="shared" si="42"/>
        <v>64.999447343115634</v>
      </c>
      <c r="I39" s="84">
        <f t="shared" si="35"/>
        <v>64.993407492276646</v>
      </c>
      <c r="J39" s="84">
        <f t="shared" si="31"/>
        <v>64.99559061532328</v>
      </c>
      <c r="K39" s="230">
        <f>P39-SUM(L$17:L39)</f>
        <v>9.5983395592550966</v>
      </c>
      <c r="L39" s="13">
        <f t="shared" si="27"/>
        <v>0</v>
      </c>
      <c r="M39" s="13">
        <f t="shared" si="28"/>
        <v>0</v>
      </c>
      <c r="N39" s="230">
        <f t="shared" si="29"/>
        <v>-7.733667509433273E-2</v>
      </c>
      <c r="O39" s="20">
        <f>O38+(O45-O26)/19</f>
        <v>0.2</v>
      </c>
      <c r="P39" s="13">
        <f t="shared" si="30"/>
        <v>9.9493604153873356</v>
      </c>
      <c r="Q39" s="84"/>
      <c r="R39" s="84">
        <f t="shared" si="37"/>
        <v>64.996895867226229</v>
      </c>
      <c r="S39" s="84">
        <f t="shared" si="24"/>
        <v>64.997924035865111</v>
      </c>
      <c r="T39" s="13">
        <f t="shared" si="36"/>
        <v>2032.313542175104</v>
      </c>
      <c r="U39" s="13">
        <f t="shared" si="26"/>
        <v>2012.3157894850926</v>
      </c>
      <c r="V39" s="20">
        <f t="shared" si="43"/>
        <v>0.57679899747170016</v>
      </c>
      <c r="W39" s="84"/>
      <c r="X39">
        <v>2034</v>
      </c>
      <c r="Y39" s="13">
        <v>64.997967689306222</v>
      </c>
      <c r="Z39" s="84">
        <v>64.99559061532328</v>
      </c>
      <c r="AA39" s="13">
        <v>64.995150563966675</v>
      </c>
      <c r="AC39">
        <v>2034</v>
      </c>
      <c r="AD39" s="13">
        <v>64.920501951259425</v>
      </c>
      <c r="AE39" s="13">
        <f t="shared" si="21"/>
        <v>64.99559061532328</v>
      </c>
      <c r="AF39" s="13">
        <v>64.99956797412095</v>
      </c>
      <c r="AG39" s="84"/>
      <c r="AH39" s="84"/>
      <c r="AI39" s="13">
        <f t="shared" si="34"/>
        <v>64.999447343115634</v>
      </c>
      <c r="AM39">
        <f t="shared" si="14"/>
        <v>11.675151978722553</v>
      </c>
      <c r="AN39">
        <f t="shared" si="41"/>
        <v>11.675151978722553</v>
      </c>
      <c r="AO39" s="84">
        <f t="shared" si="5"/>
        <v>11.675151978722553</v>
      </c>
      <c r="AP39" s="3">
        <v>25</v>
      </c>
      <c r="AQ39" s="3">
        <v>0</v>
      </c>
      <c r="BB39"/>
      <c r="BE39" s="33"/>
    </row>
    <row r="40" spans="1:68">
      <c r="A40">
        <v>2035</v>
      </c>
      <c r="G40" s="84">
        <f t="shared" si="11"/>
        <v>64.999714852116952</v>
      </c>
      <c r="H40" s="84">
        <f t="shared" si="42"/>
        <v>64.999714852116952</v>
      </c>
      <c r="I40" s="84">
        <f t="shared" si="35"/>
        <v>64.996598123476375</v>
      </c>
      <c r="J40" s="84">
        <f t="shared" si="31"/>
        <v>64.997724838480636</v>
      </c>
      <c r="K40" s="230">
        <f>P40-SUM(L$17:L40)</f>
        <v>10.260056498377963</v>
      </c>
      <c r="L40" s="13">
        <f t="shared" si="27"/>
        <v>0</v>
      </c>
      <c r="M40" s="13">
        <f t="shared" si="28"/>
        <v>0</v>
      </c>
      <c r="N40" s="230">
        <f t="shared" si="29"/>
        <v>-7.733667509433273E-2</v>
      </c>
      <c r="O40" s="20">
        <f>O39+(O45-O26)/19</f>
        <v>0.2</v>
      </c>
      <c r="P40" s="13">
        <f t="shared" si="30"/>
        <v>10.611077354510202</v>
      </c>
      <c r="Q40" s="84"/>
      <c r="R40" s="84">
        <f t="shared" si="37"/>
        <v>64.9983983400613</v>
      </c>
      <c r="S40" s="84">
        <f t="shared" si="24"/>
        <v>64.998928877011707</v>
      </c>
      <c r="T40" s="13">
        <f t="shared" si="36"/>
        <v>2033.313542175104</v>
      </c>
      <c r="U40" s="13">
        <f t="shared" si="26"/>
        <v>2012.3157894850926</v>
      </c>
      <c r="V40" s="20">
        <f t="shared" si="43"/>
        <v>0.57679899747170016</v>
      </c>
      <c r="W40" s="84"/>
      <c r="X40">
        <v>2035</v>
      </c>
      <c r="Y40" s="13">
        <v>64.998951391985713</v>
      </c>
      <c r="Z40" s="84">
        <v>64.997724838480636</v>
      </c>
      <c r="AA40" s="13">
        <v>64.997497771861831</v>
      </c>
      <c r="AC40">
        <v>2035</v>
      </c>
      <c r="AD40" s="13">
        <v>64.952881320817269</v>
      </c>
      <c r="AE40" s="13">
        <f t="shared" si="21"/>
        <v>64.997724838480636</v>
      </c>
      <c r="AF40" s="13">
        <v>64.999777092372526</v>
      </c>
      <c r="AG40" s="84"/>
      <c r="AH40" s="84"/>
      <c r="AI40" s="13">
        <f t="shared" si="34"/>
        <v>64.999714852116952</v>
      </c>
      <c r="AM40">
        <f t="shared" si="14"/>
        <v>12.336885507401163</v>
      </c>
      <c r="AN40">
        <f t="shared" si="41"/>
        <v>12.336885507401163</v>
      </c>
      <c r="AO40" s="84">
        <f t="shared" si="5"/>
        <v>12.336885507401163</v>
      </c>
      <c r="AP40" s="3">
        <v>26</v>
      </c>
      <c r="AQ40" s="3">
        <v>0</v>
      </c>
      <c r="BB40"/>
      <c r="BE40" s="33"/>
    </row>
    <row r="41" spans="1:68">
      <c r="A41">
        <v>2036</v>
      </c>
      <c r="G41" s="84">
        <f t="shared" si="11"/>
        <v>64.999852875888223</v>
      </c>
      <c r="H41" s="84">
        <f t="shared" si="42"/>
        <v>64.999852875888223</v>
      </c>
      <c r="I41" s="84">
        <f t="shared" si="35"/>
        <v>64.998244665978646</v>
      </c>
      <c r="J41" s="84">
        <f t="shared" si="31"/>
        <v>64.99882608652068</v>
      </c>
      <c r="K41" s="230">
        <f>P41-SUM(L$17:L41)</f>
        <v>10.921781467158945</v>
      </c>
      <c r="L41" s="13">
        <f t="shared" si="27"/>
        <v>0</v>
      </c>
      <c r="M41" s="13">
        <f t="shared" si="28"/>
        <v>0</v>
      </c>
      <c r="N41" s="230">
        <f t="shared" si="29"/>
        <v>-7.733667509433273E-2</v>
      </c>
      <c r="O41" s="20">
        <f>O40+(O45-O26)/19</f>
        <v>0.2</v>
      </c>
      <c r="P41" s="13">
        <f t="shared" si="30"/>
        <v>11.272802323291184</v>
      </c>
      <c r="Q41" s="84"/>
      <c r="R41" s="84">
        <f t="shared" si="37"/>
        <v>64.999173596799523</v>
      </c>
      <c r="S41" s="84">
        <f t="shared" si="24"/>
        <v>64.999447343115634</v>
      </c>
      <c r="T41" s="13">
        <f t="shared" si="36"/>
        <v>2034.313542175104</v>
      </c>
      <c r="U41" s="13">
        <f t="shared" si="26"/>
        <v>2012.3157894850926</v>
      </c>
      <c r="V41" s="20">
        <f t="shared" si="43"/>
        <v>0.57679899747170016</v>
      </c>
      <c r="W41" s="84"/>
      <c r="X41">
        <v>2036</v>
      </c>
      <c r="Y41" s="13">
        <v>64.9994589576484</v>
      </c>
      <c r="Z41" s="84">
        <v>64.99882608652068</v>
      </c>
      <c r="AA41" s="13">
        <v>64.998708924934903</v>
      </c>
      <c r="AC41">
        <v>2036</v>
      </c>
      <c r="AD41" s="13">
        <v>64.972079162309242</v>
      </c>
      <c r="AE41" s="13">
        <f t="shared" si="21"/>
        <v>64.99882608652068</v>
      </c>
      <c r="AF41" s="13">
        <v>64.99988498911614</v>
      </c>
      <c r="AG41" s="84"/>
      <c r="AH41" s="84"/>
      <c r="AI41" s="13">
        <f t="shared" si="34"/>
        <v>64.999852875888223</v>
      </c>
      <c r="AM41">
        <f t="shared" si="14"/>
        <v>12.998619036079774</v>
      </c>
      <c r="AN41">
        <f t="shared" si="41"/>
        <v>12.998619036079774</v>
      </c>
      <c r="AO41" s="84">
        <f t="shared" si="5"/>
        <v>12.998619036079774</v>
      </c>
      <c r="AP41" s="3">
        <v>27</v>
      </c>
      <c r="AQ41" s="3">
        <v>0</v>
      </c>
      <c r="BB41"/>
      <c r="BE41" s="33"/>
    </row>
    <row r="42" spans="1:68">
      <c r="A42">
        <v>2037</v>
      </c>
      <c r="G42" s="84">
        <f t="shared" si="11"/>
        <v>64.999924090328904</v>
      </c>
      <c r="H42" s="84">
        <f t="shared" si="42"/>
        <v>64.999924090328904</v>
      </c>
      <c r="I42" s="84">
        <f t="shared" si="35"/>
        <v>64.999094294035956</v>
      </c>
      <c r="J42" s="84">
        <f t="shared" si="31"/>
        <v>64.999394304169485</v>
      </c>
      <c r="K42" s="230">
        <f>P42-SUM(L$17:L42)</f>
        <v>11.583510579200954</v>
      </c>
      <c r="L42" s="13">
        <f t="shared" si="27"/>
        <v>0</v>
      </c>
      <c r="M42" s="13">
        <f t="shared" si="28"/>
        <v>0</v>
      </c>
      <c r="N42" s="230">
        <f t="shared" si="29"/>
        <v>-7.733667509433273E-2</v>
      </c>
      <c r="O42" s="20">
        <f>O41+(O45-O26)/19</f>
        <v>0.2</v>
      </c>
      <c r="P42" s="13">
        <f t="shared" si="30"/>
        <v>11.934531435333193</v>
      </c>
      <c r="Q42" s="84"/>
      <c r="R42" s="84">
        <f t="shared" si="37"/>
        <v>64.999573607692284</v>
      </c>
      <c r="S42" s="84">
        <f t="shared" si="24"/>
        <v>64.999714852116952</v>
      </c>
      <c r="T42" s="13">
        <f t="shared" si="36"/>
        <v>2035.313542175104</v>
      </c>
      <c r="U42" s="13">
        <f t="shared" si="26"/>
        <v>2012.3157894850926</v>
      </c>
      <c r="V42" s="20">
        <f t="shared" si="43"/>
        <v>0.57679899747170016</v>
      </c>
      <c r="W42" s="84"/>
      <c r="X42">
        <v>2037</v>
      </c>
      <c r="Y42" s="13">
        <v>64.999720844119039</v>
      </c>
      <c r="Z42" s="84">
        <v>64.999394304169485</v>
      </c>
      <c r="AA42" s="13">
        <v>64.999333852553988</v>
      </c>
      <c r="AC42">
        <v>2037</v>
      </c>
      <c r="AD42" s="13">
        <v>64.983457363472056</v>
      </c>
      <c r="AE42" s="13">
        <f t="shared" si="21"/>
        <v>64.999394304169485</v>
      </c>
      <c r="AF42" s="13">
        <v>64.999940659342172</v>
      </c>
      <c r="AG42" s="84"/>
      <c r="AH42" s="84"/>
      <c r="AI42" s="13">
        <f t="shared" si="34"/>
        <v>64.999924090328904</v>
      </c>
      <c r="AM42">
        <f t="shared" si="14"/>
        <v>13.660352564758384</v>
      </c>
      <c r="AN42">
        <f t="shared" si="41"/>
        <v>13.660352564758384</v>
      </c>
      <c r="AO42" s="84">
        <f t="shared" si="5"/>
        <v>13.660352564758384</v>
      </c>
      <c r="AP42" s="3">
        <v>28</v>
      </c>
      <c r="AQ42" s="3">
        <v>0</v>
      </c>
      <c r="BB42"/>
      <c r="BE42" s="33"/>
    </row>
    <row r="43" spans="1:68">
      <c r="A43">
        <v>2038</v>
      </c>
      <c r="G43" s="84">
        <f t="shared" si="11"/>
        <v>64.999960833917427</v>
      </c>
      <c r="H43" s="84">
        <f t="shared" si="42"/>
        <v>64.999960833917427</v>
      </c>
      <c r="I43" s="84">
        <f t="shared" si="35"/>
        <v>64.999532687303329</v>
      </c>
      <c r="J43" s="84">
        <f t="shared" si="31"/>
        <v>64.999687485399122</v>
      </c>
      <c r="K43" s="230">
        <f>P43-SUM(L$17:L43)</f>
        <v>12.245241829044604</v>
      </c>
      <c r="L43" s="13">
        <f t="shared" si="27"/>
        <v>0</v>
      </c>
      <c r="M43" s="13">
        <f t="shared" si="28"/>
        <v>0</v>
      </c>
      <c r="N43" s="230">
        <f t="shared" si="29"/>
        <v>-7.733667509433273E-2</v>
      </c>
      <c r="O43" s="20">
        <f>O42+(O45-O26)/19</f>
        <v>0.2</v>
      </c>
      <c r="P43" s="13">
        <f t="shared" si="30"/>
        <v>12.596262685176843</v>
      </c>
      <c r="Q43" s="84"/>
      <c r="R43" s="84">
        <f t="shared" si="37"/>
        <v>64.999779999073425</v>
      </c>
      <c r="S43" s="84">
        <f t="shared" si="24"/>
        <v>64.999852875888223</v>
      </c>
      <c r="T43" s="13">
        <f t="shared" si="36"/>
        <v>2036.313542175104</v>
      </c>
      <c r="U43" s="13">
        <f t="shared" si="26"/>
        <v>2012.3157894850926</v>
      </c>
      <c r="V43" s="20">
        <f t="shared" si="43"/>
        <v>0.57679899747170016</v>
      </c>
      <c r="W43" s="84"/>
      <c r="X43">
        <v>2038</v>
      </c>
      <c r="Y43" s="13">
        <v>64.9998559673421</v>
      </c>
      <c r="Z43" s="84">
        <v>64.999687485399122</v>
      </c>
      <c r="AA43" s="13">
        <v>64.999656294650805</v>
      </c>
      <c r="AC43">
        <v>2038</v>
      </c>
      <c r="AD43" s="13">
        <v>64.990199538392602</v>
      </c>
      <c r="AE43" s="13">
        <f t="shared" si="21"/>
        <v>64.999687485399122</v>
      </c>
      <c r="AF43" s="13">
        <v>64.999969382800501</v>
      </c>
      <c r="AG43" s="84"/>
      <c r="AH43" s="84"/>
      <c r="AI43" s="13">
        <f t="shared" si="34"/>
        <v>64.999960833917427</v>
      </c>
      <c r="AM43">
        <f t="shared" si="14"/>
        <v>14.322086093436994</v>
      </c>
      <c r="AN43">
        <f t="shared" si="41"/>
        <v>14.322086093436994</v>
      </c>
      <c r="AO43" s="84">
        <f t="shared" si="5"/>
        <v>14.322086093436994</v>
      </c>
      <c r="AP43" s="3">
        <v>29</v>
      </c>
      <c r="AQ43" s="3">
        <v>0</v>
      </c>
      <c r="BB43"/>
      <c r="BE43" s="33"/>
    </row>
    <row r="44" spans="1:68">
      <c r="A44">
        <v>2039</v>
      </c>
      <c r="G44" s="84">
        <f t="shared" si="11"/>
        <v>64.999979792013562</v>
      </c>
      <c r="H44" s="84">
        <f t="shared" si="42"/>
        <v>64.999979792013562</v>
      </c>
      <c r="I44" s="84">
        <f t="shared" si="35"/>
        <v>64.999758884978235</v>
      </c>
      <c r="J44" s="84">
        <f t="shared" si="31"/>
        <v>64.999838755609858</v>
      </c>
      <c r="K44" s="230">
        <f>P44-SUM(L$17:L44)</f>
        <v>12.90697418191767</v>
      </c>
      <c r="L44" s="13">
        <f t="shared" si="27"/>
        <v>0</v>
      </c>
      <c r="M44" s="13">
        <f t="shared" si="28"/>
        <v>0</v>
      </c>
      <c r="N44" s="230">
        <f t="shared" si="29"/>
        <v>-7.733667509433273E-2</v>
      </c>
      <c r="O44" s="20">
        <f>O43+(O45-O26)/19</f>
        <v>0.2</v>
      </c>
      <c r="P44" s="13">
        <f t="shared" si="30"/>
        <v>13.257995038049909</v>
      </c>
      <c r="Q44" s="84"/>
      <c r="R44" s="84">
        <f t="shared" si="37"/>
        <v>64.999886488853008</v>
      </c>
      <c r="S44" s="84">
        <f t="shared" si="24"/>
        <v>64.999924090328904</v>
      </c>
      <c r="T44" s="13">
        <f t="shared" si="36"/>
        <v>2037.313542175104</v>
      </c>
      <c r="U44" s="13">
        <f t="shared" si="26"/>
        <v>2012.3157894850926</v>
      </c>
      <c r="V44" s="20">
        <f t="shared" si="43"/>
        <v>0.57679899747170016</v>
      </c>
      <c r="W44" s="84"/>
      <c r="X44">
        <v>2039</v>
      </c>
      <c r="Y44" s="13">
        <v>64.999925685341864</v>
      </c>
      <c r="Z44" s="84">
        <v>64.999838755609858</v>
      </c>
      <c r="AA44" s="13">
        <v>64.999822662454363</v>
      </c>
      <c r="AC44">
        <v>2039</v>
      </c>
      <c r="AD44" s="13">
        <v>64.994194118432517</v>
      </c>
      <c r="AE44" s="13">
        <f t="shared" si="21"/>
        <v>64.999838755609858</v>
      </c>
      <c r="AF44" s="13">
        <v>64.999984202861953</v>
      </c>
      <c r="AG44" s="84"/>
      <c r="AH44" s="84"/>
      <c r="AI44" s="13">
        <f t="shared" si="34"/>
        <v>64.999979792013562</v>
      </c>
      <c r="AM44">
        <f t="shared" ref="AM44:AM60" si="44">AJ$70+AJ$71*AP44+AJ$72*AQ44</f>
        <v>14.9838196221156</v>
      </c>
      <c r="AN44">
        <f t="shared" si="41"/>
        <v>14.9838196221156</v>
      </c>
      <c r="AO44" s="84">
        <f t="shared" si="5"/>
        <v>14.983819622115602</v>
      </c>
      <c r="AP44" s="3">
        <v>30</v>
      </c>
      <c r="AQ44" s="3">
        <v>0</v>
      </c>
      <c r="BB44"/>
      <c r="BE44" s="33"/>
    </row>
    <row r="45" spans="1:68">
      <c r="A45">
        <v>2040</v>
      </c>
      <c r="G45" s="84">
        <f t="shared" si="11"/>
        <v>64.999989573563866</v>
      </c>
      <c r="H45" s="84">
        <f t="shared" si="42"/>
        <v>64.999989573563866</v>
      </c>
      <c r="I45" s="84">
        <f t="shared" si="35"/>
        <v>64.999875594647989</v>
      </c>
      <c r="J45" s="84">
        <f t="shared" si="31"/>
        <v>64.999916804817474</v>
      </c>
      <c r="K45" s="230">
        <f>P45-SUM(L$17:L45)</f>
        <v>13.568707104014514</v>
      </c>
      <c r="L45" s="13">
        <f t="shared" si="27"/>
        <v>0</v>
      </c>
      <c r="M45" s="13">
        <f t="shared" si="28"/>
        <v>0</v>
      </c>
      <c r="N45" s="230">
        <f t="shared" si="29"/>
        <v>-7.733667509433273E-2</v>
      </c>
      <c r="O45" s="89">
        <v>0.2</v>
      </c>
      <c r="P45" s="13">
        <f t="shared" si="30"/>
        <v>13.919727960146753</v>
      </c>
      <c r="Q45" s="84"/>
      <c r="R45" s="84">
        <f t="shared" si="37"/>
        <v>64.999941433142396</v>
      </c>
      <c r="S45" s="84">
        <f t="shared" si="24"/>
        <v>64.999960833917427</v>
      </c>
      <c r="T45" s="13">
        <f t="shared" si="36"/>
        <v>2038.313542175104</v>
      </c>
      <c r="U45" s="13">
        <f t="shared" si="26"/>
        <v>2012.3157894850926</v>
      </c>
      <c r="V45" s="20">
        <f t="shared" si="43"/>
        <v>0.57679899747170016</v>
      </c>
      <c r="W45" s="84"/>
      <c r="X45" s="87">
        <v>2040</v>
      </c>
      <c r="Y45" s="13">
        <v>64.999961656863078</v>
      </c>
      <c r="Z45" s="84">
        <v>64.999916804817474</v>
      </c>
      <c r="AA45" s="13">
        <v>64.999908501429204</v>
      </c>
      <c r="AC45" s="87">
        <v>2040</v>
      </c>
      <c r="AD45" s="13">
        <v>64.996560637077991</v>
      </c>
      <c r="AE45" s="13">
        <f t="shared" si="21"/>
        <v>64.999916804817474</v>
      </c>
      <c r="AF45" s="13">
        <v>64.999991849368101</v>
      </c>
      <c r="AG45" s="84"/>
      <c r="AH45" s="84"/>
      <c r="AI45" s="13">
        <f t="shared" si="34"/>
        <v>64.999989573563866</v>
      </c>
      <c r="AM45">
        <f t="shared" si="44"/>
        <v>15.64555315079421</v>
      </c>
      <c r="AN45">
        <f t="shared" si="41"/>
        <v>15.64555315079421</v>
      </c>
      <c r="AO45" s="84">
        <f t="shared" si="5"/>
        <v>15.645553150794209</v>
      </c>
      <c r="AP45" s="3">
        <v>31</v>
      </c>
      <c r="AQ45" s="3">
        <v>0</v>
      </c>
      <c r="BB45"/>
      <c r="BE45" s="33"/>
    </row>
    <row r="46" spans="1:68">
      <c r="A46">
        <v>2041</v>
      </c>
      <c r="G46" s="84">
        <f t="shared" si="11"/>
        <v>64.999994620415904</v>
      </c>
      <c r="H46" s="84">
        <f t="shared" si="42"/>
        <v>64.999994620415904</v>
      </c>
      <c r="I46" s="84">
        <f t="shared" si="35"/>
        <v>64.999935812141786</v>
      </c>
      <c r="J46" s="84">
        <f t="shared" si="31"/>
        <v>64.999957074895235</v>
      </c>
      <c r="K46" s="230">
        <f>P46-SUM(L$17:L46)</f>
        <v>14.230440320030302</v>
      </c>
      <c r="L46" s="13">
        <f t="shared" si="27"/>
        <v>0</v>
      </c>
      <c r="M46" s="13">
        <f t="shared" si="28"/>
        <v>0</v>
      </c>
      <c r="N46" s="230">
        <f t="shared" si="29"/>
        <v>-7.733667509433273E-2</v>
      </c>
      <c r="O46" s="89">
        <f>O45</f>
        <v>0.2</v>
      </c>
      <c r="P46" s="13">
        <f t="shared" si="30"/>
        <v>14.581461176162541</v>
      </c>
      <c r="R46" s="84">
        <f t="shared" si="37"/>
        <v>64.999969782047941</v>
      </c>
      <c r="S46" s="84">
        <f t="shared" si="24"/>
        <v>64.999979792013562</v>
      </c>
      <c r="T46" s="13">
        <f t="shared" si="36"/>
        <v>2039.313542175104</v>
      </c>
      <c r="U46" s="13">
        <f t="shared" si="26"/>
        <v>2012.3157894850926</v>
      </c>
      <c r="V46" s="20">
        <f t="shared" si="43"/>
        <v>0.57679899747170016</v>
      </c>
      <c r="X46">
        <v>2041</v>
      </c>
      <c r="Y46" s="13">
        <v>64.99998021661446</v>
      </c>
      <c r="Z46" s="84">
        <v>64.999957074895235</v>
      </c>
      <c r="AA46" s="13">
        <v>64.999952790704214</v>
      </c>
      <c r="AC46">
        <v>2041</v>
      </c>
      <c r="AD46" s="13">
        <v>64.997962578367478</v>
      </c>
      <c r="AE46" s="13">
        <f t="shared" si="21"/>
        <v>64.999957074895235</v>
      </c>
      <c r="AF46" s="13">
        <v>64.999995794631019</v>
      </c>
      <c r="AI46" s="13">
        <f t="shared" si="34"/>
        <v>64.999994620415904</v>
      </c>
      <c r="AM46">
        <f t="shared" si="44"/>
        <v>16.307286679472821</v>
      </c>
      <c r="AN46">
        <f t="shared" si="41"/>
        <v>16.307286679472821</v>
      </c>
      <c r="AO46" s="84">
        <f t="shared" si="5"/>
        <v>16.307286679472821</v>
      </c>
      <c r="AP46" s="3">
        <v>32</v>
      </c>
      <c r="AQ46" s="3">
        <v>0</v>
      </c>
      <c r="BB46"/>
      <c r="BE46" s="33"/>
    </row>
    <row r="47" spans="1:68">
      <c r="A47">
        <v>2042</v>
      </c>
      <c r="G47" s="84">
        <f t="shared" si="11"/>
        <v>64.999997224370475</v>
      </c>
      <c r="H47" s="84">
        <f t="shared" si="42"/>
        <v>64.999997224370475</v>
      </c>
      <c r="I47" s="84">
        <f t="shared" si="35"/>
        <v>64.999966881839896</v>
      </c>
      <c r="J47" s="84">
        <f t="shared" si="31"/>
        <v>64.999977852518228</v>
      </c>
      <c r="K47" s="230">
        <f>P47-SUM(L$17:L47)</f>
        <v>14.89217368713175</v>
      </c>
      <c r="L47" s="13">
        <f t="shared" si="27"/>
        <v>0</v>
      </c>
      <c r="M47" s="13">
        <f t="shared" si="28"/>
        <v>0</v>
      </c>
      <c r="N47" s="230">
        <f t="shared" si="29"/>
        <v>-7.733667509433273E-2</v>
      </c>
      <c r="O47" s="89">
        <f t="shared" ref="O47:O60" si="45">O46</f>
        <v>0.2</v>
      </c>
      <c r="P47" s="13">
        <f t="shared" si="30"/>
        <v>15.243194543263989</v>
      </c>
      <c r="R47" s="84">
        <f t="shared" si="37"/>
        <v>64.99998440885625</v>
      </c>
      <c r="S47" s="84">
        <f t="shared" si="24"/>
        <v>64.999989573563866</v>
      </c>
      <c r="T47" s="13">
        <f t="shared" si="36"/>
        <v>2040.313542175104</v>
      </c>
      <c r="U47" s="13">
        <f t="shared" si="26"/>
        <v>2012.3157894850926</v>
      </c>
      <c r="V47" s="20">
        <f t="shared" si="43"/>
        <v>0.57679899747170016</v>
      </c>
      <c r="X47">
        <v>2042</v>
      </c>
      <c r="Y47" s="13">
        <v>64.999989792638544</v>
      </c>
      <c r="Z47" s="84">
        <v>64.999977852518228</v>
      </c>
      <c r="AA47" s="13">
        <v>64.999975642061756</v>
      </c>
      <c r="AC47">
        <v>2042</v>
      </c>
      <c r="AD47" s="13">
        <v>64.998793076466882</v>
      </c>
      <c r="AE47" s="13">
        <f t="shared" si="21"/>
        <v>64.999977852518228</v>
      </c>
      <c r="AF47" s="13">
        <v>64.999997830213971</v>
      </c>
      <c r="AI47" s="13">
        <f t="shared" si="34"/>
        <v>64.999997224370475</v>
      </c>
      <c r="AM47">
        <f t="shared" si="44"/>
        <v>16.969020208151431</v>
      </c>
      <c r="AN47">
        <f t="shared" si="41"/>
        <v>16.969020208151431</v>
      </c>
      <c r="AO47" s="84">
        <f t="shared" si="5"/>
        <v>16.969020208151431</v>
      </c>
      <c r="AP47" s="3">
        <v>33</v>
      </c>
      <c r="AQ47" s="3">
        <v>0</v>
      </c>
      <c r="BB47"/>
      <c r="BE47" s="33"/>
    </row>
    <row r="48" spans="1:68">
      <c r="A48">
        <v>2043</v>
      </c>
      <c r="G48" s="84">
        <f t="shared" si="11"/>
        <v>64.999998567896881</v>
      </c>
      <c r="H48" s="84">
        <f t="shared" si="42"/>
        <v>64.999998567896881</v>
      </c>
      <c r="I48" s="84">
        <f t="shared" si="35"/>
        <v>64.999982912471253</v>
      </c>
      <c r="J48" s="84">
        <f t="shared" si="31"/>
        <v>64.999988572868105</v>
      </c>
      <c r="K48" s="230">
        <f>P48-SUM(L$17:L48)</f>
        <v>15.553907133463063</v>
      </c>
      <c r="L48" s="13">
        <f t="shared" si="27"/>
        <v>0</v>
      </c>
      <c r="M48" s="13">
        <f t="shared" si="28"/>
        <v>0</v>
      </c>
      <c r="N48" s="230">
        <f t="shared" si="29"/>
        <v>-7.733667509433273E-2</v>
      </c>
      <c r="O48" s="89">
        <f t="shared" si="45"/>
        <v>0.2</v>
      </c>
      <c r="P48" s="13">
        <f t="shared" si="30"/>
        <v>15.904927989595302</v>
      </c>
      <c r="R48" s="84">
        <f t="shared" si="37"/>
        <v>64.999991955652149</v>
      </c>
      <c r="S48" s="84">
        <f t="shared" si="24"/>
        <v>64.999994620415904</v>
      </c>
      <c r="T48" s="13">
        <f t="shared" si="36"/>
        <v>2041.313542175104</v>
      </c>
      <c r="U48" s="13">
        <f t="shared" si="26"/>
        <v>2012.3157894850926</v>
      </c>
      <c r="V48" s="20">
        <f t="shared" si="43"/>
        <v>0.57679899747170016</v>
      </c>
      <c r="X48">
        <v>2043</v>
      </c>
      <c r="Y48" s="13">
        <v>64.999994733448602</v>
      </c>
      <c r="Z48" s="84">
        <v>64.999988572868105</v>
      </c>
      <c r="AA48" s="13">
        <v>64.999987432369039</v>
      </c>
      <c r="AC48">
        <v>2043</v>
      </c>
      <c r="AD48" s="13">
        <v>64.99928504911469</v>
      </c>
      <c r="AE48" s="13">
        <f t="shared" si="21"/>
        <v>64.999988572868105</v>
      </c>
      <c r="AF48" s="13">
        <v>64.999998880485563</v>
      </c>
      <c r="AI48" s="13">
        <f t="shared" si="34"/>
        <v>64.999998567896881</v>
      </c>
      <c r="AM48">
        <f t="shared" si="44"/>
        <v>17.630753736830041</v>
      </c>
      <c r="AN48">
        <f t="shared" si="41"/>
        <v>17.630753736830041</v>
      </c>
      <c r="AO48" s="84">
        <f>AVERAGE(AN47:AN49)</f>
        <v>17.630753736830041</v>
      </c>
      <c r="AP48" s="3">
        <v>34</v>
      </c>
      <c r="AQ48" s="3">
        <v>0</v>
      </c>
      <c r="BB48"/>
      <c r="BE48" s="33"/>
    </row>
    <row r="49" spans="1:57">
      <c r="A49">
        <v>2044</v>
      </c>
      <c r="G49" s="84">
        <f t="shared" si="11"/>
        <v>64.999999261097599</v>
      </c>
      <c r="H49" s="84">
        <f t="shared" si="42"/>
        <v>64.999999261097599</v>
      </c>
      <c r="I49" s="84">
        <f t="shared" si="35"/>
        <v>64.999991183581841</v>
      </c>
      <c r="J49" s="84">
        <f t="shared" si="31"/>
        <v>64.999994104100438</v>
      </c>
      <c r="K49" s="230">
        <f>P49-SUM(L$17:L49)</f>
        <v>16.215640616794119</v>
      </c>
      <c r="L49" s="13">
        <f t="shared" si="27"/>
        <v>0</v>
      </c>
      <c r="M49" s="13">
        <f t="shared" si="28"/>
        <v>0</v>
      </c>
      <c r="N49" s="230">
        <f t="shared" si="29"/>
        <v>-7.733667509433273E-2</v>
      </c>
      <c r="O49" s="89">
        <f t="shared" si="45"/>
        <v>0.2</v>
      </c>
      <c r="P49" s="13">
        <f t="shared" si="30"/>
        <v>16.566661472926356</v>
      </c>
      <c r="R49" s="84">
        <f t="shared" si="37"/>
        <v>64.999995849468945</v>
      </c>
      <c r="S49" s="84">
        <f t="shared" si="24"/>
        <v>64.999997224370475</v>
      </c>
      <c r="T49" s="13">
        <f t="shared" si="36"/>
        <v>2042.313542175104</v>
      </c>
      <c r="U49" s="13">
        <f t="shared" si="26"/>
        <v>2012.3157894850926</v>
      </c>
      <c r="V49" s="20">
        <f t="shared" si="43"/>
        <v>0.57679899747170016</v>
      </c>
      <c r="X49">
        <v>2044</v>
      </c>
      <c r="Y49" s="13">
        <v>64.999997282690344</v>
      </c>
      <c r="Z49" s="84">
        <v>64.999994104100438</v>
      </c>
      <c r="AA49" s="13">
        <v>64.999993515652804</v>
      </c>
      <c r="AC49">
        <v>2044</v>
      </c>
      <c r="AD49" s="13">
        <v>64.999576482602166</v>
      </c>
      <c r="AE49" s="13">
        <f t="shared" si="21"/>
        <v>64.999994104100438</v>
      </c>
      <c r="AF49" s="13">
        <v>64.999999422379659</v>
      </c>
      <c r="AI49" s="13">
        <f t="shared" si="34"/>
        <v>64.999999261097599</v>
      </c>
      <c r="AM49">
        <f t="shared" si="44"/>
        <v>18.292487265508647</v>
      </c>
      <c r="AN49">
        <f t="shared" si="41"/>
        <v>18.292487265508647</v>
      </c>
      <c r="AO49" s="84">
        <f t="shared" si="5"/>
        <v>18.292487265508647</v>
      </c>
      <c r="AP49" s="3">
        <v>35</v>
      </c>
      <c r="AQ49" s="3">
        <v>0</v>
      </c>
      <c r="BB49"/>
      <c r="BE49" s="33"/>
    </row>
    <row r="50" spans="1:57">
      <c r="A50">
        <v>2045</v>
      </c>
      <c r="G50" s="84">
        <f t="shared" si="11"/>
        <v>64.999999618758778</v>
      </c>
      <c r="H50" s="84">
        <f t="shared" si="42"/>
        <v>64.999999618758778</v>
      </c>
      <c r="I50" s="84">
        <f t="shared" si="35"/>
        <v>64.999995451114202</v>
      </c>
      <c r="J50" s="84">
        <f t="shared" si="31"/>
        <v>64.999996957974275</v>
      </c>
      <c r="K50" s="230">
        <f>P50-SUM(L$17:L50)</f>
        <v>16.877374127923208</v>
      </c>
      <c r="L50" s="13">
        <f t="shared" si="27"/>
        <v>0</v>
      </c>
      <c r="M50" s="13">
        <f t="shared" si="28"/>
        <v>0</v>
      </c>
      <c r="N50" s="230">
        <f t="shared" si="29"/>
        <v>-7.733667509433273E-2</v>
      </c>
      <c r="O50" s="89">
        <f t="shared" si="45"/>
        <v>0.2</v>
      </c>
      <c r="P50" s="13">
        <f t="shared" si="30"/>
        <v>17.228394984055445</v>
      </c>
      <c r="R50" s="84">
        <f t="shared" si="37"/>
        <v>64.999997858507939</v>
      </c>
      <c r="S50" s="84">
        <f t="shared" si="24"/>
        <v>64.999998567896881</v>
      </c>
      <c r="T50" s="13">
        <f t="shared" si="36"/>
        <v>2043.313542175104</v>
      </c>
      <c r="U50" s="13">
        <f t="shared" si="26"/>
        <v>2012.3157894850926</v>
      </c>
      <c r="V50" s="20">
        <f t="shared" si="43"/>
        <v>0.57679899747170016</v>
      </c>
      <c r="X50">
        <v>2045</v>
      </c>
      <c r="Y50" s="13">
        <v>64.999998597987371</v>
      </c>
      <c r="Z50" s="84">
        <v>64.999996957974275</v>
      </c>
      <c r="AA50" s="13">
        <v>64.99999665436107</v>
      </c>
      <c r="AC50">
        <v>2045</v>
      </c>
      <c r="AD50" s="13">
        <v>64.999749120327124</v>
      </c>
      <c r="AE50" s="13">
        <f t="shared" si="21"/>
        <v>64.999996957974275</v>
      </c>
      <c r="AF50" s="13">
        <v>64.999999701973238</v>
      </c>
      <c r="AI50" s="13">
        <f t="shared" si="34"/>
        <v>64.999999618758778</v>
      </c>
      <c r="AM50">
        <f t="shared" si="44"/>
        <v>18.954220794187258</v>
      </c>
      <c r="AN50">
        <f t="shared" si="41"/>
        <v>18.954220794187258</v>
      </c>
      <c r="AO50" s="84">
        <f t="shared" si="5"/>
        <v>18.954220794187258</v>
      </c>
      <c r="AP50" s="3">
        <v>36</v>
      </c>
      <c r="AQ50" s="3">
        <v>0</v>
      </c>
      <c r="BB50"/>
      <c r="BE50" s="33"/>
    </row>
    <row r="51" spans="1:57">
      <c r="A51">
        <v>2046</v>
      </c>
      <c r="G51" s="84">
        <f t="shared" si="11"/>
        <v>64.999999803296248</v>
      </c>
      <c r="H51" s="84">
        <f t="shared" si="42"/>
        <v>64.999999803296248</v>
      </c>
      <c r="I51" s="84">
        <f t="shared" si="35"/>
        <v>64.999997652974258</v>
      </c>
      <c r="J51" s="84">
        <f t="shared" si="31"/>
        <v>64.999998430448116</v>
      </c>
      <c r="K51" s="230">
        <f>P51-SUM(L$17:L51)</f>
        <v>17.539107645144473</v>
      </c>
      <c r="L51" s="13">
        <f t="shared" si="27"/>
        <v>0</v>
      </c>
      <c r="M51" s="13">
        <f t="shared" si="28"/>
        <v>0</v>
      </c>
      <c r="N51" s="230">
        <f t="shared" si="29"/>
        <v>-7.733667509433273E-2</v>
      </c>
      <c r="O51" s="89">
        <f t="shared" si="45"/>
        <v>0.2</v>
      </c>
      <c r="P51" s="13">
        <f t="shared" si="30"/>
        <v>17.89012850127671</v>
      </c>
      <c r="R51" s="84">
        <f t="shared" si="37"/>
        <v>64.999998895084005</v>
      </c>
      <c r="S51" s="84">
        <f t="shared" si="24"/>
        <v>64.999999261097599</v>
      </c>
      <c r="T51" s="13">
        <f t="shared" si="36"/>
        <v>2044.313542175104</v>
      </c>
      <c r="U51" s="13">
        <f t="shared" si="26"/>
        <v>2012.3157894850926</v>
      </c>
      <c r="V51" s="20">
        <f t="shared" si="43"/>
        <v>0.57679899747170016</v>
      </c>
      <c r="X51">
        <v>2046</v>
      </c>
      <c r="Y51" s="13">
        <v>64.999999276622972</v>
      </c>
      <c r="Z51" s="84">
        <v>64.999998430448116</v>
      </c>
      <c r="AA51" s="13">
        <v>64.999998273797019</v>
      </c>
      <c r="AC51">
        <v>2046</v>
      </c>
      <c r="AD51" s="13">
        <v>64.999851386176545</v>
      </c>
      <c r="AE51" s="13">
        <f t="shared" si="21"/>
        <v>64.999998430448116</v>
      </c>
      <c r="AF51" s="13">
        <v>64.999999846231248</v>
      </c>
      <c r="AI51" s="13">
        <f t="shared" si="34"/>
        <v>64.999999803296248</v>
      </c>
      <c r="AM51">
        <f t="shared" si="44"/>
        <v>19.615954322865868</v>
      </c>
      <c r="AN51">
        <f t="shared" si="41"/>
        <v>19.615954322865868</v>
      </c>
      <c r="AO51" s="84">
        <f t="shared" si="5"/>
        <v>19.615954322865868</v>
      </c>
      <c r="AP51" s="3">
        <v>37</v>
      </c>
      <c r="AQ51" s="3">
        <v>0</v>
      </c>
      <c r="BB51"/>
      <c r="BE51" s="33"/>
    </row>
    <row r="52" spans="1:57">
      <c r="A52">
        <v>2047</v>
      </c>
      <c r="G52" s="84">
        <f t="shared" si="11"/>
        <v>64.9999998985095</v>
      </c>
      <c r="H52" s="84">
        <f t="shared" si="42"/>
        <v>64.9999998985095</v>
      </c>
      <c r="I52" s="84">
        <f t="shared" si="35"/>
        <v>64.999998789037619</v>
      </c>
      <c r="J52" s="84">
        <f t="shared" si="31"/>
        <v>64.999999190180077</v>
      </c>
      <c r="K52" s="230">
        <f>P52-SUM(L$17:L52)</f>
        <v>18.200841173800555</v>
      </c>
      <c r="L52" s="13">
        <f t="shared" si="27"/>
        <v>0</v>
      </c>
      <c r="M52" s="13">
        <f t="shared" si="28"/>
        <v>0</v>
      </c>
      <c r="N52" s="230">
        <f t="shared" si="29"/>
        <v>-7.733667509433273E-2</v>
      </c>
      <c r="O52" s="89">
        <f t="shared" si="45"/>
        <v>0.2</v>
      </c>
      <c r="P52" s="13">
        <f t="shared" si="30"/>
        <v>18.551862029932792</v>
      </c>
      <c r="R52" s="84">
        <f t="shared" si="37"/>
        <v>64.99999942991181</v>
      </c>
      <c r="S52" s="84">
        <f t="shared" si="24"/>
        <v>64.999999618758778</v>
      </c>
      <c r="T52" s="13">
        <f t="shared" si="36"/>
        <v>2045.313542175104</v>
      </c>
      <c r="U52" s="13">
        <f t="shared" si="26"/>
        <v>2012.3157894850926</v>
      </c>
      <c r="V52" s="20">
        <f t="shared" si="43"/>
        <v>0.57679899747170016</v>
      </c>
      <c r="X52">
        <v>2047</v>
      </c>
      <c r="Y52" s="13">
        <v>64.999999626769181</v>
      </c>
      <c r="Z52" s="84">
        <v>64.999999190180077</v>
      </c>
      <c r="AA52" s="13">
        <v>64.999999109354974</v>
      </c>
      <c r="AC52">
        <v>2047</v>
      </c>
      <c r="AD52" s="13">
        <v>64.999911965551078</v>
      </c>
      <c r="AE52" s="13">
        <f t="shared" si="21"/>
        <v>64.999999190180077</v>
      </c>
      <c r="AF52" s="13">
        <v>64.999999920662063</v>
      </c>
      <c r="AI52" s="13">
        <f t="shared" si="34"/>
        <v>64.9999998985095</v>
      </c>
      <c r="AM52">
        <f t="shared" si="44"/>
        <v>20.277687851544478</v>
      </c>
      <c r="AN52">
        <f t="shared" si="41"/>
        <v>20.277687851544478</v>
      </c>
      <c r="AO52" s="84">
        <f t="shared" si="5"/>
        <v>20.277687851544478</v>
      </c>
      <c r="AP52" s="3">
        <v>38</v>
      </c>
      <c r="AQ52" s="3">
        <v>0</v>
      </c>
      <c r="BB52"/>
      <c r="BE52" s="33"/>
    </row>
    <row r="53" spans="1:57">
      <c r="A53">
        <v>2048</v>
      </c>
      <c r="G53" s="84">
        <f t="shared" si="11"/>
        <v>64.999999947635359</v>
      </c>
      <c r="H53" s="84">
        <f t="shared" si="42"/>
        <v>64.999999947635345</v>
      </c>
      <c r="I53" s="84">
        <f t="shared" si="35"/>
        <v>64.999999375196523</v>
      </c>
      <c r="J53" s="84">
        <f t="shared" si="31"/>
        <v>64.999999582168428</v>
      </c>
      <c r="K53" s="230">
        <f>P53-SUM(L$17:L53)</f>
        <v>18.862574682362702</v>
      </c>
      <c r="L53" s="13">
        <f t="shared" si="27"/>
        <v>0</v>
      </c>
      <c r="M53" s="13">
        <f t="shared" si="28"/>
        <v>0</v>
      </c>
      <c r="N53" s="230">
        <f t="shared" si="29"/>
        <v>-7.733667509433273E-2</v>
      </c>
      <c r="O53" s="89">
        <f t="shared" si="45"/>
        <v>0.2</v>
      </c>
      <c r="P53" s="13">
        <f t="shared" si="30"/>
        <v>19.213595538494939</v>
      </c>
      <c r="R53" s="84">
        <f t="shared" si="37"/>
        <v>64.999999705859494</v>
      </c>
      <c r="S53" s="84">
        <f t="shared" si="24"/>
        <v>64.999999803296248</v>
      </c>
      <c r="T53" s="13">
        <f t="shared" si="36"/>
        <v>2046.313542175104</v>
      </c>
      <c r="U53" s="13">
        <f t="shared" si="26"/>
        <v>2012.3157894850926</v>
      </c>
      <c r="V53" s="20">
        <f t="shared" si="43"/>
        <v>0.57679899747170016</v>
      </c>
      <c r="X53">
        <v>2048</v>
      </c>
      <c r="Y53" s="13">
        <v>64.999999807429262</v>
      </c>
      <c r="Z53" s="84">
        <v>64.999999582168428</v>
      </c>
      <c r="AA53" s="13">
        <v>64.99999954046622</v>
      </c>
      <c r="AC53">
        <v>2048</v>
      </c>
      <c r="AD53" s="13">
        <v>64.999947851007249</v>
      </c>
      <c r="AE53" s="13">
        <f t="shared" si="21"/>
        <v>64.999999582168428</v>
      </c>
      <c r="AF53" s="13">
        <v>64.999999959065107</v>
      </c>
      <c r="AI53" s="13">
        <f t="shared" si="34"/>
        <v>64.999999947635359</v>
      </c>
      <c r="AM53">
        <f t="shared" si="44"/>
        <v>20.939421380223088</v>
      </c>
      <c r="AN53">
        <f t="shared" si="41"/>
        <v>20.939421380223088</v>
      </c>
      <c r="AO53" s="84">
        <f t="shared" si="5"/>
        <v>20.939421380223084</v>
      </c>
      <c r="AP53" s="3">
        <v>39</v>
      </c>
      <c r="AQ53" s="3">
        <v>0</v>
      </c>
      <c r="BB53"/>
      <c r="BE53" s="33"/>
    </row>
    <row r="54" spans="1:57">
      <c r="A54">
        <v>2049</v>
      </c>
      <c r="G54" s="84">
        <f t="shared" si="11"/>
        <v>64.999999972982138</v>
      </c>
      <c r="H54" s="84">
        <f t="shared" si="42"/>
        <v>64.999999972982138</v>
      </c>
      <c r="I54" s="84">
        <f t="shared" si="35"/>
        <v>64.999999677628793</v>
      </c>
      <c r="J54" s="84">
        <f t="shared" si="31"/>
        <v>64.999999784417241</v>
      </c>
      <c r="K54" s="230">
        <f>P54-SUM(L$17:L54)</f>
        <v>19.524308196108947</v>
      </c>
      <c r="L54" s="13">
        <f t="shared" si="27"/>
        <v>0</v>
      </c>
      <c r="M54" s="13">
        <f t="shared" si="28"/>
        <v>0</v>
      </c>
      <c r="N54" s="230">
        <f t="shared" si="29"/>
        <v>-7.733667509433273E-2</v>
      </c>
      <c r="O54" s="89">
        <f t="shared" si="45"/>
        <v>0.2</v>
      </c>
      <c r="P54" s="13">
        <f t="shared" si="30"/>
        <v>19.875329052241185</v>
      </c>
      <c r="R54" s="84">
        <f t="shared" si="37"/>
        <v>64.999999848236399</v>
      </c>
      <c r="S54" s="84">
        <f t="shared" si="24"/>
        <v>64.9999998985095</v>
      </c>
      <c r="T54" s="13">
        <f t="shared" si="36"/>
        <v>2047.313542175104</v>
      </c>
      <c r="U54" s="13">
        <f t="shared" si="26"/>
        <v>2012.3157894850926</v>
      </c>
      <c r="V54" s="20">
        <f t="shared" si="43"/>
        <v>0.57679899747170016</v>
      </c>
      <c r="X54">
        <v>2049</v>
      </c>
      <c r="Y54" s="13">
        <v>64.999999900641939</v>
      </c>
      <c r="Z54" s="84">
        <v>64.999999784417241</v>
      </c>
      <c r="AA54" s="13">
        <v>64.999999762900728</v>
      </c>
      <c r="AC54">
        <v>2049</v>
      </c>
      <c r="AD54" s="13">
        <v>64.999969108492905</v>
      </c>
      <c r="AE54" s="13">
        <f t="shared" si="21"/>
        <v>64.999999784417241</v>
      </c>
      <c r="AF54" s="13">
        <v>64.999999978879387</v>
      </c>
      <c r="AI54" s="13">
        <f t="shared" si="34"/>
        <v>64.999999972982138</v>
      </c>
      <c r="AM54">
        <f t="shared" si="44"/>
        <v>21.601154908901695</v>
      </c>
      <c r="AN54">
        <f t="shared" si="41"/>
        <v>21.601154908901695</v>
      </c>
      <c r="AO54" s="84">
        <f t="shared" si="5"/>
        <v>21.601154908901695</v>
      </c>
      <c r="AP54" s="3">
        <v>40</v>
      </c>
      <c r="AQ54" s="3">
        <v>0</v>
      </c>
      <c r="BB54"/>
      <c r="BE54" s="33"/>
    </row>
    <row r="55" spans="1:57">
      <c r="A55">
        <v>2050</v>
      </c>
      <c r="G55" s="84">
        <f t="shared" si="11"/>
        <v>64.999999986059962</v>
      </c>
      <c r="H55" s="84">
        <f t="shared" si="42"/>
        <v>64.999999986059962</v>
      </c>
      <c r="I55" s="84">
        <f t="shared" si="35"/>
        <v>64.999999833670586</v>
      </c>
      <c r="J55" s="84">
        <f t="shared" si="31"/>
        <v>64.999999888768727</v>
      </c>
      <c r="K55" s="230">
        <f>P55-SUM(L$17:L55)</f>
        <v>20.186041573684033</v>
      </c>
      <c r="L55" s="13">
        <f t="shared" si="27"/>
        <v>0</v>
      </c>
      <c r="M55" s="13">
        <f t="shared" si="28"/>
        <v>0</v>
      </c>
      <c r="N55" s="230">
        <f t="shared" si="29"/>
        <v>-7.733667509433273E-2</v>
      </c>
      <c r="O55" s="89">
        <f t="shared" si="45"/>
        <v>0.2</v>
      </c>
      <c r="P55" s="13">
        <f t="shared" si="30"/>
        <v>20.53706242981627</v>
      </c>
      <c r="R55" s="84">
        <f t="shared" si="37"/>
        <v>64.999999921696627</v>
      </c>
      <c r="S55" s="84">
        <f t="shared" si="24"/>
        <v>64.999999947635345</v>
      </c>
      <c r="T55" s="13">
        <f t="shared" si="36"/>
        <v>2048.313542175104</v>
      </c>
      <c r="U55" s="13">
        <f t="shared" si="26"/>
        <v>2012.3157894850926</v>
      </c>
      <c r="V55" s="20">
        <f t="shared" si="43"/>
        <v>0.57679899747170016</v>
      </c>
      <c r="X55">
        <v>2050</v>
      </c>
      <c r="Y55" s="13">
        <v>64.999999948735606</v>
      </c>
      <c r="Z55" s="84">
        <v>64.999999888768727</v>
      </c>
      <c r="AA55" s="13">
        <v>64.99999987766715</v>
      </c>
      <c r="AC55">
        <v>2050</v>
      </c>
      <c r="AD55" s="13">
        <v>64.999981700795132</v>
      </c>
      <c r="AE55" s="13">
        <f t="shared" si="21"/>
        <v>64.999999888768727</v>
      </c>
      <c r="AF55" s="13">
        <v>64.999999989102704</v>
      </c>
      <c r="AI55" s="13">
        <f t="shared" si="34"/>
        <v>64.999999986059962</v>
      </c>
      <c r="AM55">
        <f t="shared" si="44"/>
        <v>22.262888437580305</v>
      </c>
      <c r="AN55">
        <f t="shared" si="41"/>
        <v>22.262888437580305</v>
      </c>
      <c r="AO55" s="84">
        <f t="shared" si="5"/>
        <v>22.262888437580305</v>
      </c>
      <c r="AP55" s="3">
        <v>41</v>
      </c>
      <c r="AQ55" s="3">
        <v>0</v>
      </c>
      <c r="BB55"/>
      <c r="BE55" s="33"/>
    </row>
    <row r="56" spans="1:57">
      <c r="A56">
        <v>2051</v>
      </c>
      <c r="H56" s="84">
        <f t="shared" si="42"/>
        <v>64.99999999280756</v>
      </c>
      <c r="I56" s="84"/>
      <c r="J56" s="93">
        <f t="shared" si="31"/>
        <v>64.999999942609534</v>
      </c>
      <c r="K56" s="230">
        <f>P56-SUM(L$17:L56)</f>
        <v>20.847775121832818</v>
      </c>
      <c r="L56" s="13">
        <f t="shared" si="27"/>
        <v>0</v>
      </c>
      <c r="M56" s="13">
        <f t="shared" si="28"/>
        <v>0</v>
      </c>
      <c r="N56" s="230">
        <f t="shared" si="29"/>
        <v>-7.733667509433273E-2</v>
      </c>
      <c r="O56" s="89">
        <f t="shared" si="45"/>
        <v>0.2</v>
      </c>
      <c r="P56" s="13">
        <f t="shared" si="30"/>
        <v>21.198795977965055</v>
      </c>
      <c r="R56" s="84">
        <f t="shared" si="37"/>
        <v>64.999999959598895</v>
      </c>
      <c r="S56" s="84">
        <f t="shared" si="24"/>
        <v>64.999999972982138</v>
      </c>
      <c r="T56" s="13">
        <f t="shared" si="36"/>
        <v>2049.313542175104</v>
      </c>
      <c r="U56" s="13">
        <f t="shared" si="26"/>
        <v>2012.3157894850926</v>
      </c>
      <c r="V56" s="20">
        <f t="shared" si="43"/>
        <v>0.57679899747170016</v>
      </c>
      <c r="AM56">
        <f t="shared" si="44"/>
        <v>22.924621966258915</v>
      </c>
      <c r="AN56">
        <f t="shared" si="41"/>
        <v>22.924621966258915</v>
      </c>
      <c r="AO56" s="84">
        <f t="shared" si="5"/>
        <v>22.924621966258915</v>
      </c>
      <c r="AP56" s="3">
        <v>42</v>
      </c>
      <c r="AQ56" s="3">
        <v>0</v>
      </c>
      <c r="BB56"/>
      <c r="BE56" s="33"/>
    </row>
    <row r="57" spans="1:57">
      <c r="A57">
        <v>2052</v>
      </c>
      <c r="H57" s="84">
        <f t="shared" si="42"/>
        <v>64.99999999628902</v>
      </c>
      <c r="I57" s="84"/>
      <c r="J57" s="93">
        <f t="shared" si="31"/>
        <v>64.999999970389041</v>
      </c>
      <c r="K57" s="230">
        <f>P57-SUM(L$17:L57)</f>
        <v>21.509508916791656</v>
      </c>
      <c r="L57" s="13">
        <f t="shared" si="27"/>
        <v>0</v>
      </c>
      <c r="M57" s="13">
        <f t="shared" si="28"/>
        <v>0</v>
      </c>
      <c r="N57" s="230">
        <f t="shared" si="29"/>
        <v>-7.733667509433273E-2</v>
      </c>
      <c r="O57" s="89">
        <f t="shared" si="45"/>
        <v>0.2</v>
      </c>
      <c r="P57" s="13">
        <f t="shared" si="30"/>
        <v>21.860529772923893</v>
      </c>
      <c r="R57" s="84">
        <f t="shared" si="37"/>
        <v>64.999999979154808</v>
      </c>
      <c r="S57" s="84">
        <f t="shared" si="24"/>
        <v>64.999999986059962</v>
      </c>
      <c r="T57" s="13">
        <f t="shared" si="36"/>
        <v>2050.313542175104</v>
      </c>
      <c r="U57" s="13">
        <f t="shared" si="26"/>
        <v>2012.3157894850926</v>
      </c>
      <c r="V57" s="20">
        <f t="shared" si="43"/>
        <v>0.57679899747170016</v>
      </c>
      <c r="AM57">
        <f t="shared" si="44"/>
        <v>23.586355494937525</v>
      </c>
      <c r="AN57">
        <f t="shared" si="41"/>
        <v>23.586355494937525</v>
      </c>
      <c r="AO57" s="84">
        <f t="shared" si="5"/>
        <v>23.586355494937525</v>
      </c>
      <c r="AP57" s="3">
        <v>43</v>
      </c>
      <c r="AQ57" s="3">
        <v>0</v>
      </c>
      <c r="BB57"/>
      <c r="BE57" s="33"/>
    </row>
    <row r="58" spans="1:57">
      <c r="A58">
        <v>2053</v>
      </c>
      <c r="H58" s="84">
        <f t="shared" si="42"/>
        <v>64.999999998085286</v>
      </c>
      <c r="I58" s="84"/>
      <c r="J58" s="93">
        <f t="shared" si="31"/>
        <v>64.999999984722052</v>
      </c>
      <c r="K58" s="230">
        <f>P58-SUM(L$17:L58)</f>
        <v>22.171242782829314</v>
      </c>
      <c r="L58" s="13">
        <f t="shared" si="27"/>
        <v>0</v>
      </c>
      <c r="M58" s="13">
        <f t="shared" si="28"/>
        <v>0</v>
      </c>
      <c r="N58" s="230">
        <f t="shared" si="29"/>
        <v>-7.733667509433273E-2</v>
      </c>
      <c r="O58" s="89">
        <f t="shared" si="45"/>
        <v>0.2</v>
      </c>
      <c r="P58" s="13">
        <f t="shared" si="30"/>
        <v>22.522263638961551</v>
      </c>
      <c r="R58" s="84">
        <f t="shared" si="37"/>
        <v>64.999999989244799</v>
      </c>
      <c r="S58" s="84">
        <f t="shared" si="24"/>
        <v>64.99999999280756</v>
      </c>
      <c r="T58" s="13">
        <f t="shared" si="36"/>
        <v>2051.313542175104</v>
      </c>
      <c r="U58" s="13">
        <f t="shared" si="26"/>
        <v>2012.3157894850926</v>
      </c>
      <c r="V58" s="20">
        <f t="shared" si="43"/>
        <v>0.57679899747170016</v>
      </c>
      <c r="AM58">
        <f t="shared" si="44"/>
        <v>24.248089023616135</v>
      </c>
      <c r="AN58">
        <f t="shared" si="41"/>
        <v>24.248089023616135</v>
      </c>
      <c r="AO58" s="84">
        <f t="shared" si="5"/>
        <v>24.248089023616135</v>
      </c>
      <c r="AP58" s="3">
        <v>44</v>
      </c>
      <c r="AQ58" s="3">
        <v>0</v>
      </c>
      <c r="BB58"/>
      <c r="BE58" s="33"/>
    </row>
    <row r="59" spans="1:57">
      <c r="A59">
        <v>2054</v>
      </c>
      <c r="H59" s="84">
        <f t="shared" si="42"/>
        <v>64.99999999901209</v>
      </c>
      <c r="I59" s="84"/>
      <c r="J59" s="93">
        <f t="shared" si="31"/>
        <v>64.999999990497386</v>
      </c>
      <c r="K59" s="230">
        <f>P59-SUM(L$17:L59)</f>
        <v>22.646086137452972</v>
      </c>
      <c r="L59" s="13">
        <f t="shared" si="27"/>
        <v>0</v>
      </c>
      <c r="M59" s="13">
        <f t="shared" si="28"/>
        <v>0</v>
      </c>
      <c r="N59" s="230">
        <f t="shared" si="29"/>
        <v>-7.733667509433273E-2</v>
      </c>
      <c r="O59" s="89">
        <f t="shared" si="45"/>
        <v>0.2</v>
      </c>
      <c r="P59" s="13">
        <f t="shared" si="30"/>
        <v>22.997106993585209</v>
      </c>
      <c r="R59" s="84">
        <f>AVERAGE(S57:S61)</f>
        <v>64.999999993310453</v>
      </c>
      <c r="S59" s="84">
        <f t="shared" si="24"/>
        <v>64.99999999628902</v>
      </c>
      <c r="T59" s="13">
        <f t="shared" si="36"/>
        <v>2052.313542175104</v>
      </c>
      <c r="U59" s="13">
        <f t="shared" si="26"/>
        <v>2012.3157894850926</v>
      </c>
      <c r="V59" s="20">
        <f t="shared" si="43"/>
        <v>0.57679899747170016</v>
      </c>
      <c r="AM59">
        <f t="shared" si="44"/>
        <v>24.909822552294745</v>
      </c>
      <c r="AN59">
        <f t="shared" si="41"/>
        <v>24.909822552294745</v>
      </c>
      <c r="AO59" s="84">
        <f t="shared" si="5"/>
        <v>24.909822552294742</v>
      </c>
      <c r="AP59" s="3">
        <v>45</v>
      </c>
      <c r="AQ59" s="3">
        <v>0</v>
      </c>
      <c r="BB59"/>
      <c r="BE59" s="33"/>
    </row>
    <row r="60" spans="1:57">
      <c r="A60">
        <v>2055</v>
      </c>
      <c r="H60" s="84">
        <f t="shared" si="42"/>
        <v>64.999999999290381</v>
      </c>
      <c r="I60" s="84"/>
      <c r="J60" s="93">
        <f t="shared" si="31"/>
        <v>64.999999993930558</v>
      </c>
      <c r="K60" s="230">
        <f>P60-SUM(L$17:L60)</f>
        <v>23.094384752331113</v>
      </c>
      <c r="L60" s="13">
        <f t="shared" si="27"/>
        <v>0</v>
      </c>
      <c r="M60" s="13">
        <f t="shared" si="28"/>
        <v>0</v>
      </c>
      <c r="N60" s="230">
        <f t="shared" si="29"/>
        <v>-7.733667509433273E-2</v>
      </c>
      <c r="O60" s="89">
        <f t="shared" si="45"/>
        <v>0.2</v>
      </c>
      <c r="P60" s="13">
        <f t="shared" si="30"/>
        <v>23.44540560846335</v>
      </c>
      <c r="R60" s="84">
        <f>AVERAGE(S58:S62)</f>
        <v>64.999999995727293</v>
      </c>
      <c r="S60" s="84">
        <f t="shared" si="24"/>
        <v>64.999999998085286</v>
      </c>
      <c r="T60" s="13">
        <f t="shared" si="36"/>
        <v>2053.313542175104</v>
      </c>
      <c r="U60" s="13">
        <f t="shared" si="26"/>
        <v>2012.3157894850926</v>
      </c>
      <c r="V60" s="20">
        <f t="shared" si="43"/>
        <v>0.57679899747170016</v>
      </c>
      <c r="AM60">
        <f t="shared" si="44"/>
        <v>25.571556080973352</v>
      </c>
      <c r="AN60">
        <f t="shared" si="41"/>
        <v>25.571556080973352</v>
      </c>
      <c r="AO60" s="84">
        <f t="shared" si="5"/>
        <v>25.240689316634047</v>
      </c>
      <c r="AP60" s="3">
        <v>46</v>
      </c>
      <c r="AQ60" s="3">
        <v>0</v>
      </c>
      <c r="BB60"/>
      <c r="BE60" s="33"/>
    </row>
    <row r="61" spans="1:57">
      <c r="AN61" s="3"/>
      <c r="BB61"/>
      <c r="BC61" s="33"/>
    </row>
    <row r="62" spans="1:57">
      <c r="BB62"/>
      <c r="BC62" s="33"/>
    </row>
    <row r="63" spans="1:57">
      <c r="BB63"/>
      <c r="BC63" s="33"/>
    </row>
    <row r="64" spans="1:57">
      <c r="Q64" s="41" t="str">
        <f>' All EV uptake'!D46</f>
        <v>Intercept</v>
      </c>
      <c r="R64" s="41">
        <f>' All EV uptake'!E46</f>
        <v>2006.0956444042549</v>
      </c>
    </row>
    <row r="65" spans="2:36">
      <c r="Q65" s="41" t="str">
        <f>' All EV uptake'!D47</f>
        <v>EV/FFV cost ratio</v>
      </c>
      <c r="R65" s="41">
        <f>' All EV uptake'!E47</f>
        <v>10.783904112355547</v>
      </c>
    </row>
    <row r="66" spans="2:36">
      <c r="B66" t="s">
        <v>1233</v>
      </c>
      <c r="C66" s="13">
        <f>AVERAGE(H77,45.21)</f>
        <v>48.528271313648382</v>
      </c>
      <c r="Q66" s="41" t="str">
        <f>' All EV uptake'!D48</f>
        <v>dumKorea</v>
      </c>
      <c r="R66" s="41">
        <f>' All EV uptake'!E48</f>
        <v>3.2747008164932261</v>
      </c>
    </row>
    <row r="67" spans="2:36">
      <c r="B67" t="s">
        <v>1241</v>
      </c>
      <c r="Q67" s="41" t="str">
        <f>' All EV uptake'!D49</f>
        <v>dumUK</v>
      </c>
      <c r="R67" s="41">
        <f>' All EV uptake'!E49</f>
        <v>2.7276845521810786</v>
      </c>
    </row>
    <row r="68" spans="2:36">
      <c r="Q68" s="41" t="str">
        <f>' All EV uptake'!D50</f>
        <v>dumNeth</v>
      </c>
      <c r="R68" s="41">
        <f>' All EV uptake'!E50</f>
        <v>-1.2544269368470402</v>
      </c>
    </row>
    <row r="69" spans="2:36">
      <c r="C69" s="242">
        <v>2016</v>
      </c>
      <c r="D69" s="242"/>
      <c r="E69" s="242">
        <v>2017</v>
      </c>
      <c r="F69" s="242"/>
      <c r="G69" s="242">
        <v>2018</v>
      </c>
      <c r="H69" s="242"/>
      <c r="I69" s="242"/>
      <c r="Q69" s="41" t="str">
        <f>' All EV uptake'!D51</f>
        <v>dumChina</v>
      </c>
      <c r="R69" s="41">
        <f>' All EV uptake'!E51</f>
        <v>1.6840641661301363</v>
      </c>
    </row>
    <row r="70" spans="2:36">
      <c r="B70" t="s">
        <v>1235</v>
      </c>
      <c r="C70">
        <v>10939</v>
      </c>
      <c r="E70">
        <v>13400</v>
      </c>
      <c r="G70">
        <v>16173</v>
      </c>
      <c r="Q70" s="41" t="str">
        <f>' All EV uptake'!D52</f>
        <v>dumDenmark</v>
      </c>
      <c r="R70" s="41">
        <f>' All EV uptake'!E52</f>
        <v>3.2654872236791634</v>
      </c>
      <c r="AI70" s="41" t="s">
        <v>159</v>
      </c>
      <c r="AJ70" s="41">
        <v>-4.868186238242683</v>
      </c>
    </row>
    <row r="71" spans="2:36">
      <c r="B71" t="s">
        <v>1236</v>
      </c>
      <c r="C71">
        <v>11154</v>
      </c>
      <c r="D71">
        <f>C70+C71</f>
        <v>22093</v>
      </c>
      <c r="E71" s="14">
        <v>13695</v>
      </c>
      <c r="F71">
        <f>E70+E71</f>
        <v>27095</v>
      </c>
      <c r="G71">
        <v>19593</v>
      </c>
      <c r="H71">
        <f>G70+G71</f>
        <v>35766</v>
      </c>
      <c r="Q71" s="41" t="str">
        <f>' All EV uptake'!D53</f>
        <v>dumIreland</v>
      </c>
      <c r="R71" s="41">
        <f>' All EV uptake'!E53</f>
        <v>3.5582490934682056</v>
      </c>
      <c r="AI71" s="41" t="s">
        <v>329</v>
      </c>
      <c r="AJ71" s="41">
        <v>0.66173352867860946</v>
      </c>
    </row>
    <row r="72" spans="2:36" ht="15.75" thickBot="1">
      <c r="B72" t="s">
        <v>1237</v>
      </c>
      <c r="C72">
        <v>11275</v>
      </c>
      <c r="E72">
        <v>15881</v>
      </c>
      <c r="Q72" s="41" t="str">
        <f>' All EV uptake'!D54</f>
        <v>dumNZ</v>
      </c>
      <c r="R72" s="41">
        <f>' All EV uptake'!E54</f>
        <v>1.900474768762227</v>
      </c>
      <c r="AI72" t="s">
        <v>327</v>
      </c>
      <c r="AJ72" s="42">
        <v>0.36609969053372943</v>
      </c>
    </row>
    <row r="73" spans="2:36">
      <c r="B73" t="s">
        <v>1238</v>
      </c>
      <c r="C73" s="18">
        <v>11520</v>
      </c>
      <c r="D73" s="18">
        <f>SUM(C72:C73)</f>
        <v>22795</v>
      </c>
      <c r="E73" s="18">
        <v>19194</v>
      </c>
      <c r="F73" s="18">
        <f>SUM(E72:E73)</f>
        <v>35075</v>
      </c>
      <c r="G73" s="18"/>
      <c r="H73" s="16">
        <f>H71*F73/F71</f>
        <v>46299.776711570397</v>
      </c>
      <c r="I73" s="50"/>
      <c r="Q73" s="41" t="str">
        <f>' All EV uptake'!D55</f>
        <v>dumSwitzerland</v>
      </c>
      <c r="R73" s="41">
        <f>' All EV uptake'!E55</f>
        <v>-2.1041729879229703</v>
      </c>
    </row>
    <row r="74" spans="2:36">
      <c r="C74">
        <f>SUM(C70:C73)</f>
        <v>44888</v>
      </c>
      <c r="D74">
        <f>SUM(D70:D73)</f>
        <v>44888</v>
      </c>
      <c r="E74">
        <f>SUM(E70:E73)</f>
        <v>62170</v>
      </c>
      <c r="F74">
        <f>SUM(F70:F73)</f>
        <v>62170</v>
      </c>
      <c r="H74" s="3">
        <f>SUM(H70:H73)</f>
        <v>82065.77671157039</v>
      </c>
      <c r="I74" s="3"/>
      <c r="Q74" s="41" t="str">
        <f>' All EV uptake'!D56</f>
        <v>dumSpain</v>
      </c>
      <c r="R74" s="41">
        <f>' All EV uptake'!E56</f>
        <v>4.4168133039283006</v>
      </c>
    </row>
    <row r="75" spans="2:36">
      <c r="Q75" s="41" t="str">
        <f>' All EV uptake'!D57</f>
        <v>dumIndia</v>
      </c>
      <c r="R75" s="41">
        <f>' All EV uptake'!E57</f>
        <v>8.3918907463589623</v>
      </c>
    </row>
    <row r="76" spans="2:36">
      <c r="Q76" s="41" t="str">
        <f>' All EV uptake'!D58</f>
        <v>dumUSA</v>
      </c>
      <c r="R76" s="41">
        <f>' All EV uptake'!E58</f>
        <v>2.1386885311349126</v>
      </c>
    </row>
    <row r="77" spans="2:36">
      <c r="C77" s="13">
        <f>F21</f>
        <v>29.047301798800802</v>
      </c>
      <c r="E77" s="13">
        <f>F22</f>
        <v>39.277024897573277</v>
      </c>
      <c r="F77" s="13">
        <f>C77*E74/C74</f>
        <v>40.230590644079612</v>
      </c>
      <c r="H77" s="13">
        <f>E77*H74/E74</f>
        <v>51.846542627296763</v>
      </c>
      <c r="I77" s="13"/>
      <c r="Q77" s="41" t="str">
        <f>' All EV uptake'!D59</f>
        <v>dumAustria</v>
      </c>
      <c r="R77" s="41">
        <f>' All EV uptake'!E59</f>
        <v>-0.86657486911619475</v>
      </c>
    </row>
    <row r="78" spans="2:36">
      <c r="Q78" s="41" t="str">
        <f>' All EV uptake'!D60</f>
        <v>dumItaly</v>
      </c>
      <c r="R78" s="41">
        <f>' All EV uptake'!E60</f>
        <v>2.0513905871244105</v>
      </c>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207"/>
  <sheetViews>
    <sheetView topLeftCell="A58" zoomScale="75" zoomScaleNormal="75" workbookViewId="0">
      <selection activeCell="F15" sqref="F15:F25"/>
    </sheetView>
  </sheetViews>
  <sheetFormatPr defaultRowHeight="15"/>
  <cols>
    <col min="2" max="2" width="12" customWidth="1"/>
    <col min="3" max="3" width="10.42578125" customWidth="1"/>
    <col min="5" max="6" width="12" customWidth="1"/>
    <col min="7" max="7" width="10.85546875" customWidth="1"/>
    <col min="8" max="8" width="10.5703125" customWidth="1"/>
    <col min="9" max="9" width="14.140625" customWidth="1"/>
    <col min="10" max="10" width="10.85546875" customWidth="1"/>
    <col min="12" max="12" width="13.42578125" customWidth="1"/>
    <col min="22" max="25" width="10.5703125" customWidth="1"/>
    <col min="26" max="26" width="14.85546875" customWidth="1"/>
    <col min="27" max="27" width="12.7109375" customWidth="1"/>
    <col min="28" max="28" width="11" customWidth="1"/>
    <col min="29" max="30" width="13.140625" customWidth="1"/>
    <col min="31" max="31" width="12.5703125" customWidth="1"/>
    <col min="34" max="34" width="11.42578125" customWidth="1"/>
    <col min="47" max="47" width="7.85546875" customWidth="1"/>
    <col min="51" max="51" width="11.85546875" customWidth="1"/>
    <col min="52" max="52" width="11.7109375" customWidth="1"/>
    <col min="53" max="53" width="3.5703125" customWidth="1"/>
    <col min="58" max="58" width="11.5703125" customWidth="1"/>
    <col min="59" max="59" width="3.28515625" customWidth="1"/>
    <col min="60" max="60" width="9.42578125" customWidth="1"/>
  </cols>
  <sheetData>
    <row r="1" spans="1:43">
      <c r="B1" t="s">
        <v>752</v>
      </c>
      <c r="U1" t="s">
        <v>730</v>
      </c>
      <c r="V1" s="33" t="s">
        <v>715</v>
      </c>
      <c r="W1" s="87" t="s">
        <v>1181</v>
      </c>
      <c r="X1" s="87" t="s">
        <v>1181</v>
      </c>
      <c r="Y1" s="87" t="s">
        <v>1181</v>
      </c>
      <c r="AM1" t="s">
        <v>5</v>
      </c>
      <c r="AN1" t="s">
        <v>324</v>
      </c>
      <c r="AP1" t="s">
        <v>5</v>
      </c>
      <c r="AQ1" t="s">
        <v>324</v>
      </c>
    </row>
    <row r="2" spans="1:43">
      <c r="A2" t="s">
        <v>5</v>
      </c>
      <c r="B2" t="s">
        <v>1395</v>
      </c>
      <c r="C2" t="s">
        <v>671</v>
      </c>
      <c r="D2" t="s">
        <v>498</v>
      </c>
      <c r="E2" t="s">
        <v>671</v>
      </c>
      <c r="F2" t="s">
        <v>671</v>
      </c>
      <c r="G2" t="s">
        <v>671</v>
      </c>
      <c r="H2" t="s">
        <v>671</v>
      </c>
      <c r="I2" t="s">
        <v>671</v>
      </c>
      <c r="J2" t="s">
        <v>671</v>
      </c>
      <c r="L2" t="s">
        <v>671</v>
      </c>
      <c r="V2" s="33"/>
      <c r="W2" s="87" t="s">
        <v>338</v>
      </c>
      <c r="X2" s="87" t="s">
        <v>1182</v>
      </c>
      <c r="Y2" s="87" t="s">
        <v>1183</v>
      </c>
      <c r="AB2" t="s">
        <v>671</v>
      </c>
      <c r="AC2" t="s">
        <v>671</v>
      </c>
      <c r="AD2" t="s">
        <v>671</v>
      </c>
      <c r="AM2" t="s">
        <v>882</v>
      </c>
      <c r="AN2" t="s">
        <v>882</v>
      </c>
      <c r="AP2" t="s">
        <v>883</v>
      </c>
      <c r="AQ2" t="s">
        <v>883</v>
      </c>
    </row>
    <row r="3" spans="1:43">
      <c r="B3" t="s">
        <v>710</v>
      </c>
      <c r="C3" t="s">
        <v>710</v>
      </c>
      <c r="D3" t="s">
        <v>714</v>
      </c>
      <c r="E3" t="s">
        <v>728</v>
      </c>
      <c r="F3" t="s">
        <v>749</v>
      </c>
      <c r="G3" t="s">
        <v>729</v>
      </c>
      <c r="H3" t="s">
        <v>269</v>
      </c>
      <c r="I3" t="s">
        <v>755</v>
      </c>
      <c r="J3" t="s">
        <v>269</v>
      </c>
      <c r="L3" t="s">
        <v>908</v>
      </c>
      <c r="M3" t="s">
        <v>318</v>
      </c>
      <c r="N3" t="s">
        <v>319</v>
      </c>
      <c r="O3" t="s">
        <v>991</v>
      </c>
      <c r="T3">
        <v>2009</v>
      </c>
      <c r="U3" s="3">
        <f>'Vehicle price'!X5</f>
        <v>23</v>
      </c>
      <c r="V3">
        <v>1</v>
      </c>
      <c r="W3" s="3">
        <f t="shared" ref="W3:W24" si="0">X3*V3</f>
        <v>29.592572886961211</v>
      </c>
      <c r="X3" s="3">
        <f>'Vehicle price'!T5</f>
        <v>29.592572886961211</v>
      </c>
      <c r="Y3" s="3">
        <f>X3*Z3</f>
        <v>29.592572886961211</v>
      </c>
      <c r="Z3">
        <v>1</v>
      </c>
      <c r="AB3" t="s">
        <v>269</v>
      </c>
      <c r="AC3" t="s">
        <v>717</v>
      </c>
      <c r="AD3" t="s">
        <v>725</v>
      </c>
      <c r="AI3" t="s">
        <v>727</v>
      </c>
      <c r="AJ3" t="s">
        <v>780</v>
      </c>
      <c r="AM3" t="s">
        <v>992</v>
      </c>
      <c r="AN3" t="s">
        <v>992</v>
      </c>
      <c r="AO3" t="s">
        <v>850</v>
      </c>
      <c r="AP3" t="s">
        <v>992</v>
      </c>
      <c r="AQ3" t="s">
        <v>992</v>
      </c>
    </row>
    <row r="4" spans="1:43">
      <c r="A4">
        <v>2009</v>
      </c>
      <c r="B4" s="3">
        <f>X3</f>
        <v>29.592572886961211</v>
      </c>
      <c r="C4" s="3">
        <f t="shared" ref="C4:C25" si="1">B4*AI4*1000</f>
        <v>186087.86386226478</v>
      </c>
      <c r="D4">
        <v>0</v>
      </c>
      <c r="E4">
        <f>C4*D4/100</f>
        <v>0</v>
      </c>
      <c r="F4">
        <v>0</v>
      </c>
      <c r="G4" s="3">
        <f>0.02*C4</f>
        <v>3721.7572772452959</v>
      </c>
      <c r="H4" s="3">
        <f>C4+E4+F4+G4</f>
        <v>189809.62113951007</v>
      </c>
      <c r="I4" s="3">
        <f>Austria!I3/AJ4*AI4</f>
        <v>12666.739444764085</v>
      </c>
      <c r="J4" s="3">
        <f>H4+I4</f>
        <v>202476.36058427417</v>
      </c>
      <c r="L4" s="3">
        <f t="shared" ref="L4:L25" si="2">AM4</f>
        <v>2625</v>
      </c>
      <c r="M4" s="3">
        <f t="shared" ref="M4:M14" si="3">3000*AI4</f>
        <v>18864.990000000002</v>
      </c>
      <c r="N4" s="3">
        <f t="shared" ref="N4:N25" si="4">1400*AI4</f>
        <v>8803.6620000000003</v>
      </c>
      <c r="O4" s="3">
        <f>L4+M4+N4</f>
        <v>30293.652000000002</v>
      </c>
      <c r="P4" s="3"/>
      <c r="Q4" s="3"/>
      <c r="T4">
        <v>2010</v>
      </c>
      <c r="U4" s="3">
        <f>'Vehicle price'!X6</f>
        <v>23</v>
      </c>
      <c r="V4">
        <v>1</v>
      </c>
      <c r="W4" s="3">
        <f t="shared" si="0"/>
        <v>30</v>
      </c>
      <c r="X4" s="3">
        <f>'Vehicle price'!T6</f>
        <v>30</v>
      </c>
      <c r="Y4" s="3">
        <f t="shared" ref="Y4:Y24" si="5">X4*Z4</f>
        <v>30</v>
      </c>
      <c r="Z4">
        <v>1</v>
      </c>
      <c r="AA4">
        <v>2009</v>
      </c>
      <c r="AB4" s="3">
        <f t="shared" ref="AB4:AB25" si="6">J4</f>
        <v>202476.36058427417</v>
      </c>
      <c r="AC4" s="3">
        <f t="shared" ref="AC4:AC25" si="7">J29</f>
        <v>297343.94167259504</v>
      </c>
      <c r="AD4" s="3">
        <f t="shared" ref="AD4:AD25" si="8">H54</f>
        <v>232856.85990000007</v>
      </c>
      <c r="AH4">
        <v>2009</v>
      </c>
      <c r="AI4" s="156">
        <v>6.2883300000000002</v>
      </c>
      <c r="AJ4" s="156">
        <v>0.71984416666666673</v>
      </c>
      <c r="AK4" s="156"/>
      <c r="AL4">
        <v>2009</v>
      </c>
      <c r="AM4" s="3">
        <f>3060-435</f>
        <v>2625</v>
      </c>
      <c r="AN4" s="3">
        <f>AM4/2</f>
        <v>1312.5</v>
      </c>
      <c r="AO4" s="13">
        <f>CPIs!R48</f>
        <v>97.656957631470334</v>
      </c>
      <c r="AP4" s="3">
        <f>AM4*AO$12/AO4</f>
        <v>3080.0269945411119</v>
      </c>
      <c r="AQ4" s="3">
        <f>AN4*AO$12/AO4</f>
        <v>1540.0134972705559</v>
      </c>
    </row>
    <row r="5" spans="1:43">
      <c r="A5">
        <v>2010</v>
      </c>
      <c r="B5" s="3">
        <f t="shared" ref="B5:B25" si="9">X4</f>
        <v>30</v>
      </c>
      <c r="C5" s="3">
        <f t="shared" si="1"/>
        <v>181390.92348727476</v>
      </c>
      <c r="D5">
        <v>0</v>
      </c>
      <c r="E5">
        <f t="shared" ref="E5:E15" si="10">C5*D5/100</f>
        <v>0</v>
      </c>
      <c r="F5">
        <v>0</v>
      </c>
      <c r="G5" s="3">
        <f t="shared" ref="G5:G25" si="11">0.02*C5</f>
        <v>3627.8184697454953</v>
      </c>
      <c r="H5" s="3">
        <f t="shared" ref="H5:H25" si="12">C5+E5+F5+G5</f>
        <v>185018.74195702025</v>
      </c>
      <c r="I5" s="3">
        <f>Austria!I4/AJ5*AI5</f>
        <v>11556.029672513114</v>
      </c>
      <c r="J5" s="3">
        <f t="shared" ref="J5:J25" si="13">H5+I5</f>
        <v>196574.77162953335</v>
      </c>
      <c r="L5" s="3">
        <f t="shared" si="2"/>
        <v>2625</v>
      </c>
      <c r="M5" s="3">
        <f t="shared" si="3"/>
        <v>18139.092348727474</v>
      </c>
      <c r="N5" s="3">
        <f t="shared" si="4"/>
        <v>8464.9097627394876</v>
      </c>
      <c r="O5" s="3">
        <f t="shared" ref="O5:O25" si="14">L5+M5+N5</f>
        <v>29229.002111466962</v>
      </c>
      <c r="P5" s="3"/>
      <c r="Q5" s="3"/>
      <c r="T5">
        <v>2011</v>
      </c>
      <c r="U5" s="3">
        <f>'Vehicle price'!X7</f>
        <v>23</v>
      </c>
      <c r="V5">
        <v>1</v>
      </c>
      <c r="W5" s="3">
        <f t="shared" si="0"/>
        <v>30</v>
      </c>
      <c r="X5" s="3">
        <f>'Vehicle price'!T7</f>
        <v>30</v>
      </c>
      <c r="Y5" s="3">
        <f t="shared" si="5"/>
        <v>30</v>
      </c>
      <c r="Z5">
        <v>1</v>
      </c>
      <c r="AA5">
        <v>2010</v>
      </c>
      <c r="AB5" s="3">
        <f t="shared" si="6"/>
        <v>196574.77162953335</v>
      </c>
      <c r="AC5" s="3">
        <f t="shared" si="7"/>
        <v>288358.57891409443</v>
      </c>
      <c r="AD5" s="3">
        <f t="shared" si="8"/>
        <v>223896.86322445946</v>
      </c>
      <c r="AH5">
        <v>2010</v>
      </c>
      <c r="AI5" s="156">
        <v>6.0463641162424917</v>
      </c>
      <c r="AJ5" s="156">
        <v>0.75867129256384003</v>
      </c>
      <c r="AK5" s="156"/>
      <c r="AL5">
        <v>2010</v>
      </c>
      <c r="AM5" s="3">
        <f t="shared" ref="AM5:AM25" si="15">3060-435</f>
        <v>2625</v>
      </c>
      <c r="AN5" s="3">
        <f t="shared" ref="AN5:AN25" si="16">AM5/2</f>
        <v>1312.5</v>
      </c>
      <c r="AO5" s="13">
        <f>CPIs!R49</f>
        <v>100</v>
      </c>
      <c r="AP5" s="3">
        <f t="shared" ref="AP5:AP13" si="17">AM5*AO$12/AO5</f>
        <v>3007.8606570968627</v>
      </c>
      <c r="AQ5" s="3">
        <f t="shared" ref="AQ5:AQ13" si="18">AN5*AO$12/AO5</f>
        <v>1503.9303285484314</v>
      </c>
    </row>
    <row r="6" spans="1:43">
      <c r="A6">
        <v>2011</v>
      </c>
      <c r="B6" s="3">
        <f t="shared" si="9"/>
        <v>30</v>
      </c>
      <c r="C6" s="3">
        <f t="shared" si="1"/>
        <v>168248.91357211216</v>
      </c>
      <c r="D6">
        <v>0</v>
      </c>
      <c r="E6">
        <f t="shared" si="10"/>
        <v>0</v>
      </c>
      <c r="F6">
        <v>0</v>
      </c>
      <c r="G6" s="3">
        <f>0.02*C6</f>
        <v>3364.9782714422431</v>
      </c>
      <c r="H6" s="3">
        <f t="shared" si="12"/>
        <v>171613.89184355439</v>
      </c>
      <c r="I6" s="3">
        <f>Austria!I5/AJ6*AI6</f>
        <v>11366.45745328351</v>
      </c>
      <c r="J6" s="3">
        <f t="shared" si="13"/>
        <v>182980.3492968379</v>
      </c>
      <c r="L6" s="3">
        <f t="shared" si="2"/>
        <v>2625</v>
      </c>
      <c r="M6" s="3">
        <f t="shared" si="3"/>
        <v>16824.891357211214</v>
      </c>
      <c r="N6" s="3">
        <f t="shared" si="4"/>
        <v>7851.6159666985659</v>
      </c>
      <c r="O6" s="3">
        <f t="shared" si="14"/>
        <v>27301.50732390978</v>
      </c>
      <c r="P6" s="3"/>
      <c r="Q6" s="3"/>
      <c r="T6">
        <v>2012</v>
      </c>
      <c r="U6" s="3">
        <f>'Vehicle price'!X8</f>
        <v>23</v>
      </c>
      <c r="V6">
        <v>1</v>
      </c>
      <c r="W6" s="3">
        <f t="shared" si="0"/>
        <v>30.842462459493706</v>
      </c>
      <c r="X6" s="3">
        <f>'Vehicle price'!T8</f>
        <v>30.842462459493706</v>
      </c>
      <c r="Y6" s="3">
        <f t="shared" si="5"/>
        <v>30.842462459493706</v>
      </c>
      <c r="Z6">
        <v>1</v>
      </c>
      <c r="AA6">
        <v>2011</v>
      </c>
      <c r="AB6" s="3">
        <f t="shared" si="6"/>
        <v>182980.3492968379</v>
      </c>
      <c r="AC6" s="3">
        <f t="shared" si="7"/>
        <v>268114.29956432665</v>
      </c>
      <c r="AD6" s="3">
        <f t="shared" si="8"/>
        <v>207675.24231917708</v>
      </c>
      <c r="AH6">
        <v>2011</v>
      </c>
      <c r="AI6" s="156">
        <v>5.6082971190704045</v>
      </c>
      <c r="AJ6" s="156">
        <v>0.71544109992713056</v>
      </c>
      <c r="AK6" s="156"/>
      <c r="AL6">
        <v>2011</v>
      </c>
      <c r="AM6" s="3">
        <f t="shared" si="15"/>
        <v>2625</v>
      </c>
      <c r="AN6" s="3">
        <f t="shared" si="16"/>
        <v>1312.5</v>
      </c>
      <c r="AO6" s="13">
        <f>CPIs!R50</f>
        <v>101.30096435546875</v>
      </c>
      <c r="AP6" s="3">
        <f t="shared" si="17"/>
        <v>2969.2320070539217</v>
      </c>
      <c r="AQ6" s="3">
        <f t="shared" si="18"/>
        <v>1484.6160035269609</v>
      </c>
    </row>
    <row r="7" spans="1:43">
      <c r="A7">
        <v>2012</v>
      </c>
      <c r="B7" s="3">
        <f t="shared" si="9"/>
        <v>30.842462459493706</v>
      </c>
      <c r="C7" s="3">
        <f t="shared" si="1"/>
        <v>179481.00883507889</v>
      </c>
      <c r="D7">
        <v>0</v>
      </c>
      <c r="E7">
        <f t="shared" si="10"/>
        <v>0</v>
      </c>
      <c r="F7">
        <v>0</v>
      </c>
      <c r="G7" s="3">
        <f t="shared" si="11"/>
        <v>3589.6201767015777</v>
      </c>
      <c r="H7" s="3">
        <f t="shared" si="12"/>
        <v>183070.62901178046</v>
      </c>
      <c r="I7" s="3">
        <f>Austria!I6/AJ7*AI7</f>
        <v>10903.173506467685</v>
      </c>
      <c r="J7" s="3">
        <f t="shared" si="13"/>
        <v>193973.80251824815</v>
      </c>
      <c r="L7" s="3">
        <f t="shared" si="2"/>
        <v>2625</v>
      </c>
      <c r="M7" s="3">
        <f t="shared" si="3"/>
        <v>17457.848160223566</v>
      </c>
      <c r="N7" s="3">
        <f t="shared" si="4"/>
        <v>8146.9958081043305</v>
      </c>
      <c r="O7" s="3">
        <f t="shared" si="14"/>
        <v>28229.843968327896</v>
      </c>
      <c r="P7" s="3"/>
      <c r="Q7" s="3"/>
      <c r="T7">
        <v>2013</v>
      </c>
      <c r="U7" s="3">
        <f>'Vehicle price'!X9</f>
        <v>23</v>
      </c>
      <c r="V7">
        <v>1</v>
      </c>
      <c r="W7" s="3">
        <f t="shared" si="0"/>
        <v>31.143929334439989</v>
      </c>
      <c r="X7" s="3">
        <f>'Vehicle price'!T9</f>
        <v>31.143929334439989</v>
      </c>
      <c r="Y7" s="3">
        <f t="shared" si="5"/>
        <v>31.143929334439989</v>
      </c>
      <c r="Z7">
        <v>1</v>
      </c>
      <c r="AA7">
        <v>2012</v>
      </c>
      <c r="AB7" s="3">
        <f t="shared" si="6"/>
        <v>193973.80251824815</v>
      </c>
      <c r="AC7" s="3">
        <f t="shared" si="7"/>
        <v>283438.09547253331</v>
      </c>
      <c r="AD7" s="3">
        <f t="shared" si="8"/>
        <v>215488.03912435955</v>
      </c>
      <c r="AH7">
        <v>2012</v>
      </c>
      <c r="AI7" s="156">
        <v>5.8192827200745221</v>
      </c>
      <c r="AJ7" s="156">
        <v>0.773899446716382</v>
      </c>
      <c r="AK7" s="156"/>
      <c r="AL7">
        <v>2012</v>
      </c>
      <c r="AM7" s="3">
        <f t="shared" si="15"/>
        <v>2625</v>
      </c>
      <c r="AN7" s="3">
        <f t="shared" si="16"/>
        <v>1312.5</v>
      </c>
      <c r="AO7" s="13">
        <f>CPIs!R51</f>
        <v>102.01941680908203</v>
      </c>
      <c r="AP7" s="3">
        <f t="shared" si="17"/>
        <v>2948.3217520501403</v>
      </c>
      <c r="AQ7" s="3">
        <f t="shared" si="18"/>
        <v>1474.1608760250701</v>
      </c>
    </row>
    <row r="8" spans="1:43">
      <c r="A8">
        <v>2013</v>
      </c>
      <c r="B8" s="3">
        <f t="shared" si="9"/>
        <v>31.143929334439989</v>
      </c>
      <c r="C8" s="3">
        <f t="shared" si="1"/>
        <v>182819.50499135308</v>
      </c>
      <c r="D8">
        <v>0</v>
      </c>
      <c r="E8">
        <f t="shared" si="10"/>
        <v>0</v>
      </c>
      <c r="F8">
        <v>0</v>
      </c>
      <c r="G8" s="3">
        <f t="shared" si="11"/>
        <v>3656.3900998270619</v>
      </c>
      <c r="H8" s="3">
        <f t="shared" si="12"/>
        <v>186475.89509118014</v>
      </c>
      <c r="I8" s="3">
        <f>Austria!I7/AJ8*AI8</f>
        <v>11323.759112065454</v>
      </c>
      <c r="J8" s="3">
        <f>H8+I8</f>
        <v>197799.65420324559</v>
      </c>
      <c r="L8" s="3">
        <f t="shared" si="2"/>
        <v>2625</v>
      </c>
      <c r="M8" s="3">
        <f t="shared" si="3"/>
        <v>17610.446937649438</v>
      </c>
      <c r="N8" s="3">
        <f t="shared" si="4"/>
        <v>8218.2085709030725</v>
      </c>
      <c r="O8" s="3">
        <f>L8+M8+N8</f>
        <v>28453.655508552511</v>
      </c>
      <c r="P8" s="3"/>
      <c r="Q8" s="3"/>
      <c r="T8">
        <v>2014</v>
      </c>
      <c r="U8" s="3">
        <f>'Vehicle price'!X10</f>
        <v>23</v>
      </c>
      <c r="V8">
        <v>1</v>
      </c>
      <c r="W8" s="3">
        <f t="shared" si="0"/>
        <v>33.541755956678692</v>
      </c>
      <c r="X8" s="3">
        <f>'Vehicle price'!T10</f>
        <v>33.541755956678692</v>
      </c>
      <c r="Y8" s="3">
        <f t="shared" si="5"/>
        <v>33.541755956678692</v>
      </c>
      <c r="Z8">
        <v>1</v>
      </c>
      <c r="AA8">
        <v>2013</v>
      </c>
      <c r="AB8" s="3">
        <f t="shared" si="6"/>
        <v>197799.65420324559</v>
      </c>
      <c r="AC8" s="3">
        <f>J33</f>
        <v>201456.04430307265</v>
      </c>
      <c r="AD8" s="3">
        <f t="shared" si="8"/>
        <v>217371.61670038628</v>
      </c>
      <c r="AH8">
        <v>2013</v>
      </c>
      <c r="AI8" s="156">
        <v>5.8701489792164798</v>
      </c>
      <c r="AJ8" s="156">
        <v>0.75166876437654617</v>
      </c>
      <c r="AK8" s="156"/>
      <c r="AL8">
        <v>2013</v>
      </c>
      <c r="AM8" s="3">
        <f t="shared" si="15"/>
        <v>2625</v>
      </c>
      <c r="AN8" s="3">
        <f t="shared" si="16"/>
        <v>1312.5</v>
      </c>
      <c r="AO8" s="13">
        <f>CPIs!R52</f>
        <v>104.19417572021484</v>
      </c>
      <c r="AP8" s="3">
        <f t="shared" si="17"/>
        <v>2886.7838689694663</v>
      </c>
      <c r="AQ8" s="3">
        <f t="shared" si="18"/>
        <v>1443.3919344847332</v>
      </c>
    </row>
    <row r="9" spans="1:43">
      <c r="A9">
        <v>2014</v>
      </c>
      <c r="B9" s="3">
        <f t="shared" si="9"/>
        <v>33.541755956678692</v>
      </c>
      <c r="C9" s="3">
        <f t="shared" si="1"/>
        <v>211037.42414299279</v>
      </c>
      <c r="D9">
        <v>0</v>
      </c>
      <c r="E9">
        <f t="shared" si="10"/>
        <v>0</v>
      </c>
      <c r="F9">
        <v>0</v>
      </c>
      <c r="G9" s="3">
        <f t="shared" si="11"/>
        <v>4220.7484828598563</v>
      </c>
      <c r="H9" s="3">
        <f t="shared" si="12"/>
        <v>215258.17262585266</v>
      </c>
      <c r="I9" s="3">
        <f>Austria!I8/AJ9*AI9</f>
        <v>12045.459108171797</v>
      </c>
      <c r="J9" s="3">
        <f t="shared" si="13"/>
        <v>227303.63173402447</v>
      </c>
      <c r="L9" s="3">
        <f t="shared" si="2"/>
        <v>2625</v>
      </c>
      <c r="M9" s="3">
        <f t="shared" si="3"/>
        <v>18875.346694629916</v>
      </c>
      <c r="N9" s="3">
        <f t="shared" si="4"/>
        <v>8808.4951241606268</v>
      </c>
      <c r="O9" s="3">
        <f t="shared" si="14"/>
        <v>30308.841818790541</v>
      </c>
      <c r="P9" s="3"/>
      <c r="Q9" s="3"/>
      <c r="T9">
        <v>2015</v>
      </c>
      <c r="U9" s="3">
        <f>'Vehicle price'!X11</f>
        <v>23</v>
      </c>
      <c r="V9">
        <v>1</v>
      </c>
      <c r="W9" s="3">
        <f t="shared" si="0"/>
        <v>30</v>
      </c>
      <c r="X9" s="3">
        <f>'Vehicle price'!T11</f>
        <v>30</v>
      </c>
      <c r="Y9" s="3">
        <f t="shared" si="5"/>
        <v>30</v>
      </c>
      <c r="Z9">
        <v>1</v>
      </c>
      <c r="AA9">
        <v>2014</v>
      </c>
      <c r="AB9" s="3">
        <f t="shared" si="6"/>
        <v>227303.63173402447</v>
      </c>
      <c r="AC9" s="3">
        <f t="shared" si="7"/>
        <v>231524.38021688431</v>
      </c>
      <c r="AD9" s="3">
        <f t="shared" si="8"/>
        <v>232984.6960340486</v>
      </c>
      <c r="AH9">
        <v>2014</v>
      </c>
      <c r="AI9" s="156">
        <v>6.291782231543305</v>
      </c>
      <c r="AJ9" s="156">
        <v>0.757387838338895</v>
      </c>
      <c r="AK9" s="156"/>
      <c r="AL9">
        <v>2014</v>
      </c>
      <c r="AM9" s="3">
        <f t="shared" si="15"/>
        <v>2625</v>
      </c>
      <c r="AN9" s="3">
        <f t="shared" si="16"/>
        <v>1312.5</v>
      </c>
      <c r="AO9" s="13">
        <f>CPIs!R53</f>
        <v>106.30420684814453</v>
      </c>
      <c r="AP9" s="3">
        <f t="shared" si="17"/>
        <v>2829.4841251142479</v>
      </c>
      <c r="AQ9" s="3">
        <f t="shared" si="18"/>
        <v>1414.742062557124</v>
      </c>
    </row>
    <row r="10" spans="1:43">
      <c r="A10">
        <v>2015</v>
      </c>
      <c r="B10" s="3">
        <f t="shared" si="9"/>
        <v>30</v>
      </c>
      <c r="C10" s="3">
        <f t="shared" si="1"/>
        <v>241879.95536500859</v>
      </c>
      <c r="D10">
        <v>0</v>
      </c>
      <c r="E10">
        <f t="shared" si="10"/>
        <v>0</v>
      </c>
      <c r="F10">
        <v>0</v>
      </c>
      <c r="G10" s="3">
        <f t="shared" si="11"/>
        <v>4837.5991073001715</v>
      </c>
      <c r="H10" s="3">
        <f t="shared" si="12"/>
        <v>246717.55447230875</v>
      </c>
      <c r="I10" s="3">
        <f>Austria!I9/AJ10*AI10</f>
        <v>12904.884240673055</v>
      </c>
      <c r="J10" s="3">
        <f t="shared" si="13"/>
        <v>259622.43871298182</v>
      </c>
      <c r="L10" s="3">
        <f t="shared" si="2"/>
        <v>2625</v>
      </c>
      <c r="M10" s="3">
        <f t="shared" si="3"/>
        <v>24187.995536500857</v>
      </c>
      <c r="N10" s="3">
        <f t="shared" si="4"/>
        <v>11287.731250367067</v>
      </c>
      <c r="O10" s="3">
        <f t="shared" si="14"/>
        <v>38100.726786867926</v>
      </c>
      <c r="P10" s="3"/>
      <c r="Q10" s="3"/>
      <c r="T10">
        <v>2016</v>
      </c>
      <c r="U10" s="3">
        <f>'Vehicle price'!X12</f>
        <v>23</v>
      </c>
      <c r="V10">
        <v>1</v>
      </c>
      <c r="W10" s="3">
        <f t="shared" si="0"/>
        <v>30</v>
      </c>
      <c r="X10" s="3">
        <f>'Vehicle price'!T12</f>
        <v>30</v>
      </c>
      <c r="Y10" s="3">
        <f t="shared" si="5"/>
        <v>30</v>
      </c>
      <c r="Z10">
        <v>1</v>
      </c>
      <c r="AA10">
        <v>2015</v>
      </c>
      <c r="AB10" s="3">
        <f t="shared" si="6"/>
        <v>259622.43871298182</v>
      </c>
      <c r="AC10" s="3">
        <f t="shared" si="7"/>
        <v>264460.03782028198</v>
      </c>
      <c r="AD10" s="3">
        <f t="shared" si="8"/>
        <v>298560.49157220888</v>
      </c>
      <c r="AH10">
        <v>2015</v>
      </c>
      <c r="AI10" s="156">
        <v>8.062665178833619</v>
      </c>
      <c r="AJ10" s="156">
        <v>0.90592556207997499</v>
      </c>
      <c r="AK10" s="156"/>
      <c r="AL10">
        <v>2015</v>
      </c>
      <c r="AM10" s="3">
        <f t="shared" si="15"/>
        <v>2625</v>
      </c>
      <c r="AN10" s="3">
        <f t="shared" si="16"/>
        <v>1312.5</v>
      </c>
      <c r="AO10" s="13">
        <f>CPIs!R54</f>
        <v>108.61489105224609</v>
      </c>
      <c r="AP10" s="3">
        <f t="shared" si="17"/>
        <v>2769.2893929710035</v>
      </c>
      <c r="AQ10" s="3">
        <f t="shared" si="18"/>
        <v>1384.6446964855018</v>
      </c>
    </row>
    <row r="11" spans="1:43">
      <c r="A11">
        <v>2016</v>
      </c>
      <c r="B11" s="3">
        <f t="shared" si="9"/>
        <v>30</v>
      </c>
      <c r="C11" s="3">
        <f t="shared" si="1"/>
        <v>251919.34335201283</v>
      </c>
      <c r="D11">
        <v>0</v>
      </c>
      <c r="E11">
        <f t="shared" si="10"/>
        <v>0</v>
      </c>
      <c r="F11">
        <v>0</v>
      </c>
      <c r="G11" s="3">
        <f t="shared" si="11"/>
        <v>5038.3868670402571</v>
      </c>
      <c r="H11" s="3">
        <f t="shared" si="12"/>
        <v>256957.73021905308</v>
      </c>
      <c r="I11" s="3">
        <f>Austria!I10/AJ11*AI11</f>
        <v>13428.332886875214</v>
      </c>
      <c r="J11" s="3">
        <f t="shared" si="13"/>
        <v>270386.0631059283</v>
      </c>
      <c r="L11" s="3">
        <f t="shared" si="2"/>
        <v>2625</v>
      </c>
      <c r="M11" s="3">
        <f t="shared" si="3"/>
        <v>25191.934335201284</v>
      </c>
      <c r="N11" s="3">
        <f t="shared" si="4"/>
        <v>11756.236023093932</v>
      </c>
      <c r="O11" s="3">
        <f t="shared" si="14"/>
        <v>39573.170358295218</v>
      </c>
      <c r="P11" s="3"/>
      <c r="Q11" s="3"/>
      <c r="T11">
        <v>2017</v>
      </c>
      <c r="U11" s="3">
        <f>'Vehicle price'!X13</f>
        <v>23</v>
      </c>
      <c r="V11">
        <v>1</v>
      </c>
      <c r="W11" s="3">
        <f t="shared" si="0"/>
        <v>30</v>
      </c>
      <c r="X11" s="3">
        <f>'Vehicle price'!T13</f>
        <v>30</v>
      </c>
      <c r="Y11" s="3">
        <f t="shared" si="5"/>
        <v>30</v>
      </c>
      <c r="Z11">
        <v>1</v>
      </c>
      <c r="AA11">
        <v>2016</v>
      </c>
      <c r="AB11" s="3">
        <f t="shared" si="6"/>
        <v>270386.0631059283</v>
      </c>
      <c r="AC11" s="3">
        <f t="shared" si="7"/>
        <v>275424.44997296855</v>
      </c>
      <c r="AD11" s="3">
        <f t="shared" si="8"/>
        <v>310952.4428108345</v>
      </c>
      <c r="AH11">
        <v>2016</v>
      </c>
      <c r="AI11" s="156">
        <v>8.3973114450670945</v>
      </c>
      <c r="AJ11" s="156">
        <v>0.90674707708863456</v>
      </c>
      <c r="AK11" s="156"/>
      <c r="AL11">
        <v>2016</v>
      </c>
      <c r="AM11" s="3">
        <f t="shared" si="15"/>
        <v>2625</v>
      </c>
      <c r="AN11" s="3">
        <f t="shared" si="16"/>
        <v>1312.5</v>
      </c>
      <c r="AO11" s="13">
        <f>CPIs!R55</f>
        <v>112.47071838378906</v>
      </c>
      <c r="AP11" s="3">
        <f t="shared" si="17"/>
        <v>2674.35</v>
      </c>
      <c r="AQ11" s="3">
        <f t="shared" si="18"/>
        <v>1337.175</v>
      </c>
    </row>
    <row r="12" spans="1:43">
      <c r="A12">
        <v>2017</v>
      </c>
      <c r="B12" s="3">
        <f t="shared" si="9"/>
        <v>30</v>
      </c>
      <c r="C12" s="3">
        <f t="shared" si="1"/>
        <v>247889.36010273438</v>
      </c>
      <c r="D12">
        <v>0</v>
      </c>
      <c r="E12">
        <f t="shared" si="10"/>
        <v>0</v>
      </c>
      <c r="F12">
        <v>0</v>
      </c>
      <c r="G12" s="3">
        <f t="shared" si="11"/>
        <v>4957.7872020546874</v>
      </c>
      <c r="H12" s="3">
        <f t="shared" si="12"/>
        <v>252847.14730478908</v>
      </c>
      <c r="I12" s="3">
        <f>Austria!I11/AJ12*AI12</f>
        <v>13583.233484498851</v>
      </c>
      <c r="J12" s="3">
        <f t="shared" si="13"/>
        <v>266430.38078928791</v>
      </c>
      <c r="L12" s="3">
        <f t="shared" si="2"/>
        <v>2625</v>
      </c>
      <c r="M12" s="3">
        <f t="shared" si="3"/>
        <v>24788.936010273435</v>
      </c>
      <c r="N12" s="3">
        <f t="shared" si="4"/>
        <v>11568.170138127603</v>
      </c>
      <c r="O12" s="3">
        <f t="shared" si="14"/>
        <v>38982.106148401042</v>
      </c>
      <c r="P12" s="3"/>
      <c r="Q12" s="3"/>
      <c r="T12">
        <v>2018</v>
      </c>
      <c r="U12" s="3">
        <f>'Vehicle price'!X14</f>
        <v>23</v>
      </c>
      <c r="V12">
        <v>1</v>
      </c>
      <c r="W12" s="3">
        <f t="shared" si="0"/>
        <v>30.592100851060948</v>
      </c>
      <c r="X12" s="3">
        <f>'Vehicle price'!T14</f>
        <v>30.592100851060948</v>
      </c>
      <c r="Y12" s="3">
        <f t="shared" si="5"/>
        <v>30.592100851060948</v>
      </c>
      <c r="Z12">
        <v>1</v>
      </c>
      <c r="AA12">
        <v>2017</v>
      </c>
      <c r="AB12" s="3">
        <f t="shared" si="6"/>
        <v>266430.38078928791</v>
      </c>
      <c r="AC12" s="3">
        <f t="shared" si="7"/>
        <v>271388.16799134261</v>
      </c>
      <c r="AD12" s="3">
        <f t="shared" si="8"/>
        <v>305978.10015347507</v>
      </c>
      <c r="AH12">
        <v>2017</v>
      </c>
      <c r="AI12" s="156">
        <v>8.2629786700911456</v>
      </c>
      <c r="AJ12" s="156">
        <v>0.88206678367895308</v>
      </c>
      <c r="AK12" s="156"/>
      <c r="AL12">
        <v>2017</v>
      </c>
      <c r="AM12" s="3">
        <f t="shared" si="15"/>
        <v>2625</v>
      </c>
      <c r="AN12" s="3">
        <f t="shared" si="16"/>
        <v>1312.5</v>
      </c>
      <c r="AO12" s="13">
        <f>CPIs!R56</f>
        <v>114.58516788940429</v>
      </c>
      <c r="AP12" s="3">
        <f t="shared" si="17"/>
        <v>2625</v>
      </c>
      <c r="AQ12" s="3">
        <f t="shared" si="18"/>
        <v>1312.5</v>
      </c>
    </row>
    <row r="13" spans="1:43">
      <c r="A13">
        <v>2018</v>
      </c>
      <c r="B13" s="3">
        <f t="shared" si="9"/>
        <v>30.592100851060948</v>
      </c>
      <c r="C13" s="3">
        <f t="shared" si="1"/>
        <v>244736.8068084876</v>
      </c>
      <c r="D13">
        <v>0</v>
      </c>
      <c r="E13">
        <f t="shared" si="10"/>
        <v>0</v>
      </c>
      <c r="F13">
        <v>0</v>
      </c>
      <c r="G13" s="3">
        <f t="shared" si="11"/>
        <v>4894.7361361697522</v>
      </c>
      <c r="H13" s="3">
        <f t="shared" si="12"/>
        <v>249631.54294465735</v>
      </c>
      <c r="I13" s="3">
        <f>Austria!I12/AJ13*AI13</f>
        <v>13647.058823529413</v>
      </c>
      <c r="J13" s="3">
        <f t="shared" si="13"/>
        <v>263278.60176818678</v>
      </c>
      <c r="L13" s="3">
        <f t="shared" si="2"/>
        <v>2625</v>
      </c>
      <c r="M13" s="3">
        <f t="shared" si="3"/>
        <v>24000</v>
      </c>
      <c r="N13" s="3">
        <f t="shared" si="4"/>
        <v>11200</v>
      </c>
      <c r="O13" s="3">
        <f t="shared" si="14"/>
        <v>37825</v>
      </c>
      <c r="P13" s="3"/>
      <c r="Q13" s="3"/>
      <c r="T13">
        <v>2019</v>
      </c>
      <c r="U13" s="3">
        <f>'Vehicle price'!X15</f>
        <v>23</v>
      </c>
      <c r="V13" s="20">
        <f>V12+(V24-V12)/12</f>
        <v>1.0249999999999999</v>
      </c>
      <c r="W13" s="3">
        <f t="shared" si="0"/>
        <v>31.952318904810763</v>
      </c>
      <c r="X13" s="3">
        <f>'Vehicle price'!T15</f>
        <v>31.172994053473918</v>
      </c>
      <c r="Y13" s="3">
        <f t="shared" si="5"/>
        <v>30.393669202137069</v>
      </c>
      <c r="Z13" s="20">
        <f>Z12+(Z24-Z12)/12</f>
        <v>0.97499999999999998</v>
      </c>
      <c r="AA13">
        <v>2018</v>
      </c>
      <c r="AB13" s="3">
        <f t="shared" si="6"/>
        <v>263278.60176818678</v>
      </c>
      <c r="AC13" s="3">
        <f t="shared" si="7"/>
        <v>268173.33790435654</v>
      </c>
      <c r="AD13" s="3">
        <f t="shared" si="8"/>
        <v>296240</v>
      </c>
      <c r="AH13">
        <v>2018</v>
      </c>
      <c r="AI13" s="14">
        <v>8</v>
      </c>
      <c r="AJ13" s="14">
        <v>0.85</v>
      </c>
      <c r="AK13" s="156"/>
      <c r="AL13">
        <v>2018</v>
      </c>
      <c r="AM13" s="3">
        <f t="shared" si="15"/>
        <v>2625</v>
      </c>
      <c r="AN13" s="3">
        <f t="shared" si="16"/>
        <v>1312.5</v>
      </c>
      <c r="AO13" s="20">
        <f>AO12*AO12/AO11</f>
        <v>116.73936904572508</v>
      </c>
      <c r="AP13" s="3">
        <f t="shared" si="17"/>
        <v>2576.5606595995291</v>
      </c>
      <c r="AQ13" s="3">
        <f t="shared" si="18"/>
        <v>1288.2803297997646</v>
      </c>
    </row>
    <row r="14" spans="1:43">
      <c r="A14">
        <v>2019</v>
      </c>
      <c r="B14" s="3">
        <f t="shared" si="9"/>
        <v>31.172994053473918</v>
      </c>
      <c r="C14" s="3">
        <f t="shared" si="1"/>
        <v>249383.95242779134</v>
      </c>
      <c r="D14">
        <v>0</v>
      </c>
      <c r="E14">
        <f t="shared" si="10"/>
        <v>0</v>
      </c>
      <c r="F14">
        <v>0</v>
      </c>
      <c r="G14" s="3">
        <f t="shared" si="11"/>
        <v>4987.6790485558267</v>
      </c>
      <c r="H14" s="3">
        <f t="shared" si="12"/>
        <v>254371.63147634716</v>
      </c>
      <c r="I14" s="3">
        <f>Austria!I13/AJ14*AI14</f>
        <v>13647.058823529413</v>
      </c>
      <c r="J14" s="3">
        <f t="shared" si="13"/>
        <v>268018.69029987656</v>
      </c>
      <c r="L14" s="3">
        <f t="shared" si="2"/>
        <v>2625</v>
      </c>
      <c r="M14" s="3">
        <f t="shared" si="3"/>
        <v>24000</v>
      </c>
      <c r="N14" s="3">
        <f t="shared" si="4"/>
        <v>11200</v>
      </c>
      <c r="O14" s="3">
        <f t="shared" si="14"/>
        <v>37825</v>
      </c>
      <c r="P14" s="3"/>
      <c r="Q14" s="3"/>
      <c r="T14">
        <v>2020</v>
      </c>
      <c r="U14" s="3">
        <f>'Vehicle price'!X16</f>
        <v>23</v>
      </c>
      <c r="V14" s="20">
        <f>V13+(V24-V12)/12</f>
        <v>1.0499999999999998</v>
      </c>
      <c r="W14" s="3">
        <f t="shared" si="0"/>
        <v>32.535198279596322</v>
      </c>
      <c r="X14" s="3">
        <f>'Vehicle price'!T16</f>
        <v>30.985903123425071</v>
      </c>
      <c r="Y14" s="3">
        <f t="shared" si="5"/>
        <v>29.436607967253817</v>
      </c>
      <c r="Z14" s="20">
        <f>Z13+(Z24-Z12)/12</f>
        <v>0.95</v>
      </c>
      <c r="AA14">
        <v>2019</v>
      </c>
      <c r="AB14" s="3">
        <f t="shared" si="6"/>
        <v>268018.69029987656</v>
      </c>
      <c r="AC14" s="3">
        <f t="shared" si="7"/>
        <v>273006.3693484324</v>
      </c>
      <c r="AD14" s="3">
        <f t="shared" si="8"/>
        <v>296240</v>
      </c>
      <c r="AH14">
        <v>2019</v>
      </c>
      <c r="AI14" s="14">
        <v>8</v>
      </c>
      <c r="AJ14" s="14">
        <v>0.85</v>
      </c>
      <c r="AK14" s="156"/>
      <c r="AL14">
        <v>2019</v>
      </c>
      <c r="AM14" s="3">
        <f t="shared" si="15"/>
        <v>2625</v>
      </c>
      <c r="AN14" s="3">
        <f t="shared" si="16"/>
        <v>1312.5</v>
      </c>
      <c r="AO14" s="20">
        <f t="shared" ref="AO14:AO25" si="19">AO13*AO13/AO12</f>
        <v>118.9340691837847</v>
      </c>
      <c r="AP14" s="3">
        <f t="shared" ref="AP14:AP25" si="20">AM14*AO$12/AO14</f>
        <v>2529.0151743222705</v>
      </c>
      <c r="AQ14" s="3">
        <f t="shared" ref="AQ14:AQ25" si="21">AN14*AO$12/AO14</f>
        <v>1264.5075871611352</v>
      </c>
    </row>
    <row r="15" spans="1:43">
      <c r="A15">
        <v>2020</v>
      </c>
      <c r="B15" s="3">
        <f t="shared" si="9"/>
        <v>30.985903123425071</v>
      </c>
      <c r="C15" s="3">
        <f t="shared" si="1"/>
        <v>247887.22498740058</v>
      </c>
      <c r="D15">
        <v>0</v>
      </c>
      <c r="E15" s="3">
        <f t="shared" si="10"/>
        <v>0</v>
      </c>
      <c r="F15">
        <v>0</v>
      </c>
      <c r="G15" s="3">
        <f t="shared" si="11"/>
        <v>4957.7444997480115</v>
      </c>
      <c r="H15" s="3">
        <f t="shared" si="12"/>
        <v>252844.9694871486</v>
      </c>
      <c r="I15" s="3">
        <f>Austria!I14/AJ15*AI15</f>
        <v>13647.058823529413</v>
      </c>
      <c r="J15" s="3">
        <f t="shared" si="13"/>
        <v>266492.02831067803</v>
      </c>
      <c r="L15" s="3">
        <f t="shared" si="2"/>
        <v>2625</v>
      </c>
      <c r="M15" s="15">
        <f>M14+(M18-M14)/4</f>
        <v>21000</v>
      </c>
      <c r="N15" s="3">
        <f t="shared" si="4"/>
        <v>11200</v>
      </c>
      <c r="O15" s="3">
        <f t="shared" si="14"/>
        <v>34825</v>
      </c>
      <c r="P15" s="3"/>
      <c r="Q15" s="3"/>
      <c r="T15">
        <v>2021</v>
      </c>
      <c r="U15" s="3">
        <f>'Vehicle price'!X17</f>
        <v>23</v>
      </c>
      <c r="V15" s="20">
        <f>V14+(V24-V12)/12</f>
        <v>1.0749999999999997</v>
      </c>
      <c r="W15" s="3">
        <f t="shared" si="0"/>
        <v>32.472212006330132</v>
      </c>
      <c r="X15" s="3">
        <f>'Vehicle price'!T17</f>
        <v>30.206708843097807</v>
      </c>
      <c r="Y15" s="3">
        <f t="shared" si="5"/>
        <v>27.941205679865469</v>
      </c>
      <c r="Z15" s="20">
        <f>Z14+(Z24-Z12)/12</f>
        <v>0.92499999999999993</v>
      </c>
      <c r="AA15">
        <v>2020</v>
      </c>
      <c r="AB15" s="3">
        <f t="shared" si="6"/>
        <v>266492.02831067803</v>
      </c>
      <c r="AC15" s="3">
        <f t="shared" si="7"/>
        <v>271449.77281042602</v>
      </c>
      <c r="AD15" s="3">
        <f t="shared" si="8"/>
        <v>296240</v>
      </c>
      <c r="AH15">
        <v>2020</v>
      </c>
      <c r="AI15" s="14">
        <v>8</v>
      </c>
      <c r="AJ15" s="14">
        <v>0.85</v>
      </c>
      <c r="AK15" s="156"/>
      <c r="AL15">
        <v>2020</v>
      </c>
      <c r="AM15" s="3">
        <f t="shared" si="15"/>
        <v>2625</v>
      </c>
      <c r="AN15" s="3">
        <f t="shared" si="16"/>
        <v>1312.5</v>
      </c>
      <c r="AO15" s="20">
        <f t="shared" si="19"/>
        <v>121.17002968443984</v>
      </c>
      <c r="AP15" s="3">
        <f t="shared" si="20"/>
        <v>2482.3470497862886</v>
      </c>
      <c r="AQ15" s="3">
        <f t="shared" si="21"/>
        <v>1241.1735248931443</v>
      </c>
    </row>
    <row r="16" spans="1:43">
      <c r="A16">
        <v>2021</v>
      </c>
      <c r="B16" s="3">
        <f t="shared" si="9"/>
        <v>30.206708843097807</v>
      </c>
      <c r="C16" s="3">
        <f t="shared" si="1"/>
        <v>241653.67074478246</v>
      </c>
      <c r="D16">
        <v>25</v>
      </c>
      <c r="E16" s="3">
        <f t="shared" ref="E16:E25" si="22">C16*D16/100</f>
        <v>60413.417686195615</v>
      </c>
      <c r="F16">
        <v>0</v>
      </c>
      <c r="G16" s="3">
        <f t="shared" si="11"/>
        <v>4833.073414895649</v>
      </c>
      <c r="H16" s="3">
        <f t="shared" si="12"/>
        <v>306900.16184587369</v>
      </c>
      <c r="I16" s="3">
        <f>Austria!I15/AJ16*AI16</f>
        <v>13647.058823529413</v>
      </c>
      <c r="J16" s="3">
        <f t="shared" si="13"/>
        <v>320547.22066940309</v>
      </c>
      <c r="L16" s="3">
        <f t="shared" si="2"/>
        <v>2625</v>
      </c>
      <c r="M16" s="15">
        <f>M15+(M18-M14)/4</f>
        <v>18000</v>
      </c>
      <c r="N16" s="3">
        <f t="shared" si="4"/>
        <v>11200</v>
      </c>
      <c r="O16" s="3">
        <f t="shared" si="14"/>
        <v>31825</v>
      </c>
      <c r="P16" s="3"/>
      <c r="Q16" s="3"/>
      <c r="T16">
        <v>2022</v>
      </c>
      <c r="U16" s="3">
        <f>'Vehicle price'!X18</f>
        <v>23</v>
      </c>
      <c r="V16" s="20">
        <f>V15+(V24-V12)/12</f>
        <v>1.0999999999999996</v>
      </c>
      <c r="W16" s="3">
        <f t="shared" si="0"/>
        <v>33.706700106967538</v>
      </c>
      <c r="X16" s="3">
        <f>'Vehicle price'!T18</f>
        <v>30.642454642697771</v>
      </c>
      <c r="Y16" s="3">
        <f t="shared" si="5"/>
        <v>27.57820917842799</v>
      </c>
      <c r="Z16" s="20">
        <f>Z15+(Z24-Z12)/12</f>
        <v>0.89999999999999991</v>
      </c>
      <c r="AA16">
        <v>2021</v>
      </c>
      <c r="AB16" s="3">
        <f t="shared" si="6"/>
        <v>320547.22066940309</v>
      </c>
      <c r="AC16" s="3">
        <f t="shared" si="7"/>
        <v>325380.29408429877</v>
      </c>
      <c r="AD16" s="3">
        <f t="shared" si="8"/>
        <v>296240</v>
      </c>
      <c r="AH16">
        <v>2021</v>
      </c>
      <c r="AI16" s="14">
        <v>8</v>
      </c>
      <c r="AJ16" s="14">
        <v>0.85</v>
      </c>
      <c r="AK16" s="156"/>
      <c r="AL16">
        <v>2021</v>
      </c>
      <c r="AM16" s="3">
        <f t="shared" si="15"/>
        <v>2625</v>
      </c>
      <c r="AN16" s="3">
        <f t="shared" si="16"/>
        <v>1312.5</v>
      </c>
      <c r="AO16" s="20">
        <f t="shared" si="19"/>
        <v>123.4480262425073</v>
      </c>
      <c r="AP16" s="3">
        <f t="shared" si="20"/>
        <v>2436.5400959818303</v>
      </c>
      <c r="AQ16" s="3">
        <f>AN16*AO$12/AO16</f>
        <v>1218.2700479909151</v>
      </c>
    </row>
    <row r="17" spans="1:43">
      <c r="A17">
        <v>2022</v>
      </c>
      <c r="B17" s="3">
        <f t="shared" si="9"/>
        <v>30.642454642697771</v>
      </c>
      <c r="C17" s="3">
        <f t="shared" si="1"/>
        <v>245139.63714158218</v>
      </c>
      <c r="D17">
        <v>25</v>
      </c>
      <c r="E17" s="3">
        <f t="shared" si="22"/>
        <v>61284.909285395544</v>
      </c>
      <c r="F17">
        <v>0</v>
      </c>
      <c r="G17" s="3">
        <f t="shared" si="11"/>
        <v>4902.7927428316434</v>
      </c>
      <c r="H17" s="3">
        <f t="shared" si="12"/>
        <v>311327.33916980936</v>
      </c>
      <c r="I17" s="3">
        <f>Austria!I16/AJ17*AI17</f>
        <v>13647.058823529413</v>
      </c>
      <c r="J17" s="3">
        <f t="shared" si="13"/>
        <v>324974.39799333876</v>
      </c>
      <c r="L17" s="3">
        <f t="shared" si="2"/>
        <v>2625</v>
      </c>
      <c r="M17" s="15">
        <f>M16+(M18-M14)/4</f>
        <v>15000</v>
      </c>
      <c r="N17" s="3">
        <f t="shared" si="4"/>
        <v>11200</v>
      </c>
      <c r="O17" s="3">
        <f t="shared" si="14"/>
        <v>28825</v>
      </c>
      <c r="P17" s="3"/>
      <c r="Q17" s="3"/>
      <c r="T17">
        <v>2023</v>
      </c>
      <c r="U17" s="3">
        <f>'Vehicle price'!X19</f>
        <v>23</v>
      </c>
      <c r="V17" s="20">
        <f>V16+(V24-V12)/12</f>
        <v>1.1249999999999996</v>
      </c>
      <c r="W17" s="3">
        <f t="shared" si="0"/>
        <v>34.156739540037371</v>
      </c>
      <c r="X17" s="3">
        <f>'Vehicle price'!T19</f>
        <v>30.361546257811007</v>
      </c>
      <c r="Y17" s="3">
        <f t="shared" si="5"/>
        <v>26.566352975584628</v>
      </c>
      <c r="Z17" s="20">
        <f>Z16+(Z24-Z12)/12</f>
        <v>0.87499999999999989</v>
      </c>
      <c r="AA17">
        <v>2022</v>
      </c>
      <c r="AB17" s="3">
        <f t="shared" si="6"/>
        <v>324974.39799333876</v>
      </c>
      <c r="AC17" s="3">
        <f t="shared" si="7"/>
        <v>329877.19073617039</v>
      </c>
      <c r="AD17" s="3">
        <f t="shared" si="8"/>
        <v>296240</v>
      </c>
      <c r="AH17">
        <v>2022</v>
      </c>
      <c r="AI17" s="14">
        <v>8</v>
      </c>
      <c r="AJ17" s="14">
        <v>0.85</v>
      </c>
      <c r="AK17" s="156"/>
      <c r="AL17">
        <v>2022</v>
      </c>
      <c r="AM17" s="3">
        <f t="shared" si="15"/>
        <v>2625</v>
      </c>
      <c r="AN17" s="3">
        <f t="shared" si="16"/>
        <v>1312.5</v>
      </c>
      <c r="AO17" s="20">
        <f t="shared" si="19"/>
        <v>125.76884913586642</v>
      </c>
      <c r="AP17" s="3">
        <f t="shared" si="20"/>
        <v>2391.5784216547222</v>
      </c>
      <c r="AQ17" s="3">
        <f t="shared" si="21"/>
        <v>1195.7892108273611</v>
      </c>
    </row>
    <row r="18" spans="1:43">
      <c r="A18">
        <v>2023</v>
      </c>
      <c r="B18" s="3">
        <f t="shared" si="9"/>
        <v>30.361546257811007</v>
      </c>
      <c r="C18" s="3">
        <f t="shared" si="1"/>
        <v>242892.37006248804</v>
      </c>
      <c r="D18">
        <v>25</v>
      </c>
      <c r="E18" s="3">
        <f t="shared" si="22"/>
        <v>60723.092515622011</v>
      </c>
      <c r="F18">
        <v>0</v>
      </c>
      <c r="G18" s="3">
        <f t="shared" si="11"/>
        <v>4857.8474012497609</v>
      </c>
      <c r="H18" s="3">
        <f t="shared" si="12"/>
        <v>308473.30997935979</v>
      </c>
      <c r="I18" s="3">
        <f>Austria!I17/AJ18*AI18</f>
        <v>13647.058823529413</v>
      </c>
      <c r="J18" s="3">
        <f t="shared" si="13"/>
        <v>322120.36880288919</v>
      </c>
      <c r="L18" s="3">
        <f t="shared" si="2"/>
        <v>2625</v>
      </c>
      <c r="M18" s="3">
        <f t="shared" ref="M18:M25" si="23">1500*AI18</f>
        <v>12000</v>
      </c>
      <c r="N18" s="3">
        <f t="shared" si="4"/>
        <v>11200</v>
      </c>
      <c r="O18" s="3">
        <f t="shared" si="14"/>
        <v>25825</v>
      </c>
      <c r="P18" s="3"/>
      <c r="Q18" s="3"/>
      <c r="T18">
        <v>2024</v>
      </c>
      <c r="U18" s="3">
        <f>'Vehicle price'!X20</f>
        <v>23</v>
      </c>
      <c r="V18" s="20">
        <f>V17+(V24-V12)/12</f>
        <v>1.1499999999999995</v>
      </c>
      <c r="W18" s="3">
        <f t="shared" si="0"/>
        <v>33.666986514584543</v>
      </c>
      <c r="X18" s="3">
        <f>'Vehicle price'!T20</f>
        <v>29.275640447464834</v>
      </c>
      <c r="Y18" s="3">
        <f t="shared" si="5"/>
        <v>24.884294380345104</v>
      </c>
      <c r="Z18" s="20">
        <f>Z17+(Z24-Z12)/12</f>
        <v>0.84999999999999987</v>
      </c>
      <c r="AA18">
        <v>2023</v>
      </c>
      <c r="AB18" s="3">
        <f t="shared" si="6"/>
        <v>322120.36880288919</v>
      </c>
      <c r="AC18" s="3">
        <f t="shared" si="7"/>
        <v>326978.21620413894</v>
      </c>
      <c r="AD18" s="3">
        <f t="shared" si="8"/>
        <v>296240</v>
      </c>
      <c r="AH18">
        <v>2023</v>
      </c>
      <c r="AI18" s="14">
        <v>8</v>
      </c>
      <c r="AJ18" s="14">
        <v>0.85</v>
      </c>
      <c r="AK18" s="156"/>
      <c r="AL18">
        <v>2023</v>
      </c>
      <c r="AM18" s="3">
        <f t="shared" si="15"/>
        <v>2625</v>
      </c>
      <c r="AN18" s="3">
        <f t="shared" si="16"/>
        <v>1312.5</v>
      </c>
      <c r="AO18" s="20">
        <f t="shared" si="19"/>
        <v>128.13330349962069</v>
      </c>
      <c r="AP18" s="3">
        <f t="shared" si="20"/>
        <v>2347.4464287934061</v>
      </c>
      <c r="AQ18" s="3">
        <f t="shared" si="21"/>
        <v>1173.723214396703</v>
      </c>
    </row>
    <row r="19" spans="1:43">
      <c r="A19">
        <v>2024</v>
      </c>
      <c r="B19" s="3">
        <f t="shared" si="9"/>
        <v>29.275640447464834</v>
      </c>
      <c r="C19" s="3">
        <f t="shared" si="1"/>
        <v>234205.12357971867</v>
      </c>
      <c r="D19">
        <v>25</v>
      </c>
      <c r="E19" s="3">
        <f t="shared" si="22"/>
        <v>58551.280894929667</v>
      </c>
      <c r="F19">
        <v>0</v>
      </c>
      <c r="G19" s="3">
        <f t="shared" si="11"/>
        <v>4684.1024715943731</v>
      </c>
      <c r="H19" s="3">
        <f t="shared" si="12"/>
        <v>297440.50694624271</v>
      </c>
      <c r="I19" s="3">
        <f>Austria!I18/AJ19*AI19</f>
        <v>13647.058823529413</v>
      </c>
      <c r="J19" s="3">
        <f t="shared" si="13"/>
        <v>311087.5657697721</v>
      </c>
      <c r="L19" s="3">
        <f t="shared" si="2"/>
        <v>2625</v>
      </c>
      <c r="M19" s="3">
        <f t="shared" si="23"/>
        <v>12000</v>
      </c>
      <c r="N19" s="3">
        <f t="shared" si="4"/>
        <v>11200</v>
      </c>
      <c r="O19" s="3">
        <f t="shared" si="14"/>
        <v>25825</v>
      </c>
      <c r="P19" s="3"/>
      <c r="Q19" s="3"/>
      <c r="T19">
        <v>2025</v>
      </c>
      <c r="U19" s="3">
        <f>'Vehicle price'!X21</f>
        <v>23</v>
      </c>
      <c r="V19" s="20">
        <f>V18+(V24-V12)/12</f>
        <v>1.1749999999999994</v>
      </c>
      <c r="W19" s="3">
        <f t="shared" si="0"/>
        <v>33.303466599000153</v>
      </c>
      <c r="X19" s="3">
        <f>'Vehicle price'!T21</f>
        <v>28.343375828936317</v>
      </c>
      <c r="Y19" s="3">
        <f t="shared" si="5"/>
        <v>23.383285058872456</v>
      </c>
      <c r="Z19" s="20">
        <f>Z18+(Z24-Z12)/12</f>
        <v>0.82499999999999984</v>
      </c>
      <c r="AA19">
        <v>2024</v>
      </c>
      <c r="AB19" s="3">
        <f t="shared" si="6"/>
        <v>311087.5657697721</v>
      </c>
      <c r="AC19" s="3">
        <f t="shared" si="7"/>
        <v>315771.66824136651</v>
      </c>
      <c r="AD19" s="3">
        <f t="shared" si="8"/>
        <v>296240</v>
      </c>
      <c r="AH19">
        <v>2024</v>
      </c>
      <c r="AI19" s="14">
        <v>8</v>
      </c>
      <c r="AJ19" s="14">
        <v>0.85</v>
      </c>
      <c r="AK19" s="156"/>
      <c r="AL19">
        <v>2024</v>
      </c>
      <c r="AM19" s="3">
        <f t="shared" si="15"/>
        <v>2625</v>
      </c>
      <c r="AN19" s="3">
        <f t="shared" si="16"/>
        <v>1312.5</v>
      </c>
      <c r="AO19" s="20">
        <f t="shared" si="19"/>
        <v>130.54220960541355</v>
      </c>
      <c r="AP19" s="3">
        <f t="shared" si="20"/>
        <v>2304.1288072177135</v>
      </c>
      <c r="AQ19" s="3">
        <f t="shared" si="21"/>
        <v>1152.0644036088568</v>
      </c>
    </row>
    <row r="20" spans="1:43">
      <c r="A20">
        <v>2025</v>
      </c>
      <c r="B20" s="3">
        <f t="shared" si="9"/>
        <v>28.343375828936317</v>
      </c>
      <c r="C20" s="3">
        <f t="shared" si="1"/>
        <v>226747.00663149054</v>
      </c>
      <c r="D20">
        <v>25</v>
      </c>
      <c r="E20" s="3">
        <f t="shared" si="22"/>
        <v>56686.751657872635</v>
      </c>
      <c r="F20">
        <v>0</v>
      </c>
      <c r="G20" s="3">
        <f t="shared" si="11"/>
        <v>4534.9401326298112</v>
      </c>
      <c r="H20" s="3">
        <f t="shared" si="12"/>
        <v>287968.698421993</v>
      </c>
      <c r="I20" s="3">
        <f>Austria!I19/AJ20*AI20</f>
        <v>13647.058823529413</v>
      </c>
      <c r="J20" s="3">
        <f t="shared" si="13"/>
        <v>301615.7572455224</v>
      </c>
      <c r="L20" s="3">
        <f t="shared" si="2"/>
        <v>2625</v>
      </c>
      <c r="M20" s="3">
        <f t="shared" si="23"/>
        <v>12000</v>
      </c>
      <c r="N20" s="3">
        <f t="shared" si="4"/>
        <v>11200</v>
      </c>
      <c r="O20" s="3">
        <f t="shared" si="14"/>
        <v>25825</v>
      </c>
      <c r="P20" s="3"/>
      <c r="Q20" s="3"/>
      <c r="T20">
        <v>2026</v>
      </c>
      <c r="U20" s="3">
        <f>'Vehicle price'!X22</f>
        <v>23</v>
      </c>
      <c r="V20" s="20">
        <f>V19+(V24-V12)/12</f>
        <v>1.1999999999999993</v>
      </c>
      <c r="W20" s="3">
        <f t="shared" si="0"/>
        <v>33.374724569405856</v>
      </c>
      <c r="X20" s="3">
        <f>'Vehicle price'!T22</f>
        <v>27.812270474504896</v>
      </c>
      <c r="Y20" s="3">
        <f t="shared" si="5"/>
        <v>22.24981637960391</v>
      </c>
      <c r="Z20" s="20">
        <f>Z19+(Z24-Z12)/12</f>
        <v>0.79999999999999982</v>
      </c>
      <c r="AA20">
        <v>2025</v>
      </c>
      <c r="AB20" s="3">
        <f t="shared" si="6"/>
        <v>301615.7572455224</v>
      </c>
      <c r="AC20" s="3">
        <f t="shared" si="7"/>
        <v>306150.69737815222</v>
      </c>
      <c r="AD20" s="3">
        <f t="shared" si="8"/>
        <v>296240</v>
      </c>
      <c r="AH20">
        <v>2025</v>
      </c>
      <c r="AI20" s="14">
        <v>8</v>
      </c>
      <c r="AJ20" s="14">
        <v>0.85</v>
      </c>
      <c r="AK20" s="156"/>
      <c r="AL20">
        <v>2025</v>
      </c>
      <c r="AM20" s="3">
        <f t="shared" si="15"/>
        <v>2625</v>
      </c>
      <c r="AN20" s="3">
        <f t="shared" si="16"/>
        <v>1312.5</v>
      </c>
      <c r="AO20" s="20">
        <f t="shared" si="19"/>
        <v>132.99640314599532</v>
      </c>
      <c r="AP20" s="3">
        <f t="shared" si="20"/>
        <v>2261.6105292674847</v>
      </c>
      <c r="AQ20" s="3">
        <f t="shared" si="21"/>
        <v>1130.8052646337424</v>
      </c>
    </row>
    <row r="21" spans="1:43">
      <c r="A21">
        <v>2026</v>
      </c>
      <c r="B21" s="3">
        <f t="shared" si="9"/>
        <v>27.812270474504896</v>
      </c>
      <c r="C21" s="3">
        <f t="shared" si="1"/>
        <v>222498.16379603915</v>
      </c>
      <c r="D21">
        <v>25</v>
      </c>
      <c r="E21" s="3">
        <f t="shared" si="22"/>
        <v>55624.540949009788</v>
      </c>
      <c r="F21">
        <v>0</v>
      </c>
      <c r="G21" s="3">
        <f t="shared" si="11"/>
        <v>4449.9632759207834</v>
      </c>
      <c r="H21" s="3">
        <f t="shared" si="12"/>
        <v>282572.66802096972</v>
      </c>
      <c r="I21" s="3">
        <f>Austria!I20/AJ21*AI21</f>
        <v>13647.058823529413</v>
      </c>
      <c r="J21" s="3">
        <f t="shared" si="13"/>
        <v>296219.72684449912</v>
      </c>
      <c r="L21" s="3">
        <f t="shared" si="2"/>
        <v>2625</v>
      </c>
      <c r="M21" s="3">
        <f t="shared" si="23"/>
        <v>12000</v>
      </c>
      <c r="N21" s="3">
        <f t="shared" si="4"/>
        <v>11200</v>
      </c>
      <c r="O21" s="3">
        <f t="shared" si="14"/>
        <v>25825</v>
      </c>
      <c r="P21" s="3"/>
      <c r="Q21" s="3"/>
      <c r="T21">
        <v>2027</v>
      </c>
      <c r="U21" s="3">
        <f>'Vehicle price'!X23</f>
        <v>23</v>
      </c>
      <c r="V21" s="20">
        <f>V20+(V24-V12)/12</f>
        <v>1.2249999999999992</v>
      </c>
      <c r="W21" s="3">
        <f t="shared" si="0"/>
        <v>33.41942727208999</v>
      </c>
      <c r="X21" s="3">
        <f>'Vehicle price'!T23</f>
        <v>27.281165120073478</v>
      </c>
      <c r="Y21" s="3">
        <f t="shared" si="5"/>
        <v>21.142902968056941</v>
      </c>
      <c r="Z21" s="20">
        <f>Z20+(Z24-Z12)/12</f>
        <v>0.7749999999999998</v>
      </c>
      <c r="AA21">
        <v>2026</v>
      </c>
      <c r="AB21" s="3">
        <f t="shared" si="6"/>
        <v>296219.72684449912</v>
      </c>
      <c r="AC21" s="3">
        <f>J46</f>
        <v>300669.69012041989</v>
      </c>
      <c r="AD21" s="3">
        <f t="shared" si="8"/>
        <v>296240</v>
      </c>
      <c r="AH21">
        <v>2026</v>
      </c>
      <c r="AI21" s="14">
        <v>8</v>
      </c>
      <c r="AJ21" s="14">
        <v>0.85</v>
      </c>
      <c r="AK21" s="156"/>
      <c r="AL21">
        <v>2026</v>
      </c>
      <c r="AM21" s="3">
        <f t="shared" si="15"/>
        <v>2625</v>
      </c>
      <c r="AN21" s="3">
        <f t="shared" si="16"/>
        <v>1312.5</v>
      </c>
      <c r="AO21" s="20">
        <f t="shared" si="19"/>
        <v>135.49673552514002</v>
      </c>
      <c r="AP21" s="3">
        <f t="shared" si="20"/>
        <v>2219.8768445892078</v>
      </c>
      <c r="AQ21" s="3">
        <f t="shared" si="21"/>
        <v>1109.9384222946039</v>
      </c>
    </row>
    <row r="22" spans="1:43">
      <c r="A22">
        <v>2027</v>
      </c>
      <c r="B22" s="3">
        <f t="shared" si="9"/>
        <v>27.281165120073478</v>
      </c>
      <c r="C22" s="3">
        <f t="shared" si="1"/>
        <v>218249.32096058782</v>
      </c>
      <c r="D22">
        <v>25</v>
      </c>
      <c r="E22" s="3">
        <f t="shared" si="22"/>
        <v>54562.330240146955</v>
      </c>
      <c r="F22">
        <v>0</v>
      </c>
      <c r="G22" s="3">
        <f t="shared" si="11"/>
        <v>4364.9864192117566</v>
      </c>
      <c r="H22" s="3">
        <f t="shared" si="12"/>
        <v>277176.63761994656</v>
      </c>
      <c r="I22" s="3">
        <f>Austria!I21/AJ22*AI22</f>
        <v>13647.058823529413</v>
      </c>
      <c r="J22" s="3">
        <f t="shared" si="13"/>
        <v>290823.69644347596</v>
      </c>
      <c r="L22" s="3">
        <f t="shared" si="2"/>
        <v>2625</v>
      </c>
      <c r="M22" s="3">
        <f t="shared" si="23"/>
        <v>12000</v>
      </c>
      <c r="N22" s="3">
        <f t="shared" si="4"/>
        <v>11200</v>
      </c>
      <c r="O22" s="3">
        <f t="shared" si="14"/>
        <v>25825</v>
      </c>
      <c r="P22" s="3"/>
      <c r="Q22" s="3"/>
      <c r="T22">
        <v>2028</v>
      </c>
      <c r="U22" s="3">
        <f>'Vehicle price'!X24</f>
        <v>23</v>
      </c>
      <c r="V22" s="20">
        <f>V21+(V24-V12)/12</f>
        <v>1.2499999999999991</v>
      </c>
      <c r="W22" s="3">
        <f t="shared" si="0"/>
        <v>33.354589495422644</v>
      </c>
      <c r="X22" s="3">
        <f>'Vehicle price'!T24</f>
        <v>26.683671596338133</v>
      </c>
      <c r="Y22" s="3">
        <f t="shared" si="5"/>
        <v>20.012753697253594</v>
      </c>
      <c r="Z22" s="20">
        <f>Z21+(Z24-Z12)/12</f>
        <v>0.74999999999999978</v>
      </c>
      <c r="AA22">
        <v>2027</v>
      </c>
      <c r="AB22" s="3">
        <f t="shared" si="6"/>
        <v>290823.69644347596</v>
      </c>
      <c r="AC22" s="3">
        <f t="shared" si="7"/>
        <v>295188.68286268768</v>
      </c>
      <c r="AD22" s="3">
        <f t="shared" si="8"/>
        <v>296240</v>
      </c>
      <c r="AH22">
        <v>2027</v>
      </c>
      <c r="AI22" s="14">
        <v>8</v>
      </c>
      <c r="AJ22" s="14">
        <v>0.85</v>
      </c>
      <c r="AK22" s="156"/>
      <c r="AL22">
        <v>2027</v>
      </c>
      <c r="AM22" s="3">
        <f t="shared" si="15"/>
        <v>2625</v>
      </c>
      <c r="AN22" s="3">
        <f t="shared" si="16"/>
        <v>1312.5</v>
      </c>
      <c r="AO22" s="20">
        <f t="shared" si="19"/>
        <v>138.04407415301264</v>
      </c>
      <c r="AP22" s="3">
        <f t="shared" si="20"/>
        <v>2178.9132750188537</v>
      </c>
      <c r="AQ22" s="3">
        <f t="shared" si="21"/>
        <v>1089.4566375094269</v>
      </c>
    </row>
    <row r="23" spans="1:43">
      <c r="A23">
        <v>2028</v>
      </c>
      <c r="B23" s="3">
        <f t="shared" si="9"/>
        <v>26.683671596338133</v>
      </c>
      <c r="C23" s="3">
        <f t="shared" si="1"/>
        <v>213469.37277070506</v>
      </c>
      <c r="D23">
        <v>25</v>
      </c>
      <c r="E23" s="3">
        <f t="shared" si="22"/>
        <v>53367.343192676271</v>
      </c>
      <c r="F23">
        <v>0</v>
      </c>
      <c r="G23" s="3">
        <f t="shared" si="11"/>
        <v>4269.3874554141012</v>
      </c>
      <c r="H23" s="3">
        <f t="shared" si="12"/>
        <v>271106.10341879545</v>
      </c>
      <c r="I23" s="3">
        <f>Austria!I22/AJ23*AI23</f>
        <v>13647.058823529413</v>
      </c>
      <c r="J23" s="3">
        <f t="shared" si="13"/>
        <v>284753.16224232485</v>
      </c>
      <c r="L23" s="3">
        <f t="shared" si="2"/>
        <v>2625</v>
      </c>
      <c r="M23" s="3">
        <f t="shared" si="23"/>
        <v>12000</v>
      </c>
      <c r="N23" s="3">
        <f t="shared" si="4"/>
        <v>11200</v>
      </c>
      <c r="O23" s="3">
        <f t="shared" si="14"/>
        <v>25825</v>
      </c>
      <c r="P23" s="3"/>
      <c r="Q23" s="3"/>
      <c r="T23">
        <v>2029</v>
      </c>
      <c r="U23" s="3">
        <f>'Vehicle price'!X25</f>
        <v>23</v>
      </c>
      <c r="V23" s="20">
        <f>V22+(V24-V12)/12</f>
        <v>1.274999999999999</v>
      </c>
      <c r="W23" s="3">
        <f t="shared" si="0"/>
        <v>33.344521958431038</v>
      </c>
      <c r="X23" s="3">
        <f>'Vehicle price'!T25</f>
        <v>26.152566241906715</v>
      </c>
      <c r="Y23" s="3">
        <f t="shared" si="5"/>
        <v>18.960610525382361</v>
      </c>
      <c r="Z23" s="20">
        <f>Z22+(Z24-Z12)/12</f>
        <v>0.72499999999999976</v>
      </c>
      <c r="AA23">
        <v>2028</v>
      </c>
      <c r="AB23" s="3">
        <f t="shared" si="6"/>
        <v>284753.16224232485</v>
      </c>
      <c r="AC23" s="3">
        <f t="shared" si="7"/>
        <v>289022.54969773896</v>
      </c>
      <c r="AD23" s="3">
        <f t="shared" si="8"/>
        <v>296240</v>
      </c>
      <c r="AH23">
        <v>2028</v>
      </c>
      <c r="AI23" s="14">
        <v>8</v>
      </c>
      <c r="AJ23" s="14">
        <v>0.85</v>
      </c>
      <c r="AK23" s="156"/>
      <c r="AL23">
        <v>2028</v>
      </c>
      <c r="AM23" s="3">
        <f t="shared" si="15"/>
        <v>2625</v>
      </c>
      <c r="AN23" s="3">
        <f t="shared" si="16"/>
        <v>1312.5</v>
      </c>
      <c r="AO23" s="20">
        <f t="shared" si="19"/>
        <v>140.63930274708926</v>
      </c>
      <c r="AP23" s="3">
        <f t="shared" si="20"/>
        <v>2138.705609559142</v>
      </c>
      <c r="AQ23" s="3">
        <f t="shared" si="21"/>
        <v>1069.352804779571</v>
      </c>
    </row>
    <row r="24" spans="1:43">
      <c r="A24">
        <v>2029</v>
      </c>
      <c r="B24" s="3">
        <f t="shared" si="9"/>
        <v>26.152566241906715</v>
      </c>
      <c r="C24" s="3">
        <f t="shared" si="1"/>
        <v>209220.52993525373</v>
      </c>
      <c r="D24">
        <v>25</v>
      </c>
      <c r="E24" s="3">
        <f t="shared" si="22"/>
        <v>52305.132483813424</v>
      </c>
      <c r="F24">
        <v>0</v>
      </c>
      <c r="G24" s="3">
        <f t="shared" si="11"/>
        <v>4184.4105987050743</v>
      </c>
      <c r="H24" s="3">
        <f t="shared" si="12"/>
        <v>265710.07301777223</v>
      </c>
      <c r="I24" s="3">
        <f>Austria!I23/AJ24*AI24</f>
        <v>13647.058823529413</v>
      </c>
      <c r="J24" s="3">
        <f t="shared" si="13"/>
        <v>279357.13184130163</v>
      </c>
      <c r="L24" s="3">
        <f t="shared" si="2"/>
        <v>2625</v>
      </c>
      <c r="M24" s="3">
        <f t="shared" si="23"/>
        <v>12000</v>
      </c>
      <c r="N24" s="3">
        <f t="shared" si="4"/>
        <v>11200</v>
      </c>
      <c r="O24" s="3">
        <f t="shared" si="14"/>
        <v>25825</v>
      </c>
      <c r="P24" s="3"/>
      <c r="Q24" s="3"/>
      <c r="T24">
        <v>2030</v>
      </c>
      <c r="U24" s="3">
        <f>'Vehicle price'!X26</f>
        <v>23</v>
      </c>
      <c r="V24">
        <v>1.3</v>
      </c>
      <c r="W24" s="3">
        <f t="shared" si="0"/>
        <v>33.221594533622785</v>
      </c>
      <c r="X24" s="3">
        <f>'Vehicle price'!T26</f>
        <v>25.55507271817137</v>
      </c>
      <c r="Y24" s="3">
        <f t="shared" si="5"/>
        <v>17.88855090271996</v>
      </c>
      <c r="Z24">
        <v>0.7</v>
      </c>
      <c r="AA24">
        <v>2029</v>
      </c>
      <c r="AB24" s="3">
        <f t="shared" si="6"/>
        <v>279357.13184130163</v>
      </c>
      <c r="AC24" s="3">
        <f t="shared" si="7"/>
        <v>283541.54244000668</v>
      </c>
      <c r="AD24" s="3">
        <f t="shared" si="8"/>
        <v>296240</v>
      </c>
      <c r="AH24">
        <v>2029</v>
      </c>
      <c r="AI24" s="14">
        <v>8</v>
      </c>
      <c r="AJ24" s="14">
        <v>0.85</v>
      </c>
      <c r="AK24" s="156"/>
      <c r="AL24">
        <v>2029</v>
      </c>
      <c r="AM24" s="3">
        <f t="shared" si="15"/>
        <v>2625</v>
      </c>
      <c r="AN24" s="3">
        <f t="shared" si="16"/>
        <v>1312.5</v>
      </c>
      <c r="AO24" s="20">
        <f t="shared" si="19"/>
        <v>143.28332163873452</v>
      </c>
      <c r="AP24" s="3">
        <f t="shared" si="20"/>
        <v>2099.239899449492</v>
      </c>
      <c r="AQ24" s="3">
        <f t="shared" si="21"/>
        <v>1049.619949724746</v>
      </c>
    </row>
    <row r="25" spans="1:43">
      <c r="A25">
        <v>2030</v>
      </c>
      <c r="B25" s="3">
        <f t="shared" si="9"/>
        <v>25.55507271817137</v>
      </c>
      <c r="C25" s="3">
        <f t="shared" si="1"/>
        <v>204440.58174537096</v>
      </c>
      <c r="D25">
        <v>25</v>
      </c>
      <c r="E25" s="3">
        <f t="shared" si="22"/>
        <v>51110.14543634274</v>
      </c>
      <c r="F25">
        <v>0</v>
      </c>
      <c r="G25" s="3">
        <f t="shared" si="11"/>
        <v>4088.8116349074194</v>
      </c>
      <c r="H25" s="3">
        <f t="shared" si="12"/>
        <v>259639.53881662112</v>
      </c>
      <c r="I25" s="3">
        <f>Austria!I24/AJ25*AI25</f>
        <v>13647.058823529413</v>
      </c>
      <c r="J25" s="3">
        <f t="shared" si="13"/>
        <v>273286.59764015052</v>
      </c>
      <c r="L25" s="3">
        <f t="shared" si="2"/>
        <v>2625</v>
      </c>
      <c r="M25" s="3">
        <f t="shared" si="23"/>
        <v>12000</v>
      </c>
      <c r="N25" s="3">
        <f t="shared" si="4"/>
        <v>11200</v>
      </c>
      <c r="O25" s="3">
        <f t="shared" si="14"/>
        <v>25825</v>
      </c>
      <c r="P25" s="3"/>
      <c r="Q25" s="3"/>
      <c r="AA25">
        <v>2030</v>
      </c>
      <c r="AB25" s="3">
        <f t="shared" si="6"/>
        <v>273286.59764015052</v>
      </c>
      <c r="AC25" s="3">
        <f t="shared" si="7"/>
        <v>277375.40927505796</v>
      </c>
      <c r="AD25" s="3">
        <f t="shared" si="8"/>
        <v>296240</v>
      </c>
      <c r="AH25">
        <v>2030</v>
      </c>
      <c r="AI25" s="14">
        <v>8</v>
      </c>
      <c r="AJ25" s="14">
        <v>0.85</v>
      </c>
      <c r="AK25" s="156"/>
      <c r="AL25">
        <v>2030</v>
      </c>
      <c r="AM25" s="3">
        <f t="shared" si="15"/>
        <v>2625</v>
      </c>
      <c r="AN25" s="3">
        <f t="shared" si="16"/>
        <v>1312.5</v>
      </c>
      <c r="AO25" s="20">
        <f t="shared" si="19"/>
        <v>145.97704808554272</v>
      </c>
      <c r="AP25" s="3">
        <f t="shared" si="20"/>
        <v>2060.5024533269452</v>
      </c>
      <c r="AQ25" s="3">
        <f t="shared" si="21"/>
        <v>1030.2512266634726</v>
      </c>
    </row>
    <row r="27" spans="1:43">
      <c r="A27" t="s">
        <v>324</v>
      </c>
      <c r="B27" t="s">
        <v>1395</v>
      </c>
      <c r="C27" t="s">
        <v>671</v>
      </c>
      <c r="D27" t="s">
        <v>671</v>
      </c>
      <c r="E27" t="s">
        <v>671</v>
      </c>
      <c r="F27" t="s">
        <v>671</v>
      </c>
      <c r="G27" t="s">
        <v>671</v>
      </c>
      <c r="H27" t="s">
        <v>671</v>
      </c>
      <c r="I27" t="s">
        <v>671</v>
      </c>
      <c r="J27" t="s">
        <v>671</v>
      </c>
      <c r="L27" t="s">
        <v>671</v>
      </c>
    </row>
    <row r="28" spans="1:43">
      <c r="B28" t="s">
        <v>711</v>
      </c>
      <c r="C28" t="s">
        <v>711</v>
      </c>
      <c r="D28" t="s">
        <v>714</v>
      </c>
      <c r="E28" t="s">
        <v>728</v>
      </c>
      <c r="F28" t="s">
        <v>749</v>
      </c>
      <c r="G28" t="s">
        <v>729</v>
      </c>
      <c r="H28" t="s">
        <v>717</v>
      </c>
      <c r="I28" t="s">
        <v>755</v>
      </c>
      <c r="J28" t="s">
        <v>717</v>
      </c>
      <c r="L28" t="s">
        <v>908</v>
      </c>
    </row>
    <row r="29" spans="1:43">
      <c r="A29">
        <v>2009</v>
      </c>
      <c r="B29" s="3">
        <f t="shared" ref="B29:B50" si="24">B4</f>
        <v>29.592572886961211</v>
      </c>
      <c r="C29" s="3">
        <f t="shared" ref="C29:C50" si="25">B29*AI4*1000</f>
        <v>186087.86386226478</v>
      </c>
      <c r="D29">
        <v>25</v>
      </c>
      <c r="E29" s="3">
        <f>C29*D29/100</f>
        <v>46521.965965566196</v>
      </c>
      <c r="F29" s="3">
        <f t="shared" ref="F29:G32" si="26">F54</f>
        <v>43389.477000000006</v>
      </c>
      <c r="G29" s="3">
        <f t="shared" si="26"/>
        <v>8677.8954000000012</v>
      </c>
      <c r="H29" s="3">
        <f>C29+E29+F29+G29</f>
        <v>284677.20222783095</v>
      </c>
      <c r="I29" s="3">
        <f t="shared" ref="I29:I50" si="27">I4</f>
        <v>12666.739444764085</v>
      </c>
      <c r="J29" s="3">
        <f>H29+I29</f>
        <v>297343.94167259504</v>
      </c>
      <c r="L29" s="3">
        <f t="shared" ref="L29:L50" si="28">AN4</f>
        <v>1312.5</v>
      </c>
      <c r="M29" s="3"/>
      <c r="N29" s="3"/>
      <c r="O29" s="3"/>
      <c r="P29" s="3"/>
      <c r="Q29" s="3"/>
    </row>
    <row r="30" spans="1:43">
      <c r="A30">
        <v>2010</v>
      </c>
      <c r="B30" s="3">
        <f t="shared" si="24"/>
        <v>30</v>
      </c>
      <c r="C30" s="3">
        <f t="shared" si="25"/>
        <v>181390.92348727476</v>
      </c>
      <c r="D30">
        <v>25</v>
      </c>
      <c r="E30" s="3">
        <f t="shared" ref="E30:E37" si="29">C30*D30/100</f>
        <v>45347.730871818691</v>
      </c>
      <c r="F30" s="3">
        <f t="shared" si="26"/>
        <v>41719.912402073191</v>
      </c>
      <c r="G30" s="3">
        <f t="shared" si="26"/>
        <v>8343.9824804146392</v>
      </c>
      <c r="H30" s="3">
        <f t="shared" ref="H30:H50" si="30">C30+E30+F30+G30</f>
        <v>276802.54924158129</v>
      </c>
      <c r="I30" s="3">
        <f t="shared" si="27"/>
        <v>11556.029672513114</v>
      </c>
      <c r="J30" s="3">
        <f t="shared" ref="J30:J50" si="31">H30+I30</f>
        <v>288358.57891409443</v>
      </c>
      <c r="L30" s="3">
        <f t="shared" si="28"/>
        <v>1312.5</v>
      </c>
      <c r="M30" s="3"/>
      <c r="N30" s="3"/>
      <c r="O30" s="3"/>
      <c r="P30" s="3"/>
      <c r="Q30" s="3"/>
    </row>
    <row r="31" spans="1:43">
      <c r="A31">
        <v>2011</v>
      </c>
      <c r="B31" s="3">
        <f t="shared" si="24"/>
        <v>30</v>
      </c>
      <c r="C31" s="3">
        <f t="shared" si="25"/>
        <v>168248.91357211216</v>
      </c>
      <c r="D31">
        <v>25</v>
      </c>
      <c r="E31" s="3">
        <f t="shared" si="29"/>
        <v>42062.228393028046</v>
      </c>
      <c r="F31" s="3">
        <f t="shared" si="26"/>
        <v>38697.250121585792</v>
      </c>
      <c r="G31" s="3">
        <f t="shared" si="26"/>
        <v>7739.4500243171578</v>
      </c>
      <c r="H31" s="3">
        <f t="shared" si="30"/>
        <v>256747.84211104317</v>
      </c>
      <c r="I31" s="3">
        <f t="shared" si="27"/>
        <v>11366.45745328351</v>
      </c>
      <c r="J31" s="3">
        <f t="shared" si="31"/>
        <v>268114.29956432665</v>
      </c>
      <c r="L31" s="3">
        <f t="shared" si="28"/>
        <v>1312.5</v>
      </c>
      <c r="M31" s="3"/>
      <c r="N31" s="3"/>
      <c r="O31" s="3"/>
      <c r="P31" s="3"/>
      <c r="Q31" s="3"/>
    </row>
    <row r="32" spans="1:43">
      <c r="A32">
        <v>2012</v>
      </c>
      <c r="B32" s="3">
        <f t="shared" si="24"/>
        <v>30.842462459493706</v>
      </c>
      <c r="C32" s="3">
        <f t="shared" si="25"/>
        <v>179481.00883507889</v>
      </c>
      <c r="D32">
        <v>25</v>
      </c>
      <c r="E32" s="3">
        <f t="shared" si="29"/>
        <v>44870.252208769722</v>
      </c>
      <c r="F32" s="3">
        <f t="shared" si="26"/>
        <v>40153.0507685142</v>
      </c>
      <c r="G32" s="3">
        <f t="shared" si="26"/>
        <v>8030.6101537028399</v>
      </c>
      <c r="H32" s="3">
        <f t="shared" si="30"/>
        <v>272534.92196606565</v>
      </c>
      <c r="I32" s="3">
        <f t="shared" si="27"/>
        <v>10903.173506467685</v>
      </c>
      <c r="J32" s="3">
        <f t="shared" si="31"/>
        <v>283438.09547253331</v>
      </c>
      <c r="L32" s="3">
        <f t="shared" si="28"/>
        <v>1312.5</v>
      </c>
      <c r="M32" s="3"/>
      <c r="N32" s="3"/>
      <c r="O32" s="3"/>
      <c r="P32" s="3"/>
      <c r="Q32" s="3"/>
    </row>
    <row r="33" spans="1:32">
      <c r="A33">
        <v>2013</v>
      </c>
      <c r="B33" s="3">
        <f t="shared" si="24"/>
        <v>31.143929334439989</v>
      </c>
      <c r="C33" s="3">
        <f t="shared" si="25"/>
        <v>182819.50499135308</v>
      </c>
      <c r="D33">
        <v>0</v>
      </c>
      <c r="E33" s="3">
        <f t="shared" si="29"/>
        <v>0</v>
      </c>
      <c r="F33">
        <v>0</v>
      </c>
      <c r="G33" s="3">
        <f>C33*0.04</f>
        <v>7312.7801996541239</v>
      </c>
      <c r="H33" s="3">
        <f t="shared" si="30"/>
        <v>190132.28519100719</v>
      </c>
      <c r="I33" s="3">
        <f t="shared" si="27"/>
        <v>11323.759112065454</v>
      </c>
      <c r="J33" s="3">
        <f t="shared" si="31"/>
        <v>201456.04430307265</v>
      </c>
      <c r="L33" s="3">
        <f t="shared" si="28"/>
        <v>1312.5</v>
      </c>
      <c r="M33" s="3"/>
      <c r="N33" s="3"/>
      <c r="O33" s="3"/>
      <c r="P33" s="3"/>
      <c r="Q33" s="3"/>
    </row>
    <row r="34" spans="1:32">
      <c r="A34">
        <v>2014</v>
      </c>
      <c r="B34" s="3">
        <f t="shared" si="24"/>
        <v>33.541755956678692</v>
      </c>
      <c r="C34" s="3">
        <f t="shared" si="25"/>
        <v>211037.42414299279</v>
      </c>
      <c r="D34">
        <v>0</v>
      </c>
      <c r="E34" s="3">
        <f t="shared" si="29"/>
        <v>0</v>
      </c>
      <c r="F34">
        <v>0</v>
      </c>
      <c r="G34" s="3">
        <f t="shared" ref="G34:G50" si="32">C34*0.04</f>
        <v>8441.4969657197125</v>
      </c>
      <c r="H34" s="3">
        <f t="shared" si="30"/>
        <v>219478.9211087125</v>
      </c>
      <c r="I34" s="3">
        <f t="shared" si="27"/>
        <v>12045.459108171797</v>
      </c>
      <c r="J34" s="3">
        <f t="shared" si="31"/>
        <v>231524.38021688431</v>
      </c>
      <c r="L34" s="3">
        <f t="shared" si="28"/>
        <v>1312.5</v>
      </c>
      <c r="M34" s="3"/>
      <c r="N34" s="3"/>
      <c r="O34" s="3"/>
      <c r="P34" s="3"/>
      <c r="Q34" s="3"/>
    </row>
    <row r="35" spans="1:32">
      <c r="A35">
        <v>2015</v>
      </c>
      <c r="B35" s="3">
        <f t="shared" si="24"/>
        <v>30</v>
      </c>
      <c r="C35" s="3">
        <f t="shared" si="25"/>
        <v>241879.95536500859</v>
      </c>
      <c r="D35">
        <v>0</v>
      </c>
      <c r="E35" s="3">
        <f t="shared" si="29"/>
        <v>0</v>
      </c>
      <c r="F35">
        <v>0</v>
      </c>
      <c r="G35" s="3">
        <f t="shared" si="32"/>
        <v>9675.1982146003429</v>
      </c>
      <c r="H35" s="3">
        <f t="shared" si="30"/>
        <v>251555.15357960894</v>
      </c>
      <c r="I35" s="3">
        <f t="shared" si="27"/>
        <v>12904.884240673055</v>
      </c>
      <c r="J35" s="3">
        <f t="shared" si="31"/>
        <v>264460.03782028198</v>
      </c>
      <c r="L35" s="3">
        <f t="shared" si="28"/>
        <v>1312.5</v>
      </c>
      <c r="M35" s="3"/>
      <c r="N35" s="3"/>
      <c r="O35" s="3"/>
      <c r="P35" s="3"/>
      <c r="Q35" s="3"/>
    </row>
    <row r="36" spans="1:32">
      <c r="A36">
        <v>2016</v>
      </c>
      <c r="B36" s="3">
        <f t="shared" si="24"/>
        <v>30</v>
      </c>
      <c r="C36" s="3">
        <f t="shared" si="25"/>
        <v>251919.34335201283</v>
      </c>
      <c r="D36">
        <v>0</v>
      </c>
      <c r="E36" s="3">
        <f t="shared" si="29"/>
        <v>0</v>
      </c>
      <c r="F36">
        <v>0</v>
      </c>
      <c r="G36" s="3">
        <f t="shared" si="32"/>
        <v>10076.773734080514</v>
      </c>
      <c r="H36" s="3">
        <f t="shared" si="30"/>
        <v>261996.11708609335</v>
      </c>
      <c r="I36" s="3">
        <f t="shared" si="27"/>
        <v>13428.332886875214</v>
      </c>
      <c r="J36" s="3">
        <f t="shared" si="31"/>
        <v>275424.44997296855</v>
      </c>
      <c r="L36" s="3">
        <f t="shared" si="28"/>
        <v>1312.5</v>
      </c>
      <c r="M36" s="3"/>
      <c r="N36" s="3"/>
      <c r="O36" s="3"/>
      <c r="P36" s="3"/>
      <c r="Q36" s="3"/>
    </row>
    <row r="37" spans="1:32">
      <c r="A37">
        <v>2017</v>
      </c>
      <c r="B37" s="3">
        <f t="shared" si="24"/>
        <v>30</v>
      </c>
      <c r="C37" s="3">
        <f t="shared" si="25"/>
        <v>247889.36010273438</v>
      </c>
      <c r="D37">
        <v>0</v>
      </c>
      <c r="E37" s="3">
        <f t="shared" si="29"/>
        <v>0</v>
      </c>
      <c r="F37">
        <v>0</v>
      </c>
      <c r="G37" s="3">
        <f t="shared" si="32"/>
        <v>9915.5744041093749</v>
      </c>
      <c r="H37" s="3">
        <f t="shared" si="30"/>
        <v>257804.93450684377</v>
      </c>
      <c r="I37" s="3">
        <f t="shared" si="27"/>
        <v>13583.233484498851</v>
      </c>
      <c r="J37" s="3">
        <f t="shared" si="31"/>
        <v>271388.16799134261</v>
      </c>
      <c r="L37" s="3">
        <f t="shared" si="28"/>
        <v>1312.5</v>
      </c>
      <c r="M37" s="3"/>
      <c r="N37" s="3"/>
      <c r="O37" s="3"/>
      <c r="P37" s="3"/>
      <c r="Q37" s="3"/>
    </row>
    <row r="38" spans="1:32">
      <c r="A38">
        <v>2018</v>
      </c>
      <c r="B38" s="3">
        <f t="shared" si="24"/>
        <v>30.592100851060948</v>
      </c>
      <c r="C38" s="3">
        <f t="shared" si="25"/>
        <v>244736.8068084876</v>
      </c>
      <c r="D38">
        <v>0</v>
      </c>
      <c r="E38" s="3">
        <f>C38*D38/100</f>
        <v>0</v>
      </c>
      <c r="F38">
        <v>0</v>
      </c>
      <c r="G38" s="3">
        <f t="shared" si="32"/>
        <v>9789.4722723395043</v>
      </c>
      <c r="H38" s="3">
        <f t="shared" si="30"/>
        <v>254526.27908082711</v>
      </c>
      <c r="I38" s="3">
        <f t="shared" si="27"/>
        <v>13647.058823529413</v>
      </c>
      <c r="J38" s="3">
        <f t="shared" si="31"/>
        <v>268173.33790435654</v>
      </c>
      <c r="L38" s="3">
        <f t="shared" si="28"/>
        <v>1312.5</v>
      </c>
      <c r="M38" s="3"/>
      <c r="N38" s="3"/>
      <c r="O38" s="3"/>
      <c r="P38" s="3"/>
      <c r="Q38" s="3"/>
    </row>
    <row r="39" spans="1:32">
      <c r="A39">
        <v>2019</v>
      </c>
      <c r="B39" s="3">
        <f t="shared" si="24"/>
        <v>31.172994053473918</v>
      </c>
      <c r="C39" s="3">
        <f t="shared" si="25"/>
        <v>249383.95242779134</v>
      </c>
      <c r="D39">
        <v>0</v>
      </c>
      <c r="E39" s="3">
        <f t="shared" ref="E39:E50" si="33">C39*D39/100</f>
        <v>0</v>
      </c>
      <c r="F39">
        <v>0</v>
      </c>
      <c r="G39" s="3">
        <f t="shared" si="32"/>
        <v>9975.3580971116535</v>
      </c>
      <c r="H39" s="3">
        <f t="shared" si="30"/>
        <v>259359.310524903</v>
      </c>
      <c r="I39" s="3">
        <f t="shared" si="27"/>
        <v>13647.058823529413</v>
      </c>
      <c r="J39" s="3">
        <f t="shared" si="31"/>
        <v>273006.3693484324</v>
      </c>
      <c r="L39" s="3">
        <f t="shared" si="28"/>
        <v>1312.5</v>
      </c>
      <c r="M39" s="3"/>
      <c r="N39" s="3"/>
      <c r="O39" s="3"/>
      <c r="P39" s="3"/>
      <c r="Q39" s="3"/>
    </row>
    <row r="40" spans="1:32">
      <c r="A40">
        <v>2020</v>
      </c>
      <c r="B40" s="3">
        <f t="shared" si="24"/>
        <v>30.985903123425071</v>
      </c>
      <c r="C40" s="3">
        <f t="shared" si="25"/>
        <v>247887.22498740058</v>
      </c>
      <c r="D40">
        <v>0</v>
      </c>
      <c r="E40" s="3">
        <f t="shared" si="33"/>
        <v>0</v>
      </c>
      <c r="F40">
        <v>0</v>
      </c>
      <c r="G40" s="3">
        <f t="shared" si="32"/>
        <v>9915.4889994960231</v>
      </c>
      <c r="H40" s="3">
        <f t="shared" si="30"/>
        <v>257802.71398689659</v>
      </c>
      <c r="I40" s="3">
        <f t="shared" si="27"/>
        <v>13647.058823529413</v>
      </c>
      <c r="J40" s="3">
        <f t="shared" si="31"/>
        <v>271449.77281042602</v>
      </c>
      <c r="L40" s="3">
        <f t="shared" si="28"/>
        <v>1312.5</v>
      </c>
      <c r="M40" s="3"/>
      <c r="N40" s="3"/>
      <c r="O40" s="3"/>
      <c r="P40" s="3"/>
      <c r="Q40" s="3"/>
    </row>
    <row r="41" spans="1:32">
      <c r="A41">
        <v>2021</v>
      </c>
      <c r="B41" s="3">
        <f t="shared" si="24"/>
        <v>30.206708843097807</v>
      </c>
      <c r="C41" s="3">
        <f t="shared" si="25"/>
        <v>241653.67074478246</v>
      </c>
      <c r="D41">
        <v>25</v>
      </c>
      <c r="E41" s="3">
        <f>C41*D41/100</f>
        <v>60413.417686195615</v>
      </c>
      <c r="F41">
        <v>0</v>
      </c>
      <c r="G41" s="3">
        <f t="shared" si="32"/>
        <v>9666.1468297912979</v>
      </c>
      <c r="H41" s="3">
        <f t="shared" si="30"/>
        <v>311733.23526076938</v>
      </c>
      <c r="I41" s="3">
        <f t="shared" si="27"/>
        <v>13647.058823529413</v>
      </c>
      <c r="J41" s="3">
        <f t="shared" si="31"/>
        <v>325380.29408429877</v>
      </c>
      <c r="L41" s="3">
        <f t="shared" si="28"/>
        <v>1312.5</v>
      </c>
      <c r="M41" s="3"/>
      <c r="N41" s="3"/>
      <c r="O41" s="3"/>
      <c r="P41" s="3"/>
      <c r="Q41" s="3"/>
    </row>
    <row r="42" spans="1:32">
      <c r="A42">
        <v>2022</v>
      </c>
      <c r="B42" s="3">
        <f t="shared" si="24"/>
        <v>30.642454642697771</v>
      </c>
      <c r="C42" s="3">
        <f t="shared" si="25"/>
        <v>245139.63714158218</v>
      </c>
      <c r="D42">
        <v>25</v>
      </c>
      <c r="E42" s="3">
        <f t="shared" si="33"/>
        <v>61284.909285395544</v>
      </c>
      <c r="F42">
        <v>0</v>
      </c>
      <c r="G42" s="3">
        <f t="shared" si="32"/>
        <v>9805.5854856632868</v>
      </c>
      <c r="H42" s="3">
        <f t="shared" si="30"/>
        <v>316230.13191264099</v>
      </c>
      <c r="I42" s="3">
        <f t="shared" si="27"/>
        <v>13647.058823529413</v>
      </c>
      <c r="J42" s="3">
        <f t="shared" si="31"/>
        <v>329877.19073617039</v>
      </c>
      <c r="L42" s="3">
        <f t="shared" si="28"/>
        <v>1312.5</v>
      </c>
      <c r="M42" s="3"/>
      <c r="N42" s="3"/>
      <c r="O42" s="3"/>
      <c r="P42" s="3"/>
      <c r="Q42" s="3"/>
    </row>
    <row r="43" spans="1:32">
      <c r="A43">
        <v>2023</v>
      </c>
      <c r="B43" s="3">
        <f t="shared" si="24"/>
        <v>30.361546257811007</v>
      </c>
      <c r="C43" s="3">
        <f t="shared" si="25"/>
        <v>242892.37006248804</v>
      </c>
      <c r="D43">
        <v>25</v>
      </c>
      <c r="E43" s="3">
        <f t="shared" si="33"/>
        <v>60723.092515622011</v>
      </c>
      <c r="F43">
        <v>0</v>
      </c>
      <c r="G43" s="3">
        <f t="shared" si="32"/>
        <v>9715.6948024995218</v>
      </c>
      <c r="H43" s="3">
        <f t="shared" si="30"/>
        <v>313331.15738060954</v>
      </c>
      <c r="I43" s="3">
        <f t="shared" si="27"/>
        <v>13647.058823529413</v>
      </c>
      <c r="J43" s="3">
        <f t="shared" si="31"/>
        <v>326978.21620413894</v>
      </c>
      <c r="L43" s="3">
        <f t="shared" si="28"/>
        <v>1312.5</v>
      </c>
      <c r="M43" s="3"/>
      <c r="N43" s="3"/>
      <c r="O43" s="3"/>
      <c r="P43" s="3"/>
      <c r="Q43" s="3"/>
    </row>
    <row r="44" spans="1:32">
      <c r="A44">
        <v>2024</v>
      </c>
      <c r="B44" s="3">
        <f t="shared" si="24"/>
        <v>29.275640447464834</v>
      </c>
      <c r="C44" s="3">
        <f t="shared" si="25"/>
        <v>234205.12357971867</v>
      </c>
      <c r="D44">
        <v>25</v>
      </c>
      <c r="E44" s="3">
        <f t="shared" si="33"/>
        <v>58551.280894929667</v>
      </c>
      <c r="F44">
        <v>0</v>
      </c>
      <c r="G44" s="3">
        <f t="shared" si="32"/>
        <v>9368.2049431887463</v>
      </c>
      <c r="H44" s="3">
        <f t="shared" si="30"/>
        <v>302124.60941783711</v>
      </c>
      <c r="I44" s="3">
        <f t="shared" si="27"/>
        <v>13647.058823529413</v>
      </c>
      <c r="J44" s="3">
        <f t="shared" si="31"/>
        <v>315771.66824136651</v>
      </c>
      <c r="L44" s="3">
        <f t="shared" si="28"/>
        <v>1312.5</v>
      </c>
      <c r="M44" s="3"/>
      <c r="N44" s="3"/>
      <c r="O44" s="3"/>
      <c r="P44" s="3"/>
      <c r="Q44" s="3"/>
    </row>
    <row r="45" spans="1:32">
      <c r="A45">
        <v>2025</v>
      </c>
      <c r="B45" s="3">
        <f t="shared" si="24"/>
        <v>28.343375828936317</v>
      </c>
      <c r="C45" s="3">
        <f t="shared" si="25"/>
        <v>226747.00663149054</v>
      </c>
      <c r="D45">
        <v>25</v>
      </c>
      <c r="E45" s="3">
        <f t="shared" si="33"/>
        <v>56686.751657872635</v>
      </c>
      <c r="F45">
        <v>0</v>
      </c>
      <c r="G45" s="3">
        <f t="shared" si="32"/>
        <v>9069.8802652596223</v>
      </c>
      <c r="H45" s="3">
        <f t="shared" si="30"/>
        <v>292503.63855462283</v>
      </c>
      <c r="I45" s="3">
        <f t="shared" si="27"/>
        <v>13647.058823529413</v>
      </c>
      <c r="J45" s="3">
        <f t="shared" si="31"/>
        <v>306150.69737815222</v>
      </c>
      <c r="L45" s="3">
        <f t="shared" si="28"/>
        <v>1312.5</v>
      </c>
      <c r="M45" s="3"/>
      <c r="N45" s="3"/>
      <c r="O45" s="3"/>
      <c r="P45" s="3"/>
      <c r="Q45" s="3"/>
    </row>
    <row r="46" spans="1:32">
      <c r="A46">
        <v>2026</v>
      </c>
      <c r="B46" s="3">
        <f t="shared" si="24"/>
        <v>27.812270474504896</v>
      </c>
      <c r="C46" s="3">
        <f t="shared" si="25"/>
        <v>222498.16379603915</v>
      </c>
      <c r="D46">
        <v>25</v>
      </c>
      <c r="E46" s="3">
        <f t="shared" si="33"/>
        <v>55624.540949009788</v>
      </c>
      <c r="F46">
        <v>0</v>
      </c>
      <c r="G46" s="3">
        <f t="shared" si="32"/>
        <v>8899.9265518415668</v>
      </c>
      <c r="H46" s="3">
        <f t="shared" si="30"/>
        <v>287022.6312968905</v>
      </c>
      <c r="I46" s="3">
        <f t="shared" si="27"/>
        <v>13647.058823529413</v>
      </c>
      <c r="J46" s="3">
        <f t="shared" si="31"/>
        <v>300669.69012041989</v>
      </c>
      <c r="L46" s="3">
        <f t="shared" si="28"/>
        <v>1312.5</v>
      </c>
      <c r="M46" s="3"/>
      <c r="N46" s="3"/>
      <c r="O46" s="3"/>
      <c r="P46">
        <v>2017</v>
      </c>
      <c r="S46" s="3"/>
    </row>
    <row r="47" spans="1:32">
      <c r="A47">
        <v>2027</v>
      </c>
      <c r="B47" s="3">
        <f t="shared" si="24"/>
        <v>27.281165120073478</v>
      </c>
      <c r="C47" s="3">
        <f t="shared" si="25"/>
        <v>218249.32096058782</v>
      </c>
      <c r="D47">
        <v>25</v>
      </c>
      <c r="E47" s="3">
        <f t="shared" si="33"/>
        <v>54562.330240146955</v>
      </c>
      <c r="F47">
        <v>0</v>
      </c>
      <c r="G47" s="3">
        <f t="shared" si="32"/>
        <v>8729.9728384235132</v>
      </c>
      <c r="H47" s="3">
        <f t="shared" si="30"/>
        <v>281541.62403915828</v>
      </c>
      <c r="I47" s="3">
        <f t="shared" si="27"/>
        <v>13647.058823529413</v>
      </c>
      <c r="J47" s="3">
        <f t="shared" si="31"/>
        <v>295188.68286268768</v>
      </c>
      <c r="L47" s="3">
        <f t="shared" si="28"/>
        <v>1312.5</v>
      </c>
      <c r="M47" s="3"/>
      <c r="N47" s="3"/>
      <c r="O47" s="3"/>
      <c r="P47" t="s">
        <v>1265</v>
      </c>
      <c r="S47" s="3"/>
      <c r="AB47" t="s">
        <v>1266</v>
      </c>
      <c r="AD47" t="s">
        <v>1267</v>
      </c>
      <c r="AE47" t="s">
        <v>1268</v>
      </c>
    </row>
    <row r="48" spans="1:32">
      <c r="A48">
        <v>2028</v>
      </c>
      <c r="B48" s="3">
        <f t="shared" si="24"/>
        <v>26.683671596338133</v>
      </c>
      <c r="C48" s="3">
        <f t="shared" si="25"/>
        <v>213469.37277070506</v>
      </c>
      <c r="D48">
        <v>25</v>
      </c>
      <c r="E48" s="3">
        <f t="shared" si="33"/>
        <v>53367.343192676271</v>
      </c>
      <c r="F48">
        <v>0</v>
      </c>
      <c r="G48" s="3">
        <f t="shared" si="32"/>
        <v>8538.7749108282023</v>
      </c>
      <c r="H48" s="3">
        <f t="shared" si="30"/>
        <v>275375.49087420956</v>
      </c>
      <c r="I48" s="3">
        <f t="shared" si="27"/>
        <v>13647.058823529413</v>
      </c>
      <c r="J48" s="3">
        <f t="shared" si="31"/>
        <v>289022.54969773896</v>
      </c>
      <c r="L48" s="3">
        <f t="shared" si="28"/>
        <v>1312.5</v>
      </c>
      <c r="M48" s="3"/>
      <c r="N48" s="3"/>
      <c r="O48" s="3"/>
      <c r="P48" t="s">
        <v>1269</v>
      </c>
      <c r="R48" t="s">
        <v>1270</v>
      </c>
      <c r="S48" s="3" t="s">
        <v>1271</v>
      </c>
      <c r="T48" t="s">
        <v>1272</v>
      </c>
      <c r="U48" t="s">
        <v>1273</v>
      </c>
      <c r="V48" t="s">
        <v>1274</v>
      </c>
      <c r="W48" t="s">
        <v>1275</v>
      </c>
      <c r="X48" t="s">
        <v>1276</v>
      </c>
      <c r="Y48" t="s">
        <v>1277</v>
      </c>
      <c r="Z48" t="s">
        <v>1278</v>
      </c>
      <c r="AA48" t="s">
        <v>1279</v>
      </c>
      <c r="AB48" t="s">
        <v>1280</v>
      </c>
      <c r="AC48" t="s">
        <v>1281</v>
      </c>
      <c r="AD48" t="s">
        <v>1282</v>
      </c>
      <c r="AE48" t="s">
        <v>1283</v>
      </c>
      <c r="AF48" t="s">
        <v>1284</v>
      </c>
    </row>
    <row r="49" spans="1:32">
      <c r="A49">
        <v>2029</v>
      </c>
      <c r="B49" s="3">
        <f t="shared" si="24"/>
        <v>26.152566241906715</v>
      </c>
      <c r="C49" s="3">
        <f t="shared" si="25"/>
        <v>209220.52993525373</v>
      </c>
      <c r="D49">
        <v>25</v>
      </c>
      <c r="E49" s="3">
        <f t="shared" si="33"/>
        <v>52305.132483813424</v>
      </c>
      <c r="F49">
        <v>0</v>
      </c>
      <c r="G49" s="3">
        <f t="shared" si="32"/>
        <v>8368.8211974101487</v>
      </c>
      <c r="H49" s="3">
        <f t="shared" si="30"/>
        <v>269894.48361647729</v>
      </c>
      <c r="I49" s="3">
        <f t="shared" si="27"/>
        <v>13647.058823529413</v>
      </c>
      <c r="J49" s="3">
        <f t="shared" si="31"/>
        <v>283541.54244000668</v>
      </c>
      <c r="L49" s="3">
        <f t="shared" si="28"/>
        <v>1312.5</v>
      </c>
      <c r="M49" s="3"/>
      <c r="N49" s="3"/>
      <c r="O49" s="3"/>
      <c r="P49" s="256"/>
      <c r="Q49" t="s">
        <v>1285</v>
      </c>
      <c r="R49" s="257">
        <v>180624</v>
      </c>
      <c r="S49" s="257">
        <v>25</v>
      </c>
      <c r="T49" s="257">
        <f>(R49+AB49+AC49+AD49+AE49)*S49/100</f>
        <v>59060</v>
      </c>
      <c r="U49" s="257"/>
      <c r="V49" s="257"/>
      <c r="W49" s="257"/>
      <c r="X49" s="257"/>
      <c r="Y49" s="257"/>
      <c r="Z49" s="257"/>
      <c r="AA49" s="257"/>
      <c r="AB49" s="257">
        <v>21526</v>
      </c>
      <c r="AC49" s="257">
        <v>0</v>
      </c>
      <c r="AD49" s="257">
        <v>31827</v>
      </c>
      <c r="AE49" s="257">
        <v>2263</v>
      </c>
      <c r="AF49" s="258">
        <f>SUM(R49,T49:AE49)</f>
        <v>295300</v>
      </c>
    </row>
    <row r="50" spans="1:32">
      <c r="A50">
        <v>2030</v>
      </c>
      <c r="B50" s="3">
        <f t="shared" si="24"/>
        <v>25.55507271817137</v>
      </c>
      <c r="C50" s="3">
        <f t="shared" si="25"/>
        <v>204440.58174537096</v>
      </c>
      <c r="D50">
        <v>25</v>
      </c>
      <c r="E50" s="3">
        <f t="shared" si="33"/>
        <v>51110.14543634274</v>
      </c>
      <c r="F50">
        <v>0</v>
      </c>
      <c r="G50" s="3">
        <f t="shared" si="32"/>
        <v>8177.6232698148387</v>
      </c>
      <c r="H50" s="3">
        <f t="shared" si="30"/>
        <v>263728.35045152856</v>
      </c>
      <c r="I50" s="3">
        <f t="shared" si="27"/>
        <v>13647.058823529413</v>
      </c>
      <c r="J50" s="3">
        <f t="shared" si="31"/>
        <v>277375.40927505796</v>
      </c>
      <c r="L50" s="3">
        <f t="shared" si="28"/>
        <v>1312.5</v>
      </c>
      <c r="M50" s="3"/>
      <c r="N50" s="3"/>
      <c r="O50" s="3"/>
      <c r="Q50" t="s">
        <v>1286</v>
      </c>
      <c r="R50">
        <v>260000</v>
      </c>
      <c r="S50" s="3">
        <v>0</v>
      </c>
      <c r="T50" s="257">
        <f>(R50+AB50+AC50+AD50+AE50)*S50/100</f>
        <v>0</v>
      </c>
      <c r="AF50" s="258">
        <f>SUM(R50,T50:AE50)</f>
        <v>260000</v>
      </c>
    </row>
    <row r="52" spans="1:32">
      <c r="A52" t="s">
        <v>716</v>
      </c>
      <c r="B52" t="s">
        <v>1395</v>
      </c>
      <c r="C52" t="s">
        <v>671</v>
      </c>
      <c r="D52" t="s">
        <v>671</v>
      </c>
      <c r="E52" t="s">
        <v>671</v>
      </c>
      <c r="F52" t="s">
        <v>671</v>
      </c>
      <c r="G52" t="s">
        <v>671</v>
      </c>
      <c r="H52" t="s">
        <v>671</v>
      </c>
    </row>
    <row r="53" spans="1:32">
      <c r="B53" t="s">
        <v>724</v>
      </c>
      <c r="C53" t="s">
        <v>724</v>
      </c>
      <c r="D53" t="s">
        <v>714</v>
      </c>
      <c r="E53" t="s">
        <v>728</v>
      </c>
      <c r="F53" t="s">
        <v>749</v>
      </c>
      <c r="G53" t="s">
        <v>729</v>
      </c>
      <c r="H53" t="s">
        <v>725</v>
      </c>
    </row>
    <row r="54" spans="1:32">
      <c r="A54">
        <v>2009</v>
      </c>
      <c r="B54" s="3">
        <f t="shared" ref="B54:B75" si="34">U3</f>
        <v>23</v>
      </c>
      <c r="C54" s="3">
        <f t="shared" ref="C54:C75" si="35">B54*AI4*1000</f>
        <v>144631.59000000003</v>
      </c>
      <c r="D54">
        <v>25</v>
      </c>
      <c r="E54" s="3">
        <f>C54*D54/100</f>
        <v>36157.897500000006</v>
      </c>
      <c r="F54" s="3">
        <f>30/100*C54</f>
        <v>43389.477000000006</v>
      </c>
      <c r="G54" s="3">
        <f>0.06*C54</f>
        <v>8677.8954000000012</v>
      </c>
      <c r="H54" s="3">
        <f>C54+E54+F54+G54</f>
        <v>232856.85990000007</v>
      </c>
      <c r="I54" s="3"/>
      <c r="J54" s="3"/>
      <c r="L54" s="3"/>
    </row>
    <row r="55" spans="1:32">
      <c r="A55">
        <v>2010</v>
      </c>
      <c r="B55" s="3">
        <f t="shared" si="34"/>
        <v>23</v>
      </c>
      <c r="C55" s="3">
        <f t="shared" si="35"/>
        <v>139066.37467357732</v>
      </c>
      <c r="D55">
        <v>25</v>
      </c>
      <c r="E55" s="3">
        <f t="shared" ref="E55:E75" si="36">C55*D55/100</f>
        <v>34766.593668394329</v>
      </c>
      <c r="F55" s="3">
        <f t="shared" ref="F55:F75" si="37">30/100*C55</f>
        <v>41719.912402073191</v>
      </c>
      <c r="G55" s="3">
        <f t="shared" ref="G55:G75" si="38">0.06*C55</f>
        <v>8343.9824804146392</v>
      </c>
      <c r="H55" s="3">
        <f t="shared" ref="H55:H75" si="39">C55+E55+F55+G55</f>
        <v>223896.86322445946</v>
      </c>
      <c r="I55" s="3"/>
      <c r="J55" s="3"/>
      <c r="L55" s="3"/>
    </row>
    <row r="56" spans="1:32">
      <c r="A56">
        <v>2011</v>
      </c>
      <c r="B56" s="3">
        <f t="shared" si="34"/>
        <v>23</v>
      </c>
      <c r="C56" s="3">
        <f t="shared" si="35"/>
        <v>128990.8337386193</v>
      </c>
      <c r="D56">
        <v>25</v>
      </c>
      <c r="E56" s="3">
        <f t="shared" si="36"/>
        <v>32247.708434654822</v>
      </c>
      <c r="F56" s="3">
        <f>30/100*C56</f>
        <v>38697.250121585792</v>
      </c>
      <c r="G56" s="3">
        <f t="shared" si="38"/>
        <v>7739.4500243171578</v>
      </c>
      <c r="H56" s="3">
        <f t="shared" si="39"/>
        <v>207675.24231917708</v>
      </c>
      <c r="I56" s="3"/>
      <c r="J56" s="3"/>
      <c r="L56" s="3"/>
    </row>
    <row r="57" spans="1:32">
      <c r="A57">
        <v>2012</v>
      </c>
      <c r="B57" s="3">
        <f t="shared" si="34"/>
        <v>23</v>
      </c>
      <c r="C57" s="3">
        <f t="shared" si="35"/>
        <v>133843.50256171401</v>
      </c>
      <c r="D57">
        <v>25</v>
      </c>
      <c r="E57" s="3">
        <f t="shared" si="36"/>
        <v>33460.875640428501</v>
      </c>
      <c r="F57" s="3">
        <f t="shared" si="37"/>
        <v>40153.0507685142</v>
      </c>
      <c r="G57" s="3">
        <f t="shared" si="38"/>
        <v>8030.6101537028399</v>
      </c>
      <c r="H57" s="3">
        <f t="shared" si="39"/>
        <v>215488.03912435955</v>
      </c>
      <c r="I57" s="3"/>
      <c r="J57" s="3"/>
      <c r="L57" s="3"/>
    </row>
    <row r="58" spans="1:32">
      <c r="A58">
        <v>2013</v>
      </c>
      <c r="B58" s="3">
        <f t="shared" si="34"/>
        <v>23</v>
      </c>
      <c r="C58" s="3">
        <f t="shared" si="35"/>
        <v>135013.42652197904</v>
      </c>
      <c r="D58">
        <v>25</v>
      </c>
      <c r="E58" s="3">
        <f t="shared" si="36"/>
        <v>33753.35663049476</v>
      </c>
      <c r="F58" s="3">
        <f t="shared" si="37"/>
        <v>40504.027956593709</v>
      </c>
      <c r="G58" s="3">
        <f t="shared" si="38"/>
        <v>8100.8055913187418</v>
      </c>
      <c r="H58" s="3">
        <f t="shared" si="39"/>
        <v>217371.61670038628</v>
      </c>
      <c r="I58" s="3"/>
      <c r="J58" s="3"/>
      <c r="L58" s="3"/>
    </row>
    <row r="59" spans="1:32">
      <c r="A59">
        <v>2014</v>
      </c>
      <c r="B59" s="3">
        <f t="shared" si="34"/>
        <v>23</v>
      </c>
      <c r="C59" s="3">
        <f t="shared" si="35"/>
        <v>144710.99132549603</v>
      </c>
      <c r="D59">
        <v>25</v>
      </c>
      <c r="E59" s="3">
        <f t="shared" si="36"/>
        <v>36177.747831374007</v>
      </c>
      <c r="F59" s="3">
        <f t="shared" si="37"/>
        <v>43413.297397648807</v>
      </c>
      <c r="G59" s="3">
        <f t="shared" si="38"/>
        <v>8682.6594795297606</v>
      </c>
      <c r="H59" s="3">
        <f t="shared" si="39"/>
        <v>232984.6960340486</v>
      </c>
      <c r="I59" s="3"/>
      <c r="J59" s="3"/>
      <c r="L59" s="3"/>
    </row>
    <row r="60" spans="1:32">
      <c r="A60">
        <v>2015</v>
      </c>
      <c r="B60" s="3">
        <f t="shared" si="34"/>
        <v>23</v>
      </c>
      <c r="C60" s="3">
        <f t="shared" si="35"/>
        <v>185441.29911317324</v>
      </c>
      <c r="D60">
        <v>25</v>
      </c>
      <c r="E60" s="3">
        <f t="shared" si="36"/>
        <v>46360.324778293303</v>
      </c>
      <c r="F60" s="3">
        <f t="shared" si="37"/>
        <v>55632.389733951968</v>
      </c>
      <c r="G60" s="3">
        <f t="shared" si="38"/>
        <v>11126.477946790394</v>
      </c>
      <c r="H60" s="3">
        <f t="shared" si="39"/>
        <v>298560.49157220888</v>
      </c>
      <c r="I60" s="3"/>
      <c r="J60" s="3"/>
      <c r="L60" s="3"/>
    </row>
    <row r="61" spans="1:32">
      <c r="A61">
        <v>2016</v>
      </c>
      <c r="B61" s="3">
        <f t="shared" si="34"/>
        <v>23</v>
      </c>
      <c r="C61" s="3">
        <f t="shared" si="35"/>
        <v>193138.16323654316</v>
      </c>
      <c r="D61">
        <v>25</v>
      </c>
      <c r="E61" s="3">
        <f t="shared" si="36"/>
        <v>48284.540809135789</v>
      </c>
      <c r="F61" s="3">
        <f t="shared" si="37"/>
        <v>57941.448970962949</v>
      </c>
      <c r="G61" s="3">
        <f t="shared" si="38"/>
        <v>11588.289794192589</v>
      </c>
      <c r="H61" s="3">
        <f t="shared" si="39"/>
        <v>310952.4428108345</v>
      </c>
      <c r="I61" s="3"/>
      <c r="J61" s="3"/>
      <c r="L61" s="3"/>
    </row>
    <row r="62" spans="1:32">
      <c r="A62">
        <v>2017</v>
      </c>
      <c r="B62" s="3">
        <f t="shared" si="34"/>
        <v>23</v>
      </c>
      <c r="C62" s="3">
        <f t="shared" si="35"/>
        <v>190048.50941209635</v>
      </c>
      <c r="D62">
        <v>25</v>
      </c>
      <c r="E62" s="3">
        <f t="shared" si="36"/>
        <v>47512.127353024094</v>
      </c>
      <c r="F62" s="3">
        <f t="shared" si="37"/>
        <v>57014.552823628903</v>
      </c>
      <c r="G62" s="3">
        <f t="shared" si="38"/>
        <v>11402.91056472578</v>
      </c>
      <c r="H62" s="3">
        <f t="shared" si="39"/>
        <v>305978.10015347507</v>
      </c>
      <c r="I62" s="3"/>
      <c r="J62" s="3"/>
      <c r="L62" s="3"/>
    </row>
    <row r="63" spans="1:32">
      <c r="A63">
        <v>2018</v>
      </c>
      <c r="B63" s="3">
        <f t="shared" si="34"/>
        <v>23</v>
      </c>
      <c r="C63" s="3">
        <f t="shared" si="35"/>
        <v>184000</v>
      </c>
      <c r="D63">
        <v>25</v>
      </c>
      <c r="E63" s="3">
        <f t="shared" si="36"/>
        <v>46000</v>
      </c>
      <c r="F63" s="3">
        <f t="shared" si="37"/>
        <v>55200</v>
      </c>
      <c r="G63" s="3">
        <f t="shared" si="38"/>
        <v>11040</v>
      </c>
      <c r="H63" s="3">
        <f t="shared" si="39"/>
        <v>296240</v>
      </c>
      <c r="I63" s="3"/>
      <c r="J63" s="3"/>
      <c r="L63" s="3"/>
    </row>
    <row r="64" spans="1:32">
      <c r="A64">
        <v>2019</v>
      </c>
      <c r="B64" s="3">
        <f t="shared" si="34"/>
        <v>23</v>
      </c>
      <c r="C64" s="3">
        <f t="shared" si="35"/>
        <v>184000</v>
      </c>
      <c r="D64">
        <v>25</v>
      </c>
      <c r="E64" s="3">
        <f t="shared" si="36"/>
        <v>46000</v>
      </c>
      <c r="F64" s="3">
        <f t="shared" si="37"/>
        <v>55200</v>
      </c>
      <c r="G64" s="3">
        <f t="shared" si="38"/>
        <v>11040</v>
      </c>
      <c r="H64" s="3">
        <f t="shared" si="39"/>
        <v>296240</v>
      </c>
    </row>
    <row r="65" spans="1:29">
      <c r="A65">
        <v>2020</v>
      </c>
      <c r="B65" s="3">
        <f t="shared" si="34"/>
        <v>23</v>
      </c>
      <c r="C65" s="3">
        <f t="shared" si="35"/>
        <v>184000</v>
      </c>
      <c r="D65">
        <v>25</v>
      </c>
      <c r="E65" s="3">
        <f t="shared" si="36"/>
        <v>46000</v>
      </c>
      <c r="F65" s="3">
        <f t="shared" si="37"/>
        <v>55200</v>
      </c>
      <c r="G65" s="3">
        <f t="shared" si="38"/>
        <v>11040</v>
      </c>
      <c r="H65" s="3">
        <f t="shared" si="39"/>
        <v>296240</v>
      </c>
    </row>
    <row r="66" spans="1:29">
      <c r="A66">
        <v>2021</v>
      </c>
      <c r="B66" s="3">
        <f t="shared" si="34"/>
        <v>23</v>
      </c>
      <c r="C66" s="3">
        <f t="shared" si="35"/>
        <v>184000</v>
      </c>
      <c r="D66">
        <v>25</v>
      </c>
      <c r="E66" s="3">
        <f t="shared" si="36"/>
        <v>46000</v>
      </c>
      <c r="F66" s="3">
        <f t="shared" si="37"/>
        <v>55200</v>
      </c>
      <c r="G66" s="3">
        <f t="shared" si="38"/>
        <v>11040</v>
      </c>
      <c r="H66" s="3">
        <f t="shared" si="39"/>
        <v>296240</v>
      </c>
    </row>
    <row r="67" spans="1:29">
      <c r="A67">
        <v>2022</v>
      </c>
      <c r="B67" s="3">
        <f t="shared" si="34"/>
        <v>23</v>
      </c>
      <c r="C67" s="3">
        <f t="shared" si="35"/>
        <v>184000</v>
      </c>
      <c r="D67">
        <v>25</v>
      </c>
      <c r="E67" s="3">
        <f t="shared" si="36"/>
        <v>46000</v>
      </c>
      <c r="F67" s="3">
        <f t="shared" si="37"/>
        <v>55200</v>
      </c>
      <c r="G67" s="3">
        <f t="shared" si="38"/>
        <v>11040</v>
      </c>
      <c r="H67" s="3">
        <f t="shared" si="39"/>
        <v>296240</v>
      </c>
    </row>
    <row r="68" spans="1:29">
      <c r="A68">
        <v>2023</v>
      </c>
      <c r="B68" s="3">
        <f t="shared" si="34"/>
        <v>23</v>
      </c>
      <c r="C68" s="3">
        <f t="shared" si="35"/>
        <v>184000</v>
      </c>
      <c r="D68">
        <v>25</v>
      </c>
      <c r="E68" s="3">
        <f t="shared" si="36"/>
        <v>46000</v>
      </c>
      <c r="F68" s="3">
        <f t="shared" si="37"/>
        <v>55200</v>
      </c>
      <c r="G68" s="3">
        <f t="shared" si="38"/>
        <v>11040</v>
      </c>
      <c r="H68" s="3">
        <f t="shared" si="39"/>
        <v>296240</v>
      </c>
    </row>
    <row r="69" spans="1:29">
      <c r="A69">
        <v>2024</v>
      </c>
      <c r="B69" s="3">
        <f t="shared" si="34"/>
        <v>23</v>
      </c>
      <c r="C69" s="3">
        <f t="shared" si="35"/>
        <v>184000</v>
      </c>
      <c r="D69">
        <v>25</v>
      </c>
      <c r="E69" s="3">
        <f t="shared" si="36"/>
        <v>46000</v>
      </c>
      <c r="F69" s="3">
        <f t="shared" si="37"/>
        <v>55200</v>
      </c>
      <c r="G69" s="3">
        <f t="shared" si="38"/>
        <v>11040</v>
      </c>
      <c r="H69" s="3">
        <f t="shared" si="39"/>
        <v>296240</v>
      </c>
    </row>
    <row r="70" spans="1:29">
      <c r="A70">
        <v>2025</v>
      </c>
      <c r="B70" s="3">
        <f t="shared" si="34"/>
        <v>23</v>
      </c>
      <c r="C70" s="3">
        <f t="shared" si="35"/>
        <v>184000</v>
      </c>
      <c r="D70">
        <v>25</v>
      </c>
      <c r="E70" s="3">
        <f t="shared" si="36"/>
        <v>46000</v>
      </c>
      <c r="F70" s="3">
        <f t="shared" si="37"/>
        <v>55200</v>
      </c>
      <c r="G70" s="3">
        <f t="shared" si="38"/>
        <v>11040</v>
      </c>
      <c r="H70" s="3">
        <f t="shared" si="39"/>
        <v>296240</v>
      </c>
    </row>
    <row r="71" spans="1:29">
      <c r="A71">
        <v>2026</v>
      </c>
      <c r="B71" s="3">
        <f t="shared" si="34"/>
        <v>23</v>
      </c>
      <c r="C71" s="3">
        <f t="shared" si="35"/>
        <v>184000</v>
      </c>
      <c r="D71">
        <v>25</v>
      </c>
      <c r="E71" s="3">
        <f t="shared" si="36"/>
        <v>46000</v>
      </c>
      <c r="F71" s="3">
        <f t="shared" si="37"/>
        <v>55200</v>
      </c>
      <c r="G71" s="3">
        <f t="shared" si="38"/>
        <v>11040</v>
      </c>
      <c r="H71" s="3">
        <f t="shared" si="39"/>
        <v>296240</v>
      </c>
    </row>
    <row r="72" spans="1:29">
      <c r="A72">
        <v>2027</v>
      </c>
      <c r="B72" s="3">
        <f t="shared" si="34"/>
        <v>23</v>
      </c>
      <c r="C72" s="3">
        <f t="shared" si="35"/>
        <v>184000</v>
      </c>
      <c r="D72">
        <v>25</v>
      </c>
      <c r="E72" s="3">
        <f t="shared" si="36"/>
        <v>46000</v>
      </c>
      <c r="F72" s="3">
        <f t="shared" si="37"/>
        <v>55200</v>
      </c>
      <c r="G72" s="3">
        <f t="shared" si="38"/>
        <v>11040</v>
      </c>
      <c r="H72" s="3">
        <f t="shared" si="39"/>
        <v>296240</v>
      </c>
    </row>
    <row r="73" spans="1:29">
      <c r="A73">
        <v>2028</v>
      </c>
      <c r="B73" s="3">
        <f t="shared" si="34"/>
        <v>23</v>
      </c>
      <c r="C73" s="3">
        <f t="shared" si="35"/>
        <v>184000</v>
      </c>
      <c r="D73">
        <v>25</v>
      </c>
      <c r="E73" s="3">
        <f t="shared" si="36"/>
        <v>46000</v>
      </c>
      <c r="F73" s="3">
        <f t="shared" si="37"/>
        <v>55200</v>
      </c>
      <c r="G73" s="3">
        <f t="shared" si="38"/>
        <v>11040</v>
      </c>
      <c r="H73" s="3">
        <f t="shared" si="39"/>
        <v>296240</v>
      </c>
    </row>
    <row r="74" spans="1:29">
      <c r="A74">
        <v>2029</v>
      </c>
      <c r="B74" s="3">
        <f t="shared" si="34"/>
        <v>23</v>
      </c>
      <c r="C74" s="3">
        <f t="shared" si="35"/>
        <v>184000</v>
      </c>
      <c r="D74">
        <v>25</v>
      </c>
      <c r="E74" s="3">
        <f t="shared" si="36"/>
        <v>46000</v>
      </c>
      <c r="F74" s="3">
        <f t="shared" si="37"/>
        <v>55200</v>
      </c>
      <c r="G74" s="3">
        <f t="shared" si="38"/>
        <v>11040</v>
      </c>
      <c r="H74" s="3">
        <f t="shared" si="39"/>
        <v>296240</v>
      </c>
    </row>
    <row r="75" spans="1:29">
      <c r="A75">
        <v>2030</v>
      </c>
      <c r="B75" s="3">
        <f t="shared" si="34"/>
        <v>23</v>
      </c>
      <c r="C75" s="3">
        <f t="shared" si="35"/>
        <v>184000</v>
      </c>
      <c r="D75">
        <v>25</v>
      </c>
      <c r="E75" s="3">
        <f t="shared" si="36"/>
        <v>46000</v>
      </c>
      <c r="F75" s="3">
        <f t="shared" si="37"/>
        <v>55200</v>
      </c>
      <c r="G75" s="3">
        <f t="shared" si="38"/>
        <v>11040</v>
      </c>
      <c r="H75" s="3">
        <f t="shared" si="39"/>
        <v>296240</v>
      </c>
      <c r="Z75" s="87" t="s">
        <v>1229</v>
      </c>
      <c r="AA75" s="87"/>
      <c r="AB75" s="87"/>
      <c r="AC75" s="234"/>
    </row>
    <row r="76" spans="1:29">
      <c r="Z76" s="235" t="s">
        <v>1167</v>
      </c>
      <c r="AA76" s="235" t="s">
        <v>1168</v>
      </c>
      <c r="AB76" s="235" t="s">
        <v>1169</v>
      </c>
      <c r="AC76" s="235" t="s">
        <v>1170</v>
      </c>
    </row>
    <row r="77" spans="1:29">
      <c r="B77" t="s">
        <v>980</v>
      </c>
      <c r="C77" t="s">
        <v>980</v>
      </c>
      <c r="D77" t="s">
        <v>980</v>
      </c>
      <c r="E77" t="s">
        <v>980</v>
      </c>
      <c r="F77" t="s">
        <v>980</v>
      </c>
      <c r="J77" t="s">
        <v>812</v>
      </c>
      <c r="K77" t="s">
        <v>812</v>
      </c>
      <c r="L77" t="s">
        <v>812</v>
      </c>
      <c r="M77" t="s">
        <v>812</v>
      </c>
      <c r="N77" t="s">
        <v>812</v>
      </c>
      <c r="U77" t="s">
        <v>989</v>
      </c>
      <c r="Y77" s="3">
        <v>2010</v>
      </c>
      <c r="Z77" s="13">
        <v>14.53971195348651</v>
      </c>
      <c r="AA77" s="13">
        <v>14.53971195348651</v>
      </c>
      <c r="AB77" s="13">
        <v>14.53971195348651</v>
      </c>
      <c r="AC77" s="13">
        <v>14.53971195348651</v>
      </c>
    </row>
    <row r="78" spans="1:29">
      <c r="B78" t="s">
        <v>978</v>
      </c>
      <c r="C78" t="s">
        <v>979</v>
      </c>
      <c r="D78" t="s">
        <v>916</v>
      </c>
      <c r="E78" t="s">
        <v>981</v>
      </c>
      <c r="F78" t="s">
        <v>983</v>
      </c>
      <c r="J78" t="s">
        <v>725</v>
      </c>
      <c r="K78" t="s">
        <v>979</v>
      </c>
      <c r="L78" t="s">
        <v>916</v>
      </c>
      <c r="M78" t="s">
        <v>985</v>
      </c>
      <c r="N78" t="s">
        <v>983</v>
      </c>
      <c r="R78" t="s">
        <v>997</v>
      </c>
      <c r="S78" t="s">
        <v>1107</v>
      </c>
      <c r="U78" t="s">
        <v>934</v>
      </c>
      <c r="V78" t="s">
        <v>986</v>
      </c>
      <c r="W78" t="s">
        <v>987</v>
      </c>
      <c r="Y78" s="3">
        <v>2011</v>
      </c>
      <c r="Z78" s="13">
        <v>15.503228615081166</v>
      </c>
      <c r="AA78" s="13">
        <v>15.503228615081166</v>
      </c>
      <c r="AB78" s="13">
        <v>15.503228615081166</v>
      </c>
      <c r="AC78" s="13">
        <v>15.503228615081166</v>
      </c>
    </row>
    <row r="79" spans="1:29">
      <c r="A79" s="3">
        <v>2012</v>
      </c>
      <c r="B79" s="3">
        <f t="shared" ref="B79:B97" si="40">MIN(J7,J32)</f>
        <v>193973.80251824815</v>
      </c>
      <c r="C79" s="3">
        <f>B79/5</f>
        <v>38794.760503649632</v>
      </c>
      <c r="D79" s="3">
        <f>B79*0.13</f>
        <v>25216.594327372259</v>
      </c>
      <c r="E79" s="3">
        <f t="shared" ref="E79:E97" si="41">MAX(O7,L32)</f>
        <v>28229.843968327896</v>
      </c>
      <c r="F79" s="3">
        <f>C79+D79-E79</f>
        <v>35781.510862693991</v>
      </c>
      <c r="G79" s="3"/>
      <c r="H79" s="3"/>
      <c r="I79" s="3">
        <v>2012</v>
      </c>
      <c r="J79" s="3">
        <f>H57</f>
        <v>215488.03912435955</v>
      </c>
      <c r="K79" s="3">
        <f>J79/5</f>
        <v>43097.607824871913</v>
      </c>
      <c r="L79" s="3">
        <f>J79*0.13</f>
        <v>28013.445086166743</v>
      </c>
      <c r="M79" s="3">
        <f>W79/100*V79*U79</f>
        <v>13999.445532099531</v>
      </c>
      <c r="N79" s="3">
        <f>SUM(K79:M79)</f>
        <v>85110.498443138189</v>
      </c>
      <c r="O79" s="3"/>
      <c r="P79" s="3"/>
      <c r="Q79" s="3">
        <v>2012</v>
      </c>
      <c r="R79" s="13">
        <f>N79/F79</f>
        <v>2.3786166763537895</v>
      </c>
      <c r="S79" s="13">
        <f>F79/N79</f>
        <v>0.42041242287635527</v>
      </c>
      <c r="T79" s="3"/>
      <c r="U79" s="13">
        <f>AB79</f>
        <v>16.536193560785069</v>
      </c>
      <c r="V79" s="12">
        <f>'Country L per 100 km'!R7</f>
        <v>5.643961322634194</v>
      </c>
      <c r="W79" s="3">
        <v>15000</v>
      </c>
      <c r="Y79" s="3">
        <v>2012</v>
      </c>
      <c r="Z79" s="13">
        <v>16.536193560785069</v>
      </c>
      <c r="AA79" s="13">
        <v>16.536193560785069</v>
      </c>
      <c r="AB79" s="13">
        <v>16.536193560785069</v>
      </c>
      <c r="AC79" s="13">
        <v>16.536193560785069</v>
      </c>
    </row>
    <row r="80" spans="1:29">
      <c r="A80" s="3">
        <v>2013</v>
      </c>
      <c r="B80" s="3">
        <f t="shared" si="40"/>
        <v>197799.65420324559</v>
      </c>
      <c r="C80" s="3">
        <f t="shared" ref="C80:C97" si="42">B80/5</f>
        <v>39559.930840649118</v>
      </c>
      <c r="D80" s="3">
        <f t="shared" ref="D80:D97" si="43">B80*0.13</f>
        <v>25713.955046421928</v>
      </c>
      <c r="E80" s="3">
        <f t="shared" si="41"/>
        <v>28453.655508552511</v>
      </c>
      <c r="F80" s="3">
        <f t="shared" ref="F80:F97" si="44">C80+D80-E80</f>
        <v>36820.230378518536</v>
      </c>
      <c r="G80" s="3"/>
      <c r="H80" s="3"/>
      <c r="I80" s="3">
        <v>2013</v>
      </c>
      <c r="J80" s="3">
        <f t="shared" ref="J80:J97" si="45">H58</f>
        <v>217371.61670038628</v>
      </c>
      <c r="K80" s="3">
        <f t="shared" ref="K80:K122" si="46">J80/5</f>
        <v>43474.323340077259</v>
      </c>
      <c r="L80" s="3">
        <f t="shared" ref="L80:L122" si="47">J80*0.13</f>
        <v>28258.310171050216</v>
      </c>
      <c r="M80" s="3">
        <f t="shared" ref="M80:M122" si="48">W80/100*V80*U80</f>
        <v>14152.169239235911</v>
      </c>
      <c r="N80" s="3">
        <f t="shared" ref="N80:N96" si="49">SUM(K80:M80)</f>
        <v>85884.802750363378</v>
      </c>
      <c r="O80" s="3"/>
      <c r="P80" s="3"/>
      <c r="Q80" s="3">
        <v>2013</v>
      </c>
      <c r="R80" s="13">
        <f t="shared" ref="R80:R97" si="50">N80/F80</f>
        <v>2.3325438724161227</v>
      </c>
      <c r="S80" s="13">
        <f t="shared" ref="S80:S97" si="51">F80/N80</f>
        <v>0.42871648067402413</v>
      </c>
      <c r="T80" s="3"/>
      <c r="U80" s="13">
        <f t="shared" ref="U80:U97" si="52">AB80</f>
        <v>16.847820522899895</v>
      </c>
      <c r="V80" s="12">
        <f>'Country L per 100 km'!R8</f>
        <v>5.6</v>
      </c>
      <c r="W80" s="3">
        <v>15000</v>
      </c>
      <c r="Y80" s="3">
        <v>2013</v>
      </c>
      <c r="Z80" s="13">
        <v>16.847820522899895</v>
      </c>
      <c r="AA80" s="13">
        <v>16.847820522899895</v>
      </c>
      <c r="AB80" s="13">
        <v>16.847820522899895</v>
      </c>
      <c r="AC80" s="13">
        <v>16.847820522899895</v>
      </c>
    </row>
    <row r="81" spans="1:29">
      <c r="A81" s="3">
        <v>2014</v>
      </c>
      <c r="B81" s="3">
        <f>MIN(J9,J34)</f>
        <v>227303.63173402447</v>
      </c>
      <c r="C81" s="3">
        <f t="shared" si="42"/>
        <v>45460.726346804891</v>
      </c>
      <c r="D81" s="3">
        <f t="shared" si="43"/>
        <v>29549.472125423181</v>
      </c>
      <c r="E81" s="3">
        <f t="shared" si="41"/>
        <v>30308.841818790541</v>
      </c>
      <c r="F81" s="3">
        <f t="shared" si="44"/>
        <v>44701.356653437535</v>
      </c>
      <c r="G81" s="3"/>
      <c r="H81" s="3"/>
      <c r="I81" s="3">
        <v>2014</v>
      </c>
      <c r="J81" s="3">
        <f t="shared" si="45"/>
        <v>232984.6960340486</v>
      </c>
      <c r="K81" s="3">
        <f t="shared" si="46"/>
        <v>46596.939206809722</v>
      </c>
      <c r="L81" s="3">
        <f t="shared" si="47"/>
        <v>30288.010484426319</v>
      </c>
      <c r="M81" s="3">
        <f t="shared" si="48"/>
        <v>14013.267898000026</v>
      </c>
      <c r="N81" s="3">
        <f t="shared" si="49"/>
        <v>90898.217589236068</v>
      </c>
      <c r="O81" s="3"/>
      <c r="P81" s="3"/>
      <c r="Q81" s="3">
        <v>2014</v>
      </c>
      <c r="R81" s="13">
        <f t="shared" si="50"/>
        <v>2.0334554562617733</v>
      </c>
      <c r="S81" s="13">
        <f>F81/N81</f>
        <v>0.49177374253299938</v>
      </c>
      <c r="T81" s="3"/>
      <c r="U81" s="13">
        <f t="shared" si="52"/>
        <v>16.882651324733366</v>
      </c>
      <c r="V81" s="12">
        <f>'Country L per 100 km'!R9</f>
        <v>5.5335968379446632</v>
      </c>
      <c r="W81" s="3">
        <v>15000</v>
      </c>
      <c r="Y81" s="3">
        <v>2014</v>
      </c>
      <c r="Z81" s="13">
        <v>16.882651324733366</v>
      </c>
      <c r="AA81" s="13">
        <v>16.882651324733366</v>
      </c>
      <c r="AB81" s="13">
        <v>16.882651324733366</v>
      </c>
      <c r="AC81" s="13">
        <v>16.882651324733366</v>
      </c>
    </row>
    <row r="82" spans="1:29">
      <c r="A82" s="3">
        <v>2015</v>
      </c>
      <c r="B82" s="3">
        <f t="shared" si="40"/>
        <v>259622.43871298182</v>
      </c>
      <c r="C82" s="3">
        <f t="shared" si="42"/>
        <v>51924.487742596364</v>
      </c>
      <c r="D82" s="3">
        <f t="shared" si="43"/>
        <v>33750.917032687641</v>
      </c>
      <c r="E82" s="3">
        <f t="shared" si="41"/>
        <v>38100.726786867926</v>
      </c>
      <c r="F82" s="3">
        <f t="shared" si="44"/>
        <v>47574.677988416071</v>
      </c>
      <c r="G82" s="3"/>
      <c r="H82" s="3"/>
      <c r="I82" s="3">
        <v>2015</v>
      </c>
      <c r="J82" s="3">
        <f t="shared" si="45"/>
        <v>298560.49157220888</v>
      </c>
      <c r="K82" s="3">
        <f t="shared" si="46"/>
        <v>59712.098314441777</v>
      </c>
      <c r="L82" s="3">
        <f t="shared" si="47"/>
        <v>38812.863904387159</v>
      </c>
      <c r="M82" s="3">
        <f t="shared" si="48"/>
        <v>13030.663487286609</v>
      </c>
      <c r="N82" s="3">
        <f t="shared" si="49"/>
        <v>111555.62570611555</v>
      </c>
      <c r="O82" s="3"/>
      <c r="P82" s="3"/>
      <c r="Q82" s="3">
        <v>2015</v>
      </c>
      <c r="R82" s="13">
        <f t="shared" si="50"/>
        <v>2.3448529853061362</v>
      </c>
      <c r="S82" s="13">
        <f t="shared" si="51"/>
        <v>0.42646596876922899</v>
      </c>
      <c r="T82" s="3"/>
      <c r="U82" s="13">
        <f t="shared" si="52"/>
        <v>15.871534279850621</v>
      </c>
      <c r="V82" s="12">
        <f>'Country L per 100 km'!R10</f>
        <v>5.4733895528631695</v>
      </c>
      <c r="W82" s="3">
        <v>15000</v>
      </c>
      <c r="Y82" s="3">
        <v>2015</v>
      </c>
      <c r="Z82" s="13">
        <v>15.871534279850621</v>
      </c>
      <c r="AA82" s="13">
        <v>15.871534279850621</v>
      </c>
      <c r="AB82" s="13">
        <v>15.871534279850621</v>
      </c>
      <c r="AC82" s="13">
        <v>15.871534279850621</v>
      </c>
    </row>
    <row r="83" spans="1:29">
      <c r="A83" s="3">
        <v>2016</v>
      </c>
      <c r="B83" s="3">
        <f t="shared" si="40"/>
        <v>270386.0631059283</v>
      </c>
      <c r="C83" s="3">
        <f t="shared" si="42"/>
        <v>54077.212621185659</v>
      </c>
      <c r="D83" s="3">
        <f t="shared" si="43"/>
        <v>35150.188203770682</v>
      </c>
      <c r="E83" s="3">
        <f t="shared" si="41"/>
        <v>39573.170358295218</v>
      </c>
      <c r="F83" s="3">
        <f t="shared" si="44"/>
        <v>49654.230466661116</v>
      </c>
      <c r="G83" s="3"/>
      <c r="H83" s="3"/>
      <c r="I83" s="3">
        <v>2016</v>
      </c>
      <c r="J83" s="3">
        <f t="shared" si="45"/>
        <v>310952.4428108345</v>
      </c>
      <c r="K83" s="3">
        <f t="shared" si="46"/>
        <v>62190.488562166902</v>
      </c>
      <c r="L83" s="3">
        <f t="shared" si="47"/>
        <v>40423.817565408484</v>
      </c>
      <c r="M83" s="3">
        <f t="shared" si="48"/>
        <v>12227.802153834338</v>
      </c>
      <c r="N83" s="3">
        <f t="shared" si="49"/>
        <v>114842.10828140972</v>
      </c>
      <c r="O83" s="3"/>
      <c r="P83" s="3"/>
      <c r="Q83" s="3">
        <v>2016</v>
      </c>
      <c r="R83" s="13">
        <f t="shared" si="50"/>
        <v>2.3128363324151624</v>
      </c>
      <c r="S83" s="13">
        <f t="shared" si="51"/>
        <v>0.43236954815378453</v>
      </c>
      <c r="T83" s="3"/>
      <c r="U83" s="13">
        <f t="shared" si="52"/>
        <v>15.042574083320719</v>
      </c>
      <c r="V83" s="12">
        <f>'Country L per 100 km'!R11</f>
        <v>5.4191975770922465</v>
      </c>
      <c r="W83" s="3">
        <v>15000</v>
      </c>
      <c r="Y83" s="3">
        <v>2016</v>
      </c>
      <c r="Z83" s="13">
        <v>15.042574083320719</v>
      </c>
      <c r="AA83" s="13">
        <v>15.042574083320719</v>
      </c>
      <c r="AB83" s="13">
        <v>15.042574083320719</v>
      </c>
      <c r="AC83" s="13">
        <v>15.042574083320719</v>
      </c>
    </row>
    <row r="84" spans="1:29">
      <c r="A84" s="3">
        <v>2017</v>
      </c>
      <c r="B84" s="3">
        <f t="shared" si="40"/>
        <v>266430.38078928791</v>
      </c>
      <c r="C84" s="3">
        <f t="shared" si="42"/>
        <v>53286.076157857584</v>
      </c>
      <c r="D84" s="3">
        <f t="shared" si="43"/>
        <v>34635.949502607429</v>
      </c>
      <c r="E84" s="3">
        <f t="shared" si="41"/>
        <v>38982.106148401042</v>
      </c>
      <c r="F84" s="3">
        <f t="shared" si="44"/>
        <v>48939.919512063963</v>
      </c>
      <c r="G84" s="3"/>
      <c r="H84" s="3"/>
      <c r="I84" s="3">
        <v>2017</v>
      </c>
      <c r="J84" s="3">
        <f t="shared" si="45"/>
        <v>305978.10015347507</v>
      </c>
      <c r="K84" s="3">
        <f t="shared" si="46"/>
        <v>61195.620030695012</v>
      </c>
      <c r="L84" s="3">
        <f t="shared" si="47"/>
        <v>39777.153019951758</v>
      </c>
      <c r="M84" s="3">
        <f t="shared" si="48"/>
        <v>13067.134517788765</v>
      </c>
      <c r="N84" s="3">
        <f t="shared" si="49"/>
        <v>114039.90756843553</v>
      </c>
      <c r="O84" s="3"/>
      <c r="P84" s="3"/>
      <c r="Q84" s="3">
        <v>2017</v>
      </c>
      <c r="R84" s="13">
        <f t="shared" si="50"/>
        <v>2.3302021888353139</v>
      </c>
      <c r="S84" s="13">
        <f t="shared" si="51"/>
        <v>0.4291473095301751</v>
      </c>
      <c r="T84" s="3"/>
      <c r="U84" s="13">
        <f t="shared" si="52"/>
        <v>16.235867241988913</v>
      </c>
      <c r="V84" s="12">
        <f>'Country L per 100 km'!R12</f>
        <v>5.3655421555368772</v>
      </c>
      <c r="W84" s="3">
        <v>15000</v>
      </c>
      <c r="Y84" s="3">
        <v>2017</v>
      </c>
      <c r="Z84" s="13">
        <v>16.235867241988913</v>
      </c>
      <c r="AA84" s="13">
        <v>16.235867241988913</v>
      </c>
      <c r="AB84" s="13">
        <v>16.235867241988913</v>
      </c>
      <c r="AC84" s="13">
        <v>16.235867241988913</v>
      </c>
    </row>
    <row r="85" spans="1:29">
      <c r="A85" s="3">
        <v>2018</v>
      </c>
      <c r="B85" s="3">
        <f t="shared" si="40"/>
        <v>263278.60176818678</v>
      </c>
      <c r="C85" s="3">
        <f t="shared" si="42"/>
        <v>52655.720353637356</v>
      </c>
      <c r="D85" s="3">
        <f t="shared" si="43"/>
        <v>34226.21822986428</v>
      </c>
      <c r="E85" s="3">
        <f t="shared" si="41"/>
        <v>37825</v>
      </c>
      <c r="F85" s="3">
        <f t="shared" si="44"/>
        <v>49056.938583501644</v>
      </c>
      <c r="G85" s="3"/>
      <c r="H85" s="3"/>
      <c r="I85" s="3">
        <v>2018</v>
      </c>
      <c r="J85" s="3">
        <f t="shared" si="45"/>
        <v>296240</v>
      </c>
      <c r="K85" s="3">
        <f t="shared" si="46"/>
        <v>59248</v>
      </c>
      <c r="L85" s="3">
        <f t="shared" si="47"/>
        <v>38511.200000000004</v>
      </c>
      <c r="M85" s="3">
        <f t="shared" si="48"/>
        <v>13617.738907124645</v>
      </c>
      <c r="N85" s="3">
        <f t="shared" si="49"/>
        <v>111376.93890712466</v>
      </c>
      <c r="O85" s="3"/>
      <c r="P85" s="3"/>
      <c r="Q85" s="3">
        <v>2018</v>
      </c>
      <c r="R85" s="13">
        <f t="shared" si="50"/>
        <v>2.2703605671916485</v>
      </c>
      <c r="S85" s="13">
        <f t="shared" si="51"/>
        <v>0.44045867182980664</v>
      </c>
      <c r="T85" s="3"/>
      <c r="U85" s="13">
        <f t="shared" si="52"/>
        <v>17.089191110604144</v>
      </c>
      <c r="V85" s="12">
        <f>'Country L per 100 km'!R13</f>
        <v>5.3124179757790868</v>
      </c>
      <c r="W85" s="3">
        <v>15000</v>
      </c>
      <c r="Y85" s="3">
        <v>2018</v>
      </c>
      <c r="Z85" s="13">
        <v>17.089191110604144</v>
      </c>
      <c r="AA85" s="13">
        <v>17.089191110604144</v>
      </c>
      <c r="AB85" s="13">
        <v>17.089191110604144</v>
      </c>
      <c r="AC85" s="13">
        <v>17.089191110604144</v>
      </c>
    </row>
    <row r="86" spans="1:29">
      <c r="A86" s="3">
        <v>2019</v>
      </c>
      <c r="B86" s="3">
        <f t="shared" si="40"/>
        <v>268018.69029987656</v>
      </c>
      <c r="C86" s="3">
        <f t="shared" si="42"/>
        <v>53603.738059975309</v>
      </c>
      <c r="D86" s="3">
        <f t="shared" si="43"/>
        <v>34842.429738983956</v>
      </c>
      <c r="E86" s="3">
        <f t="shared" si="41"/>
        <v>37825</v>
      </c>
      <c r="F86" s="3">
        <f t="shared" si="44"/>
        <v>50621.167798959272</v>
      </c>
      <c r="G86" s="3"/>
      <c r="H86" s="3"/>
      <c r="I86" s="3">
        <v>2019</v>
      </c>
      <c r="J86" s="3">
        <f t="shared" si="45"/>
        <v>296240</v>
      </c>
      <c r="K86" s="3">
        <f t="shared" si="46"/>
        <v>59248</v>
      </c>
      <c r="L86" s="3">
        <f t="shared" si="47"/>
        <v>38511.200000000004</v>
      </c>
      <c r="M86" s="3">
        <f t="shared" si="48"/>
        <v>13287.115017023871</v>
      </c>
      <c r="N86" s="3">
        <f t="shared" si="49"/>
        <v>111046.31501702388</v>
      </c>
      <c r="O86" s="3"/>
      <c r="P86" s="3"/>
      <c r="Q86" s="3">
        <v>2019</v>
      </c>
      <c r="R86" s="13">
        <f t="shared" si="50"/>
        <v>2.1936735133816274</v>
      </c>
      <c r="S86" s="13">
        <f t="shared" si="51"/>
        <v>0.45585634958889748</v>
      </c>
      <c r="T86" s="3"/>
      <c r="U86" s="13">
        <f t="shared" si="52"/>
        <v>16.84102697789703</v>
      </c>
      <c r="V86" s="12">
        <f>'Country L per 100 km'!R14</f>
        <v>5.2598197779990956</v>
      </c>
      <c r="W86" s="3">
        <v>15000</v>
      </c>
      <c r="Y86" s="3">
        <v>2019</v>
      </c>
      <c r="Z86" s="13"/>
      <c r="AA86" s="13">
        <v>19.652337771712958</v>
      </c>
      <c r="AB86" s="13">
        <v>16.84102697789703</v>
      </c>
      <c r="AC86" s="13">
        <v>14.392285722415714</v>
      </c>
    </row>
    <row r="87" spans="1:29">
      <c r="A87" s="3">
        <v>2020</v>
      </c>
      <c r="B87" s="3">
        <f>MIN(J15,J40)</f>
        <v>266492.02831067803</v>
      </c>
      <c r="C87" s="3">
        <f t="shared" si="42"/>
        <v>53298.405662135607</v>
      </c>
      <c r="D87" s="3">
        <f t="shared" si="43"/>
        <v>34643.963680388144</v>
      </c>
      <c r="E87" s="3">
        <f t="shared" si="41"/>
        <v>34825</v>
      </c>
      <c r="F87" s="3">
        <f>C87+D87-E87</f>
        <v>53117.369342523743</v>
      </c>
      <c r="G87" s="3"/>
      <c r="H87" s="3"/>
      <c r="I87" s="3">
        <v>2020</v>
      </c>
      <c r="J87" s="3">
        <f t="shared" si="45"/>
        <v>296240</v>
      </c>
      <c r="K87" s="3">
        <f t="shared" si="46"/>
        <v>59248</v>
      </c>
      <c r="L87" s="3">
        <f t="shared" si="47"/>
        <v>38511.200000000004</v>
      </c>
      <c r="M87" s="3">
        <f t="shared" si="48"/>
        <v>13170.278152854333</v>
      </c>
      <c r="N87" s="3">
        <f t="shared" si="49"/>
        <v>110929.47815285434</v>
      </c>
      <c r="O87" s="3"/>
      <c r="P87" s="3"/>
      <c r="Q87" s="3">
        <v>2020</v>
      </c>
      <c r="R87" s="13">
        <f t="shared" si="50"/>
        <v>2.0883842616062771</v>
      </c>
      <c r="S87" s="13">
        <f t="shared" si="51"/>
        <v>0.47883908071154102</v>
      </c>
      <c r="T87" s="3"/>
      <c r="U87" s="13">
        <f t="shared" si="52"/>
        <v>16.859869090347583</v>
      </c>
      <c r="V87" s="12">
        <f>'Country L per 100 km'!R15</f>
        <v>5.2077423544545498</v>
      </c>
      <c r="W87" s="3">
        <v>15000</v>
      </c>
      <c r="Y87" s="3">
        <v>2020</v>
      </c>
      <c r="Z87" s="13"/>
      <c r="AA87" s="13">
        <v>20.844616236220332</v>
      </c>
      <c r="AB87" s="13">
        <v>16.859869090347583</v>
      </c>
      <c r="AC87" s="13">
        <v>14.462419749739674</v>
      </c>
    </row>
    <row r="88" spans="1:29">
      <c r="A88" s="3">
        <v>2021</v>
      </c>
      <c r="B88" s="3">
        <f t="shared" si="40"/>
        <v>320547.22066940309</v>
      </c>
      <c r="C88" s="3">
        <f t="shared" si="42"/>
        <v>64109.444133880621</v>
      </c>
      <c r="D88" s="3">
        <f t="shared" si="43"/>
        <v>41671.138687022401</v>
      </c>
      <c r="E88" s="3">
        <f t="shared" si="41"/>
        <v>31825</v>
      </c>
      <c r="F88" s="3">
        <f t="shared" si="44"/>
        <v>73955.582820903015</v>
      </c>
      <c r="G88" s="3"/>
      <c r="H88" s="3"/>
      <c r="I88" s="3">
        <v>2021</v>
      </c>
      <c r="J88" s="3">
        <f t="shared" si="45"/>
        <v>296240</v>
      </c>
      <c r="K88" s="3">
        <f t="shared" si="46"/>
        <v>59248</v>
      </c>
      <c r="L88" s="3">
        <f t="shared" si="47"/>
        <v>38511.200000000004</v>
      </c>
      <c r="M88" s="3">
        <f t="shared" si="48"/>
        <v>13469.23334086395</v>
      </c>
      <c r="N88" s="3">
        <f t="shared" si="49"/>
        <v>111228.43334086396</v>
      </c>
      <c r="O88" s="3"/>
      <c r="P88" s="3"/>
      <c r="Q88" s="3">
        <v>2021</v>
      </c>
      <c r="R88" s="13">
        <f>N88/F88</f>
        <v>1.5039896799978438</v>
      </c>
      <c r="S88" s="13">
        <f>F88/N88</f>
        <v>0.66489817935548179</v>
      </c>
      <c r="T88" s="3"/>
      <c r="U88" s="13">
        <f t="shared" si="52"/>
        <v>17.415000907429288</v>
      </c>
      <c r="V88" s="12">
        <f>'Country L per 100 km'!R16</f>
        <v>5.1561805489649011</v>
      </c>
      <c r="W88" s="3">
        <v>15000</v>
      </c>
      <c r="Y88" s="3">
        <v>2021</v>
      </c>
      <c r="Z88" s="13"/>
      <c r="AA88" s="13">
        <v>22.10702872805167</v>
      </c>
      <c r="AB88" s="13">
        <v>17.415000907429288</v>
      </c>
      <c r="AC88" s="13">
        <v>14.602687804387601</v>
      </c>
    </row>
    <row r="89" spans="1:29">
      <c r="A89" s="3">
        <v>2022</v>
      </c>
      <c r="B89" s="3">
        <f t="shared" si="40"/>
        <v>324974.39799333876</v>
      </c>
      <c r="C89" s="3">
        <f t="shared" si="42"/>
        <v>64994.879598667751</v>
      </c>
      <c r="D89" s="3">
        <f t="shared" si="43"/>
        <v>42246.671739134043</v>
      </c>
      <c r="E89" s="3">
        <f t="shared" si="41"/>
        <v>28825</v>
      </c>
      <c r="F89" s="3">
        <f t="shared" si="44"/>
        <v>78416.551337801793</v>
      </c>
      <c r="G89" s="3"/>
      <c r="H89" s="3"/>
      <c r="I89" s="3">
        <v>2022</v>
      </c>
      <c r="J89" s="3">
        <f t="shared" si="45"/>
        <v>296240</v>
      </c>
      <c r="K89" s="3">
        <f t="shared" si="46"/>
        <v>59248</v>
      </c>
      <c r="L89" s="3">
        <f t="shared" si="47"/>
        <v>38511.200000000004</v>
      </c>
      <c r="M89" s="3">
        <f t="shared" si="48"/>
        <v>13652.39297292739</v>
      </c>
      <c r="N89" s="3">
        <f t="shared" si="49"/>
        <v>111411.59297292741</v>
      </c>
      <c r="O89" s="3"/>
      <c r="P89" s="3"/>
      <c r="Q89" s="3">
        <v>2022</v>
      </c>
      <c r="R89" s="13">
        <f t="shared" si="50"/>
        <v>1.4207662932406961</v>
      </c>
      <c r="S89" s="13">
        <f t="shared" si="51"/>
        <v>0.70384552671153999</v>
      </c>
      <c r="T89" s="3"/>
      <c r="U89" s="13">
        <f t="shared" si="52"/>
        <v>17.82833471625268</v>
      </c>
      <c r="V89" s="12">
        <f>'Country L per 100 km'!R17</f>
        <v>5.1051292564008923</v>
      </c>
      <c r="W89" s="3">
        <v>15000</v>
      </c>
      <c r="Y89" s="3">
        <v>2022</v>
      </c>
      <c r="Z89" s="13"/>
      <c r="AA89" s="13">
        <v>22.668100946643381</v>
      </c>
      <c r="AB89" s="13">
        <v>17.82833471625268</v>
      </c>
      <c r="AC89" s="13">
        <v>14.672821831711564</v>
      </c>
    </row>
    <row r="90" spans="1:29">
      <c r="A90" s="3">
        <v>2023</v>
      </c>
      <c r="B90" s="3">
        <f t="shared" si="40"/>
        <v>322120.36880288919</v>
      </c>
      <c r="C90" s="3">
        <f t="shared" si="42"/>
        <v>64424.073760577841</v>
      </c>
      <c r="D90" s="3">
        <f t="shared" si="43"/>
        <v>41875.647944375596</v>
      </c>
      <c r="E90" s="3">
        <f t="shared" si="41"/>
        <v>25825</v>
      </c>
      <c r="F90" s="3">
        <f t="shared" si="44"/>
        <v>80474.721704953437</v>
      </c>
      <c r="G90" s="3"/>
      <c r="H90" s="3"/>
      <c r="I90" s="3">
        <v>2023</v>
      </c>
      <c r="J90" s="3">
        <f t="shared" si="45"/>
        <v>296240</v>
      </c>
      <c r="K90" s="3">
        <f t="shared" si="46"/>
        <v>59248</v>
      </c>
      <c r="L90" s="3">
        <f t="shared" si="47"/>
        <v>38511.200000000004</v>
      </c>
      <c r="M90" s="3">
        <f t="shared" si="48"/>
        <v>13661.429757335787</v>
      </c>
      <c r="N90" s="3">
        <f t="shared" si="49"/>
        <v>111420.6297573358</v>
      </c>
      <c r="O90" s="3"/>
      <c r="P90" s="3"/>
      <c r="Q90" s="3">
        <v>2023</v>
      </c>
      <c r="R90" s="13">
        <f t="shared" si="50"/>
        <v>1.3845419704070572</v>
      </c>
      <c r="S90" s="13">
        <f t="shared" si="51"/>
        <v>0.7222605174662915</v>
      </c>
      <c r="T90" s="3"/>
      <c r="U90" s="13">
        <f t="shared" si="52"/>
        <v>18.018536994088102</v>
      </c>
      <c r="V90" s="12">
        <f>'Country L per 100 km'!R18</f>
        <v>5.0545834221791015</v>
      </c>
      <c r="W90" s="3">
        <v>15000</v>
      </c>
      <c r="Y90" s="3">
        <v>2023</v>
      </c>
      <c r="Z90" s="13"/>
      <c r="AA90" s="13">
        <v>23.088905110587156</v>
      </c>
      <c r="AB90" s="13">
        <v>18.018536994088102</v>
      </c>
      <c r="AC90" s="13">
        <v>14.672821831711564</v>
      </c>
    </row>
    <row r="91" spans="1:29">
      <c r="A91" s="3">
        <v>2024</v>
      </c>
      <c r="B91" s="3">
        <f t="shared" si="40"/>
        <v>311087.5657697721</v>
      </c>
      <c r="C91" s="3">
        <f t="shared" si="42"/>
        <v>62217.513153954424</v>
      </c>
      <c r="D91" s="3">
        <f t="shared" si="43"/>
        <v>40441.383550070372</v>
      </c>
      <c r="E91" s="3">
        <f t="shared" si="41"/>
        <v>25825</v>
      </c>
      <c r="F91" s="3">
        <f t="shared" si="44"/>
        <v>76833.896704024795</v>
      </c>
      <c r="G91" s="3"/>
      <c r="H91" s="3"/>
      <c r="I91" s="3">
        <v>2024</v>
      </c>
      <c r="J91" s="3">
        <f t="shared" si="45"/>
        <v>296240</v>
      </c>
      <c r="K91" s="3">
        <f t="shared" si="46"/>
        <v>59248</v>
      </c>
      <c r="L91" s="3">
        <f t="shared" si="47"/>
        <v>38511.200000000004</v>
      </c>
      <c r="M91" s="3">
        <f t="shared" si="48"/>
        <v>13563.917634594643</v>
      </c>
      <c r="N91" s="3">
        <f t="shared" si="49"/>
        <v>111323.11763459466</v>
      </c>
      <c r="O91" s="3"/>
      <c r="P91" s="3"/>
      <c r="Q91" s="3">
        <v>2024</v>
      </c>
      <c r="R91" s="13">
        <f t="shared" si="50"/>
        <v>1.4488802782374464</v>
      </c>
      <c r="S91" s="13">
        <f t="shared" si="51"/>
        <v>0.69018815082257423</v>
      </c>
      <c r="T91" s="3"/>
      <c r="U91" s="13">
        <f t="shared" si="52"/>
        <v>18.068824097126114</v>
      </c>
      <c r="V91" s="12">
        <f>'Country L per 100 km'!R19</f>
        <v>5.0045380417614869</v>
      </c>
      <c r="W91" s="3">
        <v>15000</v>
      </c>
      <c r="Y91" s="3">
        <v>2024</v>
      </c>
      <c r="Z91" s="13"/>
      <c r="AA91" s="13">
        <v>23.439575247206971</v>
      </c>
      <c r="AB91" s="13">
        <v>18.068824097126114</v>
      </c>
      <c r="AC91" s="13">
        <v>14.672821831711564</v>
      </c>
    </row>
    <row r="92" spans="1:29">
      <c r="A92" s="3">
        <v>2025</v>
      </c>
      <c r="B92" s="3">
        <f t="shared" si="40"/>
        <v>301615.7572455224</v>
      </c>
      <c r="C92" s="3">
        <f t="shared" si="42"/>
        <v>60323.15144910448</v>
      </c>
      <c r="D92" s="3">
        <f t="shared" si="43"/>
        <v>39210.048441917912</v>
      </c>
      <c r="E92" s="3">
        <f t="shared" si="41"/>
        <v>25825</v>
      </c>
      <c r="F92" s="3">
        <f t="shared" si="44"/>
        <v>73708.199891022392</v>
      </c>
      <c r="G92" s="3"/>
      <c r="H92" s="3"/>
      <c r="I92" s="3">
        <v>2025</v>
      </c>
      <c r="J92" s="3">
        <f t="shared" si="45"/>
        <v>296240</v>
      </c>
      <c r="K92" s="3">
        <f t="shared" si="46"/>
        <v>59248</v>
      </c>
      <c r="L92" s="3">
        <f t="shared" si="47"/>
        <v>38511.200000000004</v>
      </c>
      <c r="M92" s="3">
        <f t="shared" si="48"/>
        <v>13625.187410127557</v>
      </c>
      <c r="N92" s="3">
        <f t="shared" si="49"/>
        <v>111384.38741012757</v>
      </c>
      <c r="O92" s="3"/>
      <c r="P92" s="3"/>
      <c r="Q92" s="3">
        <v>2025</v>
      </c>
      <c r="R92" s="13">
        <f t="shared" si="50"/>
        <v>1.5111532716144125</v>
      </c>
      <c r="S92" s="13">
        <f t="shared" si="51"/>
        <v>0.66174624294176898</v>
      </c>
      <c r="T92" s="3"/>
      <c r="U92" s="13">
        <f t="shared" si="52"/>
        <v>18.331947483655071</v>
      </c>
      <c r="V92" s="12">
        <f>'Country L per 100 km'!R20</f>
        <v>4.9549881601598873</v>
      </c>
      <c r="W92" s="3">
        <v>15000</v>
      </c>
      <c r="Y92" s="3">
        <v>2025</v>
      </c>
      <c r="Z92" s="13"/>
      <c r="AA92" s="13">
        <v>23.79024538382679</v>
      </c>
      <c r="AB92" s="13">
        <v>18.331947483655071</v>
      </c>
      <c r="AC92" s="13">
        <v>14.742955859035526</v>
      </c>
    </row>
    <row r="93" spans="1:29">
      <c r="A93" s="3">
        <v>2026</v>
      </c>
      <c r="B93" s="3">
        <f t="shared" si="40"/>
        <v>296219.72684449912</v>
      </c>
      <c r="C93" s="3">
        <f t="shared" si="42"/>
        <v>59243.945368899826</v>
      </c>
      <c r="D93" s="3">
        <f t="shared" si="43"/>
        <v>38508.564489784891</v>
      </c>
      <c r="E93" s="3">
        <f t="shared" si="41"/>
        <v>25825</v>
      </c>
      <c r="F93" s="3">
        <f t="shared" si="44"/>
        <v>71927.509858684716</v>
      </c>
      <c r="G93" s="3"/>
      <c r="H93" s="3"/>
      <c r="I93" s="3">
        <v>2026</v>
      </c>
      <c r="J93" s="3">
        <f t="shared" si="45"/>
        <v>296240</v>
      </c>
      <c r="K93" s="3">
        <f t="shared" si="46"/>
        <v>59248</v>
      </c>
      <c r="L93" s="3">
        <f t="shared" si="47"/>
        <v>38511.200000000004</v>
      </c>
      <c r="M93" s="3">
        <f t="shared" si="48"/>
        <v>13830.611310472868</v>
      </c>
      <c r="N93" s="3">
        <f t="shared" si="49"/>
        <v>111589.81131047288</v>
      </c>
      <c r="O93" s="3"/>
      <c r="P93" s="3"/>
      <c r="Q93" s="3">
        <v>2026</v>
      </c>
      <c r="R93" s="13">
        <f t="shared" si="50"/>
        <v>1.5514204722186589</v>
      </c>
      <c r="S93" s="13">
        <f t="shared" si="51"/>
        <v>0.64457058412405621</v>
      </c>
      <c r="T93" s="3"/>
      <c r="U93" s="13">
        <f t="shared" si="52"/>
        <v>18.794417493457537</v>
      </c>
      <c r="V93" s="12">
        <f>'Country L per 100 km'!R21</f>
        <v>4.9059288714454334</v>
      </c>
      <c r="W93" s="3">
        <v>15000</v>
      </c>
      <c r="Y93" s="3">
        <v>2026</v>
      </c>
      <c r="Z93" s="13"/>
      <c r="AA93" s="13">
        <v>24.140915520446612</v>
      </c>
      <c r="AB93" s="13">
        <v>18.794417493457537</v>
      </c>
      <c r="AC93" s="13">
        <v>14.813089886359494</v>
      </c>
    </row>
    <row r="94" spans="1:29">
      <c r="A94" s="3">
        <v>2027</v>
      </c>
      <c r="B94" s="3">
        <f t="shared" si="40"/>
        <v>290823.69644347596</v>
      </c>
      <c r="C94" s="3">
        <f t="shared" si="42"/>
        <v>58164.739288695193</v>
      </c>
      <c r="D94" s="3">
        <f t="shared" si="43"/>
        <v>37807.080537651877</v>
      </c>
      <c r="E94" s="3">
        <f t="shared" si="41"/>
        <v>25825</v>
      </c>
      <c r="F94" s="3">
        <f t="shared" si="44"/>
        <v>70146.819826347069</v>
      </c>
      <c r="G94" s="3"/>
      <c r="H94" s="3"/>
      <c r="I94" s="3">
        <v>2027</v>
      </c>
      <c r="J94" s="3">
        <f t="shared" si="45"/>
        <v>296240</v>
      </c>
      <c r="K94" s="3">
        <f t="shared" si="46"/>
        <v>59248</v>
      </c>
      <c r="L94" s="3">
        <f t="shared" si="47"/>
        <v>38511.200000000004</v>
      </c>
      <c r="M94" s="3">
        <f t="shared" si="48"/>
        <v>13867.333766420534</v>
      </c>
      <c r="N94" s="3">
        <f t="shared" si="49"/>
        <v>111626.53376642054</v>
      </c>
      <c r="O94" s="3"/>
      <c r="P94" s="3"/>
      <c r="Q94" s="3">
        <v>2027</v>
      </c>
      <c r="R94" s="13">
        <f t="shared" si="50"/>
        <v>1.5913270771612904</v>
      </c>
      <c r="S94" s="13">
        <f t="shared" si="51"/>
        <v>0.62840632472858005</v>
      </c>
      <c r="T94" s="3"/>
      <c r="U94" s="13">
        <f t="shared" si="52"/>
        <v>19.032762834653102</v>
      </c>
      <c r="V94" s="12">
        <f>'Country L per 100 km'!R22</f>
        <v>4.8573553182628046</v>
      </c>
      <c r="W94" s="3">
        <v>15000</v>
      </c>
      <c r="Y94" s="3">
        <v>2027</v>
      </c>
      <c r="Z94" s="13"/>
      <c r="AA94" s="13">
        <v>24.49158565706642</v>
      </c>
      <c r="AB94" s="13">
        <v>19.032762834653102</v>
      </c>
      <c r="AC94" s="13">
        <v>14.883223913683455</v>
      </c>
    </row>
    <row r="95" spans="1:29">
      <c r="A95" s="3">
        <v>2028</v>
      </c>
      <c r="B95" s="3">
        <f t="shared" si="40"/>
        <v>284753.16224232485</v>
      </c>
      <c r="C95" s="3">
        <f t="shared" si="42"/>
        <v>56950.632448464967</v>
      </c>
      <c r="D95" s="3">
        <f t="shared" si="43"/>
        <v>37017.911091502232</v>
      </c>
      <c r="E95" s="3">
        <f t="shared" si="41"/>
        <v>25825</v>
      </c>
      <c r="F95" s="3">
        <f t="shared" si="44"/>
        <v>68143.543539967199</v>
      </c>
      <c r="G95" s="3"/>
      <c r="H95" s="3"/>
      <c r="I95" s="3">
        <v>2028</v>
      </c>
      <c r="J95" s="3">
        <f t="shared" si="45"/>
        <v>296240</v>
      </c>
      <c r="K95" s="3">
        <f t="shared" si="46"/>
        <v>59248</v>
      </c>
      <c r="L95" s="3">
        <f t="shared" si="47"/>
        <v>38511.200000000004</v>
      </c>
      <c r="M95" s="3">
        <f t="shared" si="48"/>
        <v>13838.875617634603</v>
      </c>
      <c r="N95" s="3">
        <f t="shared" si="49"/>
        <v>111598.07561763462</v>
      </c>
      <c r="O95" s="3"/>
      <c r="P95" s="3"/>
      <c r="Q95" s="3">
        <v>2028</v>
      </c>
      <c r="R95" s="13">
        <f t="shared" si="50"/>
        <v>1.6376911123235129</v>
      </c>
      <c r="S95" s="13">
        <f t="shared" si="51"/>
        <v>0.61061575804806456</v>
      </c>
      <c r="T95" s="3"/>
      <c r="U95" s="13">
        <f t="shared" si="52"/>
        <v>19.183641382322985</v>
      </c>
      <c r="V95" s="12">
        <f>'Country L per 100 km'!R23</f>
        <v>4.8092626913493124</v>
      </c>
      <c r="W95" s="3">
        <v>15000</v>
      </c>
      <c r="Y95" s="3">
        <v>2028</v>
      </c>
      <c r="Z95" s="13"/>
      <c r="AA95" s="13">
        <v>24.772121766362275</v>
      </c>
      <c r="AB95" s="13">
        <v>19.183641382322985</v>
      </c>
      <c r="AC95" s="13">
        <v>14.883223913683455</v>
      </c>
    </row>
    <row r="96" spans="1:29">
      <c r="A96" s="3">
        <v>2029</v>
      </c>
      <c r="B96" s="3">
        <f t="shared" si="40"/>
        <v>279357.13184130163</v>
      </c>
      <c r="C96" s="3">
        <f t="shared" si="42"/>
        <v>55871.426368260327</v>
      </c>
      <c r="D96" s="3">
        <f t="shared" si="43"/>
        <v>36316.427139369211</v>
      </c>
      <c r="E96" s="3">
        <f t="shared" si="41"/>
        <v>25825</v>
      </c>
      <c r="F96" s="3">
        <f t="shared" si="44"/>
        <v>66362.853507629537</v>
      </c>
      <c r="G96" s="3"/>
      <c r="H96" s="3"/>
      <c r="I96" s="3">
        <v>2029</v>
      </c>
      <c r="J96" s="3">
        <f t="shared" si="45"/>
        <v>296240</v>
      </c>
      <c r="K96" s="3">
        <f t="shared" si="46"/>
        <v>59248</v>
      </c>
      <c r="L96" s="3">
        <f t="shared" si="47"/>
        <v>38511.200000000004</v>
      </c>
      <c r="M96" s="3">
        <f t="shared" si="48"/>
        <v>13847.924691670516</v>
      </c>
      <c r="N96" s="3">
        <f t="shared" si="49"/>
        <v>111607.12469167053</v>
      </c>
      <c r="O96" s="3"/>
      <c r="P96" s="3"/>
      <c r="Q96" s="3">
        <v>2029</v>
      </c>
      <c r="R96" s="13">
        <f t="shared" si="50"/>
        <v>1.6817710329294293</v>
      </c>
      <c r="S96" s="13">
        <f t="shared" si="51"/>
        <v>0.59461126420885513</v>
      </c>
      <c r="T96" s="3"/>
      <c r="U96" s="13">
        <f t="shared" si="52"/>
        <v>19.388147187641803</v>
      </c>
      <c r="V96" s="12">
        <f>'Country L per 100 km'!R24</f>
        <v>4.7616462290587247</v>
      </c>
      <c r="W96" s="3">
        <v>15000</v>
      </c>
      <c r="Y96" s="3">
        <v>2029</v>
      </c>
      <c r="Z96" s="13"/>
      <c r="AA96" s="13">
        <v>25.122791902982094</v>
      </c>
      <c r="AB96" s="13">
        <v>19.388147187641803</v>
      </c>
      <c r="AC96" s="13">
        <v>14.883223913683455</v>
      </c>
    </row>
    <row r="97" spans="1:29">
      <c r="A97" s="3">
        <v>2030</v>
      </c>
      <c r="B97" s="3">
        <f t="shared" si="40"/>
        <v>273286.59764015052</v>
      </c>
      <c r="C97" s="3">
        <f t="shared" si="42"/>
        <v>54657.319528030101</v>
      </c>
      <c r="D97" s="3">
        <f t="shared" si="43"/>
        <v>35527.257693219566</v>
      </c>
      <c r="E97" s="3">
        <f t="shared" si="41"/>
        <v>25825</v>
      </c>
      <c r="F97" s="3">
        <f t="shared" si="44"/>
        <v>64359.577221249667</v>
      </c>
      <c r="G97" s="3"/>
      <c r="H97" s="3"/>
      <c r="I97" s="3">
        <v>2030</v>
      </c>
      <c r="J97" s="3">
        <f t="shared" si="45"/>
        <v>296240</v>
      </c>
      <c r="K97" s="3">
        <f t="shared" si="46"/>
        <v>59248</v>
      </c>
      <c r="L97" s="3">
        <f t="shared" si="47"/>
        <v>38511.200000000004</v>
      </c>
      <c r="M97" s="3">
        <f t="shared" si="48"/>
        <v>13821.39827315732</v>
      </c>
      <c r="N97" s="3">
        <f>SUM(K97:M97)</f>
        <v>111580.59827315733</v>
      </c>
      <c r="O97" s="3"/>
      <c r="P97" s="3"/>
      <c r="Q97" s="3">
        <v>2030</v>
      </c>
      <c r="R97" s="13">
        <f t="shared" si="50"/>
        <v>1.7337062033452366</v>
      </c>
      <c r="S97" s="13">
        <f t="shared" si="51"/>
        <v>0.57679899747170016</v>
      </c>
      <c r="T97" s="3"/>
      <c r="U97" s="13">
        <f t="shared" si="52"/>
        <v>19.544518267230181</v>
      </c>
      <c r="V97" s="12">
        <f>'Country L per 100 km'!R25</f>
        <v>4.7145012168898264</v>
      </c>
      <c r="W97" s="3">
        <v>15000</v>
      </c>
      <c r="Y97" s="3">
        <v>2030</v>
      </c>
      <c r="Z97" s="13"/>
      <c r="AA97" s="13">
        <v>25.333193984953983</v>
      </c>
      <c r="AB97" s="13">
        <v>19.544518267230181</v>
      </c>
      <c r="AC97" s="13">
        <v>14.953357941007418</v>
      </c>
    </row>
    <row r="98" spans="1:29">
      <c r="A98" s="3">
        <v>2031</v>
      </c>
      <c r="B98" s="3"/>
      <c r="C98" s="3"/>
      <c r="D98" s="3"/>
      <c r="E98" s="3"/>
      <c r="F98" s="3"/>
      <c r="G98" s="3"/>
      <c r="H98" s="3"/>
      <c r="I98" s="3">
        <v>2031</v>
      </c>
      <c r="J98" s="3">
        <f>J97</f>
        <v>296240</v>
      </c>
      <c r="K98" s="3">
        <f t="shared" si="46"/>
        <v>59248</v>
      </c>
      <c r="L98" s="3">
        <f t="shared" si="47"/>
        <v>38511.200000000004</v>
      </c>
      <c r="M98" s="3">
        <f t="shared" si="48"/>
        <v>13684.552745700317</v>
      </c>
      <c r="N98" s="3">
        <f t="shared" ref="N98:N122" si="53">SUM(K98:M98)</f>
        <v>111443.75274570033</v>
      </c>
      <c r="O98" s="3"/>
      <c r="P98" s="3"/>
      <c r="Q98" s="3">
        <v>2031</v>
      </c>
      <c r="R98" s="3"/>
      <c r="S98" s="3"/>
      <c r="T98" s="3"/>
      <c r="U98" s="13">
        <f>U97</f>
        <v>19.544518267230181</v>
      </c>
      <c r="V98" s="12">
        <f>'Country L per 100 km'!R26</f>
        <v>4.6678229870196306</v>
      </c>
      <c r="W98" s="3">
        <v>15000</v>
      </c>
      <c r="Y98" s="3">
        <v>2031</v>
      </c>
    </row>
    <row r="99" spans="1:29">
      <c r="A99" s="3">
        <v>2032</v>
      </c>
      <c r="B99" s="3"/>
      <c r="C99" s="3"/>
      <c r="D99" s="3"/>
      <c r="E99" s="3"/>
      <c r="F99" s="3"/>
      <c r="G99" s="3"/>
      <c r="H99" s="3"/>
      <c r="I99" s="3">
        <v>2032</v>
      </c>
      <c r="J99" s="3">
        <f t="shared" ref="J99:J122" si="54">J98</f>
        <v>296240</v>
      </c>
      <c r="K99" s="3">
        <f t="shared" si="46"/>
        <v>59248</v>
      </c>
      <c r="L99" s="3">
        <f t="shared" si="47"/>
        <v>38511.200000000004</v>
      </c>
      <c r="M99" s="3">
        <f t="shared" si="48"/>
        <v>13549.062124455759</v>
      </c>
      <c r="N99" s="3">
        <f t="shared" si="53"/>
        <v>111308.26212445577</v>
      </c>
      <c r="O99" s="3"/>
      <c r="P99" s="3"/>
      <c r="Q99" s="3">
        <v>2032</v>
      </c>
      <c r="R99" s="3"/>
      <c r="S99" s="3"/>
      <c r="T99" s="3"/>
      <c r="U99" s="13">
        <f t="shared" ref="U99:U122" si="55">U98</f>
        <v>19.544518267230181</v>
      </c>
      <c r="V99" s="12">
        <f>'Country L per 100 km'!R27</f>
        <v>4.621606917841218</v>
      </c>
      <c r="W99" s="3">
        <v>15000</v>
      </c>
      <c r="Y99" s="3">
        <v>2032</v>
      </c>
    </row>
    <row r="100" spans="1:29">
      <c r="A100" s="3">
        <v>2033</v>
      </c>
      <c r="B100" s="3"/>
      <c r="C100" s="3"/>
      <c r="D100" s="3"/>
      <c r="E100" s="3"/>
      <c r="F100" s="3"/>
      <c r="G100" s="3"/>
      <c r="H100" s="3"/>
      <c r="I100" s="3">
        <v>2033</v>
      </c>
      <c r="J100" s="3">
        <f t="shared" si="54"/>
        <v>296240</v>
      </c>
      <c r="K100" s="3">
        <f t="shared" si="46"/>
        <v>59248</v>
      </c>
      <c r="L100" s="3">
        <f t="shared" si="47"/>
        <v>38511.200000000004</v>
      </c>
      <c r="M100" s="3">
        <f t="shared" si="48"/>
        <v>13414.912994510654</v>
      </c>
      <c r="N100" s="3">
        <f t="shared" si="53"/>
        <v>111174.11299451067</v>
      </c>
      <c r="O100" s="3"/>
      <c r="P100" s="3"/>
      <c r="Q100" s="3">
        <v>2033</v>
      </c>
      <c r="R100" s="3"/>
      <c r="S100" s="3"/>
      <c r="T100" s="3"/>
      <c r="U100" s="13">
        <f t="shared" si="55"/>
        <v>19.544518267230181</v>
      </c>
      <c r="V100" s="12">
        <f>'Country L per 100 km'!R28</f>
        <v>4.5758484335061569</v>
      </c>
      <c r="W100" s="3">
        <v>15000</v>
      </c>
      <c r="Y100" s="3">
        <v>2033</v>
      </c>
    </row>
    <row r="101" spans="1:29">
      <c r="A101" s="3">
        <v>2034</v>
      </c>
      <c r="B101" s="3"/>
      <c r="C101" s="3"/>
      <c r="D101" s="3"/>
      <c r="E101" s="3"/>
      <c r="F101" s="3"/>
      <c r="G101" s="3"/>
      <c r="H101" s="3"/>
      <c r="I101" s="3">
        <v>2034</v>
      </c>
      <c r="J101" s="3">
        <f t="shared" si="54"/>
        <v>296240</v>
      </c>
      <c r="K101" s="3">
        <f t="shared" si="46"/>
        <v>59248</v>
      </c>
      <c r="L101" s="3">
        <f t="shared" si="47"/>
        <v>38511.200000000004</v>
      </c>
      <c r="M101" s="3">
        <f t="shared" si="48"/>
        <v>13282.092073772921</v>
      </c>
      <c r="N101" s="3">
        <f t="shared" si="53"/>
        <v>111041.29207377293</v>
      </c>
      <c r="O101" s="3"/>
      <c r="P101" s="3"/>
      <c r="Q101" s="3">
        <v>2034</v>
      </c>
      <c r="R101" s="3"/>
      <c r="S101" s="3"/>
      <c r="T101" s="3"/>
      <c r="U101" s="13">
        <f t="shared" si="55"/>
        <v>19.544518267230181</v>
      </c>
      <c r="V101" s="12">
        <f>'Country L per 100 km'!R29</f>
        <v>4.5305430034714416</v>
      </c>
      <c r="W101" s="3">
        <v>15000</v>
      </c>
      <c r="Y101" s="3">
        <v>2034</v>
      </c>
    </row>
    <row r="102" spans="1:29">
      <c r="A102" s="3">
        <v>2035</v>
      </c>
      <c r="B102" s="3"/>
      <c r="C102" s="3"/>
      <c r="D102" s="3"/>
      <c r="E102" s="3"/>
      <c r="F102" s="3"/>
      <c r="G102" s="3"/>
      <c r="H102" s="3"/>
      <c r="I102" s="3">
        <v>2035</v>
      </c>
      <c r="J102" s="3">
        <f t="shared" si="54"/>
        <v>296240</v>
      </c>
      <c r="K102" s="3">
        <f t="shared" si="46"/>
        <v>59248</v>
      </c>
      <c r="L102" s="3">
        <f t="shared" si="47"/>
        <v>38511.200000000004</v>
      </c>
      <c r="M102" s="3">
        <f t="shared" si="48"/>
        <v>13150.586211656355</v>
      </c>
      <c r="N102" s="3">
        <f t="shared" si="53"/>
        <v>110909.78621165636</v>
      </c>
      <c r="O102" s="3"/>
      <c r="P102" s="3"/>
      <c r="Q102" s="3">
        <v>2035</v>
      </c>
      <c r="R102" s="3"/>
      <c r="S102" s="3"/>
      <c r="T102" s="3"/>
      <c r="U102" s="13">
        <f t="shared" si="55"/>
        <v>19.544518267230181</v>
      </c>
      <c r="V102" s="12">
        <f>'Country L per 100 km'!R30</f>
        <v>4.4856861420509313</v>
      </c>
      <c r="W102" s="3">
        <v>15000</v>
      </c>
      <c r="Y102" s="3">
        <v>2035</v>
      </c>
    </row>
    <row r="103" spans="1:29">
      <c r="A103" s="3">
        <v>2036</v>
      </c>
      <c r="B103" s="3"/>
      <c r="C103" s="3"/>
      <c r="D103" s="3"/>
      <c r="E103" s="3"/>
      <c r="F103" s="3"/>
      <c r="G103" s="3"/>
      <c r="H103" s="3"/>
      <c r="I103" s="3">
        <v>2036</v>
      </c>
      <c r="J103" s="3">
        <f t="shared" si="54"/>
        <v>296240</v>
      </c>
      <c r="K103" s="3">
        <f t="shared" si="46"/>
        <v>59248</v>
      </c>
      <c r="L103" s="3">
        <f t="shared" si="47"/>
        <v>38511.200000000004</v>
      </c>
      <c r="M103" s="3">
        <f t="shared" si="48"/>
        <v>13020.382387778573</v>
      </c>
      <c r="N103" s="3">
        <f t="shared" si="53"/>
        <v>110779.58238777859</v>
      </c>
      <c r="O103" s="3"/>
      <c r="P103" s="3"/>
      <c r="Q103" s="3">
        <v>2036</v>
      </c>
      <c r="R103" s="3"/>
      <c r="S103" s="3"/>
      <c r="T103" s="3"/>
      <c r="U103" s="13">
        <f t="shared" si="55"/>
        <v>19.544518267230181</v>
      </c>
      <c r="V103" s="12">
        <f>'Country L per 100 km'!R31</f>
        <v>4.4412734079712202</v>
      </c>
      <c r="W103" s="3">
        <v>15000</v>
      </c>
      <c r="Y103" s="3">
        <v>2036</v>
      </c>
    </row>
    <row r="104" spans="1:29">
      <c r="A104" s="3">
        <v>2037</v>
      </c>
      <c r="B104" s="3"/>
      <c r="C104" s="3"/>
      <c r="D104" s="3"/>
      <c r="E104" s="3"/>
      <c r="F104" s="3"/>
      <c r="G104" s="3"/>
      <c r="H104" s="3"/>
      <c r="I104" s="3">
        <v>2037</v>
      </c>
      <c r="J104" s="3">
        <f t="shared" si="54"/>
        <v>296240</v>
      </c>
      <c r="K104" s="3">
        <f t="shared" si="46"/>
        <v>59248</v>
      </c>
      <c r="L104" s="3">
        <f t="shared" si="47"/>
        <v>38511.200000000004</v>
      </c>
      <c r="M104" s="3">
        <f t="shared" si="48"/>
        <v>12891.467710671855</v>
      </c>
      <c r="N104" s="3">
        <f t="shared" si="53"/>
        <v>110650.66771067187</v>
      </c>
      <c r="O104" s="3"/>
      <c r="P104" s="3"/>
      <c r="Q104" s="3">
        <v>2037</v>
      </c>
      <c r="R104" s="3"/>
      <c r="S104" s="3"/>
      <c r="T104" s="3"/>
      <c r="U104" s="13">
        <f t="shared" si="55"/>
        <v>19.544518267230181</v>
      </c>
      <c r="V104" s="12">
        <f>'Country L per 100 km'!R32</f>
        <v>4.3973004039319017</v>
      </c>
      <c r="W104" s="3">
        <v>15000</v>
      </c>
      <c r="Y104" s="3">
        <v>2037</v>
      </c>
    </row>
    <row r="105" spans="1:29">
      <c r="A105" s="3">
        <v>2038</v>
      </c>
      <c r="B105" s="3"/>
      <c r="C105" s="3"/>
      <c r="D105" s="3"/>
      <c r="E105" s="3"/>
      <c r="F105" s="3"/>
      <c r="G105" s="3"/>
      <c r="H105" s="3"/>
      <c r="I105" s="3">
        <v>2038</v>
      </c>
      <c r="J105" s="3">
        <f t="shared" si="54"/>
        <v>296240</v>
      </c>
      <c r="K105" s="3">
        <f t="shared" si="46"/>
        <v>59248</v>
      </c>
      <c r="L105" s="3">
        <f t="shared" si="47"/>
        <v>38511.200000000004</v>
      </c>
      <c r="M105" s="3">
        <f t="shared" si="48"/>
        <v>12763.829416506787</v>
      </c>
      <c r="N105" s="3">
        <f t="shared" si="53"/>
        <v>110523.0294165068</v>
      </c>
      <c r="O105" s="3"/>
      <c r="P105" s="3"/>
      <c r="Q105" s="3">
        <v>2038</v>
      </c>
      <c r="R105" s="3"/>
      <c r="S105" s="3"/>
      <c r="T105" s="3"/>
      <c r="U105" s="13">
        <f t="shared" si="55"/>
        <v>19.544518267230181</v>
      </c>
      <c r="V105" s="12">
        <f>'Country L per 100 km'!R33</f>
        <v>4.3537627761701989</v>
      </c>
      <c r="W105" s="3">
        <v>15000</v>
      </c>
      <c r="Y105" s="3">
        <v>2038</v>
      </c>
    </row>
    <row r="106" spans="1:29">
      <c r="A106" s="3">
        <v>2039</v>
      </c>
      <c r="B106" s="3"/>
      <c r="C106" s="3"/>
      <c r="D106" s="3"/>
      <c r="E106" s="3"/>
      <c r="F106" s="3"/>
      <c r="G106" s="3"/>
      <c r="H106" s="3"/>
      <c r="I106" s="3">
        <v>2039</v>
      </c>
      <c r="J106" s="3">
        <f t="shared" si="54"/>
        <v>296240</v>
      </c>
      <c r="K106" s="3">
        <f t="shared" si="46"/>
        <v>59248</v>
      </c>
      <c r="L106" s="3">
        <f t="shared" si="47"/>
        <v>38511.200000000004</v>
      </c>
      <c r="M106" s="3">
        <f t="shared" si="48"/>
        <v>12637.454867828501</v>
      </c>
      <c r="N106" s="3">
        <f t="shared" si="53"/>
        <v>110396.65486782852</v>
      </c>
      <c r="O106" s="3"/>
      <c r="P106" s="3"/>
      <c r="Q106" s="3">
        <v>2039</v>
      </c>
      <c r="R106" s="3"/>
      <c r="S106" s="3"/>
      <c r="T106" s="3"/>
      <c r="U106" s="13">
        <f t="shared" si="55"/>
        <v>19.544518267230181</v>
      </c>
      <c r="V106" s="12">
        <f>'Country L per 100 km'!R34</f>
        <v>4.3106562140299003</v>
      </c>
      <c r="W106" s="3">
        <v>15000</v>
      </c>
      <c r="Y106" s="3">
        <v>2039</v>
      </c>
    </row>
    <row r="107" spans="1:29">
      <c r="A107" s="3">
        <v>2040</v>
      </c>
      <c r="B107" s="3"/>
      <c r="C107" s="3"/>
      <c r="D107" s="3"/>
      <c r="E107" s="3"/>
      <c r="F107" s="3"/>
      <c r="G107" s="3"/>
      <c r="H107" s="3"/>
      <c r="I107" s="3">
        <v>2040</v>
      </c>
      <c r="J107" s="3">
        <f t="shared" si="54"/>
        <v>296240</v>
      </c>
      <c r="K107" s="3">
        <f t="shared" si="46"/>
        <v>59248</v>
      </c>
      <c r="L107" s="3">
        <f t="shared" si="47"/>
        <v>38511.200000000004</v>
      </c>
      <c r="M107" s="3">
        <f t="shared" si="48"/>
        <v>12512.331552305448</v>
      </c>
      <c r="N107" s="3">
        <f t="shared" si="53"/>
        <v>110271.53155230546</v>
      </c>
      <c r="O107" s="3"/>
      <c r="P107" s="3"/>
      <c r="Q107" s="3">
        <v>2040</v>
      </c>
      <c r="R107" s="3"/>
      <c r="S107" s="3"/>
      <c r="T107" s="3"/>
      <c r="U107" s="13">
        <f t="shared" si="55"/>
        <v>19.544518267230181</v>
      </c>
      <c r="V107" s="12">
        <f>'Country L per 100 km'!R35</f>
        <v>4.2679764495345553</v>
      </c>
      <c r="W107" s="3">
        <v>15000</v>
      </c>
      <c r="Y107" s="3">
        <v>2040</v>
      </c>
    </row>
    <row r="108" spans="1:29">
      <c r="A108" s="3">
        <v>2041</v>
      </c>
      <c r="I108" s="3">
        <v>2041</v>
      </c>
      <c r="J108" s="3">
        <f t="shared" si="54"/>
        <v>296240</v>
      </c>
      <c r="K108" s="3">
        <f t="shared" si="46"/>
        <v>59248</v>
      </c>
      <c r="L108" s="3">
        <f t="shared" si="47"/>
        <v>38511.200000000004</v>
      </c>
      <c r="M108" s="3">
        <f t="shared" si="48"/>
        <v>12512.331552305448</v>
      </c>
      <c r="N108" s="3">
        <f t="shared" si="53"/>
        <v>110271.53155230546</v>
      </c>
      <c r="Q108" s="3">
        <v>2041</v>
      </c>
      <c r="U108" s="13">
        <f t="shared" si="55"/>
        <v>19.544518267230181</v>
      </c>
      <c r="V108" s="12">
        <f>V107</f>
        <v>4.2679764495345553</v>
      </c>
      <c r="W108" s="3">
        <v>15000</v>
      </c>
    </row>
    <row r="109" spans="1:29">
      <c r="A109" s="3">
        <v>2042</v>
      </c>
      <c r="I109" s="3">
        <v>2042</v>
      </c>
      <c r="J109" s="3">
        <f t="shared" si="54"/>
        <v>296240</v>
      </c>
      <c r="K109" s="3">
        <f t="shared" si="46"/>
        <v>59248</v>
      </c>
      <c r="L109" s="3">
        <f t="shared" si="47"/>
        <v>38511.200000000004</v>
      </c>
      <c r="M109" s="3">
        <f t="shared" si="48"/>
        <v>12512.331552305448</v>
      </c>
      <c r="N109" s="3">
        <f t="shared" si="53"/>
        <v>110271.53155230546</v>
      </c>
      <c r="Q109" s="3">
        <v>2042</v>
      </c>
      <c r="U109" s="13">
        <f t="shared" si="55"/>
        <v>19.544518267230181</v>
      </c>
      <c r="V109" s="12">
        <f t="shared" ref="V109:V122" si="56">V108</f>
        <v>4.2679764495345553</v>
      </c>
      <c r="W109" s="3">
        <v>15000</v>
      </c>
    </row>
    <row r="110" spans="1:29">
      <c r="A110" s="3">
        <v>2043</v>
      </c>
      <c r="I110" s="3">
        <v>2043</v>
      </c>
      <c r="J110" s="3">
        <f t="shared" si="54"/>
        <v>296240</v>
      </c>
      <c r="K110" s="3">
        <f t="shared" si="46"/>
        <v>59248</v>
      </c>
      <c r="L110" s="3">
        <f t="shared" si="47"/>
        <v>38511.200000000004</v>
      </c>
      <c r="M110" s="3">
        <f t="shared" si="48"/>
        <v>12512.331552305448</v>
      </c>
      <c r="N110" s="3">
        <f t="shared" si="53"/>
        <v>110271.53155230546</v>
      </c>
      <c r="Q110" s="3">
        <v>2043</v>
      </c>
      <c r="U110" s="13">
        <f t="shared" si="55"/>
        <v>19.544518267230181</v>
      </c>
      <c r="V110" s="12">
        <f t="shared" si="56"/>
        <v>4.2679764495345553</v>
      </c>
      <c r="W110" s="3">
        <v>15000</v>
      </c>
    </row>
    <row r="111" spans="1:29">
      <c r="A111" s="3">
        <v>2044</v>
      </c>
      <c r="I111" s="3">
        <v>2044</v>
      </c>
      <c r="J111" s="3">
        <f t="shared" si="54"/>
        <v>296240</v>
      </c>
      <c r="K111" s="3">
        <f t="shared" si="46"/>
        <v>59248</v>
      </c>
      <c r="L111" s="3">
        <f t="shared" si="47"/>
        <v>38511.200000000004</v>
      </c>
      <c r="M111" s="3">
        <f t="shared" si="48"/>
        <v>12512.331552305448</v>
      </c>
      <c r="N111" s="3">
        <f t="shared" si="53"/>
        <v>110271.53155230546</v>
      </c>
      <c r="Q111" s="3">
        <v>2044</v>
      </c>
      <c r="U111" s="13">
        <f t="shared" si="55"/>
        <v>19.544518267230181</v>
      </c>
      <c r="V111" s="12">
        <f t="shared" si="56"/>
        <v>4.2679764495345553</v>
      </c>
      <c r="W111" s="3">
        <v>15000</v>
      </c>
    </row>
    <row r="112" spans="1:29">
      <c r="A112" s="3">
        <v>2045</v>
      </c>
      <c r="I112" s="3">
        <v>2045</v>
      </c>
      <c r="J112" s="3">
        <f t="shared" si="54"/>
        <v>296240</v>
      </c>
      <c r="K112" s="3">
        <f t="shared" si="46"/>
        <v>59248</v>
      </c>
      <c r="L112" s="3">
        <f t="shared" si="47"/>
        <v>38511.200000000004</v>
      </c>
      <c r="M112" s="3">
        <f t="shared" si="48"/>
        <v>12512.331552305448</v>
      </c>
      <c r="N112" s="3">
        <f t="shared" si="53"/>
        <v>110271.53155230546</v>
      </c>
      <c r="Q112" s="3">
        <v>2045</v>
      </c>
      <c r="U112" s="13">
        <f t="shared" si="55"/>
        <v>19.544518267230181</v>
      </c>
      <c r="V112" s="12">
        <f t="shared" si="56"/>
        <v>4.2679764495345553</v>
      </c>
      <c r="W112" s="3">
        <v>15000</v>
      </c>
    </row>
    <row r="113" spans="1:23">
      <c r="A113" s="3">
        <v>2046</v>
      </c>
      <c r="I113" s="3">
        <v>2046</v>
      </c>
      <c r="J113" s="3">
        <f t="shared" si="54"/>
        <v>296240</v>
      </c>
      <c r="K113" s="3">
        <f t="shared" si="46"/>
        <v>59248</v>
      </c>
      <c r="L113" s="3">
        <f t="shared" si="47"/>
        <v>38511.200000000004</v>
      </c>
      <c r="M113" s="3">
        <f t="shared" si="48"/>
        <v>12512.331552305448</v>
      </c>
      <c r="N113" s="3">
        <f t="shared" si="53"/>
        <v>110271.53155230546</v>
      </c>
      <c r="Q113" s="3">
        <v>2046</v>
      </c>
      <c r="U113" s="13">
        <f t="shared" si="55"/>
        <v>19.544518267230181</v>
      </c>
      <c r="V113" s="12">
        <f t="shared" si="56"/>
        <v>4.2679764495345553</v>
      </c>
      <c r="W113" s="3">
        <v>15000</v>
      </c>
    </row>
    <row r="114" spans="1:23">
      <c r="A114" s="3">
        <v>2047</v>
      </c>
      <c r="I114" s="3">
        <v>2047</v>
      </c>
      <c r="J114" s="3">
        <f t="shared" si="54"/>
        <v>296240</v>
      </c>
      <c r="K114" s="3">
        <f t="shared" si="46"/>
        <v>59248</v>
      </c>
      <c r="L114" s="3">
        <f t="shared" si="47"/>
        <v>38511.200000000004</v>
      </c>
      <c r="M114" s="3">
        <f t="shared" si="48"/>
        <v>12512.331552305448</v>
      </c>
      <c r="N114" s="3">
        <f t="shared" si="53"/>
        <v>110271.53155230546</v>
      </c>
      <c r="Q114" s="3">
        <v>2047</v>
      </c>
      <c r="U114" s="13">
        <f t="shared" si="55"/>
        <v>19.544518267230181</v>
      </c>
      <c r="V114" s="12">
        <f t="shared" si="56"/>
        <v>4.2679764495345553</v>
      </c>
      <c r="W114" s="3">
        <v>15000</v>
      </c>
    </row>
    <row r="115" spans="1:23">
      <c r="A115" s="3">
        <v>2048</v>
      </c>
      <c r="I115" s="3">
        <v>2048</v>
      </c>
      <c r="J115" s="3">
        <f t="shared" si="54"/>
        <v>296240</v>
      </c>
      <c r="K115" s="3">
        <f t="shared" si="46"/>
        <v>59248</v>
      </c>
      <c r="L115" s="3">
        <f t="shared" si="47"/>
        <v>38511.200000000004</v>
      </c>
      <c r="M115" s="3">
        <f t="shared" si="48"/>
        <v>12512.331552305448</v>
      </c>
      <c r="N115" s="3">
        <f t="shared" si="53"/>
        <v>110271.53155230546</v>
      </c>
      <c r="Q115" s="3">
        <v>2048</v>
      </c>
      <c r="U115" s="13">
        <f t="shared" si="55"/>
        <v>19.544518267230181</v>
      </c>
      <c r="V115" s="12">
        <f t="shared" si="56"/>
        <v>4.2679764495345553</v>
      </c>
      <c r="W115" s="3">
        <v>15000</v>
      </c>
    </row>
    <row r="116" spans="1:23">
      <c r="A116" s="3">
        <v>2049</v>
      </c>
      <c r="I116" s="3">
        <v>2049</v>
      </c>
      <c r="J116" s="3">
        <f t="shared" si="54"/>
        <v>296240</v>
      </c>
      <c r="K116" s="3">
        <f t="shared" si="46"/>
        <v>59248</v>
      </c>
      <c r="L116" s="3">
        <f t="shared" si="47"/>
        <v>38511.200000000004</v>
      </c>
      <c r="M116" s="3">
        <f t="shared" si="48"/>
        <v>12512.331552305448</v>
      </c>
      <c r="N116" s="3">
        <f t="shared" si="53"/>
        <v>110271.53155230546</v>
      </c>
      <c r="Q116" s="3">
        <v>2049</v>
      </c>
      <c r="U116" s="13">
        <f t="shared" si="55"/>
        <v>19.544518267230181</v>
      </c>
      <c r="V116" s="12">
        <f t="shared" si="56"/>
        <v>4.2679764495345553</v>
      </c>
      <c r="W116" s="3">
        <v>15000</v>
      </c>
    </row>
    <row r="117" spans="1:23">
      <c r="A117" s="3">
        <v>2050</v>
      </c>
      <c r="I117" s="3">
        <v>2050</v>
      </c>
      <c r="J117" s="3">
        <f t="shared" si="54"/>
        <v>296240</v>
      </c>
      <c r="K117" s="3">
        <f t="shared" si="46"/>
        <v>59248</v>
      </c>
      <c r="L117" s="3">
        <f t="shared" si="47"/>
        <v>38511.200000000004</v>
      </c>
      <c r="M117" s="3">
        <f t="shared" si="48"/>
        <v>12512.331552305448</v>
      </c>
      <c r="N117" s="3">
        <f t="shared" si="53"/>
        <v>110271.53155230546</v>
      </c>
      <c r="Q117" s="3">
        <v>2050</v>
      </c>
      <c r="U117" s="13">
        <f t="shared" si="55"/>
        <v>19.544518267230181</v>
      </c>
      <c r="V117" s="12">
        <f t="shared" si="56"/>
        <v>4.2679764495345553</v>
      </c>
      <c r="W117" s="3">
        <v>15000</v>
      </c>
    </row>
    <row r="118" spans="1:23">
      <c r="A118" s="3">
        <v>2051</v>
      </c>
      <c r="I118" s="3">
        <v>2051</v>
      </c>
      <c r="J118" s="3">
        <f t="shared" si="54"/>
        <v>296240</v>
      </c>
      <c r="K118" s="3">
        <f t="shared" si="46"/>
        <v>59248</v>
      </c>
      <c r="L118" s="3">
        <f t="shared" si="47"/>
        <v>38511.200000000004</v>
      </c>
      <c r="M118" s="3">
        <f t="shared" si="48"/>
        <v>12512.331552305448</v>
      </c>
      <c r="N118" s="3">
        <f t="shared" si="53"/>
        <v>110271.53155230546</v>
      </c>
      <c r="Q118" s="3">
        <v>2051</v>
      </c>
      <c r="U118" s="13">
        <f t="shared" si="55"/>
        <v>19.544518267230181</v>
      </c>
      <c r="V118" s="12">
        <f t="shared" si="56"/>
        <v>4.2679764495345553</v>
      </c>
      <c r="W118" s="3">
        <v>15000</v>
      </c>
    </row>
    <row r="119" spans="1:23">
      <c r="A119" s="3">
        <v>2052</v>
      </c>
      <c r="I119" s="3">
        <v>2052</v>
      </c>
      <c r="J119" s="3">
        <f t="shared" si="54"/>
        <v>296240</v>
      </c>
      <c r="K119" s="3">
        <f t="shared" si="46"/>
        <v>59248</v>
      </c>
      <c r="L119" s="3">
        <f t="shared" si="47"/>
        <v>38511.200000000004</v>
      </c>
      <c r="M119" s="3">
        <f t="shared" si="48"/>
        <v>12512.331552305448</v>
      </c>
      <c r="N119" s="3">
        <f t="shared" si="53"/>
        <v>110271.53155230546</v>
      </c>
      <c r="Q119" s="3">
        <v>2052</v>
      </c>
      <c r="U119" s="13">
        <f t="shared" si="55"/>
        <v>19.544518267230181</v>
      </c>
      <c r="V119" s="12">
        <f t="shared" si="56"/>
        <v>4.2679764495345553</v>
      </c>
      <c r="W119" s="3">
        <v>15000</v>
      </c>
    </row>
    <row r="120" spans="1:23">
      <c r="A120" s="3">
        <v>2053</v>
      </c>
      <c r="I120" s="3">
        <v>2053</v>
      </c>
      <c r="J120" s="3">
        <f t="shared" si="54"/>
        <v>296240</v>
      </c>
      <c r="K120" s="3">
        <f t="shared" si="46"/>
        <v>59248</v>
      </c>
      <c r="L120" s="3">
        <f t="shared" si="47"/>
        <v>38511.200000000004</v>
      </c>
      <c r="M120" s="3">
        <f t="shared" si="48"/>
        <v>12512.331552305448</v>
      </c>
      <c r="N120" s="3">
        <f t="shared" si="53"/>
        <v>110271.53155230546</v>
      </c>
      <c r="Q120" s="3">
        <v>2053</v>
      </c>
      <c r="U120" s="13">
        <f t="shared" si="55"/>
        <v>19.544518267230181</v>
      </c>
      <c r="V120" s="12">
        <f t="shared" si="56"/>
        <v>4.2679764495345553</v>
      </c>
      <c r="W120" s="3">
        <v>15000</v>
      </c>
    </row>
    <row r="121" spans="1:23">
      <c r="A121" s="3">
        <v>2054</v>
      </c>
      <c r="I121" s="3">
        <v>2054</v>
      </c>
      <c r="J121" s="3">
        <f t="shared" si="54"/>
        <v>296240</v>
      </c>
      <c r="K121" s="3">
        <f t="shared" si="46"/>
        <v>59248</v>
      </c>
      <c r="L121" s="3">
        <f t="shared" si="47"/>
        <v>38511.200000000004</v>
      </c>
      <c r="M121" s="3">
        <f t="shared" si="48"/>
        <v>12512.331552305448</v>
      </c>
      <c r="N121" s="3">
        <f t="shared" si="53"/>
        <v>110271.53155230546</v>
      </c>
      <c r="Q121" s="3">
        <v>2054</v>
      </c>
      <c r="U121" s="13">
        <f t="shared" si="55"/>
        <v>19.544518267230181</v>
      </c>
      <c r="V121" s="12">
        <f t="shared" si="56"/>
        <v>4.2679764495345553</v>
      </c>
      <c r="W121" s="3">
        <v>15000</v>
      </c>
    </row>
    <row r="122" spans="1:23">
      <c r="A122" s="3">
        <v>2055</v>
      </c>
      <c r="I122" s="3">
        <v>2055</v>
      </c>
      <c r="J122" s="3">
        <f t="shared" si="54"/>
        <v>296240</v>
      </c>
      <c r="K122" s="3">
        <f t="shared" si="46"/>
        <v>59248</v>
      </c>
      <c r="L122" s="3">
        <f t="shared" si="47"/>
        <v>38511.200000000004</v>
      </c>
      <c r="M122" s="3">
        <f t="shared" si="48"/>
        <v>12512.331552305448</v>
      </c>
      <c r="N122" s="3">
        <f t="shared" si="53"/>
        <v>110271.53155230546</v>
      </c>
      <c r="Q122" s="3">
        <v>2055</v>
      </c>
      <c r="U122" s="13">
        <f t="shared" si="55"/>
        <v>19.544518267230181</v>
      </c>
      <c r="V122" s="12">
        <f t="shared" si="56"/>
        <v>4.2679764495345553</v>
      </c>
      <c r="W122" s="3">
        <v>15000</v>
      </c>
    </row>
    <row r="123" spans="1:23">
      <c r="I123" s="3"/>
    </row>
    <row r="130" spans="1:36">
      <c r="B130" t="str">
        <f t="shared" ref="B130:B154" si="57">B1</f>
        <v>(000s)</v>
      </c>
      <c r="X130" s="87" t="s">
        <v>980</v>
      </c>
      <c r="Y130" s="87" t="s">
        <v>980</v>
      </c>
      <c r="Z130" s="87" t="s">
        <v>980</v>
      </c>
      <c r="AA130" s="87" t="s">
        <v>980</v>
      </c>
      <c r="AB130" s="87" t="s">
        <v>980</v>
      </c>
      <c r="AD130" s="14" t="s">
        <v>812</v>
      </c>
      <c r="AE130" s="14" t="s">
        <v>812</v>
      </c>
      <c r="AF130" s="14" t="s">
        <v>812</v>
      </c>
      <c r="AG130" s="14" t="s">
        <v>812</v>
      </c>
      <c r="AH130" s="14" t="s">
        <v>812</v>
      </c>
      <c r="AJ130" s="248" t="s">
        <v>952</v>
      </c>
    </row>
    <row r="131" spans="1:36">
      <c r="A131" t="str">
        <f>A2</f>
        <v>BEV</v>
      </c>
      <c r="B131" t="str">
        <f t="shared" si="57"/>
        <v>2017US$000</v>
      </c>
      <c r="C131" t="str">
        <f t="shared" ref="C131:J140" si="58">C2</f>
        <v>Kroner</v>
      </c>
      <c r="D131" t="str">
        <f t="shared" si="58"/>
        <v>%</v>
      </c>
      <c r="E131" t="str">
        <f t="shared" si="58"/>
        <v>Kroner</v>
      </c>
      <c r="F131" t="str">
        <f t="shared" si="58"/>
        <v>Kroner</v>
      </c>
      <c r="G131" t="str">
        <f t="shared" si="58"/>
        <v>Kroner</v>
      </c>
      <c r="H131" t="str">
        <f t="shared" si="58"/>
        <v>Kroner</v>
      </c>
      <c r="I131" t="str">
        <f t="shared" si="58"/>
        <v>Kroner</v>
      </c>
      <c r="J131" t="str">
        <f t="shared" si="58"/>
        <v>Kroner</v>
      </c>
      <c r="X131" s="87" t="s">
        <v>978</v>
      </c>
      <c r="Y131" s="87" t="s">
        <v>979</v>
      </c>
      <c r="Z131" s="87" t="s">
        <v>916</v>
      </c>
      <c r="AA131" s="87" t="s">
        <v>981</v>
      </c>
      <c r="AB131" s="87" t="s">
        <v>983</v>
      </c>
      <c r="AD131" s="14" t="s">
        <v>725</v>
      </c>
      <c r="AE131" s="14" t="s">
        <v>979</v>
      </c>
      <c r="AF131" s="14" t="s">
        <v>916</v>
      </c>
      <c r="AG131" s="14" t="s">
        <v>985</v>
      </c>
      <c r="AH131" s="14" t="s">
        <v>983</v>
      </c>
      <c r="AJ131" s="248" t="s">
        <v>1204</v>
      </c>
    </row>
    <row r="132" spans="1:36">
      <c r="B132" t="str">
        <f t="shared" si="57"/>
        <v>BEV base</v>
      </c>
      <c r="C132" t="str">
        <f t="shared" si="58"/>
        <v>BEV base</v>
      </c>
      <c r="D132" t="str">
        <f t="shared" si="58"/>
        <v xml:space="preserve">VAT% </v>
      </c>
      <c r="E132" t="str">
        <f t="shared" si="58"/>
        <v>VAT</v>
      </c>
      <c r="F132" t="str">
        <f t="shared" si="58"/>
        <v>purchase tax</v>
      </c>
      <c r="G132" t="str">
        <f t="shared" si="58"/>
        <v>Owner tax</v>
      </c>
      <c r="H132" t="str">
        <f t="shared" si="58"/>
        <v>BEV price</v>
      </c>
      <c r="I132" t="str">
        <f t="shared" si="58"/>
        <v>home charging</v>
      </c>
      <c r="J132" t="str">
        <f t="shared" si="58"/>
        <v>BEV price</v>
      </c>
      <c r="W132">
        <v>2012</v>
      </c>
      <c r="X132" s="3">
        <f t="shared" ref="X132:X149" si="59">B79</f>
        <v>193973.80251824815</v>
      </c>
      <c r="Y132" s="3">
        <f t="shared" ref="Y132:Y150" si="60">C79</f>
        <v>38794.760503649632</v>
      </c>
      <c r="Z132" s="3">
        <f t="shared" ref="Z132:Z150" si="61">D79</f>
        <v>25216.594327372259</v>
      </c>
      <c r="AA132" s="3">
        <f t="shared" ref="AA132:AA150" si="62">E79</f>
        <v>28229.843968327896</v>
      </c>
      <c r="AB132" s="3">
        <f t="shared" ref="AB132:AB150" si="63">F79</f>
        <v>35781.510862693991</v>
      </c>
      <c r="AC132" s="3"/>
      <c r="AD132" s="3">
        <v>215488.03912435955</v>
      </c>
      <c r="AE132" s="3">
        <v>43097.607824871913</v>
      </c>
      <c r="AF132" s="3">
        <v>28013.445086166743</v>
      </c>
      <c r="AG132" s="3">
        <v>13256.116532026315</v>
      </c>
      <c r="AH132" s="3">
        <v>84367.169443064966</v>
      </c>
      <c r="AJ132" s="13">
        <f>AB132/AH132</f>
        <v>0.42411652659321564</v>
      </c>
    </row>
    <row r="133" spans="1:36">
      <c r="A133">
        <f t="shared" ref="A133:A154" si="64">A4</f>
        <v>2009</v>
      </c>
      <c r="B133" s="12">
        <f t="shared" si="57"/>
        <v>29.592572886961211</v>
      </c>
      <c r="C133" s="3">
        <f t="shared" si="58"/>
        <v>186087.86386226478</v>
      </c>
      <c r="D133" s="3">
        <f t="shared" si="58"/>
        <v>0</v>
      </c>
      <c r="E133" s="3">
        <f t="shared" si="58"/>
        <v>0</v>
      </c>
      <c r="F133" s="3">
        <f t="shared" si="58"/>
        <v>0</v>
      </c>
      <c r="G133" s="3">
        <f t="shared" si="58"/>
        <v>3721.7572772452959</v>
      </c>
      <c r="H133" s="3">
        <f t="shared" si="58"/>
        <v>189809.62113951007</v>
      </c>
      <c r="I133" s="3">
        <f t="shared" si="58"/>
        <v>12666.739444764085</v>
      </c>
      <c r="J133" s="3">
        <f t="shared" si="58"/>
        <v>202476.36058427417</v>
      </c>
      <c r="W133">
        <v>2013</v>
      </c>
      <c r="X133" s="3">
        <f t="shared" si="59"/>
        <v>197799.65420324559</v>
      </c>
      <c r="Y133" s="3">
        <f t="shared" si="60"/>
        <v>39559.930840649118</v>
      </c>
      <c r="Z133" s="3">
        <f t="shared" si="61"/>
        <v>25713.955046421928</v>
      </c>
      <c r="AA133" s="3">
        <f t="shared" si="62"/>
        <v>28453.655508552511</v>
      </c>
      <c r="AB133" s="3">
        <f t="shared" si="63"/>
        <v>36820.230378518536</v>
      </c>
      <c r="AC133" s="3"/>
      <c r="AD133" s="3">
        <v>217371.61670038628</v>
      </c>
      <c r="AE133" s="3">
        <v>43474.323340077259</v>
      </c>
      <c r="AF133" s="3">
        <v>28258.310171050216</v>
      </c>
      <c r="AG133" s="3">
        <v>13488.817157978336</v>
      </c>
      <c r="AH133" s="3">
        <v>85221.450669105805</v>
      </c>
      <c r="AJ133" s="13">
        <f t="shared" ref="AJ133:AJ149" si="65">AB133/AH133</f>
        <v>0.43205355094790099</v>
      </c>
    </row>
    <row r="134" spans="1:36">
      <c r="A134">
        <f t="shared" si="64"/>
        <v>2010</v>
      </c>
      <c r="B134" s="12">
        <f t="shared" si="57"/>
        <v>30</v>
      </c>
      <c r="C134" s="3">
        <f t="shared" si="58"/>
        <v>181390.92348727476</v>
      </c>
      <c r="D134" s="3">
        <f t="shared" si="58"/>
        <v>0</v>
      </c>
      <c r="E134" s="3">
        <f t="shared" si="58"/>
        <v>0</v>
      </c>
      <c r="F134" s="3">
        <f t="shared" si="58"/>
        <v>0</v>
      </c>
      <c r="G134" s="3">
        <f t="shared" si="58"/>
        <v>3627.8184697454953</v>
      </c>
      <c r="H134" s="3">
        <f t="shared" si="58"/>
        <v>185018.74195702025</v>
      </c>
      <c r="I134" s="3">
        <f t="shared" si="58"/>
        <v>11556.029672513114</v>
      </c>
      <c r="J134" s="3">
        <f t="shared" si="58"/>
        <v>196574.77162953335</v>
      </c>
      <c r="W134">
        <v>2014</v>
      </c>
      <c r="X134" s="3">
        <f t="shared" si="59"/>
        <v>227303.63173402447</v>
      </c>
      <c r="Y134" s="3">
        <f t="shared" si="60"/>
        <v>45460.726346804891</v>
      </c>
      <c r="Z134" s="3">
        <f t="shared" si="61"/>
        <v>29549.472125423181</v>
      </c>
      <c r="AA134" s="3">
        <f t="shared" si="62"/>
        <v>30308.841818790541</v>
      </c>
      <c r="AB134" s="3">
        <f t="shared" si="63"/>
        <v>44701.356653437535</v>
      </c>
      <c r="AC134" s="3"/>
      <c r="AD134" s="3">
        <v>232984.6960340486</v>
      </c>
      <c r="AE134" s="3">
        <v>46596.939206809722</v>
      </c>
      <c r="AF134" s="3">
        <v>30288.010484426319</v>
      </c>
      <c r="AG134" s="3">
        <v>13409.381501874115</v>
      </c>
      <c r="AH134" s="3">
        <v>90294.331193110163</v>
      </c>
      <c r="AJ134" s="13">
        <f t="shared" si="65"/>
        <v>0.4950627139353399</v>
      </c>
    </row>
    <row r="135" spans="1:36">
      <c r="A135">
        <f t="shared" si="64"/>
        <v>2011</v>
      </c>
      <c r="B135" s="12">
        <f t="shared" si="57"/>
        <v>30</v>
      </c>
      <c r="C135" s="3">
        <f t="shared" si="58"/>
        <v>168248.91357211216</v>
      </c>
      <c r="D135" s="3">
        <f t="shared" si="58"/>
        <v>0</v>
      </c>
      <c r="E135" s="3">
        <f t="shared" si="58"/>
        <v>0</v>
      </c>
      <c r="F135" s="3">
        <f t="shared" si="58"/>
        <v>0</v>
      </c>
      <c r="G135" s="3">
        <f t="shared" si="58"/>
        <v>3364.9782714422431</v>
      </c>
      <c r="H135" s="3">
        <f t="shared" si="58"/>
        <v>171613.89184355439</v>
      </c>
      <c r="I135" s="3">
        <f t="shared" si="58"/>
        <v>11366.45745328351</v>
      </c>
      <c r="J135" s="3">
        <f t="shared" si="58"/>
        <v>182980.3492968379</v>
      </c>
      <c r="W135">
        <v>2015</v>
      </c>
      <c r="X135" s="3">
        <f t="shared" si="59"/>
        <v>259622.43871298182</v>
      </c>
      <c r="Y135" s="3">
        <f t="shared" si="60"/>
        <v>51924.487742596364</v>
      </c>
      <c r="Z135" s="3">
        <f t="shared" si="61"/>
        <v>33750.917032687641</v>
      </c>
      <c r="AA135" s="3">
        <f t="shared" si="62"/>
        <v>38100.726786867926</v>
      </c>
      <c r="AB135" s="3">
        <f t="shared" si="63"/>
        <v>47574.677988416071</v>
      </c>
      <c r="AC135" s="3"/>
      <c r="AD135" s="3">
        <v>298560.49157220888</v>
      </c>
      <c r="AE135" s="3">
        <v>59712.098314441777</v>
      </c>
      <c r="AF135" s="3">
        <v>38812.863904387159</v>
      </c>
      <c r="AG135" s="3">
        <v>12725.052401102495</v>
      </c>
      <c r="AH135" s="3">
        <v>111250.01461993143</v>
      </c>
      <c r="AJ135" s="13">
        <f t="shared" si="65"/>
        <v>0.4276374987540239</v>
      </c>
    </row>
    <row r="136" spans="1:36">
      <c r="A136">
        <f t="shared" si="64"/>
        <v>2012</v>
      </c>
      <c r="B136" s="12">
        <f t="shared" si="57"/>
        <v>30.842462459493706</v>
      </c>
      <c r="C136" s="3">
        <f t="shared" si="58"/>
        <v>179481.00883507889</v>
      </c>
      <c r="D136" s="3">
        <f t="shared" si="58"/>
        <v>0</v>
      </c>
      <c r="E136" s="3">
        <f t="shared" si="58"/>
        <v>0</v>
      </c>
      <c r="F136" s="3">
        <f t="shared" si="58"/>
        <v>0</v>
      </c>
      <c r="G136" s="3">
        <f t="shared" si="58"/>
        <v>3589.6201767015777</v>
      </c>
      <c r="H136" s="3">
        <f t="shared" si="58"/>
        <v>183070.62901178046</v>
      </c>
      <c r="I136" s="3">
        <f t="shared" si="58"/>
        <v>10903.173506467685</v>
      </c>
      <c r="J136" s="3">
        <f t="shared" si="58"/>
        <v>193973.80251824815</v>
      </c>
      <c r="W136">
        <v>2016</v>
      </c>
      <c r="X136" s="3">
        <f t="shared" si="59"/>
        <v>270386.0631059283</v>
      </c>
      <c r="Y136" s="3">
        <f t="shared" si="60"/>
        <v>54077.212621185659</v>
      </c>
      <c r="Z136" s="3">
        <f t="shared" si="61"/>
        <v>35150.188203770682</v>
      </c>
      <c r="AA136" s="3">
        <f t="shared" si="62"/>
        <v>39573.170358295218</v>
      </c>
      <c r="AB136" s="3">
        <f t="shared" si="63"/>
        <v>49654.230466661116</v>
      </c>
      <c r="AC136" s="3"/>
      <c r="AD136" s="3">
        <v>310952.4428108345</v>
      </c>
      <c r="AE136" s="3">
        <v>62190.488562166902</v>
      </c>
      <c r="AF136" s="3">
        <v>40423.817565408484</v>
      </c>
      <c r="AG136" s="3">
        <v>12182.193940068564</v>
      </c>
      <c r="AH136" s="3">
        <v>114796.50006764395</v>
      </c>
      <c r="AJ136" s="13">
        <f t="shared" si="65"/>
        <v>0.43254132693420366</v>
      </c>
    </row>
    <row r="137" spans="1:36">
      <c r="A137">
        <f t="shared" si="64"/>
        <v>2013</v>
      </c>
      <c r="B137" s="12">
        <f t="shared" si="57"/>
        <v>31.143929334439989</v>
      </c>
      <c r="C137" s="3">
        <f t="shared" si="58"/>
        <v>182819.50499135308</v>
      </c>
      <c r="D137" s="3">
        <f t="shared" si="58"/>
        <v>0</v>
      </c>
      <c r="E137" s="3">
        <f t="shared" si="58"/>
        <v>0</v>
      </c>
      <c r="F137" s="3">
        <f t="shared" si="58"/>
        <v>0</v>
      </c>
      <c r="G137" s="3">
        <f t="shared" si="58"/>
        <v>3656.3900998270619</v>
      </c>
      <c r="H137" s="3">
        <f t="shared" si="58"/>
        <v>186475.89509118014</v>
      </c>
      <c r="I137" s="3">
        <f t="shared" si="58"/>
        <v>11323.759112065454</v>
      </c>
      <c r="J137" s="3">
        <f t="shared" si="58"/>
        <v>197799.65420324559</v>
      </c>
      <c r="W137">
        <v>2017</v>
      </c>
      <c r="X137" s="3">
        <f t="shared" si="59"/>
        <v>266430.38078928791</v>
      </c>
      <c r="Y137" s="3">
        <f t="shared" si="60"/>
        <v>53286.076157857584</v>
      </c>
      <c r="Z137" s="3">
        <f t="shared" si="61"/>
        <v>34635.949502607429</v>
      </c>
      <c r="AA137" s="3">
        <f t="shared" si="62"/>
        <v>38982.106148401042</v>
      </c>
      <c r="AB137" s="3">
        <f t="shared" si="63"/>
        <v>48939.919512063963</v>
      </c>
      <c r="AC137" s="3"/>
      <c r="AD137" s="3">
        <v>305978.10015347507</v>
      </c>
      <c r="AE137" s="3">
        <v>61195.620030695012</v>
      </c>
      <c r="AF137" s="3">
        <v>39777.153019951758</v>
      </c>
      <c r="AG137" s="3">
        <v>13067.134517788765</v>
      </c>
      <c r="AH137" s="3">
        <v>114039.90756843553</v>
      </c>
      <c r="AJ137" s="13">
        <f t="shared" si="65"/>
        <v>0.4291473095301751</v>
      </c>
    </row>
    <row r="138" spans="1:36">
      <c r="A138">
        <f t="shared" si="64"/>
        <v>2014</v>
      </c>
      <c r="B138" s="12">
        <f t="shared" si="57"/>
        <v>33.541755956678692</v>
      </c>
      <c r="C138" s="3">
        <f t="shared" si="58"/>
        <v>211037.42414299279</v>
      </c>
      <c r="D138" s="3">
        <f t="shared" si="58"/>
        <v>0</v>
      </c>
      <c r="E138" s="3">
        <f t="shared" si="58"/>
        <v>0</v>
      </c>
      <c r="F138" s="3">
        <f t="shared" si="58"/>
        <v>0</v>
      </c>
      <c r="G138" s="3">
        <f t="shared" si="58"/>
        <v>4220.7484828598563</v>
      </c>
      <c r="H138" s="3">
        <f t="shared" si="58"/>
        <v>215258.17262585266</v>
      </c>
      <c r="I138" s="3">
        <f t="shared" si="58"/>
        <v>12045.459108171797</v>
      </c>
      <c r="J138" s="3">
        <f t="shared" si="58"/>
        <v>227303.63173402447</v>
      </c>
      <c r="W138">
        <v>2018</v>
      </c>
      <c r="X138" s="3">
        <f t="shared" si="59"/>
        <v>263278.60176818678</v>
      </c>
      <c r="Y138" s="3">
        <f t="shared" si="60"/>
        <v>52655.720353637356</v>
      </c>
      <c r="Z138" s="3">
        <f t="shared" si="61"/>
        <v>34226.21822986428</v>
      </c>
      <c r="AA138" s="3">
        <f t="shared" si="62"/>
        <v>37825</v>
      </c>
      <c r="AB138" s="3">
        <f t="shared" si="63"/>
        <v>49056.938583501644</v>
      </c>
      <c r="AC138" s="3"/>
      <c r="AD138" s="3">
        <v>296240</v>
      </c>
      <c r="AE138" s="3">
        <v>59248</v>
      </c>
      <c r="AF138" s="3">
        <v>38511.200000000004</v>
      </c>
      <c r="AG138" s="3">
        <v>16368.533600913108</v>
      </c>
      <c r="AH138" s="3">
        <v>114127.73360091312</v>
      </c>
      <c r="AJ138" s="13">
        <f t="shared" si="65"/>
        <v>0.42984239707279304</v>
      </c>
    </row>
    <row r="139" spans="1:36">
      <c r="A139">
        <f t="shared" si="64"/>
        <v>2015</v>
      </c>
      <c r="B139" s="12">
        <f t="shared" si="57"/>
        <v>30</v>
      </c>
      <c r="C139" s="3">
        <f t="shared" si="58"/>
        <v>241879.95536500859</v>
      </c>
      <c r="D139" s="3">
        <f t="shared" si="58"/>
        <v>0</v>
      </c>
      <c r="E139" s="3">
        <f t="shared" si="58"/>
        <v>0</v>
      </c>
      <c r="F139" s="3">
        <f t="shared" si="58"/>
        <v>0</v>
      </c>
      <c r="G139" s="3">
        <f t="shared" si="58"/>
        <v>4837.5991073001715</v>
      </c>
      <c r="H139" s="3">
        <f t="shared" si="58"/>
        <v>246717.55447230875</v>
      </c>
      <c r="I139" s="3">
        <f t="shared" si="58"/>
        <v>12904.884240673055</v>
      </c>
      <c r="J139" s="3">
        <f t="shared" si="58"/>
        <v>259622.43871298182</v>
      </c>
      <c r="W139">
        <v>2019</v>
      </c>
      <c r="X139" s="3">
        <f t="shared" si="59"/>
        <v>268018.69029987656</v>
      </c>
      <c r="Y139" s="3">
        <f t="shared" si="60"/>
        <v>53603.738059975309</v>
      </c>
      <c r="Z139" s="3">
        <f t="shared" si="61"/>
        <v>34842.429738983956</v>
      </c>
      <c r="AA139" s="3">
        <f t="shared" si="62"/>
        <v>37825</v>
      </c>
      <c r="AB139" s="3">
        <f t="shared" si="63"/>
        <v>50621.167798959272</v>
      </c>
      <c r="AC139" s="3"/>
      <c r="AD139" s="3">
        <v>296240</v>
      </c>
      <c r="AE139" s="3">
        <v>59248</v>
      </c>
      <c r="AF139" s="3">
        <v>38511.200000000004</v>
      </c>
      <c r="AG139" s="3">
        <v>16206.468911795155</v>
      </c>
      <c r="AH139" s="3">
        <v>113965.66891179516</v>
      </c>
      <c r="AJ139" s="13">
        <f t="shared" si="65"/>
        <v>0.44417909605863864</v>
      </c>
    </row>
    <row r="140" spans="1:36">
      <c r="A140">
        <f t="shared" si="64"/>
        <v>2016</v>
      </c>
      <c r="B140" s="12">
        <f t="shared" si="57"/>
        <v>30</v>
      </c>
      <c r="C140" s="3">
        <f t="shared" si="58"/>
        <v>251919.34335201283</v>
      </c>
      <c r="D140" s="3">
        <f t="shared" si="58"/>
        <v>0</v>
      </c>
      <c r="E140" s="3">
        <f t="shared" si="58"/>
        <v>0</v>
      </c>
      <c r="F140" s="3">
        <f t="shared" si="58"/>
        <v>0</v>
      </c>
      <c r="G140" s="3">
        <f t="shared" si="58"/>
        <v>5038.3868670402571</v>
      </c>
      <c r="H140" s="3">
        <f t="shared" si="58"/>
        <v>256957.73021905308</v>
      </c>
      <c r="I140" s="3">
        <f t="shared" si="58"/>
        <v>13428.332886875214</v>
      </c>
      <c r="J140" s="3">
        <f t="shared" si="58"/>
        <v>270386.0631059283</v>
      </c>
      <c r="W140">
        <v>2020</v>
      </c>
      <c r="X140" s="3">
        <f t="shared" si="59"/>
        <v>266492.02831067803</v>
      </c>
      <c r="Y140" s="3">
        <f t="shared" si="60"/>
        <v>53298.405662135607</v>
      </c>
      <c r="Z140" s="3">
        <f t="shared" si="61"/>
        <v>34643.963680388144</v>
      </c>
      <c r="AA140" s="3">
        <f t="shared" si="62"/>
        <v>34825</v>
      </c>
      <c r="AB140" s="3">
        <f t="shared" si="63"/>
        <v>53117.369342523743</v>
      </c>
      <c r="AC140" s="3"/>
      <c r="AD140" s="3">
        <v>296240</v>
      </c>
      <c r="AE140" s="3">
        <v>59248</v>
      </c>
      <c r="AF140" s="3">
        <v>38511.200000000004</v>
      </c>
      <c r="AG140" s="3">
        <v>16046.008823559559</v>
      </c>
      <c r="AH140" s="3">
        <v>113805.20882355957</v>
      </c>
      <c r="AJ140" s="13">
        <f t="shared" si="65"/>
        <v>0.46673935131453809</v>
      </c>
    </row>
    <row r="141" spans="1:36">
      <c r="A141">
        <f t="shared" si="64"/>
        <v>2017</v>
      </c>
      <c r="B141" s="12">
        <f t="shared" si="57"/>
        <v>30</v>
      </c>
      <c r="C141" s="3">
        <f t="shared" ref="C141:J150" si="66">C12</f>
        <v>247889.36010273438</v>
      </c>
      <c r="D141" s="3">
        <f t="shared" si="66"/>
        <v>0</v>
      </c>
      <c r="E141" s="3">
        <f t="shared" si="66"/>
        <v>0</v>
      </c>
      <c r="F141" s="3">
        <f t="shared" si="66"/>
        <v>0</v>
      </c>
      <c r="G141" s="3">
        <f t="shared" si="66"/>
        <v>4957.7872020546874</v>
      </c>
      <c r="H141" s="3">
        <f t="shared" si="66"/>
        <v>252847.14730478908</v>
      </c>
      <c r="I141" s="3">
        <f t="shared" si="66"/>
        <v>13583.233484498851</v>
      </c>
      <c r="J141" s="3">
        <f t="shared" si="66"/>
        <v>266430.38078928791</v>
      </c>
      <c r="W141">
        <v>2021</v>
      </c>
      <c r="X141" s="3">
        <f t="shared" si="59"/>
        <v>320547.22066940309</v>
      </c>
      <c r="Y141" s="3">
        <f t="shared" si="60"/>
        <v>64109.444133880621</v>
      </c>
      <c r="Z141" s="3">
        <f t="shared" si="61"/>
        <v>41671.138687022401</v>
      </c>
      <c r="AA141" s="3">
        <f t="shared" si="62"/>
        <v>31825</v>
      </c>
      <c r="AB141" s="3">
        <f t="shared" si="63"/>
        <v>73955.582820903015</v>
      </c>
      <c r="AC141" s="3"/>
      <c r="AD141" s="3">
        <v>296240</v>
      </c>
      <c r="AE141" s="3">
        <v>59248</v>
      </c>
      <c r="AF141" s="3">
        <v>38511.200000000004</v>
      </c>
      <c r="AG141" s="3">
        <v>15887.13744906887</v>
      </c>
      <c r="AH141" s="3">
        <v>113646.33744906889</v>
      </c>
      <c r="AJ141" s="13">
        <f t="shared" si="65"/>
        <v>0.65075201261146265</v>
      </c>
    </row>
    <row r="142" spans="1:36">
      <c r="A142">
        <f t="shared" si="64"/>
        <v>2018</v>
      </c>
      <c r="B142" s="12">
        <f t="shared" si="57"/>
        <v>30.592100851060948</v>
      </c>
      <c r="C142" s="3">
        <f t="shared" si="66"/>
        <v>244736.8068084876</v>
      </c>
      <c r="D142" s="3">
        <f t="shared" si="66"/>
        <v>0</v>
      </c>
      <c r="E142" s="3">
        <f t="shared" si="66"/>
        <v>0</v>
      </c>
      <c r="F142" s="3">
        <f t="shared" si="66"/>
        <v>0</v>
      </c>
      <c r="G142" s="3">
        <f t="shared" si="66"/>
        <v>4894.7361361697522</v>
      </c>
      <c r="H142" s="3">
        <f t="shared" si="66"/>
        <v>249631.54294465735</v>
      </c>
      <c r="I142" s="3">
        <f t="shared" si="66"/>
        <v>13647.058823529413</v>
      </c>
      <c r="J142" s="3">
        <f t="shared" si="66"/>
        <v>263278.60176818678</v>
      </c>
      <c r="W142">
        <v>2022</v>
      </c>
      <c r="X142" s="3">
        <f t="shared" si="59"/>
        <v>324974.39799333876</v>
      </c>
      <c r="Y142" s="3">
        <f t="shared" si="60"/>
        <v>64994.879598667751</v>
      </c>
      <c r="Z142" s="3">
        <f t="shared" si="61"/>
        <v>42246.671739134043</v>
      </c>
      <c r="AA142" s="3">
        <f t="shared" si="62"/>
        <v>28825</v>
      </c>
      <c r="AB142" s="3">
        <f t="shared" si="63"/>
        <v>78416.551337801793</v>
      </c>
      <c r="AC142" s="3"/>
      <c r="AD142" s="3">
        <v>296240</v>
      </c>
      <c r="AE142" s="3">
        <v>59248</v>
      </c>
      <c r="AF142" s="3">
        <v>38511.200000000004</v>
      </c>
      <c r="AG142" s="3">
        <v>15729.839058484033</v>
      </c>
      <c r="AH142" s="3">
        <v>113489.03905848405</v>
      </c>
      <c r="AJ142" s="13">
        <f t="shared" si="65"/>
        <v>0.69096145309144408</v>
      </c>
    </row>
    <row r="143" spans="1:36">
      <c r="A143">
        <f t="shared" si="64"/>
        <v>2019</v>
      </c>
      <c r="B143" s="12">
        <f t="shared" si="57"/>
        <v>31.172994053473918</v>
      </c>
      <c r="C143" s="3">
        <f t="shared" si="66"/>
        <v>249383.95242779134</v>
      </c>
      <c r="D143" s="3">
        <f t="shared" si="66"/>
        <v>0</v>
      </c>
      <c r="E143" s="3">
        <f t="shared" si="66"/>
        <v>0</v>
      </c>
      <c r="F143" s="3">
        <f t="shared" si="66"/>
        <v>0</v>
      </c>
      <c r="G143" s="3">
        <f t="shared" si="66"/>
        <v>4987.6790485558267</v>
      </c>
      <c r="H143" s="3">
        <f t="shared" si="66"/>
        <v>254371.63147634716</v>
      </c>
      <c r="I143" s="3">
        <f t="shared" si="66"/>
        <v>13647.058823529413</v>
      </c>
      <c r="J143" s="3">
        <f t="shared" si="66"/>
        <v>268018.69029987656</v>
      </c>
      <c r="W143">
        <v>2023</v>
      </c>
      <c r="X143" s="3">
        <f t="shared" si="59"/>
        <v>322120.36880288919</v>
      </c>
      <c r="Y143" s="3">
        <f t="shared" si="60"/>
        <v>64424.073760577841</v>
      </c>
      <c r="Z143" s="3">
        <f t="shared" si="61"/>
        <v>41875.647944375596</v>
      </c>
      <c r="AA143" s="3">
        <f t="shared" si="62"/>
        <v>25825</v>
      </c>
      <c r="AB143" s="3">
        <f t="shared" si="63"/>
        <v>80474.721704953437</v>
      </c>
      <c r="AC143" s="3"/>
      <c r="AD143" s="3">
        <v>296240</v>
      </c>
      <c r="AE143" s="3">
        <v>59248</v>
      </c>
      <c r="AF143" s="3">
        <v>38511.200000000004</v>
      </c>
      <c r="AG143" s="3">
        <v>15574.098077706962</v>
      </c>
      <c r="AH143" s="3">
        <v>113333.29807770698</v>
      </c>
      <c r="AJ143" s="13">
        <f t="shared" si="65"/>
        <v>0.71007129475554431</v>
      </c>
    </row>
    <row r="144" spans="1:36">
      <c r="A144">
        <f t="shared" si="64"/>
        <v>2020</v>
      </c>
      <c r="B144" s="12">
        <f t="shared" si="57"/>
        <v>30.985903123425071</v>
      </c>
      <c r="C144" s="3">
        <f t="shared" si="66"/>
        <v>247887.22498740058</v>
      </c>
      <c r="D144" s="3">
        <f t="shared" si="66"/>
        <v>0</v>
      </c>
      <c r="E144" s="3">
        <f t="shared" si="66"/>
        <v>0</v>
      </c>
      <c r="F144" s="3">
        <f t="shared" si="66"/>
        <v>0</v>
      </c>
      <c r="G144" s="3">
        <f t="shared" si="66"/>
        <v>4957.7444997480115</v>
      </c>
      <c r="H144" s="3">
        <f t="shared" si="66"/>
        <v>252844.9694871486</v>
      </c>
      <c r="I144" s="3">
        <f t="shared" si="66"/>
        <v>13647.058823529413</v>
      </c>
      <c r="J144" s="3">
        <f t="shared" si="66"/>
        <v>266492.02831067803</v>
      </c>
      <c r="W144">
        <v>2024</v>
      </c>
      <c r="X144" s="3">
        <f t="shared" si="59"/>
        <v>311087.5657697721</v>
      </c>
      <c r="Y144" s="3">
        <f t="shared" si="60"/>
        <v>62217.513153954424</v>
      </c>
      <c r="Z144" s="3">
        <f t="shared" si="61"/>
        <v>40441.383550070372</v>
      </c>
      <c r="AA144" s="3">
        <f t="shared" si="62"/>
        <v>25825</v>
      </c>
      <c r="AB144" s="3">
        <f t="shared" si="63"/>
        <v>76833.896704024795</v>
      </c>
      <c r="AC144" s="3"/>
      <c r="AD144" s="3">
        <v>296240</v>
      </c>
      <c r="AE144" s="3">
        <v>59248</v>
      </c>
      <c r="AF144" s="3">
        <v>38511.200000000004</v>
      </c>
      <c r="AG144" s="3">
        <v>15419.899086838577</v>
      </c>
      <c r="AH144" s="3">
        <v>113179.09908683859</v>
      </c>
      <c r="AJ144" s="13">
        <f t="shared" si="65"/>
        <v>0.67887001508178368</v>
      </c>
    </row>
    <row r="145" spans="1:36">
      <c r="A145">
        <f t="shared" si="64"/>
        <v>2021</v>
      </c>
      <c r="B145" s="12">
        <f t="shared" si="57"/>
        <v>30.206708843097807</v>
      </c>
      <c r="C145" s="3">
        <f t="shared" si="66"/>
        <v>241653.67074478246</v>
      </c>
      <c r="D145" s="3">
        <f t="shared" si="66"/>
        <v>25</v>
      </c>
      <c r="E145" s="3">
        <f t="shared" si="66"/>
        <v>60413.417686195615</v>
      </c>
      <c r="F145" s="3">
        <f t="shared" si="66"/>
        <v>0</v>
      </c>
      <c r="G145" s="3">
        <f t="shared" si="66"/>
        <v>4833.073414895649</v>
      </c>
      <c r="H145" s="3">
        <f t="shared" si="66"/>
        <v>306900.16184587369</v>
      </c>
      <c r="I145" s="3">
        <f t="shared" si="66"/>
        <v>13647.058823529413</v>
      </c>
      <c r="J145" s="3">
        <f t="shared" si="66"/>
        <v>320547.22066940309</v>
      </c>
      <c r="W145">
        <v>2025</v>
      </c>
      <c r="X145" s="3">
        <f t="shared" si="59"/>
        <v>301615.7572455224</v>
      </c>
      <c r="Y145" s="3">
        <f t="shared" si="60"/>
        <v>60323.15144910448</v>
      </c>
      <c r="Z145" s="3">
        <f t="shared" si="61"/>
        <v>39210.048441917912</v>
      </c>
      <c r="AA145" s="3">
        <f t="shared" si="62"/>
        <v>25825</v>
      </c>
      <c r="AB145" s="3">
        <f t="shared" si="63"/>
        <v>73708.199891022392</v>
      </c>
      <c r="AC145" s="3"/>
      <c r="AD145" s="3">
        <v>296240</v>
      </c>
      <c r="AE145" s="3">
        <v>59248</v>
      </c>
      <c r="AF145" s="3">
        <v>38511.200000000004</v>
      </c>
      <c r="AG145" s="3">
        <v>15267.226818652054</v>
      </c>
      <c r="AH145" s="3">
        <v>113026.42681865206</v>
      </c>
      <c r="AJ145" s="13">
        <f t="shared" si="65"/>
        <v>0.65213244340887877</v>
      </c>
    </row>
    <row r="146" spans="1:36">
      <c r="A146">
        <f t="shared" si="64"/>
        <v>2022</v>
      </c>
      <c r="B146" s="12">
        <f t="shared" si="57"/>
        <v>30.642454642697771</v>
      </c>
      <c r="C146" s="3">
        <f t="shared" si="66"/>
        <v>245139.63714158218</v>
      </c>
      <c r="D146" s="3">
        <f t="shared" si="66"/>
        <v>25</v>
      </c>
      <c r="E146" s="3">
        <f t="shared" si="66"/>
        <v>61284.909285395544</v>
      </c>
      <c r="F146" s="3">
        <f t="shared" si="66"/>
        <v>0</v>
      </c>
      <c r="G146" s="3">
        <f t="shared" si="66"/>
        <v>4902.7927428316434</v>
      </c>
      <c r="H146" s="3">
        <f t="shared" si="66"/>
        <v>311327.33916980936</v>
      </c>
      <c r="I146" s="3">
        <f t="shared" si="66"/>
        <v>13647.058823529413</v>
      </c>
      <c r="J146" s="3">
        <f t="shared" si="66"/>
        <v>324974.39799333876</v>
      </c>
      <c r="W146">
        <v>2026</v>
      </c>
      <c r="X146" s="3">
        <f t="shared" si="59"/>
        <v>296219.72684449912</v>
      </c>
      <c r="Y146" s="3">
        <f t="shared" si="60"/>
        <v>59243.945368899826</v>
      </c>
      <c r="Z146" s="3">
        <f t="shared" si="61"/>
        <v>38508.564489784891</v>
      </c>
      <c r="AA146" s="3">
        <f t="shared" si="62"/>
        <v>25825</v>
      </c>
      <c r="AB146" s="3">
        <f t="shared" si="63"/>
        <v>71927.509858684716</v>
      </c>
      <c r="AC146" s="3"/>
      <c r="AD146" s="3">
        <v>296240</v>
      </c>
      <c r="AE146" s="3">
        <v>59248</v>
      </c>
      <c r="AF146" s="3">
        <v>38511.200000000004</v>
      </c>
      <c r="AG146" s="3">
        <v>15116.066157081244</v>
      </c>
      <c r="AH146" s="3">
        <v>112875.26615708126</v>
      </c>
      <c r="AJ146" s="13">
        <f t="shared" si="65"/>
        <v>0.63723003548525692</v>
      </c>
    </row>
    <row r="147" spans="1:36">
      <c r="A147">
        <f t="shared" si="64"/>
        <v>2023</v>
      </c>
      <c r="B147" s="12">
        <f t="shared" si="57"/>
        <v>30.361546257811007</v>
      </c>
      <c r="C147" s="3">
        <f t="shared" si="66"/>
        <v>242892.37006248804</v>
      </c>
      <c r="D147" s="3">
        <f t="shared" si="66"/>
        <v>25</v>
      </c>
      <c r="E147" s="3">
        <f t="shared" si="66"/>
        <v>60723.092515622011</v>
      </c>
      <c r="F147" s="3">
        <f t="shared" si="66"/>
        <v>0</v>
      </c>
      <c r="G147" s="3">
        <f t="shared" si="66"/>
        <v>4857.8474012497609</v>
      </c>
      <c r="H147" s="3">
        <f t="shared" si="66"/>
        <v>308473.30997935979</v>
      </c>
      <c r="I147" s="3">
        <f t="shared" si="66"/>
        <v>13647.058823529413</v>
      </c>
      <c r="J147" s="3">
        <f t="shared" si="66"/>
        <v>322120.36880288919</v>
      </c>
      <c r="W147">
        <v>2027</v>
      </c>
      <c r="X147" s="3">
        <f t="shared" si="59"/>
        <v>290823.69644347596</v>
      </c>
      <c r="Y147" s="3">
        <f t="shared" si="60"/>
        <v>58164.739288695193</v>
      </c>
      <c r="Z147" s="3">
        <f t="shared" si="61"/>
        <v>37807.080537651877</v>
      </c>
      <c r="AA147" s="3">
        <f t="shared" si="62"/>
        <v>25825</v>
      </c>
      <c r="AB147" s="3">
        <f t="shared" si="63"/>
        <v>70146.819826347069</v>
      </c>
      <c r="AC147" s="3"/>
      <c r="AD147" s="3">
        <v>296240</v>
      </c>
      <c r="AE147" s="3">
        <v>59248</v>
      </c>
      <c r="AF147" s="3">
        <v>38511.200000000004</v>
      </c>
      <c r="AG147" s="3">
        <v>14966.402135724002</v>
      </c>
      <c r="AH147" s="3">
        <v>112725.60213572401</v>
      </c>
      <c r="AJ147" s="13">
        <f t="shared" si="65"/>
        <v>0.62227939791254172</v>
      </c>
    </row>
    <row r="148" spans="1:36">
      <c r="A148">
        <f t="shared" si="64"/>
        <v>2024</v>
      </c>
      <c r="B148" s="12">
        <f t="shared" si="57"/>
        <v>29.275640447464834</v>
      </c>
      <c r="C148" s="3">
        <f t="shared" si="66"/>
        <v>234205.12357971867</v>
      </c>
      <c r="D148" s="3">
        <f t="shared" si="66"/>
        <v>25</v>
      </c>
      <c r="E148" s="3">
        <f t="shared" si="66"/>
        <v>58551.280894929667</v>
      </c>
      <c r="F148" s="3">
        <f t="shared" si="66"/>
        <v>0</v>
      </c>
      <c r="G148" s="3">
        <f t="shared" si="66"/>
        <v>4684.1024715943731</v>
      </c>
      <c r="H148" s="3">
        <f t="shared" si="66"/>
        <v>297440.50694624271</v>
      </c>
      <c r="I148" s="3">
        <f t="shared" si="66"/>
        <v>13647.058823529413</v>
      </c>
      <c r="J148" s="3">
        <f t="shared" si="66"/>
        <v>311087.5657697721</v>
      </c>
      <c r="W148">
        <v>2028</v>
      </c>
      <c r="X148" s="3">
        <f t="shared" si="59"/>
        <v>284753.16224232485</v>
      </c>
      <c r="Y148" s="3">
        <f t="shared" si="60"/>
        <v>56950.632448464967</v>
      </c>
      <c r="Z148" s="3">
        <f t="shared" si="61"/>
        <v>37017.911091502232</v>
      </c>
      <c r="AA148" s="3">
        <f t="shared" si="62"/>
        <v>25825</v>
      </c>
      <c r="AB148" s="3">
        <f t="shared" si="63"/>
        <v>68143.543539967199</v>
      </c>
      <c r="AC148" s="3"/>
      <c r="AD148" s="3">
        <v>296240</v>
      </c>
      <c r="AE148" s="3">
        <v>59248</v>
      </c>
      <c r="AF148" s="3">
        <v>38511.200000000004</v>
      </c>
      <c r="AG148" s="3">
        <v>14818.2199363604</v>
      </c>
      <c r="AH148" s="3">
        <v>112577.41993636041</v>
      </c>
      <c r="AJ148" s="13">
        <f t="shared" si="65"/>
        <v>0.60530383071923732</v>
      </c>
    </row>
    <row r="149" spans="1:36">
      <c r="A149">
        <f t="shared" si="64"/>
        <v>2025</v>
      </c>
      <c r="B149" s="12">
        <f t="shared" si="57"/>
        <v>28.343375828936317</v>
      </c>
      <c r="C149" s="3">
        <f t="shared" si="66"/>
        <v>226747.00663149054</v>
      </c>
      <c r="D149" s="3">
        <f t="shared" si="66"/>
        <v>25</v>
      </c>
      <c r="E149" s="3">
        <f t="shared" si="66"/>
        <v>56686.751657872635</v>
      </c>
      <c r="F149" s="3">
        <f t="shared" si="66"/>
        <v>0</v>
      </c>
      <c r="G149" s="3">
        <f t="shared" si="66"/>
        <v>4534.9401326298112</v>
      </c>
      <c r="H149" s="3">
        <f t="shared" si="66"/>
        <v>287968.698421993</v>
      </c>
      <c r="I149" s="3">
        <f t="shared" si="66"/>
        <v>13647.058823529413</v>
      </c>
      <c r="J149" s="3">
        <f t="shared" si="66"/>
        <v>301615.7572455224</v>
      </c>
      <c r="W149">
        <v>2029</v>
      </c>
      <c r="X149" s="3">
        <f t="shared" si="59"/>
        <v>279357.13184130163</v>
      </c>
      <c r="Y149" s="3">
        <f t="shared" si="60"/>
        <v>55871.426368260327</v>
      </c>
      <c r="Z149" s="3">
        <f t="shared" si="61"/>
        <v>36316.427139369211</v>
      </c>
      <c r="AA149" s="3">
        <f t="shared" si="62"/>
        <v>25825</v>
      </c>
      <c r="AB149" s="3">
        <f t="shared" si="63"/>
        <v>66362.853507629537</v>
      </c>
      <c r="AC149" s="3"/>
      <c r="AD149" s="3">
        <v>296240</v>
      </c>
      <c r="AE149" s="3">
        <v>59248</v>
      </c>
      <c r="AF149" s="3">
        <v>38511.200000000004</v>
      </c>
      <c r="AG149" s="3">
        <v>14671.504887485544</v>
      </c>
      <c r="AH149" s="3">
        <v>112430.70488748555</v>
      </c>
      <c r="AJ149" s="13">
        <f t="shared" si="65"/>
        <v>0.59025560298711832</v>
      </c>
    </row>
    <row r="150" spans="1:36">
      <c r="A150">
        <f t="shared" si="64"/>
        <v>2026</v>
      </c>
      <c r="B150" s="12">
        <f t="shared" si="57"/>
        <v>27.812270474504896</v>
      </c>
      <c r="C150" s="3">
        <f t="shared" si="66"/>
        <v>222498.16379603915</v>
      </c>
      <c r="D150" s="3">
        <f t="shared" si="66"/>
        <v>25</v>
      </c>
      <c r="E150" s="3">
        <f t="shared" si="66"/>
        <v>55624.540949009788</v>
      </c>
      <c r="F150" s="3">
        <f t="shared" si="66"/>
        <v>0</v>
      </c>
      <c r="G150" s="3">
        <f t="shared" si="66"/>
        <v>4449.9632759207834</v>
      </c>
      <c r="H150" s="3">
        <f t="shared" si="66"/>
        <v>282572.66802096972</v>
      </c>
      <c r="I150" s="3">
        <f t="shared" si="66"/>
        <v>13647.058823529413</v>
      </c>
      <c r="J150" s="3">
        <f t="shared" si="66"/>
        <v>296219.72684449912</v>
      </c>
      <c r="W150">
        <v>2030</v>
      </c>
      <c r="X150" s="3">
        <f>B97</f>
        <v>273286.59764015052</v>
      </c>
      <c r="Y150" s="3">
        <f t="shared" si="60"/>
        <v>54657.319528030101</v>
      </c>
      <c r="Z150" s="3">
        <f t="shared" si="61"/>
        <v>35527.257693219566</v>
      </c>
      <c r="AA150" s="3">
        <f t="shared" si="62"/>
        <v>25825</v>
      </c>
      <c r="AB150" s="3">
        <f t="shared" si="63"/>
        <v>64359.577221249667</v>
      </c>
      <c r="AC150" s="3"/>
      <c r="AD150" s="3">
        <v>296240</v>
      </c>
      <c r="AE150" s="3">
        <v>59248</v>
      </c>
      <c r="AF150" s="3">
        <v>38511.200000000004</v>
      </c>
      <c r="AG150" s="3">
        <v>14526.242462856973</v>
      </c>
      <c r="AH150" s="3">
        <v>112285.44246285698</v>
      </c>
      <c r="AJ150" s="13">
        <f>AB150/AH150</f>
        <v>0.57317828393061043</v>
      </c>
    </row>
    <row r="151" spans="1:36">
      <c r="A151">
        <f t="shared" si="64"/>
        <v>2027</v>
      </c>
      <c r="B151" s="12">
        <f t="shared" si="57"/>
        <v>27.281165120073478</v>
      </c>
      <c r="C151" s="3">
        <f t="shared" ref="C151:J154" si="67">C22</f>
        <v>218249.32096058782</v>
      </c>
      <c r="D151" s="3">
        <f t="shared" si="67"/>
        <v>25</v>
      </c>
      <c r="E151" s="3">
        <f t="shared" si="67"/>
        <v>54562.330240146955</v>
      </c>
      <c r="F151" s="3">
        <f t="shared" si="67"/>
        <v>0</v>
      </c>
      <c r="G151" s="3">
        <f t="shared" si="67"/>
        <v>4364.9864192117566</v>
      </c>
      <c r="H151" s="3">
        <f t="shared" si="67"/>
        <v>277176.63761994656</v>
      </c>
      <c r="I151" s="3">
        <f t="shared" si="67"/>
        <v>13647.058823529413</v>
      </c>
      <c r="J151" s="3">
        <f t="shared" si="67"/>
        <v>290823.69644347596</v>
      </c>
    </row>
    <row r="152" spans="1:36">
      <c r="A152">
        <f t="shared" si="64"/>
        <v>2028</v>
      </c>
      <c r="B152" s="12">
        <f t="shared" si="57"/>
        <v>26.683671596338133</v>
      </c>
      <c r="C152" s="3">
        <f t="shared" si="67"/>
        <v>213469.37277070506</v>
      </c>
      <c r="D152" s="3">
        <f t="shared" si="67"/>
        <v>25</v>
      </c>
      <c r="E152" s="3">
        <f t="shared" si="67"/>
        <v>53367.343192676271</v>
      </c>
      <c r="F152" s="3">
        <f t="shared" si="67"/>
        <v>0</v>
      </c>
      <c r="G152" s="3">
        <f t="shared" si="67"/>
        <v>4269.3874554141012</v>
      </c>
      <c r="H152" s="3">
        <f t="shared" si="67"/>
        <v>271106.10341879545</v>
      </c>
      <c r="I152" s="3">
        <f t="shared" si="67"/>
        <v>13647.058823529413</v>
      </c>
      <c r="J152" s="3">
        <f t="shared" si="67"/>
        <v>284753.16224232485</v>
      </c>
    </row>
    <row r="153" spans="1:36">
      <c r="A153">
        <f t="shared" si="64"/>
        <v>2029</v>
      </c>
      <c r="B153" s="12">
        <f t="shared" si="57"/>
        <v>26.152566241906715</v>
      </c>
      <c r="C153" s="3">
        <f t="shared" si="67"/>
        <v>209220.52993525373</v>
      </c>
      <c r="D153" s="3">
        <f t="shared" si="67"/>
        <v>25</v>
      </c>
      <c r="E153" s="3">
        <f t="shared" si="67"/>
        <v>52305.132483813424</v>
      </c>
      <c r="F153" s="3">
        <f t="shared" si="67"/>
        <v>0</v>
      </c>
      <c r="G153" s="3">
        <f t="shared" si="67"/>
        <v>4184.4105987050743</v>
      </c>
      <c r="H153" s="3">
        <f t="shared" si="67"/>
        <v>265710.07301777223</v>
      </c>
      <c r="I153" s="3">
        <f t="shared" si="67"/>
        <v>13647.058823529413</v>
      </c>
      <c r="J153" s="3">
        <f t="shared" si="67"/>
        <v>279357.13184130163</v>
      </c>
    </row>
    <row r="154" spans="1:36">
      <c r="A154">
        <f t="shared" si="64"/>
        <v>2030</v>
      </c>
      <c r="B154" s="12">
        <f t="shared" si="57"/>
        <v>25.55507271817137</v>
      </c>
      <c r="C154" s="3">
        <f t="shared" si="67"/>
        <v>204440.58174537096</v>
      </c>
      <c r="D154" s="3">
        <f t="shared" si="67"/>
        <v>25</v>
      </c>
      <c r="E154" s="3">
        <f t="shared" si="67"/>
        <v>51110.14543634274</v>
      </c>
      <c r="F154" s="3">
        <f t="shared" si="67"/>
        <v>0</v>
      </c>
      <c r="G154" s="3">
        <f t="shared" si="67"/>
        <v>4088.8116349074194</v>
      </c>
      <c r="H154" s="3">
        <f t="shared" si="67"/>
        <v>259639.53881662112</v>
      </c>
      <c r="I154" s="3">
        <f t="shared" si="67"/>
        <v>13647.058823529413</v>
      </c>
      <c r="J154" s="3">
        <f t="shared" si="67"/>
        <v>273286.59764015052</v>
      </c>
    </row>
    <row r="155" spans="1:36">
      <c r="B155" s="12"/>
      <c r="C155" s="3"/>
      <c r="D155" s="3"/>
      <c r="E155" s="3"/>
      <c r="F155" s="3"/>
      <c r="G155" s="3"/>
      <c r="H155" s="3"/>
      <c r="I155" s="3"/>
      <c r="J155" s="3"/>
    </row>
    <row r="156" spans="1:36">
      <c r="B156" s="12"/>
      <c r="C156" s="3"/>
      <c r="D156" s="3"/>
      <c r="E156" s="3"/>
      <c r="F156" s="3"/>
      <c r="G156" s="3"/>
      <c r="H156" s="3"/>
      <c r="I156" s="3"/>
      <c r="J156" s="3"/>
    </row>
    <row r="157" spans="1:36">
      <c r="A157" t="str">
        <f t="shared" ref="A157:J157" si="68">A27</f>
        <v>PHEV</v>
      </c>
      <c r="B157" s="12" t="str">
        <f t="shared" si="68"/>
        <v>2017US$000</v>
      </c>
      <c r="C157" s="3" t="str">
        <f t="shared" si="68"/>
        <v>Kroner</v>
      </c>
      <c r="D157" s="3" t="str">
        <f t="shared" si="68"/>
        <v>Kroner</v>
      </c>
      <c r="E157" s="3" t="str">
        <f t="shared" si="68"/>
        <v>Kroner</v>
      </c>
      <c r="F157" s="3" t="str">
        <f t="shared" si="68"/>
        <v>Kroner</v>
      </c>
      <c r="G157" s="3" t="str">
        <f t="shared" si="68"/>
        <v>Kroner</v>
      </c>
      <c r="H157" s="3" t="str">
        <f t="shared" si="68"/>
        <v>Kroner</v>
      </c>
      <c r="I157" s="3" t="str">
        <f t="shared" si="68"/>
        <v>Kroner</v>
      </c>
      <c r="J157" s="3" t="str">
        <f t="shared" si="68"/>
        <v>Kroner</v>
      </c>
    </row>
    <row r="158" spans="1:36">
      <c r="B158" s="12" t="str">
        <f t="shared" ref="B158:J158" si="69">B28</f>
        <v>PHEV base</v>
      </c>
      <c r="C158" s="3" t="str">
        <f t="shared" si="69"/>
        <v>PHEV base</v>
      </c>
      <c r="D158" s="3" t="str">
        <f t="shared" si="69"/>
        <v xml:space="preserve">VAT% </v>
      </c>
      <c r="E158" s="3" t="str">
        <f t="shared" si="69"/>
        <v>VAT</v>
      </c>
      <c r="F158" s="3" t="str">
        <f t="shared" si="69"/>
        <v>purchase tax</v>
      </c>
      <c r="G158" s="3" t="str">
        <f t="shared" si="69"/>
        <v>Owner tax</v>
      </c>
      <c r="H158" s="3" t="str">
        <f t="shared" si="69"/>
        <v>PHEV price</v>
      </c>
      <c r="I158" s="3" t="str">
        <f t="shared" si="69"/>
        <v>home charging</v>
      </c>
      <c r="J158" s="3" t="str">
        <f t="shared" si="69"/>
        <v>PHEV price</v>
      </c>
    </row>
    <row r="159" spans="1:36">
      <c r="A159">
        <f t="shared" ref="A159:A180" si="70">A29</f>
        <v>2009</v>
      </c>
      <c r="B159" s="12">
        <f t="shared" ref="B159:J159" si="71">B29</f>
        <v>29.592572886961211</v>
      </c>
      <c r="C159" s="3">
        <f t="shared" si="71"/>
        <v>186087.86386226478</v>
      </c>
      <c r="D159" s="3">
        <f t="shared" si="71"/>
        <v>25</v>
      </c>
      <c r="E159" s="3">
        <f t="shared" si="71"/>
        <v>46521.965965566196</v>
      </c>
      <c r="F159" s="3">
        <f t="shared" si="71"/>
        <v>43389.477000000006</v>
      </c>
      <c r="G159" s="3">
        <f t="shared" si="71"/>
        <v>8677.8954000000012</v>
      </c>
      <c r="H159" s="3">
        <f t="shared" si="71"/>
        <v>284677.20222783095</v>
      </c>
      <c r="I159" s="3">
        <f t="shared" si="71"/>
        <v>12666.739444764085</v>
      </c>
      <c r="J159" s="3">
        <f t="shared" si="71"/>
        <v>297343.94167259504</v>
      </c>
    </row>
    <row r="160" spans="1:36">
      <c r="A160">
        <f t="shared" si="70"/>
        <v>2010</v>
      </c>
      <c r="B160" s="12">
        <f t="shared" ref="B160:J160" si="72">B30</f>
        <v>30</v>
      </c>
      <c r="C160" s="3">
        <f t="shared" si="72"/>
        <v>181390.92348727476</v>
      </c>
      <c r="D160" s="3">
        <f t="shared" si="72"/>
        <v>25</v>
      </c>
      <c r="E160" s="3">
        <f t="shared" si="72"/>
        <v>45347.730871818691</v>
      </c>
      <c r="F160" s="3">
        <f t="shared" si="72"/>
        <v>41719.912402073191</v>
      </c>
      <c r="G160" s="3">
        <f t="shared" si="72"/>
        <v>8343.9824804146392</v>
      </c>
      <c r="H160" s="3">
        <f t="shared" si="72"/>
        <v>276802.54924158129</v>
      </c>
      <c r="I160" s="3">
        <f t="shared" si="72"/>
        <v>11556.029672513114</v>
      </c>
      <c r="J160" s="3">
        <f t="shared" si="72"/>
        <v>288358.57891409443</v>
      </c>
    </row>
    <row r="161" spans="1:10">
      <c r="A161">
        <f t="shared" si="70"/>
        <v>2011</v>
      </c>
      <c r="B161" s="12">
        <f t="shared" ref="B161:J161" si="73">B31</f>
        <v>30</v>
      </c>
      <c r="C161" s="3">
        <f t="shared" si="73"/>
        <v>168248.91357211216</v>
      </c>
      <c r="D161" s="3">
        <f t="shared" si="73"/>
        <v>25</v>
      </c>
      <c r="E161" s="3">
        <f t="shared" si="73"/>
        <v>42062.228393028046</v>
      </c>
      <c r="F161" s="3">
        <f t="shared" si="73"/>
        <v>38697.250121585792</v>
      </c>
      <c r="G161" s="3">
        <f t="shared" si="73"/>
        <v>7739.4500243171578</v>
      </c>
      <c r="H161" s="3">
        <f t="shared" si="73"/>
        <v>256747.84211104317</v>
      </c>
      <c r="I161" s="3">
        <f t="shared" si="73"/>
        <v>11366.45745328351</v>
      </c>
      <c r="J161" s="3">
        <f t="shared" si="73"/>
        <v>268114.29956432665</v>
      </c>
    </row>
    <row r="162" spans="1:10">
      <c r="A162">
        <f t="shared" si="70"/>
        <v>2012</v>
      </c>
      <c r="B162" s="12">
        <f t="shared" ref="B162:J162" si="74">B32</f>
        <v>30.842462459493706</v>
      </c>
      <c r="C162" s="3">
        <f t="shared" si="74"/>
        <v>179481.00883507889</v>
      </c>
      <c r="D162" s="3">
        <f t="shared" si="74"/>
        <v>25</v>
      </c>
      <c r="E162" s="3">
        <f t="shared" si="74"/>
        <v>44870.252208769722</v>
      </c>
      <c r="F162" s="3">
        <f t="shared" si="74"/>
        <v>40153.0507685142</v>
      </c>
      <c r="G162" s="3">
        <f t="shared" si="74"/>
        <v>8030.6101537028399</v>
      </c>
      <c r="H162" s="3">
        <f t="shared" si="74"/>
        <v>272534.92196606565</v>
      </c>
      <c r="I162" s="3">
        <f t="shared" si="74"/>
        <v>10903.173506467685</v>
      </c>
      <c r="J162" s="3">
        <f t="shared" si="74"/>
        <v>283438.09547253331</v>
      </c>
    </row>
    <row r="163" spans="1:10">
      <c r="A163">
        <f t="shared" si="70"/>
        <v>2013</v>
      </c>
      <c r="B163" s="12">
        <f t="shared" ref="B163:J163" si="75">B33</f>
        <v>31.143929334439989</v>
      </c>
      <c r="C163" s="3">
        <f t="shared" si="75"/>
        <v>182819.50499135308</v>
      </c>
      <c r="D163" s="3">
        <f t="shared" si="75"/>
        <v>0</v>
      </c>
      <c r="E163" s="3">
        <f t="shared" si="75"/>
        <v>0</v>
      </c>
      <c r="F163" s="3">
        <f t="shared" si="75"/>
        <v>0</v>
      </c>
      <c r="G163" s="3">
        <f t="shared" si="75"/>
        <v>7312.7801996541239</v>
      </c>
      <c r="H163" s="3">
        <f t="shared" si="75"/>
        <v>190132.28519100719</v>
      </c>
      <c r="I163" s="3">
        <f t="shared" si="75"/>
        <v>11323.759112065454</v>
      </c>
      <c r="J163" s="3">
        <f t="shared" si="75"/>
        <v>201456.04430307265</v>
      </c>
    </row>
    <row r="164" spans="1:10">
      <c r="A164">
        <f t="shared" si="70"/>
        <v>2014</v>
      </c>
      <c r="B164" s="12">
        <f t="shared" ref="B164:J164" si="76">B34</f>
        <v>33.541755956678692</v>
      </c>
      <c r="C164" s="3">
        <f t="shared" si="76"/>
        <v>211037.42414299279</v>
      </c>
      <c r="D164" s="3">
        <f t="shared" si="76"/>
        <v>0</v>
      </c>
      <c r="E164" s="3">
        <f t="shared" si="76"/>
        <v>0</v>
      </c>
      <c r="F164" s="3">
        <f t="shared" si="76"/>
        <v>0</v>
      </c>
      <c r="G164" s="3">
        <f t="shared" si="76"/>
        <v>8441.4969657197125</v>
      </c>
      <c r="H164" s="3">
        <f t="shared" si="76"/>
        <v>219478.9211087125</v>
      </c>
      <c r="I164" s="3">
        <f t="shared" si="76"/>
        <v>12045.459108171797</v>
      </c>
      <c r="J164" s="3">
        <f t="shared" si="76"/>
        <v>231524.38021688431</v>
      </c>
    </row>
    <row r="165" spans="1:10">
      <c r="A165">
        <f t="shared" si="70"/>
        <v>2015</v>
      </c>
      <c r="B165" s="12">
        <f t="shared" ref="B165:J165" si="77">B35</f>
        <v>30</v>
      </c>
      <c r="C165" s="3">
        <f t="shared" si="77"/>
        <v>241879.95536500859</v>
      </c>
      <c r="D165" s="3">
        <f t="shared" si="77"/>
        <v>0</v>
      </c>
      <c r="E165" s="3">
        <f t="shared" si="77"/>
        <v>0</v>
      </c>
      <c r="F165" s="3">
        <f t="shared" si="77"/>
        <v>0</v>
      </c>
      <c r="G165" s="3">
        <f t="shared" si="77"/>
        <v>9675.1982146003429</v>
      </c>
      <c r="H165" s="3">
        <f t="shared" si="77"/>
        <v>251555.15357960894</v>
      </c>
      <c r="I165" s="3">
        <f t="shared" si="77"/>
        <v>12904.884240673055</v>
      </c>
      <c r="J165" s="3">
        <f t="shared" si="77"/>
        <v>264460.03782028198</v>
      </c>
    </row>
    <row r="166" spans="1:10">
      <c r="A166">
        <f t="shared" si="70"/>
        <v>2016</v>
      </c>
      <c r="B166" s="12">
        <f t="shared" ref="B166:J166" si="78">B36</f>
        <v>30</v>
      </c>
      <c r="C166" s="3">
        <f t="shared" si="78"/>
        <v>251919.34335201283</v>
      </c>
      <c r="D166" s="3">
        <f t="shared" si="78"/>
        <v>0</v>
      </c>
      <c r="E166" s="3">
        <f t="shared" si="78"/>
        <v>0</v>
      </c>
      <c r="F166" s="3">
        <f t="shared" si="78"/>
        <v>0</v>
      </c>
      <c r="G166" s="3">
        <f t="shared" si="78"/>
        <v>10076.773734080514</v>
      </c>
      <c r="H166" s="3">
        <f t="shared" si="78"/>
        <v>261996.11708609335</v>
      </c>
      <c r="I166" s="3">
        <f t="shared" si="78"/>
        <v>13428.332886875214</v>
      </c>
      <c r="J166" s="3">
        <f t="shared" si="78"/>
        <v>275424.44997296855</v>
      </c>
    </row>
    <row r="167" spans="1:10">
      <c r="A167">
        <f t="shared" si="70"/>
        <v>2017</v>
      </c>
      <c r="B167" s="12">
        <f t="shared" ref="B167:J167" si="79">B37</f>
        <v>30</v>
      </c>
      <c r="C167" s="3">
        <f t="shared" si="79"/>
        <v>247889.36010273438</v>
      </c>
      <c r="D167" s="3">
        <f t="shared" si="79"/>
        <v>0</v>
      </c>
      <c r="E167" s="3">
        <f t="shared" si="79"/>
        <v>0</v>
      </c>
      <c r="F167" s="3">
        <f t="shared" si="79"/>
        <v>0</v>
      </c>
      <c r="G167" s="3">
        <f t="shared" si="79"/>
        <v>9915.5744041093749</v>
      </c>
      <c r="H167" s="3">
        <f t="shared" si="79"/>
        <v>257804.93450684377</v>
      </c>
      <c r="I167" s="3">
        <f t="shared" si="79"/>
        <v>13583.233484498851</v>
      </c>
      <c r="J167" s="3">
        <f t="shared" si="79"/>
        <v>271388.16799134261</v>
      </c>
    </row>
    <row r="168" spans="1:10">
      <c r="A168">
        <f t="shared" si="70"/>
        <v>2018</v>
      </c>
      <c r="B168" s="12">
        <f t="shared" ref="B168:J168" si="80">B38</f>
        <v>30.592100851060948</v>
      </c>
      <c r="C168" s="3">
        <f t="shared" si="80"/>
        <v>244736.8068084876</v>
      </c>
      <c r="D168" s="3">
        <f t="shared" si="80"/>
        <v>0</v>
      </c>
      <c r="E168" s="3">
        <f t="shared" si="80"/>
        <v>0</v>
      </c>
      <c r="F168" s="3">
        <f t="shared" si="80"/>
        <v>0</v>
      </c>
      <c r="G168" s="3">
        <f t="shared" si="80"/>
        <v>9789.4722723395043</v>
      </c>
      <c r="H168" s="3">
        <f t="shared" si="80"/>
        <v>254526.27908082711</v>
      </c>
      <c r="I168" s="3">
        <f t="shared" si="80"/>
        <v>13647.058823529413</v>
      </c>
      <c r="J168" s="3">
        <f t="shared" si="80"/>
        <v>268173.33790435654</v>
      </c>
    </row>
    <row r="169" spans="1:10">
      <c r="A169">
        <f t="shared" si="70"/>
        <v>2019</v>
      </c>
      <c r="B169" s="12">
        <f t="shared" ref="B169:J169" si="81">B39</f>
        <v>31.172994053473918</v>
      </c>
      <c r="C169" s="3">
        <f t="shared" si="81"/>
        <v>249383.95242779134</v>
      </c>
      <c r="D169" s="3">
        <f t="shared" si="81"/>
        <v>0</v>
      </c>
      <c r="E169" s="3">
        <f t="shared" si="81"/>
        <v>0</v>
      </c>
      <c r="F169" s="3">
        <f t="shared" si="81"/>
        <v>0</v>
      </c>
      <c r="G169" s="3">
        <f t="shared" si="81"/>
        <v>9975.3580971116535</v>
      </c>
      <c r="H169" s="3">
        <f t="shared" si="81"/>
        <v>259359.310524903</v>
      </c>
      <c r="I169" s="3">
        <f t="shared" si="81"/>
        <v>13647.058823529413</v>
      </c>
      <c r="J169" s="3">
        <f t="shared" si="81"/>
        <v>273006.3693484324</v>
      </c>
    </row>
    <row r="170" spans="1:10">
      <c r="A170">
        <f t="shared" si="70"/>
        <v>2020</v>
      </c>
      <c r="B170" s="12">
        <f t="shared" ref="B170:J170" si="82">B40</f>
        <v>30.985903123425071</v>
      </c>
      <c r="C170" s="3">
        <f t="shared" si="82"/>
        <v>247887.22498740058</v>
      </c>
      <c r="D170" s="3">
        <f t="shared" si="82"/>
        <v>0</v>
      </c>
      <c r="E170" s="3">
        <f t="shared" si="82"/>
        <v>0</v>
      </c>
      <c r="F170" s="3">
        <f t="shared" si="82"/>
        <v>0</v>
      </c>
      <c r="G170" s="3">
        <f t="shared" si="82"/>
        <v>9915.4889994960231</v>
      </c>
      <c r="H170" s="3">
        <f t="shared" si="82"/>
        <v>257802.71398689659</v>
      </c>
      <c r="I170" s="3">
        <f t="shared" si="82"/>
        <v>13647.058823529413</v>
      </c>
      <c r="J170" s="3">
        <f t="shared" si="82"/>
        <v>271449.77281042602</v>
      </c>
    </row>
    <row r="171" spans="1:10">
      <c r="A171">
        <f t="shared" si="70"/>
        <v>2021</v>
      </c>
      <c r="B171" s="12">
        <f t="shared" ref="B171:J171" si="83">B41</f>
        <v>30.206708843097807</v>
      </c>
      <c r="C171" s="3">
        <f t="shared" si="83"/>
        <v>241653.67074478246</v>
      </c>
      <c r="D171" s="3">
        <f t="shared" si="83"/>
        <v>25</v>
      </c>
      <c r="E171" s="3">
        <f t="shared" si="83"/>
        <v>60413.417686195615</v>
      </c>
      <c r="F171" s="3">
        <f t="shared" si="83"/>
        <v>0</v>
      </c>
      <c r="G171" s="3">
        <f t="shared" si="83"/>
        <v>9666.1468297912979</v>
      </c>
      <c r="H171" s="3">
        <f t="shared" si="83"/>
        <v>311733.23526076938</v>
      </c>
      <c r="I171" s="3">
        <f t="shared" si="83"/>
        <v>13647.058823529413</v>
      </c>
      <c r="J171" s="3">
        <f t="shared" si="83"/>
        <v>325380.29408429877</v>
      </c>
    </row>
    <row r="172" spans="1:10">
      <c r="A172">
        <f t="shared" si="70"/>
        <v>2022</v>
      </c>
      <c r="B172" s="12">
        <f t="shared" ref="B172:J172" si="84">B42</f>
        <v>30.642454642697771</v>
      </c>
      <c r="C172" s="3">
        <f t="shared" si="84"/>
        <v>245139.63714158218</v>
      </c>
      <c r="D172" s="3">
        <f t="shared" si="84"/>
        <v>25</v>
      </c>
      <c r="E172" s="3">
        <f t="shared" si="84"/>
        <v>61284.909285395544</v>
      </c>
      <c r="F172" s="3">
        <f t="shared" si="84"/>
        <v>0</v>
      </c>
      <c r="G172" s="3">
        <f t="shared" si="84"/>
        <v>9805.5854856632868</v>
      </c>
      <c r="H172" s="3">
        <f t="shared" si="84"/>
        <v>316230.13191264099</v>
      </c>
      <c r="I172" s="3">
        <f t="shared" si="84"/>
        <v>13647.058823529413</v>
      </c>
      <c r="J172" s="3">
        <f t="shared" si="84"/>
        <v>329877.19073617039</v>
      </c>
    </row>
    <row r="173" spans="1:10">
      <c r="A173">
        <f t="shared" si="70"/>
        <v>2023</v>
      </c>
      <c r="B173" s="12">
        <f t="shared" ref="B173:J173" si="85">B43</f>
        <v>30.361546257811007</v>
      </c>
      <c r="C173" s="3">
        <f t="shared" si="85"/>
        <v>242892.37006248804</v>
      </c>
      <c r="D173" s="3">
        <f t="shared" si="85"/>
        <v>25</v>
      </c>
      <c r="E173" s="3">
        <f t="shared" si="85"/>
        <v>60723.092515622011</v>
      </c>
      <c r="F173" s="3">
        <f t="shared" si="85"/>
        <v>0</v>
      </c>
      <c r="G173" s="3">
        <f t="shared" si="85"/>
        <v>9715.6948024995218</v>
      </c>
      <c r="H173" s="3">
        <f t="shared" si="85"/>
        <v>313331.15738060954</v>
      </c>
      <c r="I173" s="3">
        <f t="shared" si="85"/>
        <v>13647.058823529413</v>
      </c>
      <c r="J173" s="3">
        <f t="shared" si="85"/>
        <v>326978.21620413894</v>
      </c>
    </row>
    <row r="174" spans="1:10">
      <c r="A174">
        <f t="shared" si="70"/>
        <v>2024</v>
      </c>
      <c r="B174" s="12">
        <f t="shared" ref="B174:J174" si="86">B44</f>
        <v>29.275640447464834</v>
      </c>
      <c r="C174" s="3">
        <f t="shared" si="86"/>
        <v>234205.12357971867</v>
      </c>
      <c r="D174" s="3">
        <f t="shared" si="86"/>
        <v>25</v>
      </c>
      <c r="E174" s="3">
        <f t="shared" si="86"/>
        <v>58551.280894929667</v>
      </c>
      <c r="F174" s="3">
        <f t="shared" si="86"/>
        <v>0</v>
      </c>
      <c r="G174" s="3">
        <f t="shared" si="86"/>
        <v>9368.2049431887463</v>
      </c>
      <c r="H174" s="3">
        <f t="shared" si="86"/>
        <v>302124.60941783711</v>
      </c>
      <c r="I174" s="3">
        <f t="shared" si="86"/>
        <v>13647.058823529413</v>
      </c>
      <c r="J174" s="3">
        <f t="shared" si="86"/>
        <v>315771.66824136651</v>
      </c>
    </row>
    <row r="175" spans="1:10">
      <c r="A175">
        <f t="shared" si="70"/>
        <v>2025</v>
      </c>
      <c r="B175" s="12">
        <f t="shared" ref="B175:J175" si="87">B45</f>
        <v>28.343375828936317</v>
      </c>
      <c r="C175" s="3">
        <f t="shared" si="87"/>
        <v>226747.00663149054</v>
      </c>
      <c r="D175" s="3">
        <f t="shared" si="87"/>
        <v>25</v>
      </c>
      <c r="E175" s="3">
        <f t="shared" si="87"/>
        <v>56686.751657872635</v>
      </c>
      <c r="F175" s="3">
        <f t="shared" si="87"/>
        <v>0</v>
      </c>
      <c r="G175" s="3">
        <f t="shared" si="87"/>
        <v>9069.8802652596223</v>
      </c>
      <c r="H175" s="3">
        <f t="shared" si="87"/>
        <v>292503.63855462283</v>
      </c>
      <c r="I175" s="3">
        <f t="shared" si="87"/>
        <v>13647.058823529413</v>
      </c>
      <c r="J175" s="3">
        <f t="shared" si="87"/>
        <v>306150.69737815222</v>
      </c>
    </row>
    <row r="176" spans="1:10">
      <c r="A176">
        <f t="shared" si="70"/>
        <v>2026</v>
      </c>
      <c r="B176" s="12">
        <f t="shared" ref="B176:J176" si="88">B46</f>
        <v>27.812270474504896</v>
      </c>
      <c r="C176" s="3">
        <f t="shared" si="88"/>
        <v>222498.16379603915</v>
      </c>
      <c r="D176" s="3">
        <f t="shared" si="88"/>
        <v>25</v>
      </c>
      <c r="E176" s="3">
        <f t="shared" si="88"/>
        <v>55624.540949009788</v>
      </c>
      <c r="F176" s="3">
        <f t="shared" si="88"/>
        <v>0</v>
      </c>
      <c r="G176" s="3">
        <f t="shared" si="88"/>
        <v>8899.9265518415668</v>
      </c>
      <c r="H176" s="3">
        <f t="shared" si="88"/>
        <v>287022.6312968905</v>
      </c>
      <c r="I176" s="3">
        <f t="shared" si="88"/>
        <v>13647.058823529413</v>
      </c>
      <c r="J176" s="3">
        <f t="shared" si="88"/>
        <v>300669.69012041989</v>
      </c>
    </row>
    <row r="177" spans="1:10">
      <c r="A177">
        <f t="shared" si="70"/>
        <v>2027</v>
      </c>
      <c r="B177" s="12">
        <f t="shared" ref="B177:J177" si="89">B47</f>
        <v>27.281165120073478</v>
      </c>
      <c r="C177" s="3">
        <f t="shared" si="89"/>
        <v>218249.32096058782</v>
      </c>
      <c r="D177" s="3">
        <f t="shared" si="89"/>
        <v>25</v>
      </c>
      <c r="E177" s="3">
        <f t="shared" si="89"/>
        <v>54562.330240146955</v>
      </c>
      <c r="F177" s="3">
        <f t="shared" si="89"/>
        <v>0</v>
      </c>
      <c r="G177" s="3">
        <f t="shared" si="89"/>
        <v>8729.9728384235132</v>
      </c>
      <c r="H177" s="3">
        <f t="shared" si="89"/>
        <v>281541.62403915828</v>
      </c>
      <c r="I177" s="3">
        <f t="shared" si="89"/>
        <v>13647.058823529413</v>
      </c>
      <c r="J177" s="3">
        <f t="shared" si="89"/>
        <v>295188.68286268768</v>
      </c>
    </row>
    <row r="178" spans="1:10">
      <c r="A178">
        <f t="shared" si="70"/>
        <v>2028</v>
      </c>
      <c r="B178" s="12">
        <f t="shared" ref="B178:J178" si="90">B48</f>
        <v>26.683671596338133</v>
      </c>
      <c r="C178" s="3">
        <f t="shared" si="90"/>
        <v>213469.37277070506</v>
      </c>
      <c r="D178" s="3">
        <f t="shared" si="90"/>
        <v>25</v>
      </c>
      <c r="E178" s="3">
        <f t="shared" si="90"/>
        <v>53367.343192676271</v>
      </c>
      <c r="F178" s="3">
        <f t="shared" si="90"/>
        <v>0</v>
      </c>
      <c r="G178" s="3">
        <f t="shared" si="90"/>
        <v>8538.7749108282023</v>
      </c>
      <c r="H178" s="3">
        <f t="shared" si="90"/>
        <v>275375.49087420956</v>
      </c>
      <c r="I178" s="3">
        <f t="shared" si="90"/>
        <v>13647.058823529413</v>
      </c>
      <c r="J178" s="3">
        <f t="shared" si="90"/>
        <v>289022.54969773896</v>
      </c>
    </row>
    <row r="179" spans="1:10">
      <c r="A179">
        <f t="shared" si="70"/>
        <v>2029</v>
      </c>
      <c r="B179" s="12">
        <f t="shared" ref="B179:J179" si="91">B49</f>
        <v>26.152566241906715</v>
      </c>
      <c r="C179" s="3">
        <f t="shared" si="91"/>
        <v>209220.52993525373</v>
      </c>
      <c r="D179" s="3">
        <f t="shared" si="91"/>
        <v>25</v>
      </c>
      <c r="E179" s="3">
        <f t="shared" si="91"/>
        <v>52305.132483813424</v>
      </c>
      <c r="F179" s="3">
        <f t="shared" si="91"/>
        <v>0</v>
      </c>
      <c r="G179" s="3">
        <f t="shared" si="91"/>
        <v>8368.8211974101487</v>
      </c>
      <c r="H179" s="3">
        <f t="shared" si="91"/>
        <v>269894.48361647729</v>
      </c>
      <c r="I179" s="3">
        <f t="shared" si="91"/>
        <v>13647.058823529413</v>
      </c>
      <c r="J179" s="3">
        <f t="shared" si="91"/>
        <v>283541.54244000668</v>
      </c>
    </row>
    <row r="180" spans="1:10">
      <c r="A180">
        <f t="shared" si="70"/>
        <v>2030</v>
      </c>
      <c r="B180" s="12">
        <f t="shared" ref="B180:J180" si="92">B50</f>
        <v>25.55507271817137</v>
      </c>
      <c r="C180" s="3">
        <f t="shared" si="92"/>
        <v>204440.58174537096</v>
      </c>
      <c r="D180" s="3">
        <f t="shared" si="92"/>
        <v>25</v>
      </c>
      <c r="E180" s="3">
        <f t="shared" si="92"/>
        <v>51110.14543634274</v>
      </c>
      <c r="F180" s="3">
        <f t="shared" si="92"/>
        <v>0</v>
      </c>
      <c r="G180" s="3">
        <f t="shared" si="92"/>
        <v>8177.6232698148387</v>
      </c>
      <c r="H180" s="3">
        <f t="shared" si="92"/>
        <v>263728.35045152856</v>
      </c>
      <c r="I180" s="3">
        <f t="shared" si="92"/>
        <v>13647.058823529413</v>
      </c>
      <c r="J180" s="3">
        <f t="shared" si="92"/>
        <v>277375.40927505796</v>
      </c>
    </row>
    <row r="181" spans="1:10">
      <c r="C181" s="3"/>
      <c r="D181" s="3"/>
      <c r="E181" s="3"/>
      <c r="F181" s="3"/>
      <c r="G181" s="3"/>
      <c r="H181" s="3"/>
      <c r="I181" s="3"/>
      <c r="J181" s="3"/>
    </row>
    <row r="182" spans="1:10">
      <c r="C182" s="3"/>
      <c r="D182" s="3"/>
      <c r="E182" s="3"/>
      <c r="F182" s="3"/>
      <c r="G182" s="3"/>
      <c r="H182" s="3"/>
      <c r="I182" s="3"/>
      <c r="J182" s="3"/>
    </row>
    <row r="183" spans="1:10">
      <c r="A183" t="str">
        <f t="shared" ref="A183:H183" si="93">A52</f>
        <v>FFV</v>
      </c>
      <c r="B183" t="str">
        <f t="shared" si="93"/>
        <v>2017US$000</v>
      </c>
      <c r="C183" s="3" t="str">
        <f t="shared" si="93"/>
        <v>Kroner</v>
      </c>
      <c r="D183" s="3" t="str">
        <f t="shared" si="93"/>
        <v>Kroner</v>
      </c>
      <c r="E183" s="3" t="str">
        <f t="shared" si="93"/>
        <v>Kroner</v>
      </c>
      <c r="F183" s="3" t="str">
        <f t="shared" si="93"/>
        <v>Kroner</v>
      </c>
      <c r="G183" s="3" t="str">
        <f t="shared" si="93"/>
        <v>Kroner</v>
      </c>
      <c r="H183" s="3" t="str">
        <f t="shared" si="93"/>
        <v>Kroner</v>
      </c>
      <c r="I183" s="3"/>
      <c r="J183" s="3"/>
    </row>
    <row r="184" spans="1:10">
      <c r="B184" t="str">
        <f t="shared" ref="B184:H184" si="94">B53</f>
        <v>FFV base</v>
      </c>
      <c r="C184" s="3" t="str">
        <f t="shared" si="94"/>
        <v>FFV base</v>
      </c>
      <c r="D184" s="3" t="str">
        <f t="shared" si="94"/>
        <v xml:space="preserve">VAT% </v>
      </c>
      <c r="E184" s="3" t="str">
        <f t="shared" si="94"/>
        <v>VAT</v>
      </c>
      <c r="F184" s="3" t="str">
        <f t="shared" si="94"/>
        <v>purchase tax</v>
      </c>
      <c r="G184" s="3" t="str">
        <f t="shared" si="94"/>
        <v>Owner tax</v>
      </c>
      <c r="H184" s="3" t="str">
        <f t="shared" si="94"/>
        <v>FFV price</v>
      </c>
      <c r="I184" s="3"/>
      <c r="J184" s="3"/>
    </row>
    <row r="185" spans="1:10">
      <c r="A185">
        <f t="shared" ref="A185:H185" si="95">A54</f>
        <v>2009</v>
      </c>
      <c r="B185">
        <f t="shared" si="95"/>
        <v>23</v>
      </c>
      <c r="C185" s="3">
        <f t="shared" si="95"/>
        <v>144631.59000000003</v>
      </c>
      <c r="D185" s="3">
        <f t="shared" si="95"/>
        <v>25</v>
      </c>
      <c r="E185" s="3">
        <f t="shared" si="95"/>
        <v>36157.897500000006</v>
      </c>
      <c r="F185" s="3">
        <f t="shared" si="95"/>
        <v>43389.477000000006</v>
      </c>
      <c r="G185" s="3">
        <f t="shared" si="95"/>
        <v>8677.8954000000012</v>
      </c>
      <c r="H185" s="3">
        <f t="shared" si="95"/>
        <v>232856.85990000007</v>
      </c>
      <c r="I185" s="3"/>
      <c r="J185" s="3"/>
    </row>
    <row r="186" spans="1:10">
      <c r="A186">
        <f t="shared" ref="A186:H186" si="96">A55</f>
        <v>2010</v>
      </c>
      <c r="B186">
        <f t="shared" si="96"/>
        <v>23</v>
      </c>
      <c r="C186" s="3">
        <f t="shared" si="96"/>
        <v>139066.37467357732</v>
      </c>
      <c r="D186" s="3">
        <f t="shared" si="96"/>
        <v>25</v>
      </c>
      <c r="E186" s="3">
        <f t="shared" si="96"/>
        <v>34766.593668394329</v>
      </c>
      <c r="F186" s="3">
        <f t="shared" si="96"/>
        <v>41719.912402073191</v>
      </c>
      <c r="G186" s="3">
        <f t="shared" si="96"/>
        <v>8343.9824804146392</v>
      </c>
      <c r="H186" s="3">
        <f t="shared" si="96"/>
        <v>223896.86322445946</v>
      </c>
      <c r="I186" s="3"/>
      <c r="J186" s="3"/>
    </row>
    <row r="187" spans="1:10">
      <c r="A187">
        <f t="shared" ref="A187:H187" si="97">A56</f>
        <v>2011</v>
      </c>
      <c r="B187">
        <f t="shared" si="97"/>
        <v>23</v>
      </c>
      <c r="C187" s="3">
        <f t="shared" si="97"/>
        <v>128990.8337386193</v>
      </c>
      <c r="D187" s="3">
        <f t="shared" si="97"/>
        <v>25</v>
      </c>
      <c r="E187" s="3">
        <f t="shared" si="97"/>
        <v>32247.708434654822</v>
      </c>
      <c r="F187" s="3">
        <f t="shared" si="97"/>
        <v>38697.250121585792</v>
      </c>
      <c r="G187" s="3">
        <f t="shared" si="97"/>
        <v>7739.4500243171578</v>
      </c>
      <c r="H187" s="3">
        <f t="shared" si="97"/>
        <v>207675.24231917708</v>
      </c>
      <c r="I187" s="3"/>
      <c r="J187" s="3"/>
    </row>
    <row r="188" spans="1:10">
      <c r="A188">
        <f t="shared" ref="A188:H188" si="98">A57</f>
        <v>2012</v>
      </c>
      <c r="B188">
        <f t="shared" si="98"/>
        <v>23</v>
      </c>
      <c r="C188" s="3">
        <f t="shared" si="98"/>
        <v>133843.50256171401</v>
      </c>
      <c r="D188" s="3">
        <f t="shared" si="98"/>
        <v>25</v>
      </c>
      <c r="E188" s="3">
        <f t="shared" si="98"/>
        <v>33460.875640428501</v>
      </c>
      <c r="F188" s="3">
        <f t="shared" si="98"/>
        <v>40153.0507685142</v>
      </c>
      <c r="G188" s="3">
        <f t="shared" si="98"/>
        <v>8030.6101537028399</v>
      </c>
      <c r="H188" s="3">
        <f t="shared" si="98"/>
        <v>215488.03912435955</v>
      </c>
      <c r="I188" s="3"/>
      <c r="J188" s="3"/>
    </row>
    <row r="189" spans="1:10">
      <c r="A189">
        <f t="shared" ref="A189:H189" si="99">A58</f>
        <v>2013</v>
      </c>
      <c r="B189">
        <f t="shared" si="99"/>
        <v>23</v>
      </c>
      <c r="C189" s="3">
        <f t="shared" si="99"/>
        <v>135013.42652197904</v>
      </c>
      <c r="D189" s="3">
        <f t="shared" si="99"/>
        <v>25</v>
      </c>
      <c r="E189" s="3">
        <f t="shared" si="99"/>
        <v>33753.35663049476</v>
      </c>
      <c r="F189" s="3">
        <f t="shared" si="99"/>
        <v>40504.027956593709</v>
      </c>
      <c r="G189" s="3">
        <f t="shared" si="99"/>
        <v>8100.8055913187418</v>
      </c>
      <c r="H189" s="3">
        <f t="shared" si="99"/>
        <v>217371.61670038628</v>
      </c>
      <c r="I189" s="3"/>
      <c r="J189" s="3"/>
    </row>
    <row r="190" spans="1:10">
      <c r="A190">
        <f t="shared" ref="A190:H190" si="100">A59</f>
        <v>2014</v>
      </c>
      <c r="B190">
        <f t="shared" si="100"/>
        <v>23</v>
      </c>
      <c r="C190" s="3">
        <f t="shared" si="100"/>
        <v>144710.99132549603</v>
      </c>
      <c r="D190" s="3">
        <f t="shared" si="100"/>
        <v>25</v>
      </c>
      <c r="E190" s="3">
        <f t="shared" si="100"/>
        <v>36177.747831374007</v>
      </c>
      <c r="F190" s="3">
        <f t="shared" si="100"/>
        <v>43413.297397648807</v>
      </c>
      <c r="G190" s="3">
        <f t="shared" si="100"/>
        <v>8682.6594795297606</v>
      </c>
      <c r="H190" s="3">
        <f t="shared" si="100"/>
        <v>232984.6960340486</v>
      </c>
      <c r="I190" s="3"/>
      <c r="J190" s="3"/>
    </row>
    <row r="191" spans="1:10">
      <c r="A191">
        <f t="shared" ref="A191:H191" si="101">A60</f>
        <v>2015</v>
      </c>
      <c r="B191">
        <f t="shared" si="101"/>
        <v>23</v>
      </c>
      <c r="C191" s="3">
        <f t="shared" si="101"/>
        <v>185441.29911317324</v>
      </c>
      <c r="D191" s="3">
        <f t="shared" si="101"/>
        <v>25</v>
      </c>
      <c r="E191" s="3">
        <f t="shared" si="101"/>
        <v>46360.324778293303</v>
      </c>
      <c r="F191" s="3">
        <f t="shared" si="101"/>
        <v>55632.389733951968</v>
      </c>
      <c r="G191" s="3">
        <f t="shared" si="101"/>
        <v>11126.477946790394</v>
      </c>
      <c r="H191" s="3">
        <f t="shared" si="101"/>
        <v>298560.49157220888</v>
      </c>
      <c r="I191" s="3"/>
      <c r="J191" s="3"/>
    </row>
    <row r="192" spans="1:10">
      <c r="A192">
        <f t="shared" ref="A192:H192" si="102">A61</f>
        <v>2016</v>
      </c>
      <c r="B192">
        <f t="shared" si="102"/>
        <v>23</v>
      </c>
      <c r="C192" s="3">
        <f t="shared" si="102"/>
        <v>193138.16323654316</v>
      </c>
      <c r="D192" s="3">
        <f t="shared" si="102"/>
        <v>25</v>
      </c>
      <c r="E192" s="3">
        <f t="shared" si="102"/>
        <v>48284.540809135789</v>
      </c>
      <c r="F192" s="3">
        <f t="shared" si="102"/>
        <v>57941.448970962949</v>
      </c>
      <c r="G192" s="3">
        <f t="shared" si="102"/>
        <v>11588.289794192589</v>
      </c>
      <c r="H192" s="3">
        <f t="shared" si="102"/>
        <v>310952.4428108345</v>
      </c>
      <c r="I192" s="3"/>
      <c r="J192" s="3"/>
    </row>
    <row r="193" spans="1:10">
      <c r="A193">
        <f t="shared" ref="A193:H193" si="103">A62</f>
        <v>2017</v>
      </c>
      <c r="B193">
        <f t="shared" si="103"/>
        <v>23</v>
      </c>
      <c r="C193" s="3">
        <f t="shared" si="103"/>
        <v>190048.50941209635</v>
      </c>
      <c r="D193" s="3">
        <f t="shared" si="103"/>
        <v>25</v>
      </c>
      <c r="E193" s="3">
        <f t="shared" si="103"/>
        <v>47512.127353024094</v>
      </c>
      <c r="F193" s="3">
        <f t="shared" si="103"/>
        <v>57014.552823628903</v>
      </c>
      <c r="G193" s="3">
        <f t="shared" si="103"/>
        <v>11402.91056472578</v>
      </c>
      <c r="H193" s="3">
        <f t="shared" si="103"/>
        <v>305978.10015347507</v>
      </c>
      <c r="I193" s="3"/>
      <c r="J193" s="3"/>
    </row>
    <row r="194" spans="1:10">
      <c r="A194">
        <f>A63</f>
        <v>2018</v>
      </c>
      <c r="B194">
        <f t="shared" ref="B194:H194" si="104">B63</f>
        <v>23</v>
      </c>
      <c r="C194" s="3">
        <f t="shared" si="104"/>
        <v>184000</v>
      </c>
      <c r="D194" s="3">
        <f t="shared" si="104"/>
        <v>25</v>
      </c>
      <c r="E194" s="3">
        <f t="shared" si="104"/>
        <v>46000</v>
      </c>
      <c r="F194" s="3">
        <f t="shared" si="104"/>
        <v>55200</v>
      </c>
      <c r="G194" s="3">
        <f t="shared" si="104"/>
        <v>11040</v>
      </c>
      <c r="H194" s="3">
        <f t="shared" si="104"/>
        <v>296240</v>
      </c>
      <c r="I194" s="3"/>
      <c r="J194" s="3"/>
    </row>
    <row r="195" spans="1:10">
      <c r="A195">
        <f t="shared" ref="A195:H195" si="105">A64</f>
        <v>2019</v>
      </c>
      <c r="B195">
        <f t="shared" si="105"/>
        <v>23</v>
      </c>
      <c r="C195" s="3">
        <f t="shared" si="105"/>
        <v>184000</v>
      </c>
      <c r="D195" s="3">
        <f t="shared" si="105"/>
        <v>25</v>
      </c>
      <c r="E195" s="3">
        <f t="shared" si="105"/>
        <v>46000</v>
      </c>
      <c r="F195" s="3">
        <f t="shared" si="105"/>
        <v>55200</v>
      </c>
      <c r="G195" s="3">
        <f t="shared" si="105"/>
        <v>11040</v>
      </c>
      <c r="H195" s="3">
        <f t="shared" si="105"/>
        <v>296240</v>
      </c>
      <c r="I195" s="3"/>
      <c r="J195" s="3"/>
    </row>
    <row r="196" spans="1:10">
      <c r="A196">
        <f t="shared" ref="A196:H196" si="106">A65</f>
        <v>2020</v>
      </c>
      <c r="B196">
        <f t="shared" si="106"/>
        <v>23</v>
      </c>
      <c r="C196" s="3">
        <f t="shared" si="106"/>
        <v>184000</v>
      </c>
      <c r="D196" s="3">
        <f t="shared" si="106"/>
        <v>25</v>
      </c>
      <c r="E196" s="3">
        <f t="shared" si="106"/>
        <v>46000</v>
      </c>
      <c r="F196" s="3">
        <f t="shared" si="106"/>
        <v>55200</v>
      </c>
      <c r="G196" s="3">
        <f t="shared" si="106"/>
        <v>11040</v>
      </c>
      <c r="H196" s="3">
        <f t="shared" si="106"/>
        <v>296240</v>
      </c>
      <c r="I196" s="3"/>
      <c r="J196" s="3"/>
    </row>
    <row r="197" spans="1:10">
      <c r="A197">
        <f t="shared" ref="A197:H197" si="107">A66</f>
        <v>2021</v>
      </c>
      <c r="B197">
        <f t="shared" si="107"/>
        <v>23</v>
      </c>
      <c r="C197" s="3">
        <f t="shared" si="107"/>
        <v>184000</v>
      </c>
      <c r="D197" s="3">
        <f t="shared" si="107"/>
        <v>25</v>
      </c>
      <c r="E197" s="3">
        <f t="shared" si="107"/>
        <v>46000</v>
      </c>
      <c r="F197" s="3">
        <f t="shared" si="107"/>
        <v>55200</v>
      </c>
      <c r="G197" s="3">
        <f t="shared" si="107"/>
        <v>11040</v>
      </c>
      <c r="H197" s="3">
        <f t="shared" si="107"/>
        <v>296240</v>
      </c>
      <c r="I197" s="3"/>
      <c r="J197" s="3"/>
    </row>
    <row r="198" spans="1:10">
      <c r="A198">
        <f t="shared" ref="A198:H198" si="108">A67</f>
        <v>2022</v>
      </c>
      <c r="B198">
        <f t="shared" si="108"/>
        <v>23</v>
      </c>
      <c r="C198" s="3">
        <f t="shared" si="108"/>
        <v>184000</v>
      </c>
      <c r="D198" s="3">
        <f t="shared" si="108"/>
        <v>25</v>
      </c>
      <c r="E198" s="3">
        <f t="shared" si="108"/>
        <v>46000</v>
      </c>
      <c r="F198" s="3">
        <f t="shared" si="108"/>
        <v>55200</v>
      </c>
      <c r="G198" s="3">
        <f t="shared" si="108"/>
        <v>11040</v>
      </c>
      <c r="H198" s="3">
        <f t="shared" si="108"/>
        <v>296240</v>
      </c>
      <c r="I198" s="3"/>
      <c r="J198" s="3"/>
    </row>
    <row r="199" spans="1:10">
      <c r="A199">
        <f t="shared" ref="A199:H199" si="109">A68</f>
        <v>2023</v>
      </c>
      <c r="B199">
        <f t="shared" si="109"/>
        <v>23</v>
      </c>
      <c r="C199" s="3">
        <f t="shared" si="109"/>
        <v>184000</v>
      </c>
      <c r="D199" s="3">
        <f t="shared" si="109"/>
        <v>25</v>
      </c>
      <c r="E199" s="3">
        <f t="shared" si="109"/>
        <v>46000</v>
      </c>
      <c r="F199" s="3">
        <f t="shared" si="109"/>
        <v>55200</v>
      </c>
      <c r="G199" s="3">
        <f t="shared" si="109"/>
        <v>11040</v>
      </c>
      <c r="H199" s="3">
        <f t="shared" si="109"/>
        <v>296240</v>
      </c>
      <c r="I199" s="3"/>
      <c r="J199" s="3"/>
    </row>
    <row r="200" spans="1:10">
      <c r="A200">
        <f t="shared" ref="A200:H200" si="110">A69</f>
        <v>2024</v>
      </c>
      <c r="B200">
        <f t="shared" si="110"/>
        <v>23</v>
      </c>
      <c r="C200" s="3">
        <f t="shared" si="110"/>
        <v>184000</v>
      </c>
      <c r="D200" s="3">
        <f t="shared" si="110"/>
        <v>25</v>
      </c>
      <c r="E200" s="3">
        <f t="shared" si="110"/>
        <v>46000</v>
      </c>
      <c r="F200" s="3">
        <f t="shared" si="110"/>
        <v>55200</v>
      </c>
      <c r="G200" s="3">
        <f t="shared" si="110"/>
        <v>11040</v>
      </c>
      <c r="H200" s="3">
        <f t="shared" si="110"/>
        <v>296240</v>
      </c>
      <c r="I200" s="3"/>
      <c r="J200" s="3"/>
    </row>
    <row r="201" spans="1:10">
      <c r="A201">
        <f t="shared" ref="A201:H201" si="111">A70</f>
        <v>2025</v>
      </c>
      <c r="B201">
        <f t="shared" si="111"/>
        <v>23</v>
      </c>
      <c r="C201" s="3">
        <f t="shared" si="111"/>
        <v>184000</v>
      </c>
      <c r="D201" s="3">
        <f t="shared" si="111"/>
        <v>25</v>
      </c>
      <c r="E201" s="3">
        <f t="shared" si="111"/>
        <v>46000</v>
      </c>
      <c r="F201" s="3">
        <f t="shared" si="111"/>
        <v>55200</v>
      </c>
      <c r="G201" s="3">
        <f t="shared" si="111"/>
        <v>11040</v>
      </c>
      <c r="H201" s="3">
        <f t="shared" si="111"/>
        <v>296240</v>
      </c>
      <c r="I201" s="3"/>
      <c r="J201" s="3"/>
    </row>
    <row r="202" spans="1:10">
      <c r="A202">
        <f t="shared" ref="A202:H202" si="112">A71</f>
        <v>2026</v>
      </c>
      <c r="B202">
        <f t="shared" si="112"/>
        <v>23</v>
      </c>
      <c r="C202" s="3">
        <f t="shared" si="112"/>
        <v>184000</v>
      </c>
      <c r="D202" s="3">
        <f t="shared" si="112"/>
        <v>25</v>
      </c>
      <c r="E202" s="3">
        <f t="shared" si="112"/>
        <v>46000</v>
      </c>
      <c r="F202" s="3">
        <f t="shared" si="112"/>
        <v>55200</v>
      </c>
      <c r="G202" s="3">
        <f t="shared" si="112"/>
        <v>11040</v>
      </c>
      <c r="H202" s="3">
        <f t="shared" si="112"/>
        <v>296240</v>
      </c>
      <c r="I202" s="3"/>
      <c r="J202" s="3"/>
    </row>
    <row r="203" spans="1:10">
      <c r="A203">
        <f t="shared" ref="A203:H203" si="113">A72</f>
        <v>2027</v>
      </c>
      <c r="B203">
        <f t="shared" si="113"/>
        <v>23</v>
      </c>
      <c r="C203" s="3">
        <f t="shared" si="113"/>
        <v>184000</v>
      </c>
      <c r="D203" s="3">
        <f t="shared" si="113"/>
        <v>25</v>
      </c>
      <c r="E203" s="3">
        <f t="shared" si="113"/>
        <v>46000</v>
      </c>
      <c r="F203" s="3">
        <f t="shared" si="113"/>
        <v>55200</v>
      </c>
      <c r="G203" s="3">
        <f t="shared" si="113"/>
        <v>11040</v>
      </c>
      <c r="H203" s="3">
        <f t="shared" si="113"/>
        <v>296240</v>
      </c>
      <c r="I203" s="3"/>
      <c r="J203" s="3"/>
    </row>
    <row r="204" spans="1:10">
      <c r="A204">
        <f t="shared" ref="A204:H204" si="114">A73</f>
        <v>2028</v>
      </c>
      <c r="B204">
        <f t="shared" si="114"/>
        <v>23</v>
      </c>
      <c r="C204" s="3">
        <f t="shared" si="114"/>
        <v>184000</v>
      </c>
      <c r="D204" s="3">
        <f t="shared" si="114"/>
        <v>25</v>
      </c>
      <c r="E204" s="3">
        <f t="shared" si="114"/>
        <v>46000</v>
      </c>
      <c r="F204" s="3">
        <f t="shared" si="114"/>
        <v>55200</v>
      </c>
      <c r="G204" s="3">
        <f t="shared" si="114"/>
        <v>11040</v>
      </c>
      <c r="H204" s="3">
        <f t="shared" si="114"/>
        <v>296240</v>
      </c>
      <c r="I204" s="3"/>
      <c r="J204" s="3"/>
    </row>
    <row r="205" spans="1:10">
      <c r="A205">
        <f t="shared" ref="A205:H205" si="115">A74</f>
        <v>2029</v>
      </c>
      <c r="B205">
        <f t="shared" si="115"/>
        <v>23</v>
      </c>
      <c r="C205" s="3">
        <f t="shared" si="115"/>
        <v>184000</v>
      </c>
      <c r="D205" s="3">
        <f t="shared" si="115"/>
        <v>25</v>
      </c>
      <c r="E205" s="3">
        <f t="shared" si="115"/>
        <v>46000</v>
      </c>
      <c r="F205" s="3">
        <f t="shared" si="115"/>
        <v>55200</v>
      </c>
      <c r="G205" s="3">
        <f t="shared" si="115"/>
        <v>11040</v>
      </c>
      <c r="H205" s="3">
        <f t="shared" si="115"/>
        <v>296240</v>
      </c>
      <c r="I205" s="3"/>
      <c r="J205" s="3"/>
    </row>
    <row r="206" spans="1:10">
      <c r="A206">
        <f t="shared" ref="A206:H206" si="116">A75</f>
        <v>2030</v>
      </c>
      <c r="B206">
        <f t="shared" si="116"/>
        <v>23</v>
      </c>
      <c r="C206" s="3">
        <f t="shared" si="116"/>
        <v>184000</v>
      </c>
      <c r="D206" s="3">
        <f t="shared" si="116"/>
        <v>25</v>
      </c>
      <c r="E206" s="3">
        <f t="shared" si="116"/>
        <v>46000</v>
      </c>
      <c r="F206" s="3">
        <f t="shared" si="116"/>
        <v>55200</v>
      </c>
      <c r="G206" s="3">
        <f t="shared" si="116"/>
        <v>11040</v>
      </c>
      <c r="H206" s="3">
        <f t="shared" si="116"/>
        <v>296240</v>
      </c>
      <c r="I206" s="3"/>
      <c r="J206" s="3"/>
    </row>
    <row r="207" spans="1:10">
      <c r="I207" s="3"/>
      <c r="J207" s="3"/>
    </row>
  </sheetData>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activeCell="L19" sqref="L19"/>
    </sheetView>
  </sheetViews>
  <sheetFormatPr defaultRowHeight="15"/>
  <sheetData>
    <row r="1" spans="1:12">
      <c r="J1" t="s">
        <v>454</v>
      </c>
    </row>
    <row r="2" spans="1:12">
      <c r="B2" t="s">
        <v>362</v>
      </c>
      <c r="H2" t="s">
        <v>251</v>
      </c>
    </row>
    <row r="3" spans="1:12">
      <c r="B3" t="s">
        <v>364</v>
      </c>
      <c r="C3" t="s">
        <v>365</v>
      </c>
      <c r="E3" t="s">
        <v>364</v>
      </c>
      <c r="F3" t="s">
        <v>365</v>
      </c>
      <c r="H3" t="s">
        <v>365</v>
      </c>
      <c r="I3" t="s">
        <v>365</v>
      </c>
      <c r="K3" t="s">
        <v>375</v>
      </c>
    </row>
    <row r="4" spans="1:12">
      <c r="B4" t="s">
        <v>363</v>
      </c>
      <c r="C4" t="s">
        <v>363</v>
      </c>
      <c r="D4" t="s">
        <v>366</v>
      </c>
      <c r="E4" t="s">
        <v>367</v>
      </c>
      <c r="F4" t="s">
        <v>367</v>
      </c>
      <c r="H4" t="s">
        <v>368</v>
      </c>
      <c r="I4" t="s">
        <v>349</v>
      </c>
      <c r="J4" t="s">
        <v>348</v>
      </c>
      <c r="K4" t="s">
        <v>374</v>
      </c>
      <c r="L4" t="s">
        <v>321</v>
      </c>
    </row>
    <row r="5" spans="1:12">
      <c r="A5">
        <v>2009</v>
      </c>
      <c r="J5" s="12">
        <v>0.154</v>
      </c>
      <c r="K5">
        <v>0.5</v>
      </c>
      <c r="L5" s="12">
        <f>J5</f>
        <v>0.154</v>
      </c>
    </row>
    <row r="6" spans="1:12">
      <c r="A6">
        <v>2010</v>
      </c>
      <c r="J6" s="12">
        <v>0.39</v>
      </c>
      <c r="K6">
        <v>0.5</v>
      </c>
      <c r="L6" s="12">
        <f>J6</f>
        <v>0.39</v>
      </c>
    </row>
    <row r="7" spans="1:12">
      <c r="A7">
        <v>2011</v>
      </c>
      <c r="J7" s="12">
        <v>1.84</v>
      </c>
      <c r="K7">
        <v>1.2</v>
      </c>
      <c r="L7" s="12">
        <f>J7</f>
        <v>1.84</v>
      </c>
    </row>
    <row r="8" spans="1:12">
      <c r="A8">
        <v>2012</v>
      </c>
      <c r="J8" s="12">
        <v>4.51</v>
      </c>
      <c r="K8">
        <v>3.4</v>
      </c>
      <c r="L8" s="12">
        <f>J8</f>
        <v>4.51</v>
      </c>
    </row>
    <row r="9" spans="1:12">
      <c r="A9">
        <v>2013</v>
      </c>
      <c r="B9">
        <v>0</v>
      </c>
      <c r="C9">
        <v>340</v>
      </c>
      <c r="D9">
        <v>328</v>
      </c>
      <c r="E9">
        <v>2086</v>
      </c>
      <c r="F9">
        <v>7882</v>
      </c>
      <c r="H9" s="12">
        <f>C9/1000</f>
        <v>0.34</v>
      </c>
      <c r="I9" s="12">
        <f>(D9+F9)/1000</f>
        <v>8.2100000000000009</v>
      </c>
      <c r="J9" s="12">
        <v>8.52</v>
      </c>
      <c r="K9">
        <v>8.6999999999999993</v>
      </c>
      <c r="L9" s="12">
        <f>AVERAGE(I9:J9)</f>
        <v>8.3650000000000002</v>
      </c>
    </row>
    <row r="10" spans="1:12">
      <c r="A10">
        <v>2014</v>
      </c>
      <c r="B10">
        <v>22</v>
      </c>
      <c r="C10">
        <v>555</v>
      </c>
      <c r="D10">
        <v>1678</v>
      </c>
      <c r="E10">
        <v>3063</v>
      </c>
      <c r="F10">
        <v>18090</v>
      </c>
      <c r="H10" s="12">
        <f>C10/1000</f>
        <v>0.55500000000000005</v>
      </c>
      <c r="I10" s="12">
        <f>(D10+F10)/1000</f>
        <v>19.768000000000001</v>
      </c>
      <c r="J10" s="12">
        <v>19.760000000000002</v>
      </c>
      <c r="K10">
        <v>20.3</v>
      </c>
      <c r="L10" s="12">
        <f>AVERAGE(I10:J10)</f>
        <v>19.764000000000003</v>
      </c>
    </row>
    <row r="11" spans="1:12">
      <c r="A11">
        <v>2015</v>
      </c>
      <c r="B11">
        <v>55</v>
      </c>
      <c r="C11">
        <v>712</v>
      </c>
      <c r="D11">
        <v>7964</v>
      </c>
      <c r="E11">
        <v>5122</v>
      </c>
      <c r="F11">
        <v>25779</v>
      </c>
      <c r="H11" s="12">
        <f>C11/1000</f>
        <v>0.71199999999999997</v>
      </c>
      <c r="I11" s="12">
        <f>(D11+F11)/1000</f>
        <v>33.743000000000002</v>
      </c>
      <c r="J11" s="88">
        <v>35.61</v>
      </c>
      <c r="K11">
        <v>34.5</v>
      </c>
      <c r="L11" s="12">
        <f>AVERAGE(I11:J11)</f>
        <v>34.676500000000004</v>
      </c>
    </row>
    <row r="12" spans="1:12">
      <c r="A12">
        <v>2016</v>
      </c>
      <c r="B12">
        <v>102</v>
      </c>
      <c r="C12">
        <v>607</v>
      </c>
      <c r="D12">
        <v>20663</v>
      </c>
      <c r="E12">
        <v>5281</v>
      </c>
      <c r="F12">
        <v>24222</v>
      </c>
      <c r="H12" s="12">
        <f>C12/1000</f>
        <v>0.60699999999999998</v>
      </c>
      <c r="I12" s="12">
        <f>(D12+F12)/1000</f>
        <v>44.884999999999998</v>
      </c>
      <c r="J12" s="88">
        <v>50.18</v>
      </c>
      <c r="L12" s="12">
        <f>AVERAGE(I12:J12)</f>
        <v>47.532499999999999</v>
      </c>
    </row>
    <row r="13" spans="1:12">
      <c r="A13">
        <v>2017</v>
      </c>
      <c r="B13">
        <v>176</v>
      </c>
      <c r="C13">
        <v>742</v>
      </c>
      <c r="D13">
        <v>29236</v>
      </c>
      <c r="E13">
        <v>8558</v>
      </c>
      <c r="F13">
        <v>33025</v>
      </c>
      <c r="H13" s="12">
        <f>C13/1000</f>
        <v>0.74199999999999999</v>
      </c>
      <c r="I13" s="12">
        <f>(D13+F13)/1000</f>
        <v>62.261000000000003</v>
      </c>
      <c r="J13" s="12">
        <v>62.19080000000001</v>
      </c>
      <c r="L13" s="12">
        <f>AVERAGE(I13:J13)</f>
        <v>62.22590000000001</v>
      </c>
    </row>
    <row r="16" spans="1:12">
      <c r="J16" s="87" t="s">
        <v>338</v>
      </c>
    </row>
    <row r="31" spans="2:13">
      <c r="D31" t="s">
        <v>371</v>
      </c>
      <c r="F31">
        <v>2015</v>
      </c>
      <c r="G31">
        <v>2014</v>
      </c>
      <c r="H31">
        <v>2013</v>
      </c>
      <c r="I31">
        <v>2012</v>
      </c>
      <c r="J31">
        <v>2011</v>
      </c>
      <c r="K31">
        <v>2010</v>
      </c>
      <c r="L31">
        <v>2009</v>
      </c>
      <c r="M31">
        <v>2008</v>
      </c>
    </row>
    <row r="32" spans="2:13" ht="30" customHeight="1">
      <c r="B32" s="271" t="s">
        <v>369</v>
      </c>
      <c r="C32" s="271"/>
      <c r="D32" s="109">
        <v>11648</v>
      </c>
      <c r="E32" s="110">
        <v>0.13800000000000001</v>
      </c>
      <c r="F32" s="109">
        <v>5177</v>
      </c>
      <c r="G32" s="109">
        <v>3085</v>
      </c>
      <c r="H32" s="109">
        <v>2086</v>
      </c>
      <c r="I32" s="272"/>
      <c r="J32" s="272"/>
      <c r="K32" s="272"/>
      <c r="L32" s="272"/>
      <c r="M32" s="272"/>
    </row>
    <row r="33" spans="2:13" ht="30" customHeight="1">
      <c r="B33" s="271" t="s">
        <v>370</v>
      </c>
      <c r="C33" s="271"/>
      <c r="D33" s="111">
        <v>84401</v>
      </c>
      <c r="E33" s="112"/>
      <c r="F33" s="111">
        <v>39632</v>
      </c>
      <c r="G33" s="111">
        <v>23408</v>
      </c>
      <c r="H33" s="111">
        <v>10769</v>
      </c>
      <c r="I33" s="111">
        <v>4700</v>
      </c>
      <c r="J33" s="111">
        <v>2243</v>
      </c>
      <c r="K33" s="113">
        <v>733</v>
      </c>
      <c r="L33" s="113">
        <v>454</v>
      </c>
      <c r="M33" s="113">
        <v>567</v>
      </c>
    </row>
    <row r="34" spans="2:13">
      <c r="C34" t="s">
        <v>372</v>
      </c>
      <c r="F34" s="92">
        <f>F32</f>
        <v>5177</v>
      </c>
      <c r="G34" s="92">
        <f>G32</f>
        <v>3085</v>
      </c>
      <c r="H34" s="92">
        <f>H32</f>
        <v>2086</v>
      </c>
      <c r="I34">
        <v>1300</v>
      </c>
      <c r="J34">
        <v>1000</v>
      </c>
      <c r="K34">
        <v>200</v>
      </c>
      <c r="L34">
        <v>0</v>
      </c>
      <c r="M34">
        <v>0</v>
      </c>
    </row>
    <row r="35" spans="2:13">
      <c r="C35" t="s">
        <v>373</v>
      </c>
      <c r="F35" s="92">
        <f>F33-F34</f>
        <v>34455</v>
      </c>
      <c r="G35" s="92">
        <f t="shared" ref="G35:M35" si="0">G33-G34</f>
        <v>20323</v>
      </c>
      <c r="H35" s="92">
        <f t="shared" si="0"/>
        <v>8683</v>
      </c>
      <c r="I35" s="92">
        <f t="shared" si="0"/>
        <v>3400</v>
      </c>
      <c r="J35" s="92">
        <f t="shared" si="0"/>
        <v>1243</v>
      </c>
      <c r="K35" s="92">
        <f t="shared" si="0"/>
        <v>533</v>
      </c>
      <c r="L35" s="92">
        <f t="shared" si="0"/>
        <v>454</v>
      </c>
      <c r="M35" s="92">
        <f t="shared" si="0"/>
        <v>567</v>
      </c>
    </row>
    <row r="36" spans="2:13">
      <c r="C36" t="s">
        <v>373</v>
      </c>
      <c r="D36" t="s">
        <v>251</v>
      </c>
      <c r="F36" s="12">
        <f>F35/1000</f>
        <v>34.454999999999998</v>
      </c>
      <c r="G36" s="12">
        <f t="shared" ref="G36:M36" si="1">G35/1000</f>
        <v>20.323</v>
      </c>
      <c r="H36" s="12">
        <f t="shared" si="1"/>
        <v>8.6829999999999998</v>
      </c>
      <c r="I36" s="12">
        <f t="shared" si="1"/>
        <v>3.4</v>
      </c>
      <c r="J36" s="12">
        <f t="shared" si="1"/>
        <v>1.2430000000000001</v>
      </c>
      <c r="K36" s="12">
        <f t="shared" si="1"/>
        <v>0.53300000000000003</v>
      </c>
      <c r="L36" s="12">
        <f t="shared" si="1"/>
        <v>0.45400000000000001</v>
      </c>
      <c r="M36" s="12">
        <f t="shared" si="1"/>
        <v>0.56699999999999995</v>
      </c>
    </row>
  </sheetData>
  <mergeCells count="3">
    <mergeCell ref="B32:C32"/>
    <mergeCell ref="I32:M32"/>
    <mergeCell ref="B33:C33"/>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7109375" customWidth="1"/>
    <col min="2" max="7" width="13.28515625" customWidth="1"/>
  </cols>
  <sheetData>
    <row r="1" spans="1:7">
      <c r="A1" t="s">
        <v>148</v>
      </c>
    </row>
    <row r="2" spans="1:7" ht="15.75" thickBot="1"/>
    <row r="3" spans="1:7">
      <c r="A3" s="44" t="s">
        <v>149</v>
      </c>
      <c r="B3" s="44"/>
    </row>
    <row r="4" spans="1:7">
      <c r="A4" s="41" t="s">
        <v>150</v>
      </c>
      <c r="B4" s="41">
        <v>0.99841309343698437</v>
      </c>
    </row>
    <row r="5" spans="1:7">
      <c r="A5" s="41" t="s">
        <v>151</v>
      </c>
      <c r="B5" s="41">
        <v>0.99682870514640842</v>
      </c>
    </row>
    <row r="6" spans="1:7">
      <c r="A6" s="41" t="s">
        <v>152</v>
      </c>
      <c r="B6" s="41">
        <v>0.99365741029281685</v>
      </c>
    </row>
    <row r="7" spans="1:7">
      <c r="A7" s="41" t="s">
        <v>153</v>
      </c>
      <c r="B7" s="41">
        <v>4.5701169233853881E-2</v>
      </c>
    </row>
    <row r="8" spans="1:7" ht="15.75" thickBot="1">
      <c r="A8" s="42" t="s">
        <v>154</v>
      </c>
      <c r="B8" s="42">
        <v>5</v>
      </c>
    </row>
    <row r="10" spans="1:7" ht="15.75" thickBot="1">
      <c r="A10" t="s">
        <v>155</v>
      </c>
    </row>
    <row r="11" spans="1:7">
      <c r="A11" s="43"/>
      <c r="B11" s="43" t="s">
        <v>160</v>
      </c>
      <c r="C11" s="43" t="s">
        <v>161</v>
      </c>
      <c r="D11" s="43" t="s">
        <v>162</v>
      </c>
      <c r="E11" s="43" t="s">
        <v>163</v>
      </c>
      <c r="F11" s="43" t="s">
        <v>164</v>
      </c>
    </row>
    <row r="12" spans="1:7">
      <c r="A12" s="41" t="s">
        <v>156</v>
      </c>
      <c r="B12" s="41">
        <v>2</v>
      </c>
      <c r="C12" s="41">
        <v>1.31301150410565</v>
      </c>
      <c r="D12" s="41">
        <v>0.65650575205282502</v>
      </c>
      <c r="E12" s="41">
        <v>314.32861060442781</v>
      </c>
      <c r="F12" s="41">
        <v>3.1712948535915623E-3</v>
      </c>
    </row>
    <row r="13" spans="1:7">
      <c r="A13" s="41" t="s">
        <v>157</v>
      </c>
      <c r="B13" s="41">
        <v>2</v>
      </c>
      <c r="C13" s="41">
        <v>4.1771937386827053E-3</v>
      </c>
      <c r="D13" s="41">
        <v>2.0885968693413527E-3</v>
      </c>
      <c r="E13" s="41"/>
      <c r="F13" s="41"/>
    </row>
    <row r="14" spans="1:7" ht="15.75" thickBot="1">
      <c r="A14" s="42" t="s">
        <v>158</v>
      </c>
      <c r="B14" s="42">
        <v>4</v>
      </c>
      <c r="C14" s="42">
        <v>1.3171886978443328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-6.7904641592006421</v>
      </c>
      <c r="C17" s="41">
        <v>0.16977230868699011</v>
      </c>
      <c r="D17" s="41">
        <v>-39.997477867372638</v>
      </c>
      <c r="E17" s="41">
        <v>6.2449334871056449E-4</v>
      </c>
      <c r="F17" s="41">
        <v>-7.5209354466085889</v>
      </c>
      <c r="G17" s="41">
        <v>-6.0599928717926952</v>
      </c>
    </row>
    <row r="18" spans="1:7">
      <c r="A18" s="41" t="s">
        <v>329</v>
      </c>
      <c r="B18" s="41">
        <v>0.26369581914817253</v>
      </c>
      <c r="C18" s="41">
        <v>2.0438184211623849E-2</v>
      </c>
      <c r="D18" s="41">
        <v>12.902115785716438</v>
      </c>
      <c r="E18" s="41">
        <v>5.953688677198826E-3</v>
      </c>
      <c r="F18" s="41">
        <v>0.17575741005890677</v>
      </c>
      <c r="G18" s="41">
        <v>0.35163422823743828</v>
      </c>
    </row>
    <row r="19" spans="1:7" ht="15.75" thickBot="1">
      <c r="A19" s="42" t="s">
        <v>1340</v>
      </c>
      <c r="B19" s="42">
        <v>-0.43924467989783833</v>
      </c>
      <c r="C19" s="42">
        <v>7.2259893255895283E-2</v>
      </c>
      <c r="D19" s="42">
        <v>-6.0786787816352446</v>
      </c>
      <c r="E19" s="42">
        <v>2.6012032574115156E-2</v>
      </c>
      <c r="F19" s="42">
        <v>-0.75015390686672101</v>
      </c>
      <c r="G19" s="42">
        <v>-0.12833545292895565</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12" width="12.5703125" customWidth="1"/>
  </cols>
  <sheetData>
    <row r="1" spans="1:35">
      <c r="P1" s="14"/>
      <c r="R1" s="236" t="s">
        <v>1318</v>
      </c>
      <c r="S1" s="236"/>
      <c r="T1" s="236"/>
      <c r="U1" s="236"/>
      <c r="W1" s="236" t="s">
        <v>1318</v>
      </c>
      <c r="X1" s="236"/>
      <c r="Y1" s="236"/>
      <c r="Z1" s="236"/>
    </row>
    <row r="2" spans="1:35">
      <c r="B2" t="s">
        <v>545</v>
      </c>
      <c r="C2" t="s">
        <v>282</v>
      </c>
      <c r="L2" t="s">
        <v>282</v>
      </c>
      <c r="S2" t="s">
        <v>1172</v>
      </c>
      <c r="X2" t="s">
        <v>1184</v>
      </c>
      <c r="AB2" t="s">
        <v>960</v>
      </c>
    </row>
    <row r="3" spans="1:35">
      <c r="B3" t="s">
        <v>1299</v>
      </c>
      <c r="C3" s="14"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1207</v>
      </c>
      <c r="AD3" t="s">
        <v>1316</v>
      </c>
      <c r="AE3" t="s">
        <v>1319</v>
      </c>
      <c r="AF3" t="s">
        <v>943</v>
      </c>
      <c r="AH3" t="s">
        <v>329</v>
      </c>
      <c r="AI3" t="s">
        <v>1340</v>
      </c>
    </row>
    <row r="4" spans="1:35">
      <c r="A4">
        <v>2009</v>
      </c>
      <c r="B4" s="13">
        <f>'EV %sales'!S67</f>
        <v>0</v>
      </c>
      <c r="C4" s="20"/>
      <c r="D4" s="13"/>
      <c r="E4" s="13"/>
      <c r="F4" s="84"/>
      <c r="G4" s="84"/>
      <c r="H4" s="84"/>
      <c r="I4" s="13"/>
      <c r="J4" s="13"/>
      <c r="K4" s="13"/>
      <c r="L4" s="13"/>
      <c r="M4" s="13"/>
      <c r="N4" s="13"/>
      <c r="O4" s="13"/>
      <c r="P4" s="13"/>
      <c r="R4">
        <v>2009</v>
      </c>
      <c r="W4">
        <v>2009</v>
      </c>
      <c r="AB4" s="13"/>
      <c r="AC4" s="13"/>
    </row>
    <row r="5" spans="1:35">
      <c r="A5">
        <v>2010</v>
      </c>
      <c r="B5" s="13">
        <f>'EV %sales'!S68</f>
        <v>7.4346792139609015E-3</v>
      </c>
      <c r="C5" s="20"/>
      <c r="D5" s="13"/>
      <c r="E5" s="13"/>
      <c r="F5" s="230"/>
      <c r="G5" s="230"/>
      <c r="H5" s="230"/>
      <c r="I5" s="13"/>
      <c r="J5" s="13"/>
      <c r="K5" s="13"/>
      <c r="L5" s="13"/>
      <c r="M5" s="13"/>
      <c r="N5" s="13"/>
      <c r="O5" s="13"/>
      <c r="P5" s="13"/>
      <c r="R5">
        <v>2010</v>
      </c>
      <c r="W5">
        <v>2010</v>
      </c>
      <c r="AB5" s="13"/>
      <c r="AC5" s="13"/>
      <c r="AD5" s="155"/>
      <c r="AE5" s="33">
        <f t="shared" ref="AE5:AE50" si="0">AE$55+AE$56*AH5+AE$57*AI5</f>
        <v>-6.9660130199503074</v>
      </c>
      <c r="AF5" s="33">
        <f>AE5</f>
        <v>-6.9660130199503074</v>
      </c>
      <c r="AH5">
        <v>1</v>
      </c>
      <c r="AI5">
        <v>1</v>
      </c>
    </row>
    <row r="6" spans="1:35">
      <c r="A6">
        <v>2011</v>
      </c>
      <c r="B6" s="13">
        <f>'EV %sales'!S69</f>
        <v>7.1282011934786851E-2</v>
      </c>
      <c r="C6" s="20"/>
      <c r="D6" s="13"/>
      <c r="E6" s="13"/>
      <c r="F6" s="230"/>
      <c r="G6" s="230"/>
      <c r="H6" s="230"/>
      <c r="I6" s="13"/>
      <c r="J6" s="13"/>
      <c r="K6" s="13"/>
      <c r="L6" s="13"/>
      <c r="M6" s="13"/>
      <c r="N6" s="13"/>
      <c r="O6" s="13"/>
      <c r="P6" s="13"/>
      <c r="R6">
        <v>2011</v>
      </c>
      <c r="W6">
        <v>2011</v>
      </c>
      <c r="AB6" s="13">
        <f>65*EXP(AF6)/(1+EXP(AF6))</f>
        <v>7.9726181987478606E-2</v>
      </c>
      <c r="AC6" s="13"/>
      <c r="AD6" s="33"/>
      <c r="AE6" s="33">
        <f t="shared" si="0"/>
        <v>-6.7023172008021348</v>
      </c>
      <c r="AF6" s="33">
        <f t="shared" ref="AF6:AF35" si="1">AE6</f>
        <v>-6.7023172008021348</v>
      </c>
      <c r="AH6">
        <v>2</v>
      </c>
      <c r="AI6">
        <v>1</v>
      </c>
    </row>
    <row r="7" spans="1:35">
      <c r="A7">
        <v>2012</v>
      </c>
      <c r="B7" s="13">
        <f>'EV %sales'!S70</f>
        <v>7.8903470466230891E-2</v>
      </c>
      <c r="C7" s="13">
        <f t="shared" ref="C7:C17" si="2">D7</f>
        <v>0.10374374152131341</v>
      </c>
      <c r="D7" s="84">
        <f>65*EXP(E7)/(1+EXP(E7))</f>
        <v>0.10374374152131341</v>
      </c>
      <c r="E7" s="84">
        <f>J7-SUM(F7:F$7)</f>
        <v>-6.4386213816539621</v>
      </c>
      <c r="F7" s="13">
        <f>I7*G7</f>
        <v>0</v>
      </c>
      <c r="G7" s="13">
        <f>IF(H7&lt;0,0,H7)</f>
        <v>1</v>
      </c>
      <c r="H7" s="13">
        <v>1</v>
      </c>
      <c r="I7" s="13">
        <v>0</v>
      </c>
      <c r="J7" s="13">
        <f>LN(L7/(65-L7))</f>
        <v>-6.4386213816539621</v>
      </c>
      <c r="K7" s="13"/>
      <c r="L7" s="84">
        <f t="shared" ref="L7:L14" si="3">M7</f>
        <v>0.10374374152131341</v>
      </c>
      <c r="M7" s="13">
        <f t="shared" ref="M7:M50" si="4">LOOKUP(ROUND(N7,0),A$4:A$50,AB$4:AB$50)</f>
        <v>0.10374374152131341</v>
      </c>
      <c r="N7" s="13">
        <f t="shared" ref="N7:N50" si="5">A7-(O7-O$11)</f>
        <v>2012.1684498640936</v>
      </c>
      <c r="O7" s="13">
        <f t="shared" ref="O7:O50" si="6">AA$56+AA$57*P7+AA$66*1</f>
        <v>2021.470007724085</v>
      </c>
      <c r="P7" s="13">
        <f>1/Spain!R84</f>
        <v>1.0161023226594827</v>
      </c>
      <c r="R7">
        <v>2012</v>
      </c>
      <c r="S7" s="13">
        <v>0.10374374152131341</v>
      </c>
      <c r="T7" s="13">
        <v>0.10374374152131341</v>
      </c>
      <c r="U7" s="13">
        <v>0.10374374152131341</v>
      </c>
      <c r="W7">
        <v>2012</v>
      </c>
      <c r="X7" s="13">
        <v>0.10374374152131341</v>
      </c>
      <c r="Y7" s="13">
        <f>T7</f>
        <v>0.10374374152131341</v>
      </c>
      <c r="Z7" s="13">
        <v>0.10374374152131341</v>
      </c>
      <c r="AB7" s="13">
        <f>65*EXP(AF7)/(1+EXP(AF7))</f>
        <v>0.10374374152131341</v>
      </c>
      <c r="AC7" s="13"/>
      <c r="AD7" s="33"/>
      <c r="AE7" s="33">
        <f t="shared" si="0"/>
        <v>-6.4386213816539621</v>
      </c>
      <c r="AF7" s="33">
        <f t="shared" si="1"/>
        <v>-6.4386213816539621</v>
      </c>
      <c r="AH7">
        <v>3</v>
      </c>
      <c r="AI7">
        <v>1</v>
      </c>
    </row>
    <row r="8" spans="1:35">
      <c r="A8">
        <v>2013</v>
      </c>
      <c r="B8" s="13">
        <f>'EV %sales'!S71</f>
        <v>0.13947638241435278</v>
      </c>
      <c r="C8" s="13">
        <f t="shared" si="2"/>
        <v>0.13498156151751803</v>
      </c>
      <c r="D8" s="84">
        <f t="shared" ref="D8:D49" si="7">65*EXP(E8)/(1+EXP(E8))</f>
        <v>0.13498156151751803</v>
      </c>
      <c r="E8" s="84">
        <f>J8-SUM(F$7:F8)</f>
        <v>-6.1749255625057895</v>
      </c>
      <c r="F8" s="13">
        <f t="shared" ref="F8:F50" si="8">I8*G8</f>
        <v>0</v>
      </c>
      <c r="G8" s="13">
        <f t="shared" ref="G8:G50" si="9">IF(H8&lt;0,0,H8)</f>
        <v>1</v>
      </c>
      <c r="H8" s="13">
        <v>1</v>
      </c>
      <c r="I8" s="13">
        <v>0</v>
      </c>
      <c r="J8" s="13">
        <f t="shared" ref="J8:J47" si="10">LN(L8/(65-L8))</f>
        <v>-6.1749255625057895</v>
      </c>
      <c r="K8" s="13"/>
      <c r="L8" s="84">
        <f t="shared" si="3"/>
        <v>0.13498156151751803</v>
      </c>
      <c r="M8" s="13">
        <f t="shared" si="4"/>
        <v>0.13498156151751803</v>
      </c>
      <c r="N8" s="13">
        <f t="shared" si="5"/>
        <v>2013.0269098922679</v>
      </c>
      <c r="O8" s="13">
        <f t="shared" si="6"/>
        <v>2021.6115476959108</v>
      </c>
      <c r="P8" s="13">
        <f>1/Spain!R85</f>
        <v>1.0292274367509304</v>
      </c>
      <c r="R8">
        <v>2013</v>
      </c>
      <c r="S8" s="13">
        <v>0.13498156151751803</v>
      </c>
      <c r="T8" s="13">
        <v>0.13498156151751803</v>
      </c>
      <c r="U8" s="13">
        <v>0.13498156151751803</v>
      </c>
      <c r="W8">
        <v>2013</v>
      </c>
      <c r="X8" s="13">
        <v>0.13498156151751803</v>
      </c>
      <c r="Y8" s="13">
        <f t="shared" ref="Y8:Y45" si="11">T8</f>
        <v>0.13498156151751803</v>
      </c>
      <c r="Z8" s="13">
        <v>0.13498156151751803</v>
      </c>
      <c r="AB8" s="13">
        <f>65*EXP(AF8)/(1+EXP(AF8))</f>
        <v>0.13498156151751803</v>
      </c>
      <c r="AC8" s="13"/>
      <c r="AD8" s="33">
        <f t="shared" ref="AD8:AD13" si="12">LN(B8/(65-B8))</f>
        <v>-6.1420991676329351</v>
      </c>
      <c r="AE8" s="33">
        <f t="shared" si="0"/>
        <v>-6.1749255625057895</v>
      </c>
      <c r="AF8" s="33">
        <f t="shared" si="1"/>
        <v>-6.1749255625057895</v>
      </c>
      <c r="AH8">
        <v>4</v>
      </c>
      <c r="AI8">
        <v>1</v>
      </c>
    </row>
    <row r="9" spans="1:35">
      <c r="A9">
        <v>2014</v>
      </c>
      <c r="B9" s="13">
        <f>'EV %sales'!S72</f>
        <v>0.16976340686629846</v>
      </c>
      <c r="C9" s="13">
        <f t="shared" si="2"/>
        <v>0.13498156151751803</v>
      </c>
      <c r="D9" s="84">
        <f t="shared" si="7"/>
        <v>0.13498156151751803</v>
      </c>
      <c r="E9" s="84">
        <f>J9-SUM(F$7:F9)</f>
        <v>-6.1749255625057895</v>
      </c>
      <c r="F9" s="13">
        <f t="shared" si="8"/>
        <v>0</v>
      </c>
      <c r="G9" s="13">
        <f t="shared" si="9"/>
        <v>1</v>
      </c>
      <c r="H9" s="13">
        <v>1</v>
      </c>
      <c r="I9" s="13">
        <v>0</v>
      </c>
      <c r="J9" s="13">
        <f t="shared" si="10"/>
        <v>-6.1749255625057895</v>
      </c>
      <c r="K9" s="13"/>
      <c r="L9" s="84">
        <f t="shared" si="3"/>
        <v>0.13498156151751803</v>
      </c>
      <c r="M9" s="13">
        <f t="shared" si="4"/>
        <v>0.13498156151751803</v>
      </c>
      <c r="N9" s="13">
        <f t="shared" si="5"/>
        <v>2013.09843085897</v>
      </c>
      <c r="O9" s="13">
        <f t="shared" si="6"/>
        <v>2022.5400267292086</v>
      </c>
      <c r="P9" s="13">
        <f>1/Spain!R86</f>
        <v>1.115326035516653</v>
      </c>
      <c r="R9">
        <v>2014</v>
      </c>
      <c r="S9" s="13">
        <v>0.13498156151751803</v>
      </c>
      <c r="T9" s="13">
        <v>0.13498156151751803</v>
      </c>
      <c r="U9" s="13">
        <v>0.13498156151751803</v>
      </c>
      <c r="W9">
        <v>2014</v>
      </c>
      <c r="X9" s="13">
        <v>0.13498156151751803</v>
      </c>
      <c r="Y9" s="13">
        <f t="shared" si="11"/>
        <v>0.13498156151751803</v>
      </c>
      <c r="Z9" s="13">
        <v>0.13498156151751803</v>
      </c>
      <c r="AB9" s="13">
        <f>65*EXP(AF9)/(1+EXP(AF9))</f>
        <v>0.17559981263618776</v>
      </c>
      <c r="AC9" s="13"/>
      <c r="AD9" s="33">
        <f t="shared" si="12"/>
        <v>-5.9451216442148302</v>
      </c>
      <c r="AE9" s="33">
        <f t="shared" si="0"/>
        <v>-5.9112297433576177</v>
      </c>
      <c r="AF9" s="33">
        <f t="shared" si="1"/>
        <v>-5.9112297433576177</v>
      </c>
      <c r="AH9">
        <v>5</v>
      </c>
      <c r="AI9">
        <v>1</v>
      </c>
    </row>
    <row r="10" spans="1:35">
      <c r="A10">
        <v>2015</v>
      </c>
      <c r="B10" s="13">
        <f>'EV %sales'!S73</f>
        <v>0.22151702906117776</v>
      </c>
      <c r="C10" s="13">
        <f t="shared" si="2"/>
        <v>0.2283977496812255</v>
      </c>
      <c r="D10" s="84">
        <f t="shared" si="7"/>
        <v>0.2283977496812255</v>
      </c>
      <c r="E10" s="84">
        <f>J10-SUM(F$7:F10)</f>
        <v>-5.6475339242094451</v>
      </c>
      <c r="F10" s="13">
        <f t="shared" si="8"/>
        <v>0</v>
      </c>
      <c r="G10" s="13">
        <f t="shared" si="9"/>
        <v>1</v>
      </c>
      <c r="H10" s="13">
        <v>1</v>
      </c>
      <c r="I10" s="13">
        <v>0</v>
      </c>
      <c r="J10" s="13">
        <f t="shared" si="10"/>
        <v>-5.6475339242094451</v>
      </c>
      <c r="K10" s="13"/>
      <c r="L10" s="84">
        <f t="shared" si="3"/>
        <v>0.2283977496812255</v>
      </c>
      <c r="M10" s="13">
        <f t="shared" si="4"/>
        <v>0.2283977496812255</v>
      </c>
      <c r="N10" s="13">
        <f t="shared" si="5"/>
        <v>2014.9788741386617</v>
      </c>
      <c r="O10" s="13">
        <f t="shared" si="6"/>
        <v>2021.659583449517</v>
      </c>
      <c r="P10" s="13">
        <f>1/Spain!R87</f>
        <v>1.033681830364386</v>
      </c>
      <c r="R10">
        <v>2015</v>
      </c>
      <c r="S10" s="13">
        <v>0.2283977496812255</v>
      </c>
      <c r="T10" s="13">
        <v>0.2283977496812255</v>
      </c>
      <c r="U10" s="13">
        <v>0.2283977496812255</v>
      </c>
      <c r="W10">
        <v>2015</v>
      </c>
      <c r="X10" s="13">
        <v>0.2283977496812255</v>
      </c>
      <c r="Y10" s="13">
        <f t="shared" si="11"/>
        <v>0.2283977496812255</v>
      </c>
      <c r="Z10" s="13">
        <v>0.2283977496812255</v>
      </c>
      <c r="AB10" s="13">
        <f t="shared" ref="AB10:AB50" si="13">65*EXP(AE10)/(1+EXP(AE10))</f>
        <v>0.2283977496812255</v>
      </c>
      <c r="AC10" s="13"/>
      <c r="AD10" s="33">
        <f t="shared" si="12"/>
        <v>-5.6782293071135816</v>
      </c>
      <c r="AE10" s="33">
        <f t="shared" si="0"/>
        <v>-5.6475339242094451</v>
      </c>
      <c r="AF10" s="33">
        <f t="shared" si="1"/>
        <v>-5.6475339242094451</v>
      </c>
      <c r="AH10">
        <v>6</v>
      </c>
      <c r="AI10">
        <v>1</v>
      </c>
    </row>
    <row r="11" spans="1:35">
      <c r="A11">
        <v>2016</v>
      </c>
      <c r="B11" s="13">
        <f>'EV %sales'!S74</f>
        <v>0.30653692610419991</v>
      </c>
      <c r="C11" s="13">
        <f t="shared" si="2"/>
        <v>0.29699781325595348</v>
      </c>
      <c r="D11" s="84">
        <f t="shared" si="7"/>
        <v>0.29699781325595348</v>
      </c>
      <c r="E11" s="84">
        <f>J11-SUM(F$7:F11)</f>
        <v>-5.3838381050612725</v>
      </c>
      <c r="F11" s="13">
        <f t="shared" si="8"/>
        <v>0</v>
      </c>
      <c r="G11" s="13">
        <f t="shared" si="9"/>
        <v>1</v>
      </c>
      <c r="H11" s="13">
        <v>1</v>
      </c>
      <c r="I11" s="13">
        <v>0</v>
      </c>
      <c r="J11" s="13">
        <f t="shared" si="10"/>
        <v>-5.3838381050612725</v>
      </c>
      <c r="K11" s="13"/>
      <c r="L11" s="84">
        <f t="shared" si="3"/>
        <v>0.29699781325595348</v>
      </c>
      <c r="M11" s="13">
        <f t="shared" si="4"/>
        <v>0.29699781325595348</v>
      </c>
      <c r="N11" s="13">
        <f t="shared" si="5"/>
        <v>2016</v>
      </c>
      <c r="O11" s="13">
        <f t="shared" si="6"/>
        <v>2021.6384575881787</v>
      </c>
      <c r="P11" s="13">
        <f>1/Spain!R88</f>
        <v>1.0317228124504441</v>
      </c>
      <c r="R11">
        <v>2016</v>
      </c>
      <c r="S11" s="13">
        <v>0.29699781325595348</v>
      </c>
      <c r="T11" s="13">
        <v>0.29699781325595348</v>
      </c>
      <c r="U11" s="13">
        <v>0.29699781325595348</v>
      </c>
      <c r="W11">
        <v>2016</v>
      </c>
      <c r="X11" s="13">
        <v>0.29699781325595348</v>
      </c>
      <c r="Y11" s="13">
        <f t="shared" si="11"/>
        <v>0.29699781325595348</v>
      </c>
      <c r="Z11" s="13">
        <v>0.29699781325595348</v>
      </c>
      <c r="AB11" s="13">
        <f t="shared" si="13"/>
        <v>0.29699781325595348</v>
      </c>
      <c r="AC11" s="13"/>
      <c r="AD11" s="33">
        <f t="shared" si="12"/>
        <v>-5.3520772161727761</v>
      </c>
      <c r="AE11" s="33">
        <f t="shared" si="0"/>
        <v>-5.3838381050612725</v>
      </c>
      <c r="AF11" s="33">
        <f t="shared" si="1"/>
        <v>-5.3838381050612725</v>
      </c>
      <c r="AH11">
        <v>7</v>
      </c>
      <c r="AI11">
        <v>1</v>
      </c>
    </row>
    <row r="12" spans="1:35">
      <c r="A12">
        <v>2017</v>
      </c>
      <c r="B12" s="13">
        <f>'EV %sales'!S75</f>
        <v>0.5903163820488756</v>
      </c>
      <c r="C12" s="13">
        <f t="shared" si="2"/>
        <v>0.59705961331901092</v>
      </c>
      <c r="D12" s="84">
        <f>65*EXP(E12)/(1+EXP(E12))</f>
        <v>0.59705961331901092</v>
      </c>
      <c r="E12" s="84">
        <f>J12-SUM(F$7:F12)</f>
        <v>-4.6808976060152618</v>
      </c>
      <c r="F12" s="13">
        <f t="shared" si="8"/>
        <v>0</v>
      </c>
      <c r="G12" s="13">
        <f t="shared" si="9"/>
        <v>1</v>
      </c>
      <c r="H12" s="13">
        <v>1</v>
      </c>
      <c r="I12" s="13">
        <v>0</v>
      </c>
      <c r="J12" s="13">
        <f t="shared" si="10"/>
        <v>-4.6808976060152618</v>
      </c>
      <c r="K12" s="13"/>
      <c r="L12" s="84">
        <f t="shared" si="3"/>
        <v>0.59705961331901092</v>
      </c>
      <c r="M12" s="13">
        <f t="shared" si="4"/>
        <v>0.59705961331901092</v>
      </c>
      <c r="N12" s="13">
        <f t="shared" si="5"/>
        <v>2017.0564736644219</v>
      </c>
      <c r="O12" s="13">
        <f t="shared" si="6"/>
        <v>2021.5819839237568</v>
      </c>
      <c r="P12" s="13">
        <f>1/Spain!R89</f>
        <v>1.0264859646601201</v>
      </c>
      <c r="R12">
        <v>2017</v>
      </c>
      <c r="S12" s="13">
        <v>0.59705961331901092</v>
      </c>
      <c r="T12" s="13">
        <v>0.59705961331901092</v>
      </c>
      <c r="U12" s="13">
        <v>0.59705961331901092</v>
      </c>
      <c r="W12">
        <v>2017</v>
      </c>
      <c r="X12" s="13">
        <v>0.59705961331901092</v>
      </c>
      <c r="Y12" s="13">
        <f t="shared" si="11"/>
        <v>0.59705961331901092</v>
      </c>
      <c r="Z12" s="13">
        <v>0.59705961331901092</v>
      </c>
      <c r="AB12" s="13">
        <f t="shared" si="13"/>
        <v>0.59705961331901092</v>
      </c>
      <c r="AC12" s="13"/>
      <c r="AD12" s="33">
        <f t="shared" si="12"/>
        <v>-4.6923606335919983</v>
      </c>
      <c r="AE12" s="33">
        <f t="shared" si="0"/>
        <v>-4.6808976060152618</v>
      </c>
      <c r="AF12" s="33">
        <f t="shared" si="1"/>
        <v>-4.6808976060152618</v>
      </c>
      <c r="AH12">
        <v>8</v>
      </c>
      <c r="AI12">
        <v>0</v>
      </c>
    </row>
    <row r="13" spans="1:35">
      <c r="A13">
        <v>2018</v>
      </c>
      <c r="B13" s="13">
        <f>'EV %sales'!S76</f>
        <v>0.76010658102224526</v>
      </c>
      <c r="C13" s="13">
        <f t="shared" si="2"/>
        <v>0.77506356503223739</v>
      </c>
      <c r="D13" s="84">
        <f t="shared" si="7"/>
        <v>0.77506356503223739</v>
      </c>
      <c r="E13" s="84">
        <f>J13-SUM(F$7:F13)</f>
        <v>-4.4172017868670892</v>
      </c>
      <c r="F13" s="13">
        <f t="shared" si="8"/>
        <v>0</v>
      </c>
      <c r="G13" s="13">
        <v>1</v>
      </c>
      <c r="H13" s="13">
        <v>1</v>
      </c>
      <c r="I13" s="13">
        <v>0</v>
      </c>
      <c r="J13" s="13">
        <f t="shared" si="10"/>
        <v>-4.4172017868670892</v>
      </c>
      <c r="K13" s="13"/>
      <c r="L13" s="84">
        <f t="shared" si="3"/>
        <v>0.77506356503223739</v>
      </c>
      <c r="M13" s="13">
        <f t="shared" si="4"/>
        <v>0.77506356503223739</v>
      </c>
      <c r="N13" s="13">
        <f t="shared" si="5"/>
        <v>2018.1901580422114</v>
      </c>
      <c r="O13" s="13">
        <f t="shared" si="6"/>
        <v>2021.4482995459673</v>
      </c>
      <c r="P13" s="13">
        <f>1/Spain!R90</f>
        <v>1.0140893060477458</v>
      </c>
      <c r="R13">
        <v>2018</v>
      </c>
      <c r="S13" s="13">
        <v>0.77506356503223739</v>
      </c>
      <c r="T13" s="13">
        <v>0.77506356503223739</v>
      </c>
      <c r="U13" s="13">
        <v>0.77506356503223739</v>
      </c>
      <c r="W13">
        <v>2018</v>
      </c>
      <c r="X13" s="13">
        <v>0.77506356503223739</v>
      </c>
      <c r="Y13" s="13">
        <f t="shared" si="11"/>
        <v>0.77506356503223739</v>
      </c>
      <c r="Z13" s="13">
        <v>0.77506356503223739</v>
      </c>
      <c r="AB13" s="13">
        <f t="shared" si="13"/>
        <v>0.77506356503223739</v>
      </c>
      <c r="AC13" s="13"/>
      <c r="AD13" s="33">
        <f t="shared" si="12"/>
        <v>-4.436921027877359</v>
      </c>
      <c r="AE13" s="33">
        <f t="shared" si="0"/>
        <v>-4.4172017868670892</v>
      </c>
      <c r="AF13" s="33">
        <f t="shared" si="1"/>
        <v>-4.4172017868670892</v>
      </c>
      <c r="AH13">
        <v>9</v>
      </c>
      <c r="AI13">
        <v>0</v>
      </c>
    </row>
    <row r="14" spans="1:35">
      <c r="A14">
        <v>2019</v>
      </c>
      <c r="B14" s="13"/>
      <c r="C14" s="13">
        <f t="shared" si="2"/>
        <v>1.0053082103042874</v>
      </c>
      <c r="D14" s="84">
        <f>65*EXP(E14)/(1+EXP(E14))</f>
        <v>1.0053082103042874</v>
      </c>
      <c r="E14" s="84">
        <f>J14-SUM(F$7:F14)</f>
        <v>-4.1535059677189166</v>
      </c>
      <c r="F14" s="13">
        <f>I14*G14</f>
        <v>0</v>
      </c>
      <c r="G14" s="13">
        <f t="shared" si="9"/>
        <v>1</v>
      </c>
      <c r="H14" s="13">
        <v>1</v>
      </c>
      <c r="I14" s="13">
        <v>0</v>
      </c>
      <c r="J14" s="13">
        <f t="shared" si="10"/>
        <v>-4.1535059677189166</v>
      </c>
      <c r="K14" s="13"/>
      <c r="L14" s="84">
        <f t="shared" si="3"/>
        <v>1.0053082103042874</v>
      </c>
      <c r="M14" s="13">
        <f t="shared" si="4"/>
        <v>1.0053082103042874</v>
      </c>
      <c r="N14" s="13">
        <f t="shared" si="5"/>
        <v>2018.8948737806841</v>
      </c>
      <c r="O14" s="13">
        <f t="shared" si="6"/>
        <v>2021.7435838074946</v>
      </c>
      <c r="P14" s="13">
        <f>1/Spain!R91</f>
        <v>1.0414712503279158</v>
      </c>
      <c r="R14">
        <v>2019</v>
      </c>
      <c r="S14" s="13">
        <v>1.0053082103042874</v>
      </c>
      <c r="T14" s="13">
        <v>1.0053082103042874</v>
      </c>
      <c r="U14" s="13">
        <v>1.0053082103042874</v>
      </c>
      <c r="W14">
        <v>2019</v>
      </c>
      <c r="X14" s="13">
        <v>1.0053082103042874</v>
      </c>
      <c r="Y14" s="13">
        <f t="shared" si="11"/>
        <v>1.0053082103042874</v>
      </c>
      <c r="Z14" s="13">
        <v>1.0053082103042874</v>
      </c>
      <c r="AB14" s="13">
        <f t="shared" si="13"/>
        <v>1.0053082103042874</v>
      </c>
      <c r="AC14" s="13"/>
      <c r="AE14" s="33">
        <f t="shared" si="0"/>
        <v>-4.1535059677189166</v>
      </c>
      <c r="AF14" s="33">
        <f t="shared" si="1"/>
        <v>-4.1535059677189166</v>
      </c>
      <c r="AH14">
        <v>10</v>
      </c>
      <c r="AI14">
        <v>0</v>
      </c>
    </row>
    <row r="15" spans="1:35">
      <c r="A15">
        <v>2020</v>
      </c>
      <c r="B15" s="13"/>
      <c r="C15" s="13">
        <f t="shared" si="2"/>
        <v>1.3890476527430482</v>
      </c>
      <c r="D15" s="84">
        <f>65*EXP(E15)/(1+EXP(E15))</f>
        <v>1.3890476527430482</v>
      </c>
      <c r="E15" s="84">
        <f>J15-SUM(F$7:F15)</f>
        <v>-3.8241672918239349</v>
      </c>
      <c r="F15" s="13">
        <f t="shared" si="8"/>
        <v>0</v>
      </c>
      <c r="G15" s="13">
        <f t="shared" si="9"/>
        <v>1</v>
      </c>
      <c r="H15" s="13">
        <f t="shared" ref="H15:H50" si="14">IF((P15-0.6)/0.3&gt;1,1,(P15-0.6)/0.3)</f>
        <v>1</v>
      </c>
      <c r="I15" s="231">
        <v>0</v>
      </c>
      <c r="J15" s="13">
        <f t="shared" si="10"/>
        <v>-3.8241672918239349</v>
      </c>
      <c r="K15" s="13"/>
      <c r="L15" s="84">
        <f t="shared" ref="L15:L48" si="15">AVERAGE(M13:M17)</f>
        <v>1.3890476527430482</v>
      </c>
      <c r="M15" s="13">
        <f t="shared" si="4"/>
        <v>1.3025634030058668</v>
      </c>
      <c r="N15" s="13">
        <f t="shared" si="5"/>
        <v>2019.9218903634667</v>
      </c>
      <c r="O15" s="13">
        <f t="shared" si="6"/>
        <v>2021.716567224712</v>
      </c>
      <c r="P15" s="13">
        <f>1/Spain!R92</f>
        <v>1.0389659811321632</v>
      </c>
      <c r="R15">
        <v>2020</v>
      </c>
      <c r="S15" s="13">
        <v>1.4873491258082931</v>
      </c>
      <c r="T15" s="13">
        <v>1.3890476527430482</v>
      </c>
      <c r="U15" s="13">
        <v>1.3890476527430482</v>
      </c>
      <c r="W15">
        <v>2020</v>
      </c>
      <c r="X15" s="13">
        <v>1.1547282497339983</v>
      </c>
      <c r="Y15" s="13">
        <f t="shared" si="11"/>
        <v>1.3890476527430482</v>
      </c>
      <c r="Z15" s="13">
        <v>1.6896146268453758</v>
      </c>
      <c r="AB15" s="13">
        <f t="shared" si="13"/>
        <v>1.3025634030058668</v>
      </c>
      <c r="AC15" s="13"/>
      <c r="AE15" s="33">
        <f t="shared" si="0"/>
        <v>-3.8898101485707444</v>
      </c>
      <c r="AF15" s="33">
        <f t="shared" si="1"/>
        <v>-3.8898101485707444</v>
      </c>
      <c r="AH15">
        <v>11</v>
      </c>
      <c r="AI15">
        <v>0</v>
      </c>
    </row>
    <row r="16" spans="1:35">
      <c r="A16">
        <v>2021</v>
      </c>
      <c r="B16" s="13"/>
      <c r="C16" s="13">
        <f t="shared" si="2"/>
        <v>1.7951145944401015</v>
      </c>
      <c r="D16" s="84">
        <f t="shared" si="7"/>
        <v>1.7951145944401015</v>
      </c>
      <c r="E16" s="84">
        <f>J16-SUM(F$7:F16)</f>
        <v>-3.5613127380699461</v>
      </c>
      <c r="F16" s="13">
        <f t="shared" si="8"/>
        <v>0</v>
      </c>
      <c r="G16" s="13">
        <f t="shared" si="9"/>
        <v>1</v>
      </c>
      <c r="H16" s="13">
        <f t="shared" si="14"/>
        <v>1</v>
      </c>
      <c r="I16" s="20">
        <f>I15+(I35-I15)/20</f>
        <v>0</v>
      </c>
      <c r="J16" s="13">
        <f t="shared" si="10"/>
        <v>-3.5613127380699461</v>
      </c>
      <c r="K16" s="13"/>
      <c r="L16" s="84">
        <f t="shared" si="15"/>
        <v>1.7951145944401017</v>
      </c>
      <c r="M16" s="13">
        <f t="shared" si="4"/>
        <v>1.6853978600233139</v>
      </c>
      <c r="N16" s="13">
        <f t="shared" si="5"/>
        <v>2021.2255059469855</v>
      </c>
      <c r="O16" s="13">
        <f t="shared" si="6"/>
        <v>2021.4129516411931</v>
      </c>
      <c r="P16" s="13">
        <f>1/Spain!R93</f>
        <v>1.0108114667414887</v>
      </c>
      <c r="R16">
        <v>2021</v>
      </c>
      <c r="S16" s="13">
        <v>1.8934160675053464</v>
      </c>
      <c r="T16" s="13">
        <v>1.7951145944401015</v>
      </c>
      <c r="U16" s="13">
        <v>1.7951145944401015</v>
      </c>
      <c r="W16">
        <v>2021</v>
      </c>
      <c r="X16" s="13">
        <v>1.4350965817974586</v>
      </c>
      <c r="Y16" s="13">
        <f t="shared" si="11"/>
        <v>1.7951145944401015</v>
      </c>
      <c r="Z16" s="13">
        <v>2.4576857852987306</v>
      </c>
      <c r="AB16" s="13">
        <f t="shared" si="13"/>
        <v>1.6853978600233139</v>
      </c>
      <c r="AC16" s="13"/>
      <c r="AE16" s="33">
        <f t="shared" si="0"/>
        <v>-3.6261143294225717</v>
      </c>
      <c r="AF16" s="33">
        <f t="shared" si="1"/>
        <v>-3.6261143294225717</v>
      </c>
      <c r="AH16">
        <v>12</v>
      </c>
      <c r="AI16">
        <v>0</v>
      </c>
    </row>
    <row r="17" spans="1:35">
      <c r="A17">
        <v>2022</v>
      </c>
      <c r="B17" s="13"/>
      <c r="C17" s="13">
        <f t="shared" si="2"/>
        <v>2.517136823839047</v>
      </c>
      <c r="D17" s="84">
        <f t="shared" si="7"/>
        <v>2.517136823839047</v>
      </c>
      <c r="E17" s="84">
        <f>J17-SUM(F$7:F17)</f>
        <v>-3.2117702554000935</v>
      </c>
      <c r="F17" s="13">
        <f t="shared" si="8"/>
        <v>0</v>
      </c>
      <c r="G17" s="13">
        <f t="shared" si="9"/>
        <v>1</v>
      </c>
      <c r="H17" s="13">
        <f t="shared" si="14"/>
        <v>1</v>
      </c>
      <c r="I17" s="20">
        <f>I16+(I35-I15)/20</f>
        <v>0</v>
      </c>
      <c r="J17" s="13">
        <f t="shared" si="10"/>
        <v>-3.2117702554000935</v>
      </c>
      <c r="K17" s="13"/>
      <c r="L17" s="84">
        <f>AVERAGE(M15:M19)</f>
        <v>2.5171368238390466</v>
      </c>
      <c r="M17" s="13">
        <f t="shared" si="4"/>
        <v>2.1769052253495365</v>
      </c>
      <c r="N17" s="13">
        <f t="shared" si="5"/>
        <v>2022.0237171656445</v>
      </c>
      <c r="O17" s="13">
        <f t="shared" si="6"/>
        <v>2021.6147404225342</v>
      </c>
      <c r="P17" s="13">
        <f>1/Spain!R94</f>
        <v>1.0295235008284709</v>
      </c>
      <c r="R17">
        <v>2022</v>
      </c>
      <c r="S17" s="13">
        <v>2.615438296904292</v>
      </c>
      <c r="T17" s="13">
        <v>2.517136823839047</v>
      </c>
      <c r="U17" s="13">
        <v>2.3150391660219145</v>
      </c>
      <c r="W17">
        <v>2022</v>
      </c>
      <c r="X17" s="13">
        <v>1.7951145944401015</v>
      </c>
      <c r="Y17" s="13">
        <f t="shared" si="11"/>
        <v>2.517136823839047</v>
      </c>
      <c r="Z17" s="13">
        <v>3.4330277519045698</v>
      </c>
      <c r="AB17" s="13">
        <f t="shared" si="13"/>
        <v>2.1769052253495365</v>
      </c>
      <c r="AC17" s="13"/>
      <c r="AE17" s="33">
        <f t="shared" si="0"/>
        <v>-3.3624185102743991</v>
      </c>
      <c r="AF17" s="33">
        <f t="shared" si="1"/>
        <v>-3.3624185102743991</v>
      </c>
      <c r="AH17">
        <v>13</v>
      </c>
      <c r="AI17">
        <v>0</v>
      </c>
    </row>
    <row r="18" spans="1:35">
      <c r="A18">
        <v>2023</v>
      </c>
      <c r="B18" s="13"/>
      <c r="C18" s="13">
        <f>AVERAGE(D15:D21)</f>
        <v>3.9361466814945563</v>
      </c>
      <c r="D18" s="84">
        <f t="shared" si="7"/>
        <v>3.4330277519045698</v>
      </c>
      <c r="E18" s="84">
        <f>J18-SUM(F$7:F18)</f>
        <v>-2.8866829636413591</v>
      </c>
      <c r="F18" s="13">
        <f t="shared" si="8"/>
        <v>0</v>
      </c>
      <c r="G18" s="13">
        <f t="shared" si="9"/>
        <v>1</v>
      </c>
      <c r="H18" s="13">
        <f t="shared" si="14"/>
        <v>1</v>
      </c>
      <c r="I18" s="20">
        <f>I17+(I35-I15)/20</f>
        <v>0</v>
      </c>
      <c r="J18" s="13">
        <f t="shared" si="10"/>
        <v>-2.8866829636413591</v>
      </c>
      <c r="K18" s="13"/>
      <c r="L18" s="84">
        <f t="shared" si="15"/>
        <v>3.4330277519045693</v>
      </c>
      <c r="M18" s="13">
        <f t="shared" si="4"/>
        <v>2.8053982735175036</v>
      </c>
      <c r="N18" s="13">
        <f t="shared" si="5"/>
        <v>2023.1014381550181</v>
      </c>
      <c r="O18" s="13">
        <f t="shared" si="6"/>
        <v>2021.5370194331606</v>
      </c>
      <c r="P18" s="13">
        <f>1/Spain!R95</f>
        <v>1.0223163717067958</v>
      </c>
      <c r="R18">
        <v>2023</v>
      </c>
      <c r="S18" s="13">
        <v>4.2033482604872878</v>
      </c>
      <c r="T18" s="13">
        <v>3.9361466814945563</v>
      </c>
      <c r="U18" s="13">
        <v>3.7917912116251764</v>
      </c>
      <c r="W18">
        <v>2023</v>
      </c>
      <c r="X18" s="13">
        <v>2.623819619690948</v>
      </c>
      <c r="Y18" s="13">
        <f t="shared" si="11"/>
        <v>3.9361466814945563</v>
      </c>
      <c r="Z18" s="13">
        <v>5.8788072766367163</v>
      </c>
      <c r="AB18" s="13">
        <f t="shared" si="13"/>
        <v>2.8053982735175036</v>
      </c>
      <c r="AC18" s="13"/>
      <c r="AE18" s="33">
        <f t="shared" si="0"/>
        <v>-3.0987226911262269</v>
      </c>
      <c r="AF18" s="33">
        <f t="shared" si="1"/>
        <v>-3.0987226911262269</v>
      </c>
      <c r="AH18">
        <v>14</v>
      </c>
      <c r="AI18">
        <v>0</v>
      </c>
    </row>
    <row r="19" spans="1:35">
      <c r="A19">
        <v>2024</v>
      </c>
      <c r="B19" s="13"/>
      <c r="C19" s="13">
        <f t="shared" ref="C19:C50" si="16">AVERAGE(D16:D22)</f>
        <v>5.2243190122691248</v>
      </c>
      <c r="D19" s="84">
        <f t="shared" si="7"/>
        <v>4.5866088268472804</v>
      </c>
      <c r="E19" s="84">
        <f>J19-SUM(F$7:F19)</f>
        <v>-2.5780698552000887</v>
      </c>
      <c r="F19" s="13">
        <f t="shared" si="8"/>
        <v>0</v>
      </c>
      <c r="G19" s="13">
        <f t="shared" si="9"/>
        <v>1</v>
      </c>
      <c r="H19" s="13">
        <f t="shared" si="14"/>
        <v>1</v>
      </c>
      <c r="I19" s="20">
        <f>I18+(I35-I15)/20</f>
        <v>0</v>
      </c>
      <c r="J19" s="13">
        <f t="shared" si="10"/>
        <v>-2.5780698552000887</v>
      </c>
      <c r="K19" s="13"/>
      <c r="L19" s="84">
        <f t="shared" si="15"/>
        <v>4.5866088268472796</v>
      </c>
      <c r="M19" s="13">
        <f t="shared" si="4"/>
        <v>4.6154193572990128</v>
      </c>
      <c r="N19" s="13">
        <f t="shared" si="5"/>
        <v>2024.5001764623805</v>
      </c>
      <c r="O19" s="13">
        <f t="shared" si="6"/>
        <v>2021.1382811257981</v>
      </c>
      <c r="P19" s="13">
        <f>1/Spain!R96</f>
        <v>0.98534105152514473</v>
      </c>
      <c r="R19">
        <v>2024</v>
      </c>
      <c r="S19" s="13">
        <v>5.622211694442079</v>
      </c>
      <c r="T19" s="13">
        <v>5.2243190122691248</v>
      </c>
      <c r="U19" s="13">
        <v>4.9892013559158102</v>
      </c>
      <c r="W19">
        <v>2024</v>
      </c>
      <c r="X19" s="13">
        <v>3.3426704539491823</v>
      </c>
      <c r="Y19" s="13">
        <f t="shared" si="11"/>
        <v>5.2243190122691248</v>
      </c>
      <c r="Z19" s="13">
        <v>7.9759654581880755</v>
      </c>
      <c r="AB19" s="13">
        <f t="shared" si="13"/>
        <v>3.6049310682133533</v>
      </c>
      <c r="AC19" s="13"/>
      <c r="AE19" s="33">
        <f t="shared" si="0"/>
        <v>-2.8350268719780543</v>
      </c>
      <c r="AF19" s="33">
        <f t="shared" si="1"/>
        <v>-2.8350268719780543</v>
      </c>
      <c r="AH19">
        <v>15</v>
      </c>
      <c r="AI19">
        <v>0</v>
      </c>
    </row>
    <row r="20" spans="1:35">
      <c r="A20" s="14">
        <v>2025</v>
      </c>
      <c r="B20" s="13"/>
      <c r="C20" s="20">
        <f t="shared" si="16"/>
        <v>6.892208741951988</v>
      </c>
      <c r="D20" s="84">
        <f t="shared" si="7"/>
        <v>6.0267775306024651</v>
      </c>
      <c r="E20" s="84">
        <f>J20-SUM(F$7:F20)</f>
        <v>-2.2808710227395252</v>
      </c>
      <c r="F20" s="13">
        <f t="shared" si="8"/>
        <v>0</v>
      </c>
      <c r="G20" s="13">
        <f t="shared" si="9"/>
        <v>1</v>
      </c>
      <c r="H20" s="13">
        <f t="shared" si="14"/>
        <v>1</v>
      </c>
      <c r="I20" s="20">
        <f>I19+(I35-I15)/20</f>
        <v>0</v>
      </c>
      <c r="J20" s="13">
        <f t="shared" si="10"/>
        <v>-2.2808710227395252</v>
      </c>
      <c r="K20" s="13"/>
      <c r="L20" s="84">
        <f t="shared" si="15"/>
        <v>6.0267775306024642</v>
      </c>
      <c r="M20" s="13">
        <f t="shared" si="4"/>
        <v>5.8820180433334794</v>
      </c>
      <c r="N20" s="13">
        <f t="shared" si="5"/>
        <v>2025.8492275800102</v>
      </c>
      <c r="O20" s="13">
        <f t="shared" si="6"/>
        <v>2020.7892300081685</v>
      </c>
      <c r="P20" s="13">
        <f>1/Spain!R97</f>
        <v>0.95297326394163973</v>
      </c>
      <c r="R20" s="87">
        <v>2025</v>
      </c>
      <c r="S20" s="13">
        <v>7.4207925273051654</v>
      </c>
      <c r="T20" s="13">
        <v>6.892208741951988</v>
      </c>
      <c r="U20" s="13">
        <v>6.5663288991147386</v>
      </c>
      <c r="W20" s="87">
        <v>2025</v>
      </c>
      <c r="X20" s="13">
        <v>4.2527014551331712</v>
      </c>
      <c r="Y20" s="13">
        <f t="shared" si="11"/>
        <v>6.892208741951988</v>
      </c>
      <c r="Z20" s="13">
        <v>10.532373948381194</v>
      </c>
      <c r="AB20" s="13">
        <f t="shared" si="13"/>
        <v>4.6154193572990128</v>
      </c>
      <c r="AC20" s="13"/>
      <c r="AE20" s="33">
        <f t="shared" si="0"/>
        <v>-2.5713310528298816</v>
      </c>
      <c r="AF20" s="33">
        <f t="shared" si="1"/>
        <v>-2.5713310528298816</v>
      </c>
      <c r="AH20">
        <v>16</v>
      </c>
      <c r="AI20">
        <v>0</v>
      </c>
    </row>
    <row r="21" spans="1:35">
      <c r="A21">
        <v>2026</v>
      </c>
      <c r="B21" s="13"/>
      <c r="C21" s="13">
        <f t="shared" si="16"/>
        <v>8.9619116532738996</v>
      </c>
      <c r="D21" s="84">
        <f t="shared" si="7"/>
        <v>7.8053135900853832</v>
      </c>
      <c r="E21" s="84">
        <f>J21-SUM(F$7:F21)</f>
        <v>-1.9916562678770042</v>
      </c>
      <c r="F21" s="13">
        <f t="shared" si="8"/>
        <v>0</v>
      </c>
      <c r="G21" s="13">
        <f>IF(H21&lt;0,0,H21)</f>
        <v>1</v>
      </c>
      <c r="H21" s="13">
        <f t="shared" si="14"/>
        <v>1</v>
      </c>
      <c r="I21" s="20">
        <f>I20+(I35-I15)/20</f>
        <v>0</v>
      </c>
      <c r="J21" s="13">
        <f t="shared" si="10"/>
        <v>-1.9916562678770042</v>
      </c>
      <c r="K21" s="13"/>
      <c r="L21" s="84">
        <f t="shared" si="15"/>
        <v>7.8053135900853832</v>
      </c>
      <c r="M21" s="13">
        <f t="shared" si="4"/>
        <v>7.4533032347368664</v>
      </c>
      <c r="N21" s="13">
        <f t="shared" si="5"/>
        <v>2027.0455005790343</v>
      </c>
      <c r="O21" s="13">
        <f t="shared" si="6"/>
        <v>2020.5929570091444</v>
      </c>
      <c r="P21" s="13">
        <f>1/Spain!R98</f>
        <v>0.9347727127331682</v>
      </c>
      <c r="R21">
        <v>2026</v>
      </c>
      <c r="S21" s="13">
        <v>9.6211865418072993</v>
      </c>
      <c r="T21" s="13">
        <v>8.9619116532738996</v>
      </c>
      <c r="U21" s="13">
        <v>8.5741407179265909</v>
      </c>
      <c r="W21">
        <v>2026</v>
      </c>
      <c r="X21" s="13">
        <v>5.3921020363242258</v>
      </c>
      <c r="Y21" s="13">
        <f>T21</f>
        <v>8.9619116532738996</v>
      </c>
      <c r="Z21" s="13">
        <v>13.574247295930061</v>
      </c>
      <c r="AB21" s="13">
        <f t="shared" si="13"/>
        <v>5.8820180433334794</v>
      </c>
      <c r="AC21" s="13"/>
      <c r="AE21" s="33">
        <f t="shared" si="0"/>
        <v>-2.307635233681709</v>
      </c>
      <c r="AF21" s="33">
        <f t="shared" si="1"/>
        <v>-2.307635233681709</v>
      </c>
      <c r="AH21">
        <v>17</v>
      </c>
      <c r="AI21">
        <v>0</v>
      </c>
    </row>
    <row r="22" spans="1:35">
      <c r="A22">
        <v>2027</v>
      </c>
      <c r="B22" s="13"/>
      <c r="C22" s="13">
        <f t="shared" si="16"/>
        <v>11.469747763292974</v>
      </c>
      <c r="D22" s="84">
        <f t="shared" si="7"/>
        <v>10.406253968165023</v>
      </c>
      <c r="E22" s="84">
        <f>J22-SUM(F$7:F22)</f>
        <v>-1.6575123661431803</v>
      </c>
      <c r="F22" s="13">
        <f t="shared" si="8"/>
        <v>0</v>
      </c>
      <c r="G22" s="13">
        <f t="shared" si="9"/>
        <v>1</v>
      </c>
      <c r="H22" s="13">
        <f t="shared" si="14"/>
        <v>1</v>
      </c>
      <c r="I22" s="20">
        <f>I21+(I35-I15)/20</f>
        <v>0</v>
      </c>
      <c r="J22" s="13">
        <f t="shared" si="10"/>
        <v>-1.6575123661431803</v>
      </c>
      <c r="K22" s="13"/>
      <c r="L22" s="84">
        <f t="shared" si="15"/>
        <v>10.406253968165021</v>
      </c>
      <c r="M22" s="13">
        <f t="shared" si="4"/>
        <v>9.3777487441254639</v>
      </c>
      <c r="N22" s="13">
        <f t="shared" si="5"/>
        <v>2028.2297835361053</v>
      </c>
      <c r="O22" s="13">
        <f t="shared" si="6"/>
        <v>2020.4086740520734</v>
      </c>
      <c r="P22" s="13">
        <f>1/Spain!R99</f>
        <v>0.91768400764539793</v>
      </c>
      <c r="R22">
        <v>2027</v>
      </c>
      <c r="S22" s="13">
        <v>12.193418617097837</v>
      </c>
      <c r="T22" s="13">
        <v>11.469747763292974</v>
      </c>
      <c r="U22" s="13">
        <v>11.020085735435609</v>
      </c>
      <c r="W22">
        <v>2027</v>
      </c>
      <c r="X22" s="13">
        <v>6.7926020559854123</v>
      </c>
      <c r="Y22" s="13">
        <f t="shared" si="11"/>
        <v>11.469747763292974</v>
      </c>
      <c r="Z22" s="13">
        <v>17.063773658785514</v>
      </c>
      <c r="AB22" s="13">
        <f t="shared" si="13"/>
        <v>7.4533032347368664</v>
      </c>
      <c r="AC22" s="13"/>
      <c r="AE22" s="33">
        <f t="shared" si="0"/>
        <v>-2.0439394145335363</v>
      </c>
      <c r="AF22" s="33">
        <f t="shared" si="1"/>
        <v>-2.0439394145335363</v>
      </c>
      <c r="AH22">
        <v>18</v>
      </c>
      <c r="AI22">
        <v>0</v>
      </c>
    </row>
    <row r="23" spans="1:35">
      <c r="A23">
        <v>2028</v>
      </c>
      <c r="B23" s="13"/>
      <c r="C23" s="13">
        <f t="shared" si="16"/>
        <v>14.437586000905386</v>
      </c>
      <c r="D23" s="84">
        <f t="shared" si="7"/>
        <v>13.470342702220142</v>
      </c>
      <c r="E23" s="84">
        <f>J23-SUM(F$7:F23)</f>
        <v>-1.3416670797942756</v>
      </c>
      <c r="F23" s="13">
        <f t="shared" si="8"/>
        <v>0</v>
      </c>
      <c r="G23" s="13">
        <f t="shared" si="9"/>
        <v>0.99486522292899715</v>
      </c>
      <c r="H23" s="13">
        <f t="shared" si="14"/>
        <v>0.99486522292899715</v>
      </c>
      <c r="I23" s="20">
        <f>I22+(I35-I15)/20</f>
        <v>0</v>
      </c>
      <c r="J23" s="13">
        <f t="shared" si="10"/>
        <v>-1.3416670797942756</v>
      </c>
      <c r="K23" s="13"/>
      <c r="L23" s="84">
        <f t="shared" si="15"/>
        <v>13.470342702220142</v>
      </c>
      <c r="M23" s="13">
        <f t="shared" si="4"/>
        <v>11.698078570932097</v>
      </c>
      <c r="N23" s="13">
        <f t="shared" si="5"/>
        <v>2029.4370980619469</v>
      </c>
      <c r="O23" s="13">
        <f t="shared" si="6"/>
        <v>2020.2013595262317</v>
      </c>
      <c r="P23" s="13">
        <f>1/Spain!R100</f>
        <v>0.8984595668786991</v>
      </c>
      <c r="R23">
        <v>2028</v>
      </c>
      <c r="S23" s="13">
        <v>15.161256854710249</v>
      </c>
      <c r="T23" s="13">
        <v>14.437586000905386</v>
      </c>
      <c r="U23" s="13">
        <v>13.926032880537962</v>
      </c>
      <c r="W23">
        <v>2028</v>
      </c>
      <c r="X23" s="13">
        <v>8.4912821477774294</v>
      </c>
      <c r="Y23" s="13">
        <f t="shared" si="11"/>
        <v>14.437586000905386</v>
      </c>
      <c r="Z23" s="13">
        <v>20.871588650063568</v>
      </c>
      <c r="AB23" s="13">
        <f t="shared" si="13"/>
        <v>9.3777487441254639</v>
      </c>
      <c r="AC23" s="13"/>
      <c r="AE23" s="33">
        <f t="shared" si="0"/>
        <v>-1.7802435953853637</v>
      </c>
      <c r="AF23" s="33">
        <f t="shared" si="1"/>
        <v>-1.7802435953853637</v>
      </c>
      <c r="AH23">
        <v>19</v>
      </c>
      <c r="AI23">
        <v>0</v>
      </c>
    </row>
    <row r="24" spans="1:35">
      <c r="A24">
        <v>2029</v>
      </c>
      <c r="B24" s="13"/>
      <c r="C24" s="13">
        <f t="shared" si="16"/>
        <v>17.776358134921203</v>
      </c>
      <c r="D24" s="84">
        <f t="shared" si="7"/>
        <v>17.005057203092424</v>
      </c>
      <c r="E24" s="84">
        <f>J24-SUM(F$7:F24)</f>
        <v>-1.0375848646076378</v>
      </c>
      <c r="F24" s="13">
        <f t="shared" si="8"/>
        <v>0</v>
      </c>
      <c r="G24" s="13">
        <f t="shared" si="9"/>
        <v>0.93812394580375646</v>
      </c>
      <c r="H24" s="13">
        <f t="shared" si="14"/>
        <v>0.93812394580375646</v>
      </c>
      <c r="I24" s="20">
        <f>I23+(I35-I15)/20</f>
        <v>0</v>
      </c>
      <c r="J24" s="13">
        <f t="shared" si="10"/>
        <v>-1.0375848646076378</v>
      </c>
      <c r="K24" s="13"/>
      <c r="L24" s="84">
        <f t="shared" si="15"/>
        <v>17.00505720309242</v>
      </c>
      <c r="M24" s="13">
        <f t="shared" si="4"/>
        <v>17.620121247697206</v>
      </c>
      <c r="N24" s="13">
        <f t="shared" si="5"/>
        <v>2030.6206658094663</v>
      </c>
      <c r="O24" s="13">
        <f t="shared" si="6"/>
        <v>2020.0177917787123</v>
      </c>
      <c r="P24" s="13">
        <f>1/Spain!R101</f>
        <v>0.8814371837411269</v>
      </c>
      <c r="R24">
        <v>2029</v>
      </c>
      <c r="S24" s="13">
        <v>18.433733850817305</v>
      </c>
      <c r="T24" s="13">
        <v>17.776358134921203</v>
      </c>
      <c r="U24" s="13">
        <v>17.293676108527656</v>
      </c>
      <c r="W24">
        <v>2029</v>
      </c>
      <c r="X24" s="13">
        <v>10.520033862759808</v>
      </c>
      <c r="Y24" s="13">
        <f t="shared" si="11"/>
        <v>17.776358134921203</v>
      </c>
      <c r="Z24" s="13">
        <v>24.932642889409664</v>
      </c>
      <c r="AB24" s="13">
        <f t="shared" si="13"/>
        <v>11.698078570932097</v>
      </c>
      <c r="AC24" s="13"/>
      <c r="AE24" s="33">
        <f t="shared" si="0"/>
        <v>-1.5165477762371911</v>
      </c>
      <c r="AF24" s="33">
        <f t="shared" si="1"/>
        <v>-1.5165477762371911</v>
      </c>
      <c r="AH24">
        <v>20</v>
      </c>
      <c r="AI24">
        <v>0</v>
      </c>
    </row>
    <row r="25" spans="1:35">
      <c r="A25" s="14">
        <v>2030</v>
      </c>
      <c r="B25" s="13"/>
      <c r="C25" s="20">
        <f t="shared" si="16"/>
        <v>21.451375841592988</v>
      </c>
      <c r="D25" s="84">
        <f t="shared" si="7"/>
        <v>20.9878805220381</v>
      </c>
      <c r="E25" s="84">
        <f>J25-SUM(F$7:F25)</f>
        <v>-0.74051988554329762</v>
      </c>
      <c r="F25" s="13">
        <f t="shared" si="8"/>
        <v>0</v>
      </c>
      <c r="G25" s="13">
        <f t="shared" si="9"/>
        <v>0.88019204041102128</v>
      </c>
      <c r="H25" s="13">
        <f t="shared" si="14"/>
        <v>0.88019204041102128</v>
      </c>
      <c r="I25" s="20">
        <f>I24+(I35-I15)/20</f>
        <v>0</v>
      </c>
      <c r="J25" s="13">
        <f t="shared" si="10"/>
        <v>-0.74051988554329762</v>
      </c>
      <c r="K25" s="13"/>
      <c r="L25" s="84">
        <f t="shared" si="15"/>
        <v>20.9878805220381</v>
      </c>
      <c r="M25" s="13">
        <f t="shared" si="4"/>
        <v>21.202461713609075</v>
      </c>
      <c r="N25" s="13">
        <f t="shared" si="5"/>
        <v>2031.8080854433067</v>
      </c>
      <c r="O25" s="13">
        <f t="shared" si="6"/>
        <v>2019.8303721448719</v>
      </c>
      <c r="P25" s="13">
        <f>1/Spain!R102</f>
        <v>0.86405761212330634</v>
      </c>
      <c r="R25" s="87">
        <v>2030</v>
      </c>
      <c r="S25" s="13">
        <v>21.964017386728123</v>
      </c>
      <c r="T25" s="13">
        <v>21.451375841592988</v>
      </c>
      <c r="U25" s="13">
        <v>20.99756490917332</v>
      </c>
      <c r="W25" s="87">
        <v>2030</v>
      </c>
      <c r="X25" s="13">
        <v>12.900710970843175</v>
      </c>
      <c r="Y25" s="13">
        <f t="shared" si="11"/>
        <v>21.451375841592988</v>
      </c>
      <c r="Z25" s="13">
        <v>29.083277319215064</v>
      </c>
      <c r="AB25" s="13">
        <f t="shared" si="13"/>
        <v>14.443444720759517</v>
      </c>
      <c r="AC25" s="13"/>
      <c r="AE25" s="33">
        <f t="shared" si="0"/>
        <v>-1.2528519570890193</v>
      </c>
      <c r="AF25" s="33">
        <f t="shared" si="1"/>
        <v>-1.2528519570890193</v>
      </c>
      <c r="AH25">
        <v>21</v>
      </c>
      <c r="AI25">
        <v>0</v>
      </c>
    </row>
    <row r="26" spans="1:35">
      <c r="A26">
        <v>2031</v>
      </c>
      <c r="C26" s="13">
        <f t="shared" si="16"/>
        <v>25.34058549795693</v>
      </c>
      <c r="D26" s="84">
        <f>65*EXP(E26)/(1+EXP(E26))</f>
        <v>25.361476490134169</v>
      </c>
      <c r="E26" s="84">
        <f>J26-SUM(F$7:F26)</f>
        <v>-0.44657011219336501</v>
      </c>
      <c r="F26" s="13">
        <f t="shared" si="8"/>
        <v>0</v>
      </c>
      <c r="G26" s="13">
        <f t="shared" si="9"/>
        <v>0.88019204041102128</v>
      </c>
      <c r="H26" s="13">
        <f t="shared" si="14"/>
        <v>0.88019204041102128</v>
      </c>
      <c r="I26" s="20">
        <f>I25+(I35-I15)/20</f>
        <v>0</v>
      </c>
      <c r="J26" s="13">
        <f t="shared" si="10"/>
        <v>-0.44657011219336501</v>
      </c>
      <c r="K26" s="13"/>
      <c r="L26" s="84">
        <f t="shared" si="15"/>
        <v>25.361476490134169</v>
      </c>
      <c r="M26" s="13">
        <f t="shared" si="4"/>
        <v>25.12687573909826</v>
      </c>
      <c r="N26" s="13">
        <f t="shared" si="5"/>
        <v>2032.8080854433067</v>
      </c>
      <c r="O26" s="13">
        <f t="shared" si="6"/>
        <v>2019.8303721448719</v>
      </c>
      <c r="P26" s="13">
        <f>P25</f>
        <v>0.86405761212330634</v>
      </c>
      <c r="R26">
        <v>2031</v>
      </c>
      <c r="S26" s="13">
        <v>25.708492872331085</v>
      </c>
      <c r="T26" s="13">
        <v>25.34058549795693</v>
      </c>
      <c r="U26" s="13">
        <v>24.977536752021191</v>
      </c>
      <c r="W26">
        <v>2031</v>
      </c>
      <c r="X26" s="13">
        <v>15.639967028070677</v>
      </c>
      <c r="Y26" s="13">
        <f t="shared" si="11"/>
        <v>25.34058549795693</v>
      </c>
      <c r="Z26" s="13">
        <v>33.210092104331764</v>
      </c>
      <c r="AB26" s="13">
        <f t="shared" si="13"/>
        <v>17.620121247697206</v>
      </c>
      <c r="AC26" s="13"/>
      <c r="AE26" s="33">
        <f t="shared" si="0"/>
        <v>-0.98915613794084667</v>
      </c>
      <c r="AF26" s="33">
        <f t="shared" si="1"/>
        <v>-0.98915613794084667</v>
      </c>
      <c r="AH26">
        <v>22</v>
      </c>
      <c r="AI26">
        <v>0</v>
      </c>
    </row>
    <row r="27" spans="1:35">
      <c r="A27">
        <v>2032</v>
      </c>
      <c r="C27" s="13">
        <f t="shared" si="16"/>
        <v>29.355563878666867</v>
      </c>
      <c r="D27" s="84">
        <f t="shared" si="7"/>
        <v>29.398182468713181</v>
      </c>
      <c r="E27" s="84">
        <f>J27-SUM(F$7:F27)</f>
        <v>-0.19146383916280732</v>
      </c>
      <c r="F27" s="13">
        <f t="shared" si="8"/>
        <v>0</v>
      </c>
      <c r="G27" s="13">
        <f t="shared" si="9"/>
        <v>0.88019204041102128</v>
      </c>
      <c r="H27" s="13">
        <f t="shared" si="14"/>
        <v>0.88019204041102128</v>
      </c>
      <c r="I27" s="20">
        <f>I26+(I35-I15)/20</f>
        <v>0</v>
      </c>
      <c r="J27" s="13">
        <f t="shared" si="10"/>
        <v>-0.19146383916280732</v>
      </c>
      <c r="K27" s="13"/>
      <c r="L27" s="84">
        <f t="shared" si="15"/>
        <v>29.398182468713181</v>
      </c>
      <c r="M27" s="13">
        <f t="shared" si="4"/>
        <v>29.291865338853871</v>
      </c>
      <c r="N27" s="13">
        <f t="shared" si="5"/>
        <v>2033.8080854433067</v>
      </c>
      <c r="O27" s="13">
        <f t="shared" si="6"/>
        <v>2019.8303721448719</v>
      </c>
      <c r="P27" s="13">
        <f t="shared" ref="P27:P50" si="17">P26</f>
        <v>0.86405761212330634</v>
      </c>
      <c r="R27">
        <v>2032</v>
      </c>
      <c r="S27" s="13">
        <v>29.57873708228005</v>
      </c>
      <c r="T27" s="13">
        <v>29.355563878666867</v>
      </c>
      <c r="U27" s="13">
        <v>29.083277319215064</v>
      </c>
      <c r="W27">
        <v>2032</v>
      </c>
      <c r="X27" s="13">
        <v>18.724662582160363</v>
      </c>
      <c r="Y27" s="13">
        <f t="shared" si="11"/>
        <v>29.355563878666867</v>
      </c>
      <c r="Z27" s="13">
        <v>37.245216241981019</v>
      </c>
      <c r="AB27" s="13">
        <f t="shared" si="13"/>
        <v>21.202461713609075</v>
      </c>
      <c r="AC27" s="13"/>
      <c r="AE27" s="33">
        <f t="shared" si="0"/>
        <v>-0.72546031879267403</v>
      </c>
      <c r="AF27" s="33">
        <f t="shared" si="1"/>
        <v>-0.72546031879267403</v>
      </c>
      <c r="AH27">
        <v>23</v>
      </c>
      <c r="AI27">
        <v>0</v>
      </c>
    </row>
    <row r="28" spans="1:35">
      <c r="A28">
        <v>2033</v>
      </c>
      <c r="C28" s="13">
        <f t="shared" si="16"/>
        <v>33.391616477299635</v>
      </c>
      <c r="D28" s="84">
        <f t="shared" si="7"/>
        <v>33.530437536787908</v>
      </c>
      <c r="E28" s="84">
        <f>J28-SUM(F$7:F28)</f>
        <v>6.3432801825194535E-2</v>
      </c>
      <c r="F28" s="13">
        <f t="shared" si="8"/>
        <v>0</v>
      </c>
      <c r="G28" s="13">
        <f t="shared" si="9"/>
        <v>0.88019204041102128</v>
      </c>
      <c r="H28" s="13">
        <f t="shared" si="14"/>
        <v>0.88019204041102128</v>
      </c>
      <c r="I28" s="20">
        <f>I27+(I35-I15)/20</f>
        <v>0</v>
      </c>
      <c r="J28" s="13">
        <f t="shared" si="10"/>
        <v>6.3432801825194535E-2</v>
      </c>
      <c r="K28" s="13"/>
      <c r="L28" s="84">
        <f t="shared" si="15"/>
        <v>33.5304375367879</v>
      </c>
      <c r="M28" s="13">
        <f t="shared" si="4"/>
        <v>33.566058411412435</v>
      </c>
      <c r="N28" s="13">
        <f t="shared" si="5"/>
        <v>2034.8080854433067</v>
      </c>
      <c r="O28" s="13">
        <f t="shared" si="6"/>
        <v>2019.8303721448719</v>
      </c>
      <c r="P28" s="13">
        <f t="shared" si="17"/>
        <v>0.86405761212330634</v>
      </c>
      <c r="R28">
        <v>2033</v>
      </c>
      <c r="S28" s="13">
        <v>33.470055510151845</v>
      </c>
      <c r="T28" s="13">
        <v>33.391616477299635</v>
      </c>
      <c r="U28" s="13">
        <v>33.210092104331764</v>
      </c>
      <c r="W28">
        <v>2033</v>
      </c>
      <c r="X28" s="13">
        <v>22.118879564161851</v>
      </c>
      <c r="Y28" s="13">
        <f t="shared" si="11"/>
        <v>33.391616477299635</v>
      </c>
      <c r="Z28" s="13">
        <v>41.077353514526088</v>
      </c>
      <c r="AB28" s="13">
        <f t="shared" si="13"/>
        <v>25.12687573909826</v>
      </c>
      <c r="AC28" s="13"/>
      <c r="AE28" s="33">
        <f t="shared" si="0"/>
        <v>-0.46176449964450139</v>
      </c>
      <c r="AF28" s="33">
        <f t="shared" si="1"/>
        <v>-0.46176449964450139</v>
      </c>
      <c r="AH28">
        <v>24</v>
      </c>
      <c r="AI28">
        <v>0</v>
      </c>
    </row>
    <row r="29" spans="1:35">
      <c r="A29">
        <v>2034</v>
      </c>
      <c r="C29" s="13">
        <f t="shared" si="16"/>
        <v>37.335978428464948</v>
      </c>
      <c r="D29" s="84">
        <f t="shared" si="7"/>
        <v>37.630721562712587</v>
      </c>
      <c r="E29" s="84">
        <f>J29-SUM(F$7:F29)</f>
        <v>0.31839962018521151</v>
      </c>
      <c r="F29" s="13">
        <f t="shared" si="8"/>
        <v>0</v>
      </c>
      <c r="G29" s="13">
        <f t="shared" si="9"/>
        <v>0.88019204041102128</v>
      </c>
      <c r="H29" s="13">
        <f t="shared" si="14"/>
        <v>0.88019204041102128</v>
      </c>
      <c r="I29" s="20">
        <f>I28+(I35-I15)/20</f>
        <v>0</v>
      </c>
      <c r="J29" s="13">
        <f t="shared" si="10"/>
        <v>0.31839962018521151</v>
      </c>
      <c r="K29" s="13"/>
      <c r="L29" s="84">
        <f t="shared" si="15"/>
        <v>37.63072156271258</v>
      </c>
      <c r="M29" s="13">
        <f t="shared" si="4"/>
        <v>37.803651140592251</v>
      </c>
      <c r="N29" s="13">
        <f t="shared" si="5"/>
        <v>2035.8080854433067</v>
      </c>
      <c r="O29" s="13">
        <f t="shared" si="6"/>
        <v>2019.8303721448719</v>
      </c>
      <c r="P29" s="13">
        <f t="shared" si="17"/>
        <v>0.86405761212330634</v>
      </c>
      <c r="R29">
        <v>2034</v>
      </c>
      <c r="S29" s="13">
        <v>37.335978428464948</v>
      </c>
      <c r="T29" s="13">
        <v>37.335978428464948</v>
      </c>
      <c r="U29" s="13">
        <v>37.245216241981019</v>
      </c>
      <c r="W29">
        <v>2034</v>
      </c>
      <c r="X29" s="13">
        <v>25.763477029742187</v>
      </c>
      <c r="Y29" s="13">
        <f t="shared" si="11"/>
        <v>37.335978428464948</v>
      </c>
      <c r="Z29" s="13">
        <v>44.60610440127585</v>
      </c>
      <c r="AB29" s="13">
        <f t="shared" si="13"/>
        <v>29.291865338853871</v>
      </c>
      <c r="AC29" s="13"/>
      <c r="AE29" s="33">
        <f t="shared" si="0"/>
        <v>-0.19806868049632875</v>
      </c>
      <c r="AF29" s="33">
        <f t="shared" si="1"/>
        <v>-0.19806868049632875</v>
      </c>
      <c r="AH29">
        <v>25</v>
      </c>
      <c r="AI29">
        <v>0</v>
      </c>
    </row>
    <row r="30" spans="1:35">
      <c r="A30">
        <v>2035</v>
      </c>
      <c r="C30" s="13">
        <f t="shared" si="16"/>
        <v>41.077353514526088</v>
      </c>
      <c r="D30" s="84">
        <f t="shared" si="7"/>
        <v>41.575191367189717</v>
      </c>
      <c r="E30" s="84">
        <f>J30-SUM(F$7:F30)</f>
        <v>0.57370796927338541</v>
      </c>
      <c r="F30" s="13">
        <f t="shared" si="8"/>
        <v>0</v>
      </c>
      <c r="G30" s="13">
        <f t="shared" si="9"/>
        <v>0.88019204041102128</v>
      </c>
      <c r="H30" s="13">
        <f t="shared" si="14"/>
        <v>0.88019204041102128</v>
      </c>
      <c r="I30" s="20">
        <f>I29+(I35-I15)/20</f>
        <v>0</v>
      </c>
      <c r="J30" s="13">
        <f t="shared" si="10"/>
        <v>0.57370796927338541</v>
      </c>
      <c r="K30" s="13"/>
      <c r="L30" s="84">
        <f t="shared" si="15"/>
        <v>41.575191367189717</v>
      </c>
      <c r="M30" s="13">
        <f t="shared" si="4"/>
        <v>41.863737053982668</v>
      </c>
      <c r="N30" s="13">
        <f t="shared" si="5"/>
        <v>2036.8080854433067</v>
      </c>
      <c r="O30" s="13">
        <f t="shared" si="6"/>
        <v>2019.8303721448719</v>
      </c>
      <c r="P30" s="13">
        <f t="shared" si="17"/>
        <v>0.86405761212330634</v>
      </c>
      <c r="R30">
        <v>2035</v>
      </c>
      <c r="S30" s="13">
        <v>41.077353514526088</v>
      </c>
      <c r="T30" s="13">
        <v>41.077353514526088</v>
      </c>
      <c r="U30" s="13">
        <v>41.077353514526088</v>
      </c>
      <c r="W30">
        <v>2035</v>
      </c>
      <c r="X30" s="13">
        <v>29.57873708228005</v>
      </c>
      <c r="Y30" s="13">
        <f t="shared" si="11"/>
        <v>41.077353514526088</v>
      </c>
      <c r="Z30" s="13">
        <v>47.852225158409667</v>
      </c>
      <c r="AB30" s="13">
        <f t="shared" si="13"/>
        <v>33.566058411412435</v>
      </c>
      <c r="AC30" s="13"/>
      <c r="AE30" s="33">
        <f t="shared" si="0"/>
        <v>6.5627138651843886E-2</v>
      </c>
      <c r="AF30" s="33">
        <f t="shared" si="1"/>
        <v>6.5627138651843886E-2</v>
      </c>
      <c r="AH30">
        <v>26</v>
      </c>
      <c r="AI30">
        <v>0</v>
      </c>
    </row>
    <row r="31" spans="1:35">
      <c r="A31">
        <v>2036</v>
      </c>
      <c r="C31" s="13">
        <f t="shared" si="16"/>
        <v>44.60610440127585</v>
      </c>
      <c r="D31" s="84">
        <f t="shared" si="7"/>
        <v>45.257425393521807</v>
      </c>
      <c r="E31" s="84">
        <f>J31-SUM(F$7:F31)</f>
        <v>0.82958930241717088</v>
      </c>
      <c r="F31" s="13">
        <f t="shared" si="8"/>
        <v>0</v>
      </c>
      <c r="G31" s="13">
        <f t="shared" si="9"/>
        <v>0.88019204041102128</v>
      </c>
      <c r="H31" s="13">
        <f t="shared" si="14"/>
        <v>0.88019204041102128</v>
      </c>
      <c r="I31" s="20">
        <f>I30+(I35-I15)/20</f>
        <v>0</v>
      </c>
      <c r="J31" s="13">
        <f t="shared" si="10"/>
        <v>0.82958930241717088</v>
      </c>
      <c r="K31" s="13"/>
      <c r="L31" s="84">
        <f t="shared" si="15"/>
        <v>45.257425393521807</v>
      </c>
      <c r="M31" s="13">
        <f t="shared" si="4"/>
        <v>45.628295868721665</v>
      </c>
      <c r="N31" s="13">
        <f t="shared" si="5"/>
        <v>2037.8080854433067</v>
      </c>
      <c r="O31" s="13">
        <f t="shared" si="6"/>
        <v>2019.8303721448719</v>
      </c>
      <c r="P31" s="13">
        <f t="shared" si="17"/>
        <v>0.86405761212330634</v>
      </c>
      <c r="R31">
        <v>2036</v>
      </c>
      <c r="S31" s="13">
        <v>44.60610440127585</v>
      </c>
      <c r="T31" s="13">
        <v>44.60610440127585</v>
      </c>
      <c r="U31" s="13">
        <v>44.60610440127585</v>
      </c>
      <c r="W31">
        <v>2036</v>
      </c>
      <c r="X31" s="13">
        <v>33.470055510151845</v>
      </c>
      <c r="Y31" s="13">
        <f t="shared" si="11"/>
        <v>44.60610440127585</v>
      </c>
      <c r="Z31" s="13">
        <v>50.768002716233049</v>
      </c>
      <c r="AB31" s="13">
        <f t="shared" si="13"/>
        <v>37.803651140592251</v>
      </c>
      <c r="AC31" s="13"/>
      <c r="AE31" s="33">
        <f t="shared" si="0"/>
        <v>0.32932295780001652</v>
      </c>
      <c r="AF31" s="33">
        <f t="shared" si="1"/>
        <v>0.32932295780001652</v>
      </c>
      <c r="AH31">
        <v>27</v>
      </c>
      <c r="AI31">
        <v>0</v>
      </c>
    </row>
    <row r="32" spans="1:35">
      <c r="A32">
        <v>2037</v>
      </c>
      <c r="C32" s="13">
        <f t="shared" si="16"/>
        <v>47.852225158409667</v>
      </c>
      <c r="D32" s="84">
        <f t="shared" si="7"/>
        <v>48.598414180195277</v>
      </c>
      <c r="E32" s="84">
        <f>J32-SUM(F$7:F32)</f>
        <v>1.0862128738520223</v>
      </c>
      <c r="F32" s="13">
        <f t="shared" si="8"/>
        <v>0</v>
      </c>
      <c r="G32" s="13">
        <f t="shared" si="9"/>
        <v>0.88019204041102128</v>
      </c>
      <c r="H32" s="13">
        <f t="shared" si="14"/>
        <v>0.88019204041102128</v>
      </c>
      <c r="I32" s="20">
        <f>I31+(I35-I15)/20</f>
        <v>0</v>
      </c>
      <c r="J32" s="13">
        <f t="shared" si="10"/>
        <v>1.0862128738520223</v>
      </c>
      <c r="K32" s="13"/>
      <c r="L32" s="84">
        <f t="shared" si="15"/>
        <v>48.598414180195277</v>
      </c>
      <c r="M32" s="13">
        <f t="shared" si="4"/>
        <v>49.01421436123956</v>
      </c>
      <c r="N32" s="13">
        <f t="shared" si="5"/>
        <v>2038.8080854433067</v>
      </c>
      <c r="O32" s="13">
        <f t="shared" si="6"/>
        <v>2019.8303721448719</v>
      </c>
      <c r="P32" s="13">
        <f t="shared" si="17"/>
        <v>0.86405761212330634</v>
      </c>
      <c r="R32">
        <v>2037</v>
      </c>
      <c r="S32" s="13">
        <v>47.852225158409667</v>
      </c>
      <c r="T32" s="13">
        <v>47.852225158409667</v>
      </c>
      <c r="U32" s="13">
        <v>47.852225158409667</v>
      </c>
      <c r="W32">
        <v>2037</v>
      </c>
      <c r="X32" s="13">
        <v>37.335978428464948</v>
      </c>
      <c r="Y32" s="13">
        <f t="shared" si="11"/>
        <v>47.852225158409667</v>
      </c>
      <c r="Z32" s="13">
        <v>53.329089833568844</v>
      </c>
      <c r="AB32" s="13">
        <f t="shared" si="13"/>
        <v>41.863737053982668</v>
      </c>
      <c r="AC32" s="13"/>
      <c r="AE32" s="33">
        <f t="shared" si="0"/>
        <v>0.59301877694818828</v>
      </c>
      <c r="AF32" s="33">
        <f t="shared" si="1"/>
        <v>0.59301877694818828</v>
      </c>
      <c r="AH32">
        <v>28</v>
      </c>
      <c r="AI32">
        <v>0</v>
      </c>
    </row>
    <row r="33" spans="1:35">
      <c r="A33">
        <v>2038</v>
      </c>
      <c r="C33" s="13">
        <f t="shared" si="16"/>
        <v>50.768002716233049</v>
      </c>
      <c r="D33" s="84">
        <f t="shared" si="7"/>
        <v>51.551102092562154</v>
      </c>
      <c r="E33" s="84">
        <f>J33-SUM(F$7:F33)</f>
        <v>1.3436764266104682</v>
      </c>
      <c r="F33" s="13">
        <f t="shared" si="8"/>
        <v>0</v>
      </c>
      <c r="G33" s="13">
        <f t="shared" si="9"/>
        <v>0.88019204041102128</v>
      </c>
      <c r="H33" s="13">
        <f t="shared" si="14"/>
        <v>0.88019204041102128</v>
      </c>
      <c r="I33" s="20">
        <f>I32+(I35-I15)/20</f>
        <v>0</v>
      </c>
      <c r="J33" s="13">
        <f t="shared" si="10"/>
        <v>1.3436764266104682</v>
      </c>
      <c r="K33" s="13"/>
      <c r="L33" s="84">
        <f t="shared" si="15"/>
        <v>51.551102092562147</v>
      </c>
      <c r="M33" s="13">
        <f t="shared" si="4"/>
        <v>51.977228543072854</v>
      </c>
      <c r="N33" s="13">
        <f t="shared" si="5"/>
        <v>2039.8080854433067</v>
      </c>
      <c r="O33" s="13">
        <f t="shared" si="6"/>
        <v>2019.8303721448719</v>
      </c>
      <c r="P33" s="13">
        <f t="shared" si="17"/>
        <v>0.86405761212330634</v>
      </c>
      <c r="R33">
        <v>2038</v>
      </c>
      <c r="S33" s="13">
        <v>50.768002716233049</v>
      </c>
      <c r="T33" s="13">
        <v>50.768002716233049</v>
      </c>
      <c r="U33" s="13">
        <v>50.768002716233049</v>
      </c>
      <c r="W33">
        <v>2038</v>
      </c>
      <c r="X33" s="13">
        <v>41.077353514526088</v>
      </c>
      <c r="Y33" s="13">
        <f t="shared" si="11"/>
        <v>50.768002716233049</v>
      </c>
      <c r="Z33" s="13">
        <v>55.532697019299555</v>
      </c>
      <c r="AB33" s="13">
        <f t="shared" si="13"/>
        <v>45.628295868721665</v>
      </c>
      <c r="AC33" s="13"/>
      <c r="AE33" s="33">
        <f t="shared" si="0"/>
        <v>0.85671459609636091</v>
      </c>
      <c r="AF33" s="33">
        <f t="shared" si="1"/>
        <v>0.85671459609636091</v>
      </c>
      <c r="AH33">
        <v>29</v>
      </c>
      <c r="AI33">
        <v>0</v>
      </c>
    </row>
    <row r="34" spans="1:35">
      <c r="A34">
        <v>2039</v>
      </c>
      <c r="C34" s="13">
        <f t="shared" si="16"/>
        <v>53.329089833568844</v>
      </c>
      <c r="D34" s="84">
        <f t="shared" si="7"/>
        <v>54.099438675961494</v>
      </c>
      <c r="E34" s="84">
        <f>J34-SUM(F$7:F34)</f>
        <v>1.6020095245958672</v>
      </c>
      <c r="F34" s="13">
        <f t="shared" si="8"/>
        <v>0</v>
      </c>
      <c r="G34" s="13">
        <f t="shared" si="9"/>
        <v>0.88019204041102128</v>
      </c>
      <c r="H34" s="13">
        <f t="shared" si="14"/>
        <v>0.88019204041102128</v>
      </c>
      <c r="I34" s="20">
        <f>I33+(I35-I15)/20</f>
        <v>0</v>
      </c>
      <c r="J34" s="13">
        <f t="shared" si="10"/>
        <v>1.6020095245958672</v>
      </c>
      <c r="K34" s="13"/>
      <c r="L34" s="84">
        <f t="shared" si="15"/>
        <v>54.099438675961494</v>
      </c>
      <c r="M34" s="13">
        <f t="shared" si="4"/>
        <v>54.508595073959597</v>
      </c>
      <c r="N34" s="13">
        <f t="shared" si="5"/>
        <v>2040.8080854433067</v>
      </c>
      <c r="O34" s="13">
        <f t="shared" si="6"/>
        <v>2019.8303721448719</v>
      </c>
      <c r="P34" s="13">
        <f t="shared" si="17"/>
        <v>0.86405761212330634</v>
      </c>
      <c r="R34">
        <v>2039</v>
      </c>
      <c r="S34" s="13">
        <v>53.329089833568844</v>
      </c>
      <c r="T34" s="13">
        <v>53.329089833568844</v>
      </c>
      <c r="U34" s="13">
        <v>53.329089833568844</v>
      </c>
      <c r="W34">
        <v>2039</v>
      </c>
      <c r="X34" s="13">
        <v>44.60610440127585</v>
      </c>
      <c r="Y34" s="13">
        <f t="shared" si="11"/>
        <v>53.329089833568844</v>
      </c>
      <c r="Z34" s="13">
        <v>57.3936769343535</v>
      </c>
      <c r="AB34" s="13">
        <f t="shared" si="13"/>
        <v>49.01421436123956</v>
      </c>
      <c r="AC34" s="13"/>
      <c r="AE34" s="33">
        <f t="shared" si="0"/>
        <v>1.1204104152445336</v>
      </c>
      <c r="AF34" s="33">
        <f t="shared" si="1"/>
        <v>1.1204104152445336</v>
      </c>
      <c r="AH34">
        <v>30</v>
      </c>
      <c r="AI34">
        <v>0</v>
      </c>
    </row>
    <row r="35" spans="1:35">
      <c r="A35">
        <v>2040</v>
      </c>
      <c r="C35" s="13">
        <f t="shared" si="16"/>
        <v>55.532697019299555</v>
      </c>
      <c r="D35" s="84">
        <f>65*EXP(E35)/(1+EXP(E35))</f>
        <v>56.253282836724601</v>
      </c>
      <c r="E35" s="84">
        <f>J35-SUM(F$7:F35)</f>
        <v>1.8611859522918905</v>
      </c>
      <c r="F35" s="13">
        <f t="shared" si="8"/>
        <v>0</v>
      </c>
      <c r="G35" s="13">
        <f t="shared" si="9"/>
        <v>0.88019204041102128</v>
      </c>
      <c r="H35" s="13">
        <f t="shared" si="14"/>
        <v>0.88019204041102128</v>
      </c>
      <c r="I35" s="89">
        <v>0</v>
      </c>
      <c r="J35" s="13">
        <f t="shared" si="10"/>
        <v>1.8611859522918905</v>
      </c>
      <c r="K35" s="13"/>
      <c r="L35" s="84">
        <f t="shared" si="15"/>
        <v>56.253282836724601</v>
      </c>
      <c r="M35" s="13">
        <f t="shared" si="4"/>
        <v>56.627176615817007</v>
      </c>
      <c r="N35" s="13">
        <f t="shared" si="5"/>
        <v>2041.8080854433067</v>
      </c>
      <c r="O35" s="13">
        <f t="shared" si="6"/>
        <v>2019.8303721448719</v>
      </c>
      <c r="P35" s="13">
        <f t="shared" si="17"/>
        <v>0.86405761212330634</v>
      </c>
      <c r="R35" s="87">
        <v>2040</v>
      </c>
      <c r="S35" s="13">
        <v>55.532697019299555</v>
      </c>
      <c r="T35" s="13">
        <v>55.532697019299555</v>
      </c>
      <c r="U35" s="13">
        <v>55.532697019299555</v>
      </c>
      <c r="W35" s="87">
        <v>2040</v>
      </c>
      <c r="X35" s="13">
        <v>47.852225158409667</v>
      </c>
      <c r="Y35" s="13">
        <f t="shared" si="11"/>
        <v>55.532697019299555</v>
      </c>
      <c r="Z35" s="13">
        <v>58.939522874422934</v>
      </c>
      <c r="AB35" s="13">
        <f t="shared" si="13"/>
        <v>51.977228543072854</v>
      </c>
      <c r="AC35" s="13"/>
      <c r="AE35" s="33">
        <f t="shared" si="0"/>
        <v>1.3841062343927071</v>
      </c>
      <c r="AF35" s="33">
        <f t="shared" si="1"/>
        <v>1.3841062343927071</v>
      </c>
      <c r="AH35">
        <v>31</v>
      </c>
      <c r="AI35">
        <v>0</v>
      </c>
    </row>
    <row r="36" spans="1:35">
      <c r="A36">
        <v>2041</v>
      </c>
      <c r="C36" s="13">
        <f t="shared" si="16"/>
        <v>57.3936769343535</v>
      </c>
      <c r="D36" s="84">
        <f t="shared" si="7"/>
        <v>58.0411644674763</v>
      </c>
      <c r="E36" s="84">
        <f>J36-SUM(F$7:F36)</f>
        <v>2.1211403392002488</v>
      </c>
      <c r="F36" s="13">
        <f t="shared" si="8"/>
        <v>0</v>
      </c>
      <c r="G36" s="13">
        <f t="shared" si="9"/>
        <v>0.88019204041102128</v>
      </c>
      <c r="H36" s="13">
        <f t="shared" si="14"/>
        <v>0.88019204041102128</v>
      </c>
      <c r="I36" s="89">
        <f>I35</f>
        <v>0</v>
      </c>
      <c r="J36" s="13">
        <f t="shared" si="10"/>
        <v>2.1211403392002488</v>
      </c>
      <c r="K36" s="13"/>
      <c r="L36" s="84">
        <f t="shared" si="15"/>
        <v>58.0411644674763</v>
      </c>
      <c r="M36" s="13">
        <f t="shared" si="4"/>
        <v>58.369978785718423</v>
      </c>
      <c r="N36" s="13">
        <f t="shared" si="5"/>
        <v>2042.8080854433067</v>
      </c>
      <c r="O36" s="13">
        <f t="shared" si="6"/>
        <v>2019.8303721448719</v>
      </c>
      <c r="P36" s="13">
        <f t="shared" si="17"/>
        <v>0.86405761212330634</v>
      </c>
      <c r="R36">
        <v>2041</v>
      </c>
      <c r="S36" s="13">
        <v>57.3936769343535</v>
      </c>
      <c r="T36" s="13">
        <v>57.3936769343535</v>
      </c>
      <c r="U36" s="13">
        <v>57.3936769343535</v>
      </c>
      <c r="W36">
        <v>2041</v>
      </c>
      <c r="X36" s="13">
        <v>50.768002716233049</v>
      </c>
      <c r="Y36" s="13">
        <f t="shared" si="11"/>
        <v>57.3936769343535</v>
      </c>
      <c r="Z36" s="13">
        <v>60.205269281525673</v>
      </c>
      <c r="AB36" s="13">
        <f t="shared" si="13"/>
        <v>54.508595073959597</v>
      </c>
      <c r="AE36" s="33">
        <f t="shared" si="0"/>
        <v>1.6478020535408788</v>
      </c>
      <c r="AF36" s="33">
        <f t="shared" ref="AF36:AF50" si="18">AE36</f>
        <v>1.6478020535408788</v>
      </c>
      <c r="AH36">
        <v>32</v>
      </c>
      <c r="AI36">
        <v>0</v>
      </c>
    </row>
    <row r="37" spans="1:35">
      <c r="A37">
        <v>2042</v>
      </c>
      <c r="C37" s="13">
        <f t="shared" si="16"/>
        <v>58.939522874422934</v>
      </c>
      <c r="D37" s="84">
        <f t="shared" si="7"/>
        <v>59.502801188540268</v>
      </c>
      <c r="E37" s="84">
        <f>J37-SUM(F$7:F37)</f>
        <v>2.3817847347521708</v>
      </c>
      <c r="F37" s="13">
        <f t="shared" si="8"/>
        <v>0</v>
      </c>
      <c r="G37" s="13">
        <f t="shared" si="9"/>
        <v>0.88019204041102128</v>
      </c>
      <c r="H37" s="13">
        <f t="shared" si="14"/>
        <v>0.88019204041102128</v>
      </c>
      <c r="I37" s="89">
        <f t="shared" ref="I37:I50" si="19">I36</f>
        <v>0</v>
      </c>
      <c r="J37" s="13">
        <f t="shared" si="10"/>
        <v>2.3817847347521708</v>
      </c>
      <c r="K37" s="13"/>
      <c r="L37" s="84">
        <f t="shared" si="15"/>
        <v>59.502801188540261</v>
      </c>
      <c r="M37" s="13">
        <f t="shared" si="4"/>
        <v>59.783435165055145</v>
      </c>
      <c r="N37" s="13">
        <f t="shared" si="5"/>
        <v>2043.8080854433067</v>
      </c>
      <c r="O37" s="13">
        <f t="shared" si="6"/>
        <v>2019.8303721448719</v>
      </c>
      <c r="P37" s="13">
        <f t="shared" si="17"/>
        <v>0.86405761212330634</v>
      </c>
      <c r="R37">
        <v>2042</v>
      </c>
      <c r="S37" s="13">
        <v>58.939522874422934</v>
      </c>
      <c r="T37" s="13">
        <v>58.939522874422934</v>
      </c>
      <c r="U37" s="13">
        <v>58.939522874422934</v>
      </c>
      <c r="W37">
        <v>2042</v>
      </c>
      <c r="X37" s="13">
        <v>53.329089833568844</v>
      </c>
      <c r="Y37" s="13">
        <f t="shared" si="11"/>
        <v>58.939522874422934</v>
      </c>
      <c r="Z37" s="13">
        <v>61.229034832070127</v>
      </c>
      <c r="AB37" s="13">
        <f t="shared" si="13"/>
        <v>56.627176615817007</v>
      </c>
      <c r="AE37" s="33">
        <f t="shared" si="0"/>
        <v>1.9114978726890506</v>
      </c>
      <c r="AF37" s="33">
        <f t="shared" si="18"/>
        <v>1.9114978726890506</v>
      </c>
      <c r="AH37">
        <v>33</v>
      </c>
      <c r="AI37">
        <v>0</v>
      </c>
    </row>
    <row r="38" spans="1:35">
      <c r="A38">
        <v>2043</v>
      </c>
      <c r="C38" s="13">
        <f t="shared" si="16"/>
        <v>60.205269281525673</v>
      </c>
      <c r="D38" s="84">
        <f t="shared" si="7"/>
        <v>60.68267569363676</v>
      </c>
      <c r="E38" s="84">
        <f>J38-SUM(F$7:F38)</f>
        <v>2.6430224118191248</v>
      </c>
      <c r="F38" s="13">
        <f t="shared" si="8"/>
        <v>0</v>
      </c>
      <c r="G38" s="13">
        <f t="shared" si="9"/>
        <v>0.88019204041102128</v>
      </c>
      <c r="H38" s="13">
        <f t="shared" si="14"/>
        <v>0.88019204041102128</v>
      </c>
      <c r="I38" s="89">
        <f t="shared" si="19"/>
        <v>0</v>
      </c>
      <c r="J38" s="13">
        <f t="shared" si="10"/>
        <v>2.6430224118191248</v>
      </c>
      <c r="K38" s="13"/>
      <c r="L38" s="84">
        <f t="shared" si="15"/>
        <v>60.68267569363676</v>
      </c>
      <c r="M38" s="13">
        <f t="shared" si="4"/>
        <v>60.916636696831318</v>
      </c>
      <c r="N38" s="13">
        <f t="shared" si="5"/>
        <v>2044.8080854433067</v>
      </c>
      <c r="O38" s="13">
        <f t="shared" si="6"/>
        <v>2019.8303721448719</v>
      </c>
      <c r="P38" s="13">
        <f t="shared" si="17"/>
        <v>0.86405761212330634</v>
      </c>
      <c r="R38">
        <v>2043</v>
      </c>
      <c r="S38" s="13">
        <v>60.205269281525673</v>
      </c>
      <c r="T38" s="13">
        <v>60.205269281525673</v>
      </c>
      <c r="U38" s="13">
        <v>60.205269281525673</v>
      </c>
      <c r="W38">
        <v>2043</v>
      </c>
      <c r="X38" s="13">
        <v>55.532697019299555</v>
      </c>
      <c r="Y38" s="13">
        <f t="shared" si="11"/>
        <v>60.205269281525673</v>
      </c>
      <c r="Z38" s="13">
        <v>62.048609456796761</v>
      </c>
      <c r="AB38" s="13">
        <f t="shared" si="13"/>
        <v>58.369978785718423</v>
      </c>
      <c r="AE38" s="33">
        <f t="shared" si="0"/>
        <v>2.1751936918372241</v>
      </c>
      <c r="AF38" s="33">
        <f t="shared" si="18"/>
        <v>2.1751936918372241</v>
      </c>
      <c r="AH38">
        <v>34</v>
      </c>
      <c r="AI38">
        <v>0</v>
      </c>
    </row>
    <row r="39" spans="1:35">
      <c r="A39">
        <v>2044</v>
      </c>
      <c r="C39" s="13">
        <f t="shared" si="16"/>
        <v>61.229034832070127</v>
      </c>
      <c r="D39" s="84">
        <f t="shared" si="7"/>
        <v>61.625273585572906</v>
      </c>
      <c r="E39" s="84">
        <f>J39-SUM(F$7:F39)</f>
        <v>2.9047578132286929</v>
      </c>
      <c r="F39" s="13">
        <f t="shared" si="8"/>
        <v>0</v>
      </c>
      <c r="G39" s="13">
        <f t="shared" si="9"/>
        <v>0.88019204041102128</v>
      </c>
      <c r="H39" s="13">
        <f t="shared" si="14"/>
        <v>0.88019204041102128</v>
      </c>
      <c r="I39" s="89">
        <f t="shared" si="19"/>
        <v>0</v>
      </c>
      <c r="J39" s="13">
        <f t="shared" si="10"/>
        <v>2.9047578132286929</v>
      </c>
      <c r="K39" s="13"/>
      <c r="L39" s="84">
        <f t="shared" si="15"/>
        <v>61.625273585572906</v>
      </c>
      <c r="M39" s="13">
        <f t="shared" si="4"/>
        <v>61.816778679279402</v>
      </c>
      <c r="N39" s="13">
        <f t="shared" si="5"/>
        <v>2045.8080854433067</v>
      </c>
      <c r="O39" s="13">
        <f t="shared" si="6"/>
        <v>2019.8303721448719</v>
      </c>
      <c r="P39" s="13">
        <f t="shared" si="17"/>
        <v>0.86405761212330634</v>
      </c>
      <c r="R39">
        <v>2044</v>
      </c>
      <c r="S39" s="13">
        <v>61.229034832070127</v>
      </c>
      <c r="T39" s="13">
        <v>61.229034832070127</v>
      </c>
      <c r="U39" s="13">
        <v>61.229034832070127</v>
      </c>
      <c r="W39">
        <v>2044</v>
      </c>
      <c r="X39" s="13">
        <v>57.3936769343535</v>
      </c>
      <c r="Y39" s="13">
        <f t="shared" si="11"/>
        <v>61.229034832070127</v>
      </c>
      <c r="Z39" s="13">
        <v>62.699173730559224</v>
      </c>
      <c r="AB39" s="13">
        <f t="shared" si="13"/>
        <v>59.783435165055145</v>
      </c>
      <c r="AE39" s="33">
        <f t="shared" si="0"/>
        <v>2.4388895109853959</v>
      </c>
      <c r="AF39" s="33">
        <f t="shared" si="18"/>
        <v>2.4388895109853959</v>
      </c>
      <c r="AH39">
        <v>35</v>
      </c>
      <c r="AI39">
        <v>0</v>
      </c>
    </row>
    <row r="40" spans="1:35">
      <c r="A40">
        <v>2045</v>
      </c>
      <c r="C40" s="13">
        <f t="shared" si="16"/>
        <v>62.048609456796761</v>
      </c>
      <c r="D40" s="84">
        <f t="shared" si="7"/>
        <v>62.372023673048133</v>
      </c>
      <c r="E40" s="84">
        <f>J40-SUM(F$7:F40)</f>
        <v>3.1669027436960389</v>
      </c>
      <c r="F40" s="13">
        <f t="shared" si="8"/>
        <v>0</v>
      </c>
      <c r="G40" s="13">
        <f t="shared" si="9"/>
        <v>0.88019204041102128</v>
      </c>
      <c r="H40" s="13">
        <f t="shared" si="14"/>
        <v>0.88019204041102128</v>
      </c>
      <c r="I40" s="89">
        <f t="shared" si="19"/>
        <v>0</v>
      </c>
      <c r="J40" s="13">
        <f t="shared" si="10"/>
        <v>3.1669027436960389</v>
      </c>
      <c r="K40" s="13"/>
      <c r="L40" s="84">
        <f t="shared" si="15"/>
        <v>62.372023673048133</v>
      </c>
      <c r="M40" s="13">
        <f t="shared" si="4"/>
        <v>62.526549141299505</v>
      </c>
      <c r="N40" s="13">
        <f t="shared" si="5"/>
        <v>2046.8080854433067</v>
      </c>
      <c r="O40" s="13">
        <f t="shared" si="6"/>
        <v>2019.8303721448719</v>
      </c>
      <c r="P40" s="13">
        <f t="shared" si="17"/>
        <v>0.86405761212330634</v>
      </c>
      <c r="R40">
        <v>2045</v>
      </c>
      <c r="S40" s="13">
        <v>62.048609456796761</v>
      </c>
      <c r="T40" s="13">
        <v>62.048609456796761</v>
      </c>
      <c r="U40" s="13">
        <v>62.048609456796761</v>
      </c>
      <c r="W40">
        <v>2045</v>
      </c>
      <c r="X40" s="13">
        <v>58.939522874422934</v>
      </c>
      <c r="Y40" s="13">
        <f t="shared" si="11"/>
        <v>62.048609456796761</v>
      </c>
      <c r="Z40" s="13">
        <v>63.212023302906928</v>
      </c>
      <c r="AB40" s="13">
        <f t="shared" si="13"/>
        <v>60.916636696831318</v>
      </c>
      <c r="AE40" s="33">
        <f t="shared" si="0"/>
        <v>2.7025853301335694</v>
      </c>
      <c r="AF40" s="33">
        <f t="shared" si="18"/>
        <v>2.7025853301335694</v>
      </c>
      <c r="AH40">
        <v>36</v>
      </c>
      <c r="AI40">
        <v>0</v>
      </c>
    </row>
    <row r="41" spans="1:35">
      <c r="A41">
        <v>2046</v>
      </c>
      <c r="C41" s="13">
        <f t="shared" si="16"/>
        <v>62.699173730559224</v>
      </c>
      <c r="D41" s="84">
        <f t="shared" si="7"/>
        <v>62.959663525680732</v>
      </c>
      <c r="E41" s="84">
        <f>J41-SUM(F$7:F41)</f>
        <v>3.4293795271923964</v>
      </c>
      <c r="F41" s="13">
        <f t="shared" si="8"/>
        <v>0</v>
      </c>
      <c r="G41" s="13">
        <f t="shared" si="9"/>
        <v>0.88019204041102128</v>
      </c>
      <c r="H41" s="13">
        <f t="shared" si="14"/>
        <v>0.88019204041102128</v>
      </c>
      <c r="I41" s="89">
        <f t="shared" si="19"/>
        <v>0</v>
      </c>
      <c r="J41" s="13">
        <f t="shared" si="10"/>
        <v>3.4293795271923964</v>
      </c>
      <c r="K41" s="13"/>
      <c r="L41" s="84">
        <f t="shared" si="15"/>
        <v>62.959663525680732</v>
      </c>
      <c r="M41" s="13">
        <f t="shared" si="4"/>
        <v>63.082968245399158</v>
      </c>
      <c r="N41" s="13">
        <f t="shared" si="5"/>
        <v>2047.8080854433067</v>
      </c>
      <c r="O41" s="13">
        <f t="shared" si="6"/>
        <v>2019.8303721448719</v>
      </c>
      <c r="P41" s="13">
        <f t="shared" si="17"/>
        <v>0.86405761212330634</v>
      </c>
      <c r="R41">
        <v>2046</v>
      </c>
      <c r="S41" s="13">
        <v>62.699173730559224</v>
      </c>
      <c r="T41" s="13">
        <v>62.699173730559224</v>
      </c>
      <c r="U41" s="13">
        <v>62.699173730559224</v>
      </c>
      <c r="W41">
        <v>2046</v>
      </c>
      <c r="X41" s="13">
        <v>60.205269281525673</v>
      </c>
      <c r="Y41" s="13">
        <f t="shared" si="11"/>
        <v>62.699173730559224</v>
      </c>
      <c r="Z41" s="13">
        <v>63.614066872323193</v>
      </c>
      <c r="AB41" s="13">
        <f t="shared" si="13"/>
        <v>61.816778679279402</v>
      </c>
      <c r="AE41" s="33">
        <f t="shared" si="0"/>
        <v>2.9662811492817411</v>
      </c>
      <c r="AF41" s="33">
        <f t="shared" si="18"/>
        <v>2.9662811492817411</v>
      </c>
      <c r="AH41">
        <v>37</v>
      </c>
      <c r="AI41">
        <v>0</v>
      </c>
    </row>
    <row r="42" spans="1:35">
      <c r="A42">
        <v>2047</v>
      </c>
      <c r="C42" s="13">
        <f t="shared" si="16"/>
        <v>63.212023302906928</v>
      </c>
      <c r="D42" s="84">
        <f t="shared" si="7"/>
        <v>63.419641690535819</v>
      </c>
      <c r="E42" s="84">
        <f>J42-SUM(F$7:F42)</f>
        <v>3.6921220198371816</v>
      </c>
      <c r="F42" s="13">
        <f t="shared" si="8"/>
        <v>0</v>
      </c>
      <c r="G42" s="13">
        <f t="shared" si="9"/>
        <v>0.88019204041102128</v>
      </c>
      <c r="H42" s="13">
        <f t="shared" si="14"/>
        <v>0.88019204041102128</v>
      </c>
      <c r="I42" s="89">
        <f t="shared" si="19"/>
        <v>0</v>
      </c>
      <c r="J42" s="13">
        <f t="shared" si="10"/>
        <v>3.6921220198371816</v>
      </c>
      <c r="K42" s="13"/>
      <c r="L42" s="84">
        <f t="shared" si="15"/>
        <v>63.419641690535812</v>
      </c>
      <c r="M42" s="13">
        <f t="shared" si="4"/>
        <v>63.517185602431319</v>
      </c>
      <c r="N42" s="13">
        <f t="shared" si="5"/>
        <v>2048.8080854433065</v>
      </c>
      <c r="O42" s="13">
        <f t="shared" si="6"/>
        <v>2019.8303721448719</v>
      </c>
      <c r="P42" s="13">
        <f t="shared" si="17"/>
        <v>0.86405761212330634</v>
      </c>
      <c r="R42">
        <v>2047</v>
      </c>
      <c r="S42" s="13">
        <v>63.212023302906928</v>
      </c>
      <c r="T42" s="13">
        <v>63.212023302906928</v>
      </c>
      <c r="U42" s="13">
        <v>63.212023302906928</v>
      </c>
      <c r="W42">
        <v>2047</v>
      </c>
      <c r="X42" s="13">
        <v>61.229034832070127</v>
      </c>
      <c r="Y42" s="13">
        <f t="shared" si="11"/>
        <v>63.212023302906928</v>
      </c>
      <c r="Z42" s="13">
        <v>63.925801738200711</v>
      </c>
      <c r="AB42" s="13">
        <f t="shared" si="13"/>
        <v>62.526549141299505</v>
      </c>
      <c r="AE42" s="33">
        <f t="shared" si="0"/>
        <v>3.2299769684299147</v>
      </c>
      <c r="AF42" s="33">
        <f t="shared" si="18"/>
        <v>3.2299769684299147</v>
      </c>
      <c r="AH42">
        <v>38</v>
      </c>
      <c r="AI42">
        <v>0</v>
      </c>
    </row>
    <row r="43" spans="1:35">
      <c r="A43">
        <v>2048</v>
      </c>
      <c r="C43" s="13">
        <f t="shared" si="16"/>
        <v>63.614066872323193</v>
      </c>
      <c r="D43" s="84">
        <f t="shared" si="7"/>
        <v>63.778186840562668</v>
      </c>
      <c r="E43" s="84">
        <f>J43-SUM(F$7:F43)</f>
        <v>3.9550752811305765</v>
      </c>
      <c r="F43" s="13">
        <f t="shared" si="8"/>
        <v>0</v>
      </c>
      <c r="G43" s="13">
        <f t="shared" si="9"/>
        <v>0.88019204041102128</v>
      </c>
      <c r="H43" s="13">
        <f t="shared" si="14"/>
        <v>0.88019204041102128</v>
      </c>
      <c r="I43" s="89">
        <f t="shared" si="19"/>
        <v>0</v>
      </c>
      <c r="J43" s="13">
        <f t="shared" si="10"/>
        <v>3.9550752811305765</v>
      </c>
      <c r="K43" s="13"/>
      <c r="L43" s="84">
        <f t="shared" si="15"/>
        <v>63.778186840562668</v>
      </c>
      <c r="M43" s="13">
        <f t="shared" si="4"/>
        <v>63.854835959994233</v>
      </c>
      <c r="N43" s="13">
        <f t="shared" si="5"/>
        <v>2049.8080854433065</v>
      </c>
      <c r="O43" s="13">
        <f t="shared" si="6"/>
        <v>2019.8303721448719</v>
      </c>
      <c r="P43" s="13">
        <f t="shared" si="17"/>
        <v>0.86405761212330634</v>
      </c>
      <c r="R43">
        <v>2048</v>
      </c>
      <c r="S43" s="13">
        <v>63.614066872323193</v>
      </c>
      <c r="T43" s="13">
        <v>63.614066872323193</v>
      </c>
      <c r="U43" s="13">
        <v>63.614066872323193</v>
      </c>
      <c r="W43">
        <v>2048</v>
      </c>
      <c r="X43" s="13">
        <v>62.048609456796761</v>
      </c>
      <c r="Y43" s="13">
        <f t="shared" si="11"/>
        <v>63.614066872323193</v>
      </c>
      <c r="Z43" s="13">
        <v>64.164169208720438</v>
      </c>
      <c r="AB43" s="13">
        <f t="shared" si="13"/>
        <v>63.082968245399158</v>
      </c>
      <c r="AE43" s="33">
        <f t="shared" si="0"/>
        <v>3.4936727875780864</v>
      </c>
      <c r="AF43" s="33">
        <f t="shared" si="18"/>
        <v>3.4936727875780864</v>
      </c>
      <c r="AH43">
        <v>39</v>
      </c>
      <c r="AI43">
        <v>0</v>
      </c>
    </row>
    <row r="44" spans="1:35">
      <c r="A44">
        <v>2049</v>
      </c>
      <c r="C44" s="13">
        <f t="shared" si="16"/>
        <v>63.925801738200711</v>
      </c>
      <c r="D44" s="84">
        <f t="shared" si="7"/>
        <v>64.056751104877549</v>
      </c>
      <c r="E44" s="84">
        <f>J44-SUM(F$7:F44)</f>
        <v>4.2181945179454283</v>
      </c>
      <c r="F44" s="13">
        <f t="shared" si="8"/>
        <v>0</v>
      </c>
      <c r="G44" s="13">
        <f t="shared" si="9"/>
        <v>0.88019204041102128</v>
      </c>
      <c r="H44" s="13">
        <f t="shared" si="14"/>
        <v>0.88019204041102128</v>
      </c>
      <c r="I44" s="89">
        <f t="shared" si="19"/>
        <v>0</v>
      </c>
      <c r="J44" s="13">
        <f t="shared" si="10"/>
        <v>4.2181945179454283</v>
      </c>
      <c r="K44" s="13"/>
      <c r="L44" s="84">
        <f t="shared" si="15"/>
        <v>64.056751104877549</v>
      </c>
      <c r="M44" s="13">
        <f t="shared" si="4"/>
        <v>64.11666950355486</v>
      </c>
      <c r="N44" s="13">
        <f t="shared" si="5"/>
        <v>2050.8080854433065</v>
      </c>
      <c r="O44" s="13">
        <f t="shared" si="6"/>
        <v>2019.8303721448719</v>
      </c>
      <c r="P44" s="13">
        <f t="shared" si="17"/>
        <v>0.86405761212330634</v>
      </c>
      <c r="R44">
        <v>2049</v>
      </c>
      <c r="S44" s="13">
        <v>63.925801738200711</v>
      </c>
      <c r="T44" s="13">
        <v>63.925801738200711</v>
      </c>
      <c r="U44" s="13">
        <v>63.925801738200711</v>
      </c>
      <c r="W44">
        <v>2049</v>
      </c>
      <c r="X44" s="13">
        <v>62.699173730559224</v>
      </c>
      <c r="Y44" s="13">
        <f t="shared" si="11"/>
        <v>63.925801738200711</v>
      </c>
      <c r="Z44" s="13">
        <v>64.342934819978069</v>
      </c>
      <c r="AB44" s="13">
        <f t="shared" si="13"/>
        <v>63.517185602431319</v>
      </c>
      <c r="AE44" s="33">
        <f t="shared" si="0"/>
        <v>3.7573686067262599</v>
      </c>
      <c r="AF44" s="33">
        <f t="shared" si="18"/>
        <v>3.7573686067262599</v>
      </c>
      <c r="AH44">
        <v>40</v>
      </c>
      <c r="AI44">
        <v>0</v>
      </c>
    </row>
    <row r="45" spans="1:35">
      <c r="A45">
        <v>2050</v>
      </c>
      <c r="C45" s="13">
        <f t="shared" si="16"/>
        <v>64.164169208720438</v>
      </c>
      <c r="D45" s="84">
        <f t="shared" si="7"/>
        <v>64.272622700070684</v>
      </c>
      <c r="E45" s="84">
        <f>J45-SUM(F$7:F45)</f>
        <v>4.4814437201345632</v>
      </c>
      <c r="F45" s="13">
        <f t="shared" si="8"/>
        <v>0</v>
      </c>
      <c r="G45" s="13">
        <f t="shared" si="9"/>
        <v>0.88019204041102128</v>
      </c>
      <c r="H45" s="13">
        <f t="shared" si="14"/>
        <v>0.88019204041102128</v>
      </c>
      <c r="I45" s="89">
        <f t="shared" si="19"/>
        <v>0</v>
      </c>
      <c r="J45" s="13">
        <f t="shared" si="10"/>
        <v>4.4814437201345632</v>
      </c>
      <c r="K45" s="13"/>
      <c r="L45" s="84">
        <f t="shared" si="15"/>
        <v>64.272622700070684</v>
      </c>
      <c r="M45" s="13">
        <f t="shared" si="4"/>
        <v>64.319274891433764</v>
      </c>
      <c r="N45" s="13">
        <f t="shared" si="5"/>
        <v>2051.8080854433065</v>
      </c>
      <c r="O45" s="13">
        <f t="shared" si="6"/>
        <v>2019.8303721448719</v>
      </c>
      <c r="P45" s="13">
        <f t="shared" si="17"/>
        <v>0.86405761212330634</v>
      </c>
      <c r="R45">
        <v>2050</v>
      </c>
      <c r="S45" s="13">
        <v>64.164169208720438</v>
      </c>
      <c r="T45" s="13">
        <v>64.164169208720438</v>
      </c>
      <c r="U45" s="13">
        <v>64.164169208720438</v>
      </c>
      <c r="W45">
        <v>2050</v>
      </c>
      <c r="X45" s="13">
        <v>63.212023302906928</v>
      </c>
      <c r="Y45" s="13">
        <f t="shared" si="11"/>
        <v>64.164169208720438</v>
      </c>
      <c r="Z45" s="13">
        <v>64.47313888805121</v>
      </c>
      <c r="AB45" s="13">
        <f t="shared" si="13"/>
        <v>63.854835959994233</v>
      </c>
      <c r="AE45" s="33">
        <f t="shared" si="0"/>
        <v>4.0210644258744317</v>
      </c>
      <c r="AF45" s="33">
        <f t="shared" si="18"/>
        <v>4.0210644258744317</v>
      </c>
      <c r="AH45">
        <v>41</v>
      </c>
      <c r="AI45">
        <v>0</v>
      </c>
    </row>
    <row r="46" spans="1:35">
      <c r="A46">
        <v>2051</v>
      </c>
      <c r="C46" s="20">
        <f t="shared" si="16"/>
        <v>64.389934629475093</v>
      </c>
      <c r="D46" s="84">
        <f t="shared" si="7"/>
        <v>64.439578571486763</v>
      </c>
      <c r="E46" s="84">
        <f>J46-SUM(F$7:F46)</f>
        <v>4.7447942457893033</v>
      </c>
      <c r="F46" s="13">
        <f t="shared" si="8"/>
        <v>0</v>
      </c>
      <c r="G46" s="13">
        <f t="shared" si="9"/>
        <v>0.88019204041102128</v>
      </c>
      <c r="H46" s="13">
        <f t="shared" si="14"/>
        <v>0.88019204041102128</v>
      </c>
      <c r="I46" s="89">
        <f t="shared" si="19"/>
        <v>0</v>
      </c>
      <c r="J46" s="13">
        <f t="shared" si="10"/>
        <v>4.7447942457893033</v>
      </c>
      <c r="K46" s="13"/>
      <c r="L46" s="84">
        <f t="shared" si="15"/>
        <v>64.439578571486763</v>
      </c>
      <c r="M46" s="13">
        <f t="shared" si="4"/>
        <v>64.47578956697356</v>
      </c>
      <c r="N46" s="13">
        <f t="shared" si="5"/>
        <v>2052.8080854433065</v>
      </c>
      <c r="O46" s="13">
        <f t="shared" si="6"/>
        <v>2019.8303721448719</v>
      </c>
      <c r="P46" s="13">
        <f t="shared" si="17"/>
        <v>0.86405761212330634</v>
      </c>
      <c r="AB46" s="13">
        <f t="shared" si="13"/>
        <v>64.11666950355486</v>
      </c>
      <c r="AE46" s="33">
        <f t="shared" si="0"/>
        <v>4.2847602450226034</v>
      </c>
      <c r="AF46" s="33">
        <f t="shared" si="18"/>
        <v>4.2847602450226034</v>
      </c>
      <c r="AH46">
        <v>42</v>
      </c>
      <c r="AI46">
        <v>0</v>
      </c>
    </row>
    <row r="47" spans="1:35">
      <c r="A47">
        <v>2052</v>
      </c>
      <c r="C47" s="20">
        <f t="shared" si="16"/>
        <v>64.564479334982209</v>
      </c>
      <c r="D47" s="84">
        <f t="shared" si="7"/>
        <v>64.554167734190727</v>
      </c>
      <c r="E47" s="84">
        <f>J47-SUM(F$7:F47)</f>
        <v>4.9753171645206162</v>
      </c>
      <c r="F47" s="13">
        <f t="shared" si="8"/>
        <v>0</v>
      </c>
      <c r="G47" s="13">
        <f t="shared" si="9"/>
        <v>0.88019204041102128</v>
      </c>
      <c r="H47" s="13">
        <f t="shared" si="14"/>
        <v>0.88019204041102128</v>
      </c>
      <c r="I47" s="89">
        <f t="shared" si="19"/>
        <v>0</v>
      </c>
      <c r="J47" s="13">
        <f t="shared" si="10"/>
        <v>4.9753171645206162</v>
      </c>
      <c r="K47" s="13"/>
      <c r="L47" s="84">
        <f t="shared" si="15"/>
        <v>64.554167734190727</v>
      </c>
      <c r="M47" s="13">
        <f t="shared" si="4"/>
        <v>64.596543578396933</v>
      </c>
      <c r="N47" s="13">
        <f t="shared" si="5"/>
        <v>2053.8080854433065</v>
      </c>
      <c r="O47" s="13">
        <f t="shared" si="6"/>
        <v>2019.8303721448719</v>
      </c>
      <c r="P47" s="13">
        <f t="shared" si="17"/>
        <v>0.86405761212330634</v>
      </c>
      <c r="AB47" s="13">
        <f t="shared" si="13"/>
        <v>64.319274891433764</v>
      </c>
      <c r="AE47" s="33">
        <f t="shared" si="0"/>
        <v>4.548456064170777</v>
      </c>
      <c r="AF47" s="33">
        <f t="shared" si="18"/>
        <v>4.548456064170777</v>
      </c>
      <c r="AH47">
        <v>43</v>
      </c>
      <c r="AI47">
        <v>0</v>
      </c>
    </row>
    <row r="48" spans="1:35">
      <c r="A48">
        <v>2053</v>
      </c>
      <c r="C48" s="20">
        <f t="shared" si="16"/>
        <v>64.649100706666317</v>
      </c>
      <c r="D48" s="84">
        <f t="shared" si="7"/>
        <v>64.628235819318917</v>
      </c>
      <c r="E48" s="84">
        <f>J48-SUM(F$7:F48)</f>
        <v>5.1581469509036078</v>
      </c>
      <c r="F48" s="13">
        <f t="shared" si="8"/>
        <v>0</v>
      </c>
      <c r="G48" s="13">
        <f t="shared" si="9"/>
        <v>0.88019204041102128</v>
      </c>
      <c r="H48" s="13">
        <f t="shared" si="14"/>
        <v>0.88019204041102128</v>
      </c>
      <c r="I48" s="89">
        <f t="shared" si="19"/>
        <v>0</v>
      </c>
      <c r="J48" s="13">
        <f>LN(L48/(65-L48))</f>
        <v>5.1581469509036078</v>
      </c>
      <c r="K48" s="13"/>
      <c r="L48" s="84">
        <f t="shared" si="15"/>
        <v>64.628235819318917</v>
      </c>
      <c r="M48" s="13">
        <f t="shared" si="4"/>
        <v>64.689615317074697</v>
      </c>
      <c r="N48" s="13">
        <f t="shared" si="5"/>
        <v>2054.8080854433065</v>
      </c>
      <c r="O48" s="13">
        <f t="shared" si="6"/>
        <v>2019.8303721448719</v>
      </c>
      <c r="P48" s="13">
        <f t="shared" si="17"/>
        <v>0.86405761212330634</v>
      </c>
      <c r="AB48" s="13">
        <f t="shared" si="13"/>
        <v>64.47578956697356</v>
      </c>
      <c r="AE48" s="33">
        <f t="shared" si="0"/>
        <v>4.8121518833189487</v>
      </c>
      <c r="AF48" s="33">
        <f t="shared" si="18"/>
        <v>4.8121518833189487</v>
      </c>
      <c r="AH48">
        <v>44</v>
      </c>
      <c r="AI48">
        <v>0</v>
      </c>
    </row>
    <row r="49" spans="1:35">
      <c r="A49">
        <v>2054</v>
      </c>
      <c r="C49" s="20">
        <f t="shared" si="16"/>
        <v>64.724396307985444</v>
      </c>
      <c r="D49" s="84">
        <f t="shared" si="7"/>
        <v>64.999999635818241</v>
      </c>
      <c r="E49" s="84">
        <f>J49-SUM(F$7:F49)</f>
        <v>19</v>
      </c>
      <c r="F49" s="13">
        <f t="shared" si="8"/>
        <v>0</v>
      </c>
      <c r="G49" s="13">
        <f t="shared" si="9"/>
        <v>0.88019204041102128</v>
      </c>
      <c r="H49" s="13">
        <f t="shared" si="14"/>
        <v>0.88019204041102128</v>
      </c>
      <c r="I49" s="89">
        <f t="shared" si="19"/>
        <v>0</v>
      </c>
      <c r="J49" s="13">
        <v>19</v>
      </c>
      <c r="K49" s="13"/>
      <c r="L49" s="84">
        <f>AVERAGE(M45:M50)</f>
        <v>64.576742331338053</v>
      </c>
      <c r="M49" s="13">
        <f t="shared" si="4"/>
        <v>64.689615317074697</v>
      </c>
      <c r="N49" s="13">
        <f t="shared" si="5"/>
        <v>2055.8080854433065</v>
      </c>
      <c r="O49" s="13">
        <f t="shared" si="6"/>
        <v>2019.8303721448719</v>
      </c>
      <c r="P49" s="13">
        <f t="shared" si="17"/>
        <v>0.86405761212330634</v>
      </c>
      <c r="AB49" s="13">
        <f t="shared" si="13"/>
        <v>64.596543578396933</v>
      </c>
      <c r="AE49" s="33">
        <f t="shared" si="0"/>
        <v>5.0758477024671222</v>
      </c>
      <c r="AF49" s="33">
        <f t="shared" si="18"/>
        <v>5.0758477024671222</v>
      </c>
      <c r="AH49">
        <v>45</v>
      </c>
      <c r="AI49">
        <v>0</v>
      </c>
    </row>
    <row r="50" spans="1:35">
      <c r="A50">
        <v>2055</v>
      </c>
      <c r="C50" s="20">
        <f t="shared" si="16"/>
        <v>64.795600742110111</v>
      </c>
      <c r="D50" s="84">
        <f>65*EXP(E50)/(1+EXP(E50))</f>
        <v>64.999999779112585</v>
      </c>
      <c r="E50" s="84">
        <f>J50-SUM(F$7:F50)</f>
        <v>19.5</v>
      </c>
      <c r="F50" s="13">
        <f t="shared" si="8"/>
        <v>0</v>
      </c>
      <c r="G50" s="13">
        <f t="shared" si="9"/>
        <v>0.88019204041102128</v>
      </c>
      <c r="H50" s="13">
        <f t="shared" si="14"/>
        <v>0.88019204041102128</v>
      </c>
      <c r="I50" s="89">
        <f t="shared" si="19"/>
        <v>0</v>
      </c>
      <c r="J50" s="13">
        <v>19.5</v>
      </c>
      <c r="K50" s="13"/>
      <c r="L50" s="84">
        <f>AVERAGE(M45:M50)</f>
        <v>64.576742331338053</v>
      </c>
      <c r="M50" s="13">
        <f t="shared" si="4"/>
        <v>64.689615317074697</v>
      </c>
      <c r="N50" s="13">
        <f t="shared" si="5"/>
        <v>2056.8080854433065</v>
      </c>
      <c r="O50" s="13">
        <f t="shared" si="6"/>
        <v>2019.8303721448719</v>
      </c>
      <c r="P50" s="13">
        <f t="shared" si="17"/>
        <v>0.86405761212330634</v>
      </c>
      <c r="AB50" s="13">
        <f t="shared" si="13"/>
        <v>64.689615317074697</v>
      </c>
      <c r="AE50" s="33">
        <f t="shared" si="0"/>
        <v>5.339543521615294</v>
      </c>
      <c r="AF50" s="33">
        <f t="shared" si="18"/>
        <v>5.339543521615294</v>
      </c>
      <c r="AH50">
        <v>46</v>
      </c>
      <c r="AI50">
        <v>0</v>
      </c>
    </row>
    <row r="55" spans="1:35">
      <c r="B55" t="s">
        <v>1233</v>
      </c>
      <c r="C55" s="13">
        <f>K69</f>
        <v>0.80049150561038718</v>
      </c>
      <c r="AD55" s="41" t="s">
        <v>159</v>
      </c>
      <c r="AE55" s="41">
        <v>-6.7904641592006421</v>
      </c>
    </row>
    <row r="56" spans="1:35">
      <c r="Z56" s="41" t="str">
        <f>' All EV uptake'!D46</f>
        <v>Intercept</v>
      </c>
      <c r="AA56" s="41">
        <f>' All EV uptake'!E46</f>
        <v>2006.0956444042549</v>
      </c>
      <c r="AD56" t="s">
        <v>329</v>
      </c>
      <c r="AE56" s="41">
        <v>0.26369581914817253</v>
      </c>
    </row>
    <row r="57" spans="1:35" ht="15.75" thickBot="1">
      <c r="Z57" s="41" t="str">
        <f>' All EV uptake'!D47</f>
        <v>EV/FFV cost ratio</v>
      </c>
      <c r="AA57" s="41">
        <f>' All EV uptake'!E47</f>
        <v>10.783904112355547</v>
      </c>
      <c r="AD57" t="s">
        <v>1340</v>
      </c>
      <c r="AE57" s="42">
        <v>-0.43924467989783833</v>
      </c>
    </row>
    <row r="58" spans="1:35">
      <c r="Z58" s="41" t="str">
        <f>' All EV uptake'!D48</f>
        <v>dumKorea</v>
      </c>
      <c r="AA58" s="41">
        <f>' All EV uptake'!E48</f>
        <v>3.2747008164932261</v>
      </c>
    </row>
    <row r="59" spans="1:35">
      <c r="Z59" s="41" t="str">
        <f>' All EV uptake'!D49</f>
        <v>dumUK</v>
      </c>
      <c r="AA59" s="41">
        <f>' All EV uptake'!E49</f>
        <v>2.7276845521810786</v>
      </c>
    </row>
    <row r="60" spans="1:35">
      <c r="Z60" s="41" t="str">
        <f>' All EV uptake'!D50</f>
        <v>dumNeth</v>
      </c>
      <c r="AA60" s="41">
        <f>' All EV uptake'!E50</f>
        <v>-1.2544269368470402</v>
      </c>
    </row>
    <row r="61" spans="1:35">
      <c r="F61" s="242">
        <v>2016</v>
      </c>
      <c r="G61" s="242"/>
      <c r="H61" s="242">
        <v>2017</v>
      </c>
      <c r="I61" s="242"/>
      <c r="J61" s="242">
        <v>2018</v>
      </c>
      <c r="K61" s="242"/>
      <c r="Z61" s="41" t="str">
        <f>' All EV uptake'!D51</f>
        <v>dumChina</v>
      </c>
      <c r="AA61" s="41">
        <f>' All EV uptake'!E51</f>
        <v>1.6840641661301363</v>
      </c>
    </row>
    <row r="62" spans="1:35">
      <c r="E62" t="s">
        <v>1235</v>
      </c>
      <c r="F62">
        <v>808</v>
      </c>
      <c r="H62">
        <v>1008</v>
      </c>
      <c r="J62">
        <v>2204</v>
      </c>
      <c r="Z62" s="41" t="str">
        <f>' All EV uptake'!D52</f>
        <v>dumDenmark</v>
      </c>
      <c r="AA62" s="41">
        <f>' All EV uptake'!E52</f>
        <v>3.2654872236791634</v>
      </c>
    </row>
    <row r="63" spans="1:35">
      <c r="E63" t="s">
        <v>1236</v>
      </c>
      <c r="F63">
        <v>1006</v>
      </c>
      <c r="G63">
        <f>F62+F63</f>
        <v>1814</v>
      </c>
      <c r="H63" s="33">
        <v>1480</v>
      </c>
      <c r="I63">
        <f>H62+H63</f>
        <v>2488</v>
      </c>
      <c r="J63">
        <v>2799</v>
      </c>
      <c r="K63">
        <f>J62+J63</f>
        <v>5003</v>
      </c>
      <c r="Z63" s="41" t="str">
        <f>' All EV uptake'!D53</f>
        <v>dumIreland</v>
      </c>
      <c r="AA63" s="41">
        <f>' All EV uptake'!E53</f>
        <v>3.5582490934682056</v>
      </c>
    </row>
    <row r="64" spans="1:35">
      <c r="E64" t="s">
        <v>1237</v>
      </c>
      <c r="F64">
        <v>691</v>
      </c>
      <c r="H64">
        <v>2099</v>
      </c>
      <c r="Z64" s="41" t="str">
        <f>' All EV uptake'!D54</f>
        <v>dumNZ</v>
      </c>
      <c r="AA64" s="41">
        <f>' All EV uptake'!E54</f>
        <v>1.900474768762227</v>
      </c>
    </row>
    <row r="65" spans="5:27">
      <c r="E65" t="s">
        <v>1238</v>
      </c>
      <c r="F65" s="18">
        <v>1157</v>
      </c>
      <c r="G65" s="18">
        <f>SUM(F64:F65)</f>
        <v>1848</v>
      </c>
      <c r="H65" s="18">
        <v>2861</v>
      </c>
      <c r="I65" s="18">
        <f>SUM(H64:H65)</f>
        <v>4960</v>
      </c>
      <c r="J65" s="18"/>
      <c r="K65" s="16">
        <f>K63*G65/G63</f>
        <v>5096.7717750826905</v>
      </c>
      <c r="Z65" s="41" t="str">
        <f>' All EV uptake'!D55</f>
        <v>dumSwitzerland</v>
      </c>
      <c r="AA65" s="41">
        <f>' All EV uptake'!E55</f>
        <v>-2.1041729879229703</v>
      </c>
    </row>
    <row r="66" spans="5:27">
      <c r="F66">
        <f>SUM(F62:F65)</f>
        <v>3662</v>
      </c>
      <c r="G66">
        <f>SUM(G62:G65)</f>
        <v>3662</v>
      </c>
      <c r="H66">
        <f>SUM(H62:H65)</f>
        <v>7448</v>
      </c>
      <c r="I66">
        <f>SUM(I62:I65)</f>
        <v>7448</v>
      </c>
      <c r="K66" s="3">
        <f>SUM(K62:K65)</f>
        <v>10099.771775082691</v>
      </c>
      <c r="Z66" s="41" t="str">
        <f>' All EV uptake'!D56</f>
        <v>dumSpain</v>
      </c>
      <c r="AA66" s="41">
        <f>' All EV uptake'!E56</f>
        <v>4.4168133039283006</v>
      </c>
    </row>
    <row r="67" spans="5:27">
      <c r="Z67" s="41" t="str">
        <f>' All EV uptake'!D57</f>
        <v>dumIndia</v>
      </c>
      <c r="AA67" s="41">
        <f>' All EV uptake'!E57</f>
        <v>8.3918907463589623</v>
      </c>
    </row>
    <row r="68" spans="5:27">
      <c r="Z68" s="41" t="str">
        <f>' All EV uptake'!D58</f>
        <v>dumUSA</v>
      </c>
      <c r="AA68" s="41">
        <f>' All EV uptake'!E58</f>
        <v>2.1386885311349126</v>
      </c>
    </row>
    <row r="69" spans="5:27">
      <c r="F69" s="13">
        <f>B11</f>
        <v>0.30653692610419991</v>
      </c>
      <c r="H69" s="13">
        <f>B12</f>
        <v>0.5903163820488756</v>
      </c>
      <c r="I69" s="13">
        <f>F69*H66/F66</f>
        <v>0.62345358427746611</v>
      </c>
      <c r="K69" s="13">
        <f>H69*K66/H66</f>
        <v>0.80049150561038718</v>
      </c>
      <c r="Z69" s="41" t="str">
        <f>' All EV uptake'!D59</f>
        <v>dumAustria</v>
      </c>
      <c r="AA69" s="41">
        <f>' All EV uptake'!E59</f>
        <v>-0.86657486911619475</v>
      </c>
    </row>
    <row r="70" spans="5:27">
      <c r="Z70" s="41" t="str">
        <f>' All EV uptake'!D60</f>
        <v>dumItaly</v>
      </c>
      <c r="AA70" s="41">
        <f>' All EV uptake'!E60</f>
        <v>2.0513905871244105</v>
      </c>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40"/>
  <sheetViews>
    <sheetView zoomScale="75" zoomScaleNormal="75" workbookViewId="0">
      <pane xSplit="1" ySplit="2" topLeftCell="B101" activePane="bottomRight" state="frozen"/>
      <selection pane="topRight" activeCell="B1" sqref="B1"/>
      <selection pane="bottomLeft" activeCell="A3" sqref="A3"/>
      <selection pane="bottomRight" activeCell="P120" sqref="P120:AC140"/>
    </sheetView>
  </sheetViews>
  <sheetFormatPr defaultRowHeight="15"/>
  <cols>
    <col min="2" max="2" width="12.140625" customWidth="1"/>
    <col min="3" max="3" width="10.28515625" customWidth="1"/>
    <col min="4" max="4" width="12.28515625" customWidth="1"/>
    <col min="7" max="7" width="10.85546875" customWidth="1"/>
    <col min="8" max="8" width="16.85546875" customWidth="1"/>
    <col min="9" max="9" width="14.28515625" customWidth="1"/>
    <col min="10" max="10" width="11.28515625" customWidth="1"/>
    <col min="22" max="22" width="9.7109375" customWidth="1"/>
    <col min="26" max="26" width="16.42578125" customWidth="1"/>
    <col min="27" max="27" width="16.5703125" customWidth="1"/>
    <col min="29" max="30" width="16.85546875" customWidth="1"/>
  </cols>
  <sheetData>
    <row r="1" spans="1:38">
      <c r="A1" t="s">
        <v>5</v>
      </c>
      <c r="B1" t="s">
        <v>1395</v>
      </c>
      <c r="C1" t="s">
        <v>709</v>
      </c>
      <c r="D1" t="s">
        <v>709</v>
      </c>
      <c r="E1" t="s">
        <v>498</v>
      </c>
      <c r="F1" t="s">
        <v>709</v>
      </c>
      <c r="G1" t="s">
        <v>709</v>
      </c>
      <c r="J1" t="s">
        <v>709</v>
      </c>
      <c r="O1" t="s">
        <v>709</v>
      </c>
      <c r="P1" t="s">
        <v>709</v>
      </c>
      <c r="Q1" t="s">
        <v>709</v>
      </c>
      <c r="U1" t="s">
        <v>730</v>
      </c>
      <c r="V1" s="33" t="s">
        <v>715</v>
      </c>
      <c r="W1" s="87" t="s">
        <v>1181</v>
      </c>
      <c r="X1" s="87" t="s">
        <v>1181</v>
      </c>
      <c r="Y1" s="87" t="s">
        <v>1181</v>
      </c>
      <c r="AB1" t="s">
        <v>747</v>
      </c>
      <c r="AG1" t="s">
        <v>863</v>
      </c>
      <c r="AH1" t="s">
        <v>864</v>
      </c>
      <c r="AJ1" t="s">
        <v>884</v>
      </c>
      <c r="AK1" t="s">
        <v>885</v>
      </c>
    </row>
    <row r="2" spans="1:38">
      <c r="B2" t="s">
        <v>710</v>
      </c>
      <c r="C2" t="s">
        <v>710</v>
      </c>
      <c r="D2" t="s">
        <v>749</v>
      </c>
      <c r="E2" t="s">
        <v>714</v>
      </c>
      <c r="F2" t="s">
        <v>728</v>
      </c>
      <c r="G2" t="s">
        <v>269</v>
      </c>
      <c r="H2" t="s">
        <v>750</v>
      </c>
      <c r="I2" t="s">
        <v>755</v>
      </c>
      <c r="J2" t="s">
        <v>269</v>
      </c>
      <c r="O2" t="s">
        <v>269</v>
      </c>
      <c r="P2" t="s">
        <v>717</v>
      </c>
      <c r="Q2" t="s">
        <v>725</v>
      </c>
      <c r="V2" s="33"/>
      <c r="W2" s="87" t="s">
        <v>338</v>
      </c>
      <c r="X2" s="87" t="s">
        <v>1182</v>
      </c>
      <c r="Y2" s="87" t="s">
        <v>1183</v>
      </c>
      <c r="AC2" t="s">
        <v>665</v>
      </c>
      <c r="AG2" t="s">
        <v>750</v>
      </c>
      <c r="AH2" t="s">
        <v>750</v>
      </c>
      <c r="AI2" t="s">
        <v>850</v>
      </c>
      <c r="AJ2" t="s">
        <v>750</v>
      </c>
      <c r="AK2" t="s">
        <v>750</v>
      </c>
    </row>
    <row r="3" spans="1:38">
      <c r="A3">
        <v>2009</v>
      </c>
      <c r="B3" s="3">
        <f>X3</f>
        <v>29.592572886961211</v>
      </c>
      <c r="C3" s="3">
        <f t="shared" ref="C3:C24" si="0">B3*AC3*1000</f>
        <v>21302.040969337188</v>
      </c>
      <c r="D3" s="61">
        <f t="shared" ref="D3:D11" si="1">4.75/100*C3</f>
        <v>1011.8469460435164</v>
      </c>
      <c r="E3" s="33">
        <v>16</v>
      </c>
      <c r="F3" s="61">
        <f>E3/100*C3</f>
        <v>3408.32655509395</v>
      </c>
      <c r="G3" s="3">
        <f>C3+D3+F3</f>
        <v>25722.214470474653</v>
      </c>
      <c r="H3" s="3">
        <f t="shared" ref="H3:H24" si="2">AJ3</f>
        <v>-5704.3029041397031</v>
      </c>
      <c r="I3" s="3">
        <f>Austria!I3</f>
        <v>1450</v>
      </c>
      <c r="J3" s="3">
        <f>G3+I3</f>
        <v>27172.214470474653</v>
      </c>
      <c r="N3">
        <v>2009</v>
      </c>
      <c r="O3" s="3">
        <f>J3</f>
        <v>27172.214470474653</v>
      </c>
      <c r="P3" s="3">
        <f>J28</f>
        <v>25172.214470474653</v>
      </c>
      <c r="Q3" s="3">
        <f>G53</f>
        <v>19991.872118750005</v>
      </c>
      <c r="T3">
        <v>2009</v>
      </c>
      <c r="U3" s="3">
        <f>'Vehicle price'!X5</f>
        <v>23</v>
      </c>
      <c r="V3">
        <v>1</v>
      </c>
      <c r="W3" s="3">
        <f t="shared" ref="W3:W24" si="3">X3*V3</f>
        <v>29.592572886961211</v>
      </c>
      <c r="X3" s="3">
        <f>'Vehicle price'!T5</f>
        <v>29.592572886961211</v>
      </c>
      <c r="Y3" s="3">
        <f>X3*Z3</f>
        <v>29.592572886961211</v>
      </c>
      <c r="Z3">
        <v>1</v>
      </c>
      <c r="AB3">
        <v>2009</v>
      </c>
      <c r="AC3" s="156">
        <v>0.71984416666666673</v>
      </c>
      <c r="AF3">
        <v>2009</v>
      </c>
      <c r="AG3" s="3">
        <f t="shared" ref="AG3:AG11" si="4">-MIN(0.25*C3,6000)</f>
        <v>-5325.5102423342969</v>
      </c>
      <c r="AH3" s="3">
        <v>-2000</v>
      </c>
      <c r="AI3" s="13">
        <f>CPIs!S48</f>
        <v>98.231771144963389</v>
      </c>
      <c r="AJ3" s="3">
        <f>AG3*AI$11/AI3</f>
        <v>-5704.3029041397031</v>
      </c>
      <c r="AK3" s="3">
        <f>AH3*AI$11/AI3</f>
        <v>-2142.2559133561526</v>
      </c>
    </row>
    <row r="4" spans="1:38">
      <c r="A4">
        <v>2010</v>
      </c>
      <c r="B4" s="3">
        <f t="shared" ref="B4:B24" si="5">X4</f>
        <v>30</v>
      </c>
      <c r="C4" s="3">
        <f t="shared" si="0"/>
        <v>22760.138776915202</v>
      </c>
      <c r="D4" s="61">
        <f t="shared" si="1"/>
        <v>1081.1065919034722</v>
      </c>
      <c r="E4" s="33">
        <v>16</v>
      </c>
      <c r="F4" s="61">
        <f t="shared" ref="F4:F24" si="6">E4/100*C4</f>
        <v>3641.6222043064326</v>
      </c>
      <c r="G4" s="3">
        <f t="shared" ref="G4:G11" si="7">C4+D4+F4</f>
        <v>27482.86757312511</v>
      </c>
      <c r="H4" s="3">
        <f t="shared" si="2"/>
        <v>-5986.9860147394593</v>
      </c>
      <c r="I4" s="3">
        <f>Austria!I4</f>
        <v>1450</v>
      </c>
      <c r="J4" s="3">
        <f t="shared" ref="J4:J11" si="8">G4+H4+I4</f>
        <v>22945.881558385649</v>
      </c>
      <c r="N4">
        <v>2010</v>
      </c>
      <c r="O4" s="3">
        <f t="shared" ref="O4:O12" si="9">J4</f>
        <v>22945.881558385649</v>
      </c>
      <c r="P4" s="3">
        <f t="shared" ref="P4:P12" si="10">J29</f>
        <v>26828.491646977647</v>
      </c>
      <c r="Q4" s="3">
        <f t="shared" ref="Q4:Q12" si="11">G54</f>
        <v>21070.198472729251</v>
      </c>
      <c r="T4">
        <v>2010</v>
      </c>
      <c r="U4" s="3">
        <f>'Vehicle price'!X6</f>
        <v>23</v>
      </c>
      <c r="V4">
        <v>1</v>
      </c>
      <c r="W4" s="3">
        <f t="shared" si="3"/>
        <v>30</v>
      </c>
      <c r="X4" s="3">
        <f>'Vehicle price'!T6</f>
        <v>30</v>
      </c>
      <c r="Y4" s="3">
        <f t="shared" ref="Y4:Y24" si="12">X4*Z4</f>
        <v>30</v>
      </c>
      <c r="Z4">
        <v>1</v>
      </c>
      <c r="AB4">
        <v>2010</v>
      </c>
      <c r="AC4" s="156">
        <v>0.75867129256384003</v>
      </c>
      <c r="AF4">
        <v>2010</v>
      </c>
      <c r="AG4" s="3">
        <f t="shared" si="4"/>
        <v>-5690.0346942288006</v>
      </c>
      <c r="AH4" s="3">
        <v>-2000</v>
      </c>
      <c r="AI4" s="13">
        <f>CPIs!S49</f>
        <v>100</v>
      </c>
      <c r="AJ4" s="3">
        <f t="shared" ref="AJ4:AJ24" si="13">AG4*AI$11/AI4</f>
        <v>-5986.9860147394593</v>
      </c>
      <c r="AK4" s="3">
        <f t="shared" ref="AK4:AK24" si="14">AH4*AI$11/AI4</f>
        <v>-2104.3759261474611</v>
      </c>
    </row>
    <row r="5" spans="1:38">
      <c r="A5">
        <v>2011</v>
      </c>
      <c r="B5" s="3">
        <f t="shared" si="5"/>
        <v>30</v>
      </c>
      <c r="C5" s="3">
        <f t="shared" si="0"/>
        <v>21463.232997813917</v>
      </c>
      <c r="D5" s="61">
        <f t="shared" si="1"/>
        <v>1019.5035673961611</v>
      </c>
      <c r="E5" s="33">
        <v>18</v>
      </c>
      <c r="F5" s="61">
        <f t="shared" si="6"/>
        <v>3863.3819396065051</v>
      </c>
      <c r="G5" s="3">
        <f t="shared" si="7"/>
        <v>26346.118504816583</v>
      </c>
      <c r="H5" s="3">
        <f t="shared" si="2"/>
        <v>-5470.973237448602</v>
      </c>
      <c r="I5" s="3">
        <f>Austria!I5</f>
        <v>1450</v>
      </c>
      <c r="J5" s="3">
        <f t="shared" si="8"/>
        <v>22325.145267367981</v>
      </c>
      <c r="N5">
        <v>2011</v>
      </c>
      <c r="O5" s="3">
        <f t="shared" si="9"/>
        <v>22325.145267367981</v>
      </c>
      <c r="P5" s="3">
        <f t="shared" si="10"/>
        <v>25756.92031393608</v>
      </c>
      <c r="Q5" s="3">
        <f t="shared" si="11"/>
        <v>20198.690853692711</v>
      </c>
      <c r="T5">
        <v>2011</v>
      </c>
      <c r="U5" s="3">
        <f>'Vehicle price'!X7</f>
        <v>23</v>
      </c>
      <c r="V5">
        <v>1</v>
      </c>
      <c r="W5" s="3">
        <f t="shared" si="3"/>
        <v>30</v>
      </c>
      <c r="X5" s="3">
        <f>'Vehicle price'!T7</f>
        <v>30</v>
      </c>
      <c r="Y5" s="3">
        <f t="shared" si="12"/>
        <v>30</v>
      </c>
      <c r="Z5">
        <v>1</v>
      </c>
      <c r="AB5">
        <v>2011</v>
      </c>
      <c r="AC5" s="156">
        <v>0.71544109992713056</v>
      </c>
      <c r="AF5">
        <v>2011</v>
      </c>
      <c r="AG5" s="3">
        <f t="shared" si="4"/>
        <v>-5365.8082494534792</v>
      </c>
      <c r="AH5" s="3">
        <v>-2000</v>
      </c>
      <c r="AI5" s="13">
        <f>CPIs!S50</f>
        <v>103.19624328613281</v>
      </c>
      <c r="AJ5" s="3">
        <f t="shared" si="13"/>
        <v>-5470.973237448602</v>
      </c>
      <c r="AK5" s="3">
        <f t="shared" si="14"/>
        <v>-2039.1981908805012</v>
      </c>
    </row>
    <row r="6" spans="1:38">
      <c r="A6">
        <v>2012</v>
      </c>
      <c r="B6" s="3">
        <f t="shared" si="5"/>
        <v>30.842462459493706</v>
      </c>
      <c r="C6" s="3">
        <f t="shared" si="0"/>
        <v>23868.964632772961</v>
      </c>
      <c r="D6" s="61">
        <f t="shared" si="1"/>
        <v>1133.7758200567157</v>
      </c>
      <c r="E6" s="33">
        <v>18</v>
      </c>
      <c r="F6" s="61">
        <f t="shared" si="6"/>
        <v>4296.4136338991329</v>
      </c>
      <c r="G6" s="3">
        <f t="shared" si="7"/>
        <v>29299.154086728809</v>
      </c>
      <c r="H6" s="3">
        <f t="shared" si="2"/>
        <v>-5938.9328068614259</v>
      </c>
      <c r="I6" s="3">
        <f>Austria!I6</f>
        <v>1450</v>
      </c>
      <c r="J6" s="3">
        <f t="shared" si="8"/>
        <v>24810.221279867383</v>
      </c>
      <c r="N6">
        <v>2012</v>
      </c>
      <c r="O6" s="3">
        <f t="shared" si="9"/>
        <v>24810.221279867383</v>
      </c>
      <c r="P6" s="3">
        <f t="shared" si="10"/>
        <v>28758.642006047419</v>
      </c>
      <c r="Q6" s="3">
        <f t="shared" si="11"/>
        <v>21849.116129420254</v>
      </c>
      <c r="T6">
        <v>2012</v>
      </c>
      <c r="U6" s="3">
        <f>'Vehicle price'!X8</f>
        <v>23</v>
      </c>
      <c r="V6">
        <v>1</v>
      </c>
      <c r="W6" s="3">
        <f t="shared" si="3"/>
        <v>30.842462459493706</v>
      </c>
      <c r="X6" s="3">
        <f>'Vehicle price'!T8</f>
        <v>30.842462459493706</v>
      </c>
      <c r="Y6" s="3">
        <f t="shared" si="12"/>
        <v>30.842462459493706</v>
      </c>
      <c r="Z6">
        <v>1</v>
      </c>
      <c r="AB6">
        <v>2012</v>
      </c>
      <c r="AC6" s="156">
        <v>0.773899446716382</v>
      </c>
      <c r="AF6">
        <v>2012</v>
      </c>
      <c r="AG6" s="3">
        <f t="shared" si="4"/>
        <v>-5967.2411581932402</v>
      </c>
      <c r="AH6" s="3">
        <v>-2000</v>
      </c>
      <c r="AI6" s="13">
        <f>CPIs!S51</f>
        <v>105.72032928466797</v>
      </c>
      <c r="AJ6" s="3">
        <f t="shared" si="13"/>
        <v>-5938.9328068614259</v>
      </c>
      <c r="AK6" s="3">
        <f t="shared" si="14"/>
        <v>-1990.5120806813898</v>
      </c>
    </row>
    <row r="7" spans="1:38">
      <c r="A7">
        <v>2013</v>
      </c>
      <c r="B7" s="3">
        <f t="shared" si="5"/>
        <v>31.143929334439989</v>
      </c>
      <c r="C7" s="3">
        <f t="shared" si="0"/>
        <v>23409.918880648976</v>
      </c>
      <c r="D7" s="61">
        <f t="shared" si="1"/>
        <v>1111.9711468308265</v>
      </c>
      <c r="E7" s="33">
        <v>21</v>
      </c>
      <c r="F7" s="61">
        <f t="shared" si="6"/>
        <v>4916.082964936285</v>
      </c>
      <c r="G7" s="3">
        <f t="shared" si="7"/>
        <v>29437.972992416089</v>
      </c>
      <c r="H7" s="3">
        <f t="shared" si="2"/>
        <v>-5743.8066051058386</v>
      </c>
      <c r="I7" s="3">
        <f>Austria!I7</f>
        <v>1450</v>
      </c>
      <c r="J7" s="3">
        <f t="shared" si="8"/>
        <v>25144.166387310252</v>
      </c>
      <c r="N7">
        <v>2013</v>
      </c>
      <c r="O7" s="3">
        <f t="shared" si="9"/>
        <v>25144.166387310252</v>
      </c>
      <c r="P7" s="3">
        <f t="shared" si="10"/>
        <v>28925.11045217764</v>
      </c>
      <c r="Q7" s="3">
        <f t="shared" si="11"/>
        <v>21740.139837680657</v>
      </c>
      <c r="T7">
        <v>2013</v>
      </c>
      <c r="U7" s="3">
        <f>'Vehicle price'!X9</f>
        <v>23</v>
      </c>
      <c r="V7">
        <v>1</v>
      </c>
      <c r="W7" s="3">
        <f t="shared" si="3"/>
        <v>31.143929334439989</v>
      </c>
      <c r="X7" s="3">
        <f>'Vehicle price'!T9</f>
        <v>31.143929334439989</v>
      </c>
      <c r="Y7" s="3">
        <f t="shared" si="12"/>
        <v>31.143929334439989</v>
      </c>
      <c r="Z7">
        <v>1</v>
      </c>
      <c r="AB7">
        <v>2013</v>
      </c>
      <c r="AC7" s="156">
        <v>0.75166876437654617</v>
      </c>
      <c r="AF7">
        <v>2013</v>
      </c>
      <c r="AG7" s="3">
        <f t="shared" si="4"/>
        <v>-5852.4797201622441</v>
      </c>
      <c r="AH7" s="3">
        <v>-2000</v>
      </c>
      <c r="AI7" s="13">
        <f>CPIs!S52</f>
        <v>107.20954132080078</v>
      </c>
      <c r="AJ7" s="3">
        <f t="shared" si="13"/>
        <v>-5743.8066051058386</v>
      </c>
      <c r="AK7" s="3">
        <f t="shared" si="14"/>
        <v>-1962.86254023845</v>
      </c>
    </row>
    <row r="8" spans="1:38">
      <c r="A8">
        <v>2014</v>
      </c>
      <c r="B8" s="3">
        <f t="shared" si="5"/>
        <v>33.541755956678692</v>
      </c>
      <c r="C8" s="3">
        <f t="shared" si="0"/>
        <v>25404.118038119632</v>
      </c>
      <c r="D8" s="61">
        <f t="shared" si="1"/>
        <v>1206.6956068106824</v>
      </c>
      <c r="E8" s="33">
        <v>21</v>
      </c>
      <c r="F8" s="61">
        <f t="shared" si="6"/>
        <v>5334.8647880051221</v>
      </c>
      <c r="G8" s="3">
        <f t="shared" si="7"/>
        <v>31945.678432935434</v>
      </c>
      <c r="H8" s="3">
        <f t="shared" si="2"/>
        <v>-5897.2583999952112</v>
      </c>
      <c r="I8" s="3">
        <f>Austria!I8</f>
        <v>1450</v>
      </c>
      <c r="J8" s="3">
        <f t="shared" si="8"/>
        <v>27498.420032940223</v>
      </c>
      <c r="N8">
        <v>2014</v>
      </c>
      <c r="O8" s="3">
        <f t="shared" si="9"/>
        <v>27498.420032940223</v>
      </c>
      <c r="P8" s="3">
        <f t="shared" si="10"/>
        <v>31429.925632937029</v>
      </c>
      <c r="Q8" s="3">
        <f t="shared" si="11"/>
        <v>21905.549754356689</v>
      </c>
      <c r="T8">
        <v>2014</v>
      </c>
      <c r="U8" s="3">
        <f>'Vehicle price'!X10</f>
        <v>23</v>
      </c>
      <c r="V8">
        <v>1</v>
      </c>
      <c r="W8" s="3">
        <f t="shared" si="3"/>
        <v>33.541755956678692</v>
      </c>
      <c r="X8" s="3">
        <f>'Vehicle price'!T10</f>
        <v>33.541755956678692</v>
      </c>
      <c r="Y8" s="3">
        <f t="shared" si="12"/>
        <v>33.541755956678692</v>
      </c>
      <c r="Z8">
        <v>1</v>
      </c>
      <c r="AB8">
        <v>2014</v>
      </c>
      <c r="AC8" s="156">
        <v>0.757387838338895</v>
      </c>
      <c r="AF8">
        <v>2014</v>
      </c>
      <c r="AG8" s="3">
        <f t="shared" si="4"/>
        <v>-6000</v>
      </c>
      <c r="AH8" s="3">
        <v>-2000</v>
      </c>
      <c r="AI8" s="13">
        <f>CPIs!S53</f>
        <v>107.05191040039063</v>
      </c>
      <c r="AJ8" s="3">
        <f t="shared" si="13"/>
        <v>-5897.2583999952112</v>
      </c>
      <c r="AK8" s="3">
        <f t="shared" si="14"/>
        <v>-1965.7527999984036</v>
      </c>
    </row>
    <row r="9" spans="1:38">
      <c r="A9">
        <v>2015</v>
      </c>
      <c r="B9" s="3">
        <f t="shared" si="5"/>
        <v>30</v>
      </c>
      <c r="C9" s="3">
        <f t="shared" si="0"/>
        <v>27177.76686239925</v>
      </c>
      <c r="D9" s="61">
        <f t="shared" si="1"/>
        <v>1290.9439259639644</v>
      </c>
      <c r="E9" s="33">
        <v>21</v>
      </c>
      <c r="F9" s="61">
        <f t="shared" si="6"/>
        <v>5707.3310411038419</v>
      </c>
      <c r="G9" s="3">
        <f t="shared" si="7"/>
        <v>34176.04182946706</v>
      </c>
      <c r="H9" s="3">
        <f t="shared" si="2"/>
        <v>-5926.963955532995</v>
      </c>
      <c r="I9" s="3">
        <f>Austria!I9</f>
        <v>1450</v>
      </c>
      <c r="J9" s="3">
        <f t="shared" si="8"/>
        <v>29699.077873934064</v>
      </c>
      <c r="N9">
        <v>2015</v>
      </c>
      <c r="O9" s="3">
        <f t="shared" si="9"/>
        <v>29699.077873934064</v>
      </c>
      <c r="P9" s="3">
        <f t="shared" si="10"/>
        <v>33650.387177622732</v>
      </c>
      <c r="Q9" s="3">
        <f t="shared" si="11"/>
        <v>26201.632069258078</v>
      </c>
      <c r="T9">
        <v>2015</v>
      </c>
      <c r="U9" s="3">
        <f>'Vehicle price'!X11</f>
        <v>23</v>
      </c>
      <c r="V9">
        <v>1</v>
      </c>
      <c r="W9" s="3">
        <f t="shared" si="3"/>
        <v>30</v>
      </c>
      <c r="X9" s="3">
        <f>'Vehicle price'!T11</f>
        <v>30</v>
      </c>
      <c r="Y9" s="3">
        <f t="shared" si="12"/>
        <v>30</v>
      </c>
      <c r="Z9">
        <v>1</v>
      </c>
      <c r="AB9">
        <v>2015</v>
      </c>
      <c r="AC9" s="156">
        <v>0.90592556207997499</v>
      </c>
      <c r="AF9">
        <v>2015</v>
      </c>
      <c r="AG9" s="3">
        <f t="shared" si="4"/>
        <v>-6000</v>
      </c>
      <c r="AH9" s="3">
        <v>-2000</v>
      </c>
      <c r="AI9" s="13">
        <f>CPIs!S54</f>
        <v>106.51537322998047</v>
      </c>
      <c r="AJ9" s="3">
        <f t="shared" si="13"/>
        <v>-5926.963955532995</v>
      </c>
      <c r="AK9" s="3">
        <f t="shared" si="14"/>
        <v>-1975.6546518443315</v>
      </c>
      <c r="AL9" s="13"/>
    </row>
    <row r="10" spans="1:38">
      <c r="A10">
        <v>2016</v>
      </c>
      <c r="B10" s="3">
        <f t="shared" si="5"/>
        <v>30</v>
      </c>
      <c r="C10" s="3">
        <f t="shared" si="0"/>
        <v>27202.412312659035</v>
      </c>
      <c r="D10" s="61">
        <f t="shared" si="1"/>
        <v>1292.1145848513042</v>
      </c>
      <c r="E10" s="33">
        <v>21</v>
      </c>
      <c r="F10" s="61">
        <f t="shared" si="6"/>
        <v>5712.5065856583969</v>
      </c>
      <c r="G10" s="3">
        <f t="shared" si="7"/>
        <v>34207.033483168736</v>
      </c>
      <c r="H10" s="3">
        <f t="shared" si="2"/>
        <v>-6117.6</v>
      </c>
      <c r="I10" s="3">
        <f>Austria!I10</f>
        <v>1450</v>
      </c>
      <c r="J10" s="3">
        <f t="shared" si="8"/>
        <v>29539.433483168737</v>
      </c>
      <c r="N10">
        <v>2016</v>
      </c>
      <c r="O10" s="3">
        <f t="shared" si="9"/>
        <v>29539.433483168737</v>
      </c>
      <c r="P10" s="3">
        <f t="shared" si="10"/>
        <v>33617.833483168739</v>
      </c>
      <c r="Q10" s="3">
        <f t="shared" si="11"/>
        <v>26225.392337096033</v>
      </c>
      <c r="T10">
        <v>2016</v>
      </c>
      <c r="U10" s="3">
        <f>'Vehicle price'!X12</f>
        <v>23</v>
      </c>
      <c r="V10">
        <v>1</v>
      </c>
      <c r="W10" s="3">
        <f t="shared" si="3"/>
        <v>30</v>
      </c>
      <c r="X10" s="3">
        <f>'Vehicle price'!T12</f>
        <v>30</v>
      </c>
      <c r="Y10" s="3">
        <f t="shared" si="12"/>
        <v>30</v>
      </c>
      <c r="Z10">
        <v>1</v>
      </c>
      <c r="AB10">
        <v>2016</v>
      </c>
      <c r="AC10" s="156">
        <v>0.90674707708863456</v>
      </c>
      <c r="AF10">
        <v>2016</v>
      </c>
      <c r="AG10" s="3">
        <f t="shared" si="4"/>
        <v>-6000</v>
      </c>
      <c r="AH10" s="3">
        <v>-2000</v>
      </c>
      <c r="AI10" s="13">
        <f>CPIs!S55</f>
        <v>103.19615173339844</v>
      </c>
      <c r="AJ10" s="3">
        <f t="shared" si="13"/>
        <v>-6117.6</v>
      </c>
      <c r="AK10" s="3">
        <f t="shared" si="14"/>
        <v>-2039.2</v>
      </c>
      <c r="AL10" s="13"/>
    </row>
    <row r="11" spans="1:38">
      <c r="A11">
        <v>2017</v>
      </c>
      <c r="B11" s="3">
        <f t="shared" si="5"/>
        <v>30</v>
      </c>
      <c r="C11" s="3">
        <f t="shared" si="0"/>
        <v>26462.003510368591</v>
      </c>
      <c r="D11" s="61">
        <f t="shared" si="1"/>
        <v>1256.945166742508</v>
      </c>
      <c r="E11" s="33">
        <v>21</v>
      </c>
      <c r="F11" s="61">
        <f t="shared" si="6"/>
        <v>5557.020737177404</v>
      </c>
      <c r="G11" s="3">
        <f t="shared" si="7"/>
        <v>33275.969414288506</v>
      </c>
      <c r="H11" s="3">
        <f t="shared" si="2"/>
        <v>-6000</v>
      </c>
      <c r="I11" s="3">
        <f>Austria!I11</f>
        <v>1450</v>
      </c>
      <c r="J11" s="3">
        <f t="shared" si="8"/>
        <v>28725.969414288506</v>
      </c>
      <c r="N11">
        <v>2017</v>
      </c>
      <c r="O11" s="3">
        <f t="shared" si="9"/>
        <v>28725.969414288506</v>
      </c>
      <c r="P11" s="3">
        <f t="shared" si="10"/>
        <v>32725.969414288506</v>
      </c>
      <c r="Q11" s="3">
        <f t="shared" si="11"/>
        <v>25511.576550954524</v>
      </c>
      <c r="T11">
        <v>2017</v>
      </c>
      <c r="U11" s="3">
        <f>'Vehicle price'!X13</f>
        <v>23</v>
      </c>
      <c r="V11">
        <v>1</v>
      </c>
      <c r="W11" s="3">
        <f t="shared" si="3"/>
        <v>30</v>
      </c>
      <c r="X11" s="3">
        <f>'Vehicle price'!T13</f>
        <v>30</v>
      </c>
      <c r="Y11" s="3">
        <f t="shared" si="12"/>
        <v>30</v>
      </c>
      <c r="Z11">
        <v>1</v>
      </c>
      <c r="AB11">
        <v>2017</v>
      </c>
      <c r="AC11" s="156">
        <v>0.88206678367895308</v>
      </c>
      <c r="AF11">
        <v>2017</v>
      </c>
      <c r="AG11" s="3">
        <f t="shared" si="4"/>
        <v>-6000</v>
      </c>
      <c r="AH11" s="3">
        <v>-2000</v>
      </c>
      <c r="AI11" s="13">
        <f>CPIs!S56</f>
        <v>105.21879630737305</v>
      </c>
      <c r="AJ11" s="3">
        <f t="shared" si="13"/>
        <v>-6000</v>
      </c>
      <c r="AK11" s="3">
        <f t="shared" si="14"/>
        <v>-2000</v>
      </c>
      <c r="AL11" s="13"/>
    </row>
    <row r="12" spans="1:38">
      <c r="A12">
        <v>2018</v>
      </c>
      <c r="B12" s="3">
        <f t="shared" si="5"/>
        <v>30.592100851060948</v>
      </c>
      <c r="C12" s="3">
        <f t="shared" si="0"/>
        <v>26003.285723401805</v>
      </c>
      <c r="D12" s="61">
        <v>0</v>
      </c>
      <c r="E12" s="33">
        <v>21</v>
      </c>
      <c r="F12" s="61">
        <f t="shared" si="6"/>
        <v>5460.6900019143786</v>
      </c>
      <c r="G12" s="3">
        <f>C12+D12+F12</f>
        <v>31463.975725316184</v>
      </c>
      <c r="H12" s="3">
        <f t="shared" si="2"/>
        <v>-5394.2722636327962</v>
      </c>
      <c r="I12" s="3">
        <f>Austria!I12</f>
        <v>1450</v>
      </c>
      <c r="J12" s="3">
        <f>G12+H12+I12</f>
        <v>27519.703461683388</v>
      </c>
      <c r="N12">
        <v>2018</v>
      </c>
      <c r="O12" s="3">
        <f t="shared" si="9"/>
        <v>27519.703461683388</v>
      </c>
      <c r="P12" s="3">
        <f t="shared" si="10"/>
        <v>30952.422174904259</v>
      </c>
      <c r="Q12" s="3">
        <f t="shared" si="11"/>
        <v>24584.125</v>
      </c>
      <c r="T12">
        <v>2018</v>
      </c>
      <c r="U12" s="3">
        <f>'Vehicle price'!X14</f>
        <v>23</v>
      </c>
      <c r="V12">
        <v>1</v>
      </c>
      <c r="W12" s="3">
        <f t="shared" si="3"/>
        <v>30.592100851060948</v>
      </c>
      <c r="X12" s="3">
        <f>'Vehicle price'!T14</f>
        <v>30.592100851060948</v>
      </c>
      <c r="Y12" s="3">
        <f t="shared" si="12"/>
        <v>30.592100851060948</v>
      </c>
      <c r="Z12">
        <v>1</v>
      </c>
      <c r="AB12">
        <v>2018</v>
      </c>
      <c r="AC12" s="14">
        <v>0.85</v>
      </c>
      <c r="AF12">
        <v>2018</v>
      </c>
      <c r="AG12" s="3">
        <f t="shared" ref="AG12:AG24" si="15">-MIN(0.25*C12,5500)</f>
        <v>-5500</v>
      </c>
      <c r="AH12" s="3">
        <v>-2000</v>
      </c>
      <c r="AI12" s="20">
        <f>AI11*AI11/AI10</f>
        <v>107.28108471499758</v>
      </c>
      <c r="AJ12" s="3">
        <f t="shared" si="13"/>
        <v>-5394.2722636327962</v>
      </c>
      <c r="AK12" s="3">
        <f t="shared" si="14"/>
        <v>-1961.5535504119259</v>
      </c>
      <c r="AL12" s="13"/>
    </row>
    <row r="13" spans="1:38">
      <c r="A13">
        <v>2019</v>
      </c>
      <c r="B13" s="3">
        <f t="shared" si="5"/>
        <v>31.172994053473918</v>
      </c>
      <c r="C13" s="3">
        <f t="shared" si="0"/>
        <v>26497.044945452828</v>
      </c>
      <c r="D13" s="61">
        <v>0</v>
      </c>
      <c r="E13" s="33">
        <v>21</v>
      </c>
      <c r="F13" s="61">
        <f t="shared" si="6"/>
        <v>5564.3794385450938</v>
      </c>
      <c r="G13" s="3">
        <f t="shared" ref="G13:G24" si="16">C13+D13+F13</f>
        <v>32061.424383997921</v>
      </c>
      <c r="H13" s="3">
        <f t="shared" si="2"/>
        <v>-5290.5769553087448</v>
      </c>
      <c r="I13" s="3">
        <f>Austria!I13</f>
        <v>1450</v>
      </c>
      <c r="J13" s="3">
        <f t="shared" ref="J13:J24" si="17">G13+H13+I13</f>
        <v>28220.847428689176</v>
      </c>
      <c r="N13">
        <v>2019</v>
      </c>
      <c r="O13" s="3">
        <f t="shared" ref="O13:O24" si="18">J13</f>
        <v>28220.847428689176</v>
      </c>
      <c r="P13" s="3">
        <f t="shared" ref="P13:P24" si="19">J38</f>
        <v>31587.578218431103</v>
      </c>
      <c r="Q13" s="3">
        <f t="shared" ref="Q13:Q24" si="20">G63</f>
        <v>24584.125</v>
      </c>
      <c r="T13">
        <v>2019</v>
      </c>
      <c r="U13" s="3">
        <f>'Vehicle price'!X15</f>
        <v>23</v>
      </c>
      <c r="V13" s="20">
        <f>V12+(V24-V12)/12</f>
        <v>1.0249999999999999</v>
      </c>
      <c r="W13" s="3">
        <f t="shared" si="3"/>
        <v>31.952318904810763</v>
      </c>
      <c r="X13" s="3">
        <f>'Vehicle price'!T15</f>
        <v>31.172994053473918</v>
      </c>
      <c r="Y13" s="3">
        <f t="shared" si="12"/>
        <v>30.393669202137069</v>
      </c>
      <c r="Z13" s="20">
        <f>Z12+(Z24-Z12)/12</f>
        <v>0.97499999999999998</v>
      </c>
      <c r="AB13">
        <v>2019</v>
      </c>
      <c r="AC13" s="14">
        <v>0.85</v>
      </c>
      <c r="AF13">
        <v>2019</v>
      </c>
      <c r="AG13" s="3">
        <f t="shared" si="15"/>
        <v>-5500</v>
      </c>
      <c r="AH13" s="3">
        <v>-2000</v>
      </c>
      <c r="AI13" s="20">
        <f t="shared" ref="AI13:AI24" si="21">AI12*AI12/AI11</f>
        <v>109.38379397541154</v>
      </c>
      <c r="AJ13" s="3">
        <f t="shared" si="13"/>
        <v>-5290.5769553087448</v>
      </c>
      <c r="AK13" s="3">
        <f t="shared" si="14"/>
        <v>-1923.8461655668164</v>
      </c>
      <c r="AL13" s="13"/>
    </row>
    <row r="14" spans="1:38">
      <c r="A14">
        <v>2020</v>
      </c>
      <c r="B14" s="3">
        <f t="shared" si="5"/>
        <v>30.985903123425071</v>
      </c>
      <c r="C14" s="3">
        <f t="shared" si="0"/>
        <v>26338.017654911313</v>
      </c>
      <c r="D14" s="61">
        <v>0</v>
      </c>
      <c r="E14" s="33">
        <v>21</v>
      </c>
      <c r="F14" s="61">
        <f t="shared" si="6"/>
        <v>5530.9837075313753</v>
      </c>
      <c r="G14" s="3">
        <f t="shared" si="16"/>
        <v>31869.001362442687</v>
      </c>
      <c r="H14" s="3">
        <f t="shared" si="2"/>
        <v>-5188.8750052066944</v>
      </c>
      <c r="I14" s="3">
        <f>Austria!I14</f>
        <v>1450</v>
      </c>
      <c r="J14" s="3">
        <f t="shared" si="17"/>
        <v>28130.126357235993</v>
      </c>
      <c r="N14">
        <v>2020</v>
      </c>
      <c r="O14" s="3">
        <f t="shared" si="18"/>
        <v>28130.126357235993</v>
      </c>
      <c r="P14" s="3">
        <f t="shared" si="19"/>
        <v>31432.137724185708</v>
      </c>
      <c r="Q14" s="3">
        <f t="shared" si="20"/>
        <v>24584.125</v>
      </c>
      <c r="T14">
        <v>2020</v>
      </c>
      <c r="U14" s="3">
        <f>'Vehicle price'!X16</f>
        <v>23</v>
      </c>
      <c r="V14" s="20">
        <f>V13+(V24-V12)/12</f>
        <v>1.0499999999999998</v>
      </c>
      <c r="W14" s="3">
        <f t="shared" si="3"/>
        <v>32.535198279596322</v>
      </c>
      <c r="X14" s="3">
        <f>'Vehicle price'!T16</f>
        <v>30.985903123425071</v>
      </c>
      <c r="Y14" s="3">
        <f t="shared" si="12"/>
        <v>29.436607967253817</v>
      </c>
      <c r="Z14" s="20">
        <f>Z13+(Z24-Z12)/12</f>
        <v>0.95</v>
      </c>
      <c r="AB14">
        <v>2020</v>
      </c>
      <c r="AC14" s="14">
        <v>0.85</v>
      </c>
      <c r="AF14">
        <v>2020</v>
      </c>
      <c r="AG14" s="3">
        <f t="shared" si="15"/>
        <v>-5500</v>
      </c>
      <c r="AH14" s="3">
        <v>-2000</v>
      </c>
      <c r="AI14" s="20">
        <f t="shared" si="21"/>
        <v>111.52771633732959</v>
      </c>
      <c r="AJ14" s="3">
        <f t="shared" si="13"/>
        <v>-5188.8750052066944</v>
      </c>
      <c r="AK14" s="3">
        <f t="shared" si="14"/>
        <v>-1886.8636382569796</v>
      </c>
      <c r="AL14" s="13"/>
    </row>
    <row r="15" spans="1:38">
      <c r="A15">
        <v>2021</v>
      </c>
      <c r="B15" s="3">
        <f t="shared" si="5"/>
        <v>30.206708843097807</v>
      </c>
      <c r="C15" s="3">
        <f t="shared" si="0"/>
        <v>25675.702516633137</v>
      </c>
      <c r="D15" s="61">
        <v>0</v>
      </c>
      <c r="E15" s="33">
        <v>21</v>
      </c>
      <c r="F15" s="61">
        <f t="shared" si="6"/>
        <v>5391.8975284929584</v>
      </c>
      <c r="G15" s="3">
        <f t="shared" si="16"/>
        <v>31067.600045126095</v>
      </c>
      <c r="H15" s="3">
        <f t="shared" si="2"/>
        <v>-5089.1280945534463</v>
      </c>
      <c r="I15" s="3">
        <f>Austria!I15</f>
        <v>1450</v>
      </c>
      <c r="J15" s="3">
        <f t="shared" si="17"/>
        <v>27428.47195057265</v>
      </c>
      <c r="N15">
        <v>2021</v>
      </c>
      <c r="O15" s="3">
        <f t="shared" si="18"/>
        <v>27428.47195057265</v>
      </c>
      <c r="P15" s="3">
        <f t="shared" si="19"/>
        <v>30667.008010743022</v>
      </c>
      <c r="Q15" s="3">
        <f t="shared" si="20"/>
        <v>24584.125</v>
      </c>
      <c r="T15">
        <v>2021</v>
      </c>
      <c r="U15" s="3">
        <f>'Vehicle price'!X17</f>
        <v>23</v>
      </c>
      <c r="V15" s="20">
        <f>V14+(V24-V12)/12</f>
        <v>1.0749999999999997</v>
      </c>
      <c r="W15" s="3">
        <f t="shared" si="3"/>
        <v>32.472212006330132</v>
      </c>
      <c r="X15" s="3">
        <f>'Vehicle price'!T17</f>
        <v>30.206708843097807</v>
      </c>
      <c r="Y15" s="3">
        <f t="shared" si="12"/>
        <v>27.941205679865469</v>
      </c>
      <c r="Z15" s="20">
        <f>Z14+(Z24-Z12)/12</f>
        <v>0.92499999999999993</v>
      </c>
      <c r="AB15">
        <v>2021</v>
      </c>
      <c r="AC15" s="14">
        <v>0.85</v>
      </c>
      <c r="AF15">
        <v>2021</v>
      </c>
      <c r="AG15" s="3">
        <f t="shared" si="15"/>
        <v>-5500</v>
      </c>
      <c r="AH15" s="3">
        <v>-2000</v>
      </c>
      <c r="AI15" s="20">
        <f t="shared" si="21"/>
        <v>113.71365957754125</v>
      </c>
      <c r="AJ15" s="3">
        <f t="shared" si="13"/>
        <v>-5089.1280945534463</v>
      </c>
      <c r="AK15" s="3">
        <f t="shared" si="14"/>
        <v>-1850.5920343830715</v>
      </c>
      <c r="AL15" s="13"/>
    </row>
    <row r="16" spans="1:38">
      <c r="A16">
        <v>2022</v>
      </c>
      <c r="B16" s="3">
        <f t="shared" si="5"/>
        <v>30.642454642697771</v>
      </c>
      <c r="C16" s="3">
        <f t="shared" si="0"/>
        <v>26046.086446293106</v>
      </c>
      <c r="D16" s="61">
        <v>0</v>
      </c>
      <c r="E16" s="33">
        <v>21</v>
      </c>
      <c r="F16" s="61">
        <f t="shared" si="6"/>
        <v>5469.678153721552</v>
      </c>
      <c r="G16" s="3">
        <f t="shared" si="16"/>
        <v>31515.764600014656</v>
      </c>
      <c r="H16" s="3">
        <f t="shared" si="2"/>
        <v>-4991.2986411861975</v>
      </c>
      <c r="I16" s="3">
        <f>Austria!I16</f>
        <v>1450</v>
      </c>
      <c r="J16" s="3">
        <f t="shared" si="17"/>
        <v>27974.465958828459</v>
      </c>
      <c r="N16">
        <v>2022</v>
      </c>
      <c r="O16" s="3">
        <f t="shared" si="18"/>
        <v>27974.465958828459</v>
      </c>
      <c r="P16" s="3">
        <f t="shared" si="19"/>
        <v>31150.746912310584</v>
      </c>
      <c r="Q16" s="3">
        <f t="shared" si="20"/>
        <v>24584.125</v>
      </c>
      <c r="T16">
        <v>2022</v>
      </c>
      <c r="U16" s="3">
        <f>'Vehicle price'!X18</f>
        <v>23</v>
      </c>
      <c r="V16" s="20">
        <f>V15+(V24-V12)/12</f>
        <v>1.0999999999999996</v>
      </c>
      <c r="W16" s="3">
        <f t="shared" si="3"/>
        <v>33.706700106967538</v>
      </c>
      <c r="X16" s="3">
        <f>'Vehicle price'!T18</f>
        <v>30.642454642697771</v>
      </c>
      <c r="Y16" s="3">
        <f t="shared" si="12"/>
        <v>27.57820917842799</v>
      </c>
      <c r="Z16" s="20">
        <f>Z15+(Z24-Z12)/12</f>
        <v>0.89999999999999991</v>
      </c>
      <c r="AB16">
        <v>2022</v>
      </c>
      <c r="AC16" s="14">
        <v>0.85</v>
      </c>
      <c r="AF16">
        <v>2022</v>
      </c>
      <c r="AG16" s="3">
        <f t="shared" si="15"/>
        <v>-5500</v>
      </c>
      <c r="AH16" s="3">
        <v>-2000</v>
      </c>
      <c r="AI16" s="20">
        <f t="shared" si="21"/>
        <v>115.94244730526106</v>
      </c>
      <c r="AJ16" s="3">
        <f t="shared" si="13"/>
        <v>-4991.2986411861975</v>
      </c>
      <c r="AK16" s="3">
        <f t="shared" si="14"/>
        <v>-1815.0176877040717</v>
      </c>
      <c r="AL16" s="13"/>
    </row>
    <row r="17" spans="1:38">
      <c r="A17">
        <v>2023</v>
      </c>
      <c r="B17" s="3">
        <f t="shared" si="5"/>
        <v>30.361546257811007</v>
      </c>
      <c r="C17" s="3">
        <f t="shared" si="0"/>
        <v>25807.314319139354</v>
      </c>
      <c r="D17" s="61">
        <v>0</v>
      </c>
      <c r="E17" s="33">
        <v>21</v>
      </c>
      <c r="F17" s="61">
        <f t="shared" si="6"/>
        <v>5419.5360070192637</v>
      </c>
      <c r="G17" s="3">
        <f t="shared" si="16"/>
        <v>31226.850326158616</v>
      </c>
      <c r="H17" s="3">
        <f t="shared" si="2"/>
        <v>-4895.3497853925046</v>
      </c>
      <c r="I17" s="3">
        <f>Austria!I17</f>
        <v>1450</v>
      </c>
      <c r="J17" s="3">
        <f t="shared" si="17"/>
        <v>27781.500540766112</v>
      </c>
      <c r="N17">
        <v>2023</v>
      </c>
      <c r="O17" s="3">
        <f t="shared" si="18"/>
        <v>27781.500540766112</v>
      </c>
      <c r="P17" s="3">
        <f t="shared" si="19"/>
        <v>30896.723131470433</v>
      </c>
      <c r="Q17" s="3">
        <f t="shared" si="20"/>
        <v>24584.125</v>
      </c>
      <c r="T17">
        <v>2023</v>
      </c>
      <c r="U17" s="3">
        <f>'Vehicle price'!X19</f>
        <v>23</v>
      </c>
      <c r="V17" s="20">
        <f>V16+(V24-V12)/12</f>
        <v>1.1249999999999996</v>
      </c>
      <c r="W17" s="3">
        <f t="shared" si="3"/>
        <v>34.156739540037371</v>
      </c>
      <c r="X17" s="3">
        <f>'Vehicle price'!T19</f>
        <v>30.361546257811007</v>
      </c>
      <c r="Y17" s="3">
        <f t="shared" si="12"/>
        <v>26.566352975584628</v>
      </c>
      <c r="Z17" s="20">
        <f>Z16+(Z24-Z12)/12</f>
        <v>0.87499999999999989</v>
      </c>
      <c r="AB17">
        <v>2023</v>
      </c>
      <c r="AC17" s="14">
        <v>0.85</v>
      </c>
      <c r="AF17">
        <v>2023</v>
      </c>
      <c r="AG17" s="3">
        <f t="shared" si="15"/>
        <v>-5500</v>
      </c>
      <c r="AH17" s="3">
        <v>-2000</v>
      </c>
      <c r="AI17" s="20">
        <f t="shared" si="21"/>
        <v>118.21491927244416</v>
      </c>
      <c r="AJ17" s="3">
        <f t="shared" si="13"/>
        <v>-4895.3497853925046</v>
      </c>
      <c r="AK17" s="3">
        <f t="shared" si="14"/>
        <v>-1780.1271946881834</v>
      </c>
      <c r="AL17" s="13"/>
    </row>
    <row r="18" spans="1:38">
      <c r="A18">
        <v>2024</v>
      </c>
      <c r="B18" s="3">
        <f t="shared" si="5"/>
        <v>29.275640447464834</v>
      </c>
      <c r="C18" s="3">
        <f t="shared" si="0"/>
        <v>24884.294380345105</v>
      </c>
      <c r="D18" s="61">
        <v>0</v>
      </c>
      <c r="E18" s="33">
        <v>21</v>
      </c>
      <c r="F18" s="61">
        <f t="shared" si="6"/>
        <v>5225.7018198724718</v>
      </c>
      <c r="G18" s="3">
        <f t="shared" si="16"/>
        <v>30109.996200217578</v>
      </c>
      <c r="H18" s="3">
        <f t="shared" si="2"/>
        <v>-4801.2453760224644</v>
      </c>
      <c r="I18" s="3">
        <f>Austria!I18</f>
        <v>1450</v>
      </c>
      <c r="J18" s="3">
        <f t="shared" si="17"/>
        <v>26758.750824195115</v>
      </c>
      <c r="N18">
        <v>2024</v>
      </c>
      <c r="O18" s="3">
        <f t="shared" si="18"/>
        <v>26758.750824195115</v>
      </c>
      <c r="P18" s="3">
        <f t="shared" si="19"/>
        <v>29814.088790754864</v>
      </c>
      <c r="Q18" s="3">
        <f t="shared" si="20"/>
        <v>24584.125</v>
      </c>
      <c r="T18">
        <v>2024</v>
      </c>
      <c r="U18" s="3">
        <f>'Vehicle price'!X20</f>
        <v>23</v>
      </c>
      <c r="V18" s="20">
        <f>V17+(V24-V12)/12</f>
        <v>1.1499999999999995</v>
      </c>
      <c r="W18" s="3">
        <f t="shared" si="3"/>
        <v>33.666986514584543</v>
      </c>
      <c r="X18" s="3">
        <f>'Vehicle price'!T20</f>
        <v>29.275640447464834</v>
      </c>
      <c r="Y18" s="3">
        <f t="shared" si="12"/>
        <v>24.884294380345104</v>
      </c>
      <c r="Z18" s="20">
        <f>Z17+(Z24-Z12)/12</f>
        <v>0.84999999999999987</v>
      </c>
      <c r="AB18">
        <v>2024</v>
      </c>
      <c r="AC18" s="14">
        <v>0.85</v>
      </c>
      <c r="AF18">
        <v>2024</v>
      </c>
      <c r="AG18" s="3">
        <f t="shared" si="15"/>
        <v>-5500</v>
      </c>
      <c r="AH18" s="3">
        <v>-2000</v>
      </c>
      <c r="AI18" s="20">
        <f t="shared" si="21"/>
        <v>120.53193169018407</v>
      </c>
      <c r="AJ18" s="3">
        <f t="shared" si="13"/>
        <v>-4801.2453760224644</v>
      </c>
      <c r="AK18" s="3">
        <f t="shared" si="14"/>
        <v>-1745.9074094627142</v>
      </c>
      <c r="AL18" s="13"/>
    </row>
    <row r="19" spans="1:38">
      <c r="A19">
        <v>2025</v>
      </c>
      <c r="B19" s="3">
        <f t="shared" si="5"/>
        <v>28.343375828936317</v>
      </c>
      <c r="C19" s="3">
        <f t="shared" si="0"/>
        <v>24091.869454595868</v>
      </c>
      <c r="D19" s="61">
        <v>0</v>
      </c>
      <c r="E19" s="33">
        <v>21</v>
      </c>
      <c r="F19" s="61">
        <f t="shared" si="6"/>
        <v>5059.2925854651321</v>
      </c>
      <c r="G19" s="3">
        <f t="shared" si="16"/>
        <v>29151.162040061001</v>
      </c>
      <c r="H19" s="3">
        <f t="shared" si="2"/>
        <v>-4708.9499568678548</v>
      </c>
      <c r="I19" s="3">
        <f>Austria!I19</f>
        <v>1450</v>
      </c>
      <c r="J19" s="3">
        <f t="shared" si="17"/>
        <v>25892.212083193146</v>
      </c>
      <c r="N19">
        <v>2025</v>
      </c>
      <c r="O19" s="3">
        <f t="shared" si="18"/>
        <v>25892.212083193146</v>
      </c>
      <c r="P19" s="3">
        <f t="shared" si="19"/>
        <v>28888.816601199964</v>
      </c>
      <c r="Q19" s="3">
        <f t="shared" si="20"/>
        <v>24584.125</v>
      </c>
      <c r="T19">
        <v>2025</v>
      </c>
      <c r="U19" s="3">
        <f>'Vehicle price'!X21</f>
        <v>23</v>
      </c>
      <c r="V19" s="20">
        <f>V18+(V24-V12)/12</f>
        <v>1.1749999999999994</v>
      </c>
      <c r="W19" s="3">
        <f t="shared" si="3"/>
        <v>33.303466599000153</v>
      </c>
      <c r="X19" s="3">
        <f>'Vehicle price'!T21</f>
        <v>28.343375828936317</v>
      </c>
      <c r="Y19" s="3">
        <f t="shared" si="12"/>
        <v>23.383285058872456</v>
      </c>
      <c r="Z19" s="20">
        <f>Z18+(Z24-Z12)/12</f>
        <v>0.82499999999999984</v>
      </c>
      <c r="AB19">
        <v>2025</v>
      </c>
      <c r="AC19" s="14">
        <v>0.85</v>
      </c>
      <c r="AF19">
        <v>2025</v>
      </c>
      <c r="AG19" s="3">
        <f t="shared" si="15"/>
        <v>-5500</v>
      </c>
      <c r="AH19" s="3">
        <v>-2000</v>
      </c>
      <c r="AI19" s="20">
        <f t="shared" si="21"/>
        <v>122.89435755131167</v>
      </c>
      <c r="AJ19" s="3">
        <f t="shared" si="13"/>
        <v>-4708.9499568678548</v>
      </c>
      <c r="AK19" s="3">
        <f t="shared" si="14"/>
        <v>-1712.345438861038</v>
      </c>
      <c r="AL19" s="13"/>
    </row>
    <row r="20" spans="1:38">
      <c r="A20">
        <v>2026</v>
      </c>
      <c r="B20" s="3">
        <f t="shared" si="5"/>
        <v>27.812270474504896</v>
      </c>
      <c r="C20" s="3">
        <f t="shared" si="0"/>
        <v>23640.429903329161</v>
      </c>
      <c r="D20" s="61">
        <v>0</v>
      </c>
      <c r="E20" s="33">
        <v>21</v>
      </c>
      <c r="F20" s="61">
        <f t="shared" si="6"/>
        <v>4964.4902796991237</v>
      </c>
      <c r="G20" s="3">
        <f t="shared" si="16"/>
        <v>28604.920183028284</v>
      </c>
      <c r="H20" s="3">
        <f t="shared" si="2"/>
        <v>-4618.4287533031129</v>
      </c>
      <c r="I20" s="3">
        <f>Austria!I20</f>
        <v>1450</v>
      </c>
      <c r="J20" s="3">
        <f t="shared" si="17"/>
        <v>25436.491429725171</v>
      </c>
      <c r="N20">
        <v>2026</v>
      </c>
      <c r="O20" s="3">
        <f t="shared" si="18"/>
        <v>25436.491429725171</v>
      </c>
      <c r="P20" s="3">
        <f t="shared" si="19"/>
        <v>28375.491545463516</v>
      </c>
      <c r="Q20" s="3">
        <f t="shared" si="20"/>
        <v>24584.125</v>
      </c>
      <c r="T20">
        <v>2026</v>
      </c>
      <c r="U20" s="3">
        <f>'Vehicle price'!X22</f>
        <v>23</v>
      </c>
      <c r="V20" s="20">
        <f>V19+(V24-V12)/12</f>
        <v>1.1999999999999993</v>
      </c>
      <c r="W20" s="3">
        <f t="shared" si="3"/>
        <v>33.374724569405856</v>
      </c>
      <c r="X20" s="3">
        <f>'Vehicle price'!T22</f>
        <v>27.812270474504896</v>
      </c>
      <c r="Y20" s="3">
        <f t="shared" si="12"/>
        <v>22.24981637960391</v>
      </c>
      <c r="Z20" s="20">
        <f>Z19+(Z24-Z12)/12</f>
        <v>0.79999999999999982</v>
      </c>
      <c r="AB20">
        <v>2026</v>
      </c>
      <c r="AC20" s="14">
        <v>0.85</v>
      </c>
      <c r="AF20">
        <v>2026</v>
      </c>
      <c r="AG20" s="3">
        <f t="shared" si="15"/>
        <v>-5500</v>
      </c>
      <c r="AH20" s="3">
        <v>-2000</v>
      </c>
      <c r="AI20" s="20">
        <f t="shared" si="21"/>
        <v>125.30308695931738</v>
      </c>
      <c r="AJ20" s="3">
        <f t="shared" si="13"/>
        <v>-4618.4287533031129</v>
      </c>
      <c r="AK20" s="3">
        <f t="shared" si="14"/>
        <v>-1679.4286375647685</v>
      </c>
      <c r="AL20" s="13"/>
    </row>
    <row r="21" spans="1:38">
      <c r="A21">
        <v>2027</v>
      </c>
      <c r="B21" s="3">
        <f t="shared" si="5"/>
        <v>27.281165120073478</v>
      </c>
      <c r="C21" s="3">
        <f t="shared" si="0"/>
        <v>23188.990352062454</v>
      </c>
      <c r="D21" s="61">
        <v>0</v>
      </c>
      <c r="E21" s="33">
        <v>21</v>
      </c>
      <c r="F21" s="61">
        <f t="shared" si="6"/>
        <v>4869.6879739331152</v>
      </c>
      <c r="G21" s="3">
        <f t="shared" si="16"/>
        <v>28058.67832599557</v>
      </c>
      <c r="H21" s="3">
        <f t="shared" si="2"/>
        <v>-4529.6476591831233</v>
      </c>
      <c r="I21" s="3">
        <f>Austria!I21</f>
        <v>1450</v>
      </c>
      <c r="J21" s="3">
        <f t="shared" si="17"/>
        <v>24979.030666812447</v>
      </c>
      <c r="N21">
        <v>2027</v>
      </c>
      <c r="O21" s="3">
        <f t="shared" si="18"/>
        <v>24979.030666812447</v>
      </c>
      <c r="P21" s="3">
        <f t="shared" si="19"/>
        <v>27861.533722656251</v>
      </c>
      <c r="Q21" s="3">
        <f t="shared" si="20"/>
        <v>24584.125</v>
      </c>
      <c r="T21">
        <v>2027</v>
      </c>
      <c r="U21" s="3">
        <f>'Vehicle price'!X23</f>
        <v>23</v>
      </c>
      <c r="V21" s="20">
        <f>V20+(V24-V12)/12</f>
        <v>1.2249999999999992</v>
      </c>
      <c r="W21" s="3">
        <f t="shared" si="3"/>
        <v>33.41942727208999</v>
      </c>
      <c r="X21" s="3">
        <f>'Vehicle price'!T23</f>
        <v>27.281165120073478</v>
      </c>
      <c r="Y21" s="3">
        <f t="shared" si="12"/>
        <v>21.142902968056941</v>
      </c>
      <c r="Z21" s="20">
        <f>Z20+(Z24-Z12)/12</f>
        <v>0.7749999999999998</v>
      </c>
      <c r="AB21">
        <v>2027</v>
      </c>
      <c r="AC21" s="14">
        <v>0.85</v>
      </c>
      <c r="AF21">
        <v>2027</v>
      </c>
      <c r="AG21" s="3">
        <f t="shared" si="15"/>
        <v>-5500</v>
      </c>
      <c r="AH21" s="3">
        <v>-2000</v>
      </c>
      <c r="AI21" s="20">
        <f t="shared" si="21"/>
        <v>127.75902746372002</v>
      </c>
      <c r="AJ21" s="3">
        <f t="shared" si="13"/>
        <v>-4529.6476591831233</v>
      </c>
      <c r="AK21" s="3">
        <f t="shared" si="14"/>
        <v>-1647.1446033393177</v>
      </c>
      <c r="AL21" s="13"/>
    </row>
    <row r="22" spans="1:38">
      <c r="A22">
        <v>2028</v>
      </c>
      <c r="B22" s="3">
        <f t="shared" si="5"/>
        <v>26.683671596338133</v>
      </c>
      <c r="C22" s="3">
        <f t="shared" si="0"/>
        <v>22681.12085688741</v>
      </c>
      <c r="D22" s="61">
        <v>0</v>
      </c>
      <c r="E22" s="33">
        <v>21</v>
      </c>
      <c r="F22" s="61">
        <f t="shared" si="6"/>
        <v>4763.0353799463555</v>
      </c>
      <c r="G22" s="3">
        <f t="shared" si="16"/>
        <v>27444.156236833765</v>
      </c>
      <c r="H22" s="3">
        <f t="shared" si="2"/>
        <v>-4442.5732239928629</v>
      </c>
      <c r="I22" s="3">
        <f>Austria!I22</f>
        <v>1450</v>
      </c>
      <c r="J22" s="3">
        <f t="shared" si="17"/>
        <v>24451.583012840903</v>
      </c>
      <c r="N22">
        <v>2028</v>
      </c>
      <c r="O22" s="3">
        <f t="shared" si="18"/>
        <v>24451.583012840903</v>
      </c>
      <c r="P22" s="3">
        <f t="shared" si="19"/>
        <v>27278.675064472725</v>
      </c>
      <c r="Q22" s="3">
        <f t="shared" si="20"/>
        <v>24584.125</v>
      </c>
      <c r="T22">
        <v>2028</v>
      </c>
      <c r="U22" s="3">
        <f>'Vehicle price'!X24</f>
        <v>23</v>
      </c>
      <c r="V22" s="20">
        <f>V21+(V24-V12)/12</f>
        <v>1.2499999999999991</v>
      </c>
      <c r="W22" s="3">
        <f t="shared" si="3"/>
        <v>33.354589495422644</v>
      </c>
      <c r="X22" s="3">
        <f>'Vehicle price'!T24</f>
        <v>26.683671596338133</v>
      </c>
      <c r="Y22" s="3">
        <f t="shared" si="12"/>
        <v>20.012753697253594</v>
      </c>
      <c r="Z22" s="20">
        <f>Z21+(Z24-Z12)/12</f>
        <v>0.74999999999999978</v>
      </c>
      <c r="AB22">
        <v>2028</v>
      </c>
      <c r="AC22" s="14">
        <v>0.85</v>
      </c>
      <c r="AF22">
        <v>2028</v>
      </c>
      <c r="AG22" s="3">
        <f t="shared" si="15"/>
        <v>-5500</v>
      </c>
      <c r="AH22" s="3">
        <v>-2000</v>
      </c>
      <c r="AI22" s="20">
        <f t="shared" si="21"/>
        <v>130.26310440200893</v>
      </c>
      <c r="AJ22" s="3">
        <f t="shared" si="13"/>
        <v>-4442.5732239928629</v>
      </c>
      <c r="AK22" s="3">
        <f t="shared" si="14"/>
        <v>-1615.4811723610412</v>
      </c>
      <c r="AL22" s="13"/>
    </row>
    <row r="23" spans="1:38">
      <c r="A23">
        <v>2029</v>
      </c>
      <c r="B23" s="3">
        <f t="shared" si="5"/>
        <v>26.152566241906715</v>
      </c>
      <c r="C23" s="3">
        <f t="shared" si="0"/>
        <v>22229.68130562071</v>
      </c>
      <c r="D23" s="61">
        <v>0</v>
      </c>
      <c r="E23" s="33">
        <v>21</v>
      </c>
      <c r="F23" s="61">
        <f t="shared" si="6"/>
        <v>4668.2330741803489</v>
      </c>
      <c r="G23" s="3">
        <f t="shared" si="16"/>
        <v>26897.914379801059</v>
      </c>
      <c r="H23" s="3">
        <f t="shared" si="2"/>
        <v>-4357.17264024408</v>
      </c>
      <c r="I23" s="3">
        <f>Austria!I23</f>
        <v>1450</v>
      </c>
      <c r="J23" s="3">
        <f t="shared" si="17"/>
        <v>23990.741739556979</v>
      </c>
      <c r="N23">
        <v>2029</v>
      </c>
      <c r="O23" s="3">
        <f t="shared" si="18"/>
        <v>23990.741739556979</v>
      </c>
      <c r="P23" s="3">
        <f t="shared" si="19"/>
        <v>26763.487965166849</v>
      </c>
      <c r="Q23" s="3">
        <f t="shared" si="20"/>
        <v>24584.125</v>
      </c>
      <c r="T23">
        <v>2029</v>
      </c>
      <c r="U23" s="3">
        <f>'Vehicle price'!X25</f>
        <v>23</v>
      </c>
      <c r="V23" s="20">
        <f>V22+(V24-V12)/12</f>
        <v>1.274999999999999</v>
      </c>
      <c r="W23" s="3">
        <f t="shared" si="3"/>
        <v>33.344521958431038</v>
      </c>
      <c r="X23" s="3">
        <f>'Vehicle price'!T25</f>
        <v>26.152566241906715</v>
      </c>
      <c r="Y23" s="3">
        <f t="shared" si="12"/>
        <v>18.960610525382361</v>
      </c>
      <c r="Z23" s="20">
        <f>Z22+(Z24-Z12)/12</f>
        <v>0.72499999999999976</v>
      </c>
      <c r="AB23">
        <v>2029</v>
      </c>
      <c r="AC23" s="14">
        <v>0.85</v>
      </c>
      <c r="AF23">
        <v>2029</v>
      </c>
      <c r="AG23" s="3">
        <f t="shared" si="15"/>
        <v>-5500</v>
      </c>
      <c r="AH23" s="3">
        <v>-2000</v>
      </c>
      <c r="AI23" s="20">
        <f t="shared" si="21"/>
        <v>132.8162612482883</v>
      </c>
      <c r="AJ23" s="3">
        <f t="shared" si="13"/>
        <v>-4357.17264024408</v>
      </c>
      <c r="AK23" s="3">
        <f t="shared" si="14"/>
        <v>-1584.4264146342107</v>
      </c>
      <c r="AL23" s="13"/>
    </row>
    <row r="24" spans="1:38">
      <c r="A24">
        <v>2030</v>
      </c>
      <c r="B24" s="3">
        <f t="shared" si="5"/>
        <v>25.55507271817137</v>
      </c>
      <c r="C24" s="3">
        <f t="shared" si="0"/>
        <v>21721.811810445666</v>
      </c>
      <c r="D24" s="61">
        <v>0</v>
      </c>
      <c r="E24" s="33">
        <v>21</v>
      </c>
      <c r="F24" s="61">
        <f t="shared" si="6"/>
        <v>4561.5804801935901</v>
      </c>
      <c r="G24" s="3">
        <f t="shared" si="16"/>
        <v>26283.392290639254</v>
      </c>
      <c r="H24" s="3">
        <f t="shared" si="2"/>
        <v>-4219.3767661562733</v>
      </c>
      <c r="I24" s="3">
        <f>Austria!I24</f>
        <v>1450</v>
      </c>
      <c r="J24" s="3">
        <f t="shared" si="17"/>
        <v>23514.01552448298</v>
      </c>
      <c r="N24">
        <v>2030</v>
      </c>
      <c r="O24" s="3">
        <f t="shared" si="18"/>
        <v>23514.01552448298</v>
      </c>
      <c r="P24" s="3">
        <f t="shared" si="19"/>
        <v>26179.423661143166</v>
      </c>
      <c r="Q24" s="3">
        <f t="shared" si="20"/>
        <v>24584.125</v>
      </c>
      <c r="T24">
        <v>2030</v>
      </c>
      <c r="U24" s="3">
        <f>'Vehicle price'!X26</f>
        <v>23</v>
      </c>
      <c r="V24">
        <v>1.3</v>
      </c>
      <c r="W24" s="3">
        <f t="shared" si="3"/>
        <v>33.221594533622785</v>
      </c>
      <c r="X24" s="3">
        <f>'Vehicle price'!T26</f>
        <v>25.55507271817137</v>
      </c>
      <c r="Y24" s="3">
        <f t="shared" si="12"/>
        <v>17.88855090271996</v>
      </c>
      <c r="Z24">
        <v>0.7</v>
      </c>
      <c r="AB24">
        <v>2030</v>
      </c>
      <c r="AC24" s="14">
        <v>0.85</v>
      </c>
      <c r="AF24">
        <v>2030</v>
      </c>
      <c r="AG24" s="3">
        <f t="shared" si="15"/>
        <v>-5430.4529526114165</v>
      </c>
      <c r="AH24" s="3">
        <v>-2000</v>
      </c>
      <c r="AI24" s="20">
        <f t="shared" si="21"/>
        <v>135.41945996875472</v>
      </c>
      <c r="AJ24" s="3">
        <f t="shared" si="13"/>
        <v>-4219.3767661562733</v>
      </c>
      <c r="AK24" s="3">
        <f t="shared" si="14"/>
        <v>-1553.9686294960877</v>
      </c>
      <c r="AL24" s="13"/>
    </row>
    <row r="25" spans="1:38">
      <c r="F25" s="3"/>
      <c r="AD25" s="13"/>
      <c r="AE25" s="13"/>
    </row>
    <row r="26" spans="1:38">
      <c r="A26" t="s">
        <v>324</v>
      </c>
      <c r="B26" t="s">
        <v>1395</v>
      </c>
      <c r="C26" t="s">
        <v>709</v>
      </c>
      <c r="D26" t="s">
        <v>709</v>
      </c>
      <c r="E26" t="s">
        <v>498</v>
      </c>
      <c r="F26" t="s">
        <v>709</v>
      </c>
      <c r="G26" t="s">
        <v>709</v>
      </c>
      <c r="J26" t="s">
        <v>709</v>
      </c>
      <c r="AD26" s="13"/>
      <c r="AE26" s="13"/>
    </row>
    <row r="27" spans="1:38">
      <c r="B27" t="s">
        <v>711</v>
      </c>
      <c r="C27" t="s">
        <v>711</v>
      </c>
      <c r="D27" t="s">
        <v>749</v>
      </c>
      <c r="E27" t="s">
        <v>714</v>
      </c>
      <c r="F27" s="3" t="s">
        <v>728</v>
      </c>
      <c r="G27" t="s">
        <v>717</v>
      </c>
      <c r="H27" t="s">
        <v>750</v>
      </c>
      <c r="I27" t="s">
        <v>755</v>
      </c>
      <c r="J27" t="s">
        <v>717</v>
      </c>
      <c r="AE27" s="13"/>
    </row>
    <row r="28" spans="1:38">
      <c r="A28">
        <v>2009</v>
      </c>
      <c r="B28" s="3">
        <f t="shared" ref="B28:B49" si="22">B3</f>
        <v>29.592572886961211</v>
      </c>
      <c r="C28" s="3">
        <f t="shared" ref="C28:C49" si="23">B28*AC3*1000</f>
        <v>21302.040969337188</v>
      </c>
      <c r="D28" s="61">
        <f t="shared" ref="D28:D36" si="24">4.75/100*C28</f>
        <v>1011.8469460435164</v>
      </c>
      <c r="E28" s="33">
        <v>16</v>
      </c>
      <c r="F28" s="61">
        <f>E28/100*C28</f>
        <v>3408.32655509395</v>
      </c>
      <c r="G28" s="3">
        <f>C28+D28+F28</f>
        <v>25722.214470474653</v>
      </c>
      <c r="H28" s="3">
        <f t="shared" ref="H28:H49" si="25">AK3</f>
        <v>-2142.2559133561526</v>
      </c>
      <c r="I28" s="3">
        <f>Austria!I28</f>
        <v>1450</v>
      </c>
      <c r="J28" s="3">
        <f>G28+AH3+I28</f>
        <v>25172.214470474653</v>
      </c>
      <c r="AE28" s="72"/>
    </row>
    <row r="29" spans="1:38">
      <c r="A29">
        <v>2010</v>
      </c>
      <c r="B29" s="3">
        <f t="shared" si="22"/>
        <v>30</v>
      </c>
      <c r="C29" s="3">
        <f t="shared" si="23"/>
        <v>22760.138776915202</v>
      </c>
      <c r="D29" s="61">
        <f t="shared" si="24"/>
        <v>1081.1065919034722</v>
      </c>
      <c r="E29" s="33">
        <v>16</v>
      </c>
      <c r="F29" s="61">
        <f t="shared" ref="F29:F49" si="26">E29/100*C29</f>
        <v>3641.6222043064326</v>
      </c>
      <c r="G29" s="3">
        <f t="shared" ref="G29:G49" si="27">C29+D29+F29</f>
        <v>27482.86757312511</v>
      </c>
      <c r="H29" s="3">
        <f t="shared" si="25"/>
        <v>-2104.3759261474611</v>
      </c>
      <c r="I29" s="3">
        <f>Austria!I29</f>
        <v>1450</v>
      </c>
      <c r="J29" s="3">
        <f t="shared" ref="J29:J49" si="28">G29+H29+I29</f>
        <v>26828.491646977647</v>
      </c>
    </row>
    <row r="30" spans="1:38">
      <c r="A30">
        <v>2011</v>
      </c>
      <c r="B30" s="3">
        <f t="shared" si="22"/>
        <v>30</v>
      </c>
      <c r="C30" s="3">
        <f t="shared" si="23"/>
        <v>21463.232997813917</v>
      </c>
      <c r="D30" s="61">
        <f t="shared" si="24"/>
        <v>1019.5035673961611</v>
      </c>
      <c r="E30" s="33">
        <v>18</v>
      </c>
      <c r="F30" s="61">
        <f t="shared" si="26"/>
        <v>3863.3819396065051</v>
      </c>
      <c r="G30" s="3">
        <f t="shared" si="27"/>
        <v>26346.118504816583</v>
      </c>
      <c r="H30" s="3">
        <f t="shared" si="25"/>
        <v>-2039.1981908805012</v>
      </c>
      <c r="I30" s="3">
        <f>Austria!I30</f>
        <v>1450</v>
      </c>
      <c r="J30" s="3">
        <f t="shared" si="28"/>
        <v>25756.92031393608</v>
      </c>
    </row>
    <row r="31" spans="1:38">
      <c r="A31">
        <v>2012</v>
      </c>
      <c r="B31" s="3">
        <f t="shared" si="22"/>
        <v>30.842462459493706</v>
      </c>
      <c r="C31" s="3">
        <f t="shared" si="23"/>
        <v>23868.964632772961</v>
      </c>
      <c r="D31" s="61">
        <f t="shared" si="24"/>
        <v>1133.7758200567157</v>
      </c>
      <c r="E31" s="33">
        <v>18</v>
      </c>
      <c r="F31" s="61">
        <f t="shared" si="26"/>
        <v>4296.4136338991329</v>
      </c>
      <c r="G31" s="3">
        <f t="shared" si="27"/>
        <v>29299.154086728809</v>
      </c>
      <c r="H31" s="3">
        <f t="shared" si="25"/>
        <v>-1990.5120806813898</v>
      </c>
      <c r="I31" s="3">
        <f>Austria!I31</f>
        <v>1450</v>
      </c>
      <c r="J31" s="3">
        <f t="shared" si="28"/>
        <v>28758.642006047419</v>
      </c>
    </row>
    <row r="32" spans="1:38">
      <c r="A32">
        <v>2013</v>
      </c>
      <c r="B32" s="3">
        <f t="shared" si="22"/>
        <v>31.143929334439989</v>
      </c>
      <c r="C32" s="3">
        <f t="shared" si="23"/>
        <v>23409.918880648976</v>
      </c>
      <c r="D32" s="61">
        <f t="shared" si="24"/>
        <v>1111.9711468308265</v>
      </c>
      <c r="E32" s="33">
        <v>21</v>
      </c>
      <c r="F32" s="61">
        <f t="shared" si="26"/>
        <v>4916.082964936285</v>
      </c>
      <c r="G32" s="3">
        <f t="shared" si="27"/>
        <v>29437.972992416089</v>
      </c>
      <c r="H32" s="3">
        <f t="shared" si="25"/>
        <v>-1962.86254023845</v>
      </c>
      <c r="I32" s="3">
        <f>Austria!I32</f>
        <v>1450</v>
      </c>
      <c r="J32" s="3">
        <f t="shared" si="28"/>
        <v>28925.11045217764</v>
      </c>
    </row>
    <row r="33" spans="1:22">
      <c r="A33">
        <v>2014</v>
      </c>
      <c r="B33" s="3">
        <f t="shared" si="22"/>
        <v>33.541755956678692</v>
      </c>
      <c r="C33" s="3">
        <f t="shared" si="23"/>
        <v>25404.118038119632</v>
      </c>
      <c r="D33" s="61">
        <f t="shared" si="24"/>
        <v>1206.6956068106824</v>
      </c>
      <c r="E33" s="33">
        <v>21</v>
      </c>
      <c r="F33" s="61">
        <f t="shared" si="26"/>
        <v>5334.8647880051221</v>
      </c>
      <c r="G33" s="3">
        <f t="shared" si="27"/>
        <v>31945.678432935434</v>
      </c>
      <c r="H33" s="3">
        <f t="shared" si="25"/>
        <v>-1965.7527999984036</v>
      </c>
      <c r="I33" s="3">
        <f>Austria!I33</f>
        <v>1450</v>
      </c>
      <c r="J33" s="3">
        <f t="shared" si="28"/>
        <v>31429.925632937029</v>
      </c>
      <c r="V33" s="167"/>
    </row>
    <row r="34" spans="1:22">
      <c r="A34">
        <v>2015</v>
      </c>
      <c r="B34" s="3">
        <f t="shared" si="22"/>
        <v>30</v>
      </c>
      <c r="C34" s="3">
        <f t="shared" si="23"/>
        <v>27177.76686239925</v>
      </c>
      <c r="D34" s="61">
        <f t="shared" si="24"/>
        <v>1290.9439259639644</v>
      </c>
      <c r="E34" s="33">
        <v>21</v>
      </c>
      <c r="F34" s="61">
        <f t="shared" si="26"/>
        <v>5707.3310411038419</v>
      </c>
      <c r="G34" s="3">
        <f t="shared" si="27"/>
        <v>34176.04182946706</v>
      </c>
      <c r="H34" s="3">
        <f t="shared" si="25"/>
        <v>-1975.6546518443315</v>
      </c>
      <c r="I34" s="3">
        <f>Austria!I34</f>
        <v>1450</v>
      </c>
      <c r="J34" s="3">
        <f t="shared" si="28"/>
        <v>33650.387177622732</v>
      </c>
    </row>
    <row r="35" spans="1:22">
      <c r="A35">
        <v>2016</v>
      </c>
      <c r="B35" s="3">
        <f t="shared" si="22"/>
        <v>30</v>
      </c>
      <c r="C35" s="3">
        <f t="shared" si="23"/>
        <v>27202.412312659035</v>
      </c>
      <c r="D35" s="61">
        <f t="shared" si="24"/>
        <v>1292.1145848513042</v>
      </c>
      <c r="E35" s="33">
        <v>21</v>
      </c>
      <c r="F35" s="61">
        <f t="shared" si="26"/>
        <v>5712.5065856583969</v>
      </c>
      <c r="G35" s="3">
        <f t="shared" si="27"/>
        <v>34207.033483168736</v>
      </c>
      <c r="H35" s="3">
        <f t="shared" si="25"/>
        <v>-2039.2</v>
      </c>
      <c r="I35" s="3">
        <f>Austria!I35</f>
        <v>1450</v>
      </c>
      <c r="J35" s="3">
        <f t="shared" si="28"/>
        <v>33617.833483168739</v>
      </c>
      <c r="V35" s="167"/>
    </row>
    <row r="36" spans="1:22">
      <c r="A36">
        <v>2017</v>
      </c>
      <c r="B36" s="3">
        <f t="shared" si="22"/>
        <v>30</v>
      </c>
      <c r="C36" s="3">
        <f t="shared" si="23"/>
        <v>26462.003510368591</v>
      </c>
      <c r="D36" s="61">
        <f t="shared" si="24"/>
        <v>1256.945166742508</v>
      </c>
      <c r="E36" s="33">
        <v>21</v>
      </c>
      <c r="F36" s="61">
        <f t="shared" si="26"/>
        <v>5557.020737177404</v>
      </c>
      <c r="G36" s="3">
        <f t="shared" si="27"/>
        <v>33275.969414288506</v>
      </c>
      <c r="H36" s="3">
        <f t="shared" si="25"/>
        <v>-2000</v>
      </c>
      <c r="I36" s="3">
        <f>Austria!I36</f>
        <v>1450</v>
      </c>
      <c r="J36" s="3">
        <f t="shared" si="28"/>
        <v>32725.969414288506</v>
      </c>
      <c r="V36" s="167"/>
    </row>
    <row r="37" spans="1:22">
      <c r="A37">
        <v>2018</v>
      </c>
      <c r="B37" s="3">
        <f t="shared" si="22"/>
        <v>30.592100851060948</v>
      </c>
      <c r="C37" s="3">
        <f t="shared" si="23"/>
        <v>26003.285723401805</v>
      </c>
      <c r="D37" s="61">
        <v>0</v>
      </c>
      <c r="E37" s="33">
        <v>21</v>
      </c>
      <c r="F37" s="61">
        <f t="shared" si="26"/>
        <v>5460.6900019143786</v>
      </c>
      <c r="G37" s="3">
        <f t="shared" si="27"/>
        <v>31463.975725316184</v>
      </c>
      <c r="H37" s="3">
        <f t="shared" si="25"/>
        <v>-1961.5535504119259</v>
      </c>
      <c r="I37" s="3">
        <f>Austria!I37</f>
        <v>1450</v>
      </c>
      <c r="J37" s="3">
        <f t="shared" si="28"/>
        <v>30952.422174904259</v>
      </c>
      <c r="V37" s="105"/>
    </row>
    <row r="38" spans="1:22">
      <c r="A38">
        <v>2019</v>
      </c>
      <c r="B38" s="3">
        <f t="shared" si="22"/>
        <v>31.172994053473918</v>
      </c>
      <c r="C38" s="3">
        <f t="shared" si="23"/>
        <v>26497.044945452828</v>
      </c>
      <c r="D38" s="61">
        <v>0</v>
      </c>
      <c r="E38" s="33">
        <v>21</v>
      </c>
      <c r="F38" s="61">
        <f t="shared" si="26"/>
        <v>5564.3794385450938</v>
      </c>
      <c r="G38" s="3">
        <f t="shared" si="27"/>
        <v>32061.424383997921</v>
      </c>
      <c r="H38" s="3">
        <f t="shared" si="25"/>
        <v>-1923.8461655668164</v>
      </c>
      <c r="I38" s="3">
        <f>Austria!I38</f>
        <v>1450</v>
      </c>
      <c r="J38" s="3">
        <f t="shared" si="28"/>
        <v>31587.578218431103</v>
      </c>
      <c r="V38" s="105"/>
    </row>
    <row r="39" spans="1:22">
      <c r="A39">
        <v>2020</v>
      </c>
      <c r="B39" s="3">
        <f t="shared" si="22"/>
        <v>30.985903123425071</v>
      </c>
      <c r="C39" s="3">
        <f t="shared" si="23"/>
        <v>26338.017654911313</v>
      </c>
      <c r="D39" s="61">
        <v>0</v>
      </c>
      <c r="E39" s="33">
        <v>21</v>
      </c>
      <c r="F39" s="61">
        <f t="shared" si="26"/>
        <v>5530.9837075313753</v>
      </c>
      <c r="G39" s="3">
        <f t="shared" si="27"/>
        <v>31869.001362442687</v>
      </c>
      <c r="H39" s="3">
        <f t="shared" si="25"/>
        <v>-1886.8636382569796</v>
      </c>
      <c r="I39" s="3">
        <f>Austria!I39</f>
        <v>1450</v>
      </c>
      <c r="J39" s="3">
        <f t="shared" si="28"/>
        <v>31432.137724185708</v>
      </c>
      <c r="V39" s="105"/>
    </row>
    <row r="40" spans="1:22">
      <c r="A40">
        <v>2021</v>
      </c>
      <c r="B40" s="3">
        <f t="shared" si="22"/>
        <v>30.206708843097807</v>
      </c>
      <c r="C40" s="3">
        <f t="shared" si="23"/>
        <v>25675.702516633137</v>
      </c>
      <c r="D40" s="61">
        <v>0</v>
      </c>
      <c r="E40" s="33">
        <v>21</v>
      </c>
      <c r="F40" s="61">
        <f t="shared" si="26"/>
        <v>5391.8975284929584</v>
      </c>
      <c r="G40" s="3">
        <f t="shared" si="27"/>
        <v>31067.600045126095</v>
      </c>
      <c r="H40" s="3">
        <f t="shared" si="25"/>
        <v>-1850.5920343830715</v>
      </c>
      <c r="I40" s="3">
        <f>Austria!I40</f>
        <v>1450</v>
      </c>
      <c r="J40" s="3">
        <f t="shared" si="28"/>
        <v>30667.008010743022</v>
      </c>
      <c r="V40" s="105"/>
    </row>
    <row r="41" spans="1:22">
      <c r="A41">
        <v>2022</v>
      </c>
      <c r="B41" s="3">
        <f t="shared" si="22"/>
        <v>30.642454642697771</v>
      </c>
      <c r="C41" s="3">
        <f t="shared" si="23"/>
        <v>26046.086446293106</v>
      </c>
      <c r="D41" s="61">
        <v>0</v>
      </c>
      <c r="E41" s="33">
        <v>21</v>
      </c>
      <c r="F41" s="61">
        <f t="shared" si="26"/>
        <v>5469.678153721552</v>
      </c>
      <c r="G41" s="3">
        <f t="shared" si="27"/>
        <v>31515.764600014656</v>
      </c>
      <c r="H41" s="3">
        <f t="shared" si="25"/>
        <v>-1815.0176877040717</v>
      </c>
      <c r="I41" s="3">
        <f>Austria!I41</f>
        <v>1450</v>
      </c>
      <c r="J41" s="3">
        <f t="shared" si="28"/>
        <v>31150.746912310584</v>
      </c>
      <c r="V41" s="105"/>
    </row>
    <row r="42" spans="1:22">
      <c r="A42">
        <v>2023</v>
      </c>
      <c r="B42" s="3">
        <f t="shared" si="22"/>
        <v>30.361546257811007</v>
      </c>
      <c r="C42" s="3">
        <f t="shared" si="23"/>
        <v>25807.314319139354</v>
      </c>
      <c r="D42" s="61">
        <v>0</v>
      </c>
      <c r="E42" s="33">
        <v>21</v>
      </c>
      <c r="F42" s="61">
        <f t="shared" si="26"/>
        <v>5419.5360070192637</v>
      </c>
      <c r="G42" s="3">
        <f t="shared" si="27"/>
        <v>31226.850326158616</v>
      </c>
      <c r="H42" s="3">
        <f t="shared" si="25"/>
        <v>-1780.1271946881834</v>
      </c>
      <c r="I42" s="3">
        <f>Austria!I42</f>
        <v>1450</v>
      </c>
      <c r="J42" s="3">
        <f t="shared" si="28"/>
        <v>30896.723131470433</v>
      </c>
      <c r="V42" s="105"/>
    </row>
    <row r="43" spans="1:22">
      <c r="A43">
        <v>2024</v>
      </c>
      <c r="B43" s="3">
        <f t="shared" si="22"/>
        <v>29.275640447464834</v>
      </c>
      <c r="C43" s="3">
        <f t="shared" si="23"/>
        <v>24884.294380345105</v>
      </c>
      <c r="D43" s="61">
        <v>0</v>
      </c>
      <c r="E43" s="33">
        <v>21</v>
      </c>
      <c r="F43" s="61">
        <f t="shared" si="26"/>
        <v>5225.7018198724718</v>
      </c>
      <c r="G43" s="3">
        <f t="shared" si="27"/>
        <v>30109.996200217578</v>
      </c>
      <c r="H43" s="3">
        <f t="shared" si="25"/>
        <v>-1745.9074094627142</v>
      </c>
      <c r="I43" s="3">
        <f>Austria!I43</f>
        <v>1450</v>
      </c>
      <c r="J43" s="3">
        <f t="shared" si="28"/>
        <v>29814.088790754864</v>
      </c>
      <c r="V43" s="105"/>
    </row>
    <row r="44" spans="1:22">
      <c r="A44">
        <v>2025</v>
      </c>
      <c r="B44" s="3">
        <f t="shared" si="22"/>
        <v>28.343375828936317</v>
      </c>
      <c r="C44" s="3">
        <f t="shared" si="23"/>
        <v>24091.869454595868</v>
      </c>
      <c r="D44" s="61">
        <v>0</v>
      </c>
      <c r="E44" s="33">
        <v>21</v>
      </c>
      <c r="F44" s="61">
        <f t="shared" si="26"/>
        <v>5059.2925854651321</v>
      </c>
      <c r="G44" s="3">
        <f t="shared" si="27"/>
        <v>29151.162040061001</v>
      </c>
      <c r="H44" s="3">
        <f t="shared" si="25"/>
        <v>-1712.345438861038</v>
      </c>
      <c r="I44" s="3">
        <f>Austria!I44</f>
        <v>1450</v>
      </c>
      <c r="J44" s="3">
        <f t="shared" si="28"/>
        <v>28888.816601199964</v>
      </c>
      <c r="V44" s="105"/>
    </row>
    <row r="45" spans="1:22">
      <c r="A45">
        <v>2026</v>
      </c>
      <c r="B45" s="3">
        <f t="shared" si="22"/>
        <v>27.812270474504896</v>
      </c>
      <c r="C45" s="3">
        <f t="shared" si="23"/>
        <v>23640.429903329161</v>
      </c>
      <c r="D45" s="61">
        <v>0</v>
      </c>
      <c r="E45" s="33">
        <v>21</v>
      </c>
      <c r="F45" s="61">
        <f t="shared" si="26"/>
        <v>4964.4902796991237</v>
      </c>
      <c r="G45" s="3">
        <f t="shared" si="27"/>
        <v>28604.920183028284</v>
      </c>
      <c r="H45" s="3">
        <f t="shared" si="25"/>
        <v>-1679.4286375647685</v>
      </c>
      <c r="I45" s="3">
        <f>Austria!I45</f>
        <v>1450</v>
      </c>
      <c r="J45" s="3">
        <f t="shared" si="28"/>
        <v>28375.491545463516</v>
      </c>
      <c r="V45" s="105"/>
    </row>
    <row r="46" spans="1:22">
      <c r="A46">
        <v>2027</v>
      </c>
      <c r="B46" s="3">
        <f t="shared" si="22"/>
        <v>27.281165120073478</v>
      </c>
      <c r="C46" s="3">
        <f t="shared" si="23"/>
        <v>23188.990352062454</v>
      </c>
      <c r="D46" s="61">
        <v>0</v>
      </c>
      <c r="E46" s="33">
        <v>21</v>
      </c>
      <c r="F46" s="61">
        <f t="shared" si="26"/>
        <v>4869.6879739331152</v>
      </c>
      <c r="G46" s="3">
        <f t="shared" si="27"/>
        <v>28058.67832599557</v>
      </c>
      <c r="H46" s="3">
        <f t="shared" si="25"/>
        <v>-1647.1446033393177</v>
      </c>
      <c r="I46" s="3">
        <f>Austria!I46</f>
        <v>1450</v>
      </c>
      <c r="J46" s="3">
        <f t="shared" si="28"/>
        <v>27861.533722656251</v>
      </c>
      <c r="V46" s="105"/>
    </row>
    <row r="47" spans="1:22">
      <c r="A47">
        <v>2028</v>
      </c>
      <c r="B47" s="3">
        <f t="shared" si="22"/>
        <v>26.683671596338133</v>
      </c>
      <c r="C47" s="3">
        <f t="shared" si="23"/>
        <v>22681.12085688741</v>
      </c>
      <c r="D47" s="61">
        <v>0</v>
      </c>
      <c r="E47" s="33">
        <v>21</v>
      </c>
      <c r="F47" s="61">
        <f t="shared" si="26"/>
        <v>4763.0353799463555</v>
      </c>
      <c r="G47" s="3">
        <f t="shared" si="27"/>
        <v>27444.156236833765</v>
      </c>
      <c r="H47" s="3">
        <f t="shared" si="25"/>
        <v>-1615.4811723610412</v>
      </c>
      <c r="I47" s="3">
        <f>Austria!I47</f>
        <v>1450</v>
      </c>
      <c r="J47" s="3">
        <f t="shared" si="28"/>
        <v>27278.675064472725</v>
      </c>
      <c r="V47" s="105"/>
    </row>
    <row r="48" spans="1:22">
      <c r="A48">
        <v>2029</v>
      </c>
      <c r="B48" s="3">
        <f t="shared" si="22"/>
        <v>26.152566241906715</v>
      </c>
      <c r="C48" s="3">
        <f t="shared" si="23"/>
        <v>22229.68130562071</v>
      </c>
      <c r="D48" s="61">
        <v>0</v>
      </c>
      <c r="E48" s="33">
        <v>21</v>
      </c>
      <c r="F48" s="61">
        <f t="shared" si="26"/>
        <v>4668.2330741803489</v>
      </c>
      <c r="G48" s="3">
        <f t="shared" si="27"/>
        <v>26897.914379801059</v>
      </c>
      <c r="H48" s="3">
        <f t="shared" si="25"/>
        <v>-1584.4264146342107</v>
      </c>
      <c r="I48" s="3">
        <f>Austria!I48</f>
        <v>1450</v>
      </c>
      <c r="J48" s="3">
        <f t="shared" si="28"/>
        <v>26763.487965166849</v>
      </c>
      <c r="V48" s="105"/>
    </row>
    <row r="49" spans="1:22">
      <c r="A49">
        <v>2030</v>
      </c>
      <c r="B49" s="3">
        <f t="shared" si="22"/>
        <v>25.55507271817137</v>
      </c>
      <c r="C49" s="3">
        <f t="shared" si="23"/>
        <v>21721.811810445666</v>
      </c>
      <c r="D49" s="61">
        <v>0</v>
      </c>
      <c r="E49" s="33">
        <v>21</v>
      </c>
      <c r="F49" s="61">
        <f t="shared" si="26"/>
        <v>4561.5804801935901</v>
      </c>
      <c r="G49" s="3">
        <f t="shared" si="27"/>
        <v>26283.392290639254</v>
      </c>
      <c r="H49" s="3">
        <f t="shared" si="25"/>
        <v>-1553.9686294960877</v>
      </c>
      <c r="I49" s="3">
        <f>Austria!I49</f>
        <v>1450</v>
      </c>
      <c r="J49" s="3">
        <f t="shared" si="28"/>
        <v>26179.423661143166</v>
      </c>
      <c r="V49" s="105"/>
    </row>
    <row r="50" spans="1:22">
      <c r="V50" s="167"/>
    </row>
    <row r="51" spans="1:22">
      <c r="A51" t="s">
        <v>716</v>
      </c>
      <c r="B51" t="s">
        <v>1395</v>
      </c>
      <c r="C51" t="s">
        <v>709</v>
      </c>
      <c r="D51" t="s">
        <v>709</v>
      </c>
      <c r="E51" t="s">
        <v>498</v>
      </c>
      <c r="F51" t="s">
        <v>709</v>
      </c>
      <c r="G51" t="s">
        <v>709</v>
      </c>
    </row>
    <row r="52" spans="1:22">
      <c r="B52" t="s">
        <v>724</v>
      </c>
      <c r="C52" t="s">
        <v>724</v>
      </c>
      <c r="D52" t="s">
        <v>749</v>
      </c>
      <c r="E52" t="s">
        <v>714</v>
      </c>
      <c r="F52" t="s">
        <v>728</v>
      </c>
      <c r="G52" t="s">
        <v>1341</v>
      </c>
    </row>
    <row r="53" spans="1:22">
      <c r="A53">
        <v>2009</v>
      </c>
      <c r="B53" s="3">
        <f t="shared" ref="B53:B74" si="29">U3</f>
        <v>23</v>
      </c>
      <c r="C53" s="3">
        <f t="shared" ref="C53:C74" si="30">B53*AC3*1000</f>
        <v>16556.415833333336</v>
      </c>
      <c r="D53" s="61">
        <f t="shared" ref="D53:D61" si="31">4.75/100*C53</f>
        <v>786.42975208333348</v>
      </c>
      <c r="E53" s="33">
        <v>16</v>
      </c>
      <c r="F53" s="61">
        <f>E53/100*C53</f>
        <v>2649.0265333333336</v>
      </c>
      <c r="G53" s="3">
        <f>C53+D53+F53</f>
        <v>19991.872118750005</v>
      </c>
    </row>
    <row r="54" spans="1:22">
      <c r="A54">
        <v>2010</v>
      </c>
      <c r="B54" s="3">
        <f t="shared" si="29"/>
        <v>23</v>
      </c>
      <c r="C54" s="3">
        <f t="shared" si="30"/>
        <v>17449.439728968322</v>
      </c>
      <c r="D54" s="61">
        <f t="shared" si="31"/>
        <v>828.84838712599526</v>
      </c>
      <c r="E54" s="33">
        <v>16</v>
      </c>
      <c r="F54" s="61">
        <f t="shared" ref="F54:F74" si="32">E54/100*C54</f>
        <v>2791.9103566349318</v>
      </c>
      <c r="G54" s="3">
        <f t="shared" ref="G54:G74" si="33">C54+D54+F54</f>
        <v>21070.198472729251</v>
      </c>
    </row>
    <row r="55" spans="1:22">
      <c r="A55">
        <v>2011</v>
      </c>
      <c r="B55" s="3">
        <f t="shared" si="29"/>
        <v>23</v>
      </c>
      <c r="C55" s="3">
        <f t="shared" si="30"/>
        <v>16455.145298324001</v>
      </c>
      <c r="D55" s="61">
        <f t="shared" si="31"/>
        <v>781.61940167039006</v>
      </c>
      <c r="E55" s="33">
        <v>18</v>
      </c>
      <c r="F55" s="61">
        <f t="shared" si="32"/>
        <v>2961.9261536983204</v>
      </c>
      <c r="G55" s="3">
        <f t="shared" si="33"/>
        <v>20198.690853692711</v>
      </c>
    </row>
    <row r="56" spans="1:22">
      <c r="A56">
        <v>2012</v>
      </c>
      <c r="B56" s="3">
        <f t="shared" si="29"/>
        <v>23</v>
      </c>
      <c r="C56" s="3">
        <f t="shared" si="30"/>
        <v>17799.687274476786</v>
      </c>
      <c r="D56" s="61">
        <f t="shared" si="31"/>
        <v>845.48514553764733</v>
      </c>
      <c r="E56" s="33">
        <v>18</v>
      </c>
      <c r="F56" s="61">
        <f t="shared" si="32"/>
        <v>3203.9437094058212</v>
      </c>
      <c r="G56" s="3">
        <f t="shared" si="33"/>
        <v>21849.116129420254</v>
      </c>
    </row>
    <row r="57" spans="1:22">
      <c r="A57">
        <v>2013</v>
      </c>
      <c r="B57" s="3">
        <f t="shared" si="29"/>
        <v>23</v>
      </c>
      <c r="C57" s="3">
        <f t="shared" si="30"/>
        <v>17288.381580660563</v>
      </c>
      <c r="D57" s="61">
        <f t="shared" si="31"/>
        <v>821.19812508137682</v>
      </c>
      <c r="E57" s="33">
        <v>21</v>
      </c>
      <c r="F57" s="61">
        <f t="shared" si="32"/>
        <v>3630.5601319387183</v>
      </c>
      <c r="G57" s="3">
        <f t="shared" si="33"/>
        <v>21740.139837680657</v>
      </c>
    </row>
    <row r="58" spans="1:22">
      <c r="A58">
        <v>2014</v>
      </c>
      <c r="B58" s="3">
        <f t="shared" si="29"/>
        <v>23</v>
      </c>
      <c r="C58" s="3">
        <f t="shared" si="30"/>
        <v>17419.920281794584</v>
      </c>
      <c r="D58" s="61">
        <f t="shared" si="31"/>
        <v>827.4462133852428</v>
      </c>
      <c r="E58" s="33">
        <v>21</v>
      </c>
      <c r="F58" s="61">
        <f t="shared" si="32"/>
        <v>3658.1832591768625</v>
      </c>
      <c r="G58" s="3">
        <f t="shared" si="33"/>
        <v>21905.549754356689</v>
      </c>
    </row>
    <row r="59" spans="1:22">
      <c r="A59">
        <v>2015</v>
      </c>
      <c r="B59" s="3">
        <f t="shared" si="29"/>
        <v>23</v>
      </c>
      <c r="C59" s="3">
        <f t="shared" si="30"/>
        <v>20836.287927839425</v>
      </c>
      <c r="D59" s="61">
        <f t="shared" si="31"/>
        <v>989.72367657237271</v>
      </c>
      <c r="E59" s="33">
        <v>21</v>
      </c>
      <c r="F59" s="61">
        <f t="shared" si="32"/>
        <v>4375.620464846279</v>
      </c>
      <c r="G59" s="3">
        <f t="shared" si="33"/>
        <v>26201.632069258078</v>
      </c>
    </row>
    <row r="60" spans="1:22">
      <c r="A60">
        <v>2016</v>
      </c>
      <c r="B60" s="3">
        <f t="shared" si="29"/>
        <v>23</v>
      </c>
      <c r="C60" s="3">
        <f t="shared" si="30"/>
        <v>20855.182773038596</v>
      </c>
      <c r="D60" s="61">
        <f t="shared" si="31"/>
        <v>990.62118171933332</v>
      </c>
      <c r="E60" s="33">
        <v>21</v>
      </c>
      <c r="F60" s="61">
        <f t="shared" si="32"/>
        <v>4379.5883823381046</v>
      </c>
      <c r="G60" s="3">
        <f t="shared" si="33"/>
        <v>26225.392337096033</v>
      </c>
    </row>
    <row r="61" spans="1:22">
      <c r="A61">
        <v>2017</v>
      </c>
      <c r="B61" s="3">
        <f t="shared" si="29"/>
        <v>23</v>
      </c>
      <c r="C61" s="3">
        <f t="shared" si="30"/>
        <v>20287.536024615922</v>
      </c>
      <c r="D61" s="61">
        <f t="shared" si="31"/>
        <v>963.65796116925628</v>
      </c>
      <c r="E61" s="33">
        <v>21</v>
      </c>
      <c r="F61" s="61">
        <f t="shared" si="32"/>
        <v>4260.3825651693433</v>
      </c>
      <c r="G61" s="3">
        <f t="shared" si="33"/>
        <v>25511.576550954524</v>
      </c>
    </row>
    <row r="62" spans="1:22">
      <c r="A62">
        <v>2018</v>
      </c>
      <c r="B62" s="3">
        <f t="shared" si="29"/>
        <v>23</v>
      </c>
      <c r="C62" s="3">
        <f t="shared" si="30"/>
        <v>19550</v>
      </c>
      <c r="D62" s="61">
        <f>4.75/100*C62</f>
        <v>928.625</v>
      </c>
      <c r="E62" s="33">
        <v>21</v>
      </c>
      <c r="F62" s="61">
        <f t="shared" si="32"/>
        <v>4105.5</v>
      </c>
      <c r="G62" s="3">
        <f t="shared" si="33"/>
        <v>24584.125</v>
      </c>
    </row>
    <row r="63" spans="1:22">
      <c r="A63">
        <v>2019</v>
      </c>
      <c r="B63" s="3">
        <f t="shared" si="29"/>
        <v>23</v>
      </c>
      <c r="C63" s="3">
        <f t="shared" si="30"/>
        <v>19550</v>
      </c>
      <c r="D63" s="61">
        <f t="shared" ref="D63:D74" si="34">4.75/100*C63</f>
        <v>928.625</v>
      </c>
      <c r="E63" s="33">
        <v>21</v>
      </c>
      <c r="F63" s="61">
        <f t="shared" si="32"/>
        <v>4105.5</v>
      </c>
      <c r="G63" s="3">
        <f t="shared" si="33"/>
        <v>24584.125</v>
      </c>
    </row>
    <row r="64" spans="1:22">
      <c r="A64">
        <v>2020</v>
      </c>
      <c r="B64" s="3">
        <f t="shared" si="29"/>
        <v>23</v>
      </c>
      <c r="C64" s="3">
        <f t="shared" si="30"/>
        <v>19550</v>
      </c>
      <c r="D64" s="61">
        <f t="shared" si="34"/>
        <v>928.625</v>
      </c>
      <c r="E64" s="33">
        <v>21</v>
      </c>
      <c r="F64" s="61">
        <f t="shared" si="32"/>
        <v>4105.5</v>
      </c>
      <c r="G64" s="3">
        <f t="shared" si="33"/>
        <v>24584.125</v>
      </c>
    </row>
    <row r="65" spans="1:29">
      <c r="A65">
        <v>2021</v>
      </c>
      <c r="B65" s="3">
        <f t="shared" si="29"/>
        <v>23</v>
      </c>
      <c r="C65" s="3">
        <f t="shared" si="30"/>
        <v>19550</v>
      </c>
      <c r="D65" s="61">
        <f t="shared" si="34"/>
        <v>928.625</v>
      </c>
      <c r="E65" s="33">
        <v>21</v>
      </c>
      <c r="F65" s="61">
        <f t="shared" si="32"/>
        <v>4105.5</v>
      </c>
      <c r="G65" s="3">
        <f t="shared" si="33"/>
        <v>24584.125</v>
      </c>
    </row>
    <row r="66" spans="1:29">
      <c r="A66">
        <v>2022</v>
      </c>
      <c r="B66" s="3">
        <f t="shared" si="29"/>
        <v>23</v>
      </c>
      <c r="C66" s="3">
        <f t="shared" si="30"/>
        <v>19550</v>
      </c>
      <c r="D66" s="61">
        <f t="shared" si="34"/>
        <v>928.625</v>
      </c>
      <c r="E66" s="33">
        <v>21</v>
      </c>
      <c r="F66" s="61">
        <f t="shared" si="32"/>
        <v>4105.5</v>
      </c>
      <c r="G66" s="3">
        <f t="shared" si="33"/>
        <v>24584.125</v>
      </c>
    </row>
    <row r="67" spans="1:29">
      <c r="A67">
        <v>2023</v>
      </c>
      <c r="B67" s="3">
        <f t="shared" si="29"/>
        <v>23</v>
      </c>
      <c r="C67" s="3">
        <f t="shared" si="30"/>
        <v>19550</v>
      </c>
      <c r="D67" s="61">
        <f t="shared" si="34"/>
        <v>928.625</v>
      </c>
      <c r="E67" s="33">
        <v>21</v>
      </c>
      <c r="F67" s="61">
        <f t="shared" si="32"/>
        <v>4105.5</v>
      </c>
      <c r="G67" s="3">
        <f t="shared" si="33"/>
        <v>24584.125</v>
      </c>
    </row>
    <row r="68" spans="1:29">
      <c r="A68">
        <v>2024</v>
      </c>
      <c r="B68" s="3">
        <f t="shared" si="29"/>
        <v>23</v>
      </c>
      <c r="C68" s="3">
        <f t="shared" si="30"/>
        <v>19550</v>
      </c>
      <c r="D68" s="61">
        <f t="shared" si="34"/>
        <v>928.625</v>
      </c>
      <c r="E68" s="33">
        <v>21</v>
      </c>
      <c r="F68" s="61">
        <f t="shared" si="32"/>
        <v>4105.5</v>
      </c>
      <c r="G68" s="3">
        <f t="shared" si="33"/>
        <v>24584.125</v>
      </c>
    </row>
    <row r="69" spans="1:29">
      <c r="A69">
        <v>2025</v>
      </c>
      <c r="B69" s="3">
        <f t="shared" si="29"/>
        <v>23</v>
      </c>
      <c r="C69" s="3">
        <f t="shared" si="30"/>
        <v>19550</v>
      </c>
      <c r="D69" s="61">
        <f t="shared" si="34"/>
        <v>928.625</v>
      </c>
      <c r="E69" s="33">
        <v>21</v>
      </c>
      <c r="F69" s="61">
        <f t="shared" si="32"/>
        <v>4105.5</v>
      </c>
      <c r="G69" s="3">
        <f t="shared" si="33"/>
        <v>24584.125</v>
      </c>
    </row>
    <row r="70" spans="1:29">
      <c r="A70">
        <v>2026</v>
      </c>
      <c r="B70" s="3">
        <f t="shared" si="29"/>
        <v>23</v>
      </c>
      <c r="C70" s="3">
        <f t="shared" si="30"/>
        <v>19550</v>
      </c>
      <c r="D70" s="61">
        <f t="shared" si="34"/>
        <v>928.625</v>
      </c>
      <c r="E70" s="33">
        <v>21</v>
      </c>
      <c r="F70" s="61">
        <f t="shared" si="32"/>
        <v>4105.5</v>
      </c>
      <c r="G70" s="3">
        <f t="shared" si="33"/>
        <v>24584.125</v>
      </c>
    </row>
    <row r="71" spans="1:29">
      <c r="A71">
        <v>2027</v>
      </c>
      <c r="B71" s="3">
        <f t="shared" si="29"/>
        <v>23</v>
      </c>
      <c r="C71" s="3">
        <f t="shared" si="30"/>
        <v>19550</v>
      </c>
      <c r="D71" s="61">
        <f t="shared" si="34"/>
        <v>928.625</v>
      </c>
      <c r="E71" s="33">
        <v>21</v>
      </c>
      <c r="F71" s="61">
        <f t="shared" si="32"/>
        <v>4105.5</v>
      </c>
      <c r="G71" s="3">
        <f t="shared" si="33"/>
        <v>24584.125</v>
      </c>
    </row>
    <row r="72" spans="1:29">
      <c r="A72">
        <v>2028</v>
      </c>
      <c r="B72" s="3">
        <f t="shared" si="29"/>
        <v>23</v>
      </c>
      <c r="C72" s="3">
        <f t="shared" si="30"/>
        <v>19550</v>
      </c>
      <c r="D72" s="61">
        <f t="shared" si="34"/>
        <v>928.625</v>
      </c>
      <c r="E72" s="33">
        <v>21</v>
      </c>
      <c r="F72" s="61">
        <f t="shared" si="32"/>
        <v>4105.5</v>
      </c>
      <c r="G72" s="3">
        <f t="shared" si="33"/>
        <v>24584.125</v>
      </c>
    </row>
    <row r="73" spans="1:29">
      <c r="A73">
        <v>2029</v>
      </c>
      <c r="B73" s="3">
        <f t="shared" si="29"/>
        <v>23</v>
      </c>
      <c r="C73" s="3">
        <f t="shared" si="30"/>
        <v>19550</v>
      </c>
      <c r="D73" s="61">
        <f t="shared" si="34"/>
        <v>928.625</v>
      </c>
      <c r="E73" s="33">
        <v>21</v>
      </c>
      <c r="F73" s="61">
        <f t="shared" si="32"/>
        <v>4105.5</v>
      </c>
      <c r="G73" s="3">
        <f t="shared" si="33"/>
        <v>24584.125</v>
      </c>
    </row>
    <row r="74" spans="1:29">
      <c r="A74">
        <v>2030</v>
      </c>
      <c r="B74" s="3">
        <f t="shared" si="29"/>
        <v>23</v>
      </c>
      <c r="C74" s="3">
        <f t="shared" si="30"/>
        <v>19550</v>
      </c>
      <c r="D74" s="61">
        <f t="shared" si="34"/>
        <v>928.625</v>
      </c>
      <c r="E74" s="33">
        <v>21</v>
      </c>
      <c r="F74" s="61">
        <f t="shared" si="32"/>
        <v>4105.5</v>
      </c>
      <c r="G74" s="3">
        <f t="shared" si="33"/>
        <v>24584.125</v>
      </c>
    </row>
    <row r="76" spans="1:29">
      <c r="D76" t="s">
        <v>769</v>
      </c>
    </row>
    <row r="80" spans="1:29">
      <c r="Z80" s="87" t="s">
        <v>1223</v>
      </c>
      <c r="AA80" s="87"/>
      <c r="AB80" s="87"/>
      <c r="AC80" s="234"/>
    </row>
    <row r="81" spans="1:29">
      <c r="Z81" s="235" t="s">
        <v>1167</v>
      </c>
      <c r="AA81" s="235" t="s">
        <v>1168</v>
      </c>
      <c r="AB81" s="235" t="s">
        <v>1169</v>
      </c>
      <c r="AC81" s="235" t="s">
        <v>1170</v>
      </c>
    </row>
    <row r="82" spans="1:29">
      <c r="B82" t="s">
        <v>980</v>
      </c>
      <c r="C82" t="s">
        <v>980</v>
      </c>
      <c r="D82" t="s">
        <v>980</v>
      </c>
      <c r="E82" t="s">
        <v>980</v>
      </c>
      <c r="F82" t="s">
        <v>980</v>
      </c>
      <c r="J82" t="s">
        <v>812</v>
      </c>
      <c r="K82" t="s">
        <v>812</v>
      </c>
      <c r="L82" t="s">
        <v>812</v>
      </c>
      <c r="M82" t="s">
        <v>812</v>
      </c>
      <c r="N82" t="s">
        <v>812</v>
      </c>
      <c r="U82" t="s">
        <v>1104</v>
      </c>
      <c r="Y82" s="3">
        <v>2010</v>
      </c>
      <c r="Z82" s="13">
        <v>1.2257989769808961</v>
      </c>
      <c r="AA82" s="13">
        <f t="shared" ref="AA82:AC82" si="35">Z82</f>
        <v>1.2257989769808961</v>
      </c>
      <c r="AB82" s="13">
        <f t="shared" si="35"/>
        <v>1.2257989769808961</v>
      </c>
      <c r="AC82" s="13">
        <f t="shared" si="35"/>
        <v>1.2257989769808961</v>
      </c>
    </row>
    <row r="83" spans="1:29">
      <c r="B83" t="s">
        <v>978</v>
      </c>
      <c r="C83" t="s">
        <v>979</v>
      </c>
      <c r="D83" t="s">
        <v>916</v>
      </c>
      <c r="E83" t="s">
        <v>981</v>
      </c>
      <c r="F83" t="s">
        <v>983</v>
      </c>
      <c r="J83" t="s">
        <v>725</v>
      </c>
      <c r="K83" t="s">
        <v>979</v>
      </c>
      <c r="L83" t="s">
        <v>916</v>
      </c>
      <c r="M83" t="s">
        <v>985</v>
      </c>
      <c r="N83" t="s">
        <v>983</v>
      </c>
      <c r="R83" t="s">
        <v>997</v>
      </c>
      <c r="S83" t="s">
        <v>984</v>
      </c>
      <c r="U83" t="s">
        <v>934</v>
      </c>
      <c r="V83" t="s">
        <v>986</v>
      </c>
      <c r="W83" t="s">
        <v>987</v>
      </c>
      <c r="Y83" s="3">
        <v>2011</v>
      </c>
      <c r="Z83" s="13">
        <v>1.3433016243420699</v>
      </c>
      <c r="AA83" s="13">
        <f t="shared" ref="AA83:AC83" si="36">Z83</f>
        <v>1.3433016243420699</v>
      </c>
      <c r="AB83" s="13">
        <f t="shared" si="36"/>
        <v>1.3433016243420699</v>
      </c>
      <c r="AC83" s="13">
        <f t="shared" si="36"/>
        <v>1.3433016243420699</v>
      </c>
    </row>
    <row r="84" spans="1:29">
      <c r="A84" s="3">
        <v>2012</v>
      </c>
      <c r="B84" s="3">
        <f t="shared" ref="B84:B102" si="37">MIN(J6,J31)</f>
        <v>24810.221279867383</v>
      </c>
      <c r="C84" s="3">
        <f>B84/5</f>
        <v>4962.0442559734765</v>
      </c>
      <c r="D84" s="3">
        <f>B84*0.13</f>
        <v>3225.32876638276</v>
      </c>
      <c r="E84" s="3">
        <v>0</v>
      </c>
      <c r="F84" s="3">
        <f>C84+D84-E84</f>
        <v>8187.3730223562361</v>
      </c>
      <c r="G84" s="3"/>
      <c r="H84" s="3"/>
      <c r="I84" s="3">
        <v>2012</v>
      </c>
      <c r="J84" s="3">
        <f>G56</f>
        <v>21849.116129420254</v>
      </c>
      <c r="K84" s="3">
        <f>J84/5</f>
        <v>4369.8232258840508</v>
      </c>
      <c r="L84" s="3">
        <f>J84*0.13</f>
        <v>2840.3850968246329</v>
      </c>
      <c r="M84" s="3">
        <f>W84/100*V84*U84</f>
        <v>847.41819754876201</v>
      </c>
      <c r="N84" s="3">
        <f t="shared" ref="N84:N102" si="38">SUM(K84:M84)</f>
        <v>8057.6265202574459</v>
      </c>
      <c r="O84" s="3"/>
      <c r="P84" s="3"/>
      <c r="Q84" s="3">
        <v>2012</v>
      </c>
      <c r="R84" s="13">
        <f>N84/F84</f>
        <v>0.98415285321134049</v>
      </c>
      <c r="S84" s="13">
        <f t="shared" ref="S84:S102" si="39">F84/N84</f>
        <v>1.0161023226594827</v>
      </c>
      <c r="U84" s="13">
        <f>AB84</f>
        <v>1.418881086734338</v>
      </c>
      <c r="V84" s="12">
        <f>'Country L per 100 km'!S7</f>
        <v>5.643961322634194</v>
      </c>
      <c r="W84" s="3">
        <f>'Country distance travelled'!S7</f>
        <v>10582</v>
      </c>
      <c r="Y84" s="3">
        <v>2012</v>
      </c>
      <c r="Z84" s="13">
        <v>1.418881086734338</v>
      </c>
      <c r="AA84" s="13">
        <f t="shared" ref="AA84:AC84" si="40">Z84</f>
        <v>1.418881086734338</v>
      </c>
      <c r="AB84" s="13">
        <f t="shared" si="40"/>
        <v>1.418881086734338</v>
      </c>
      <c r="AC84" s="13">
        <f t="shared" si="40"/>
        <v>1.418881086734338</v>
      </c>
    </row>
    <row r="85" spans="1:29">
      <c r="A85" s="3">
        <v>2013</v>
      </c>
      <c r="B85" s="3">
        <f t="shared" si="37"/>
        <v>25144.166387310252</v>
      </c>
      <c r="C85" s="3">
        <f t="shared" ref="C85:C102" si="41">B85/5</f>
        <v>5028.8332774620503</v>
      </c>
      <c r="D85" s="3">
        <f t="shared" ref="D85:D102" si="42">B85*0.13</f>
        <v>3268.7416303503328</v>
      </c>
      <c r="E85" s="3">
        <v>0</v>
      </c>
      <c r="F85" s="3">
        <f t="shared" ref="F85:F102" si="43">C85+D85-E85</f>
        <v>8297.5749078123827</v>
      </c>
      <c r="G85" s="3"/>
      <c r="H85" s="3"/>
      <c r="I85" s="3">
        <v>2013</v>
      </c>
      <c r="J85" s="3">
        <f t="shared" ref="J85:J102" si="44">G57</f>
        <v>21740.139837680657</v>
      </c>
      <c r="K85" s="3">
        <f t="shared" ref="K85:K102" si="45">J85/5</f>
        <v>4348.0279675361317</v>
      </c>
      <c r="L85" s="3">
        <f t="shared" ref="L85:L102" si="46">J85*0.13</f>
        <v>2826.2181788984853</v>
      </c>
      <c r="M85" s="3">
        <f t="shared" ref="M85:M103" si="47">W85/100*V85*U85</f>
        <v>887.69877606589785</v>
      </c>
      <c r="N85" s="3">
        <f t="shared" si="38"/>
        <v>8061.9449225005146</v>
      </c>
      <c r="O85" s="3"/>
      <c r="P85" s="3"/>
      <c r="Q85" s="3">
        <v>2013</v>
      </c>
      <c r="R85" s="13">
        <f t="shared" ref="R85:R102" si="48">N85/F85</f>
        <v>0.97160254798181855</v>
      </c>
      <c r="S85" s="13">
        <f t="shared" si="39"/>
        <v>1.0292274367509304</v>
      </c>
      <c r="U85" s="13">
        <f t="shared" ref="U85:U102" si="49">AB85</f>
        <v>1.4052359255635483</v>
      </c>
      <c r="V85" s="12">
        <f>'Country L per 100 km'!S8</f>
        <v>5.6</v>
      </c>
      <c r="W85" s="3">
        <f>'Country distance travelled'!S8</f>
        <v>11280.5</v>
      </c>
      <c r="Y85" s="3">
        <v>2013</v>
      </c>
      <c r="Z85" s="13">
        <v>1.4052359255635483</v>
      </c>
      <c r="AA85" s="13">
        <f t="shared" ref="AA85:AC85" si="50">Z85</f>
        <v>1.4052359255635483</v>
      </c>
      <c r="AB85" s="13">
        <f t="shared" si="50"/>
        <v>1.4052359255635483</v>
      </c>
      <c r="AC85" s="13">
        <f t="shared" si="50"/>
        <v>1.4052359255635483</v>
      </c>
    </row>
    <row r="86" spans="1:29">
      <c r="A86" s="3">
        <v>2014</v>
      </c>
      <c r="B86" s="3">
        <f t="shared" si="37"/>
        <v>27498.420032940223</v>
      </c>
      <c r="C86" s="3">
        <f t="shared" si="41"/>
        <v>5499.6840065880442</v>
      </c>
      <c r="D86" s="3">
        <f t="shared" si="42"/>
        <v>3574.7946042822291</v>
      </c>
      <c r="E86" s="3">
        <v>0</v>
      </c>
      <c r="F86" s="3">
        <f t="shared" si="43"/>
        <v>9074.4786108702738</v>
      </c>
      <c r="G86" s="3"/>
      <c r="H86" s="3"/>
      <c r="I86" s="3">
        <v>2014</v>
      </c>
      <c r="J86" s="3">
        <f t="shared" si="44"/>
        <v>21905.549754356689</v>
      </c>
      <c r="K86" s="3">
        <f t="shared" si="45"/>
        <v>4381.1099508713378</v>
      </c>
      <c r="L86" s="3">
        <f t="shared" si="46"/>
        <v>2847.7214680663697</v>
      </c>
      <c r="M86" s="3">
        <f t="shared" si="47"/>
        <v>907.33533580562494</v>
      </c>
      <c r="N86" s="3">
        <f t="shared" si="38"/>
        <v>8136.1667547433317</v>
      </c>
      <c r="O86" s="3"/>
      <c r="P86" s="3"/>
      <c r="Q86" s="3">
        <v>2014</v>
      </c>
      <c r="R86" s="13">
        <f t="shared" si="48"/>
        <v>0.89659881340147274</v>
      </c>
      <c r="S86" s="13">
        <f t="shared" si="39"/>
        <v>1.1153260355166532</v>
      </c>
      <c r="U86" s="13">
        <f t="shared" si="49"/>
        <v>1.3687992078925211</v>
      </c>
      <c r="V86" s="12">
        <f>'Country L per 100 km'!S9</f>
        <v>5.5335968379446632</v>
      </c>
      <c r="W86" s="3">
        <f>'Country distance travelled'!S9</f>
        <v>11979</v>
      </c>
      <c r="Y86" s="3">
        <v>2014</v>
      </c>
      <c r="Z86" s="13">
        <v>1.3687992078925211</v>
      </c>
      <c r="AA86" s="13">
        <f t="shared" ref="AA86:AC86" si="51">Z86</f>
        <v>1.3687992078925211</v>
      </c>
      <c r="AB86" s="13">
        <f t="shared" si="51"/>
        <v>1.3687992078925211</v>
      </c>
      <c r="AC86" s="13">
        <f t="shared" si="51"/>
        <v>1.3687992078925211</v>
      </c>
    </row>
    <row r="87" spans="1:29">
      <c r="A87" s="3">
        <v>2015</v>
      </c>
      <c r="B87" s="3">
        <f t="shared" si="37"/>
        <v>29699.077873934064</v>
      </c>
      <c r="C87" s="3">
        <f t="shared" si="41"/>
        <v>5939.8155747868132</v>
      </c>
      <c r="D87" s="3">
        <f t="shared" si="42"/>
        <v>3860.8801236114286</v>
      </c>
      <c r="E87" s="3">
        <v>0</v>
      </c>
      <c r="F87" s="3">
        <f t="shared" si="43"/>
        <v>9800.6956983982418</v>
      </c>
      <c r="G87" s="3"/>
      <c r="H87" s="3"/>
      <c r="I87" s="3">
        <v>2015</v>
      </c>
      <c r="J87" s="3">
        <f t="shared" si="44"/>
        <v>26201.632069258078</v>
      </c>
      <c r="K87" s="3">
        <f t="shared" si="45"/>
        <v>5240.3264138516151</v>
      </c>
      <c r="L87" s="3">
        <f t="shared" si="46"/>
        <v>3406.2121690035501</v>
      </c>
      <c r="M87" s="3">
        <f t="shared" si="47"/>
        <v>834.80800804251226</v>
      </c>
      <c r="N87" s="3">
        <f t="shared" si="38"/>
        <v>9481.3465908976777</v>
      </c>
      <c r="O87" s="3"/>
      <c r="P87" s="3"/>
      <c r="Q87" s="3">
        <v>2015</v>
      </c>
      <c r="R87" s="13">
        <f t="shared" si="48"/>
        <v>0.96741566952713809</v>
      </c>
      <c r="S87" s="13">
        <f t="shared" si="39"/>
        <v>1.033681830364386</v>
      </c>
      <c r="U87" s="13">
        <f t="shared" si="49"/>
        <v>1.2167627598218582</v>
      </c>
      <c r="V87" s="12">
        <f>'Country L per 100 km'!S10</f>
        <v>5.4733895528631695</v>
      </c>
      <c r="W87" s="3">
        <f>'Country distance travelled'!S10</f>
        <v>12535</v>
      </c>
      <c r="Y87" s="3">
        <v>2015</v>
      </c>
      <c r="Z87" s="13">
        <v>1.2167627598218582</v>
      </c>
      <c r="AA87" s="13">
        <f t="shared" ref="AA87:AC87" si="52">Z87</f>
        <v>1.2167627598218582</v>
      </c>
      <c r="AB87" s="13">
        <f t="shared" si="52"/>
        <v>1.2167627598218582</v>
      </c>
      <c r="AC87" s="13">
        <f t="shared" si="52"/>
        <v>1.2167627598218582</v>
      </c>
    </row>
    <row r="88" spans="1:29">
      <c r="A88" s="3">
        <v>2016</v>
      </c>
      <c r="B88" s="3">
        <f t="shared" si="37"/>
        <v>29539.433483168737</v>
      </c>
      <c r="C88" s="3">
        <f t="shared" si="41"/>
        <v>5907.8866966337473</v>
      </c>
      <c r="D88" s="3">
        <f t="shared" si="42"/>
        <v>3840.1263528119362</v>
      </c>
      <c r="E88" s="3">
        <v>0</v>
      </c>
      <c r="F88" s="3">
        <f t="shared" si="43"/>
        <v>9748.0130494456826</v>
      </c>
      <c r="G88" s="3"/>
      <c r="H88" s="3"/>
      <c r="I88" s="3">
        <v>2016</v>
      </c>
      <c r="J88" s="3">
        <f t="shared" si="44"/>
        <v>26225.392337096033</v>
      </c>
      <c r="K88" s="3">
        <f t="shared" si="45"/>
        <v>5245.0784674192064</v>
      </c>
      <c r="L88" s="3">
        <f t="shared" si="46"/>
        <v>3409.3010038224843</v>
      </c>
      <c r="M88" s="3">
        <f t="shared" si="47"/>
        <v>793.90734747581359</v>
      </c>
      <c r="N88" s="3">
        <f t="shared" si="38"/>
        <v>9448.2868187175045</v>
      </c>
      <c r="O88" s="3"/>
      <c r="P88" s="3"/>
      <c r="Q88" s="3">
        <v>2016</v>
      </c>
      <c r="R88" s="13">
        <f t="shared" si="48"/>
        <v>0.96925258212028942</v>
      </c>
      <c r="S88" s="13">
        <f t="shared" si="39"/>
        <v>1.0317228124504441</v>
      </c>
      <c r="U88" s="13">
        <f t="shared" si="49"/>
        <v>1.1719924748000006</v>
      </c>
      <c r="V88" s="12">
        <f>'Country L per 100 km'!S11</f>
        <v>5.4191975770922465</v>
      </c>
      <c r="W88" s="3">
        <f>'Country distance travelled'!S11</f>
        <v>12500</v>
      </c>
      <c r="Y88" s="3">
        <v>2016</v>
      </c>
      <c r="Z88" s="13">
        <v>1.1719924748000006</v>
      </c>
      <c r="AA88" s="13">
        <f t="shared" ref="AA88:AC88" si="53">Z88</f>
        <v>1.1719924748000006</v>
      </c>
      <c r="AB88" s="13">
        <f t="shared" si="53"/>
        <v>1.1719924748000006</v>
      </c>
      <c r="AC88" s="13">
        <f t="shared" si="53"/>
        <v>1.1719924748000006</v>
      </c>
    </row>
    <row r="89" spans="1:29">
      <c r="A89" s="3">
        <v>2017</v>
      </c>
      <c r="B89" s="3">
        <f t="shared" si="37"/>
        <v>28725.969414288506</v>
      </c>
      <c r="C89" s="3">
        <f t="shared" si="41"/>
        <v>5745.1938828577013</v>
      </c>
      <c r="D89" s="3">
        <f t="shared" si="42"/>
        <v>3734.376023857506</v>
      </c>
      <c r="E89" s="3">
        <v>0</v>
      </c>
      <c r="F89" s="3">
        <f t="shared" si="43"/>
        <v>9479.5699067152073</v>
      </c>
      <c r="G89" s="3"/>
      <c r="H89" s="3"/>
      <c r="I89" s="3">
        <v>2017</v>
      </c>
      <c r="J89" s="3">
        <f t="shared" si="44"/>
        <v>25511.576550954524</v>
      </c>
      <c r="K89" s="3">
        <f t="shared" si="45"/>
        <v>5102.3153101909047</v>
      </c>
      <c r="L89" s="3">
        <f t="shared" si="46"/>
        <v>3316.5049516240883</v>
      </c>
      <c r="M89" s="3">
        <f t="shared" si="47"/>
        <v>816.15248314016026</v>
      </c>
      <c r="N89" s="3">
        <f t="shared" si="38"/>
        <v>9234.9727449551538</v>
      </c>
      <c r="O89" s="3"/>
      <c r="P89" s="3"/>
      <c r="Q89" s="3">
        <v>2017</v>
      </c>
      <c r="R89" s="13">
        <f>N89/F89</f>
        <v>0.97419744100554773</v>
      </c>
      <c r="S89" s="13">
        <f t="shared" si="39"/>
        <v>1.0264859646601201</v>
      </c>
      <c r="U89" s="13">
        <f t="shared" si="49"/>
        <v>1.2168797999999996</v>
      </c>
      <c r="V89" s="12">
        <f>'Country L per 100 km'!S12</f>
        <v>5.3655421555368772</v>
      </c>
      <c r="W89" s="3">
        <f>'Country distance travelled'!S12</f>
        <v>12500</v>
      </c>
      <c r="Y89" s="3">
        <v>2017</v>
      </c>
      <c r="Z89" s="13">
        <v>1.2168797999999996</v>
      </c>
      <c r="AA89" s="13">
        <f t="shared" ref="AA89:AC89" si="54">Z89</f>
        <v>1.2168797999999996</v>
      </c>
      <c r="AB89" s="13">
        <f t="shared" si="54"/>
        <v>1.2168797999999996</v>
      </c>
      <c r="AC89" s="13">
        <f t="shared" si="54"/>
        <v>1.2168797999999996</v>
      </c>
    </row>
    <row r="90" spans="1:29">
      <c r="A90" s="3">
        <v>2018</v>
      </c>
      <c r="B90" s="3">
        <f t="shared" si="37"/>
        <v>27519.703461683388</v>
      </c>
      <c r="C90" s="3">
        <f t="shared" si="41"/>
        <v>5503.9406923366778</v>
      </c>
      <c r="D90" s="3">
        <f t="shared" si="42"/>
        <v>3577.5614500188408</v>
      </c>
      <c r="E90" s="3">
        <v>0</v>
      </c>
      <c r="F90" s="3">
        <f t="shared" si="43"/>
        <v>9081.502142355519</v>
      </c>
      <c r="G90" s="3"/>
      <c r="H90" s="3"/>
      <c r="I90" s="3">
        <v>2018</v>
      </c>
      <c r="J90" s="3">
        <f t="shared" si="44"/>
        <v>24584.125</v>
      </c>
      <c r="K90" s="3">
        <f t="shared" si="45"/>
        <v>4916.8249999999998</v>
      </c>
      <c r="L90" s="3">
        <f t="shared" si="46"/>
        <v>3195.9362500000002</v>
      </c>
      <c r="M90" s="3">
        <f t="shared" si="47"/>
        <v>842.56653838705142</v>
      </c>
      <c r="N90" s="3">
        <f t="shared" si="38"/>
        <v>8955.3277883870505</v>
      </c>
      <c r="O90" s="3"/>
      <c r="P90" s="3"/>
      <c r="Q90" s="3">
        <v>2018</v>
      </c>
      <c r="R90" s="13">
        <f t="shared" si="48"/>
        <v>0.98610644450767682</v>
      </c>
      <c r="S90" s="13">
        <f t="shared" si="39"/>
        <v>1.0140893060477458</v>
      </c>
      <c r="T90" s="3"/>
      <c r="U90" s="13">
        <f t="shared" si="49"/>
        <v>1.2688256718180926</v>
      </c>
      <c r="V90" s="12">
        <f>'Country L per 100 km'!S13</f>
        <v>5.3124179757790868</v>
      </c>
      <c r="W90" s="3">
        <f>'Country distance travelled'!S13</f>
        <v>12500</v>
      </c>
      <c r="Y90" s="3">
        <v>2018</v>
      </c>
      <c r="Z90" s="13">
        <v>1.2688256718180926</v>
      </c>
      <c r="AA90" s="13">
        <f>Z90</f>
        <v>1.2688256718180926</v>
      </c>
      <c r="AB90" s="13">
        <f t="shared" ref="AB90:AC90" si="55">AA90</f>
        <v>1.2688256718180926</v>
      </c>
      <c r="AC90" s="13">
        <f t="shared" si="55"/>
        <v>1.2688256718180926</v>
      </c>
    </row>
    <row r="91" spans="1:29">
      <c r="A91" s="3">
        <v>2019</v>
      </c>
      <c r="B91" s="3">
        <f t="shared" si="37"/>
        <v>28220.847428689176</v>
      </c>
      <c r="C91" s="3">
        <f t="shared" si="41"/>
        <v>5644.1694857378352</v>
      </c>
      <c r="D91" s="3">
        <f t="shared" si="42"/>
        <v>3668.710165729593</v>
      </c>
      <c r="E91" s="3">
        <v>0</v>
      </c>
      <c r="F91" s="3">
        <f t="shared" si="43"/>
        <v>9312.8796514674286</v>
      </c>
      <c r="G91" s="3"/>
      <c r="H91" s="3"/>
      <c r="I91" s="3">
        <v>2019</v>
      </c>
      <c r="J91" s="3">
        <f t="shared" si="44"/>
        <v>24584.125</v>
      </c>
      <c r="K91" s="3">
        <f t="shared" si="45"/>
        <v>4916.8249999999998</v>
      </c>
      <c r="L91" s="3">
        <f t="shared" si="46"/>
        <v>3195.9362500000002</v>
      </c>
      <c r="M91" s="3">
        <f t="shared" si="47"/>
        <v>829.28073967104729</v>
      </c>
      <c r="N91" s="3">
        <f t="shared" si="38"/>
        <v>8942.0419896710464</v>
      </c>
      <c r="O91" s="3"/>
      <c r="P91" s="3"/>
      <c r="Q91" s="3">
        <v>2019</v>
      </c>
      <c r="R91" s="13">
        <f t="shared" si="48"/>
        <v>0.9601801294900284</v>
      </c>
      <c r="S91" s="13">
        <f t="shared" si="39"/>
        <v>1.0414712503279158</v>
      </c>
      <c r="T91" s="3"/>
      <c r="U91" s="13">
        <f t="shared" si="49"/>
        <v>1.26130669821013</v>
      </c>
      <c r="V91" s="12">
        <f>'Country L per 100 km'!S14</f>
        <v>5.2598197779990956</v>
      </c>
      <c r="W91" s="3">
        <f>'Country distance travelled'!S14</f>
        <v>12500</v>
      </c>
      <c r="Y91" s="3">
        <v>2019</v>
      </c>
      <c r="Z91" s="13"/>
      <c r="AA91" s="13">
        <v>1.4807897507011949</v>
      </c>
      <c r="AB91" s="13">
        <v>1.26130669821013</v>
      </c>
      <c r="AC91" s="13">
        <v>1.0701299678763321</v>
      </c>
    </row>
    <row r="92" spans="1:29">
      <c r="A92" s="3">
        <v>2020</v>
      </c>
      <c r="B92" s="3">
        <f t="shared" si="37"/>
        <v>28130.126357235993</v>
      </c>
      <c r="C92" s="3">
        <f t="shared" si="41"/>
        <v>5626.025271447199</v>
      </c>
      <c r="D92" s="3">
        <f t="shared" si="42"/>
        <v>3656.9164264406791</v>
      </c>
      <c r="E92" s="3">
        <v>0</v>
      </c>
      <c r="F92" s="3">
        <f t="shared" si="43"/>
        <v>9282.941697887878</v>
      </c>
      <c r="G92" s="3"/>
      <c r="H92" s="3"/>
      <c r="I92" s="3">
        <v>2020</v>
      </c>
      <c r="J92" s="3">
        <f t="shared" si="44"/>
        <v>24584.125</v>
      </c>
      <c r="K92" s="3">
        <f t="shared" si="45"/>
        <v>4916.8249999999998</v>
      </c>
      <c r="L92" s="3">
        <f t="shared" si="46"/>
        <v>3195.9362500000002</v>
      </c>
      <c r="M92" s="3">
        <f t="shared" si="47"/>
        <v>822.02763285855008</v>
      </c>
      <c r="N92" s="3">
        <f t="shared" si="38"/>
        <v>8934.7888828585492</v>
      </c>
      <c r="O92" s="3"/>
      <c r="P92" s="3"/>
      <c r="Q92" s="3">
        <v>2020</v>
      </c>
      <c r="R92" s="13">
        <f t="shared" si="48"/>
        <v>0.96249542156356072</v>
      </c>
      <c r="S92" s="13">
        <f t="shared" si="39"/>
        <v>1.0389659811321634</v>
      </c>
      <c r="T92" s="3"/>
      <c r="U92" s="13">
        <f t="shared" si="49"/>
        <v>1.2627777288642734</v>
      </c>
      <c r="V92" s="12">
        <f>'Country L per 100 km'!S15</f>
        <v>5.2077423544545498</v>
      </c>
      <c r="W92" s="3">
        <f>'Country distance travelled'!S15</f>
        <v>12500</v>
      </c>
      <c r="Y92" s="3">
        <v>2020</v>
      </c>
      <c r="Z92" s="13"/>
      <c r="AA92" s="13">
        <v>1.573872634808164</v>
      </c>
      <c r="AB92" s="13">
        <v>1.2627777288642734</v>
      </c>
      <c r="AC92" s="13">
        <v>1.0756054316473302</v>
      </c>
    </row>
    <row r="93" spans="1:29">
      <c r="A93" s="3">
        <v>2021</v>
      </c>
      <c r="B93" s="3">
        <f t="shared" si="37"/>
        <v>27428.47195057265</v>
      </c>
      <c r="C93" s="3">
        <f t="shared" si="41"/>
        <v>5485.6943901145296</v>
      </c>
      <c r="D93" s="3">
        <f t="shared" si="42"/>
        <v>3565.7013535744445</v>
      </c>
      <c r="E93" s="3">
        <v>0</v>
      </c>
      <c r="F93" s="3">
        <f t="shared" si="43"/>
        <v>9051.3957436889741</v>
      </c>
      <c r="G93" s="3"/>
      <c r="H93" s="3"/>
      <c r="I93" s="3">
        <v>2021</v>
      </c>
      <c r="J93" s="3">
        <f t="shared" si="44"/>
        <v>24584.125</v>
      </c>
      <c r="K93" s="3">
        <f t="shared" si="45"/>
        <v>4916.8249999999998</v>
      </c>
      <c r="L93" s="3">
        <f t="shared" si="46"/>
        <v>3195.9362500000002</v>
      </c>
      <c r="M93" s="3">
        <f t="shared" si="47"/>
        <v>841.82231133175367</v>
      </c>
      <c r="N93" s="3">
        <f t="shared" si="38"/>
        <v>8954.583561331754</v>
      </c>
      <c r="O93" s="3"/>
      <c r="P93" s="3"/>
      <c r="Q93" s="3">
        <v>2021</v>
      </c>
      <c r="R93" s="13">
        <f t="shared" si="48"/>
        <v>0.98930417085953604</v>
      </c>
      <c r="S93" s="13">
        <f t="shared" si="39"/>
        <v>1.0108114667414887</v>
      </c>
      <c r="T93" s="3"/>
      <c r="U93" s="13">
        <f t="shared" si="49"/>
        <v>1.3061176633944656</v>
      </c>
      <c r="V93" s="12">
        <f>'Country L per 100 km'!S16</f>
        <v>5.1561805489649011</v>
      </c>
      <c r="W93" s="3">
        <f>'Country distance travelled'!S16</f>
        <v>12500</v>
      </c>
      <c r="Y93" s="3">
        <v>2021</v>
      </c>
      <c r="Z93" s="13"/>
      <c r="AA93" s="13">
        <v>1.6724309826861303</v>
      </c>
      <c r="AB93" s="13">
        <v>1.3061176633944656</v>
      </c>
      <c r="AC93" s="13">
        <v>1.0865563591893268</v>
      </c>
    </row>
    <row r="94" spans="1:29">
      <c r="A94" s="3">
        <v>2022</v>
      </c>
      <c r="B94" s="3">
        <f t="shared" si="37"/>
        <v>27974.465958828459</v>
      </c>
      <c r="C94" s="3">
        <f t="shared" si="41"/>
        <v>5594.8931917656919</v>
      </c>
      <c r="D94" s="3">
        <f t="shared" si="42"/>
        <v>3636.6805746476998</v>
      </c>
      <c r="E94" s="3">
        <v>0</v>
      </c>
      <c r="F94" s="3">
        <f t="shared" si="43"/>
        <v>9231.5737664133921</v>
      </c>
      <c r="G94" s="3"/>
      <c r="H94" s="3"/>
      <c r="I94" s="3">
        <v>2022</v>
      </c>
      <c r="J94" s="3">
        <f t="shared" si="44"/>
        <v>24584.125</v>
      </c>
      <c r="K94" s="3">
        <f t="shared" si="45"/>
        <v>4916.8249999999998</v>
      </c>
      <c r="L94" s="3">
        <f t="shared" si="46"/>
        <v>3195.9362500000002</v>
      </c>
      <c r="M94" s="3">
        <f t="shared" si="47"/>
        <v>854.07997216212323</v>
      </c>
      <c r="N94" s="3">
        <f t="shared" si="38"/>
        <v>8966.841222162122</v>
      </c>
      <c r="O94" s="3"/>
      <c r="P94" s="3"/>
      <c r="Q94" s="3">
        <v>2022</v>
      </c>
      <c r="R94" s="13">
        <f t="shared" si="48"/>
        <v>0.97132314045797596</v>
      </c>
      <c r="S94" s="13">
        <f t="shared" si="39"/>
        <v>1.0295235008284709</v>
      </c>
      <c r="T94" s="3"/>
      <c r="U94" s="13">
        <f t="shared" si="49"/>
        <v>1.3383872247172024</v>
      </c>
      <c r="V94" s="12">
        <f>'Country L per 100 km'!S17</f>
        <v>5.1051292564008923</v>
      </c>
      <c r="W94" s="3">
        <f>'Country distance travelled'!S17</f>
        <v>12500</v>
      </c>
      <c r="Y94" s="3">
        <v>2022</v>
      </c>
      <c r="Z94" s="13"/>
      <c r="AA94" s="13">
        <v>1.7162346928541166</v>
      </c>
      <c r="AB94" s="13">
        <v>1.3383872247172024</v>
      </c>
      <c r="AC94" s="13">
        <v>1.0920318229603247</v>
      </c>
    </row>
    <row r="95" spans="1:29">
      <c r="A95" s="3">
        <v>2023</v>
      </c>
      <c r="B95" s="3">
        <f t="shared" si="37"/>
        <v>27781.500540766112</v>
      </c>
      <c r="C95" s="3">
        <f t="shared" si="41"/>
        <v>5556.300108153222</v>
      </c>
      <c r="D95" s="3">
        <f t="shared" si="42"/>
        <v>3611.5950702995947</v>
      </c>
      <c r="E95" s="3">
        <v>0</v>
      </c>
      <c r="F95" s="3">
        <f t="shared" si="43"/>
        <v>9167.8951784528163</v>
      </c>
      <c r="G95" s="3"/>
      <c r="H95" s="3"/>
      <c r="I95" s="3">
        <v>2023</v>
      </c>
      <c r="J95" s="3">
        <f t="shared" si="44"/>
        <v>24584.125</v>
      </c>
      <c r="K95" s="3">
        <f t="shared" si="45"/>
        <v>4916.8249999999998</v>
      </c>
      <c r="L95" s="3">
        <f t="shared" si="46"/>
        <v>3195.9362500000002</v>
      </c>
      <c r="M95" s="3">
        <f t="shared" si="47"/>
        <v>855.0059032802211</v>
      </c>
      <c r="N95" s="3">
        <f t="shared" si="38"/>
        <v>8967.7671532802215</v>
      </c>
      <c r="O95" s="3"/>
      <c r="P95" s="3"/>
      <c r="Q95" s="3">
        <v>2023</v>
      </c>
      <c r="R95" s="13">
        <f t="shared" si="48"/>
        <v>0.9781707773401519</v>
      </c>
      <c r="S95" s="13">
        <f t="shared" si="39"/>
        <v>1.0223163717067958</v>
      </c>
      <c r="T95" s="3"/>
      <c r="U95" s="13">
        <f t="shared" si="49"/>
        <v>1.3532365884452904</v>
      </c>
      <c r="V95" s="12">
        <f>'Country L per 100 km'!S18</f>
        <v>5.0545834221791015</v>
      </c>
      <c r="W95" s="3">
        <f>'Country distance travelled'!S18</f>
        <v>12500</v>
      </c>
      <c r="Y95" s="3">
        <v>2023</v>
      </c>
      <c r="Z95" s="13"/>
      <c r="AA95" s="13">
        <v>1.7490874754801053</v>
      </c>
      <c r="AB95" s="13">
        <v>1.3532365884452904</v>
      </c>
      <c r="AC95" s="13">
        <v>1.0920318229603247</v>
      </c>
    </row>
    <row r="96" spans="1:29">
      <c r="A96" s="3">
        <v>2024</v>
      </c>
      <c r="B96" s="3">
        <f t="shared" si="37"/>
        <v>26758.750824195115</v>
      </c>
      <c r="C96" s="3">
        <f t="shared" si="41"/>
        <v>5351.7501648390225</v>
      </c>
      <c r="D96" s="3">
        <f t="shared" si="42"/>
        <v>3478.6376071453651</v>
      </c>
      <c r="E96" s="3">
        <v>0</v>
      </c>
      <c r="F96" s="3">
        <f t="shared" si="43"/>
        <v>8830.3877719843877</v>
      </c>
      <c r="G96" s="3"/>
      <c r="H96" s="3"/>
      <c r="I96" s="3">
        <v>2024</v>
      </c>
      <c r="J96" s="3">
        <f t="shared" si="44"/>
        <v>24584.125</v>
      </c>
      <c r="K96" s="3">
        <f t="shared" si="45"/>
        <v>4916.8249999999998</v>
      </c>
      <c r="L96" s="3">
        <f t="shared" si="46"/>
        <v>3195.9362500000002</v>
      </c>
      <c r="M96" s="3">
        <f t="shared" si="47"/>
        <v>848.9964665961063</v>
      </c>
      <c r="N96" s="3">
        <f t="shared" si="38"/>
        <v>8961.7577165961065</v>
      </c>
      <c r="O96" s="3"/>
      <c r="P96" s="3"/>
      <c r="Q96" s="3">
        <v>2024</v>
      </c>
      <c r="R96" s="13">
        <f t="shared" si="48"/>
        <v>1.0148770300924392</v>
      </c>
      <c r="S96" s="13">
        <f t="shared" si="39"/>
        <v>0.98534105152514473</v>
      </c>
      <c r="T96" s="3"/>
      <c r="U96" s="13">
        <f t="shared" si="49"/>
        <v>1.3571625744657596</v>
      </c>
      <c r="V96" s="12">
        <f>'Country L per 100 km'!S19</f>
        <v>5.0045380417614869</v>
      </c>
      <c r="W96" s="3">
        <f>'Country distance travelled'!S19</f>
        <v>12500</v>
      </c>
      <c r="Y96" s="3">
        <v>2024</v>
      </c>
      <c r="Z96" s="13"/>
      <c r="AA96" s="13">
        <v>1.7764647943350962</v>
      </c>
      <c r="AB96" s="13">
        <v>1.3571625744657596</v>
      </c>
      <c r="AC96" s="13">
        <v>1.0920318229603247</v>
      </c>
    </row>
    <row r="97" spans="1:29">
      <c r="A97" s="3">
        <v>2025</v>
      </c>
      <c r="B97" s="3">
        <f t="shared" si="37"/>
        <v>25892.212083193146</v>
      </c>
      <c r="C97" s="3">
        <f t="shared" si="41"/>
        <v>5178.4424166386289</v>
      </c>
      <c r="D97" s="3">
        <f t="shared" si="42"/>
        <v>3365.9875708151089</v>
      </c>
      <c r="E97" s="3">
        <v>0</v>
      </c>
      <c r="F97" s="3">
        <f t="shared" si="43"/>
        <v>8544.4299874537373</v>
      </c>
      <c r="G97" s="3"/>
      <c r="H97" s="3"/>
      <c r="I97" s="3">
        <v>2025</v>
      </c>
      <c r="J97" s="3">
        <f t="shared" si="44"/>
        <v>24584.125</v>
      </c>
      <c r="K97" s="3">
        <f t="shared" si="45"/>
        <v>4916.8249999999998</v>
      </c>
      <c r="L97" s="3">
        <f t="shared" si="46"/>
        <v>3195.9362500000002</v>
      </c>
      <c r="M97" s="3">
        <f t="shared" si="47"/>
        <v>853.3139913060354</v>
      </c>
      <c r="N97" s="3">
        <f t="shared" si="38"/>
        <v>8966.0752413060345</v>
      </c>
      <c r="O97" s="3"/>
      <c r="P97" s="3"/>
      <c r="Q97" s="3">
        <v>2025</v>
      </c>
      <c r="R97" s="13">
        <f t="shared" si="48"/>
        <v>1.0493473823849482</v>
      </c>
      <c r="S97" s="13">
        <f t="shared" si="39"/>
        <v>0.95297326394163984</v>
      </c>
      <c r="T97" s="3"/>
      <c r="U97" s="13">
        <f t="shared" si="49"/>
        <v>1.3777049933915495</v>
      </c>
      <c r="V97" s="12">
        <f>'Country L per 100 km'!S20</f>
        <v>4.9549881601598873</v>
      </c>
      <c r="W97" s="3">
        <f>'Country distance travelled'!S20</f>
        <v>12500</v>
      </c>
      <c r="Y97" s="3">
        <v>2025</v>
      </c>
      <c r="Z97" s="13"/>
      <c r="AA97" s="13">
        <v>1.803842113190087</v>
      </c>
      <c r="AB97" s="13">
        <v>1.3777049933915495</v>
      </c>
      <c r="AC97" s="13">
        <v>1.0975072867313229</v>
      </c>
    </row>
    <row r="98" spans="1:29">
      <c r="A98" s="3">
        <v>2026</v>
      </c>
      <c r="B98" s="3">
        <f t="shared" si="37"/>
        <v>25436.491429725171</v>
      </c>
      <c r="C98" s="3">
        <f t="shared" si="41"/>
        <v>5087.298285945034</v>
      </c>
      <c r="D98" s="3">
        <f t="shared" si="42"/>
        <v>3306.7438858642722</v>
      </c>
      <c r="E98" s="3">
        <v>0</v>
      </c>
      <c r="F98" s="3">
        <f t="shared" si="43"/>
        <v>8394.0421718093057</v>
      </c>
      <c r="G98" s="3"/>
      <c r="H98" s="3"/>
      <c r="I98" s="3">
        <v>2026</v>
      </c>
      <c r="J98" s="3">
        <f t="shared" si="44"/>
        <v>24584.125</v>
      </c>
      <c r="K98" s="3">
        <f t="shared" si="45"/>
        <v>4916.8249999999998</v>
      </c>
      <c r="L98" s="3">
        <f t="shared" si="46"/>
        <v>3195.9362500000002</v>
      </c>
      <c r="M98" s="3">
        <f t="shared" si="47"/>
        <v>867.00683422882946</v>
      </c>
      <c r="N98" s="3">
        <f t="shared" si="38"/>
        <v>8979.7680842288282</v>
      </c>
      <c r="O98" s="3"/>
      <c r="P98" s="3"/>
      <c r="Q98" s="3">
        <v>2026</v>
      </c>
      <c r="R98" s="13">
        <f t="shared" si="48"/>
        <v>1.0697787669433725</v>
      </c>
      <c r="S98" s="13">
        <f t="shared" si="39"/>
        <v>0.93477271273316809</v>
      </c>
      <c r="T98" s="3"/>
      <c r="U98" s="13">
        <f t="shared" si="49"/>
        <v>1.4138106881657799</v>
      </c>
      <c r="V98" s="12">
        <f>'Country L per 100 km'!S21</f>
        <v>4.9059288714454334</v>
      </c>
      <c r="W98" s="3">
        <f>'Country distance travelled'!S21</f>
        <v>12500</v>
      </c>
      <c r="Y98" s="3">
        <v>2026</v>
      </c>
      <c r="Z98" s="13"/>
      <c r="AA98" s="13">
        <v>1.8312194320450781</v>
      </c>
      <c r="AB98" s="13">
        <v>1.4138106881657799</v>
      </c>
      <c r="AC98" s="13">
        <v>1.1029827505023209</v>
      </c>
    </row>
    <row r="99" spans="1:29">
      <c r="A99" s="3">
        <v>2027</v>
      </c>
      <c r="B99" s="3">
        <f t="shared" si="37"/>
        <v>24979.030666812447</v>
      </c>
      <c r="C99" s="3">
        <f t="shared" si="41"/>
        <v>4995.8061333624892</v>
      </c>
      <c r="D99" s="3">
        <f t="shared" si="42"/>
        <v>3247.2739866856182</v>
      </c>
      <c r="E99" s="3">
        <v>0</v>
      </c>
      <c r="F99" s="3">
        <f t="shared" si="43"/>
        <v>8243.0801200481073</v>
      </c>
      <c r="G99" s="3"/>
      <c r="H99" s="3"/>
      <c r="I99" s="3">
        <v>2027</v>
      </c>
      <c r="J99" s="3">
        <f t="shared" si="44"/>
        <v>24584.125</v>
      </c>
      <c r="K99" s="3">
        <f t="shared" si="45"/>
        <v>4916.8249999999998</v>
      </c>
      <c r="L99" s="3">
        <f t="shared" si="46"/>
        <v>3195.9362500000002</v>
      </c>
      <c r="M99" s="3">
        <f t="shared" si="47"/>
        <v>869.72079324523384</v>
      </c>
      <c r="N99" s="3">
        <f t="shared" si="38"/>
        <v>8982.4820432452325</v>
      </c>
      <c r="O99" s="3"/>
      <c r="P99" s="3"/>
      <c r="Q99" s="3">
        <v>2027</v>
      </c>
      <c r="R99" s="13">
        <f t="shared" si="48"/>
        <v>1.0896997132660176</v>
      </c>
      <c r="S99" s="13">
        <f t="shared" si="39"/>
        <v>0.91768400764539793</v>
      </c>
      <c r="T99" s="3"/>
      <c r="U99" s="13">
        <f t="shared" si="49"/>
        <v>1.4324186496717439</v>
      </c>
      <c r="V99" s="12">
        <f>'Country L per 100 km'!S22</f>
        <v>4.8573553182628046</v>
      </c>
      <c r="W99" s="3">
        <f>'Country distance travelled'!S22</f>
        <v>12500</v>
      </c>
      <c r="Y99" s="3">
        <v>2027</v>
      </c>
      <c r="Z99" s="13"/>
      <c r="AA99" s="13">
        <v>1.8585967509000687</v>
      </c>
      <c r="AB99" s="13">
        <v>1.4324186496717439</v>
      </c>
      <c r="AC99" s="13">
        <v>1.1084582142733195</v>
      </c>
    </row>
    <row r="100" spans="1:29">
      <c r="A100" s="3">
        <v>2028</v>
      </c>
      <c r="B100" s="3">
        <f t="shared" si="37"/>
        <v>24451.583012840903</v>
      </c>
      <c r="C100" s="3">
        <f t="shared" si="41"/>
        <v>4890.3166025681803</v>
      </c>
      <c r="D100" s="3">
        <f t="shared" si="42"/>
        <v>3178.7057916693175</v>
      </c>
      <c r="E100" s="3">
        <v>0</v>
      </c>
      <c r="F100" s="3">
        <f t="shared" si="43"/>
        <v>8069.0223942374978</v>
      </c>
      <c r="G100" s="3"/>
      <c r="H100" s="3"/>
      <c r="I100" s="3">
        <v>2028</v>
      </c>
      <c r="J100" s="3">
        <f t="shared" si="44"/>
        <v>24584.125</v>
      </c>
      <c r="K100" s="3">
        <f t="shared" si="45"/>
        <v>4916.8249999999998</v>
      </c>
      <c r="L100" s="3">
        <f t="shared" si="46"/>
        <v>3195.9362500000002</v>
      </c>
      <c r="M100" s="3">
        <f t="shared" si="47"/>
        <v>868.19091712951536</v>
      </c>
      <c r="N100" s="3">
        <f t="shared" si="38"/>
        <v>8980.9521671295151</v>
      </c>
      <c r="O100" s="3"/>
      <c r="P100" s="3"/>
      <c r="Q100" s="3">
        <v>2028</v>
      </c>
      <c r="R100" s="13">
        <f t="shared" si="48"/>
        <v>1.1130161410313191</v>
      </c>
      <c r="S100" s="13">
        <f t="shared" si="39"/>
        <v>0.8984595668786991</v>
      </c>
      <c r="T100" s="3"/>
      <c r="U100" s="13">
        <f t="shared" si="49"/>
        <v>1.4441979535718497</v>
      </c>
      <c r="V100" s="12">
        <f>'Country L per 100 km'!S23</f>
        <v>4.8092626913493124</v>
      </c>
      <c r="W100" s="3">
        <f>'Country distance travelled'!S23</f>
        <v>12500</v>
      </c>
      <c r="Y100" s="3">
        <v>2028</v>
      </c>
      <c r="Z100" s="13"/>
      <c r="AA100" s="13">
        <v>1.8804986059840616</v>
      </c>
      <c r="AB100" s="13">
        <v>1.4441979535718497</v>
      </c>
      <c r="AC100" s="13">
        <v>1.1084582142733195</v>
      </c>
    </row>
    <row r="101" spans="1:29">
      <c r="A101" s="3">
        <v>2029</v>
      </c>
      <c r="B101" s="3">
        <f t="shared" si="37"/>
        <v>23990.741739556979</v>
      </c>
      <c r="C101" s="3">
        <f t="shared" si="41"/>
        <v>4798.1483479113958</v>
      </c>
      <c r="D101" s="3">
        <f t="shared" si="42"/>
        <v>3118.7964261424072</v>
      </c>
      <c r="E101" s="3">
        <v>0</v>
      </c>
      <c r="F101" s="3">
        <f t="shared" si="43"/>
        <v>7916.9447740538035</v>
      </c>
      <c r="G101" s="3"/>
      <c r="H101" s="3"/>
      <c r="I101" s="3">
        <v>2029</v>
      </c>
      <c r="J101" s="3">
        <f t="shared" si="44"/>
        <v>24584.125</v>
      </c>
      <c r="K101" s="3">
        <f t="shared" si="45"/>
        <v>4916.8249999999998</v>
      </c>
      <c r="L101" s="3">
        <f t="shared" si="46"/>
        <v>3195.9362500000002</v>
      </c>
      <c r="M101" s="3">
        <f t="shared" si="47"/>
        <v>869.0980589657587</v>
      </c>
      <c r="N101" s="3">
        <f t="shared" si="38"/>
        <v>8981.8593089657588</v>
      </c>
      <c r="O101" s="3"/>
      <c r="P101" s="3"/>
      <c r="Q101" s="3">
        <v>2029</v>
      </c>
      <c r="R101" s="13">
        <f t="shared" si="48"/>
        <v>1.1345107949220512</v>
      </c>
      <c r="S101" s="13">
        <f t="shared" si="39"/>
        <v>0.88143718374112701</v>
      </c>
      <c r="T101" s="3"/>
      <c r="U101" s="13">
        <f t="shared" si="49"/>
        <v>1.4601640141377084</v>
      </c>
      <c r="V101" s="12">
        <f>'Country L per 100 km'!S24</f>
        <v>4.7616462290587247</v>
      </c>
      <c r="W101" s="3">
        <f>'Country distance travelled'!S24</f>
        <v>12500</v>
      </c>
      <c r="Y101" s="3">
        <v>2029</v>
      </c>
      <c r="Z101" s="13"/>
      <c r="AA101" s="13">
        <v>1.9078759248390527</v>
      </c>
      <c r="AB101" s="13">
        <v>1.4601640141377084</v>
      </c>
      <c r="AC101" s="13">
        <v>1.1084582142733195</v>
      </c>
    </row>
    <row r="102" spans="1:29">
      <c r="A102" s="3">
        <v>2030</v>
      </c>
      <c r="B102" s="3">
        <f t="shared" si="37"/>
        <v>23514.01552448298</v>
      </c>
      <c r="C102" s="3">
        <f t="shared" si="41"/>
        <v>4702.8031048965959</v>
      </c>
      <c r="D102" s="3">
        <f t="shared" si="42"/>
        <v>3056.8220181827874</v>
      </c>
      <c r="E102" s="3">
        <v>0</v>
      </c>
      <c r="F102" s="3">
        <f t="shared" si="43"/>
        <v>7759.6251230793832</v>
      </c>
      <c r="G102" s="3"/>
      <c r="H102" s="3"/>
      <c r="I102" s="3">
        <v>2030</v>
      </c>
      <c r="J102" s="3">
        <f t="shared" si="44"/>
        <v>24584.125</v>
      </c>
      <c r="K102" s="3">
        <f t="shared" si="45"/>
        <v>4916.8249999999998</v>
      </c>
      <c r="L102" s="3">
        <f t="shared" si="46"/>
        <v>3195.9362500000002</v>
      </c>
      <c r="M102" s="3">
        <f t="shared" si="47"/>
        <v>867.68752356168454</v>
      </c>
      <c r="N102" s="3">
        <f t="shared" si="38"/>
        <v>8980.448773561684</v>
      </c>
      <c r="O102" s="3"/>
      <c r="P102" s="3"/>
      <c r="Q102" s="3">
        <v>2030</v>
      </c>
      <c r="R102" s="13">
        <f t="shared" si="48"/>
        <v>1.1573302358191526</v>
      </c>
      <c r="S102" s="13">
        <f t="shared" si="39"/>
        <v>0.86405761212330634</v>
      </c>
      <c r="T102" s="3"/>
      <c r="U102" s="13">
        <f t="shared" si="49"/>
        <v>1.4723721278563608</v>
      </c>
      <c r="V102" s="12">
        <f>'Country L per 100 km'!S25</f>
        <v>4.7145012168898264</v>
      </c>
      <c r="W102" s="3">
        <f>'Country distance travelled'!S25</f>
        <v>12500</v>
      </c>
      <c r="Y102" s="3">
        <v>2030</v>
      </c>
      <c r="Z102" s="3"/>
      <c r="AA102" s="13">
        <v>1.9243023161520467</v>
      </c>
      <c r="AB102" s="13">
        <v>1.4723721278563608</v>
      </c>
      <c r="AC102" s="13">
        <v>1.1139336780443176</v>
      </c>
    </row>
    <row r="103" spans="1:29">
      <c r="A103" s="3">
        <v>2031</v>
      </c>
      <c r="B103" s="3"/>
      <c r="C103" s="3"/>
      <c r="D103" s="3"/>
      <c r="E103" s="3"/>
      <c r="F103" s="3"/>
      <c r="G103" s="3"/>
      <c r="H103" s="3"/>
      <c r="I103" s="3">
        <v>2031</v>
      </c>
      <c r="J103" s="3"/>
      <c r="K103" s="3"/>
      <c r="L103" s="3"/>
      <c r="M103" s="3">
        <f t="shared" si="47"/>
        <v>859.096557981866</v>
      </c>
      <c r="N103" s="3"/>
      <c r="O103" s="3"/>
      <c r="P103" s="3"/>
      <c r="Q103" s="3">
        <v>2031</v>
      </c>
      <c r="R103" s="3"/>
      <c r="S103" s="3"/>
      <c r="T103" s="3"/>
      <c r="U103" s="13">
        <f>U102</f>
        <v>1.4723721278563608</v>
      </c>
      <c r="V103" s="12">
        <f>'Country L per 100 km'!S26</f>
        <v>4.6678229870196306</v>
      </c>
      <c r="W103" s="3">
        <f>'Country distance travelled'!S26</f>
        <v>12500</v>
      </c>
      <c r="Y103" s="3">
        <v>2031</v>
      </c>
    </row>
    <row r="104" spans="1:29">
      <c r="A104" s="3">
        <v>2032</v>
      </c>
      <c r="B104" s="3"/>
      <c r="C104" s="3"/>
      <c r="D104" s="3"/>
      <c r="E104" s="3"/>
      <c r="F104" s="3"/>
      <c r="G104" s="3"/>
      <c r="H104" s="3"/>
      <c r="I104" s="3">
        <v>2032</v>
      </c>
      <c r="J104" s="3"/>
      <c r="K104" s="3"/>
      <c r="L104" s="3"/>
      <c r="M104" s="3"/>
      <c r="N104" s="3"/>
      <c r="O104" s="3"/>
      <c r="P104" s="3"/>
      <c r="Q104" s="3">
        <v>2032</v>
      </c>
      <c r="R104" s="3"/>
      <c r="S104" s="3"/>
      <c r="T104" s="3"/>
      <c r="U104" s="13">
        <f t="shared" ref="U104:U112" si="56">U103</f>
        <v>1.4723721278563608</v>
      </c>
      <c r="V104" s="12">
        <f>'Country L per 100 km'!S27</f>
        <v>4.621606917841218</v>
      </c>
      <c r="W104" s="3">
        <f>'Country distance travelled'!S27</f>
        <v>12500</v>
      </c>
      <c r="Y104" s="3">
        <v>2032</v>
      </c>
    </row>
    <row r="105" spans="1:29">
      <c r="A105" s="3">
        <v>2033</v>
      </c>
      <c r="B105" s="3"/>
      <c r="C105" s="3"/>
      <c r="D105" s="3"/>
      <c r="E105" s="3"/>
      <c r="F105" s="3"/>
      <c r="G105" s="3"/>
      <c r="H105" s="3"/>
      <c r="I105" s="3">
        <v>2033</v>
      </c>
      <c r="J105" s="3"/>
      <c r="K105" s="3"/>
      <c r="L105" s="3"/>
      <c r="M105" s="3"/>
      <c r="N105" s="3"/>
      <c r="O105" s="3"/>
      <c r="P105" s="3"/>
      <c r="Q105" s="3">
        <v>2033</v>
      </c>
      <c r="R105" s="3"/>
      <c r="S105" s="3"/>
      <c r="T105" s="3"/>
      <c r="U105" s="13">
        <f t="shared" si="56"/>
        <v>1.4723721278563608</v>
      </c>
      <c r="V105" s="12">
        <f>'Country L per 100 km'!S28</f>
        <v>4.5758484335061569</v>
      </c>
      <c r="W105" s="3">
        <f>'Country distance travelled'!S28</f>
        <v>12500</v>
      </c>
      <c r="Y105" s="3">
        <v>2033</v>
      </c>
    </row>
    <row r="106" spans="1:29">
      <c r="A106" s="3">
        <v>2034</v>
      </c>
      <c r="B106" s="3"/>
      <c r="C106" s="3"/>
      <c r="D106" s="3"/>
      <c r="E106" s="3"/>
      <c r="F106" s="3"/>
      <c r="G106" s="3"/>
      <c r="H106" s="3"/>
      <c r="I106" s="3">
        <v>2034</v>
      </c>
      <c r="J106" s="3"/>
      <c r="K106" s="3"/>
      <c r="L106" s="3"/>
      <c r="M106" s="3"/>
      <c r="N106" s="3"/>
      <c r="O106" s="3"/>
      <c r="P106" s="3"/>
      <c r="Q106" s="3">
        <v>2034</v>
      </c>
      <c r="R106" s="3"/>
      <c r="S106" s="3"/>
      <c r="T106" s="3"/>
      <c r="U106" s="13">
        <f t="shared" si="56"/>
        <v>1.4723721278563608</v>
      </c>
      <c r="V106" s="12">
        <f>'Country L per 100 km'!S29</f>
        <v>4.5305430034714416</v>
      </c>
      <c r="W106" s="3">
        <f>'Country distance travelled'!S29</f>
        <v>12500</v>
      </c>
      <c r="Y106" s="3">
        <v>2034</v>
      </c>
    </row>
    <row r="107" spans="1:29">
      <c r="A107" s="3">
        <v>2035</v>
      </c>
      <c r="B107" s="3"/>
      <c r="C107" s="3"/>
      <c r="D107" s="3"/>
      <c r="E107" s="3"/>
      <c r="F107" s="3"/>
      <c r="G107" s="3"/>
      <c r="H107" s="3"/>
      <c r="I107" s="3">
        <v>2035</v>
      </c>
      <c r="J107" s="3"/>
      <c r="K107" s="3"/>
      <c r="L107" s="3"/>
      <c r="M107" s="3"/>
      <c r="N107" s="3"/>
      <c r="O107" s="3"/>
      <c r="P107" s="3"/>
      <c r="Q107" s="3">
        <v>2035</v>
      </c>
      <c r="R107" s="3"/>
      <c r="S107" s="3"/>
      <c r="T107" s="3"/>
      <c r="U107" s="13">
        <f t="shared" si="56"/>
        <v>1.4723721278563608</v>
      </c>
      <c r="V107" s="12">
        <f>'Country L per 100 km'!S30</f>
        <v>4.4856861420509313</v>
      </c>
      <c r="W107" s="3">
        <f>'Country distance travelled'!S30</f>
        <v>12500</v>
      </c>
      <c r="Y107" s="3">
        <v>2035</v>
      </c>
    </row>
    <row r="108" spans="1:29">
      <c r="A108" s="3">
        <v>2036</v>
      </c>
      <c r="B108" s="3"/>
      <c r="C108" s="3"/>
      <c r="D108" s="3"/>
      <c r="E108" s="3"/>
      <c r="F108" s="3"/>
      <c r="G108" s="3"/>
      <c r="H108" s="3"/>
      <c r="I108" s="3">
        <v>2036</v>
      </c>
      <c r="J108" s="3"/>
      <c r="K108" s="3"/>
      <c r="L108" s="3"/>
      <c r="M108" s="3"/>
      <c r="N108" s="3"/>
      <c r="O108" s="3"/>
      <c r="P108" s="3"/>
      <c r="Q108" s="3">
        <v>2036</v>
      </c>
      <c r="R108" s="3"/>
      <c r="S108" s="3"/>
      <c r="T108" s="3"/>
      <c r="U108" s="13">
        <f t="shared" si="56"/>
        <v>1.4723721278563608</v>
      </c>
      <c r="V108" s="12">
        <f>'Country L per 100 km'!S31</f>
        <v>4.4412734079712202</v>
      </c>
      <c r="W108" s="3">
        <f>'Country distance travelled'!S31</f>
        <v>12500</v>
      </c>
      <c r="Y108" s="3">
        <v>2036</v>
      </c>
    </row>
    <row r="109" spans="1:29">
      <c r="A109" s="3">
        <v>2037</v>
      </c>
      <c r="B109" s="3"/>
      <c r="C109" s="3"/>
      <c r="D109" s="3"/>
      <c r="E109" s="3"/>
      <c r="F109" s="3"/>
      <c r="G109" s="3"/>
      <c r="H109" s="3"/>
      <c r="I109" s="3">
        <v>2037</v>
      </c>
      <c r="J109" s="3"/>
      <c r="K109" s="3"/>
      <c r="L109" s="3"/>
      <c r="M109" s="3"/>
      <c r="N109" s="3"/>
      <c r="O109" s="3"/>
      <c r="P109" s="3"/>
      <c r="Q109" s="3">
        <v>2037</v>
      </c>
      <c r="R109" s="3"/>
      <c r="S109" s="3"/>
      <c r="T109" s="3"/>
      <c r="U109" s="13">
        <f t="shared" si="56"/>
        <v>1.4723721278563608</v>
      </c>
      <c r="V109" s="12">
        <f>'Country L per 100 km'!S32</f>
        <v>4.3973004039319017</v>
      </c>
      <c r="W109" s="3">
        <f>'Country distance travelled'!S32</f>
        <v>12500</v>
      </c>
      <c r="Y109" s="3">
        <v>2037</v>
      </c>
    </row>
    <row r="110" spans="1:29">
      <c r="A110" s="3">
        <v>2038</v>
      </c>
      <c r="B110" s="3"/>
      <c r="C110" s="3"/>
      <c r="D110" s="3"/>
      <c r="E110" s="3"/>
      <c r="F110" s="3"/>
      <c r="G110" s="3"/>
      <c r="H110" s="3"/>
      <c r="I110" s="3">
        <v>2038</v>
      </c>
      <c r="J110" s="3"/>
      <c r="K110" s="3"/>
      <c r="L110" s="3"/>
      <c r="M110" s="3"/>
      <c r="N110" s="3"/>
      <c r="O110" s="3"/>
      <c r="P110" s="3"/>
      <c r="Q110" s="3">
        <v>2038</v>
      </c>
      <c r="R110" s="3"/>
      <c r="S110" s="3"/>
      <c r="T110" s="3"/>
      <c r="U110" s="13">
        <f t="shared" si="56"/>
        <v>1.4723721278563608</v>
      </c>
      <c r="V110" s="12">
        <f>'Country L per 100 km'!S33</f>
        <v>4.3537627761701989</v>
      </c>
      <c r="W110" s="3">
        <f>'Country distance travelled'!S33</f>
        <v>12500</v>
      </c>
      <c r="Y110" s="3">
        <v>2038</v>
      </c>
    </row>
    <row r="111" spans="1:29">
      <c r="A111" s="3">
        <v>2039</v>
      </c>
      <c r="B111" s="3"/>
      <c r="C111" s="3"/>
      <c r="D111" s="3"/>
      <c r="E111" s="3"/>
      <c r="F111" s="3"/>
      <c r="G111" s="3"/>
      <c r="H111" s="3"/>
      <c r="I111" s="3">
        <v>2039</v>
      </c>
      <c r="J111" s="3"/>
      <c r="K111" s="3"/>
      <c r="L111" s="3"/>
      <c r="M111" s="3"/>
      <c r="N111" s="3"/>
      <c r="O111" s="3"/>
      <c r="P111" s="3"/>
      <c r="Q111" s="3">
        <v>2039</v>
      </c>
      <c r="R111" s="3"/>
      <c r="S111" s="3"/>
      <c r="T111" s="3"/>
      <c r="U111" s="13">
        <f t="shared" si="56"/>
        <v>1.4723721278563608</v>
      </c>
      <c r="V111" s="12">
        <f>'Country L per 100 km'!S34</f>
        <v>4.3106562140299003</v>
      </c>
      <c r="W111" s="3">
        <f>'Country distance travelled'!S34</f>
        <v>12500</v>
      </c>
      <c r="Y111" s="3">
        <v>2039</v>
      </c>
    </row>
    <row r="112" spans="1:29">
      <c r="A112" s="3">
        <v>2040</v>
      </c>
      <c r="B112" s="3"/>
      <c r="C112" s="3"/>
      <c r="D112" s="3"/>
      <c r="E112" s="3"/>
      <c r="F112" s="3"/>
      <c r="G112" s="3"/>
      <c r="H112" s="3"/>
      <c r="I112" s="3">
        <v>2040</v>
      </c>
      <c r="J112" s="3"/>
      <c r="K112" s="3"/>
      <c r="L112" s="3"/>
      <c r="M112" s="3"/>
      <c r="N112" s="3"/>
      <c r="O112" s="3"/>
      <c r="P112" s="3"/>
      <c r="Q112" s="3">
        <v>2040</v>
      </c>
      <c r="R112" s="3"/>
      <c r="S112" s="3"/>
      <c r="T112" s="3"/>
      <c r="U112" s="13">
        <f t="shared" si="56"/>
        <v>1.4723721278563608</v>
      </c>
      <c r="V112" s="12">
        <f>'Country L per 100 km'!S35</f>
        <v>4.2679764495345553</v>
      </c>
      <c r="W112" s="3">
        <f>'Country distance travelled'!S35</f>
        <v>12500</v>
      </c>
      <c r="Y112" s="3">
        <v>2040</v>
      </c>
    </row>
    <row r="120" spans="16:29">
      <c r="Q120" s="87" t="s">
        <v>980</v>
      </c>
      <c r="R120" s="87" t="s">
        <v>980</v>
      </c>
      <c r="S120" s="87" t="s">
        <v>980</v>
      </c>
      <c r="T120" s="87" t="s">
        <v>980</v>
      </c>
      <c r="U120" s="87" t="s">
        <v>980</v>
      </c>
      <c r="W120" s="14" t="s">
        <v>812</v>
      </c>
      <c r="X120" s="14" t="s">
        <v>812</v>
      </c>
      <c r="Y120" s="14" t="s">
        <v>812</v>
      </c>
      <c r="Z120" s="14" t="s">
        <v>812</v>
      </c>
      <c r="AA120" s="14" t="s">
        <v>812</v>
      </c>
      <c r="AC120" s="248" t="s">
        <v>952</v>
      </c>
    </row>
    <row r="121" spans="16:29">
      <c r="Q121" s="87" t="s">
        <v>978</v>
      </c>
      <c r="R121" s="87" t="s">
        <v>979</v>
      </c>
      <c r="S121" s="87" t="s">
        <v>916</v>
      </c>
      <c r="T121" s="87" t="s">
        <v>981</v>
      </c>
      <c r="U121" s="87" t="s">
        <v>983</v>
      </c>
      <c r="W121" s="14" t="s">
        <v>725</v>
      </c>
      <c r="X121" s="14" t="s">
        <v>979</v>
      </c>
      <c r="Y121" s="14" t="s">
        <v>916</v>
      </c>
      <c r="Z121" s="14" t="s">
        <v>985</v>
      </c>
      <c r="AA121" s="14" t="s">
        <v>983</v>
      </c>
      <c r="AC121" s="248" t="s">
        <v>1204</v>
      </c>
    </row>
    <row r="122" spans="16:29">
      <c r="P122">
        <v>2012</v>
      </c>
      <c r="Q122" s="3">
        <f>B84</f>
        <v>24810.221279867383</v>
      </c>
      <c r="R122" s="3">
        <f t="shared" ref="R122:U137" si="57">C84</f>
        <v>4962.0442559734765</v>
      </c>
      <c r="S122" s="3">
        <f t="shared" si="57"/>
        <v>3225.32876638276</v>
      </c>
      <c r="T122" s="3">
        <f t="shared" si="57"/>
        <v>0</v>
      </c>
      <c r="U122" s="3">
        <f t="shared" si="57"/>
        <v>8187.3730223562361</v>
      </c>
      <c r="V122" s="3"/>
      <c r="W122" s="3">
        <f>J84</f>
        <v>21849.116129420254</v>
      </c>
      <c r="X122" s="3">
        <f t="shared" ref="X122:AA137" si="58">K84</f>
        <v>4369.8232258840508</v>
      </c>
      <c r="Y122" s="3">
        <f t="shared" si="58"/>
        <v>2840.3850968246329</v>
      </c>
      <c r="Z122" s="3">
        <f t="shared" si="58"/>
        <v>847.41819754876201</v>
      </c>
      <c r="AA122" s="3">
        <f t="shared" si="58"/>
        <v>8057.6265202574459</v>
      </c>
      <c r="AC122" s="13">
        <f>U122/AA122</f>
        <v>1.0161023226594827</v>
      </c>
    </row>
    <row r="123" spans="16:29">
      <c r="P123">
        <v>2013</v>
      </c>
      <c r="Q123" s="3">
        <f t="shared" ref="Q123:U138" si="59">B85</f>
        <v>25144.166387310252</v>
      </c>
      <c r="R123" s="3">
        <f t="shared" si="57"/>
        <v>5028.8332774620503</v>
      </c>
      <c r="S123" s="3">
        <f t="shared" si="57"/>
        <v>3268.7416303503328</v>
      </c>
      <c r="T123" s="3">
        <f t="shared" si="57"/>
        <v>0</v>
      </c>
      <c r="U123" s="3">
        <f t="shared" si="57"/>
        <v>8297.5749078123827</v>
      </c>
      <c r="V123" s="3"/>
      <c r="W123" s="3">
        <f t="shared" ref="W123:AA138" si="60">J85</f>
        <v>21740.139837680657</v>
      </c>
      <c r="X123" s="3">
        <f t="shared" si="58"/>
        <v>4348.0279675361317</v>
      </c>
      <c r="Y123" s="3">
        <f t="shared" si="58"/>
        <v>2826.2181788984853</v>
      </c>
      <c r="Z123" s="3">
        <f t="shared" si="58"/>
        <v>887.69877606589785</v>
      </c>
      <c r="AA123" s="3">
        <f t="shared" si="58"/>
        <v>8061.9449225005146</v>
      </c>
      <c r="AC123" s="13">
        <f t="shared" ref="AC123:AC140" si="61">U123/AA123</f>
        <v>1.0292274367509304</v>
      </c>
    </row>
    <row r="124" spans="16:29">
      <c r="P124">
        <v>2014</v>
      </c>
      <c r="Q124" s="3">
        <f t="shared" si="59"/>
        <v>27498.420032940223</v>
      </c>
      <c r="R124" s="3">
        <f t="shared" si="57"/>
        <v>5499.6840065880442</v>
      </c>
      <c r="S124" s="3">
        <f t="shared" si="57"/>
        <v>3574.7946042822291</v>
      </c>
      <c r="T124" s="3">
        <f t="shared" si="57"/>
        <v>0</v>
      </c>
      <c r="U124" s="3">
        <f t="shared" si="57"/>
        <v>9074.4786108702738</v>
      </c>
      <c r="V124" s="3"/>
      <c r="W124" s="3">
        <f t="shared" si="60"/>
        <v>21905.549754356689</v>
      </c>
      <c r="X124" s="3">
        <f t="shared" si="58"/>
        <v>4381.1099508713378</v>
      </c>
      <c r="Y124" s="3">
        <f t="shared" si="58"/>
        <v>2847.7214680663697</v>
      </c>
      <c r="Z124" s="3">
        <f t="shared" si="58"/>
        <v>907.33533580562494</v>
      </c>
      <c r="AA124" s="3">
        <f t="shared" si="58"/>
        <v>8136.1667547433317</v>
      </c>
      <c r="AC124" s="13">
        <f t="shared" si="61"/>
        <v>1.1153260355166532</v>
      </c>
    </row>
    <row r="125" spans="16:29">
      <c r="P125">
        <v>2015</v>
      </c>
      <c r="Q125" s="3">
        <f t="shared" si="59"/>
        <v>29699.077873934064</v>
      </c>
      <c r="R125" s="3">
        <f t="shared" si="57"/>
        <v>5939.8155747868132</v>
      </c>
      <c r="S125" s="3">
        <f t="shared" si="57"/>
        <v>3860.8801236114286</v>
      </c>
      <c r="T125" s="3">
        <f t="shared" si="57"/>
        <v>0</v>
      </c>
      <c r="U125" s="3">
        <f t="shared" si="57"/>
        <v>9800.6956983982418</v>
      </c>
      <c r="V125" s="3"/>
      <c r="W125" s="3">
        <f t="shared" si="60"/>
        <v>26201.632069258078</v>
      </c>
      <c r="X125" s="3">
        <f t="shared" si="58"/>
        <v>5240.3264138516151</v>
      </c>
      <c r="Y125" s="3">
        <f t="shared" si="58"/>
        <v>3406.2121690035501</v>
      </c>
      <c r="Z125" s="3">
        <f t="shared" si="58"/>
        <v>834.80800804251226</v>
      </c>
      <c r="AA125" s="3">
        <f t="shared" si="58"/>
        <v>9481.3465908976777</v>
      </c>
      <c r="AC125" s="13">
        <f t="shared" si="61"/>
        <v>1.033681830364386</v>
      </c>
    </row>
    <row r="126" spans="16:29">
      <c r="P126">
        <v>2016</v>
      </c>
      <c r="Q126" s="3">
        <f t="shared" si="59"/>
        <v>29539.433483168737</v>
      </c>
      <c r="R126" s="3">
        <f t="shared" si="57"/>
        <v>5907.8866966337473</v>
      </c>
      <c r="S126" s="3">
        <f t="shared" si="57"/>
        <v>3840.1263528119362</v>
      </c>
      <c r="T126" s="3">
        <f t="shared" si="57"/>
        <v>0</v>
      </c>
      <c r="U126" s="3">
        <f t="shared" si="57"/>
        <v>9748.0130494456826</v>
      </c>
      <c r="V126" s="3"/>
      <c r="W126" s="3">
        <f t="shared" si="60"/>
        <v>26225.392337096033</v>
      </c>
      <c r="X126" s="3">
        <f t="shared" si="58"/>
        <v>5245.0784674192064</v>
      </c>
      <c r="Y126" s="3">
        <f t="shared" si="58"/>
        <v>3409.3010038224843</v>
      </c>
      <c r="Z126" s="3">
        <f t="shared" si="58"/>
        <v>793.90734747581359</v>
      </c>
      <c r="AA126" s="3">
        <f t="shared" si="58"/>
        <v>9448.2868187175045</v>
      </c>
      <c r="AC126" s="13">
        <f t="shared" si="61"/>
        <v>1.0317228124504441</v>
      </c>
    </row>
    <row r="127" spans="16:29">
      <c r="P127">
        <v>2017</v>
      </c>
      <c r="Q127" s="3">
        <f t="shared" si="59"/>
        <v>28725.969414288506</v>
      </c>
      <c r="R127" s="3">
        <f t="shared" si="57"/>
        <v>5745.1938828577013</v>
      </c>
      <c r="S127" s="3">
        <f t="shared" si="57"/>
        <v>3734.376023857506</v>
      </c>
      <c r="T127" s="3">
        <f t="shared" si="57"/>
        <v>0</v>
      </c>
      <c r="U127" s="3">
        <f t="shared" si="57"/>
        <v>9479.5699067152073</v>
      </c>
      <c r="V127" s="3"/>
      <c r="W127" s="3">
        <f t="shared" si="60"/>
        <v>25511.576550954524</v>
      </c>
      <c r="X127" s="3">
        <f t="shared" si="58"/>
        <v>5102.3153101909047</v>
      </c>
      <c r="Y127" s="3">
        <f t="shared" si="58"/>
        <v>3316.5049516240883</v>
      </c>
      <c r="Z127" s="3">
        <f t="shared" si="58"/>
        <v>816.15248314016026</v>
      </c>
      <c r="AA127" s="3">
        <f t="shared" si="58"/>
        <v>9234.9727449551538</v>
      </c>
      <c r="AC127" s="13">
        <f t="shared" si="61"/>
        <v>1.0264859646601201</v>
      </c>
    </row>
    <row r="128" spans="16:29">
      <c r="P128">
        <v>2018</v>
      </c>
      <c r="Q128" s="3">
        <f t="shared" si="59"/>
        <v>27519.703461683388</v>
      </c>
      <c r="R128" s="3">
        <f t="shared" si="57"/>
        <v>5503.9406923366778</v>
      </c>
      <c r="S128" s="3">
        <f t="shared" si="57"/>
        <v>3577.5614500188408</v>
      </c>
      <c r="T128" s="3">
        <f t="shared" si="57"/>
        <v>0</v>
      </c>
      <c r="U128" s="3">
        <f t="shared" si="57"/>
        <v>9081.502142355519</v>
      </c>
      <c r="V128" s="3"/>
      <c r="W128" s="3">
        <f t="shared" si="60"/>
        <v>24584.125</v>
      </c>
      <c r="X128" s="3">
        <f t="shared" si="58"/>
        <v>4916.8249999999998</v>
      </c>
      <c r="Y128" s="3">
        <f t="shared" si="58"/>
        <v>3195.9362500000002</v>
      </c>
      <c r="Z128" s="3">
        <f t="shared" si="58"/>
        <v>842.56653838705142</v>
      </c>
      <c r="AA128" s="3">
        <f t="shared" si="58"/>
        <v>8955.3277883870505</v>
      </c>
      <c r="AC128" s="13">
        <f t="shared" si="61"/>
        <v>1.0140893060477458</v>
      </c>
    </row>
    <row r="129" spans="16:29">
      <c r="P129">
        <v>2019</v>
      </c>
      <c r="Q129" s="3">
        <f t="shared" si="59"/>
        <v>28220.847428689176</v>
      </c>
      <c r="R129" s="3">
        <f t="shared" si="57"/>
        <v>5644.1694857378352</v>
      </c>
      <c r="S129" s="3">
        <f t="shared" si="57"/>
        <v>3668.710165729593</v>
      </c>
      <c r="T129" s="3">
        <f t="shared" si="57"/>
        <v>0</v>
      </c>
      <c r="U129" s="3">
        <f t="shared" si="57"/>
        <v>9312.8796514674286</v>
      </c>
      <c r="V129" s="3"/>
      <c r="W129" s="3">
        <f t="shared" si="60"/>
        <v>24584.125</v>
      </c>
      <c r="X129" s="3">
        <f t="shared" si="58"/>
        <v>4916.8249999999998</v>
      </c>
      <c r="Y129" s="3">
        <f t="shared" si="58"/>
        <v>3195.9362500000002</v>
      </c>
      <c r="Z129" s="3">
        <f t="shared" si="58"/>
        <v>829.28073967104729</v>
      </c>
      <c r="AA129" s="3">
        <f t="shared" si="58"/>
        <v>8942.0419896710464</v>
      </c>
      <c r="AC129" s="13">
        <f t="shared" si="61"/>
        <v>1.0414712503279158</v>
      </c>
    </row>
    <row r="130" spans="16:29">
      <c r="P130">
        <v>2020</v>
      </c>
      <c r="Q130" s="3">
        <f t="shared" si="59"/>
        <v>28130.126357235993</v>
      </c>
      <c r="R130" s="3">
        <f t="shared" si="57"/>
        <v>5626.025271447199</v>
      </c>
      <c r="S130" s="3">
        <f t="shared" si="57"/>
        <v>3656.9164264406791</v>
      </c>
      <c r="T130" s="3">
        <f t="shared" si="57"/>
        <v>0</v>
      </c>
      <c r="U130" s="3">
        <f t="shared" si="57"/>
        <v>9282.941697887878</v>
      </c>
      <c r="V130" s="3"/>
      <c r="W130" s="3">
        <f t="shared" si="60"/>
        <v>24584.125</v>
      </c>
      <c r="X130" s="3">
        <f t="shared" si="58"/>
        <v>4916.8249999999998</v>
      </c>
      <c r="Y130" s="3">
        <f t="shared" si="58"/>
        <v>3195.9362500000002</v>
      </c>
      <c r="Z130" s="3">
        <f t="shared" si="58"/>
        <v>822.02763285855008</v>
      </c>
      <c r="AA130" s="3">
        <f t="shared" si="58"/>
        <v>8934.7888828585492</v>
      </c>
      <c r="AC130" s="13">
        <f t="shared" si="61"/>
        <v>1.0389659811321634</v>
      </c>
    </row>
    <row r="131" spans="16:29">
      <c r="P131">
        <v>2021</v>
      </c>
      <c r="Q131" s="3">
        <f t="shared" si="59"/>
        <v>27428.47195057265</v>
      </c>
      <c r="R131" s="3">
        <f t="shared" si="57"/>
        <v>5485.6943901145296</v>
      </c>
      <c r="S131" s="3">
        <f t="shared" si="57"/>
        <v>3565.7013535744445</v>
      </c>
      <c r="T131" s="3">
        <f t="shared" si="57"/>
        <v>0</v>
      </c>
      <c r="U131" s="3">
        <f t="shared" si="57"/>
        <v>9051.3957436889741</v>
      </c>
      <c r="V131" s="3"/>
      <c r="W131" s="3">
        <f t="shared" si="60"/>
        <v>24584.125</v>
      </c>
      <c r="X131" s="3">
        <f t="shared" si="58"/>
        <v>4916.8249999999998</v>
      </c>
      <c r="Y131" s="3">
        <f t="shared" si="58"/>
        <v>3195.9362500000002</v>
      </c>
      <c r="Z131" s="3">
        <f t="shared" si="58"/>
        <v>841.82231133175367</v>
      </c>
      <c r="AA131" s="3">
        <f t="shared" si="58"/>
        <v>8954.583561331754</v>
      </c>
      <c r="AC131" s="13">
        <f t="shared" si="61"/>
        <v>1.0108114667414887</v>
      </c>
    </row>
    <row r="132" spans="16:29">
      <c r="P132">
        <v>2022</v>
      </c>
      <c r="Q132" s="3">
        <f t="shared" si="59"/>
        <v>27974.465958828459</v>
      </c>
      <c r="R132" s="3">
        <f t="shared" si="57"/>
        <v>5594.8931917656919</v>
      </c>
      <c r="S132" s="3">
        <f t="shared" si="57"/>
        <v>3636.6805746476998</v>
      </c>
      <c r="T132" s="3">
        <f t="shared" si="57"/>
        <v>0</v>
      </c>
      <c r="U132" s="3">
        <f t="shared" si="57"/>
        <v>9231.5737664133921</v>
      </c>
      <c r="V132" s="3"/>
      <c r="W132" s="3">
        <f t="shared" si="60"/>
        <v>24584.125</v>
      </c>
      <c r="X132" s="3">
        <f t="shared" si="58"/>
        <v>4916.8249999999998</v>
      </c>
      <c r="Y132" s="3">
        <f t="shared" si="58"/>
        <v>3195.9362500000002</v>
      </c>
      <c r="Z132" s="3">
        <f t="shared" si="58"/>
        <v>854.07997216212323</v>
      </c>
      <c r="AA132" s="3">
        <f t="shared" si="58"/>
        <v>8966.841222162122</v>
      </c>
      <c r="AC132" s="13">
        <f t="shared" si="61"/>
        <v>1.0295235008284709</v>
      </c>
    </row>
    <row r="133" spans="16:29">
      <c r="P133">
        <v>2023</v>
      </c>
      <c r="Q133" s="3">
        <f t="shared" si="59"/>
        <v>27781.500540766112</v>
      </c>
      <c r="R133" s="3">
        <f t="shared" si="57"/>
        <v>5556.300108153222</v>
      </c>
      <c r="S133" s="3">
        <f t="shared" si="57"/>
        <v>3611.5950702995947</v>
      </c>
      <c r="T133" s="3">
        <f t="shared" si="57"/>
        <v>0</v>
      </c>
      <c r="U133" s="3">
        <f t="shared" si="57"/>
        <v>9167.8951784528163</v>
      </c>
      <c r="V133" s="3"/>
      <c r="W133" s="3">
        <f t="shared" si="60"/>
        <v>24584.125</v>
      </c>
      <c r="X133" s="3">
        <f t="shared" si="58"/>
        <v>4916.8249999999998</v>
      </c>
      <c r="Y133" s="3">
        <f t="shared" si="58"/>
        <v>3195.9362500000002</v>
      </c>
      <c r="Z133" s="3">
        <f t="shared" si="58"/>
        <v>855.0059032802211</v>
      </c>
      <c r="AA133" s="3">
        <f t="shared" si="58"/>
        <v>8967.7671532802215</v>
      </c>
      <c r="AC133" s="13">
        <f t="shared" si="61"/>
        <v>1.0223163717067958</v>
      </c>
    </row>
    <row r="134" spans="16:29">
      <c r="P134">
        <v>2024</v>
      </c>
      <c r="Q134" s="3">
        <f t="shared" si="59"/>
        <v>26758.750824195115</v>
      </c>
      <c r="R134" s="3">
        <f t="shared" si="57"/>
        <v>5351.7501648390225</v>
      </c>
      <c r="S134" s="3">
        <f t="shared" si="57"/>
        <v>3478.6376071453651</v>
      </c>
      <c r="T134" s="3">
        <f t="shared" si="57"/>
        <v>0</v>
      </c>
      <c r="U134" s="3">
        <f t="shared" si="57"/>
        <v>8830.3877719843877</v>
      </c>
      <c r="V134" s="3"/>
      <c r="W134" s="3">
        <f t="shared" si="60"/>
        <v>24584.125</v>
      </c>
      <c r="X134" s="3">
        <f t="shared" si="58"/>
        <v>4916.8249999999998</v>
      </c>
      <c r="Y134" s="3">
        <f t="shared" si="58"/>
        <v>3195.9362500000002</v>
      </c>
      <c r="Z134" s="3">
        <f t="shared" si="58"/>
        <v>848.9964665961063</v>
      </c>
      <c r="AA134" s="3">
        <f t="shared" si="58"/>
        <v>8961.7577165961065</v>
      </c>
      <c r="AC134" s="13">
        <f t="shared" si="61"/>
        <v>0.98534105152514473</v>
      </c>
    </row>
    <row r="135" spans="16:29">
      <c r="P135">
        <v>2025</v>
      </c>
      <c r="Q135" s="3">
        <f t="shared" si="59"/>
        <v>25892.212083193146</v>
      </c>
      <c r="R135" s="3">
        <f t="shared" si="57"/>
        <v>5178.4424166386289</v>
      </c>
      <c r="S135" s="3">
        <f t="shared" si="57"/>
        <v>3365.9875708151089</v>
      </c>
      <c r="T135" s="3">
        <f t="shared" si="57"/>
        <v>0</v>
      </c>
      <c r="U135" s="3">
        <f t="shared" si="57"/>
        <v>8544.4299874537373</v>
      </c>
      <c r="V135" s="3"/>
      <c r="W135" s="3">
        <f t="shared" si="60"/>
        <v>24584.125</v>
      </c>
      <c r="X135" s="3">
        <f t="shared" si="58"/>
        <v>4916.8249999999998</v>
      </c>
      <c r="Y135" s="3">
        <f t="shared" si="58"/>
        <v>3195.9362500000002</v>
      </c>
      <c r="Z135" s="3">
        <f t="shared" si="58"/>
        <v>853.3139913060354</v>
      </c>
      <c r="AA135" s="3">
        <f t="shared" si="58"/>
        <v>8966.0752413060345</v>
      </c>
      <c r="AC135" s="13">
        <f t="shared" si="61"/>
        <v>0.95297326394163984</v>
      </c>
    </row>
    <row r="136" spans="16:29">
      <c r="P136">
        <v>2026</v>
      </c>
      <c r="Q136" s="3">
        <f t="shared" si="59"/>
        <v>25436.491429725171</v>
      </c>
      <c r="R136" s="3">
        <f t="shared" si="57"/>
        <v>5087.298285945034</v>
      </c>
      <c r="S136" s="3">
        <f t="shared" si="57"/>
        <v>3306.7438858642722</v>
      </c>
      <c r="T136" s="3">
        <f t="shared" si="57"/>
        <v>0</v>
      </c>
      <c r="U136" s="3">
        <f t="shared" si="57"/>
        <v>8394.0421718093057</v>
      </c>
      <c r="V136" s="3"/>
      <c r="W136" s="3">
        <f t="shared" si="60"/>
        <v>24584.125</v>
      </c>
      <c r="X136" s="3">
        <f t="shared" si="58"/>
        <v>4916.8249999999998</v>
      </c>
      <c r="Y136" s="3">
        <f t="shared" si="58"/>
        <v>3195.9362500000002</v>
      </c>
      <c r="Z136" s="3">
        <f t="shared" si="58"/>
        <v>867.00683422882946</v>
      </c>
      <c r="AA136" s="3">
        <f t="shared" si="58"/>
        <v>8979.7680842288282</v>
      </c>
      <c r="AC136" s="13">
        <f t="shared" si="61"/>
        <v>0.93477271273316809</v>
      </c>
    </row>
    <row r="137" spans="16:29">
      <c r="P137">
        <v>2027</v>
      </c>
      <c r="Q137" s="3">
        <f t="shared" si="59"/>
        <v>24979.030666812447</v>
      </c>
      <c r="R137" s="3">
        <f t="shared" si="57"/>
        <v>4995.8061333624892</v>
      </c>
      <c r="S137" s="3">
        <f t="shared" si="57"/>
        <v>3247.2739866856182</v>
      </c>
      <c r="T137" s="3">
        <f t="shared" si="57"/>
        <v>0</v>
      </c>
      <c r="U137" s="3">
        <f t="shared" si="57"/>
        <v>8243.0801200481073</v>
      </c>
      <c r="V137" s="3"/>
      <c r="W137" s="3">
        <f t="shared" si="60"/>
        <v>24584.125</v>
      </c>
      <c r="X137" s="3">
        <f t="shared" si="58"/>
        <v>4916.8249999999998</v>
      </c>
      <c r="Y137" s="3">
        <f t="shared" si="58"/>
        <v>3195.9362500000002</v>
      </c>
      <c r="Z137" s="3">
        <f t="shared" si="58"/>
        <v>869.72079324523384</v>
      </c>
      <c r="AA137" s="3">
        <f t="shared" si="58"/>
        <v>8982.4820432452325</v>
      </c>
      <c r="AC137" s="13">
        <f t="shared" si="61"/>
        <v>0.91768400764539793</v>
      </c>
    </row>
    <row r="138" spans="16:29">
      <c r="P138">
        <v>2028</v>
      </c>
      <c r="Q138" s="3">
        <f t="shared" si="59"/>
        <v>24451.583012840903</v>
      </c>
      <c r="R138" s="3">
        <f t="shared" si="59"/>
        <v>4890.3166025681803</v>
      </c>
      <c r="S138" s="3">
        <f t="shared" si="59"/>
        <v>3178.7057916693175</v>
      </c>
      <c r="T138" s="3">
        <f t="shared" si="59"/>
        <v>0</v>
      </c>
      <c r="U138" s="3">
        <f t="shared" si="59"/>
        <v>8069.0223942374978</v>
      </c>
      <c r="V138" s="3"/>
      <c r="W138" s="3">
        <f t="shared" si="60"/>
        <v>24584.125</v>
      </c>
      <c r="X138" s="3">
        <f t="shared" si="60"/>
        <v>4916.8249999999998</v>
      </c>
      <c r="Y138" s="3">
        <f t="shared" si="60"/>
        <v>3195.9362500000002</v>
      </c>
      <c r="Z138" s="3">
        <f t="shared" si="60"/>
        <v>868.19091712951536</v>
      </c>
      <c r="AA138" s="3">
        <f t="shared" si="60"/>
        <v>8980.9521671295151</v>
      </c>
      <c r="AC138" s="13">
        <f t="shared" si="61"/>
        <v>0.8984595668786991</v>
      </c>
    </row>
    <row r="139" spans="16:29">
      <c r="P139">
        <v>2029</v>
      </c>
      <c r="Q139" s="3">
        <f t="shared" ref="Q139:U140" si="62">B101</f>
        <v>23990.741739556979</v>
      </c>
      <c r="R139" s="3">
        <f t="shared" si="62"/>
        <v>4798.1483479113958</v>
      </c>
      <c r="S139" s="3">
        <f t="shared" si="62"/>
        <v>3118.7964261424072</v>
      </c>
      <c r="T139" s="3">
        <f t="shared" si="62"/>
        <v>0</v>
      </c>
      <c r="U139" s="3">
        <f t="shared" si="62"/>
        <v>7916.9447740538035</v>
      </c>
      <c r="V139" s="3"/>
      <c r="W139" s="3">
        <f t="shared" ref="W139:AA140" si="63">J101</f>
        <v>24584.125</v>
      </c>
      <c r="X139" s="3">
        <f t="shared" si="63"/>
        <v>4916.8249999999998</v>
      </c>
      <c r="Y139" s="3">
        <f t="shared" si="63"/>
        <v>3195.9362500000002</v>
      </c>
      <c r="Z139" s="3">
        <f t="shared" si="63"/>
        <v>869.0980589657587</v>
      </c>
      <c r="AA139" s="3">
        <f t="shared" si="63"/>
        <v>8981.8593089657588</v>
      </c>
      <c r="AC139" s="13">
        <f t="shared" si="61"/>
        <v>0.88143718374112701</v>
      </c>
    </row>
    <row r="140" spans="16:29">
      <c r="P140">
        <v>2030</v>
      </c>
      <c r="Q140" s="3">
        <f t="shared" si="62"/>
        <v>23514.01552448298</v>
      </c>
      <c r="R140" s="3">
        <f t="shared" si="62"/>
        <v>4702.8031048965959</v>
      </c>
      <c r="S140" s="3">
        <f t="shared" si="62"/>
        <v>3056.8220181827874</v>
      </c>
      <c r="T140" s="3">
        <f t="shared" si="62"/>
        <v>0</v>
      </c>
      <c r="U140" s="3">
        <f t="shared" si="62"/>
        <v>7759.6251230793832</v>
      </c>
      <c r="V140" s="3"/>
      <c r="W140" s="3">
        <f t="shared" si="63"/>
        <v>24584.125</v>
      </c>
      <c r="X140" s="3">
        <f t="shared" si="63"/>
        <v>4916.8249999999998</v>
      </c>
      <c r="Y140" s="3">
        <f t="shared" si="63"/>
        <v>3195.9362500000002</v>
      </c>
      <c r="Z140" s="3">
        <f t="shared" si="63"/>
        <v>867.68752356168454</v>
      </c>
      <c r="AA140" s="3">
        <f t="shared" si="63"/>
        <v>8980.448773561684</v>
      </c>
      <c r="AC140" s="13">
        <f t="shared" si="61"/>
        <v>0.86405761212330634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T51"/>
  <sheetViews>
    <sheetView zoomScale="75" zoomScaleNormal="75" workbookViewId="0">
      <pane xSplit="1" ySplit="3" topLeftCell="B4" activePane="bottomRight" state="frozen"/>
      <selection pane="topRight" activeCell="B1" sqref="B1"/>
      <selection pane="bottomLeft" activeCell="A4" sqref="A4"/>
      <selection pane="bottomRight" activeCell="A24" sqref="A24:XFD24"/>
    </sheetView>
  </sheetViews>
  <sheetFormatPr defaultRowHeight="15"/>
  <cols>
    <col min="3" max="3" width="11.28515625" customWidth="1"/>
    <col min="4" max="4" width="11" bestFit="1" customWidth="1"/>
    <col min="5" max="5" width="13.42578125" customWidth="1"/>
    <col min="8" max="8" width="11.5703125" customWidth="1"/>
    <col min="10" max="10" width="9.7109375" customWidth="1"/>
    <col min="15" max="15" width="9.5703125" customWidth="1"/>
  </cols>
  <sheetData>
    <row r="2" spans="1:20">
      <c r="B2" t="s">
        <v>1058</v>
      </c>
      <c r="D2" s="22" t="s">
        <v>498</v>
      </c>
      <c r="E2" s="22" t="s">
        <v>498</v>
      </c>
      <c r="F2" t="s">
        <v>1058</v>
      </c>
    </row>
    <row r="3" spans="1:20">
      <c r="B3" t="s">
        <v>644</v>
      </c>
      <c r="C3" t="s">
        <v>1055</v>
      </c>
      <c r="D3" t="s">
        <v>1056</v>
      </c>
      <c r="E3" t="s">
        <v>1066</v>
      </c>
      <c r="F3" t="s">
        <v>1057</v>
      </c>
      <c r="H3" t="s">
        <v>1061</v>
      </c>
      <c r="J3" t="s">
        <v>329</v>
      </c>
      <c r="K3" t="s">
        <v>1064</v>
      </c>
      <c r="O3" t="s">
        <v>1059</v>
      </c>
      <c r="P3" t="s">
        <v>1060</v>
      </c>
      <c r="Q3" t="s">
        <v>170</v>
      </c>
      <c r="S3" t="s">
        <v>329</v>
      </c>
      <c r="T3" t="s">
        <v>1064</v>
      </c>
    </row>
    <row r="4" spans="1:20">
      <c r="A4">
        <v>2010</v>
      </c>
      <c r="B4">
        <f>'EV %sales'!Y8</f>
        <v>7.8619999999999983</v>
      </c>
      <c r="D4" s="13">
        <f>B4/F4*100</f>
        <v>1.6964627629336562E-2</v>
      </c>
      <c r="E4" s="84"/>
      <c r="F4" s="3">
        <f>'EV %sales'!BB51</f>
        <v>46343.487000000001</v>
      </c>
      <c r="G4" s="3"/>
      <c r="H4" s="3"/>
      <c r="J4">
        <v>1</v>
      </c>
      <c r="K4">
        <v>1</v>
      </c>
      <c r="N4">
        <v>2010</v>
      </c>
      <c r="O4" s="13">
        <f>D4</f>
        <v>1.6964627629336562E-2</v>
      </c>
      <c r="S4">
        <f>J4</f>
        <v>1</v>
      </c>
      <c r="T4">
        <v>1</v>
      </c>
    </row>
    <row r="5" spans="1:20">
      <c r="A5">
        <v>2011</v>
      </c>
      <c r="B5">
        <f>'EV %sales'!Y9</f>
        <v>49.589500000000001</v>
      </c>
      <c r="D5" s="13">
        <f t="shared" ref="D5:D11" si="0">B5/F5*100</f>
        <v>0.10234351891729328</v>
      </c>
      <c r="E5" s="13">
        <f>65*EXP(H5)/(1+EXP(H5))</f>
        <v>0.11839474699267491</v>
      </c>
      <c r="F5" s="3">
        <f>'EV %sales'!BB52</f>
        <v>48453.972000000016</v>
      </c>
      <c r="G5" s="3"/>
      <c r="H5" s="166">
        <f>Q$16+Q$17*J5+Q$18*K5</f>
        <v>-6.3062950755108877</v>
      </c>
      <c r="J5">
        <v>2</v>
      </c>
      <c r="K5">
        <v>2</v>
      </c>
      <c r="N5">
        <v>2011</v>
      </c>
      <c r="O5" s="13">
        <f t="shared" ref="O5:O11" si="1">D5</f>
        <v>0.10234351891729328</v>
      </c>
      <c r="P5">
        <f>LN(O5/(65-O5))</f>
        <v>-6.4522318049899381</v>
      </c>
      <c r="Q5">
        <f t="shared" ref="Q5:Q12" si="2">Q$16+Q$17*S5+Q$18*T5+Q$19*U5</f>
        <v>-6.3062950755108877</v>
      </c>
      <c r="S5">
        <f t="shared" ref="S5:S11" si="3">J5</f>
        <v>2</v>
      </c>
      <c r="T5">
        <v>2</v>
      </c>
    </row>
    <row r="6" spans="1:20">
      <c r="A6">
        <v>2012</v>
      </c>
      <c r="B6">
        <f>'EV %sales'!Y10</f>
        <v>121.72914285714286</v>
      </c>
      <c r="D6" s="13">
        <f t="shared" si="0"/>
        <v>0.23522435592921317</v>
      </c>
      <c r="E6" s="13">
        <f t="shared" ref="E6:E44" si="4">65*EXP(H6)/(1+EXP(H6))</f>
        <v>0.20339482987838917</v>
      </c>
      <c r="F6" s="3">
        <f>'EV %sales'!BB53</f>
        <v>51750.228999999985</v>
      </c>
      <c r="G6" s="3"/>
      <c r="H6" s="166">
        <f t="shared" ref="H6:H44" si="5">Q$16+Q$17*J6+Q$18*K6</f>
        <v>-5.7638594268202787</v>
      </c>
      <c r="J6">
        <v>3</v>
      </c>
      <c r="K6">
        <v>3</v>
      </c>
      <c r="N6">
        <v>2012</v>
      </c>
      <c r="O6" s="13">
        <f t="shared" si="1"/>
        <v>0.23522435592921317</v>
      </c>
      <c r="P6">
        <f t="shared" ref="P6:P11" si="6">LN(O6/(65-O6))</f>
        <v>-5.6179773840205085</v>
      </c>
      <c r="Q6">
        <f t="shared" si="2"/>
        <v>-5.7638594268202787</v>
      </c>
      <c r="S6">
        <f t="shared" si="3"/>
        <v>3</v>
      </c>
      <c r="T6">
        <v>3</v>
      </c>
    </row>
    <row r="7" spans="1:20">
      <c r="A7">
        <v>2013</v>
      </c>
      <c r="B7">
        <f>'EV %sales'!Y11</f>
        <v>207.839</v>
      </c>
      <c r="D7" s="13">
        <f t="shared" si="0"/>
        <v>0.38403986642724675</v>
      </c>
      <c r="E7" s="13">
        <f t="shared" si="4"/>
        <v>0.34909135870790725</v>
      </c>
      <c r="F7" s="3">
        <f>'EV %sales'!BB54</f>
        <v>54119.120999999992</v>
      </c>
      <c r="G7" s="3"/>
      <c r="H7" s="166">
        <f t="shared" si="5"/>
        <v>-5.2214237781296706</v>
      </c>
      <c r="J7">
        <v>4</v>
      </c>
      <c r="K7">
        <v>4</v>
      </c>
      <c r="N7">
        <v>2013</v>
      </c>
      <c r="O7" s="13">
        <f t="shared" si="1"/>
        <v>0.38403986642724675</v>
      </c>
      <c r="P7">
        <f t="shared" si="6"/>
        <v>-5.1254703541275148</v>
      </c>
      <c r="Q7">
        <f t="shared" si="2"/>
        <v>-5.2214237781296706</v>
      </c>
      <c r="S7">
        <f t="shared" si="3"/>
        <v>4</v>
      </c>
      <c r="T7">
        <v>4</v>
      </c>
    </row>
    <row r="8" spans="1:20">
      <c r="A8">
        <v>2014</v>
      </c>
      <c r="B8">
        <f>'EV %sales'!Y12</f>
        <v>329.34099999999995</v>
      </c>
      <c r="D8" s="13">
        <f t="shared" si="0"/>
        <v>0.57247293705754376</v>
      </c>
      <c r="E8" s="13">
        <f t="shared" si="4"/>
        <v>0.59819027181098239</v>
      </c>
      <c r="F8" s="3">
        <f>'EV %sales'!BB55</f>
        <v>57529.531735208526</v>
      </c>
      <c r="G8" s="3"/>
      <c r="H8" s="166">
        <f t="shared" si="5"/>
        <v>-4.6789881294390607</v>
      </c>
      <c r="J8">
        <v>5</v>
      </c>
      <c r="K8">
        <v>5</v>
      </c>
      <c r="N8">
        <v>2014</v>
      </c>
      <c r="O8" s="13">
        <f t="shared" si="1"/>
        <v>0.57247293705754376</v>
      </c>
      <c r="P8">
        <f t="shared" si="6"/>
        <v>-4.7233307968361888</v>
      </c>
      <c r="Q8">
        <f t="shared" si="2"/>
        <v>-4.6789881294390607</v>
      </c>
      <c r="S8">
        <f t="shared" si="3"/>
        <v>5</v>
      </c>
      <c r="T8">
        <v>5</v>
      </c>
    </row>
    <row r="9" spans="1:20">
      <c r="A9">
        <v>2015</v>
      </c>
      <c r="B9">
        <f>'EV %sales'!Y13</f>
        <v>553.76499999999999</v>
      </c>
      <c r="D9" s="13">
        <f t="shared" si="0"/>
        <v>0.90247796151091464</v>
      </c>
      <c r="E9" s="13">
        <f t="shared" si="4"/>
        <v>1.0222266627320407</v>
      </c>
      <c r="F9" s="3">
        <f>'EV %sales'!BB56</f>
        <v>61360.501155385027</v>
      </c>
      <c r="G9" s="3"/>
      <c r="H9" s="166">
        <f t="shared" si="5"/>
        <v>-4.1365524807484517</v>
      </c>
      <c r="J9">
        <v>6</v>
      </c>
      <c r="K9">
        <v>6</v>
      </c>
      <c r="N9">
        <v>2015</v>
      </c>
      <c r="O9" s="13">
        <f t="shared" si="1"/>
        <v>0.90247796151091464</v>
      </c>
      <c r="P9">
        <f t="shared" si="6"/>
        <v>-4.2630167138852615</v>
      </c>
      <c r="Q9">
        <f t="shared" si="2"/>
        <v>-4.1365524807484517</v>
      </c>
      <c r="S9">
        <f t="shared" si="3"/>
        <v>6</v>
      </c>
      <c r="T9">
        <v>6</v>
      </c>
    </row>
    <row r="10" spans="1:20">
      <c r="A10">
        <v>2016</v>
      </c>
      <c r="B10">
        <f>'EV %sales'!Y14</f>
        <v>752.62650000000008</v>
      </c>
      <c r="D10" s="13">
        <f t="shared" si="0"/>
        <v>1.1362386310898671</v>
      </c>
      <c r="E10" s="13">
        <f t="shared" si="4"/>
        <v>1.3011396948522056</v>
      </c>
      <c r="F10" s="3">
        <f>'EV %sales'!BB57</f>
        <v>66238.418533445685</v>
      </c>
      <c r="G10" s="3"/>
      <c r="H10" s="166">
        <f t="shared" si="5"/>
        <v>-3.8909261020705586</v>
      </c>
      <c r="J10">
        <v>7</v>
      </c>
      <c r="K10">
        <v>6</v>
      </c>
      <c r="N10">
        <v>2016</v>
      </c>
      <c r="O10" s="13">
        <f t="shared" si="1"/>
        <v>1.1362386310898671</v>
      </c>
      <c r="P10">
        <f t="shared" si="6"/>
        <v>-4.0290287249675529</v>
      </c>
      <c r="Q10">
        <f t="shared" si="2"/>
        <v>-3.8909261020705586</v>
      </c>
      <c r="S10">
        <f t="shared" si="3"/>
        <v>7</v>
      </c>
      <c r="T10">
        <v>6</v>
      </c>
    </row>
    <row r="11" spans="1:20">
      <c r="A11">
        <v>2017</v>
      </c>
      <c r="B11">
        <f>'EV %sales'!Y15</f>
        <v>1161.08</v>
      </c>
      <c r="C11">
        <v>1100</v>
      </c>
      <c r="D11" s="13">
        <f t="shared" si="0"/>
        <v>1.6633518305579627</v>
      </c>
      <c r="E11" s="13">
        <f t="shared" si="4"/>
        <v>1.6541860949663403</v>
      </c>
      <c r="F11" s="3">
        <f>'EV %sales'!BB58</f>
        <v>69803.632561039209</v>
      </c>
      <c r="G11" s="3"/>
      <c r="H11" s="166">
        <f t="shared" si="5"/>
        <v>-3.6452997233926654</v>
      </c>
      <c r="J11">
        <v>8</v>
      </c>
      <c r="K11">
        <v>6</v>
      </c>
      <c r="N11">
        <v>2017</v>
      </c>
      <c r="O11" s="13">
        <f t="shared" si="1"/>
        <v>1.6633518305579627</v>
      </c>
      <c r="P11">
        <f t="shared" si="6"/>
        <v>-3.6396293800308035</v>
      </c>
      <c r="Q11">
        <f t="shared" si="2"/>
        <v>-3.6452997233926654</v>
      </c>
      <c r="S11">
        <f t="shared" si="3"/>
        <v>8</v>
      </c>
      <c r="T11">
        <v>6</v>
      </c>
    </row>
    <row r="12" spans="1:20">
      <c r="A12">
        <v>2018</v>
      </c>
      <c r="E12" s="13">
        <f t="shared" si="4"/>
        <v>2.0998688777309225</v>
      </c>
      <c r="F12" s="3">
        <f t="shared" ref="F12:F33" si="7">F11*F$51</f>
        <v>71171.958474376559</v>
      </c>
      <c r="G12" s="3"/>
      <c r="H12" s="166">
        <f t="shared" si="5"/>
        <v>-3.3996733447147731</v>
      </c>
      <c r="J12">
        <v>9</v>
      </c>
      <c r="K12">
        <v>6</v>
      </c>
      <c r="N12">
        <v>2030</v>
      </c>
      <c r="O12" s="3">
        <f>D24</f>
        <v>33.391937820066367</v>
      </c>
      <c r="P12">
        <f>LN(O12/(65-O12))</f>
        <v>5.4902267883891867E-2</v>
      </c>
      <c r="Q12">
        <f t="shared" si="2"/>
        <v>-0.45215680058005714</v>
      </c>
      <c r="S12">
        <f>J24</f>
        <v>21</v>
      </c>
      <c r="T12">
        <v>6</v>
      </c>
    </row>
    <row r="13" spans="1:20">
      <c r="A13">
        <v>2019</v>
      </c>
      <c r="E13" s="13">
        <f t="shared" si="4"/>
        <v>2.6605872985799923</v>
      </c>
      <c r="F13" s="3">
        <f t="shared" si="7"/>
        <v>72567.10700046939</v>
      </c>
      <c r="G13" s="3"/>
      <c r="H13" s="166">
        <f t="shared" si="5"/>
        <v>-3.15404696603688</v>
      </c>
      <c r="J13">
        <v>10</v>
      </c>
      <c r="K13">
        <v>6</v>
      </c>
      <c r="N13">
        <v>2040</v>
      </c>
      <c r="O13" s="13">
        <f>D34</f>
        <v>55</v>
      </c>
      <c r="P13">
        <f>LN(O13/(65-O13))</f>
        <v>1.7047480922384253</v>
      </c>
      <c r="Q13">
        <f>Q$16+Q$17*S13+Q$18*T13+Q$19*U13</f>
        <v>2.004106986198873</v>
      </c>
      <c r="S13">
        <f>J34</f>
        <v>31</v>
      </c>
      <c r="T13">
        <v>6</v>
      </c>
    </row>
    <row r="14" spans="1:20">
      <c r="A14">
        <v>2020</v>
      </c>
      <c r="E14" s="13">
        <f t="shared" si="4"/>
        <v>3.363026530871728</v>
      </c>
      <c r="F14" s="3">
        <f t="shared" si="7"/>
        <v>73989.603929663412</v>
      </c>
      <c r="G14" s="3"/>
      <c r="H14" s="166">
        <f t="shared" si="5"/>
        <v>-2.9084205873589868</v>
      </c>
      <c r="J14">
        <v>11</v>
      </c>
      <c r="K14">
        <v>6</v>
      </c>
    </row>
    <row r="15" spans="1:20">
      <c r="A15">
        <v>2021</v>
      </c>
      <c r="E15" s="13">
        <f t="shared" si="4"/>
        <v>4.23831268671566</v>
      </c>
      <c r="F15" s="3">
        <f t="shared" si="7"/>
        <v>75439.985359111161</v>
      </c>
      <c r="G15" s="3"/>
      <c r="H15" s="166">
        <f t="shared" si="5"/>
        <v>-2.6627942086810936</v>
      </c>
      <c r="J15">
        <v>12</v>
      </c>
      <c r="K15">
        <v>6</v>
      </c>
    </row>
    <row r="16" spans="1:20">
      <c r="A16">
        <v>2022</v>
      </c>
      <c r="E16" s="13">
        <f t="shared" si="4"/>
        <v>5.3217383017299937</v>
      </c>
      <c r="F16" s="3">
        <f t="shared" si="7"/>
        <v>76918.79789481117</v>
      </c>
      <c r="G16" s="3"/>
      <c r="H16" s="166">
        <f t="shared" si="5"/>
        <v>-2.4171678300032005</v>
      </c>
      <c r="J16">
        <v>13</v>
      </c>
      <c r="K16">
        <v>6</v>
      </c>
      <c r="P16" s="41" t="s">
        <v>159</v>
      </c>
      <c r="Q16" s="41">
        <v>-7.3911663728921058</v>
      </c>
    </row>
    <row r="17" spans="1:17">
      <c r="A17">
        <v>2023</v>
      </c>
      <c r="E17" s="13">
        <f t="shared" si="4"/>
        <v>6.6517973958262981</v>
      </c>
      <c r="F17" s="3">
        <f t="shared" si="7"/>
        <v>78426.598857607678</v>
      </c>
      <c r="G17" s="3"/>
      <c r="H17" s="166">
        <f t="shared" si="5"/>
        <v>-2.1715414513253082</v>
      </c>
      <c r="J17">
        <v>14</v>
      </c>
      <c r="K17">
        <v>6</v>
      </c>
      <c r="P17" t="s">
        <v>1062</v>
      </c>
      <c r="Q17" s="41">
        <v>0.245626378677893</v>
      </c>
    </row>
    <row r="18" spans="1:17" ht="15.75" thickBot="1">
      <c r="A18">
        <v>2024</v>
      </c>
      <c r="E18" s="13">
        <f t="shared" si="4"/>
        <v>8.268221622396533</v>
      </c>
      <c r="F18" s="3">
        <f t="shared" si="7"/>
        <v>79963.956493228412</v>
      </c>
      <c r="G18" s="3"/>
      <c r="H18" s="166">
        <f t="shared" si="5"/>
        <v>-1.9259150726474152</v>
      </c>
      <c r="J18">
        <v>15</v>
      </c>
      <c r="K18">
        <v>6</v>
      </c>
      <c r="P18" t="s">
        <v>1063</v>
      </c>
      <c r="Q18" s="42">
        <v>0.29680927001271595</v>
      </c>
    </row>
    <row r="19" spans="1:17" ht="15.75" thickBot="1">
      <c r="A19">
        <v>2025</v>
      </c>
      <c r="C19" s="3"/>
      <c r="E19" s="13">
        <f t="shared" si="4"/>
        <v>10.208720913931371</v>
      </c>
      <c r="F19" s="3">
        <f t="shared" si="7"/>
        <v>81531.450186439659</v>
      </c>
      <c r="G19" s="3"/>
      <c r="H19" s="166">
        <f t="shared" si="5"/>
        <v>-1.6802886939695221</v>
      </c>
      <c r="J19">
        <v>16</v>
      </c>
      <c r="K19">
        <v>6</v>
      </c>
      <c r="Q19" s="42"/>
    </row>
    <row r="20" spans="1:17">
      <c r="A20">
        <v>2026</v>
      </c>
      <c r="E20" s="13">
        <f t="shared" si="4"/>
        <v>12.504263250870965</v>
      </c>
      <c r="F20" s="3">
        <f t="shared" si="7"/>
        <v>83129.670679399307</v>
      </c>
      <c r="G20" s="3"/>
      <c r="H20" s="166">
        <f t="shared" si="5"/>
        <v>-1.4346623152916289</v>
      </c>
      <c r="J20">
        <v>17</v>
      </c>
      <c r="K20">
        <v>6</v>
      </c>
    </row>
    <row r="21" spans="1:17">
      <c r="A21">
        <v>2027</v>
      </c>
      <c r="E21" s="13">
        <f t="shared" si="4"/>
        <v>15.173041135108541</v>
      </c>
      <c r="F21" s="3">
        <f t="shared" si="7"/>
        <v>84759.220294290135</v>
      </c>
      <c r="G21" s="3"/>
      <c r="H21" s="166">
        <f t="shared" si="5"/>
        <v>-1.1890359366137357</v>
      </c>
      <c r="J21">
        <v>18</v>
      </c>
      <c r="K21">
        <v>6</v>
      </c>
    </row>
    <row r="22" spans="1:17">
      <c r="A22">
        <v>2028</v>
      </c>
      <c r="E22" s="13">
        <f t="shared" si="4"/>
        <v>18.213789265329375</v>
      </c>
      <c r="F22" s="3">
        <f t="shared" si="7"/>
        <v>86420.713160317275</v>
      </c>
      <c r="G22" s="3"/>
      <c r="H22" s="166">
        <f t="shared" si="5"/>
        <v>-0.94340955793584347</v>
      </c>
      <c r="J22">
        <v>19</v>
      </c>
      <c r="K22">
        <v>6</v>
      </c>
    </row>
    <row r="23" spans="1:17">
      <c r="A23">
        <v>2029</v>
      </c>
      <c r="E23" s="13">
        <f t="shared" si="4"/>
        <v>21.599754061996634</v>
      </c>
      <c r="F23" s="3">
        <f t="shared" si="7"/>
        <v>88114.775445155406</v>
      </c>
      <c r="G23" s="3"/>
      <c r="H23" s="166">
        <f t="shared" si="5"/>
        <v>-0.6977831792579503</v>
      </c>
      <c r="J23">
        <v>20</v>
      </c>
      <c r="K23">
        <v>6</v>
      </c>
    </row>
    <row r="24" spans="1:17">
      <c r="A24">
        <v>2030</v>
      </c>
      <c r="C24">
        <v>30000</v>
      </c>
      <c r="D24" s="217">
        <f>C24/F24*100</f>
        <v>33.391937820066367</v>
      </c>
      <c r="E24" s="13">
        <f t="shared" si="4"/>
        <v>25.275125845132223</v>
      </c>
      <c r="F24" s="3">
        <f t="shared" si="7"/>
        <v>89842.045590932932</v>
      </c>
      <c r="G24" s="3"/>
      <c r="H24" s="166">
        <f t="shared" si="5"/>
        <v>-0.45215680058005714</v>
      </c>
      <c r="J24">
        <v>21</v>
      </c>
      <c r="K24">
        <v>6</v>
      </c>
    </row>
    <row r="25" spans="1:17">
      <c r="A25">
        <v>2031</v>
      </c>
      <c r="E25" s="13">
        <f t="shared" si="4"/>
        <v>29.155759531720811</v>
      </c>
      <c r="F25" s="3">
        <f t="shared" si="7"/>
        <v>91603.174554841957</v>
      </c>
      <c r="G25" s="3"/>
      <c r="H25" s="166">
        <f t="shared" si="5"/>
        <v>-0.20653042190216397</v>
      </c>
      <c r="J25">
        <v>22</v>
      </c>
      <c r="K25">
        <v>6</v>
      </c>
    </row>
    <row r="26" spans="1:17">
      <c r="A26">
        <v>2032</v>
      </c>
      <c r="E26" s="13">
        <f t="shared" si="4"/>
        <v>33.135228387777133</v>
      </c>
      <c r="F26" s="3">
        <f t="shared" si="7"/>
        <v>93398.826054464836</v>
      </c>
      <c r="G26" s="3"/>
      <c r="H26" s="166">
        <f t="shared" si="5"/>
        <v>3.909595677572919E-2</v>
      </c>
      <c r="J26">
        <v>23</v>
      </c>
      <c r="K26">
        <v>6</v>
      </c>
    </row>
    <row r="27" spans="1:17">
      <c r="A27">
        <v>2033</v>
      </c>
      <c r="E27" s="13">
        <f t="shared" si="4"/>
        <v>37.09573303397314</v>
      </c>
      <c r="F27" s="3">
        <f t="shared" si="7"/>
        <v>95229.676817909814</v>
      </c>
      <c r="G27" s="3"/>
      <c r="H27" s="166">
        <f t="shared" si="5"/>
        <v>0.28472233545362235</v>
      </c>
      <c r="J27">
        <v>24</v>
      </c>
      <c r="K27">
        <v>6</v>
      </c>
    </row>
    <row r="28" spans="1:17">
      <c r="A28">
        <v>2034</v>
      </c>
      <c r="E28" s="13">
        <f t="shared" si="4"/>
        <v>40.9216886214029</v>
      </c>
      <c r="F28" s="3">
        <f t="shared" si="7"/>
        <v>97096.41683884988</v>
      </c>
      <c r="G28" s="3"/>
      <c r="H28" s="166">
        <f t="shared" si="5"/>
        <v>0.53034871413151463</v>
      </c>
      <c r="J28">
        <v>25</v>
      </c>
      <c r="K28">
        <v>6</v>
      </c>
    </row>
    <row r="29" spans="1:17">
      <c r="A29">
        <v>2035</v>
      </c>
      <c r="E29" s="13">
        <f t="shared" si="4"/>
        <v>44.512780434420719</v>
      </c>
      <c r="F29" s="3">
        <f t="shared" si="7"/>
        <v>98999.749636561013</v>
      </c>
      <c r="G29" s="3"/>
      <c r="H29" s="166">
        <f t="shared" si="5"/>
        <v>0.7759750928094078</v>
      </c>
      <c r="J29">
        <v>26</v>
      </c>
      <c r="K29">
        <v>6</v>
      </c>
    </row>
    <row r="30" spans="1:17">
      <c r="A30">
        <v>2036</v>
      </c>
      <c r="E30" s="13">
        <f t="shared" si="4"/>
        <v>47.793487903824008</v>
      </c>
      <c r="F30" s="3">
        <f t="shared" si="7"/>
        <v>100940.3925210579</v>
      </c>
      <c r="G30" s="3"/>
      <c r="H30" s="166">
        <f t="shared" si="5"/>
        <v>1.021601471487301</v>
      </c>
      <c r="J30">
        <v>27</v>
      </c>
      <c r="K30">
        <v>6</v>
      </c>
    </row>
    <row r="31" spans="1:17">
      <c r="A31">
        <v>2037</v>
      </c>
      <c r="E31" s="13">
        <f t="shared" si="4"/>
        <v>50.717409097575548</v>
      </c>
      <c r="F31" s="3">
        <f t="shared" si="7"/>
        <v>102919.0768634269</v>
      </c>
      <c r="G31" s="3"/>
      <c r="H31" s="166">
        <f t="shared" si="5"/>
        <v>1.2672278501651941</v>
      </c>
      <c r="J31">
        <v>28</v>
      </c>
      <c r="K31">
        <v>6</v>
      </c>
    </row>
    <row r="32" spans="1:17">
      <c r="A32">
        <v>2038</v>
      </c>
      <c r="E32" s="13">
        <f t="shared" si="4"/>
        <v>53.266448186970486</v>
      </c>
      <c r="F32" s="3">
        <f t="shared" si="7"/>
        <v>104936.54837145824</v>
      </c>
      <c r="G32" s="3"/>
      <c r="H32" s="166">
        <f t="shared" si="5"/>
        <v>1.5128542288430873</v>
      </c>
      <c r="J32">
        <v>29</v>
      </c>
      <c r="K32">
        <v>6</v>
      </c>
    </row>
    <row r="33" spans="1:11">
      <c r="A33">
        <v>2039</v>
      </c>
      <c r="E33" s="13">
        <f t="shared" si="4"/>
        <v>55.446252217329544</v>
      </c>
      <c r="F33" s="3">
        <f t="shared" si="7"/>
        <v>106993.56737068131</v>
      </c>
      <c r="G33" s="3"/>
      <c r="H33" s="166">
        <f t="shared" si="5"/>
        <v>1.7584806075209796</v>
      </c>
      <c r="J33">
        <v>30</v>
      </c>
      <c r="K33">
        <v>6</v>
      </c>
    </row>
    <row r="34" spans="1:11">
      <c r="A34">
        <v>2040</v>
      </c>
      <c r="C34">
        <v>60000</v>
      </c>
      <c r="D34" s="135">
        <v>55</v>
      </c>
      <c r="E34" s="13">
        <f t="shared" si="4"/>
        <v>57.279794731623511</v>
      </c>
      <c r="F34">
        <f>C34/(D34/100)</f>
        <v>109090.90909090909</v>
      </c>
      <c r="H34" s="166">
        <f t="shared" si="5"/>
        <v>2.004106986198873</v>
      </c>
      <c r="J34">
        <v>31</v>
      </c>
      <c r="K34">
        <v>6</v>
      </c>
    </row>
    <row r="35" spans="1:11">
      <c r="A35">
        <v>2041</v>
      </c>
      <c r="E35" s="13">
        <f t="shared" si="4"/>
        <v>58.800789659404948</v>
      </c>
      <c r="F35" s="3">
        <f>F34*F$51</f>
        <v>111229.36395839883</v>
      </c>
      <c r="H35" s="166">
        <f t="shared" si="5"/>
        <v>2.2497333648767661</v>
      </c>
      <c r="J35">
        <v>32</v>
      </c>
      <c r="K35">
        <v>6</v>
      </c>
    </row>
    <row r="36" spans="1:11">
      <c r="A36">
        <v>2042</v>
      </c>
      <c r="E36" s="13">
        <f t="shared" si="4"/>
        <v>60.048032190220887</v>
      </c>
      <c r="F36" s="3">
        <f t="shared" ref="F36:F44" si="8">F35*F$51</f>
        <v>113409.73789374123</v>
      </c>
      <c r="H36" s="166">
        <f t="shared" si="5"/>
        <v>2.4953597435546584</v>
      </c>
      <c r="J36">
        <v>33</v>
      </c>
      <c r="K36">
        <v>6</v>
      </c>
    </row>
    <row r="37" spans="1:11">
      <c r="A37">
        <v>2043</v>
      </c>
      <c r="E37" s="13">
        <f t="shared" si="4"/>
        <v>61.061146683547925</v>
      </c>
      <c r="F37" s="3">
        <f t="shared" si="8"/>
        <v>115632.85261558762</v>
      </c>
      <c r="H37" s="166">
        <f t="shared" si="5"/>
        <v>2.7409861222325524</v>
      </c>
      <c r="J37">
        <v>34</v>
      </c>
      <c r="K37">
        <v>6</v>
      </c>
    </row>
    <row r="38" spans="1:11">
      <c r="A38">
        <v>2044</v>
      </c>
      <c r="E38" s="13">
        <f t="shared" si="4"/>
        <v>61.877767037998424</v>
      </c>
      <c r="F38" s="3">
        <f t="shared" si="8"/>
        <v>117899.54595033161</v>
      </c>
      <c r="H38" s="166">
        <f t="shared" si="5"/>
        <v>2.9866125009104447</v>
      </c>
      <c r="J38">
        <v>35</v>
      </c>
      <c r="K38">
        <v>6</v>
      </c>
    </row>
    <row r="39" spans="1:11">
      <c r="A39">
        <v>2045</v>
      </c>
      <c r="E39" s="13">
        <f t="shared" si="4"/>
        <v>62.531925350978604</v>
      </c>
      <c r="F39" s="3">
        <f t="shared" si="8"/>
        <v>120210.67214786119</v>
      </c>
      <c r="H39" s="166">
        <f t="shared" si="5"/>
        <v>3.2322388795883388</v>
      </c>
      <c r="J39">
        <v>36</v>
      </c>
      <c r="K39">
        <v>6</v>
      </c>
    </row>
    <row r="40" spans="1:11">
      <c r="A40">
        <v>2046</v>
      </c>
      <c r="E40" s="13">
        <f t="shared" si="4"/>
        <v>63.053338691246402</v>
      </c>
      <c r="F40" s="3">
        <f t="shared" si="8"/>
        <v>122567.10220350025</v>
      </c>
      <c r="H40" s="166">
        <f t="shared" si="5"/>
        <v>3.4778652582662311</v>
      </c>
      <c r="J40">
        <v>37</v>
      </c>
      <c r="K40">
        <v>6</v>
      </c>
    </row>
    <row r="41" spans="1:11">
      <c r="A41">
        <v>2047</v>
      </c>
      <c r="E41" s="13">
        <f t="shared" si="4"/>
        <v>63.467296573378974</v>
      </c>
      <c r="F41" s="3">
        <f t="shared" si="8"/>
        <v>124969.72418626114</v>
      </c>
      <c r="H41" s="166">
        <f t="shared" si="5"/>
        <v>3.7234916369441233</v>
      </c>
      <c r="J41">
        <v>38</v>
      </c>
      <c r="K41">
        <v>6</v>
      </c>
    </row>
    <row r="42" spans="1:11">
      <c r="A42">
        <v>2048</v>
      </c>
      <c r="E42" s="13">
        <f t="shared" si="4"/>
        <v>63.794908653994881</v>
      </c>
      <c r="F42" s="3">
        <f t="shared" si="8"/>
        <v>127419.44357353161</v>
      </c>
      <c r="H42" s="166">
        <f t="shared" si="5"/>
        <v>3.9691180156220174</v>
      </c>
      <c r="J42">
        <v>39</v>
      </c>
      <c r="K42">
        <v>6</v>
      </c>
    </row>
    <row r="43" spans="1:11">
      <c r="A43">
        <v>2049</v>
      </c>
      <c r="E43" s="13">
        <f t="shared" si="4"/>
        <v>64.053538627074005</v>
      </c>
      <c r="F43" s="3">
        <f t="shared" si="8"/>
        <v>129917.18359232259</v>
      </c>
      <c r="H43" s="166">
        <f t="shared" si="5"/>
        <v>4.2147443942999097</v>
      </c>
      <c r="J43">
        <v>40</v>
      </c>
      <c r="K43">
        <v>6</v>
      </c>
    </row>
    <row r="44" spans="1:11">
      <c r="A44">
        <v>2050</v>
      </c>
      <c r="C44" s="3">
        <f>F44*E44/100</f>
        <v>85117.728354318911</v>
      </c>
      <c r="E44" s="13">
        <f t="shared" si="4"/>
        <v>64.257309069447942</v>
      </c>
      <c r="F44" s="3">
        <f t="shared" si="8"/>
        <v>132463.88556720523</v>
      </c>
      <c r="H44" s="166">
        <f t="shared" si="5"/>
        <v>4.4603707729778037</v>
      </c>
      <c r="J44">
        <v>41</v>
      </c>
      <c r="K44">
        <v>6</v>
      </c>
    </row>
    <row r="51" spans="6:6">
      <c r="F51">
        <f>(F34/F11)^(1/23)</f>
        <v>1.0196025029519893</v>
      </c>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140625" customWidth="1"/>
    <col min="2" max="7" width="14.28515625" customWidth="1"/>
  </cols>
  <sheetData>
    <row r="1" spans="1:7">
      <c r="A1" t="s">
        <v>148</v>
      </c>
    </row>
    <row r="2" spans="1:7" ht="15.75" thickBot="1"/>
    <row r="3" spans="1:7">
      <c r="A3" s="44" t="s">
        <v>149</v>
      </c>
      <c r="B3" s="44"/>
    </row>
    <row r="4" spans="1:7">
      <c r="A4" s="41" t="s">
        <v>150</v>
      </c>
      <c r="B4" s="41">
        <v>0.99916505365939945</v>
      </c>
    </row>
    <row r="5" spans="1:7">
      <c r="A5" s="41" t="s">
        <v>151</v>
      </c>
      <c r="B5" s="41">
        <v>0.99833080445419065</v>
      </c>
    </row>
    <row r="6" spans="1:7">
      <c r="A6" s="41" t="s">
        <v>152</v>
      </c>
      <c r="B6" s="41">
        <v>0.99721800742365119</v>
      </c>
    </row>
    <row r="7" spans="1:7">
      <c r="A7" s="41" t="s">
        <v>153</v>
      </c>
      <c r="B7" s="41">
        <v>5.7509660569035573E-2</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2</v>
      </c>
      <c r="C12" s="41">
        <v>5.9343084781905908</v>
      </c>
      <c r="D12" s="41">
        <v>2.9671542390952954</v>
      </c>
      <c r="E12" s="41">
        <v>897.13647417819107</v>
      </c>
      <c r="F12" s="41">
        <v>6.819630206108072E-5</v>
      </c>
    </row>
    <row r="13" spans="1:7">
      <c r="A13" s="41" t="s">
        <v>157</v>
      </c>
      <c r="B13" s="41">
        <v>3</v>
      </c>
      <c r="C13" s="41">
        <v>9.9220831762970533E-3</v>
      </c>
      <c r="D13" s="41">
        <v>3.3073610587656846E-3</v>
      </c>
      <c r="E13" s="41"/>
      <c r="F13" s="41"/>
    </row>
    <row r="14" spans="1:7" ht="15.75" thickBot="1">
      <c r="A14" s="42" t="s">
        <v>158</v>
      </c>
      <c r="B14" s="42">
        <v>5</v>
      </c>
      <c r="C14" s="42">
        <v>5.9442305613668882</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-5.8406129903061537</v>
      </c>
      <c r="C17" s="41">
        <v>0.16196723921755007</v>
      </c>
      <c r="D17" s="41">
        <v>-36.060459007152666</v>
      </c>
      <c r="E17" s="41">
        <v>4.6900337563134714E-5</v>
      </c>
      <c r="F17" s="41">
        <v>-6.356065032331049</v>
      </c>
      <c r="G17" s="41">
        <v>-5.3251609482812583</v>
      </c>
    </row>
    <row r="18" spans="1:7">
      <c r="A18" s="41" t="s">
        <v>329</v>
      </c>
      <c r="B18" s="41">
        <v>0.42830357183318468</v>
      </c>
      <c r="C18" s="41">
        <v>2.4522201661372769E-2</v>
      </c>
      <c r="D18" s="41">
        <v>17.465950967520424</v>
      </c>
      <c r="E18" s="41">
        <v>4.0906521093639646E-4</v>
      </c>
      <c r="F18" s="41">
        <v>0.35026298175852688</v>
      </c>
      <c r="G18" s="41">
        <v>0.50634416190784248</v>
      </c>
    </row>
    <row r="19" spans="1:7" ht="15.75" thickBot="1">
      <c r="A19" s="42" t="s">
        <v>1096</v>
      </c>
      <c r="B19" s="42">
        <v>-0.63707395310658621</v>
      </c>
      <c r="C19" s="42">
        <v>8.8840115730246333E-2</v>
      </c>
      <c r="D19" s="42">
        <v>-7.1710166952167675</v>
      </c>
      <c r="E19" s="42">
        <v>5.5863842123828212E-3</v>
      </c>
      <c r="F19" s="42">
        <v>-0.91980285117328575</v>
      </c>
      <c r="G19" s="42">
        <v>-0.35434505503988667</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12" width="12.5703125" customWidth="1"/>
  </cols>
  <sheetData>
    <row r="1" spans="1:35">
      <c r="P1" s="14"/>
      <c r="R1" s="236" t="s">
        <v>1318</v>
      </c>
      <c r="S1" s="236"/>
      <c r="T1" s="236"/>
      <c r="U1" s="236"/>
      <c r="W1" s="236" t="s">
        <v>1318</v>
      </c>
      <c r="X1" s="236"/>
      <c r="Y1" s="236"/>
      <c r="Z1" s="236"/>
    </row>
    <row r="2" spans="1:35">
      <c r="B2" t="s">
        <v>685</v>
      </c>
      <c r="C2" t="s">
        <v>282</v>
      </c>
      <c r="L2" t="s">
        <v>282</v>
      </c>
      <c r="S2" t="s">
        <v>1172</v>
      </c>
      <c r="X2" t="s">
        <v>1184</v>
      </c>
      <c r="AB2" t="s">
        <v>960</v>
      </c>
    </row>
    <row r="3" spans="1:35">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1316</v>
      </c>
      <c r="AE3" t="s">
        <v>1296</v>
      </c>
      <c r="AF3" t="s">
        <v>943</v>
      </c>
      <c r="AH3" t="s">
        <v>329</v>
      </c>
      <c r="AI3" t="s">
        <v>1096</v>
      </c>
    </row>
    <row r="4" spans="1:35">
      <c r="A4">
        <v>2009</v>
      </c>
      <c r="B4" s="13">
        <f>'EV %sales'!T67</f>
        <v>0</v>
      </c>
      <c r="C4" s="20"/>
      <c r="D4" s="13"/>
      <c r="E4" s="13"/>
      <c r="F4" s="84"/>
      <c r="G4" s="84"/>
      <c r="H4" s="84"/>
      <c r="I4" s="13"/>
      <c r="J4" s="13"/>
      <c r="K4" s="13"/>
      <c r="L4" s="13"/>
      <c r="M4" s="13"/>
      <c r="N4" s="13"/>
      <c r="O4" s="13"/>
      <c r="P4" s="13"/>
      <c r="R4">
        <v>2009</v>
      </c>
      <c r="W4">
        <v>2009</v>
      </c>
      <c r="AB4" s="13"/>
      <c r="AC4" s="13"/>
    </row>
    <row r="5" spans="1:35">
      <c r="A5">
        <v>2010</v>
      </c>
      <c r="B5" s="13">
        <f>'EV %sales'!T68</f>
        <v>2.0776126845179765E-2</v>
      </c>
      <c r="C5" s="20"/>
      <c r="D5" s="13"/>
      <c r="E5" s="13"/>
      <c r="F5" s="230"/>
      <c r="G5" s="230"/>
      <c r="H5" s="230"/>
      <c r="I5" s="13"/>
      <c r="J5" s="13"/>
      <c r="K5" s="13"/>
      <c r="L5" s="13"/>
      <c r="M5" s="13"/>
      <c r="N5" s="13"/>
      <c r="O5" s="13"/>
      <c r="P5" s="13"/>
      <c r="R5">
        <v>2010</v>
      </c>
      <c r="W5">
        <v>2010</v>
      </c>
      <c r="AB5" s="13">
        <f>65*EXP(AF5)/(1+EXP(AF5))</f>
        <v>0.15299460200173831</v>
      </c>
      <c r="AC5" s="13"/>
      <c r="AD5" s="155"/>
      <c r="AE5" s="33">
        <f t="shared" ref="AE5:AE50" si="0">AE$56+AE$57*AH5+AE$58*AI5</f>
        <v>-6.0493833715795553</v>
      </c>
      <c r="AF5" s="33">
        <f>AE5</f>
        <v>-6.0493833715795553</v>
      </c>
      <c r="AH5">
        <v>1</v>
      </c>
      <c r="AI5">
        <v>1</v>
      </c>
    </row>
    <row r="6" spans="1:35">
      <c r="A6">
        <v>2011</v>
      </c>
      <c r="B6" s="13">
        <f>'EV %sales'!T69</f>
        <v>6.0003344448706981E-2</v>
      </c>
      <c r="C6" s="20"/>
      <c r="D6" s="13"/>
      <c r="E6" s="13"/>
      <c r="F6" s="230"/>
      <c r="G6" s="230"/>
      <c r="H6" s="230"/>
      <c r="I6" s="13"/>
      <c r="J6" s="13"/>
      <c r="K6" s="13"/>
      <c r="L6" s="13"/>
      <c r="M6" s="13"/>
      <c r="N6" s="13"/>
      <c r="O6" s="13"/>
      <c r="P6" s="13"/>
      <c r="R6">
        <v>2011</v>
      </c>
      <c r="W6">
        <v>2011</v>
      </c>
      <c r="AB6" s="13">
        <f>65*EXP(AF6)/(1+EXP(AF6))</f>
        <v>0.23449835169858751</v>
      </c>
      <c r="AC6" s="13"/>
      <c r="AD6" s="33"/>
      <c r="AE6" s="33">
        <f t="shared" si="0"/>
        <v>-5.6210797997463704</v>
      </c>
      <c r="AF6" s="33">
        <f t="shared" ref="AF6:AF35" si="1">AE6</f>
        <v>-5.6210797997463704</v>
      </c>
      <c r="AH6">
        <v>2</v>
      </c>
      <c r="AI6">
        <v>1</v>
      </c>
    </row>
    <row r="7" spans="1:35">
      <c r="A7">
        <v>2012</v>
      </c>
      <c r="B7" s="13">
        <f>'EV %sales'!T70</f>
        <v>0.34191393201021814</v>
      </c>
      <c r="C7" s="13">
        <f t="shared" ref="C7:C12" si="2">AB7</f>
        <v>0.35918053409809425</v>
      </c>
      <c r="D7" s="84">
        <f>65*EXP(E7)/(1+EXP(E7))</f>
        <v>0.54959336127147995</v>
      </c>
      <c r="E7" s="84">
        <f>J7-SUM(F7:F$7)</f>
        <v>-4.7644726560800015</v>
      </c>
      <c r="F7" s="13">
        <f>I7*G7</f>
        <v>0</v>
      </c>
      <c r="G7" s="13">
        <f>IF(H7&lt;0,0,H7)</f>
        <v>1</v>
      </c>
      <c r="H7" s="13">
        <v>1</v>
      </c>
      <c r="I7" s="13">
        <v>0</v>
      </c>
      <c r="J7" s="13">
        <f>LN(L7/(65-L7))</f>
        <v>-4.7644726560800015</v>
      </c>
      <c r="K7" s="13"/>
      <c r="L7" s="84">
        <f t="shared" ref="L7:L12" si="3">M7</f>
        <v>0.54959336127147995</v>
      </c>
      <c r="M7" s="13">
        <f t="shared" ref="M7:M50" si="4">LOOKUP(ROUND(N7,0),A$4:A$50,AB$4:AB$50)</f>
        <v>0.54959336127147995</v>
      </c>
      <c r="N7" s="13">
        <f t="shared" ref="N7:N50" si="5">A7-(O7-O$11)</f>
        <v>2012.6846544274629</v>
      </c>
      <c r="O7" s="13">
        <f t="shared" ref="O7:O50" si="6">AA$56+AA$57*P7</f>
        <v>2014.6460153515591</v>
      </c>
      <c r="P7" s="13">
        <f>1/Sweden!S85</f>
        <v>0.79288269426540559</v>
      </c>
      <c r="R7">
        <v>2012</v>
      </c>
      <c r="S7" s="13">
        <v>0.35918053409809425</v>
      </c>
      <c r="T7" s="13">
        <v>0.35918053409809425</v>
      </c>
      <c r="U7" s="13">
        <v>0.35918053409809425</v>
      </c>
      <c r="W7">
        <v>2012</v>
      </c>
      <c r="X7" s="13">
        <v>0.35918053409809425</v>
      </c>
      <c r="Y7" s="13">
        <f>T7</f>
        <v>0.35918053409809425</v>
      </c>
      <c r="Z7" s="13">
        <v>0.35918053409809425</v>
      </c>
      <c r="AB7" s="13">
        <f>65*EXP(AF7)/(1+EXP(AF7))</f>
        <v>0.35918053409809425</v>
      </c>
      <c r="AC7" s="13"/>
      <c r="AD7" s="33">
        <f t="shared" ref="AD7:AD13" si="7">LN(B7/(65-B7))</f>
        <v>-5.2423094063011622</v>
      </c>
      <c r="AE7" s="33">
        <f t="shared" si="0"/>
        <v>-5.1927762279131864</v>
      </c>
      <c r="AF7" s="33">
        <f t="shared" si="1"/>
        <v>-5.1927762279131864</v>
      </c>
      <c r="AH7">
        <v>3</v>
      </c>
      <c r="AI7">
        <v>1</v>
      </c>
    </row>
    <row r="8" spans="1:35">
      <c r="A8">
        <v>2013</v>
      </c>
      <c r="B8" s="13">
        <f>'EV %sales'!T71</f>
        <v>0.57725411052412889</v>
      </c>
      <c r="C8" s="13">
        <f t="shared" si="2"/>
        <v>0.54959336127147995</v>
      </c>
      <c r="D8" s="84">
        <f t="shared" ref="D8:D49" si="8">65*EXP(E8)/(1+EXP(E8))</f>
        <v>1.5696418171502364</v>
      </c>
      <c r="E8" s="84">
        <f>J8-SUM(F$7:F8)</f>
        <v>-3.69909513114023</v>
      </c>
      <c r="F8" s="13">
        <f t="shared" ref="F8:F50" si="9">I8*G8</f>
        <v>0</v>
      </c>
      <c r="G8" s="13">
        <f t="shared" ref="G8:G50" si="10">IF(H8&lt;0,0,H8)</f>
        <v>1</v>
      </c>
      <c r="H8" s="13">
        <v>1</v>
      </c>
      <c r="I8" s="13">
        <v>0</v>
      </c>
      <c r="J8" s="13">
        <f t="shared" ref="J8:J47" si="11">LN(L8/(65-L8))</f>
        <v>-3.69909513114023</v>
      </c>
      <c r="K8" s="13"/>
      <c r="L8" s="84">
        <f t="shared" si="3"/>
        <v>1.5696418171502364</v>
      </c>
      <c r="M8" s="13">
        <f t="shared" si="4"/>
        <v>1.5696418171502364</v>
      </c>
      <c r="N8" s="13">
        <f t="shared" si="5"/>
        <v>2013.649805176781</v>
      </c>
      <c r="O8" s="13">
        <f t="shared" si="6"/>
        <v>2014.6808646022409</v>
      </c>
      <c r="P8" s="13">
        <f>1/Sweden!S86</f>
        <v>0.79611429298130187</v>
      </c>
      <c r="R8">
        <v>2013</v>
      </c>
      <c r="S8" s="13">
        <v>0.54959336127147995</v>
      </c>
      <c r="T8" s="13">
        <v>0.54959336127147995</v>
      </c>
      <c r="U8" s="13">
        <v>0.54959336127147995</v>
      </c>
      <c r="W8">
        <v>2013</v>
      </c>
      <c r="X8" s="13">
        <v>0.54959336127147995</v>
      </c>
      <c r="Y8" s="13">
        <f t="shared" ref="Y8:Y45" si="12">T8</f>
        <v>0.54959336127147995</v>
      </c>
      <c r="Z8" s="13">
        <v>0.54959336127147995</v>
      </c>
      <c r="AB8" s="13">
        <f>65*EXP(AF8)/(1+EXP(AF8))</f>
        <v>0.54959336127147995</v>
      </c>
      <c r="AC8" s="13"/>
      <c r="AD8" s="33">
        <f t="shared" si="7"/>
        <v>-4.7149394776920239</v>
      </c>
      <c r="AE8" s="33">
        <f t="shared" si="0"/>
        <v>-4.7644726560800015</v>
      </c>
      <c r="AF8" s="33">
        <f t="shared" si="1"/>
        <v>-4.7644726560800015</v>
      </c>
      <c r="AH8">
        <v>4</v>
      </c>
      <c r="AI8">
        <v>1</v>
      </c>
    </row>
    <row r="9" spans="1:35">
      <c r="A9">
        <v>2014</v>
      </c>
      <c r="B9" s="13">
        <f>'EV %sales'!T72</f>
        <v>1.5381021628841962</v>
      </c>
      <c r="C9" s="13">
        <f t="shared" si="2"/>
        <v>1.5696418171502364</v>
      </c>
      <c r="D9" s="84">
        <f t="shared" si="8"/>
        <v>0.54959336127147995</v>
      </c>
      <c r="E9" s="84">
        <f>J9-SUM(F$7:F9)</f>
        <v>-4.7644726560800015</v>
      </c>
      <c r="F9" s="13">
        <f t="shared" si="9"/>
        <v>0</v>
      </c>
      <c r="G9" s="13">
        <f t="shared" si="10"/>
        <v>1</v>
      </c>
      <c r="H9" s="13">
        <v>1</v>
      </c>
      <c r="I9" s="13">
        <v>0</v>
      </c>
      <c r="J9" s="13">
        <f t="shared" si="11"/>
        <v>-4.7644726560800015</v>
      </c>
      <c r="K9" s="13"/>
      <c r="L9" s="84">
        <f t="shared" si="3"/>
        <v>0.54959336127147995</v>
      </c>
      <c r="M9" s="13">
        <f t="shared" si="4"/>
        <v>0.54959336127147995</v>
      </c>
      <c r="N9" s="13">
        <f t="shared" si="5"/>
        <v>2013.4902570016854</v>
      </c>
      <c r="O9" s="13">
        <f t="shared" si="6"/>
        <v>2015.8404127773365</v>
      </c>
      <c r="P9" s="13">
        <f>1/Sweden!S87</f>
        <v>0.90364011693284485</v>
      </c>
      <c r="R9">
        <v>2014</v>
      </c>
      <c r="S9" s="13">
        <v>1.5696418171502364</v>
      </c>
      <c r="T9" s="13">
        <v>1.5696418171502364</v>
      </c>
      <c r="U9" s="13">
        <v>1.5696418171502364</v>
      </c>
      <c r="W9">
        <v>2014</v>
      </c>
      <c r="X9" s="13">
        <v>1.5696418171502364</v>
      </c>
      <c r="Y9" s="13">
        <f t="shared" si="12"/>
        <v>1.5696418171502364</v>
      </c>
      <c r="Z9" s="13">
        <v>1.5696418171502364</v>
      </c>
      <c r="AB9" s="13">
        <f>65*EXP(AF9)/(1+EXP(AF9))</f>
        <v>1.5696418171502364</v>
      </c>
      <c r="AC9" s="13"/>
      <c r="AD9" s="33">
        <f t="shared" si="7"/>
        <v>-3.7198903970651709</v>
      </c>
      <c r="AE9" s="33">
        <f t="shared" si="0"/>
        <v>-3.69909513114023</v>
      </c>
      <c r="AF9" s="33">
        <f t="shared" si="1"/>
        <v>-3.69909513114023</v>
      </c>
      <c r="AH9">
        <v>5</v>
      </c>
      <c r="AI9">
        <v>0</v>
      </c>
    </row>
    <row r="10" spans="1:35">
      <c r="A10">
        <v>2015</v>
      </c>
      <c r="B10" s="13">
        <f>'EV %sales'!T73</f>
        <v>2.5180669127746258</v>
      </c>
      <c r="C10" s="13">
        <f t="shared" si="2"/>
        <v>2.3781495989026036</v>
      </c>
      <c r="D10" s="84">
        <f t="shared" si="8"/>
        <v>2.3781495989026027</v>
      </c>
      <c r="E10" s="84">
        <f>J10-SUM(F$7:F10)</f>
        <v>-3.270791559307046</v>
      </c>
      <c r="F10" s="13">
        <f t="shared" si="9"/>
        <v>0</v>
      </c>
      <c r="G10" s="13">
        <f t="shared" si="10"/>
        <v>1</v>
      </c>
      <c r="H10" s="13">
        <v>1</v>
      </c>
      <c r="I10" s="13">
        <v>0</v>
      </c>
      <c r="J10" s="13">
        <f t="shared" si="11"/>
        <v>-3.270791559307046</v>
      </c>
      <c r="K10" s="13"/>
      <c r="L10" s="84">
        <f t="shared" si="3"/>
        <v>2.3781495989026036</v>
      </c>
      <c r="M10" s="13">
        <f t="shared" si="4"/>
        <v>2.3781495989026036</v>
      </c>
      <c r="N10" s="13">
        <f t="shared" si="5"/>
        <v>2015.1011425668632</v>
      </c>
      <c r="O10" s="13">
        <f t="shared" si="6"/>
        <v>2015.2295272121587</v>
      </c>
      <c r="P10" s="13">
        <f>1/Sweden!S88</f>
        <v>0.84699221290725613</v>
      </c>
      <c r="R10">
        <v>2015</v>
      </c>
      <c r="S10" s="13">
        <v>2.3781495989026036</v>
      </c>
      <c r="T10" s="13">
        <v>2.3781495989026036</v>
      </c>
      <c r="U10" s="13">
        <v>2.3781495989026036</v>
      </c>
      <c r="W10">
        <v>2015</v>
      </c>
      <c r="X10" s="13">
        <v>2.3781495989026036</v>
      </c>
      <c r="Y10" s="13">
        <f t="shared" si="12"/>
        <v>2.3781495989026036</v>
      </c>
      <c r="Z10" s="13">
        <v>2.3781495989026036</v>
      </c>
      <c r="AB10" s="13">
        <f t="shared" ref="AB10:AB50" si="13">65*EXP(AE10)/(1+EXP(AE10))</f>
        <v>2.3781495989026036</v>
      </c>
      <c r="AC10" s="13"/>
      <c r="AD10" s="33">
        <f t="shared" si="7"/>
        <v>-3.2113859353012781</v>
      </c>
      <c r="AE10" s="33">
        <f t="shared" si="0"/>
        <v>-3.2707915593070456</v>
      </c>
      <c r="AF10" s="33">
        <f t="shared" si="1"/>
        <v>-3.2707915593070456</v>
      </c>
      <c r="AH10">
        <v>6</v>
      </c>
      <c r="AI10">
        <v>0</v>
      </c>
    </row>
    <row r="11" spans="1:35">
      <c r="A11">
        <v>2016</v>
      </c>
      <c r="B11" s="13">
        <f>'EV %sales'!T74</f>
        <v>3.5563684807073526</v>
      </c>
      <c r="C11" s="13">
        <f t="shared" si="2"/>
        <v>3.5796100720839283</v>
      </c>
      <c r="D11" s="84">
        <f t="shared" si="8"/>
        <v>3.5796100720839283</v>
      </c>
      <c r="E11" s="84">
        <f>J11-SUM(F$7:F11)</f>
        <v>-2.8424879874738611</v>
      </c>
      <c r="F11" s="13">
        <f t="shared" si="9"/>
        <v>0</v>
      </c>
      <c r="G11" s="13">
        <f t="shared" si="10"/>
        <v>1</v>
      </c>
      <c r="H11" s="13">
        <v>1</v>
      </c>
      <c r="I11" s="13">
        <v>0</v>
      </c>
      <c r="J11" s="13">
        <f t="shared" si="11"/>
        <v>-2.8424879874738611</v>
      </c>
      <c r="K11" s="13"/>
      <c r="L11" s="84">
        <f t="shared" si="3"/>
        <v>3.5796100720839283</v>
      </c>
      <c r="M11" s="13">
        <f t="shared" si="4"/>
        <v>3.5796100720839283</v>
      </c>
      <c r="N11" s="13">
        <f t="shared" si="5"/>
        <v>2016</v>
      </c>
      <c r="O11" s="13">
        <f t="shared" si="6"/>
        <v>2015.3306697790219</v>
      </c>
      <c r="P11" s="13">
        <f>1/Sweden!S89</f>
        <v>0.85637124352637439</v>
      </c>
      <c r="R11">
        <v>2016</v>
      </c>
      <c r="S11" s="13">
        <v>3.5796100720839283</v>
      </c>
      <c r="T11" s="13">
        <v>3.5796100720839283</v>
      </c>
      <c r="U11" s="13">
        <v>3.5796100720839283</v>
      </c>
      <c r="W11">
        <v>2016</v>
      </c>
      <c r="X11" s="13">
        <v>3.5796100720839283</v>
      </c>
      <c r="Y11" s="13">
        <f t="shared" si="12"/>
        <v>3.5796100720839283</v>
      </c>
      <c r="Z11" s="13">
        <v>3.5796100720839283</v>
      </c>
      <c r="AB11" s="13">
        <f t="shared" si="13"/>
        <v>3.5796100720839283</v>
      </c>
      <c r="AC11" s="13"/>
      <c r="AD11" s="33">
        <f t="shared" si="7"/>
        <v>-2.8493802593225954</v>
      </c>
      <c r="AE11" s="33">
        <f t="shared" si="0"/>
        <v>-2.8424879874738611</v>
      </c>
      <c r="AF11" s="33">
        <f t="shared" si="1"/>
        <v>-2.8424879874738611</v>
      </c>
      <c r="AH11">
        <v>7</v>
      </c>
      <c r="AI11">
        <v>0</v>
      </c>
    </row>
    <row r="12" spans="1:35">
      <c r="A12">
        <v>2017</v>
      </c>
      <c r="B12" s="13">
        <f>'EV %sales'!T75</f>
        <v>5.1830160282345741</v>
      </c>
      <c r="C12" s="13">
        <f t="shared" si="2"/>
        <v>5.3363335562542451</v>
      </c>
      <c r="D12" s="84">
        <f>65*EXP(E12)/(1+EXP(E12))</f>
        <v>5.3363335562542451</v>
      </c>
      <c r="E12" s="84">
        <f>J12-SUM(F$7:F12)</f>
        <v>-2.4141844156406762</v>
      </c>
      <c r="F12" s="13">
        <f t="shared" si="9"/>
        <v>0</v>
      </c>
      <c r="G12" s="13">
        <f t="shared" si="10"/>
        <v>1</v>
      </c>
      <c r="H12" s="13">
        <v>1</v>
      </c>
      <c r="I12" s="13">
        <v>0</v>
      </c>
      <c r="J12" s="13">
        <f t="shared" si="11"/>
        <v>-2.4141844156406762</v>
      </c>
      <c r="K12" s="13"/>
      <c r="L12" s="84">
        <f t="shared" si="3"/>
        <v>5.3363335562542451</v>
      </c>
      <c r="M12" s="13">
        <f t="shared" si="4"/>
        <v>5.3363335562542451</v>
      </c>
      <c r="N12" s="13">
        <f t="shared" si="5"/>
        <v>2017.0012420984842</v>
      </c>
      <c r="O12" s="13">
        <f t="shared" si="6"/>
        <v>2015.3294276805377</v>
      </c>
      <c r="P12" s="13">
        <f>1/Sweden!S90</f>
        <v>0.85625606274662691</v>
      </c>
      <c r="R12">
        <v>2017</v>
      </c>
      <c r="S12" s="13">
        <v>5.3363335562542451</v>
      </c>
      <c r="T12" s="13">
        <v>5.3363335562542451</v>
      </c>
      <c r="U12" s="13">
        <v>5.3363335562542451</v>
      </c>
      <c r="W12">
        <v>2017</v>
      </c>
      <c r="X12" s="13">
        <v>5.3363335562542451</v>
      </c>
      <c r="Y12" s="13">
        <f t="shared" si="12"/>
        <v>5.3363335562542451</v>
      </c>
      <c r="Z12" s="13">
        <v>5.3363335562542451</v>
      </c>
      <c r="AB12" s="13">
        <f t="shared" si="13"/>
        <v>5.3363335562542451</v>
      </c>
      <c r="AC12" s="13"/>
      <c r="AD12" s="33">
        <f t="shared" si="7"/>
        <v>-2.4459025018727671</v>
      </c>
      <c r="AE12" s="33">
        <f t="shared" si="0"/>
        <v>-2.4141844156406762</v>
      </c>
      <c r="AF12" s="33">
        <f t="shared" si="1"/>
        <v>-2.4141844156406762</v>
      </c>
      <c r="AH12">
        <v>8</v>
      </c>
      <c r="AI12">
        <v>0</v>
      </c>
    </row>
    <row r="13" spans="1:35">
      <c r="A13">
        <v>2018</v>
      </c>
      <c r="B13" s="13">
        <f>'EV %sales'!T76</f>
        <v>10.303669401081681</v>
      </c>
      <c r="C13" s="13">
        <f>AVERAGE(D12:D14)</f>
        <v>9.2732106911149987</v>
      </c>
      <c r="D13" s="84">
        <f>65*EXP(E13)/(1+EXP(E13))</f>
        <v>8.7899685165973409</v>
      </c>
      <c r="E13" s="84">
        <f>J13-SUM(F$7:F13)</f>
        <v>-1.8554841071559276</v>
      </c>
      <c r="F13" s="13">
        <f t="shared" si="9"/>
        <v>0</v>
      </c>
      <c r="G13" s="13">
        <v>1</v>
      </c>
      <c r="H13" s="13">
        <v>1</v>
      </c>
      <c r="I13" s="13">
        <v>0</v>
      </c>
      <c r="J13" s="13">
        <f t="shared" si="11"/>
        <v>-1.8554841071559276</v>
      </c>
      <c r="K13" s="13"/>
      <c r="L13" s="84">
        <f>AVERAGE(M11:M15)</f>
        <v>8.7899685165973409</v>
      </c>
      <c r="M13" s="13">
        <f t="shared" si="4"/>
        <v>7.8450665364293197</v>
      </c>
      <c r="N13" s="13">
        <f t="shared" si="5"/>
        <v>2018.35442055975</v>
      </c>
      <c r="O13" s="13">
        <f t="shared" si="6"/>
        <v>2014.9762492192719</v>
      </c>
      <c r="P13" s="13">
        <f>1/((Sweden!S91+Sweden!S90)/2)</f>
        <v>0.82350554330710712</v>
      </c>
      <c r="R13">
        <v>2018</v>
      </c>
      <c r="S13" s="13">
        <v>10.639099937640326</v>
      </c>
      <c r="T13" s="13">
        <v>9.2732106911149987</v>
      </c>
      <c r="U13" s="13">
        <v>8.8370372746913777</v>
      </c>
      <c r="W13">
        <v>2018</v>
      </c>
      <c r="X13" s="13">
        <v>8.8370372746913777</v>
      </c>
      <c r="Y13" s="13">
        <f t="shared" si="12"/>
        <v>9.2732106911149987</v>
      </c>
      <c r="Z13" s="13">
        <v>11.100939348775148</v>
      </c>
      <c r="AB13" s="13">
        <f>65*EXP(AE13)/(1+EXP(AE13))</f>
        <v>7.8450665364293197</v>
      </c>
      <c r="AC13" s="13"/>
      <c r="AD13" s="33">
        <f t="shared" si="7"/>
        <v>-1.669296540566207</v>
      </c>
      <c r="AE13" s="33">
        <f t="shared" si="0"/>
        <v>-1.9858808438074913</v>
      </c>
      <c r="AF13" s="33">
        <f t="shared" si="1"/>
        <v>-1.9858808438074913</v>
      </c>
      <c r="AH13">
        <v>9</v>
      </c>
      <c r="AI13">
        <v>0</v>
      </c>
    </row>
    <row r="14" spans="1:35">
      <c r="A14">
        <v>2019</v>
      </c>
      <c r="B14" s="13"/>
      <c r="C14" s="13">
        <f t="shared" ref="C14:C15" si="14">AVERAGE(D11:D17)</f>
        <v>13.009676331884179</v>
      </c>
      <c r="D14" s="84">
        <f>65*EXP(E14)/(1+EXP(E14))</f>
        <v>13.693330000493413</v>
      </c>
      <c r="E14" s="84">
        <f>J14-SUM(F$7:F14)</f>
        <v>-1.3209119102076901</v>
      </c>
      <c r="F14" s="13">
        <f>I14*G14</f>
        <v>0</v>
      </c>
      <c r="G14" s="13">
        <f t="shared" si="10"/>
        <v>1</v>
      </c>
      <c r="H14" s="13">
        <v>1</v>
      </c>
      <c r="I14" s="13">
        <v>0</v>
      </c>
      <c r="J14" s="13">
        <f t="shared" si="11"/>
        <v>-1.3209119102076901</v>
      </c>
      <c r="K14" s="13"/>
      <c r="L14" s="84">
        <f>AVERAGE(M12:M16)</f>
        <v>13.693330000493413</v>
      </c>
      <c r="M14" s="13">
        <f t="shared" si="4"/>
        <v>11.309646896270017</v>
      </c>
      <c r="N14" s="13">
        <f t="shared" si="5"/>
        <v>2019.3321247127014</v>
      </c>
      <c r="O14" s="13">
        <f t="shared" si="6"/>
        <v>2014.9985450663205</v>
      </c>
      <c r="P14" s="13">
        <f>1/Sweden!S92</f>
        <v>0.82557305492592781</v>
      </c>
      <c r="R14">
        <v>2019</v>
      </c>
      <c r="S14" s="13">
        <v>15.445310605225387</v>
      </c>
      <c r="T14" s="13">
        <v>13.009676331884179</v>
      </c>
      <c r="U14" s="13">
        <v>12.175545234957925</v>
      </c>
      <c r="W14">
        <v>2019</v>
      </c>
      <c r="X14" s="13">
        <v>10.631612770819958</v>
      </c>
      <c r="Y14" s="13">
        <f t="shared" si="12"/>
        <v>13.009676331884179</v>
      </c>
      <c r="Z14" s="13">
        <v>17.867305165341072</v>
      </c>
      <c r="AB14" s="13">
        <f t="shared" si="13"/>
        <v>11.309646896270017</v>
      </c>
      <c r="AC14" s="13"/>
      <c r="AE14" s="33">
        <f t="shared" si="0"/>
        <v>-1.5575772719743064</v>
      </c>
      <c r="AF14" s="33">
        <f t="shared" si="1"/>
        <v>-1.5575772719743064</v>
      </c>
      <c r="AH14">
        <v>10</v>
      </c>
      <c r="AI14">
        <v>0</v>
      </c>
    </row>
    <row r="15" spans="1:35">
      <c r="A15">
        <v>2020</v>
      </c>
      <c r="B15" s="13"/>
      <c r="C15" s="13">
        <f t="shared" si="14"/>
        <v>16.547495299341858</v>
      </c>
      <c r="D15" s="84">
        <f>65*EXP(E15)/(1+EXP(E15))</f>
        <v>16.339114705000142</v>
      </c>
      <c r="E15" s="84">
        <f>J15-SUM(F$7:F15)</f>
        <v>-1.0913136223317494</v>
      </c>
      <c r="F15" s="13">
        <f t="shared" si="9"/>
        <v>0.15030991456727144</v>
      </c>
      <c r="G15" s="13">
        <f t="shared" si="10"/>
        <v>0.75154957283635715</v>
      </c>
      <c r="H15" s="13">
        <f t="shared" ref="H15:H50" si="15">IF((P15-0.6)/0.3&gt;1,1,(P15-0.6)/0.3)</f>
        <v>0.75154957283635715</v>
      </c>
      <c r="I15" s="231">
        <v>0.2</v>
      </c>
      <c r="J15" s="13">
        <f t="shared" si="11"/>
        <v>-0.94100370776447795</v>
      </c>
      <c r="K15" s="13"/>
      <c r="L15" s="84">
        <f t="shared" ref="L15:L48" si="16">AVERAGE(M13:M17)</f>
        <v>18.24534678755542</v>
      </c>
      <c r="M15" s="13">
        <f t="shared" si="4"/>
        <v>15.879185521949198</v>
      </c>
      <c r="N15" s="13">
        <f t="shared" si="5"/>
        <v>2020.333291348609</v>
      </c>
      <c r="O15" s="13">
        <f t="shared" si="6"/>
        <v>2014.9973784304129</v>
      </c>
      <c r="P15" s="13">
        <f>1/Sweden!S93</f>
        <v>0.82546487185090711</v>
      </c>
      <c r="R15">
        <v>2020</v>
      </c>
      <c r="S15" s="13">
        <v>19.567836747454667</v>
      </c>
      <c r="T15" s="13">
        <v>16.547495299341858</v>
      </c>
      <c r="U15" s="13">
        <v>15.410730710587758</v>
      </c>
      <c r="W15">
        <v>2020</v>
      </c>
      <c r="X15" s="13">
        <v>12.585913441637127</v>
      </c>
      <c r="Y15" s="13">
        <f t="shared" si="12"/>
        <v>16.547495299341858</v>
      </c>
      <c r="Z15" s="13">
        <v>23.574833428454252</v>
      </c>
      <c r="AB15" s="13">
        <f t="shared" si="13"/>
        <v>15.879185521949198</v>
      </c>
      <c r="AC15" s="13"/>
      <c r="AE15" s="33">
        <f t="shared" si="0"/>
        <v>-1.1292737001411224</v>
      </c>
      <c r="AF15" s="33">
        <f t="shared" si="1"/>
        <v>-1.1292737001411224</v>
      </c>
      <c r="AH15">
        <v>11</v>
      </c>
      <c r="AI15">
        <v>0</v>
      </c>
    </row>
    <row r="16" spans="1:35">
      <c r="A16">
        <v>2021</v>
      </c>
      <c r="B16" s="13"/>
      <c r="C16" s="13">
        <f>AVERAGE(D13:D19)</f>
        <v>20.364141676569183</v>
      </c>
      <c r="D16" s="84">
        <f t="shared" si="8"/>
        <v>19.505307054272564</v>
      </c>
      <c r="E16" s="84">
        <f>J16-SUM(F$7:F16)</f>
        <v>-0.84690909542749249</v>
      </c>
      <c r="F16" s="13">
        <f t="shared" si="9"/>
        <v>0.13995875921692499</v>
      </c>
      <c r="G16" s="13">
        <f t="shared" si="10"/>
        <v>0.66647028198535707</v>
      </c>
      <c r="H16" s="13">
        <f t="shared" si="15"/>
        <v>0.66647028198535707</v>
      </c>
      <c r="I16" s="20">
        <f>I15+(I35-I15)/20</f>
        <v>0.21000000000000002</v>
      </c>
      <c r="J16" s="13">
        <f t="shared" si="11"/>
        <v>-0.55664042164329608</v>
      </c>
      <c r="K16" s="13"/>
      <c r="L16" s="84">
        <f t="shared" si="16"/>
        <v>23.681135211986867</v>
      </c>
      <c r="M16" s="13">
        <f t="shared" si="4"/>
        <v>28.096417491564278</v>
      </c>
      <c r="N16" s="13">
        <f t="shared" si="5"/>
        <v>2021.6085374229542</v>
      </c>
      <c r="O16" s="13">
        <f t="shared" si="6"/>
        <v>2014.7221323560677</v>
      </c>
      <c r="P16" s="13">
        <f>1/Sweden!S94</f>
        <v>0.79994108459560709</v>
      </c>
      <c r="R16">
        <v>2021</v>
      </c>
      <c r="S16" s="13">
        <v>24.169761690491953</v>
      </c>
      <c r="T16" s="13">
        <v>20.364141676569183</v>
      </c>
      <c r="U16" s="13">
        <v>19.072585387394675</v>
      </c>
      <c r="W16">
        <v>2021</v>
      </c>
      <c r="X16" s="13">
        <v>14.440974100768946</v>
      </c>
      <c r="Y16" s="13">
        <f t="shared" si="12"/>
        <v>20.364141676569183</v>
      </c>
      <c r="Z16" s="13">
        <v>29.927148460174966</v>
      </c>
      <c r="AB16" s="13">
        <f t="shared" si="13"/>
        <v>21.553816245209962</v>
      </c>
      <c r="AC16" s="13"/>
      <c r="AE16" s="33">
        <f t="shared" si="0"/>
        <v>-0.70097012830793748</v>
      </c>
      <c r="AF16" s="33">
        <f t="shared" si="1"/>
        <v>-0.70097012830793748</v>
      </c>
      <c r="AH16">
        <v>12</v>
      </c>
      <c r="AI16">
        <v>0</v>
      </c>
    </row>
    <row r="17" spans="1:35">
      <c r="A17">
        <v>2022</v>
      </c>
      <c r="B17" s="13"/>
      <c r="C17" s="13">
        <f t="shared" ref="C17:C50" si="17">AVERAGE(D14:D20)</f>
        <v>24.501361537391915</v>
      </c>
      <c r="D17" s="84">
        <f t="shared" si="8"/>
        <v>23.824070418487619</v>
      </c>
      <c r="E17" s="84">
        <f>J17-SUM(F$7:F17)</f>
        <v>-0.54715742044952442</v>
      </c>
      <c r="F17" s="13">
        <f t="shared" si="9"/>
        <v>0.1616891709687571</v>
      </c>
      <c r="G17" s="13">
        <f t="shared" si="10"/>
        <v>0.73495077713071399</v>
      </c>
      <c r="H17" s="13">
        <f t="shared" si="15"/>
        <v>0.73495077713071399</v>
      </c>
      <c r="I17" s="20">
        <f>I16+(I35-I15)/20</f>
        <v>0.22000000000000003</v>
      </c>
      <c r="J17" s="13">
        <f t="shared" si="11"/>
        <v>-9.5199575696570851E-2</v>
      </c>
      <c r="K17" s="13"/>
      <c r="L17" s="84">
        <f>AVERAGE(M15:M19)</f>
        <v>30.954174198304326</v>
      </c>
      <c r="M17" s="13">
        <f t="shared" si="4"/>
        <v>28.096417491564278</v>
      </c>
      <c r="N17" s="13">
        <f t="shared" si="5"/>
        <v>2022.3869912949901</v>
      </c>
      <c r="O17" s="13">
        <f t="shared" si="6"/>
        <v>2014.9436784840318</v>
      </c>
      <c r="P17" s="13">
        <f>1/Sweden!S95</f>
        <v>0.82048523313921418</v>
      </c>
      <c r="R17">
        <v>2022</v>
      </c>
      <c r="S17" s="13">
        <v>28.742640505145989</v>
      </c>
      <c r="T17" s="13">
        <v>24.501361537391915</v>
      </c>
      <c r="U17" s="13">
        <v>23.02101996894552</v>
      </c>
      <c r="W17">
        <v>2022</v>
      </c>
      <c r="X17" s="13">
        <v>16.081253878181702</v>
      </c>
      <c r="Y17" s="13">
        <f t="shared" si="12"/>
        <v>24.501361537391915</v>
      </c>
      <c r="Z17" s="13">
        <v>36.265003757702509</v>
      </c>
      <c r="AB17" s="13">
        <f t="shared" si="13"/>
        <v>28.096417491564278</v>
      </c>
      <c r="AC17" s="13"/>
      <c r="AE17" s="33">
        <f t="shared" si="0"/>
        <v>-0.27266655647475257</v>
      </c>
      <c r="AF17" s="33">
        <f t="shared" si="1"/>
        <v>-0.27266655647475257</v>
      </c>
      <c r="AH17">
        <v>13</v>
      </c>
      <c r="AI17">
        <v>0</v>
      </c>
    </row>
    <row r="18" spans="1:35">
      <c r="A18">
        <v>2023</v>
      </c>
      <c r="B18" s="13"/>
      <c r="C18" s="13">
        <f>AVERAGE(D15:D21)</f>
        <v>28.890772537291301</v>
      </c>
      <c r="D18" s="84">
        <f t="shared" si="8"/>
        <v>28.344342844287695</v>
      </c>
      <c r="E18" s="84">
        <f>J18-SUM(F$7:F18)</f>
        <v>-0.25714030932484999</v>
      </c>
      <c r="F18" s="13">
        <f t="shared" si="9"/>
        <v>0.16529189362264482</v>
      </c>
      <c r="G18" s="13">
        <f t="shared" si="10"/>
        <v>0.71866040705497736</v>
      </c>
      <c r="H18" s="13">
        <f t="shared" si="15"/>
        <v>0.71866040705497736</v>
      </c>
      <c r="I18" s="20">
        <f>I17+(I35-I15)/20</f>
        <v>0.23000000000000004</v>
      </c>
      <c r="J18" s="13">
        <f t="shared" si="11"/>
        <v>0.36010942905074839</v>
      </c>
      <c r="K18" s="13"/>
      <c r="L18" s="84">
        <f t="shared" si="16"/>
        <v>38.289350026716335</v>
      </c>
      <c r="M18" s="13">
        <f t="shared" si="4"/>
        <v>35.024008658586574</v>
      </c>
      <c r="N18" s="13">
        <f t="shared" si="5"/>
        <v>2023.4396934316455</v>
      </c>
      <c r="O18" s="13">
        <f t="shared" si="6"/>
        <v>2014.8909763473764</v>
      </c>
      <c r="P18" s="13">
        <f>1/Sweden!S96</f>
        <v>0.81559812211649318</v>
      </c>
      <c r="R18">
        <v>2023</v>
      </c>
      <c r="S18" s="13">
        <v>33.349137340673629</v>
      </c>
      <c r="T18" s="13">
        <v>28.890772537291301</v>
      </c>
      <c r="U18" s="13">
        <v>27.321851993069025</v>
      </c>
      <c r="W18">
        <v>2023</v>
      </c>
      <c r="X18" s="13">
        <v>17.488074401798965</v>
      </c>
      <c r="Y18" s="13">
        <f t="shared" si="12"/>
        <v>28.890772537291301</v>
      </c>
      <c r="Z18" s="13">
        <v>42.311118860900216</v>
      </c>
      <c r="AB18" s="13">
        <f t="shared" si="13"/>
        <v>35.024008658586574</v>
      </c>
      <c r="AC18" s="13"/>
      <c r="AE18" s="33">
        <f t="shared" si="0"/>
        <v>0.15563701535843144</v>
      </c>
      <c r="AF18" s="33">
        <f t="shared" si="1"/>
        <v>0.15563701535843144</v>
      </c>
      <c r="AH18">
        <v>14</v>
      </c>
      <c r="AI18">
        <v>0</v>
      </c>
    </row>
    <row r="19" spans="1:35">
      <c r="A19">
        <v>2024</v>
      </c>
      <c r="B19" s="13"/>
      <c r="C19" s="13">
        <f t="shared" si="17"/>
        <v>33.551690175248289</v>
      </c>
      <c r="D19" s="84">
        <f t="shared" si="8"/>
        <v>32.052858196845527</v>
      </c>
      <c r="E19" s="84">
        <f>J19-SUM(F$7:F19)</f>
        <v>-2.7518155031792002E-2</v>
      </c>
      <c r="F19" s="13">
        <f t="shared" si="9"/>
        <v>0.14517685331699773</v>
      </c>
      <c r="G19" s="13">
        <f t="shared" si="10"/>
        <v>0.60490355548749042</v>
      </c>
      <c r="H19" s="13">
        <f t="shared" si="15"/>
        <v>0.60490355548749042</v>
      </c>
      <c r="I19" s="20">
        <f>I18+(I35-I15)/20</f>
        <v>0.24000000000000005</v>
      </c>
      <c r="J19" s="13">
        <f t="shared" si="11"/>
        <v>0.73490843666080408</v>
      </c>
      <c r="K19" s="13"/>
      <c r="L19" s="84">
        <f t="shared" si="16"/>
        <v>43.932295527977367</v>
      </c>
      <c r="M19" s="13">
        <f t="shared" si="4"/>
        <v>47.674841827857293</v>
      </c>
      <c r="N19" s="13">
        <f t="shared" si="5"/>
        <v>2024.8077163254736</v>
      </c>
      <c r="O19" s="13">
        <f t="shared" si="6"/>
        <v>2014.5229534535483</v>
      </c>
      <c r="P19" s="13">
        <f>1/Sweden!S97</f>
        <v>0.7814710666462471</v>
      </c>
      <c r="R19">
        <v>2024</v>
      </c>
      <c r="S19" s="13">
        <v>38.063063276792718</v>
      </c>
      <c r="T19" s="13">
        <v>33.551690175248289</v>
      </c>
      <c r="U19" s="13">
        <v>31.874039661311965</v>
      </c>
      <c r="W19">
        <v>2024</v>
      </c>
      <c r="X19" s="13">
        <v>19.017404150899882</v>
      </c>
      <c r="Y19" s="13">
        <f t="shared" si="12"/>
        <v>33.551690175248289</v>
      </c>
      <c r="Z19" s="13">
        <v>47.873831925813015</v>
      </c>
      <c r="AB19" s="13">
        <f t="shared" si="13"/>
        <v>41.728285980140683</v>
      </c>
      <c r="AC19" s="13"/>
      <c r="AE19" s="33">
        <f t="shared" si="0"/>
        <v>0.58394058719161634</v>
      </c>
      <c r="AF19" s="33">
        <f t="shared" si="1"/>
        <v>0.58394058719161634</v>
      </c>
      <c r="AH19">
        <v>15</v>
      </c>
      <c r="AI19">
        <v>0</v>
      </c>
    </row>
    <row r="20" spans="1:35">
      <c r="A20" s="14">
        <v>2025</v>
      </c>
      <c r="B20" s="13"/>
      <c r="C20" s="20">
        <f t="shared" si="17"/>
        <v>38.357748742352179</v>
      </c>
      <c r="D20" s="84">
        <f t="shared" si="8"/>
        <v>37.750507542356445</v>
      </c>
      <c r="E20" s="84">
        <f>J20-SUM(F$7:F20)</f>
        <v>0.32596402490706511</v>
      </c>
      <c r="F20" s="13">
        <f t="shared" si="9"/>
        <v>0.1264775468353406</v>
      </c>
      <c r="G20" s="13">
        <f t="shared" si="10"/>
        <v>0.50591018734136228</v>
      </c>
      <c r="H20" s="13">
        <f t="shared" si="15"/>
        <v>0.50591018734136228</v>
      </c>
      <c r="I20" s="20">
        <f>I19+(I35-I15)/20</f>
        <v>0.25000000000000006</v>
      </c>
      <c r="J20" s="13">
        <f t="shared" si="11"/>
        <v>1.2148681634350018</v>
      </c>
      <c r="K20" s="13"/>
      <c r="L20" s="84">
        <f t="shared" si="16"/>
        <v>50.12534675415332</v>
      </c>
      <c r="M20" s="13">
        <f t="shared" si="4"/>
        <v>52.555064664009244</v>
      </c>
      <c r="N20" s="13">
        <f t="shared" si="5"/>
        <v>2026.1279768224279</v>
      </c>
      <c r="O20" s="13">
        <f t="shared" si="6"/>
        <v>2014.2026929565941</v>
      </c>
      <c r="P20" s="13">
        <f>1/Sweden!S98</f>
        <v>0.75177305620240864</v>
      </c>
      <c r="R20" s="87">
        <v>2025</v>
      </c>
      <c r="S20" s="13">
        <v>42.72317592726246</v>
      </c>
      <c r="T20" s="13">
        <v>38.357748742352179</v>
      </c>
      <c r="U20" s="13">
        <v>36.581475418863256</v>
      </c>
      <c r="W20" s="87">
        <v>2025</v>
      </c>
      <c r="X20" s="13">
        <v>20.642692905623722</v>
      </c>
      <c r="Y20" s="13">
        <f t="shared" si="12"/>
        <v>38.357748742352179</v>
      </c>
      <c r="Z20" s="13">
        <v>52.725179454804241</v>
      </c>
      <c r="AB20" s="13">
        <f t="shared" si="13"/>
        <v>47.674841827857293</v>
      </c>
      <c r="AC20" s="13"/>
      <c r="AE20" s="33">
        <f t="shared" si="0"/>
        <v>1.0122441590248012</v>
      </c>
      <c r="AF20" s="33">
        <f t="shared" si="1"/>
        <v>1.0122441590248012</v>
      </c>
      <c r="AH20">
        <v>16</v>
      </c>
      <c r="AI20">
        <v>0</v>
      </c>
    </row>
    <row r="21" spans="1:35">
      <c r="A21">
        <v>2026</v>
      </c>
      <c r="B21" s="13"/>
      <c r="C21" s="13">
        <f t="shared" si="17"/>
        <v>43.071236332996399</v>
      </c>
      <c r="D21" s="84">
        <f t="shared" si="8"/>
        <v>44.419206999789111</v>
      </c>
      <c r="E21" s="84">
        <f>J21-SUM(F$7:F21)</f>
        <v>0.76931370375373342</v>
      </c>
      <c r="F21" s="13">
        <f t="shared" si="9"/>
        <v>0.11779908814900018</v>
      </c>
      <c r="G21" s="13">
        <f>IF(H21&lt;0,0,H21)</f>
        <v>0.4530734159576929</v>
      </c>
      <c r="H21" s="13">
        <f t="shared" si="15"/>
        <v>0.4530734159576929</v>
      </c>
      <c r="I21" s="20">
        <f>I20+(I35-I15)/20</f>
        <v>0.26000000000000006</v>
      </c>
      <c r="J21" s="13">
        <f t="shared" si="11"/>
        <v>1.7760169304306703</v>
      </c>
      <c r="K21" s="13"/>
      <c r="L21" s="84">
        <f t="shared" si="16"/>
        <v>55.588282124333247</v>
      </c>
      <c r="M21" s="13">
        <f t="shared" si="4"/>
        <v>56.311144997869462</v>
      </c>
      <c r="N21" s="13">
        <f t="shared" si="5"/>
        <v>2027.2989128252902</v>
      </c>
      <c r="O21" s="13">
        <f t="shared" si="6"/>
        <v>2014.0317569537317</v>
      </c>
      <c r="P21" s="13">
        <f>1/Sweden!S99</f>
        <v>0.73592202478730784</v>
      </c>
      <c r="R21">
        <v>2026</v>
      </c>
      <c r="S21" s="13">
        <v>47.133571640402167</v>
      </c>
      <c r="T21" s="13">
        <v>43.071236332996399</v>
      </c>
      <c r="U21" s="13">
        <v>41.23955530198829</v>
      </c>
      <c r="W21">
        <v>2026</v>
      </c>
      <c r="X21" s="13">
        <v>22.366036570494035</v>
      </c>
      <c r="Y21" s="13">
        <f>T21</f>
        <v>43.071236332996399</v>
      </c>
      <c r="Z21" s="13">
        <v>56.680276676965434</v>
      </c>
      <c r="AB21" s="13">
        <f t="shared" si="13"/>
        <v>52.555064664009244</v>
      </c>
      <c r="AC21" s="13"/>
      <c r="AE21" s="33">
        <f t="shared" si="0"/>
        <v>1.4405477308579862</v>
      </c>
      <c r="AF21" s="33">
        <f t="shared" si="1"/>
        <v>1.4405477308579862</v>
      </c>
      <c r="AH21">
        <v>17</v>
      </c>
      <c r="AI21">
        <v>0</v>
      </c>
    </row>
    <row r="22" spans="1:35">
      <c r="A22">
        <v>2027</v>
      </c>
      <c r="B22" s="13"/>
      <c r="C22" s="13">
        <f t="shared" si="17"/>
        <v>47.582553312925562</v>
      </c>
      <c r="D22" s="84">
        <f t="shared" si="8"/>
        <v>48.965538170699062</v>
      </c>
      <c r="E22" s="84">
        <f>J22-SUM(F$7:F22)</f>
        <v>1.1163764777078846</v>
      </c>
      <c r="F22" s="13">
        <f t="shared" si="9"/>
        <v>0.10906795344612587</v>
      </c>
      <c r="G22" s="13">
        <f t="shared" si="10"/>
        <v>0.40395538313379942</v>
      </c>
      <c r="H22" s="13">
        <f t="shared" si="15"/>
        <v>0.40395538313379942</v>
      </c>
      <c r="I22" s="20">
        <f>I21+(I35-I15)/20</f>
        <v>0.27000000000000007</v>
      </c>
      <c r="J22" s="13">
        <f t="shared" si="11"/>
        <v>2.2321476578309474</v>
      </c>
      <c r="K22" s="13"/>
      <c r="L22" s="84">
        <f t="shared" si="16"/>
        <v>58.70146523077706</v>
      </c>
      <c r="M22" s="13">
        <f t="shared" si="4"/>
        <v>59.061673622444033</v>
      </c>
      <c r="N22" s="13">
        <f t="shared" si="5"/>
        <v>2028.4578180721383</v>
      </c>
      <c r="O22" s="13">
        <f t="shared" si="6"/>
        <v>2013.8728517068837</v>
      </c>
      <c r="P22" s="13">
        <f>1/Sweden!S100</f>
        <v>0.7211866149401398</v>
      </c>
      <c r="R22">
        <v>2027</v>
      </c>
      <c r="S22" s="13">
        <v>51.207148793849342</v>
      </c>
      <c r="T22" s="13">
        <v>47.582553312925562</v>
      </c>
      <c r="U22" s="13">
        <v>45.768733461264894</v>
      </c>
      <c r="W22">
        <v>2027</v>
      </c>
      <c r="X22" s="13">
        <v>24.183965016408784</v>
      </c>
      <c r="Y22" s="13">
        <f t="shared" si="12"/>
        <v>47.582553312925562</v>
      </c>
      <c r="Z22" s="13">
        <v>59.653703839224853</v>
      </c>
      <c r="AB22" s="13">
        <f t="shared" si="13"/>
        <v>56.311144997869462</v>
      </c>
      <c r="AC22" s="13"/>
      <c r="AE22" s="33">
        <f t="shared" si="0"/>
        <v>1.8688513026911711</v>
      </c>
      <c r="AF22" s="33">
        <f t="shared" si="1"/>
        <v>1.8688513026911711</v>
      </c>
      <c r="AH22">
        <v>18</v>
      </c>
      <c r="AI22">
        <v>0</v>
      </c>
    </row>
    <row r="23" spans="1:35">
      <c r="A23">
        <v>2028</v>
      </c>
      <c r="B23" s="13"/>
      <c r="C23" s="13">
        <f t="shared" si="17"/>
        <v>51.766622414112668</v>
      </c>
      <c r="D23" s="84">
        <f t="shared" si="8"/>
        <v>53.147717023999832</v>
      </c>
      <c r="E23" s="84">
        <f>J23-SUM(F$7:F23)</f>
        <v>1.5005546451850722</v>
      </c>
      <c r="F23" s="13">
        <f t="shared" si="9"/>
        <v>9.7383660159343882E-2</v>
      </c>
      <c r="G23" s="13">
        <f t="shared" si="10"/>
        <v>0.34779878628337091</v>
      </c>
      <c r="H23" s="13">
        <f t="shared" si="15"/>
        <v>0.34779878628337091</v>
      </c>
      <c r="I23" s="20">
        <f>I22+(I35-I15)/20</f>
        <v>0.28000000000000008</v>
      </c>
      <c r="J23" s="13">
        <f t="shared" si="11"/>
        <v>2.7137094854674788</v>
      </c>
      <c r="K23" s="13"/>
      <c r="L23" s="84">
        <f t="shared" si="16"/>
        <v>60.959000623491512</v>
      </c>
      <c r="M23" s="13">
        <f t="shared" si="4"/>
        <v>62.338685509486218</v>
      </c>
      <c r="N23" s="13">
        <f t="shared" si="5"/>
        <v>2029.6394942788515</v>
      </c>
      <c r="O23" s="13">
        <f t="shared" si="6"/>
        <v>2013.6911755001704</v>
      </c>
      <c r="P23" s="13">
        <f>1/Sweden!S101</f>
        <v>0.70433963588501125</v>
      </c>
      <c r="R23">
        <v>2028</v>
      </c>
      <c r="S23" s="13">
        <v>54.723992943174331</v>
      </c>
      <c r="T23" s="13">
        <v>51.766622414112668</v>
      </c>
      <c r="U23" s="13">
        <v>49.997162458984</v>
      </c>
      <c r="W23">
        <v>2028</v>
      </c>
      <c r="X23" s="13">
        <v>26.105740036670046</v>
      </c>
      <c r="Y23" s="13">
        <f t="shared" si="12"/>
        <v>51.766622414112668</v>
      </c>
      <c r="Z23" s="13">
        <v>61.774126971572322</v>
      </c>
      <c r="AB23" s="13">
        <f t="shared" si="13"/>
        <v>59.061673622444033</v>
      </c>
      <c r="AC23" s="13"/>
      <c r="AE23" s="33">
        <f t="shared" si="0"/>
        <v>2.297154874524356</v>
      </c>
      <c r="AF23" s="33">
        <f t="shared" si="1"/>
        <v>2.297154874524356</v>
      </c>
      <c r="AH23">
        <v>19</v>
      </c>
      <c r="AI23">
        <v>0</v>
      </c>
    </row>
    <row r="24" spans="1:35">
      <c r="A24">
        <v>2029</v>
      </c>
      <c r="B24" s="13"/>
      <c r="C24" s="13">
        <f t="shared" si="17"/>
        <v>55.284613937014441</v>
      </c>
      <c r="D24" s="84">
        <f t="shared" si="8"/>
        <v>56.81848355299708</v>
      </c>
      <c r="E24" s="84">
        <f>J24-SUM(F$7:F24)</f>
        <v>1.9379841693044628</v>
      </c>
      <c r="F24" s="13">
        <f t="shared" si="9"/>
        <v>8.6626142314469162E-2</v>
      </c>
      <c r="G24" s="13">
        <f t="shared" si="10"/>
        <v>0.29871083556713496</v>
      </c>
      <c r="H24" s="13">
        <f t="shared" si="15"/>
        <v>0.29871083556713496</v>
      </c>
      <c r="I24" s="20">
        <f>I23+(I35-I15)/20</f>
        <v>0.29000000000000009</v>
      </c>
      <c r="J24" s="13">
        <f t="shared" si="11"/>
        <v>3.2377651519013386</v>
      </c>
      <c r="K24" s="13"/>
      <c r="L24" s="84">
        <f t="shared" si="16"/>
        <v>62.545013265284865</v>
      </c>
      <c r="M24" s="13">
        <f t="shared" si="4"/>
        <v>63.240757360076294</v>
      </c>
      <c r="N24" s="13">
        <f t="shared" si="5"/>
        <v>2030.7983022049305</v>
      </c>
      <c r="O24" s="13">
        <f t="shared" si="6"/>
        <v>2013.5323675740915</v>
      </c>
      <c r="P24" s="13">
        <f>1/Sweden!S102</f>
        <v>0.68961325067014045</v>
      </c>
      <c r="R24">
        <v>2029</v>
      </c>
      <c r="S24" s="13">
        <v>57.606785441361332</v>
      </c>
      <c r="T24" s="13">
        <v>55.284613937014441</v>
      </c>
      <c r="U24" s="13">
        <v>53.613178572017077</v>
      </c>
      <c r="W24">
        <v>2029</v>
      </c>
      <c r="X24" s="13">
        <v>27.987723079109138</v>
      </c>
      <c r="Y24" s="13">
        <f t="shared" si="12"/>
        <v>55.284613937014441</v>
      </c>
      <c r="Z24" s="13">
        <v>63.140508387451938</v>
      </c>
      <c r="AB24" s="13">
        <f t="shared" si="13"/>
        <v>61.00329814668018</v>
      </c>
      <c r="AC24" s="13"/>
      <c r="AE24" s="33">
        <f t="shared" si="0"/>
        <v>2.7254584463575409</v>
      </c>
      <c r="AF24" s="33">
        <f t="shared" si="1"/>
        <v>2.7254584463575409</v>
      </c>
      <c r="AH24">
        <v>20</v>
      </c>
      <c r="AI24">
        <v>0</v>
      </c>
    </row>
    <row r="25" spans="1:35">
      <c r="A25" s="14">
        <v>2030</v>
      </c>
      <c r="B25" s="13"/>
      <c r="C25" s="20">
        <f t="shared" si="17"/>
        <v>57.956761195220921</v>
      </c>
      <c r="D25" s="84">
        <f t="shared" si="8"/>
        <v>59.923561703791897</v>
      </c>
      <c r="E25" s="84">
        <f>J25-SUM(F$7:F25)</f>
        <v>2.4684598855317503</v>
      </c>
      <c r="F25" s="13">
        <f t="shared" si="9"/>
        <v>7.2561940674613218E-2</v>
      </c>
      <c r="G25" s="13">
        <f t="shared" si="10"/>
        <v>0.24187313558204399</v>
      </c>
      <c r="H25" s="13">
        <f t="shared" si="15"/>
        <v>0.24187313558204399</v>
      </c>
      <c r="I25" s="20">
        <f>I24+(I35-I15)/20</f>
        <v>0.3000000000000001</v>
      </c>
      <c r="J25" s="13">
        <f t="shared" si="11"/>
        <v>3.8408028088032391</v>
      </c>
      <c r="K25" s="13"/>
      <c r="L25" s="84">
        <f t="shared" si="16"/>
        <v>63.633386918850817</v>
      </c>
      <c r="M25" s="13">
        <f t="shared" si="4"/>
        <v>63.842741627581553</v>
      </c>
      <c r="N25" s="13">
        <f t="shared" si="5"/>
        <v>2031.9821818969122</v>
      </c>
      <c r="O25" s="13">
        <f t="shared" si="6"/>
        <v>2013.3484878821098</v>
      </c>
      <c r="P25" s="13">
        <f>1/Sweden!S103</f>
        <v>0.67256194067461317</v>
      </c>
      <c r="R25" s="87">
        <v>2030</v>
      </c>
      <c r="S25" s="13">
        <v>59.841699947058615</v>
      </c>
      <c r="T25" s="13">
        <v>57.956761195220921</v>
      </c>
      <c r="U25" s="13">
        <v>56.487350807899752</v>
      </c>
      <c r="W25" s="87">
        <v>2030</v>
      </c>
      <c r="X25" s="13">
        <v>29.808714895158911</v>
      </c>
      <c r="Y25" s="13">
        <f t="shared" si="12"/>
        <v>57.956761195220921</v>
      </c>
      <c r="Z25" s="13">
        <v>63.911709123404975</v>
      </c>
      <c r="AB25" s="13">
        <f t="shared" si="13"/>
        <v>62.338685509486218</v>
      </c>
      <c r="AC25" s="13"/>
      <c r="AE25" s="33">
        <f t="shared" si="0"/>
        <v>3.153762018190724</v>
      </c>
      <c r="AF25" s="33">
        <f t="shared" si="1"/>
        <v>3.153762018190724</v>
      </c>
      <c r="AH25">
        <v>21</v>
      </c>
      <c r="AI25">
        <v>0</v>
      </c>
    </row>
    <row r="26" spans="1:35">
      <c r="A26">
        <v>2031</v>
      </c>
      <c r="C26" s="13">
        <f t="shared" si="17"/>
        <v>60.056078419948754</v>
      </c>
      <c r="D26" s="84">
        <f>65*EXP(E26)/(1+EXP(E26))</f>
        <v>61.341341905155254</v>
      </c>
      <c r="E26" s="84">
        <f>J26-SUM(F$7:F26)</f>
        <v>2.8193575955260179</v>
      </c>
      <c r="F26" s="13">
        <f t="shared" si="9"/>
        <v>7.4980672030433668E-2</v>
      </c>
      <c r="G26" s="13">
        <f t="shared" si="10"/>
        <v>0.24187313558204399</v>
      </c>
      <c r="H26" s="13">
        <f t="shared" si="15"/>
        <v>0.24187313558204399</v>
      </c>
      <c r="I26" s="20">
        <f>I25+(I35-I15)/20</f>
        <v>0.31000000000000011</v>
      </c>
      <c r="J26" s="13">
        <f t="shared" si="11"/>
        <v>4.2666811908279403</v>
      </c>
      <c r="K26" s="13"/>
      <c r="L26" s="84">
        <f t="shared" si="16"/>
        <v>64.10077742868134</v>
      </c>
      <c r="M26" s="13">
        <f t="shared" si="4"/>
        <v>64.241208206836262</v>
      </c>
      <c r="N26" s="13">
        <f t="shared" si="5"/>
        <v>2032.9821818969122</v>
      </c>
      <c r="O26" s="13">
        <f t="shared" si="6"/>
        <v>2013.3484878821098</v>
      </c>
      <c r="P26" s="13">
        <f>P25</f>
        <v>0.67256194067461317</v>
      </c>
      <c r="R26">
        <v>2031</v>
      </c>
      <c r="S26" s="13">
        <v>61.45213262461008</v>
      </c>
      <c r="T26" s="13">
        <v>60.056078419948754</v>
      </c>
      <c r="U26" s="13">
        <v>58.826774620385564</v>
      </c>
      <c r="W26">
        <v>2031</v>
      </c>
      <c r="X26" s="13">
        <v>31.545763949876232</v>
      </c>
      <c r="Y26" s="13">
        <f t="shared" si="12"/>
        <v>60.056078419948754</v>
      </c>
      <c r="Z26" s="13">
        <v>64.373746820761781</v>
      </c>
      <c r="AB26" s="13">
        <f t="shared" si="13"/>
        <v>63.240757360076294</v>
      </c>
      <c r="AC26" s="13"/>
      <c r="AE26" s="33">
        <f t="shared" si="0"/>
        <v>3.5820655900239089</v>
      </c>
      <c r="AF26" s="33">
        <f t="shared" si="1"/>
        <v>3.5820655900239089</v>
      </c>
      <c r="AH26">
        <v>22</v>
      </c>
      <c r="AI26">
        <v>0</v>
      </c>
    </row>
    <row r="27" spans="1:35">
      <c r="A27">
        <v>2032</v>
      </c>
      <c r="C27" s="13">
        <f t="shared" si="17"/>
        <v>61.612702797981477</v>
      </c>
      <c r="D27" s="84">
        <f t="shared" si="8"/>
        <v>62.376448202668804</v>
      </c>
      <c r="E27" s="84">
        <f>J27-SUM(F$7:F27)</f>
        <v>3.168658723931784</v>
      </c>
      <c r="F27" s="13">
        <f t="shared" si="9"/>
        <v>7.7399403386254104E-2</v>
      </c>
      <c r="G27" s="13">
        <f t="shared" si="10"/>
        <v>0.24187313558204399</v>
      </c>
      <c r="H27" s="13">
        <f t="shared" si="15"/>
        <v>0.24187313558204399</v>
      </c>
      <c r="I27" s="20">
        <f>I26+(I35-I15)/20</f>
        <v>0.32000000000000012</v>
      </c>
      <c r="J27" s="13">
        <f t="shared" si="11"/>
        <v>4.6933817226199608</v>
      </c>
      <c r="K27" s="13"/>
      <c r="L27" s="84">
        <f t="shared" si="16"/>
        <v>64.410280610034334</v>
      </c>
      <c r="M27" s="13">
        <f t="shared" si="4"/>
        <v>64.503541890273766</v>
      </c>
      <c r="N27" s="13">
        <f t="shared" si="5"/>
        <v>2033.9821818969122</v>
      </c>
      <c r="O27" s="13">
        <f t="shared" si="6"/>
        <v>2013.3484878821098</v>
      </c>
      <c r="P27" s="13">
        <f t="shared" ref="P27:P50" si="18">P26</f>
        <v>0.67256194067461317</v>
      </c>
      <c r="R27">
        <v>2032</v>
      </c>
      <c r="S27" s="13">
        <v>62.491255572627701</v>
      </c>
      <c r="T27" s="13">
        <v>61.612702797981477</v>
      </c>
      <c r="U27" s="13">
        <v>60.64461198403346</v>
      </c>
      <c r="W27">
        <v>2032</v>
      </c>
      <c r="X27" s="13">
        <v>33.176630039979081</v>
      </c>
      <c r="Y27" s="13">
        <f t="shared" si="12"/>
        <v>61.612702797981477</v>
      </c>
      <c r="Z27" s="13">
        <v>64.619948828677138</v>
      </c>
      <c r="AB27" s="13">
        <f t="shared" si="13"/>
        <v>63.842741627581553</v>
      </c>
      <c r="AC27" s="13"/>
      <c r="AE27" s="33">
        <f t="shared" si="0"/>
        <v>4.0103691618570938</v>
      </c>
      <c r="AF27" s="33">
        <f t="shared" si="1"/>
        <v>4.0103691618570938</v>
      </c>
      <c r="AH27">
        <v>23</v>
      </c>
      <c r="AI27">
        <v>0</v>
      </c>
    </row>
    <row r="28" spans="1:35">
      <c r="A28">
        <v>2033</v>
      </c>
      <c r="C28" s="13">
        <f t="shared" si="17"/>
        <v>62.683968672407914</v>
      </c>
      <c r="D28" s="84">
        <f t="shared" si="8"/>
        <v>63.124237807234437</v>
      </c>
      <c r="E28" s="84">
        <f>J28-SUM(F$7:F28)</f>
        <v>3.5160897335509969</v>
      </c>
      <c r="F28" s="13">
        <f t="shared" si="9"/>
        <v>7.981813474207454E-2</v>
      </c>
      <c r="G28" s="13">
        <f t="shared" si="10"/>
        <v>0.24187313558204399</v>
      </c>
      <c r="H28" s="13">
        <f t="shared" si="15"/>
        <v>0.24187313558204399</v>
      </c>
      <c r="I28" s="20">
        <f>I27+(I35-I15)/20</f>
        <v>0.33000000000000013</v>
      </c>
      <c r="J28" s="13">
        <f t="shared" si="11"/>
        <v>5.1206308669812479</v>
      </c>
      <c r="K28" s="13"/>
      <c r="L28" s="84">
        <f t="shared" si="16"/>
        <v>64.614108133696732</v>
      </c>
      <c r="M28" s="13">
        <f t="shared" si="4"/>
        <v>64.67563805863881</v>
      </c>
      <c r="N28" s="13">
        <f t="shared" si="5"/>
        <v>2034.9821818969122</v>
      </c>
      <c r="O28" s="13">
        <f t="shared" si="6"/>
        <v>2013.3484878821098</v>
      </c>
      <c r="P28" s="13">
        <f t="shared" si="18"/>
        <v>0.67256194067461317</v>
      </c>
      <c r="R28">
        <v>2033</v>
      </c>
      <c r="S28" s="13">
        <v>63.246168054427315</v>
      </c>
      <c r="T28" s="13">
        <v>62.683968672407914</v>
      </c>
      <c r="U28" s="13">
        <v>61.981999864610792</v>
      </c>
      <c r="W28">
        <v>2033</v>
      </c>
      <c r="X28" s="13">
        <v>34.682082694849001</v>
      </c>
      <c r="Y28" s="13">
        <f t="shared" si="12"/>
        <v>62.683968672407914</v>
      </c>
      <c r="Z28" s="13">
        <v>64.772061097930845</v>
      </c>
      <c r="AB28" s="13">
        <f t="shared" si="13"/>
        <v>64.241208206836262</v>
      </c>
      <c r="AC28" s="13"/>
      <c r="AE28" s="33">
        <f t="shared" si="0"/>
        <v>4.4386727336902787</v>
      </c>
      <c r="AF28" s="33">
        <f t="shared" si="1"/>
        <v>4.4386727336902787</v>
      </c>
      <c r="AH28">
        <v>24</v>
      </c>
      <c r="AI28">
        <v>0</v>
      </c>
    </row>
    <row r="29" spans="1:35">
      <c r="A29">
        <v>2034</v>
      </c>
      <c r="C29" s="13">
        <f t="shared" si="17"/>
        <v>63.339454393893071</v>
      </c>
      <c r="D29" s="84">
        <f t="shared" si="8"/>
        <v>63.660758743793942</v>
      </c>
      <c r="E29" s="84">
        <f>J29-SUM(F$7:F29)</f>
        <v>3.8614651135887015</v>
      </c>
      <c r="F29" s="13">
        <f t="shared" si="9"/>
        <v>8.2236866097894989E-2</v>
      </c>
      <c r="G29" s="13">
        <f t="shared" si="10"/>
        <v>0.24187313558204399</v>
      </c>
      <c r="H29" s="13">
        <f t="shared" si="15"/>
        <v>0.24187313558204399</v>
      </c>
      <c r="I29" s="20">
        <f>I28+(I35-I15)/20</f>
        <v>0.34000000000000014</v>
      </c>
      <c r="J29" s="13">
        <f t="shared" si="11"/>
        <v>5.5482431131168477</v>
      </c>
      <c r="K29" s="13"/>
      <c r="L29" s="84">
        <f t="shared" si="16"/>
        <v>64.7478528852605</v>
      </c>
      <c r="M29" s="13">
        <f t="shared" si="4"/>
        <v>64.788273266841315</v>
      </c>
      <c r="N29" s="13">
        <f t="shared" si="5"/>
        <v>2035.9821818969122</v>
      </c>
      <c r="O29" s="13">
        <f t="shared" si="6"/>
        <v>2013.3484878821098</v>
      </c>
      <c r="P29" s="13">
        <f t="shared" si="18"/>
        <v>0.67256194067461317</v>
      </c>
      <c r="R29">
        <v>2034</v>
      </c>
      <c r="S29" s="13">
        <v>63.779489602814195</v>
      </c>
      <c r="T29" s="13">
        <v>63.339454393893071</v>
      </c>
      <c r="U29" s="13">
        <v>62.893216512230588</v>
      </c>
      <c r="W29">
        <v>2034</v>
      </c>
      <c r="X29" s="13">
        <v>36.047312180277984</v>
      </c>
      <c r="Y29" s="13">
        <f t="shared" si="12"/>
        <v>63.339454393893071</v>
      </c>
      <c r="Z29" s="13">
        <v>64.861546120239751</v>
      </c>
      <c r="AB29" s="13">
        <f t="shared" si="13"/>
        <v>64.503541890273766</v>
      </c>
      <c r="AC29" s="13"/>
      <c r="AE29" s="33">
        <f t="shared" si="0"/>
        <v>4.8669763055234636</v>
      </c>
      <c r="AF29" s="33">
        <f t="shared" si="1"/>
        <v>4.8669763055234636</v>
      </c>
      <c r="AH29">
        <v>25</v>
      </c>
      <c r="AI29">
        <v>0</v>
      </c>
    </row>
    <row r="30" spans="1:35">
      <c r="A30">
        <v>2035</v>
      </c>
      <c r="C30" s="13">
        <f t="shared" si="17"/>
        <v>63.812202712996964</v>
      </c>
      <c r="D30" s="84">
        <f t="shared" si="8"/>
        <v>64.04408767022899</v>
      </c>
      <c r="E30" s="84">
        <f>J30-SUM(F$7:F30)</f>
        <v>4.2046607914414569</v>
      </c>
      <c r="F30" s="13">
        <f t="shared" si="9"/>
        <v>8.4655597453715425E-2</v>
      </c>
      <c r="G30" s="13">
        <f t="shared" si="10"/>
        <v>0.24187313558204399</v>
      </c>
      <c r="H30" s="13">
        <f t="shared" si="15"/>
        <v>0.24187313558204399</v>
      </c>
      <c r="I30" s="20">
        <f>I29+(I35-I15)/20</f>
        <v>0.35000000000000014</v>
      </c>
      <c r="J30" s="13">
        <f t="shared" si="11"/>
        <v>5.9760943884233182</v>
      </c>
      <c r="K30" s="13"/>
      <c r="L30" s="84">
        <f t="shared" si="16"/>
        <v>64.835400927171861</v>
      </c>
      <c r="M30" s="13">
        <f t="shared" si="4"/>
        <v>64.861879245893505</v>
      </c>
      <c r="N30" s="13">
        <f t="shared" si="5"/>
        <v>2036.9821818969122</v>
      </c>
      <c r="O30" s="13">
        <f t="shared" si="6"/>
        <v>2013.3484878821098</v>
      </c>
      <c r="P30" s="13">
        <f t="shared" si="18"/>
        <v>0.67256194067461317</v>
      </c>
      <c r="R30">
        <v>2035</v>
      </c>
      <c r="S30" s="13">
        <v>64.152968113266766</v>
      </c>
      <c r="T30" s="13">
        <v>63.812202712996964</v>
      </c>
      <c r="U30" s="13">
        <v>63.453619722691464</v>
      </c>
      <c r="W30">
        <v>2035</v>
      </c>
      <c r="X30" s="13">
        <v>37.262276971027504</v>
      </c>
      <c r="Y30" s="13">
        <f t="shared" si="12"/>
        <v>63.812202712996964</v>
      </c>
      <c r="Z30" s="13">
        <v>64.909646490615955</v>
      </c>
      <c r="AB30" s="13">
        <f t="shared" si="13"/>
        <v>64.67563805863881</v>
      </c>
      <c r="AC30" s="13"/>
      <c r="AE30" s="33">
        <f t="shared" si="0"/>
        <v>5.2952798773566485</v>
      </c>
      <c r="AF30" s="33">
        <f t="shared" si="1"/>
        <v>5.2952798773566485</v>
      </c>
      <c r="AH30">
        <v>26</v>
      </c>
      <c r="AI30">
        <v>0</v>
      </c>
    </row>
    <row r="31" spans="1:35">
      <c r="A31">
        <v>2036</v>
      </c>
      <c r="C31" s="13">
        <f t="shared" si="17"/>
        <v>64.15119395269214</v>
      </c>
      <c r="D31" s="84">
        <f t="shared" si="8"/>
        <v>64.31734467398212</v>
      </c>
      <c r="E31" s="84">
        <f>J31-SUM(F$7:F31)</f>
        <v>4.5455945348721079</v>
      </c>
      <c r="F31" s="13">
        <f t="shared" si="9"/>
        <v>8.7074328809535875E-2</v>
      </c>
      <c r="G31" s="13">
        <f t="shared" si="10"/>
        <v>0.24187313558204399</v>
      </c>
      <c r="H31" s="13">
        <f t="shared" si="15"/>
        <v>0.24187313558204399</v>
      </c>
      <c r="I31" s="20">
        <f>I30+(I35-I15)/20</f>
        <v>0.36000000000000015</v>
      </c>
      <c r="J31" s="13">
        <f t="shared" si="11"/>
        <v>6.4041024606635055</v>
      </c>
      <c r="K31" s="13"/>
      <c r="L31" s="84">
        <f t="shared" si="16"/>
        <v>64.892618630246062</v>
      </c>
      <c r="M31" s="13">
        <f t="shared" si="4"/>
        <v>64.909931964655115</v>
      </c>
      <c r="N31" s="13">
        <f t="shared" si="5"/>
        <v>2037.9821818969122</v>
      </c>
      <c r="O31" s="13">
        <f t="shared" si="6"/>
        <v>2013.3484878821098</v>
      </c>
      <c r="P31" s="13">
        <f t="shared" si="18"/>
        <v>0.67256194067461317</v>
      </c>
      <c r="R31">
        <v>2036</v>
      </c>
      <c r="S31" s="13">
        <v>64.413007826720531</v>
      </c>
      <c r="T31" s="13">
        <v>64.15119395269214</v>
      </c>
      <c r="U31" s="13">
        <v>63.86554220418865</v>
      </c>
      <c r="W31">
        <v>2036</v>
      </c>
      <c r="X31" s="13">
        <v>38.321229855031426</v>
      </c>
      <c r="Y31" s="13">
        <f t="shared" si="12"/>
        <v>64.15119395269214</v>
      </c>
      <c r="Z31" s="13">
        <v>64.941066873045614</v>
      </c>
      <c r="AB31" s="13">
        <f t="shared" si="13"/>
        <v>64.788273266841315</v>
      </c>
      <c r="AC31" s="13"/>
      <c r="AE31" s="33">
        <f t="shared" si="0"/>
        <v>5.7235834491898334</v>
      </c>
      <c r="AF31" s="33">
        <f t="shared" si="1"/>
        <v>5.7235834491898334</v>
      </c>
      <c r="AH31">
        <v>27</v>
      </c>
      <c r="AI31">
        <v>0</v>
      </c>
    </row>
    <row r="32" spans="1:35">
      <c r="A32">
        <v>2037</v>
      </c>
      <c r="C32" s="13">
        <f t="shared" si="17"/>
        <v>64.393431774741117</v>
      </c>
      <c r="D32" s="84">
        <f t="shared" si="8"/>
        <v>64.511961754187922</v>
      </c>
      <c r="E32" s="84">
        <f>J32-SUM(F$7:F32)</f>
        <v>4.8842121637948459</v>
      </c>
      <c r="F32" s="13">
        <f t="shared" si="9"/>
        <v>8.9493060165356311E-2</v>
      </c>
      <c r="G32" s="13">
        <f t="shared" si="10"/>
        <v>0.24187313558204399</v>
      </c>
      <c r="H32" s="13">
        <f t="shared" si="15"/>
        <v>0.24187313558204399</v>
      </c>
      <c r="I32" s="20">
        <f>I31+(I35-I15)/20</f>
        <v>0.37000000000000016</v>
      </c>
      <c r="J32" s="13">
        <f t="shared" si="11"/>
        <v>6.8322131497515999</v>
      </c>
      <c r="K32" s="13"/>
      <c r="L32" s="84">
        <f t="shared" si="16"/>
        <v>64.929975056688875</v>
      </c>
      <c r="M32" s="13">
        <f t="shared" si="4"/>
        <v>64.941282099830573</v>
      </c>
      <c r="N32" s="13">
        <f t="shared" si="5"/>
        <v>2038.9821818969122</v>
      </c>
      <c r="O32" s="13">
        <f t="shared" si="6"/>
        <v>2013.3484878821098</v>
      </c>
      <c r="P32" s="13">
        <f t="shared" si="18"/>
        <v>0.67256194067461317</v>
      </c>
      <c r="R32">
        <v>2037</v>
      </c>
      <c r="S32" s="13">
        <v>64.593421741539359</v>
      </c>
      <c r="T32" s="13">
        <v>64.393431774741117</v>
      </c>
      <c r="U32" s="13">
        <v>64.167325413749992</v>
      </c>
      <c r="W32">
        <v>2037</v>
      </c>
      <c r="X32" s="13">
        <v>39.221801620018745</v>
      </c>
      <c r="Y32" s="13">
        <f t="shared" si="12"/>
        <v>64.393431774741117</v>
      </c>
      <c r="Z32" s="13">
        <v>64.96157388213274</v>
      </c>
      <c r="AB32" s="13">
        <f t="shared" si="13"/>
        <v>64.861879245893505</v>
      </c>
      <c r="AC32" s="13"/>
      <c r="AE32" s="33">
        <f t="shared" si="0"/>
        <v>6.1518870210230165</v>
      </c>
      <c r="AF32" s="33">
        <f t="shared" si="1"/>
        <v>6.1518870210230165</v>
      </c>
      <c r="AH32">
        <v>28</v>
      </c>
      <c r="AI32">
        <v>0</v>
      </c>
    </row>
    <row r="33" spans="1:35">
      <c r="A33">
        <v>2038</v>
      </c>
      <c r="C33" s="13">
        <f t="shared" si="17"/>
        <v>64.566268969835548</v>
      </c>
      <c r="D33" s="84">
        <f t="shared" si="8"/>
        <v>64.65058013888256</v>
      </c>
      <c r="E33" s="84">
        <f>J33-SUM(F$7:F33)</f>
        <v>5.2204781181120978</v>
      </c>
      <c r="F33" s="13">
        <f t="shared" si="9"/>
        <v>9.1911791521176761E-2</v>
      </c>
      <c r="G33" s="13">
        <f t="shared" si="10"/>
        <v>0.24187313558204399</v>
      </c>
      <c r="H33" s="13">
        <f t="shared" si="15"/>
        <v>0.24187313558204399</v>
      </c>
      <c r="I33" s="20">
        <f>I32+(I35-I15)/20</f>
        <v>0.38000000000000017</v>
      </c>
      <c r="J33" s="13">
        <f t="shared" si="11"/>
        <v>7.260390895590028</v>
      </c>
      <c r="K33" s="13"/>
      <c r="L33" s="84">
        <f t="shared" si="16"/>
        <v>64.954347924709722</v>
      </c>
      <c r="M33" s="13">
        <f t="shared" si="4"/>
        <v>64.961726574009816</v>
      </c>
      <c r="N33" s="13">
        <f t="shared" si="5"/>
        <v>2039.9821818969122</v>
      </c>
      <c r="O33" s="13">
        <f t="shared" si="6"/>
        <v>2013.3484878821098</v>
      </c>
      <c r="P33" s="13">
        <f t="shared" si="18"/>
        <v>0.67256194067461317</v>
      </c>
      <c r="R33">
        <v>2038</v>
      </c>
      <c r="S33" s="13">
        <v>64.718360530690717</v>
      </c>
      <c r="T33" s="13">
        <v>64.566268969835548</v>
      </c>
      <c r="U33" s="13">
        <v>64.388164607091497</v>
      </c>
      <c r="W33">
        <v>2038</v>
      </c>
      <c r="X33" s="13">
        <v>39.985342150061527</v>
      </c>
      <c r="Y33" s="13">
        <f t="shared" si="12"/>
        <v>64.566268969835548</v>
      </c>
      <c r="Z33" s="13">
        <v>64.974950605257092</v>
      </c>
      <c r="AB33" s="13">
        <f t="shared" si="13"/>
        <v>64.909931964655115</v>
      </c>
      <c r="AC33" s="13"/>
      <c r="AE33" s="33">
        <f t="shared" si="0"/>
        <v>6.5801905928562014</v>
      </c>
      <c r="AF33" s="33">
        <f t="shared" si="1"/>
        <v>6.5801905928562014</v>
      </c>
      <c r="AH33">
        <v>29</v>
      </c>
      <c r="AI33">
        <v>0</v>
      </c>
    </row>
    <row r="34" spans="1:35">
      <c r="A34">
        <v>2039</v>
      </c>
      <c r="C34" s="13">
        <f t="shared" si="17"/>
        <v>64.689552897893151</v>
      </c>
      <c r="D34" s="84">
        <f t="shared" si="8"/>
        <v>64.749386880535056</v>
      </c>
      <c r="E34" s="84">
        <f>J34-SUM(F$7:F34)</f>
        <v>5.5543691171843523</v>
      </c>
      <c r="F34" s="13">
        <f t="shared" si="9"/>
        <v>9.4330522876997197E-2</v>
      </c>
      <c r="G34" s="13">
        <f t="shared" si="10"/>
        <v>0.24187313558204399</v>
      </c>
      <c r="H34" s="13">
        <f t="shared" si="15"/>
        <v>0.24187313558204399</v>
      </c>
      <c r="I34" s="20">
        <f>I33+(I35-I15)/20</f>
        <v>0.39000000000000018</v>
      </c>
      <c r="J34" s="13">
        <f t="shared" si="11"/>
        <v>7.6886124175392796</v>
      </c>
      <c r="K34" s="13"/>
      <c r="L34" s="84">
        <f t="shared" si="16"/>
        <v>64.970242767165431</v>
      </c>
      <c r="M34" s="13">
        <f t="shared" si="4"/>
        <v>64.975055399055407</v>
      </c>
      <c r="N34" s="13">
        <f t="shared" si="5"/>
        <v>2040.9821818969122</v>
      </c>
      <c r="O34" s="13">
        <f t="shared" si="6"/>
        <v>2013.3484878821098</v>
      </c>
      <c r="P34" s="13">
        <f t="shared" si="18"/>
        <v>0.67256194067461317</v>
      </c>
      <c r="R34">
        <v>2039</v>
      </c>
      <c r="S34" s="13">
        <v>64.804817841368461</v>
      </c>
      <c r="T34" s="13">
        <v>64.689552897893151</v>
      </c>
      <c r="U34" s="13">
        <v>64.54979492615486</v>
      </c>
      <c r="W34">
        <v>2039</v>
      </c>
      <c r="X34" s="13">
        <v>40.634236354717125</v>
      </c>
      <c r="Y34" s="13">
        <f t="shared" si="12"/>
        <v>64.689552897893151</v>
      </c>
      <c r="Z34" s="13">
        <v>64.983673048031378</v>
      </c>
      <c r="AB34" s="13">
        <f t="shared" si="13"/>
        <v>64.941282099830573</v>
      </c>
      <c r="AC34" s="13"/>
      <c r="AE34" s="33">
        <f t="shared" si="0"/>
        <v>7.0084941646893864</v>
      </c>
      <c r="AF34" s="33">
        <f t="shared" si="1"/>
        <v>7.0084941646893864</v>
      </c>
      <c r="AH34">
        <v>30</v>
      </c>
      <c r="AI34">
        <v>0</v>
      </c>
    </row>
    <row r="35" spans="1:35">
      <c r="A35">
        <v>2040</v>
      </c>
      <c r="C35" s="13">
        <f t="shared" si="17"/>
        <v>64.777542227510679</v>
      </c>
      <c r="D35" s="84">
        <f>65*EXP(E35)/(1+EXP(E35))</f>
        <v>64.819902561577223</v>
      </c>
      <c r="E35" s="84">
        <f>J35-SUM(F$7:F35)</f>
        <v>5.8858699444810636</v>
      </c>
      <c r="F35" s="13">
        <f t="shared" si="9"/>
        <v>9.6749254232817605E-2</v>
      </c>
      <c r="G35" s="13">
        <f t="shared" si="10"/>
        <v>0.24187313558204399</v>
      </c>
      <c r="H35" s="13">
        <f t="shared" si="15"/>
        <v>0.24187313558204399</v>
      </c>
      <c r="I35" s="89">
        <v>0.4</v>
      </c>
      <c r="J35" s="13">
        <f t="shared" si="11"/>
        <v>8.1168624990688087</v>
      </c>
      <c r="K35" s="13"/>
      <c r="L35" s="84">
        <f t="shared" si="16"/>
        <v>64.980605653022039</v>
      </c>
      <c r="M35" s="13">
        <f t="shared" si="4"/>
        <v>64.983743585997715</v>
      </c>
      <c r="N35" s="13">
        <f t="shared" si="5"/>
        <v>2041.9821818969122</v>
      </c>
      <c r="O35" s="13">
        <f t="shared" si="6"/>
        <v>2013.3484878821098</v>
      </c>
      <c r="P35" s="13">
        <f t="shared" si="18"/>
        <v>0.67256194067461317</v>
      </c>
      <c r="R35" s="87">
        <v>2040</v>
      </c>
      <c r="S35" s="13">
        <v>64.864647599239802</v>
      </c>
      <c r="T35" s="13">
        <v>64.777542227510679</v>
      </c>
      <c r="U35" s="13">
        <v>64.668221132990112</v>
      </c>
      <c r="W35" s="87">
        <v>2040</v>
      </c>
      <c r="X35" s="13">
        <v>41.191264327706335</v>
      </c>
      <c r="Y35" s="13">
        <f t="shared" si="12"/>
        <v>64.777542227510679</v>
      </c>
      <c r="Z35" s="13">
        <v>64.989359255883159</v>
      </c>
      <c r="AB35" s="13">
        <f t="shared" si="13"/>
        <v>64.961726574009816</v>
      </c>
      <c r="AC35" s="13"/>
      <c r="AE35" s="33">
        <f t="shared" si="0"/>
        <v>7.4367977365225713</v>
      </c>
      <c r="AF35" s="33">
        <f t="shared" si="1"/>
        <v>7.4367977365225713</v>
      </c>
      <c r="AH35">
        <v>31</v>
      </c>
      <c r="AI35">
        <v>0</v>
      </c>
    </row>
    <row r="36" spans="1:35">
      <c r="A36">
        <v>2041</v>
      </c>
      <c r="C36" s="13">
        <f t="shared" si="17"/>
        <v>64.840417172877181</v>
      </c>
      <c r="D36" s="84">
        <f t="shared" si="8"/>
        <v>64.870619109455063</v>
      </c>
      <c r="E36" s="84">
        <f>J36-SUM(F$7:F36)</f>
        <v>6.2173893962448261</v>
      </c>
      <c r="F36" s="13">
        <f t="shared" si="9"/>
        <v>9.6749254232817605E-2</v>
      </c>
      <c r="G36" s="13">
        <f t="shared" si="10"/>
        <v>0.24187313558204399</v>
      </c>
      <c r="H36" s="13">
        <f t="shared" si="15"/>
        <v>0.24187313558204399</v>
      </c>
      <c r="I36" s="89">
        <f>I35</f>
        <v>0.4</v>
      </c>
      <c r="J36" s="13">
        <f t="shared" si="11"/>
        <v>8.5451312050653883</v>
      </c>
      <c r="K36" s="13"/>
      <c r="L36" s="84">
        <f t="shared" si="16"/>
        <v>64.987360625863261</v>
      </c>
      <c r="M36" s="13">
        <f t="shared" si="4"/>
        <v>64.989406176933613</v>
      </c>
      <c r="N36" s="13">
        <f t="shared" si="5"/>
        <v>2042.9821818969122</v>
      </c>
      <c r="O36" s="13">
        <f t="shared" si="6"/>
        <v>2013.3484878821098</v>
      </c>
      <c r="P36" s="13">
        <f t="shared" si="18"/>
        <v>0.67256194067461317</v>
      </c>
      <c r="R36">
        <v>2041</v>
      </c>
      <c r="S36" s="13">
        <v>64.906073741321464</v>
      </c>
      <c r="T36" s="13">
        <v>64.840417172877181</v>
      </c>
      <c r="U36" s="13">
        <v>64.755147342179271</v>
      </c>
      <c r="W36">
        <v>2041</v>
      </c>
      <c r="X36" s="13">
        <v>41.679158228663539</v>
      </c>
      <c r="Y36" s="13">
        <f t="shared" si="12"/>
        <v>64.840417172877181</v>
      </c>
      <c r="Z36" s="13">
        <v>64.993065547873854</v>
      </c>
      <c r="AB36" s="13">
        <f t="shared" si="13"/>
        <v>64.975055399055407</v>
      </c>
      <c r="AE36" s="33">
        <f t="shared" si="0"/>
        <v>7.8651013083557562</v>
      </c>
      <c r="AF36" s="33">
        <f t="shared" ref="AF36:AF50" si="19">AE36</f>
        <v>7.8651013083557562</v>
      </c>
      <c r="AH36">
        <v>32</v>
      </c>
      <c r="AI36">
        <v>0</v>
      </c>
    </row>
    <row r="37" spans="1:35">
      <c r="A37">
        <v>2042</v>
      </c>
      <c r="C37" s="13">
        <f t="shared" si="17"/>
        <v>64.885419993386549</v>
      </c>
      <c r="D37" s="84">
        <f t="shared" si="8"/>
        <v>64.907075166632083</v>
      </c>
      <c r="E37" s="84">
        <f>J37-SUM(F$7:F37)</f>
        <v>6.5489209901925429</v>
      </c>
      <c r="F37" s="13">
        <f t="shared" si="9"/>
        <v>9.6749254232817605E-2</v>
      </c>
      <c r="G37" s="13">
        <f t="shared" si="10"/>
        <v>0.24187313558204399</v>
      </c>
      <c r="H37" s="13">
        <f t="shared" si="15"/>
        <v>0.24187313558204399</v>
      </c>
      <c r="I37" s="89">
        <f t="shared" ref="I37:I50" si="20">I36</f>
        <v>0.4</v>
      </c>
      <c r="J37" s="13">
        <f t="shared" si="11"/>
        <v>8.9734120532459229</v>
      </c>
      <c r="K37" s="13"/>
      <c r="L37" s="84">
        <f t="shared" si="16"/>
        <v>64.991763267132484</v>
      </c>
      <c r="M37" s="13">
        <f t="shared" si="4"/>
        <v>64.993096529113629</v>
      </c>
      <c r="N37" s="13">
        <f t="shared" si="5"/>
        <v>2043.9821818969122</v>
      </c>
      <c r="O37" s="13">
        <f t="shared" si="6"/>
        <v>2013.3484878821098</v>
      </c>
      <c r="P37" s="13">
        <f t="shared" si="18"/>
        <v>0.67256194067461317</v>
      </c>
      <c r="R37">
        <v>2042</v>
      </c>
      <c r="S37" s="13">
        <v>64.934783666441589</v>
      </c>
      <c r="T37" s="13">
        <v>64.885419993386549</v>
      </c>
      <c r="U37" s="13">
        <v>64.819098420312542</v>
      </c>
      <c r="W37">
        <v>2042</v>
      </c>
      <c r="X37" s="13">
        <v>42.120334524828159</v>
      </c>
      <c r="Y37" s="13">
        <f t="shared" si="12"/>
        <v>64.885419993386549</v>
      </c>
      <c r="Z37" s="13">
        <v>64.995481077598086</v>
      </c>
      <c r="AB37" s="13">
        <f t="shared" si="13"/>
        <v>64.983743585997715</v>
      </c>
      <c r="AE37" s="33">
        <f t="shared" si="0"/>
        <v>8.2934048801889411</v>
      </c>
      <c r="AF37" s="33">
        <f t="shared" si="19"/>
        <v>8.2934048801889411</v>
      </c>
      <c r="AH37">
        <v>33</v>
      </c>
      <c r="AI37">
        <v>0</v>
      </c>
    </row>
    <row r="38" spans="1:35">
      <c r="A38">
        <v>2043</v>
      </c>
      <c r="C38" s="13">
        <f t="shared" si="17"/>
        <v>64.917693804690941</v>
      </c>
      <c r="D38" s="84">
        <f t="shared" si="8"/>
        <v>64.933269981304889</v>
      </c>
      <c r="E38" s="84">
        <f>J38-SUM(F$7:F38)</f>
        <v>6.8804604987987084</v>
      </c>
      <c r="F38" s="13">
        <f t="shared" si="9"/>
        <v>9.6749254232817605E-2</v>
      </c>
      <c r="G38" s="13">
        <f t="shared" si="10"/>
        <v>0.24187313558204399</v>
      </c>
      <c r="H38" s="13">
        <f t="shared" si="15"/>
        <v>0.24187313558204399</v>
      </c>
      <c r="I38" s="89">
        <f t="shared" si="20"/>
        <v>0.4</v>
      </c>
      <c r="J38" s="13">
        <f t="shared" si="11"/>
        <v>9.4017008160849063</v>
      </c>
      <c r="K38" s="13"/>
      <c r="L38" s="84">
        <f t="shared" si="16"/>
        <v>64.994632516628783</v>
      </c>
      <c r="M38" s="13">
        <f t="shared" si="4"/>
        <v>64.995501438215939</v>
      </c>
      <c r="N38" s="13">
        <f t="shared" si="5"/>
        <v>2044.9821818969122</v>
      </c>
      <c r="O38" s="13">
        <f t="shared" si="6"/>
        <v>2013.3484878821098</v>
      </c>
      <c r="P38" s="13">
        <f t="shared" si="18"/>
        <v>0.67256194067461317</v>
      </c>
      <c r="R38">
        <v>2043</v>
      </c>
      <c r="S38" s="13">
        <v>64.954704096295004</v>
      </c>
      <c r="T38" s="13">
        <v>64.917693804690941</v>
      </c>
      <c r="U38" s="13">
        <v>64.866271528623273</v>
      </c>
      <c r="W38">
        <v>2043</v>
      </c>
      <c r="X38" s="13">
        <v>42.536768730966791</v>
      </c>
      <c r="Y38" s="13">
        <f t="shared" si="12"/>
        <v>64.917693804690941</v>
      </c>
      <c r="Z38" s="13">
        <v>64.997055264745953</v>
      </c>
      <c r="AB38" s="13">
        <f t="shared" si="13"/>
        <v>64.989406176933613</v>
      </c>
      <c r="AE38" s="33">
        <f t="shared" si="0"/>
        <v>8.721708452022126</v>
      </c>
      <c r="AF38" s="33">
        <f t="shared" si="19"/>
        <v>8.721708452022126</v>
      </c>
      <c r="AH38">
        <v>34</v>
      </c>
      <c r="AI38">
        <v>0</v>
      </c>
    </row>
    <row r="39" spans="1:35">
      <c r="A39">
        <v>2044</v>
      </c>
      <c r="C39" s="13">
        <f t="shared" si="17"/>
        <v>64.940889263029618</v>
      </c>
      <c r="D39" s="84">
        <f t="shared" si="8"/>
        <v>64.952086371753481</v>
      </c>
      <c r="E39" s="84">
        <f>J39-SUM(F$7:F39)</f>
        <v>7.2120051658281241</v>
      </c>
      <c r="F39" s="13">
        <f t="shared" si="9"/>
        <v>9.6749254232817605E-2</v>
      </c>
      <c r="G39" s="13">
        <f t="shared" si="10"/>
        <v>0.24187313558204399</v>
      </c>
      <c r="H39" s="13">
        <f t="shared" si="15"/>
        <v>0.24187313558204399</v>
      </c>
      <c r="I39" s="89">
        <f t="shared" si="20"/>
        <v>0.4</v>
      </c>
      <c r="J39" s="13">
        <f t="shared" si="11"/>
        <v>9.829994737347139</v>
      </c>
      <c r="K39" s="13"/>
      <c r="L39" s="84">
        <f t="shared" si="16"/>
        <v>64.996502340606966</v>
      </c>
      <c r="M39" s="13">
        <f t="shared" si="4"/>
        <v>64.997068605401537</v>
      </c>
      <c r="N39" s="13">
        <f t="shared" si="5"/>
        <v>2045.9821818969122</v>
      </c>
      <c r="O39" s="13">
        <f t="shared" si="6"/>
        <v>2013.3484878821098</v>
      </c>
      <c r="P39" s="13">
        <f t="shared" si="18"/>
        <v>0.67256194067461317</v>
      </c>
      <c r="R39">
        <v>2044</v>
      </c>
      <c r="S39" s="13">
        <v>64.968544501927227</v>
      </c>
      <c r="T39" s="13">
        <v>64.940889263029618</v>
      </c>
      <c r="U39" s="13">
        <v>64.901169595259574</v>
      </c>
      <c r="W39">
        <v>2044</v>
      </c>
      <c r="X39" s="13">
        <v>42.949978978205841</v>
      </c>
      <c r="Y39" s="13">
        <f t="shared" si="12"/>
        <v>64.940889263029618</v>
      </c>
      <c r="Z39" s="13">
        <v>64.998081109355326</v>
      </c>
      <c r="AB39" s="13">
        <f t="shared" si="13"/>
        <v>64.993096529113629</v>
      </c>
      <c r="AE39" s="33">
        <f t="shared" si="0"/>
        <v>9.1500120238553109</v>
      </c>
      <c r="AF39" s="33">
        <f t="shared" si="19"/>
        <v>9.1500120238553109</v>
      </c>
      <c r="AH39">
        <v>35</v>
      </c>
      <c r="AI39">
        <v>0</v>
      </c>
    </row>
    <row r="40" spans="1:35">
      <c r="A40">
        <v>2045</v>
      </c>
      <c r="C40" s="13">
        <f t="shared" si="17"/>
        <v>64.957554080232526</v>
      </c>
      <c r="D40" s="84">
        <f t="shared" si="8"/>
        <v>64.965599882448132</v>
      </c>
      <c r="E40" s="84">
        <f>J40-SUM(F$7:F40)</f>
        <v>7.5435531946280818</v>
      </c>
      <c r="F40" s="13">
        <f t="shared" si="9"/>
        <v>9.6749254232817605E-2</v>
      </c>
      <c r="G40" s="13">
        <f t="shared" si="10"/>
        <v>0.24187313558204399</v>
      </c>
      <c r="H40" s="13">
        <f t="shared" si="15"/>
        <v>0.24187313558204399</v>
      </c>
      <c r="I40" s="89">
        <f t="shared" si="20"/>
        <v>0.4</v>
      </c>
      <c r="J40" s="13">
        <f t="shared" si="11"/>
        <v>10.258292020379914</v>
      </c>
      <c r="K40" s="13"/>
      <c r="L40" s="84">
        <f t="shared" si="16"/>
        <v>64.997720820605281</v>
      </c>
      <c r="M40" s="13">
        <f t="shared" si="4"/>
        <v>64.998089833479213</v>
      </c>
      <c r="N40" s="13">
        <f t="shared" si="5"/>
        <v>2046.9821818969122</v>
      </c>
      <c r="O40" s="13">
        <f t="shared" si="6"/>
        <v>2013.3484878821098</v>
      </c>
      <c r="P40" s="13">
        <f t="shared" si="18"/>
        <v>0.67256194067461317</v>
      </c>
      <c r="R40">
        <v>2045</v>
      </c>
      <c r="S40" s="13">
        <v>64.978158155968927</v>
      </c>
      <c r="T40" s="13">
        <v>64.957554080232526</v>
      </c>
      <c r="U40" s="13">
        <v>64.92697481169067</v>
      </c>
      <c r="W40">
        <v>2045</v>
      </c>
      <c r="X40" s="13">
        <v>43.359706904364124</v>
      </c>
      <c r="Y40" s="13">
        <f t="shared" si="12"/>
        <v>64.957554080232526</v>
      </c>
      <c r="Z40" s="13">
        <v>64.998749598829917</v>
      </c>
      <c r="AB40" s="13">
        <f t="shared" si="13"/>
        <v>64.995501438215939</v>
      </c>
      <c r="AE40" s="33">
        <f t="shared" si="0"/>
        <v>9.5783155956884958</v>
      </c>
      <c r="AF40" s="33">
        <f t="shared" si="19"/>
        <v>9.5783155956884958</v>
      </c>
      <c r="AH40">
        <v>36</v>
      </c>
      <c r="AI40">
        <v>0</v>
      </c>
    </row>
    <row r="41" spans="1:35">
      <c r="A41">
        <v>2046</v>
      </c>
      <c r="C41" s="13">
        <f t="shared" si="17"/>
        <v>64.969523889416351</v>
      </c>
      <c r="D41" s="84">
        <f t="shared" si="8"/>
        <v>64.975303559665733</v>
      </c>
      <c r="E41" s="84">
        <f>J41-SUM(F$7:F41)</f>
        <v>7.875103414217743</v>
      </c>
      <c r="F41" s="13">
        <f t="shared" si="9"/>
        <v>9.6749254232817605E-2</v>
      </c>
      <c r="G41" s="13">
        <f t="shared" si="10"/>
        <v>0.24187313558204399</v>
      </c>
      <c r="H41" s="13">
        <f t="shared" si="15"/>
        <v>0.24187313558204399</v>
      </c>
      <c r="I41" s="89">
        <f t="shared" si="20"/>
        <v>0.4</v>
      </c>
      <c r="J41" s="13">
        <f t="shared" si="11"/>
        <v>10.686591494202393</v>
      </c>
      <c r="K41" s="13"/>
      <c r="L41" s="84">
        <f t="shared" si="16"/>
        <v>64.998514831541826</v>
      </c>
      <c r="M41" s="13">
        <f t="shared" si="4"/>
        <v>64.998755296824513</v>
      </c>
      <c r="N41" s="13">
        <f t="shared" si="5"/>
        <v>2047.9821818969122</v>
      </c>
      <c r="O41" s="13">
        <f t="shared" si="6"/>
        <v>2013.3484878821098</v>
      </c>
      <c r="P41" s="13">
        <f t="shared" si="18"/>
        <v>0.67256194067461317</v>
      </c>
      <c r="R41">
        <v>2046</v>
      </c>
      <c r="S41" s="13">
        <v>64.984834700975497</v>
      </c>
      <c r="T41" s="13">
        <v>64.969523889416351</v>
      </c>
      <c r="U41" s="13">
        <v>64.94604986995634</v>
      </c>
      <c r="W41">
        <v>2046</v>
      </c>
      <c r="X41" s="13">
        <v>43.765749089854239</v>
      </c>
      <c r="Y41" s="13">
        <f t="shared" si="12"/>
        <v>64.969523889416351</v>
      </c>
      <c r="Z41" s="13">
        <v>64.999184340341259</v>
      </c>
      <c r="AB41" s="13">
        <f t="shared" si="13"/>
        <v>64.997068605401537</v>
      </c>
      <c r="AE41" s="33">
        <f t="shared" si="0"/>
        <v>10.006619167521679</v>
      </c>
      <c r="AF41" s="33">
        <f t="shared" si="19"/>
        <v>10.006619167521679</v>
      </c>
      <c r="AH41">
        <v>37</v>
      </c>
      <c r="AI41">
        <v>0</v>
      </c>
    </row>
    <row r="42" spans="1:35">
      <c r="A42">
        <v>2047</v>
      </c>
      <c r="C42" s="13">
        <f t="shared" si="17"/>
        <v>64.978119853143511</v>
      </c>
      <c r="D42" s="84">
        <f t="shared" si="8"/>
        <v>64.982270769947903</v>
      </c>
      <c r="E42" s="84">
        <f>J42-SUM(F$7:F42)</f>
        <v>8.2066550614221683</v>
      </c>
      <c r="F42" s="13">
        <f t="shared" si="9"/>
        <v>9.6749254232817605E-2</v>
      </c>
      <c r="G42" s="13">
        <f t="shared" si="10"/>
        <v>0.24187313558204399</v>
      </c>
      <c r="H42" s="13">
        <f t="shared" si="15"/>
        <v>0.24187313558204399</v>
      </c>
      <c r="I42" s="89">
        <f t="shared" si="20"/>
        <v>0.4</v>
      </c>
      <c r="J42" s="13">
        <f t="shared" si="11"/>
        <v>11.114892395639636</v>
      </c>
      <c r="K42" s="13"/>
      <c r="L42" s="84">
        <f t="shared" si="16"/>
        <v>64.999032233786238</v>
      </c>
      <c r="M42" s="13">
        <f t="shared" si="4"/>
        <v>64.999188929105259</v>
      </c>
      <c r="N42" s="13">
        <f t="shared" si="5"/>
        <v>2048.9821818969122</v>
      </c>
      <c r="O42" s="13">
        <f t="shared" si="6"/>
        <v>2013.3484878821098</v>
      </c>
      <c r="P42" s="13">
        <f t="shared" si="18"/>
        <v>0.67256194067461317</v>
      </c>
      <c r="R42">
        <v>2047</v>
      </c>
      <c r="S42" s="13">
        <v>64.989470901935448</v>
      </c>
      <c r="T42" s="13">
        <v>64.978119853143511</v>
      </c>
      <c r="U42" s="13">
        <v>64.960146504983115</v>
      </c>
      <c r="W42">
        <v>2047</v>
      </c>
      <c r="X42" s="13">
        <v>44.16793968516474</v>
      </c>
      <c r="Y42" s="13">
        <f t="shared" si="12"/>
        <v>64.978119853143511</v>
      </c>
      <c r="Z42" s="13">
        <v>64.999465889652114</v>
      </c>
      <c r="AB42" s="13">
        <f t="shared" si="13"/>
        <v>64.998089833479213</v>
      </c>
      <c r="AE42" s="33">
        <f t="shared" si="0"/>
        <v>10.434922739354866</v>
      </c>
      <c r="AF42" s="33">
        <f t="shared" si="19"/>
        <v>10.434922739354866</v>
      </c>
      <c r="AH42">
        <v>38</v>
      </c>
      <c r="AI42">
        <v>0</v>
      </c>
    </row>
    <row r="43" spans="1:35">
      <c r="A43">
        <v>2048</v>
      </c>
      <c r="C43" s="13">
        <f t="shared" si="17"/>
        <v>64.984292126982268</v>
      </c>
      <c r="D43" s="84">
        <f t="shared" si="8"/>
        <v>64.98727282987538</v>
      </c>
      <c r="E43" s="84">
        <f>J43-SUM(F$7:F43)</f>
        <v>8.5382076389469699</v>
      </c>
      <c r="F43" s="13">
        <f t="shared" si="9"/>
        <v>9.6749254232817605E-2</v>
      </c>
      <c r="G43" s="13">
        <f t="shared" si="10"/>
        <v>0.24187313558204399</v>
      </c>
      <c r="H43" s="13">
        <f t="shared" si="15"/>
        <v>0.24187313558204399</v>
      </c>
      <c r="I43" s="89">
        <f t="shared" si="20"/>
        <v>0.4</v>
      </c>
      <c r="J43" s="13">
        <f t="shared" si="11"/>
        <v>11.543194227397255</v>
      </c>
      <c r="K43" s="13"/>
      <c r="L43" s="84">
        <f t="shared" si="16"/>
        <v>64.999369386031077</v>
      </c>
      <c r="M43" s="13">
        <f t="shared" si="4"/>
        <v>64.999471492898607</v>
      </c>
      <c r="N43" s="13">
        <f t="shared" si="5"/>
        <v>2049.9821818969122</v>
      </c>
      <c r="O43" s="13">
        <f t="shared" si="6"/>
        <v>2013.3484878821098</v>
      </c>
      <c r="P43" s="13">
        <f t="shared" si="18"/>
        <v>0.67256194067461317</v>
      </c>
      <c r="R43">
        <v>2048</v>
      </c>
      <c r="S43" s="13">
        <v>64.99269001474083</v>
      </c>
      <c r="T43" s="13">
        <v>64.984292126982268</v>
      </c>
      <c r="U43" s="13">
        <v>64.970562120603034</v>
      </c>
      <c r="W43">
        <v>2048</v>
      </c>
      <c r="X43" s="13">
        <v>44.566139094093117</v>
      </c>
      <c r="Y43" s="13">
        <f t="shared" si="12"/>
        <v>64.984292126982268</v>
      </c>
      <c r="Z43" s="13">
        <v>64.99964674293939</v>
      </c>
      <c r="AB43" s="13">
        <f t="shared" si="13"/>
        <v>64.998755296824513</v>
      </c>
      <c r="AE43" s="33">
        <f t="shared" si="0"/>
        <v>10.863226311188049</v>
      </c>
      <c r="AF43" s="33">
        <f t="shared" si="19"/>
        <v>10.863226311188049</v>
      </c>
      <c r="AH43">
        <v>39</v>
      </c>
      <c r="AI43">
        <v>0</v>
      </c>
    </row>
    <row r="44" spans="1:35">
      <c r="A44">
        <v>2049</v>
      </c>
      <c r="C44" s="13">
        <f t="shared" si="17"/>
        <v>64.988705304016904</v>
      </c>
      <c r="D44" s="84">
        <f t="shared" si="8"/>
        <v>64.990863830918968</v>
      </c>
      <c r="E44" s="84">
        <f>J44-SUM(F$7:F44)</f>
        <v>8.8697608226899121</v>
      </c>
      <c r="F44" s="13">
        <f t="shared" si="9"/>
        <v>9.6749254232817605E-2</v>
      </c>
      <c r="G44" s="13">
        <f t="shared" si="10"/>
        <v>0.24187313558204399</v>
      </c>
      <c r="H44" s="13">
        <f t="shared" si="15"/>
        <v>0.24187313558204399</v>
      </c>
      <c r="I44" s="89">
        <f t="shared" si="20"/>
        <v>0.4</v>
      </c>
      <c r="J44" s="13">
        <f t="shared" si="11"/>
        <v>11.971496665373014</v>
      </c>
      <c r="K44" s="13"/>
      <c r="L44" s="84">
        <f t="shared" si="16"/>
        <v>64.999589081523567</v>
      </c>
      <c r="M44" s="13">
        <f t="shared" si="4"/>
        <v>64.999655616623642</v>
      </c>
      <c r="N44" s="13">
        <f t="shared" si="5"/>
        <v>2050.9821818969122</v>
      </c>
      <c r="O44" s="13">
        <f t="shared" si="6"/>
        <v>2013.3484878821098</v>
      </c>
      <c r="P44" s="13">
        <f t="shared" si="18"/>
        <v>0.67256194067461317</v>
      </c>
      <c r="R44">
        <v>2049</v>
      </c>
      <c r="S44" s="13">
        <v>64.994917885588549</v>
      </c>
      <c r="T44" s="13">
        <v>64.988705304016904</v>
      </c>
      <c r="U44" s="13">
        <v>64.978217007056671</v>
      </c>
      <c r="W44">
        <v>2049</v>
      </c>
      <c r="X44" s="13">
        <v>44.960226618097927</v>
      </c>
      <c r="Y44" s="13">
        <f t="shared" si="12"/>
        <v>64.988705304016904</v>
      </c>
      <c r="Z44" s="13">
        <v>64.999761109525963</v>
      </c>
      <c r="AB44" s="13">
        <f t="shared" si="13"/>
        <v>64.999188929105259</v>
      </c>
      <c r="AE44" s="33">
        <f t="shared" si="0"/>
        <v>11.291529883021235</v>
      </c>
      <c r="AF44" s="33">
        <f t="shared" si="19"/>
        <v>11.291529883021235</v>
      </c>
      <c r="AH44">
        <v>40</v>
      </c>
      <c r="AI44">
        <v>0</v>
      </c>
    </row>
    <row r="45" spans="1:35">
      <c r="A45">
        <v>2050</v>
      </c>
      <c r="C45" s="13">
        <f t="shared" si="17"/>
        <v>64.991833180184727</v>
      </c>
      <c r="D45" s="84">
        <f t="shared" si="8"/>
        <v>64.993441727394952</v>
      </c>
      <c r="E45" s="84">
        <f>J45-SUM(F$7:F45)</f>
        <v>9.2013144014079877</v>
      </c>
      <c r="F45" s="13">
        <f t="shared" si="9"/>
        <v>9.6749254232817605E-2</v>
      </c>
      <c r="G45" s="13">
        <f t="shared" si="10"/>
        <v>0.24187313558204399</v>
      </c>
      <c r="H45" s="13">
        <f t="shared" si="15"/>
        <v>0.24187313558204399</v>
      </c>
      <c r="I45" s="89">
        <f t="shared" si="20"/>
        <v>0.4</v>
      </c>
      <c r="J45" s="13">
        <f t="shared" si="11"/>
        <v>12.399799498323908</v>
      </c>
      <c r="K45" s="13"/>
      <c r="L45" s="84">
        <f t="shared" si="16"/>
        <v>64.999732239155691</v>
      </c>
      <c r="M45" s="13">
        <f t="shared" si="4"/>
        <v>64.999775594703351</v>
      </c>
      <c r="N45" s="13">
        <f t="shared" si="5"/>
        <v>2051.9821818969122</v>
      </c>
      <c r="O45" s="13">
        <f t="shared" si="6"/>
        <v>2013.3484878821098</v>
      </c>
      <c r="P45" s="13">
        <f t="shared" si="18"/>
        <v>0.67256194067461317</v>
      </c>
      <c r="R45">
        <v>2050</v>
      </c>
      <c r="S45" s="13">
        <v>64.99644936873328</v>
      </c>
      <c r="T45" s="13">
        <v>64.991833180184727</v>
      </c>
      <c r="U45" s="13">
        <v>64.98378126604338</v>
      </c>
      <c r="W45">
        <v>2050</v>
      </c>
      <c r="X45" s="13">
        <v>45.350095681515207</v>
      </c>
      <c r="Y45" s="13">
        <f t="shared" si="12"/>
        <v>64.991833180184727</v>
      </c>
      <c r="Z45" s="13">
        <v>64.999831281563459</v>
      </c>
      <c r="AB45" s="13">
        <f t="shared" si="13"/>
        <v>64.999471492898607</v>
      </c>
      <c r="AE45" s="33">
        <f t="shared" si="0"/>
        <v>11.719833454854419</v>
      </c>
      <c r="AF45" s="33">
        <f t="shared" si="19"/>
        <v>11.719833454854419</v>
      </c>
      <c r="AH45">
        <v>41</v>
      </c>
      <c r="AI45">
        <v>0</v>
      </c>
    </row>
    <row r="46" spans="1:35">
      <c r="A46">
        <v>2051</v>
      </c>
      <c r="C46" s="20">
        <f t="shared" si="17"/>
        <v>64.994364050720108</v>
      </c>
      <c r="D46" s="84">
        <f t="shared" si="8"/>
        <v>64.99529228862481</v>
      </c>
      <c r="E46" s="84">
        <f>J46-SUM(F$7:F46)</f>
        <v>9.5328682375917726</v>
      </c>
      <c r="F46" s="13">
        <f t="shared" si="9"/>
        <v>9.6749254232817605E-2</v>
      </c>
      <c r="G46" s="13">
        <f t="shared" si="10"/>
        <v>0.24187313558204399</v>
      </c>
      <c r="H46" s="13">
        <f t="shared" si="15"/>
        <v>0.24187313558204399</v>
      </c>
      <c r="I46" s="89">
        <f t="shared" si="20"/>
        <v>0.4</v>
      </c>
      <c r="J46" s="13">
        <f t="shared" si="11"/>
        <v>12.82810258874051</v>
      </c>
      <c r="K46" s="13"/>
      <c r="L46" s="84">
        <f t="shared" si="16"/>
        <v>64.99982552306507</v>
      </c>
      <c r="M46" s="13">
        <f t="shared" si="4"/>
        <v>64.999853774286919</v>
      </c>
      <c r="N46" s="13">
        <f t="shared" si="5"/>
        <v>2052.9821818969122</v>
      </c>
      <c r="O46" s="13">
        <f t="shared" si="6"/>
        <v>2013.3484878821098</v>
      </c>
      <c r="P46" s="13">
        <f t="shared" si="18"/>
        <v>0.67256194067461317</v>
      </c>
      <c r="AB46" s="13">
        <f t="shared" si="13"/>
        <v>64.999655616623642</v>
      </c>
      <c r="AE46" s="33">
        <f t="shared" si="0"/>
        <v>12.148137026687602</v>
      </c>
      <c r="AF46" s="33">
        <f t="shared" si="19"/>
        <v>12.148137026687602</v>
      </c>
      <c r="AH46">
        <v>42</v>
      </c>
      <c r="AI46">
        <v>0</v>
      </c>
    </row>
    <row r="47" spans="1:35">
      <c r="A47">
        <v>2052</v>
      </c>
      <c r="C47" s="20">
        <f t="shared" si="17"/>
        <v>64.996180964030629</v>
      </c>
      <c r="D47" s="84">
        <f t="shared" si="8"/>
        <v>64.996492121690579</v>
      </c>
      <c r="E47" s="84">
        <f>J47-SUM(F$7:F47)</f>
        <v>9.8270771955998235</v>
      </c>
      <c r="F47" s="13">
        <f t="shared" si="9"/>
        <v>9.6749254232817605E-2</v>
      </c>
      <c r="G47" s="13">
        <f t="shared" si="10"/>
        <v>0.24187313558204399</v>
      </c>
      <c r="H47" s="13">
        <f t="shared" si="15"/>
        <v>0.24187313558204399</v>
      </c>
      <c r="I47" s="89">
        <f t="shared" si="20"/>
        <v>0.4</v>
      </c>
      <c r="J47" s="13">
        <f t="shared" si="11"/>
        <v>13.219060800981378</v>
      </c>
      <c r="K47" s="13"/>
      <c r="L47" s="84">
        <f t="shared" si="16"/>
        <v>64.999881982229425</v>
      </c>
      <c r="M47" s="13">
        <f t="shared" si="4"/>
        <v>64.99990471726592</v>
      </c>
      <c r="N47" s="13">
        <f t="shared" si="5"/>
        <v>2053.9821818969122</v>
      </c>
      <c r="O47" s="13">
        <f t="shared" si="6"/>
        <v>2013.3484878821098</v>
      </c>
      <c r="P47" s="13">
        <f t="shared" si="18"/>
        <v>0.67256194067461317</v>
      </c>
      <c r="AB47" s="13">
        <f t="shared" si="13"/>
        <v>64.999775594703351</v>
      </c>
      <c r="AE47" s="33">
        <f t="shared" si="0"/>
        <v>12.576440598520788</v>
      </c>
      <c r="AF47" s="33">
        <f t="shared" si="19"/>
        <v>12.576440598520788</v>
      </c>
      <c r="AH47">
        <v>43</v>
      </c>
      <c r="AI47">
        <v>0</v>
      </c>
    </row>
    <row r="48" spans="1:35">
      <c r="A48">
        <v>2053</v>
      </c>
      <c r="C48" s="20">
        <f t="shared" si="17"/>
        <v>64.997067152882593</v>
      </c>
      <c r="D48" s="84">
        <f t="shared" si="8"/>
        <v>64.997198692840598</v>
      </c>
      <c r="E48" s="84">
        <f>J48-SUM(F$7:F48)</f>
        <v>10.052013300027172</v>
      </c>
      <c r="F48" s="13">
        <f t="shared" si="9"/>
        <v>9.6749254232817605E-2</v>
      </c>
      <c r="G48" s="13">
        <f t="shared" si="10"/>
        <v>0.24187313558204399</v>
      </c>
      <c r="H48" s="13">
        <f t="shared" si="15"/>
        <v>0.24187313558204399</v>
      </c>
      <c r="I48" s="89">
        <f t="shared" si="20"/>
        <v>0.4</v>
      </c>
      <c r="J48" s="13">
        <f>LN(L48/(65-L48))</f>
        <v>13.540746159641543</v>
      </c>
      <c r="K48" s="13"/>
      <c r="L48" s="84">
        <f t="shared" si="16"/>
        <v>64.999914445777861</v>
      </c>
      <c r="M48" s="13">
        <f t="shared" si="4"/>
        <v>64.999937912445475</v>
      </c>
      <c r="N48" s="13">
        <f t="shared" si="5"/>
        <v>2054.9821818969122</v>
      </c>
      <c r="O48" s="13">
        <f t="shared" si="6"/>
        <v>2013.3484878821098</v>
      </c>
      <c r="P48" s="13">
        <f t="shared" si="18"/>
        <v>0.67256194067461317</v>
      </c>
      <c r="AB48" s="13">
        <f t="shared" si="13"/>
        <v>64.999853774286919</v>
      </c>
      <c r="AE48" s="33">
        <f t="shared" si="0"/>
        <v>13.004744170353971</v>
      </c>
      <c r="AF48" s="33">
        <f t="shared" si="19"/>
        <v>13.004744170353971</v>
      </c>
      <c r="AH48">
        <v>44</v>
      </c>
      <c r="AI48">
        <v>0</v>
      </c>
    </row>
    <row r="49" spans="1:35">
      <c r="A49">
        <v>2054</v>
      </c>
      <c r="C49" s="20">
        <f t="shared" si="17"/>
        <v>64.997792237980121</v>
      </c>
      <c r="D49" s="84">
        <f t="shared" si="8"/>
        <v>64.999986863695412</v>
      </c>
      <c r="E49" s="84">
        <f>J49-SUM(F$7:F49)</f>
        <v>15.414517886152812</v>
      </c>
      <c r="F49" s="13">
        <f t="shared" si="9"/>
        <v>9.6749254232817605E-2</v>
      </c>
      <c r="G49" s="13">
        <f t="shared" si="10"/>
        <v>0.24187313558204399</v>
      </c>
      <c r="H49" s="13">
        <f t="shared" si="15"/>
        <v>0.24187313558204399</v>
      </c>
      <c r="I49" s="89">
        <f t="shared" si="20"/>
        <v>0.4</v>
      </c>
      <c r="J49" s="13">
        <v>19</v>
      </c>
      <c r="K49" s="13"/>
      <c r="L49" s="84">
        <f>AVERAGE(M45:M50)</f>
        <v>64.999891303932102</v>
      </c>
      <c r="M49" s="13">
        <f t="shared" si="4"/>
        <v>64.999937912445475</v>
      </c>
      <c r="N49" s="13">
        <f t="shared" si="5"/>
        <v>2055.9821818969122</v>
      </c>
      <c r="O49" s="13">
        <f t="shared" si="6"/>
        <v>2013.3484878821098</v>
      </c>
      <c r="P49" s="13">
        <f t="shared" si="18"/>
        <v>0.67256194067461317</v>
      </c>
      <c r="AB49" s="13">
        <f t="shared" si="13"/>
        <v>64.99990471726592</v>
      </c>
      <c r="AE49" s="33">
        <f t="shared" si="0"/>
        <v>13.433047742187158</v>
      </c>
      <c r="AF49" s="33">
        <f t="shared" si="19"/>
        <v>13.433047742187158</v>
      </c>
      <c r="AH49">
        <v>45</v>
      </c>
      <c r="AI49">
        <v>0</v>
      </c>
    </row>
    <row r="50" spans="1:35">
      <c r="A50">
        <v>2055</v>
      </c>
      <c r="C50" s="20">
        <f t="shared" si="17"/>
        <v>64.998417225318946</v>
      </c>
      <c r="D50" s="84">
        <f>65*EXP(E50)/(1+EXP(E50))</f>
        <v>64.999991223049179</v>
      </c>
      <c r="E50" s="84">
        <f>J50-SUM(F$7:F50)</f>
        <v>15.817768631919993</v>
      </c>
      <c r="F50" s="13">
        <f t="shared" si="9"/>
        <v>9.6749254232817605E-2</v>
      </c>
      <c r="G50" s="13">
        <f t="shared" si="10"/>
        <v>0.24187313558204399</v>
      </c>
      <c r="H50" s="13">
        <f t="shared" si="15"/>
        <v>0.24187313558204399</v>
      </c>
      <c r="I50" s="89">
        <f t="shared" si="20"/>
        <v>0.4</v>
      </c>
      <c r="J50" s="13">
        <v>19.5</v>
      </c>
      <c r="K50" s="13"/>
      <c r="L50" s="84">
        <f>AVERAGE(M45:M50)</f>
        <v>64.999891303932102</v>
      </c>
      <c r="M50" s="13">
        <f t="shared" si="4"/>
        <v>64.999937912445475</v>
      </c>
      <c r="N50" s="13">
        <f t="shared" si="5"/>
        <v>2056.9821818969122</v>
      </c>
      <c r="O50" s="13">
        <f t="shared" si="6"/>
        <v>2013.3484878821098</v>
      </c>
      <c r="P50" s="13">
        <f t="shared" si="18"/>
        <v>0.67256194067461317</v>
      </c>
      <c r="AB50" s="13">
        <f t="shared" si="13"/>
        <v>64.999937912445475</v>
      </c>
      <c r="AE50" s="33">
        <f t="shared" si="0"/>
        <v>13.861351314020341</v>
      </c>
      <c r="AF50" s="33">
        <f t="shared" si="19"/>
        <v>13.861351314020341</v>
      </c>
      <c r="AH50">
        <v>46</v>
      </c>
      <c r="AI50">
        <v>0</v>
      </c>
    </row>
    <row r="56" spans="1:35">
      <c r="B56" t="s">
        <v>1233</v>
      </c>
      <c r="C56" s="12">
        <f>AVERAGE(K69,6.85)</f>
        <v>8.1825808511291349</v>
      </c>
      <c r="Z56" s="41" t="str">
        <f>' All EV uptake'!D46</f>
        <v>Intercept</v>
      </c>
      <c r="AA56" s="41">
        <f>' All EV uptake'!E46</f>
        <v>2006.0956444042549</v>
      </c>
      <c r="AD56" s="41" t="s">
        <v>159</v>
      </c>
      <c r="AE56" s="41">
        <v>-5.8406129903061537</v>
      </c>
    </row>
    <row r="57" spans="1:35">
      <c r="C57" t="s">
        <v>1242</v>
      </c>
      <c r="Z57" s="41" t="str">
        <f>' All EV uptake'!D47</f>
        <v>EV/FFV cost ratio</v>
      </c>
      <c r="AA57" s="41">
        <f>' All EV uptake'!E47</f>
        <v>10.783904112355547</v>
      </c>
      <c r="AD57" t="s">
        <v>329</v>
      </c>
      <c r="AE57" s="41">
        <v>0.42830357183318468</v>
      </c>
    </row>
    <row r="58" spans="1:35" ht="15.75" thickBot="1">
      <c r="Z58" s="41" t="str">
        <f>' All EV uptake'!D48</f>
        <v>dumKorea</v>
      </c>
      <c r="AA58" s="41">
        <f>' All EV uptake'!E48</f>
        <v>3.2747008164932261</v>
      </c>
      <c r="AD58" t="s">
        <v>1096</v>
      </c>
      <c r="AE58" s="42">
        <v>-0.63707395310658621</v>
      </c>
    </row>
    <row r="59" spans="1:35">
      <c r="Z59" s="41" t="str">
        <f>' All EV uptake'!D49</f>
        <v>dumUK</v>
      </c>
      <c r="AA59" s="41">
        <f>' All EV uptake'!E49</f>
        <v>2.7276845521810786</v>
      </c>
    </row>
    <row r="60" spans="1:35">
      <c r="Z60" s="41" t="str">
        <f>' All EV uptake'!D50</f>
        <v>dumNeth</v>
      </c>
      <c r="AA60" s="41">
        <f>' All EV uptake'!E50</f>
        <v>-1.2544269368470402</v>
      </c>
    </row>
    <row r="61" spans="1:35">
      <c r="F61" s="242">
        <v>2016</v>
      </c>
      <c r="G61" s="242"/>
      <c r="H61" s="242">
        <v>2017</v>
      </c>
      <c r="I61" s="242"/>
      <c r="J61" s="242">
        <v>2018</v>
      </c>
      <c r="K61" s="242"/>
      <c r="Z61" s="41" t="str">
        <f>' All EV uptake'!D51</f>
        <v>dumChina</v>
      </c>
      <c r="AA61" s="41">
        <f>' All EV uptake'!E51</f>
        <v>1.6840641661301363</v>
      </c>
    </row>
    <row r="62" spans="1:35">
      <c r="E62" t="s">
        <v>1235</v>
      </c>
      <c r="F62">
        <v>2127</v>
      </c>
      <c r="H62">
        <v>3869</v>
      </c>
      <c r="J62">
        <v>6298</v>
      </c>
      <c r="Z62" s="41" t="str">
        <f>' All EV uptake'!D52</f>
        <v>dumDenmark</v>
      </c>
      <c r="AA62" s="41">
        <f>' All EV uptake'!E52</f>
        <v>3.2654872236791634</v>
      </c>
    </row>
    <row r="63" spans="1:35">
      <c r="E63" t="s">
        <v>1236</v>
      </c>
      <c r="F63">
        <v>3764</v>
      </c>
      <c r="G63">
        <f>F62+F63</f>
        <v>5891</v>
      </c>
      <c r="H63">
        <v>4401</v>
      </c>
      <c r="I63">
        <f>H62+H63</f>
        <v>8270</v>
      </c>
      <c r="J63">
        <v>6941</v>
      </c>
      <c r="K63">
        <f>J62+J63</f>
        <v>13239</v>
      </c>
      <c r="Z63" s="41" t="str">
        <f>' All EV uptake'!D53</f>
        <v>dumIreland</v>
      </c>
      <c r="AA63" s="41">
        <f>' All EV uptake'!E53</f>
        <v>3.5582490934682056</v>
      </c>
    </row>
    <row r="64" spans="1:35">
      <c r="E64" t="s">
        <v>1237</v>
      </c>
      <c r="F64">
        <v>3516</v>
      </c>
      <c r="H64">
        <v>5000</v>
      </c>
      <c r="Z64" s="41" t="str">
        <f>' All EV uptake'!D54</f>
        <v>dumNZ</v>
      </c>
      <c r="AA64" s="41">
        <f>' All EV uptake'!E54</f>
        <v>1.900474768762227</v>
      </c>
    </row>
    <row r="65" spans="5:27">
      <c r="E65" t="s">
        <v>1238</v>
      </c>
      <c r="F65" s="18">
        <v>4008</v>
      </c>
      <c r="G65" s="18">
        <f>SUM(F64:F65)</f>
        <v>7524</v>
      </c>
      <c r="H65" s="18">
        <v>6762</v>
      </c>
      <c r="I65" s="18">
        <f>SUM(H64:H65)</f>
        <v>11762</v>
      </c>
      <c r="J65" s="18"/>
      <c r="K65" s="16">
        <f>K63*I65/I63*1.25</f>
        <v>23536.444679564695</v>
      </c>
      <c r="Z65" s="41" t="str">
        <f>' All EV uptake'!D55</f>
        <v>dumSwitzerland</v>
      </c>
      <c r="AA65" s="41">
        <f>' All EV uptake'!E55</f>
        <v>-2.1041729879229703</v>
      </c>
    </row>
    <row r="66" spans="5:27">
      <c r="F66">
        <f>SUM(F62:F65)</f>
        <v>13415</v>
      </c>
      <c r="G66">
        <f>SUM(G62:G65)</f>
        <v>13415</v>
      </c>
      <c r="H66">
        <f>SUM(H62:H65)</f>
        <v>20032</v>
      </c>
      <c r="I66">
        <f>SUM(I62:I65)</f>
        <v>20032</v>
      </c>
      <c r="K66" s="3">
        <f>SUM(K62:K65)</f>
        <v>36775.444679564695</v>
      </c>
      <c r="Z66" s="41" t="str">
        <f>' All EV uptake'!D56</f>
        <v>dumSpain</v>
      </c>
      <c r="AA66" s="41">
        <f>' All EV uptake'!E56</f>
        <v>4.4168133039283006</v>
      </c>
    </row>
    <row r="67" spans="5:27">
      <c r="Z67" s="41" t="str">
        <f>' All EV uptake'!D57</f>
        <v>dumIndia</v>
      </c>
      <c r="AA67" s="41">
        <f>' All EV uptake'!E57</f>
        <v>8.3918907463589623</v>
      </c>
    </row>
    <row r="68" spans="5:27">
      <c r="Z68" s="41" t="str">
        <f>' All EV uptake'!D58</f>
        <v>dumUSA</v>
      </c>
      <c r="AA68" s="41">
        <f>' All EV uptake'!E58</f>
        <v>2.1386885311349126</v>
      </c>
    </row>
    <row r="69" spans="5:27">
      <c r="F69" s="13">
        <f>B11</f>
        <v>3.5563684807073526</v>
      </c>
      <c r="H69" s="13">
        <f>B12</f>
        <v>5.1830160282345741</v>
      </c>
      <c r="I69" s="13">
        <f>F69*H66/F66</f>
        <v>5.3105608203898385</v>
      </c>
      <c r="K69" s="13">
        <f>H69*K66/H66</f>
        <v>9.515161702258272</v>
      </c>
      <c r="Z69" s="41" t="str">
        <f>' All EV uptake'!D59</f>
        <v>dumAustria</v>
      </c>
      <c r="AA69" s="41">
        <f>' All EV uptake'!E59</f>
        <v>-0.86657486911619475</v>
      </c>
    </row>
    <row r="70" spans="5:27">
      <c r="Z70" s="41" t="str">
        <f>' All EV uptake'!D60</f>
        <v>dumItaly</v>
      </c>
      <c r="AA70" s="41">
        <f>' All EV uptake'!E60</f>
        <v>2.0513905871244105</v>
      </c>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41"/>
  <sheetViews>
    <sheetView topLeftCell="A97" zoomScale="75" zoomScaleNormal="75" workbookViewId="0">
      <selection activeCell="P121" sqref="P121:AD141"/>
    </sheetView>
  </sheetViews>
  <sheetFormatPr defaultRowHeight="15"/>
  <cols>
    <col min="2" max="2" width="12.140625" customWidth="1"/>
    <col min="3" max="3" width="11" customWidth="1"/>
    <col min="4" max="4" width="12.85546875" customWidth="1"/>
    <col min="7" max="7" width="10.85546875" customWidth="1"/>
    <col min="8" max="8" width="16.85546875" customWidth="1"/>
    <col min="9" max="9" width="11.28515625" customWidth="1"/>
    <col min="11" max="11" width="15.85546875" customWidth="1"/>
    <col min="21" max="21" width="14.85546875" customWidth="1"/>
    <col min="25" max="25" width="10.85546875" customWidth="1"/>
    <col min="26" max="26" width="10.7109375" customWidth="1"/>
    <col min="27" max="27" width="9.28515625" customWidth="1"/>
    <col min="28" max="28" width="12.5703125" customWidth="1"/>
    <col min="30" max="30" width="10.5703125" customWidth="1"/>
    <col min="31" max="31" width="16.7109375" customWidth="1"/>
    <col min="32" max="32" width="17.28515625" customWidth="1"/>
    <col min="33" max="33" width="15.28515625" customWidth="1"/>
  </cols>
  <sheetData>
    <row r="1" spans="1:51">
      <c r="A1" t="s">
        <v>5</v>
      </c>
      <c r="B1" t="s">
        <v>1395</v>
      </c>
      <c r="C1" t="s">
        <v>754</v>
      </c>
      <c r="D1" t="s">
        <v>754</v>
      </c>
      <c r="E1" t="s">
        <v>498</v>
      </c>
      <c r="F1" t="s">
        <v>754</v>
      </c>
      <c r="G1" t="s">
        <v>754</v>
      </c>
      <c r="H1" t="s">
        <v>754</v>
      </c>
      <c r="I1" t="s">
        <v>754</v>
      </c>
      <c r="K1" t="s">
        <v>904</v>
      </c>
      <c r="N1" t="s">
        <v>754</v>
      </c>
      <c r="O1" t="s">
        <v>754</v>
      </c>
      <c r="P1" t="s">
        <v>754</v>
      </c>
      <c r="U1" t="s">
        <v>730</v>
      </c>
      <c r="V1" s="33" t="s">
        <v>715</v>
      </c>
      <c r="W1" s="87" t="s">
        <v>1181</v>
      </c>
      <c r="X1" s="87" t="s">
        <v>1181</v>
      </c>
      <c r="Y1" s="87" t="s">
        <v>1181</v>
      </c>
      <c r="AB1" t="s">
        <v>747</v>
      </c>
      <c r="AG1" t="s">
        <v>863</v>
      </c>
      <c r="AH1" t="s">
        <v>864</v>
      </c>
      <c r="AI1" t="s">
        <v>909</v>
      </c>
      <c r="AJ1" t="s">
        <v>909</v>
      </c>
      <c r="AL1" t="s">
        <v>884</v>
      </c>
      <c r="AM1" t="s">
        <v>885</v>
      </c>
      <c r="AN1">
        <v>2017</v>
      </c>
      <c r="AO1">
        <v>2017</v>
      </c>
    </row>
    <row r="2" spans="1:51">
      <c r="B2" t="s">
        <v>710</v>
      </c>
      <c r="C2" t="s">
        <v>710</v>
      </c>
      <c r="D2" t="s">
        <v>749</v>
      </c>
      <c r="E2" t="s">
        <v>714</v>
      </c>
      <c r="F2" t="s">
        <v>728</v>
      </c>
      <c r="G2" t="s">
        <v>269</v>
      </c>
      <c r="H2" t="s">
        <v>750</v>
      </c>
      <c r="I2" t="s">
        <v>269</v>
      </c>
      <c r="K2" t="s">
        <v>735</v>
      </c>
      <c r="N2" t="s">
        <v>269</v>
      </c>
      <c r="O2" t="s">
        <v>717</v>
      </c>
      <c r="P2" t="s">
        <v>725</v>
      </c>
      <c r="V2" s="33"/>
      <c r="W2" s="87" t="s">
        <v>338</v>
      </c>
      <c r="X2" s="87" t="s">
        <v>1182</v>
      </c>
      <c r="Y2" s="87" t="s">
        <v>1183</v>
      </c>
      <c r="AC2" t="s">
        <v>753</v>
      </c>
      <c r="AG2" t="s">
        <v>750</v>
      </c>
      <c r="AH2" t="s">
        <v>750</v>
      </c>
      <c r="AI2" t="s">
        <v>858</v>
      </c>
      <c r="AJ2" t="s">
        <v>859</v>
      </c>
      <c r="AK2" t="s">
        <v>850</v>
      </c>
      <c r="AL2" t="s">
        <v>750</v>
      </c>
      <c r="AM2" t="s">
        <v>750</v>
      </c>
      <c r="AN2" t="s">
        <v>858</v>
      </c>
      <c r="AO2" t="s">
        <v>859</v>
      </c>
    </row>
    <row r="3" spans="1:51">
      <c r="A3">
        <v>2009</v>
      </c>
      <c r="B3" s="3">
        <f>X3</f>
        <v>29.592572886961211</v>
      </c>
      <c r="C3" s="3">
        <f t="shared" ref="C3:C24" si="0">B3*AC3*1000</f>
        <v>226496.22621368145</v>
      </c>
      <c r="D3" s="3"/>
      <c r="E3">
        <v>25</v>
      </c>
      <c r="F3" s="3">
        <f>(C3)*E3/100</f>
        <v>56624.056553420356</v>
      </c>
      <c r="G3" s="3">
        <f t="shared" ref="G3:G24" si="1">C3+F3+D3</f>
        <v>283120.28276710183</v>
      </c>
      <c r="H3" s="3">
        <f t="shared" ref="H3:H24" si="2">AL3</f>
        <v>0</v>
      </c>
      <c r="I3" s="3">
        <f>G3+H3</f>
        <v>283120.28276710183</v>
      </c>
      <c r="K3" s="3">
        <f t="shared" ref="K3:K24" si="3">AN3</f>
        <v>0</v>
      </c>
      <c r="M3">
        <v>2009</v>
      </c>
      <c r="N3" s="3">
        <f>I3</f>
        <v>283120.28276710183</v>
      </c>
      <c r="O3" s="3">
        <f>I28</f>
        <v>283120.28276710183</v>
      </c>
      <c r="P3" s="3">
        <f t="shared" ref="P3:P24" si="4">G53</f>
        <v>220047.32499999998</v>
      </c>
      <c r="T3">
        <v>2009</v>
      </c>
      <c r="U3" s="3">
        <f>'Vehicle price'!X5</f>
        <v>23</v>
      </c>
      <c r="V3">
        <v>1</v>
      </c>
      <c r="W3" s="3">
        <f t="shared" ref="W3:W24" si="5">X3*V3</f>
        <v>29.592572886961211</v>
      </c>
      <c r="X3" s="3">
        <f>'Vehicle price'!T5</f>
        <v>29.592572886961211</v>
      </c>
      <c r="Y3" s="3">
        <f>X3*Z3</f>
        <v>29.592572886961211</v>
      </c>
      <c r="Z3">
        <v>1</v>
      </c>
      <c r="AB3">
        <v>2009</v>
      </c>
      <c r="AC3" s="156">
        <v>7.6538199999999996</v>
      </c>
      <c r="AF3">
        <v>2009</v>
      </c>
      <c r="AG3">
        <v>0</v>
      </c>
      <c r="AH3">
        <v>0</v>
      </c>
      <c r="AI3" s="3">
        <v>0</v>
      </c>
      <c r="AJ3" s="3">
        <v>0</v>
      </c>
      <c r="AK3" s="13">
        <f>CPIs!T48</f>
        <v>98.855267860804034</v>
      </c>
      <c r="AL3" s="3">
        <f>AG3*AK$11/AK3</f>
        <v>0</v>
      </c>
      <c r="AM3" s="3">
        <f>AH3*AK$11/AK3</f>
        <v>0</v>
      </c>
      <c r="AN3" s="3">
        <f>AI3*AK$11/AK3</f>
        <v>0</v>
      </c>
      <c r="AO3" s="3">
        <f>AJ3*AK$11/AK3</f>
        <v>0</v>
      </c>
      <c r="AV3" t="s">
        <v>375</v>
      </c>
    </row>
    <row r="4" spans="1:51">
      <c r="A4">
        <v>2010</v>
      </c>
      <c r="B4" s="3">
        <f t="shared" ref="B4:B24" si="6">X4</f>
        <v>30</v>
      </c>
      <c r="C4" s="3">
        <f t="shared" si="0"/>
        <v>215888.67918492691</v>
      </c>
      <c r="D4" s="3"/>
      <c r="E4">
        <v>25</v>
      </c>
      <c r="F4" s="3">
        <f t="shared" ref="F4:F11" si="7">(C4)*E4/100</f>
        <v>53972.169796231727</v>
      </c>
      <c r="G4" s="3">
        <f t="shared" si="1"/>
        <v>269860.84898115863</v>
      </c>
      <c r="H4" s="3">
        <f t="shared" si="2"/>
        <v>0</v>
      </c>
      <c r="I4" s="3">
        <f t="shared" ref="I4:I24" si="8">G4+H4</f>
        <v>269860.84898115863</v>
      </c>
      <c r="K4" s="3">
        <f t="shared" si="3"/>
        <v>0</v>
      </c>
      <c r="M4">
        <v>2010</v>
      </c>
      <c r="N4" s="3">
        <f t="shared" ref="N4:N12" si="9">I4</f>
        <v>269860.84898115863</v>
      </c>
      <c r="O4" s="3">
        <f t="shared" ref="O4:O12" si="10">I29</f>
        <v>269860.84898115863</v>
      </c>
      <c r="P4" s="3">
        <f t="shared" si="4"/>
        <v>206893.31755222165</v>
      </c>
      <c r="T4">
        <v>2010</v>
      </c>
      <c r="U4" s="3">
        <f>'Vehicle price'!X6</f>
        <v>23</v>
      </c>
      <c r="V4">
        <v>1</v>
      </c>
      <c r="W4" s="3">
        <f t="shared" si="5"/>
        <v>30</v>
      </c>
      <c r="X4" s="3">
        <f>'Vehicle price'!T6</f>
        <v>30</v>
      </c>
      <c r="Y4" s="3">
        <f t="shared" ref="Y4:Y24" si="11">X4*Z4</f>
        <v>30</v>
      </c>
      <c r="Z4">
        <v>1</v>
      </c>
      <c r="AB4">
        <v>2010</v>
      </c>
      <c r="AC4" s="156">
        <v>7.1962893061642301</v>
      </c>
      <c r="AF4">
        <v>2010</v>
      </c>
      <c r="AG4">
        <v>0</v>
      </c>
      <c r="AH4">
        <v>0</v>
      </c>
      <c r="AI4" s="3">
        <v>0</v>
      </c>
      <c r="AJ4" s="3">
        <v>0</v>
      </c>
      <c r="AK4" s="13">
        <f>CPIs!T49</f>
        <v>100</v>
      </c>
      <c r="AL4" s="3">
        <f t="shared" ref="AL4:AL24" si="12">AG4*AK$11/AK4</f>
        <v>0</v>
      </c>
      <c r="AM4" s="3">
        <f t="shared" ref="AM4:AM24" si="13">AH4*AK$11/AK4</f>
        <v>0</v>
      </c>
      <c r="AN4" s="3">
        <f t="shared" ref="AN4:AN24" si="14">AI4*AK$11/AK4</f>
        <v>0</v>
      </c>
      <c r="AO4" s="3">
        <f t="shared" ref="AO4:AO24" si="15">AJ4*AK$11/AK4</f>
        <v>0</v>
      </c>
    </row>
    <row r="5" spans="1:51">
      <c r="A5">
        <v>2011</v>
      </c>
      <c r="B5" s="3">
        <f t="shared" si="6"/>
        <v>30</v>
      </c>
      <c r="C5" s="3">
        <f t="shared" si="0"/>
        <v>194939.81495507181</v>
      </c>
      <c r="D5" s="3"/>
      <c r="E5">
        <v>25</v>
      </c>
      <c r="F5" s="3">
        <f t="shared" si="7"/>
        <v>48734.953738767952</v>
      </c>
      <c r="G5" s="3">
        <f t="shared" si="1"/>
        <v>243674.76869383975</v>
      </c>
      <c r="H5" s="3">
        <f t="shared" si="2"/>
        <v>0</v>
      </c>
      <c r="I5" s="3">
        <f t="shared" si="8"/>
        <v>243674.76869383975</v>
      </c>
      <c r="K5" s="3">
        <f t="shared" si="3"/>
        <v>0</v>
      </c>
      <c r="M5">
        <v>2011</v>
      </c>
      <c r="N5" s="3">
        <f t="shared" si="9"/>
        <v>243674.76869383975</v>
      </c>
      <c r="O5" s="3">
        <f t="shared" si="10"/>
        <v>243674.76869383975</v>
      </c>
      <c r="P5" s="3">
        <f t="shared" si="4"/>
        <v>186817.32266527714</v>
      </c>
      <c r="T5">
        <v>2011</v>
      </c>
      <c r="U5" s="3">
        <f>'Vehicle price'!X7</f>
        <v>23</v>
      </c>
      <c r="V5">
        <v>1</v>
      </c>
      <c r="W5" s="3">
        <f t="shared" si="5"/>
        <v>30</v>
      </c>
      <c r="X5" s="3">
        <f>'Vehicle price'!T7</f>
        <v>30</v>
      </c>
      <c r="Y5" s="3">
        <f t="shared" si="11"/>
        <v>30</v>
      </c>
      <c r="Z5">
        <v>1</v>
      </c>
      <c r="AB5">
        <v>2011</v>
      </c>
      <c r="AC5" s="156">
        <v>6.4979938318357267</v>
      </c>
      <c r="AF5">
        <v>2011</v>
      </c>
      <c r="AG5">
        <v>0</v>
      </c>
      <c r="AH5">
        <v>0</v>
      </c>
      <c r="AI5" s="3">
        <v>0</v>
      </c>
      <c r="AJ5" s="3">
        <v>0</v>
      </c>
      <c r="AK5" s="13">
        <f>CPIs!T50</f>
        <v>102.96112060546875</v>
      </c>
      <c r="AL5" s="3">
        <f t="shared" si="12"/>
        <v>0</v>
      </c>
      <c r="AM5" s="3">
        <f t="shared" si="13"/>
        <v>0</v>
      </c>
      <c r="AN5" s="3">
        <f t="shared" si="14"/>
        <v>0</v>
      </c>
      <c r="AO5" s="3">
        <f t="shared" si="15"/>
        <v>0</v>
      </c>
    </row>
    <row r="6" spans="1:51">
      <c r="A6">
        <v>2012</v>
      </c>
      <c r="B6" s="3">
        <f t="shared" si="6"/>
        <v>30.842462459493706</v>
      </c>
      <c r="C6" s="3">
        <f t="shared" si="0"/>
        <v>208823.12658129571</v>
      </c>
      <c r="D6" s="3"/>
      <c r="E6">
        <v>25</v>
      </c>
      <c r="F6" s="3">
        <f t="shared" si="7"/>
        <v>52205.781645323936</v>
      </c>
      <c r="G6" s="3">
        <f t="shared" si="1"/>
        <v>261028.90822661965</v>
      </c>
      <c r="H6" s="3">
        <f t="shared" si="2"/>
        <v>-41005.535019123454</v>
      </c>
      <c r="I6" s="3">
        <f t="shared" si="8"/>
        <v>220023.37320749619</v>
      </c>
      <c r="K6" s="3">
        <f t="shared" si="3"/>
        <v>11035.560896446425</v>
      </c>
      <c r="M6">
        <v>2012</v>
      </c>
      <c r="N6" s="3">
        <f t="shared" si="9"/>
        <v>220023.37320749619</v>
      </c>
      <c r="O6" s="3">
        <f t="shared" si="10"/>
        <v>220023.37320749619</v>
      </c>
      <c r="P6" s="3">
        <f t="shared" si="4"/>
        <v>194655.82221578571</v>
      </c>
      <c r="T6">
        <v>2012</v>
      </c>
      <c r="U6" s="3">
        <f>'Vehicle price'!X8</f>
        <v>23</v>
      </c>
      <c r="V6">
        <v>1</v>
      </c>
      <c r="W6" s="3">
        <f t="shared" si="5"/>
        <v>30.842462459493706</v>
      </c>
      <c r="X6" s="3">
        <f>'Vehicle price'!T8</f>
        <v>30.842462459493706</v>
      </c>
      <c r="Y6" s="3">
        <f t="shared" si="11"/>
        <v>30.842462459493706</v>
      </c>
      <c r="Z6">
        <v>1</v>
      </c>
      <c r="AB6">
        <v>2012</v>
      </c>
      <c r="AC6" s="156">
        <v>6.7706372944621123</v>
      </c>
      <c r="AF6">
        <v>2012</v>
      </c>
      <c r="AG6">
        <v>-40000</v>
      </c>
      <c r="AH6">
        <v>-40000</v>
      </c>
      <c r="AI6" s="3">
        <f>1900*AC6*0.7+1760</f>
        <v>10764.947601634609</v>
      </c>
      <c r="AJ6" s="3">
        <f>1900*AC6*0.7+1760</f>
        <v>10764.947601634609</v>
      </c>
      <c r="AK6" s="13">
        <f>CPIs!T51</f>
        <v>103.87586975097656</v>
      </c>
      <c r="AL6" s="3">
        <f t="shared" si="12"/>
        <v>-41005.535019123454</v>
      </c>
      <c r="AM6" s="3">
        <f t="shared" si="13"/>
        <v>-41005.535019123454</v>
      </c>
      <c r="AN6" s="3">
        <f t="shared" si="14"/>
        <v>11035.560896446425</v>
      </c>
      <c r="AO6" s="3">
        <f t="shared" si="15"/>
        <v>11035.560896446425</v>
      </c>
      <c r="AV6" t="s">
        <v>324</v>
      </c>
      <c r="AW6" t="s">
        <v>5</v>
      </c>
      <c r="AX6" t="s">
        <v>350</v>
      </c>
      <c r="AY6" t="s">
        <v>3</v>
      </c>
    </row>
    <row r="7" spans="1:51">
      <c r="A7">
        <v>2013</v>
      </c>
      <c r="B7" s="3">
        <f t="shared" si="6"/>
        <v>31.143929334439989</v>
      </c>
      <c r="C7" s="3">
        <f t="shared" si="0"/>
        <v>202861.14627793239</v>
      </c>
      <c r="D7" s="3"/>
      <c r="E7">
        <v>25</v>
      </c>
      <c r="F7" s="3">
        <f t="shared" si="7"/>
        <v>50715.286569483091</v>
      </c>
      <c r="G7" s="3">
        <f t="shared" si="1"/>
        <v>253576.43284741548</v>
      </c>
      <c r="H7" s="3">
        <f t="shared" si="2"/>
        <v>-41023.737033620768</v>
      </c>
      <c r="I7" s="3">
        <f t="shared" si="8"/>
        <v>212552.69581379471</v>
      </c>
      <c r="K7" s="3">
        <f t="shared" si="3"/>
        <v>10689.940235124912</v>
      </c>
      <c r="M7">
        <v>2013</v>
      </c>
      <c r="N7" s="3">
        <f t="shared" si="9"/>
        <v>212552.69581379471</v>
      </c>
      <c r="O7" s="3">
        <f t="shared" si="10"/>
        <v>212552.69581379471</v>
      </c>
      <c r="P7" s="3">
        <f t="shared" si="4"/>
        <v>187267.89072954422</v>
      </c>
      <c r="T7">
        <v>2013</v>
      </c>
      <c r="U7" s="3">
        <f>'Vehicle price'!X9</f>
        <v>23</v>
      </c>
      <c r="V7">
        <v>1</v>
      </c>
      <c r="W7" s="3">
        <f t="shared" si="5"/>
        <v>31.143929334439989</v>
      </c>
      <c r="X7" s="3">
        <f>'Vehicle price'!T9</f>
        <v>31.143929334439989</v>
      </c>
      <c r="Y7" s="3">
        <f t="shared" si="11"/>
        <v>31.143929334439989</v>
      </c>
      <c r="Z7">
        <v>1</v>
      </c>
      <c r="AB7">
        <v>2013</v>
      </c>
      <c r="AC7" s="156">
        <v>6.5136657645058875</v>
      </c>
      <c r="AF7">
        <v>2013</v>
      </c>
      <c r="AG7">
        <v>-40000</v>
      </c>
      <c r="AH7">
        <v>-40000</v>
      </c>
      <c r="AI7" s="3">
        <f t="shared" ref="AI7:AI24" si="16">1900*AC7*0.7+1760</f>
        <v>10423.175466792829</v>
      </c>
      <c r="AJ7" s="3">
        <f t="shared" ref="AJ7:AJ24" si="17">1900*AC7*0.7+1760</f>
        <v>10423.175466792829</v>
      </c>
      <c r="AK7" s="13">
        <f>CPIs!T52</f>
        <v>103.82978057861328</v>
      </c>
      <c r="AL7" s="3">
        <f t="shared" si="12"/>
        <v>-41023.737033620768</v>
      </c>
      <c r="AM7" s="3">
        <f t="shared" si="13"/>
        <v>-41023.737033620768</v>
      </c>
      <c r="AN7" s="3">
        <f t="shared" si="14"/>
        <v>10689.940235124912</v>
      </c>
      <c r="AO7" s="3">
        <f t="shared" si="15"/>
        <v>10689.940235124912</v>
      </c>
      <c r="AU7">
        <v>2011</v>
      </c>
      <c r="AV7">
        <v>0</v>
      </c>
      <c r="AW7">
        <v>181</v>
      </c>
      <c r="AX7">
        <v>4</v>
      </c>
      <c r="AY7">
        <f t="shared" ref="AY7:AY13" si="18">SUM(AV7:AX7)</f>
        <v>185</v>
      </c>
    </row>
    <row r="8" spans="1:51">
      <c r="A8">
        <v>2014</v>
      </c>
      <c r="B8" s="3">
        <f t="shared" si="6"/>
        <v>33.541755956678692</v>
      </c>
      <c r="C8" s="3">
        <f t="shared" si="0"/>
        <v>229882.00481462429</v>
      </c>
      <c r="D8" s="3"/>
      <c r="E8">
        <v>25</v>
      </c>
      <c r="F8" s="3">
        <f t="shared" si="7"/>
        <v>57470.501203656073</v>
      </c>
      <c r="G8" s="3">
        <f t="shared" si="1"/>
        <v>287352.50601828034</v>
      </c>
      <c r="H8" s="3">
        <f t="shared" si="2"/>
        <v>-41097.514704507543</v>
      </c>
      <c r="I8" s="3">
        <f t="shared" si="8"/>
        <v>246254.9913137728</v>
      </c>
      <c r="K8" s="3">
        <f t="shared" si="3"/>
        <v>11173.691927379925</v>
      </c>
      <c r="M8">
        <v>2014</v>
      </c>
      <c r="N8" s="3">
        <f t="shared" si="9"/>
        <v>246254.9913137728</v>
      </c>
      <c r="O8" s="3">
        <f t="shared" si="10"/>
        <v>246254.9913137728</v>
      </c>
      <c r="P8" s="3">
        <f t="shared" si="4"/>
        <v>197041.19387656776</v>
      </c>
      <c r="T8">
        <v>2014</v>
      </c>
      <c r="U8" s="3">
        <f>'Vehicle price'!X10</f>
        <v>23</v>
      </c>
      <c r="V8">
        <v>1</v>
      </c>
      <c r="W8" s="3">
        <f t="shared" si="5"/>
        <v>33.541755956678692</v>
      </c>
      <c r="X8" s="3">
        <f>'Vehicle price'!T10</f>
        <v>33.541755956678692</v>
      </c>
      <c r="Y8" s="3">
        <f t="shared" si="11"/>
        <v>33.541755956678692</v>
      </c>
      <c r="Z8">
        <v>1</v>
      </c>
      <c r="AB8">
        <v>2014</v>
      </c>
      <c r="AC8" s="156">
        <v>6.8536067435327919</v>
      </c>
      <c r="AF8">
        <v>2014</v>
      </c>
      <c r="AG8">
        <v>-40000</v>
      </c>
      <c r="AH8">
        <v>-40000</v>
      </c>
      <c r="AI8" s="3">
        <f t="shared" si="16"/>
        <v>10875.296968898612</v>
      </c>
      <c r="AJ8" s="3">
        <f t="shared" si="17"/>
        <v>10875.296968898612</v>
      </c>
      <c r="AK8" s="13">
        <f>CPIs!T53</f>
        <v>103.64338684082031</v>
      </c>
      <c r="AL8" s="3">
        <f t="shared" si="12"/>
        <v>-41097.514704507543</v>
      </c>
      <c r="AM8" s="3">
        <f t="shared" si="13"/>
        <v>-41097.514704507543</v>
      </c>
      <c r="AN8" s="3">
        <f t="shared" si="14"/>
        <v>11173.691927379925</v>
      </c>
      <c r="AO8" s="3">
        <f t="shared" si="15"/>
        <v>11173.691927379925</v>
      </c>
      <c r="AU8">
        <v>2012</v>
      </c>
      <c r="AV8">
        <v>681</v>
      </c>
      <c r="AW8">
        <v>247</v>
      </c>
      <c r="AX8">
        <v>266</v>
      </c>
      <c r="AY8">
        <f t="shared" si="18"/>
        <v>1194</v>
      </c>
    </row>
    <row r="9" spans="1:51">
      <c r="A9">
        <v>2015</v>
      </c>
      <c r="B9" s="3">
        <f t="shared" si="6"/>
        <v>30</v>
      </c>
      <c r="C9" s="3">
        <f t="shared" si="0"/>
        <v>253082.56165098224</v>
      </c>
      <c r="D9" s="3"/>
      <c r="E9">
        <v>25</v>
      </c>
      <c r="F9" s="3">
        <f t="shared" si="7"/>
        <v>63270.640412745561</v>
      </c>
      <c r="G9" s="3">
        <f t="shared" si="1"/>
        <v>316353.20206372777</v>
      </c>
      <c r="H9" s="3">
        <f t="shared" si="2"/>
        <v>-41116.782597924052</v>
      </c>
      <c r="I9" s="3">
        <f t="shared" si="8"/>
        <v>275236.41946580372</v>
      </c>
      <c r="K9" s="3">
        <f t="shared" si="3"/>
        <v>13342.389339933465</v>
      </c>
      <c r="M9">
        <v>2015</v>
      </c>
      <c r="N9" s="3">
        <f t="shared" si="9"/>
        <v>275236.41946580372</v>
      </c>
      <c r="O9" s="3">
        <f t="shared" si="10"/>
        <v>275236.41946580372</v>
      </c>
      <c r="P9" s="3">
        <f t="shared" si="4"/>
        <v>242537.45491552469</v>
      </c>
      <c r="T9">
        <v>2015</v>
      </c>
      <c r="U9" s="3">
        <f>'Vehicle price'!X11</f>
        <v>23</v>
      </c>
      <c r="V9">
        <v>1</v>
      </c>
      <c r="W9" s="3">
        <f t="shared" si="5"/>
        <v>30</v>
      </c>
      <c r="X9" s="3">
        <f>'Vehicle price'!T11</f>
        <v>30</v>
      </c>
      <c r="Y9" s="3">
        <f t="shared" si="11"/>
        <v>30</v>
      </c>
      <c r="Z9">
        <v>1</v>
      </c>
      <c r="AB9">
        <v>2015</v>
      </c>
      <c r="AC9" s="156">
        <v>8.4360853883660756</v>
      </c>
      <c r="AF9">
        <v>2015</v>
      </c>
      <c r="AG9">
        <v>-40000</v>
      </c>
      <c r="AH9">
        <v>-40000</v>
      </c>
      <c r="AI9" s="3">
        <f t="shared" si="16"/>
        <v>12979.99356652688</v>
      </c>
      <c r="AJ9" s="3">
        <f t="shared" si="17"/>
        <v>12979.99356652688</v>
      </c>
      <c r="AK9" s="13">
        <f>CPIs!T54</f>
        <v>103.59481811523438</v>
      </c>
      <c r="AL9" s="3">
        <f t="shared" si="12"/>
        <v>-41116.782597924052</v>
      </c>
      <c r="AM9" s="3">
        <f t="shared" si="13"/>
        <v>-41116.782597924052</v>
      </c>
      <c r="AN9" s="3">
        <f t="shared" si="14"/>
        <v>13342.389339933465</v>
      </c>
      <c r="AO9" s="3">
        <f t="shared" si="15"/>
        <v>13342.389339933465</v>
      </c>
      <c r="AU9">
        <v>2013</v>
      </c>
      <c r="AV9">
        <v>1115</v>
      </c>
      <c r="AW9">
        <v>432</v>
      </c>
      <c r="AX9">
        <v>213</v>
      </c>
      <c r="AY9">
        <f t="shared" si="18"/>
        <v>1760</v>
      </c>
    </row>
    <row r="10" spans="1:51">
      <c r="A10">
        <v>2016</v>
      </c>
      <c r="B10" s="3">
        <f t="shared" si="6"/>
        <v>30</v>
      </c>
      <c r="C10" s="3">
        <f t="shared" si="0"/>
        <v>256875.39107210989</v>
      </c>
      <c r="D10" s="3"/>
      <c r="E10">
        <v>25</v>
      </c>
      <c r="F10" s="3">
        <f t="shared" si="7"/>
        <v>64218.847768027474</v>
      </c>
      <c r="G10" s="3">
        <f t="shared" si="1"/>
        <v>321094.23884013738</v>
      </c>
      <c r="H10" s="3">
        <f t="shared" si="2"/>
        <v>-40716</v>
      </c>
      <c r="I10" s="3">
        <f t="shared" si="8"/>
        <v>280378.23884013738</v>
      </c>
      <c r="K10" s="3">
        <f t="shared" si="3"/>
        <v>13383.494085371995</v>
      </c>
      <c r="M10">
        <v>2016</v>
      </c>
      <c r="N10" s="3">
        <f t="shared" si="9"/>
        <v>280378.23884013738</v>
      </c>
      <c r="O10" s="3">
        <f t="shared" si="10"/>
        <v>300736.23884013738</v>
      </c>
      <c r="P10" s="3">
        <f t="shared" si="4"/>
        <v>246172.24977743867</v>
      </c>
      <c r="T10">
        <v>2016</v>
      </c>
      <c r="U10" s="3">
        <f>'Vehicle price'!X12</f>
        <v>23</v>
      </c>
      <c r="V10">
        <v>1</v>
      </c>
      <c r="W10" s="3">
        <f t="shared" si="5"/>
        <v>30</v>
      </c>
      <c r="X10" s="3">
        <f>'Vehicle price'!T12</f>
        <v>30</v>
      </c>
      <c r="Y10" s="3">
        <f t="shared" si="11"/>
        <v>30</v>
      </c>
      <c r="Z10">
        <v>1</v>
      </c>
      <c r="AB10">
        <v>2016</v>
      </c>
      <c r="AC10" s="156">
        <v>8.5625130357369965</v>
      </c>
      <c r="AF10">
        <v>2016</v>
      </c>
      <c r="AG10">
        <v>-40000</v>
      </c>
      <c r="AH10">
        <v>-20000</v>
      </c>
      <c r="AI10" s="3">
        <f t="shared" si="16"/>
        <v>13148.142337530204</v>
      </c>
      <c r="AJ10" s="3">
        <f t="shared" si="17"/>
        <v>13148.142337530204</v>
      </c>
      <c r="AK10" s="13">
        <f>CPIs!T55</f>
        <v>104.61454010009766</v>
      </c>
      <c r="AL10" s="3">
        <f t="shared" si="12"/>
        <v>-40716</v>
      </c>
      <c r="AM10" s="3">
        <f t="shared" si="13"/>
        <v>-20358</v>
      </c>
      <c r="AN10" s="3">
        <f t="shared" si="14"/>
        <v>13383.494085371995</v>
      </c>
      <c r="AO10" s="3">
        <f t="shared" si="15"/>
        <v>13383.494085371995</v>
      </c>
      <c r="AU10">
        <v>2014</v>
      </c>
      <c r="AV10">
        <v>3428</v>
      </c>
      <c r="AW10">
        <v>1239</v>
      </c>
      <c r="AX10">
        <v>282</v>
      </c>
      <c r="AY10">
        <f t="shared" si="18"/>
        <v>4949</v>
      </c>
    </row>
    <row r="11" spans="1:51">
      <c r="A11">
        <v>2017</v>
      </c>
      <c r="B11" s="3">
        <f t="shared" si="6"/>
        <v>30</v>
      </c>
      <c r="C11" s="3">
        <f t="shared" si="0"/>
        <v>256198.58135824979</v>
      </c>
      <c r="D11" s="3"/>
      <c r="E11">
        <v>25</v>
      </c>
      <c r="F11" s="3">
        <f t="shared" si="7"/>
        <v>64049.645339562448</v>
      </c>
      <c r="G11" s="3">
        <f t="shared" si="1"/>
        <v>320248.22669781226</v>
      </c>
      <c r="H11" s="3">
        <f t="shared" si="2"/>
        <v>-40000</v>
      </c>
      <c r="I11" s="3">
        <f t="shared" si="8"/>
        <v>280248.22669781226</v>
      </c>
      <c r="K11" s="3">
        <f t="shared" si="3"/>
        <v>13118.137106882406</v>
      </c>
      <c r="M11">
        <v>2017</v>
      </c>
      <c r="N11" s="3">
        <f t="shared" si="9"/>
        <v>280248.22669781226</v>
      </c>
      <c r="O11" s="3">
        <f t="shared" si="10"/>
        <v>300248.22669781226</v>
      </c>
      <c r="P11" s="3">
        <f t="shared" si="4"/>
        <v>245523.6404683227</v>
      </c>
      <c r="T11">
        <v>2017</v>
      </c>
      <c r="U11" s="3">
        <f>'Vehicle price'!X13</f>
        <v>23</v>
      </c>
      <c r="V11">
        <v>1</v>
      </c>
      <c r="W11" s="3">
        <f t="shared" si="5"/>
        <v>30</v>
      </c>
      <c r="X11" s="3">
        <f>'Vehicle price'!T13</f>
        <v>30</v>
      </c>
      <c r="Y11" s="3">
        <f t="shared" si="11"/>
        <v>30</v>
      </c>
      <c r="Z11">
        <v>1</v>
      </c>
      <c r="AB11">
        <v>2017</v>
      </c>
      <c r="AC11" s="156">
        <v>8.5399527119416589</v>
      </c>
      <c r="AF11">
        <v>2017</v>
      </c>
      <c r="AG11">
        <v>-40000</v>
      </c>
      <c r="AH11">
        <v>-20000</v>
      </c>
      <c r="AI11" s="3">
        <f t="shared" si="16"/>
        <v>13118.137106882406</v>
      </c>
      <c r="AJ11" s="3">
        <f t="shared" si="17"/>
        <v>13118.137106882406</v>
      </c>
      <c r="AK11" s="13">
        <f>CPIs!T56</f>
        <v>106.48714036788941</v>
      </c>
      <c r="AL11" s="3">
        <f t="shared" si="12"/>
        <v>-40000</v>
      </c>
      <c r="AM11" s="3">
        <f t="shared" si="13"/>
        <v>-20000</v>
      </c>
      <c r="AN11" s="3">
        <f t="shared" si="14"/>
        <v>13118.137106882406</v>
      </c>
      <c r="AO11" s="3">
        <f t="shared" si="15"/>
        <v>13118.137106882406</v>
      </c>
      <c r="AU11">
        <v>2015</v>
      </c>
      <c r="AV11">
        <v>5700</v>
      </c>
      <c r="AW11">
        <v>2962</v>
      </c>
      <c r="AX11">
        <v>321</v>
      </c>
      <c r="AY11">
        <f t="shared" si="18"/>
        <v>8983</v>
      </c>
    </row>
    <row r="12" spans="1:51">
      <c r="A12">
        <v>2018</v>
      </c>
      <c r="B12" s="3">
        <f t="shared" si="6"/>
        <v>30.592100851060948</v>
      </c>
      <c r="C12" s="3">
        <f t="shared" si="0"/>
        <v>260032.85723401807</v>
      </c>
      <c r="D12" s="3"/>
      <c r="E12">
        <v>25</v>
      </c>
      <c r="F12" s="3">
        <f>(C12)*E12/100</f>
        <v>65008.214308504517</v>
      </c>
      <c r="G12" s="3">
        <f t="shared" si="1"/>
        <v>325041.07154252258</v>
      </c>
      <c r="H12" s="3">
        <f t="shared" si="2"/>
        <v>-58944.88653109342</v>
      </c>
      <c r="I12" s="3">
        <f t="shared" si="8"/>
        <v>266096.18501142913</v>
      </c>
      <c r="K12" s="3">
        <f t="shared" si="3"/>
        <v>12835.249042145593</v>
      </c>
      <c r="M12">
        <v>2018</v>
      </c>
      <c r="N12" s="3">
        <f t="shared" si="9"/>
        <v>266096.18501142913</v>
      </c>
      <c r="O12" s="3">
        <f t="shared" si="10"/>
        <v>305392.77603215812</v>
      </c>
      <c r="P12" s="3">
        <f t="shared" si="4"/>
        <v>244375</v>
      </c>
      <c r="T12">
        <v>2018</v>
      </c>
      <c r="U12" s="3">
        <f>'Vehicle price'!X14</f>
        <v>23</v>
      </c>
      <c r="V12">
        <v>1</v>
      </c>
      <c r="W12" s="3">
        <f t="shared" si="5"/>
        <v>30.592100851060948</v>
      </c>
      <c r="X12" s="3">
        <f>'Vehicle price'!T14</f>
        <v>30.592100851060948</v>
      </c>
      <c r="Y12" s="3">
        <f t="shared" si="11"/>
        <v>30.592100851060948</v>
      </c>
      <c r="Z12">
        <v>1</v>
      </c>
      <c r="AB12">
        <v>2018</v>
      </c>
      <c r="AC12" s="14">
        <v>8.5</v>
      </c>
      <c r="AF12">
        <v>2018</v>
      </c>
      <c r="AG12">
        <v>-60000</v>
      </c>
      <c r="AH12">
        <v>-20000</v>
      </c>
      <c r="AI12" s="3">
        <f t="shared" si="16"/>
        <v>13065</v>
      </c>
      <c r="AJ12" s="3">
        <f t="shared" si="17"/>
        <v>13065</v>
      </c>
      <c r="AK12" s="20">
        <f>AK11*AK11/AK10</f>
        <v>108.39326018047464</v>
      </c>
      <c r="AL12" s="3">
        <f t="shared" si="12"/>
        <v>-58944.88653109342</v>
      </c>
      <c r="AM12" s="3">
        <f t="shared" si="13"/>
        <v>-19648.295510364474</v>
      </c>
      <c r="AN12" s="3">
        <f t="shared" si="14"/>
        <v>12835.249042145593</v>
      </c>
      <c r="AO12" s="3">
        <f t="shared" si="15"/>
        <v>12835.249042145593</v>
      </c>
      <c r="AU12">
        <v>2016</v>
      </c>
      <c r="AV12">
        <v>10034</v>
      </c>
      <c r="AW12">
        <v>2945</v>
      </c>
      <c r="AX12">
        <v>273</v>
      </c>
      <c r="AY12">
        <f t="shared" si="18"/>
        <v>13252</v>
      </c>
    </row>
    <row r="13" spans="1:51">
      <c r="A13">
        <v>2019</v>
      </c>
      <c r="B13" s="3">
        <f t="shared" si="6"/>
        <v>31.172994053473918</v>
      </c>
      <c r="C13" s="3">
        <f t="shared" si="0"/>
        <v>264970.44945452828</v>
      </c>
      <c r="D13" s="3"/>
      <c r="E13">
        <v>25</v>
      </c>
      <c r="F13" s="3">
        <f t="shared" ref="F13:F24" si="19">(C13)*E13/100</f>
        <v>66242.61236363207</v>
      </c>
      <c r="G13" s="3">
        <f t="shared" si="1"/>
        <v>331213.06181816035</v>
      </c>
      <c r="H13" s="3">
        <f t="shared" si="2"/>
        <v>-57908.327469391304</v>
      </c>
      <c r="I13" s="3">
        <f t="shared" si="8"/>
        <v>273304.73434876907</v>
      </c>
      <c r="K13" s="3">
        <f t="shared" si="3"/>
        <v>12609.538306459959</v>
      </c>
      <c r="M13">
        <v>2019</v>
      </c>
      <c r="N13" s="3">
        <f t="shared" ref="N13:N24" si="20">I13</f>
        <v>273304.73434876907</v>
      </c>
      <c r="O13" s="3">
        <f t="shared" ref="O13:O24" si="21">I38</f>
        <v>311910.2859950299</v>
      </c>
      <c r="P13" s="3">
        <f t="shared" si="4"/>
        <v>244375</v>
      </c>
      <c r="T13">
        <v>2019</v>
      </c>
      <c r="U13" s="3">
        <f>'Vehicle price'!X15</f>
        <v>23</v>
      </c>
      <c r="V13" s="20">
        <f>V12+(V24-V12)/12</f>
        <v>1.0249999999999999</v>
      </c>
      <c r="W13" s="3">
        <f t="shared" si="5"/>
        <v>31.952318904810763</v>
      </c>
      <c r="X13" s="3">
        <f>'Vehicle price'!T15</f>
        <v>31.172994053473918</v>
      </c>
      <c r="Y13" s="3">
        <f t="shared" si="11"/>
        <v>30.393669202137069</v>
      </c>
      <c r="Z13" s="20">
        <f>Z12+(Z24-Z12)/12</f>
        <v>0.97499999999999998</v>
      </c>
      <c r="AB13">
        <v>2019</v>
      </c>
      <c r="AC13" s="14">
        <v>8.5</v>
      </c>
      <c r="AF13">
        <v>2019</v>
      </c>
      <c r="AG13">
        <v>-60000</v>
      </c>
      <c r="AH13">
        <v>-20000</v>
      </c>
      <c r="AI13" s="3">
        <f t="shared" si="16"/>
        <v>13065</v>
      </c>
      <c r="AJ13" s="3">
        <f t="shared" si="17"/>
        <v>13065</v>
      </c>
      <c r="AK13" s="20">
        <f t="shared" ref="AK13:AK24" si="22">AK12*AK12/AK11</f>
        <v>110.33349953770515</v>
      </c>
      <c r="AL13" s="3">
        <f t="shared" si="12"/>
        <v>-57908.327469391304</v>
      </c>
      <c r="AM13" s="3">
        <f t="shared" si="13"/>
        <v>-19302.775823130436</v>
      </c>
      <c r="AN13" s="3">
        <f t="shared" si="14"/>
        <v>12609.538306459959</v>
      </c>
      <c r="AO13" s="3">
        <f t="shared" si="15"/>
        <v>12609.538306459959</v>
      </c>
      <c r="AU13">
        <v>2017</v>
      </c>
      <c r="AV13">
        <v>15447</v>
      </c>
      <c r="AW13">
        <v>4217</v>
      </c>
      <c r="AX13">
        <v>317</v>
      </c>
      <c r="AY13">
        <f t="shared" si="18"/>
        <v>19981</v>
      </c>
    </row>
    <row r="14" spans="1:51">
      <c r="A14">
        <v>2020</v>
      </c>
      <c r="B14" s="3">
        <f t="shared" si="6"/>
        <v>30.985903123425071</v>
      </c>
      <c r="C14" s="3">
        <f t="shared" si="0"/>
        <v>263380.17654911312</v>
      </c>
      <c r="D14" s="3"/>
      <c r="E14">
        <v>25</v>
      </c>
      <c r="F14" s="3">
        <f t="shared" si="19"/>
        <v>65845.044137278281</v>
      </c>
      <c r="G14" s="3">
        <f t="shared" si="1"/>
        <v>329225.2206863914</v>
      </c>
      <c r="H14" s="3">
        <f t="shared" si="2"/>
        <v>-56889.996531477846</v>
      </c>
      <c r="I14" s="3">
        <f t="shared" si="8"/>
        <v>272335.22415491357</v>
      </c>
      <c r="K14" s="3">
        <f t="shared" si="3"/>
        <v>12387.796744729303</v>
      </c>
      <c r="M14">
        <v>2020</v>
      </c>
      <c r="N14" s="3">
        <f t="shared" si="20"/>
        <v>272335.22415491357</v>
      </c>
      <c r="O14" s="3">
        <f t="shared" si="21"/>
        <v>310261.88850923214</v>
      </c>
      <c r="P14" s="3">
        <f t="shared" si="4"/>
        <v>244375</v>
      </c>
      <c r="T14">
        <v>2020</v>
      </c>
      <c r="U14" s="3">
        <f>'Vehicle price'!X16</f>
        <v>23</v>
      </c>
      <c r="V14" s="20">
        <f>V13+(V24-V12)/12</f>
        <v>1.0499999999999998</v>
      </c>
      <c r="W14" s="3">
        <f t="shared" si="5"/>
        <v>32.535198279596322</v>
      </c>
      <c r="X14" s="3">
        <f>'Vehicle price'!T16</f>
        <v>30.985903123425071</v>
      </c>
      <c r="Y14" s="3">
        <f t="shared" si="11"/>
        <v>29.436607967253817</v>
      </c>
      <c r="Z14" s="20">
        <f>Z13+(Z24-Z12)/12</f>
        <v>0.95</v>
      </c>
      <c r="AB14">
        <v>2020</v>
      </c>
      <c r="AC14" s="14">
        <v>8.5</v>
      </c>
      <c r="AF14">
        <v>2020</v>
      </c>
      <c r="AG14">
        <v>-60000</v>
      </c>
      <c r="AH14">
        <v>-20000</v>
      </c>
      <c r="AI14" s="3">
        <f t="shared" si="16"/>
        <v>13065</v>
      </c>
      <c r="AJ14" s="3">
        <f t="shared" si="17"/>
        <v>13065</v>
      </c>
      <c r="AK14" s="20">
        <f t="shared" si="22"/>
        <v>112.30846917943009</v>
      </c>
      <c r="AL14" s="3">
        <f t="shared" si="12"/>
        <v>-56889.996531477846</v>
      </c>
      <c r="AM14" s="3">
        <f t="shared" si="13"/>
        <v>-18963.332177159282</v>
      </c>
      <c r="AN14" s="3">
        <f t="shared" si="14"/>
        <v>12387.796744729303</v>
      </c>
      <c r="AO14" s="3">
        <f t="shared" si="15"/>
        <v>12387.796744729303</v>
      </c>
    </row>
    <row r="15" spans="1:51">
      <c r="A15">
        <v>2021</v>
      </c>
      <c r="B15" s="3">
        <f t="shared" si="6"/>
        <v>30.206708843097807</v>
      </c>
      <c r="C15" s="3">
        <f t="shared" si="0"/>
        <v>256757.02516633135</v>
      </c>
      <c r="E15">
        <v>25</v>
      </c>
      <c r="F15" s="3">
        <f t="shared" si="19"/>
        <v>64189.256291582838</v>
      </c>
      <c r="G15" s="3">
        <f t="shared" si="1"/>
        <v>320946.28145791421</v>
      </c>
      <c r="H15" s="3">
        <f t="shared" si="2"/>
        <v>-55889.573171704324</v>
      </c>
      <c r="I15" s="3">
        <f t="shared" si="8"/>
        <v>265056.70828620991</v>
      </c>
      <c r="K15" s="3">
        <f t="shared" si="3"/>
        <v>12169.954558138619</v>
      </c>
      <c r="M15">
        <v>2021</v>
      </c>
      <c r="N15" s="3">
        <f t="shared" si="20"/>
        <v>265056.70828620991</v>
      </c>
      <c r="O15" s="3">
        <f t="shared" si="21"/>
        <v>302316.42373401276</v>
      </c>
      <c r="P15" s="3">
        <f t="shared" si="4"/>
        <v>244375</v>
      </c>
      <c r="T15">
        <v>2021</v>
      </c>
      <c r="U15" s="3">
        <f>'Vehicle price'!X17</f>
        <v>23</v>
      </c>
      <c r="V15" s="20">
        <f>V14+(V24-V12)/12</f>
        <v>1.0749999999999997</v>
      </c>
      <c r="W15" s="3">
        <f t="shared" si="5"/>
        <v>32.472212006330132</v>
      </c>
      <c r="X15" s="3">
        <f>'Vehicle price'!T17</f>
        <v>30.206708843097807</v>
      </c>
      <c r="Y15" s="3">
        <f t="shared" si="11"/>
        <v>27.941205679865469</v>
      </c>
      <c r="Z15" s="20">
        <f>Z14+(Z24-Z12)/12</f>
        <v>0.92499999999999993</v>
      </c>
      <c r="AB15">
        <v>2021</v>
      </c>
      <c r="AC15" s="14">
        <v>8.5</v>
      </c>
      <c r="AF15">
        <v>2021</v>
      </c>
      <c r="AG15">
        <v>-60000</v>
      </c>
      <c r="AH15">
        <v>-20000</v>
      </c>
      <c r="AI15" s="3">
        <f t="shared" si="16"/>
        <v>13065</v>
      </c>
      <c r="AJ15" s="3">
        <f t="shared" si="17"/>
        <v>13065</v>
      </c>
      <c r="AK15" s="20">
        <f t="shared" si="22"/>
        <v>114.31879077774191</v>
      </c>
      <c r="AL15" s="3">
        <f t="shared" si="12"/>
        <v>-55889.573171704324</v>
      </c>
      <c r="AM15" s="3">
        <f t="shared" si="13"/>
        <v>-18629.857723901441</v>
      </c>
      <c r="AN15" s="3">
        <f t="shared" si="14"/>
        <v>12169.954558138619</v>
      </c>
      <c r="AO15" s="3">
        <f t="shared" si="15"/>
        <v>12169.954558138619</v>
      </c>
    </row>
    <row r="16" spans="1:51">
      <c r="A16">
        <v>2022</v>
      </c>
      <c r="B16" s="3">
        <f t="shared" si="6"/>
        <v>30.642454642697771</v>
      </c>
      <c r="C16" s="3">
        <f t="shared" si="0"/>
        <v>260460.86446293106</v>
      </c>
      <c r="E16">
        <v>25</v>
      </c>
      <c r="F16" s="3">
        <f t="shared" si="19"/>
        <v>65115.216115732765</v>
      </c>
      <c r="G16" s="3">
        <f t="shared" si="1"/>
        <v>325576.08057866385</v>
      </c>
      <c r="H16" s="3">
        <f t="shared" si="2"/>
        <v>-54906.742481289242</v>
      </c>
      <c r="I16" s="3">
        <f t="shared" si="8"/>
        <v>270669.3380973746</v>
      </c>
      <c r="K16" s="3">
        <f t="shared" si="3"/>
        <v>11955.943175300734</v>
      </c>
      <c r="M16">
        <v>2022</v>
      </c>
      <c r="N16" s="3">
        <f t="shared" si="20"/>
        <v>270669.3380973746</v>
      </c>
      <c r="O16" s="3">
        <f t="shared" si="21"/>
        <v>307273.83308490075</v>
      </c>
      <c r="P16" s="3">
        <f t="shared" si="4"/>
        <v>244375</v>
      </c>
      <c r="T16">
        <v>2022</v>
      </c>
      <c r="U16" s="3">
        <f>'Vehicle price'!X18</f>
        <v>23</v>
      </c>
      <c r="V16" s="20">
        <f>V15+(V24-V12)/12</f>
        <v>1.0999999999999996</v>
      </c>
      <c r="W16" s="3">
        <f t="shared" si="5"/>
        <v>33.706700106967538</v>
      </c>
      <c r="X16" s="3">
        <f>'Vehicle price'!T18</f>
        <v>30.642454642697771</v>
      </c>
      <c r="Y16" s="3">
        <f t="shared" si="11"/>
        <v>27.57820917842799</v>
      </c>
      <c r="Z16" s="20">
        <f>Z15+(Z24-Z12)/12</f>
        <v>0.89999999999999991</v>
      </c>
      <c r="AB16">
        <v>2022</v>
      </c>
      <c r="AC16" s="14">
        <v>8.5</v>
      </c>
      <c r="AF16">
        <v>2022</v>
      </c>
      <c r="AG16">
        <v>-60000</v>
      </c>
      <c r="AH16">
        <v>-20000</v>
      </c>
      <c r="AI16" s="3">
        <f t="shared" si="16"/>
        <v>13065</v>
      </c>
      <c r="AJ16" s="3">
        <f t="shared" si="17"/>
        <v>13065</v>
      </c>
      <c r="AK16" s="20">
        <f t="shared" si="22"/>
        <v>116.36509713266351</v>
      </c>
      <c r="AL16" s="3">
        <f t="shared" si="12"/>
        <v>-54906.742481289242</v>
      </c>
      <c r="AM16" s="3">
        <f t="shared" si="13"/>
        <v>-18302.24749376308</v>
      </c>
      <c r="AN16" s="3">
        <f t="shared" si="14"/>
        <v>11955.943175300734</v>
      </c>
      <c r="AO16" s="3">
        <f t="shared" si="15"/>
        <v>11955.943175300734</v>
      </c>
    </row>
    <row r="17" spans="1:41">
      <c r="A17">
        <v>2023</v>
      </c>
      <c r="B17" s="3">
        <f t="shared" si="6"/>
        <v>30.361546257811007</v>
      </c>
      <c r="C17" s="3">
        <f t="shared" si="0"/>
        <v>258073.14319139358</v>
      </c>
      <c r="E17">
        <v>25</v>
      </c>
      <c r="F17" s="3">
        <f t="shared" si="19"/>
        <v>64518.285797848395</v>
      </c>
      <c r="G17" s="3">
        <f t="shared" si="1"/>
        <v>322591.42898924195</v>
      </c>
      <c r="H17" s="3">
        <f t="shared" si="2"/>
        <v>-53941.195089192675</v>
      </c>
      <c r="I17" s="3">
        <f t="shared" si="8"/>
        <v>268650.23390004929</v>
      </c>
      <c r="K17" s="3">
        <f t="shared" si="3"/>
        <v>11745.695230671707</v>
      </c>
      <c r="M17">
        <v>2023</v>
      </c>
      <c r="N17" s="3">
        <f t="shared" si="20"/>
        <v>268650.23390004929</v>
      </c>
      <c r="O17" s="3">
        <f t="shared" si="21"/>
        <v>304611.03062617773</v>
      </c>
      <c r="P17" s="3">
        <f t="shared" si="4"/>
        <v>244375</v>
      </c>
      <c r="T17">
        <v>2023</v>
      </c>
      <c r="U17" s="3">
        <f>'Vehicle price'!X19</f>
        <v>23</v>
      </c>
      <c r="V17" s="20">
        <f>V16+(V24-V12)/12</f>
        <v>1.1249999999999996</v>
      </c>
      <c r="W17" s="3">
        <f t="shared" si="5"/>
        <v>34.156739540037371</v>
      </c>
      <c r="X17" s="3">
        <f>'Vehicle price'!T19</f>
        <v>30.361546257811007</v>
      </c>
      <c r="Y17" s="3">
        <f t="shared" si="11"/>
        <v>26.566352975584628</v>
      </c>
      <c r="Z17" s="20">
        <f>Z16+(Z24-Z12)/12</f>
        <v>0.87499999999999989</v>
      </c>
      <c r="AB17">
        <v>2023</v>
      </c>
      <c r="AC17" s="14">
        <v>8.5</v>
      </c>
      <c r="AF17">
        <v>2023</v>
      </c>
      <c r="AG17">
        <v>-60000</v>
      </c>
      <c r="AH17">
        <v>-20000</v>
      </c>
      <c r="AI17" s="3">
        <f t="shared" si="16"/>
        <v>13065</v>
      </c>
      <c r="AJ17" s="3">
        <f t="shared" si="17"/>
        <v>13065</v>
      </c>
      <c r="AK17" s="20">
        <f t="shared" si="22"/>
        <v>118.44803237133821</v>
      </c>
      <c r="AL17" s="3">
        <f t="shared" si="12"/>
        <v>-53941.195089192675</v>
      </c>
      <c r="AM17" s="3">
        <f t="shared" si="13"/>
        <v>-17980.398363064225</v>
      </c>
      <c r="AN17" s="3">
        <f t="shared" si="14"/>
        <v>11745.695230671707</v>
      </c>
      <c r="AO17" s="3">
        <f t="shared" si="15"/>
        <v>11745.695230671707</v>
      </c>
    </row>
    <row r="18" spans="1:41">
      <c r="A18">
        <v>2024</v>
      </c>
      <c r="B18" s="3">
        <f t="shared" si="6"/>
        <v>29.275640447464834</v>
      </c>
      <c r="C18" s="3">
        <f t="shared" si="0"/>
        <v>248842.94380345108</v>
      </c>
      <c r="E18">
        <v>25</v>
      </c>
      <c r="F18" s="3">
        <f t="shared" si="19"/>
        <v>62210.735950862778</v>
      </c>
      <c r="G18" s="3">
        <f t="shared" si="1"/>
        <v>311053.67975431384</v>
      </c>
      <c r="H18" s="3">
        <f t="shared" si="2"/>
        <v>-52992.627064733926</v>
      </c>
      <c r="I18" s="3">
        <f t="shared" si="8"/>
        <v>258061.0526895799</v>
      </c>
      <c r="K18" s="3">
        <f t="shared" si="3"/>
        <v>11539.144543345814</v>
      </c>
      <c r="M18">
        <v>2024</v>
      </c>
      <c r="N18" s="3">
        <f t="shared" si="20"/>
        <v>258061.0526895799</v>
      </c>
      <c r="O18" s="3">
        <f t="shared" si="21"/>
        <v>293389.47073273588</v>
      </c>
      <c r="P18" s="3">
        <f t="shared" si="4"/>
        <v>244375</v>
      </c>
      <c r="T18">
        <v>2024</v>
      </c>
      <c r="U18" s="3">
        <f>'Vehicle price'!X20</f>
        <v>23</v>
      </c>
      <c r="V18" s="20">
        <f>V17+(V24-V12)/12</f>
        <v>1.1499999999999995</v>
      </c>
      <c r="W18" s="3">
        <f t="shared" si="5"/>
        <v>33.666986514584543</v>
      </c>
      <c r="X18" s="3">
        <f>'Vehicle price'!T20</f>
        <v>29.275640447464834</v>
      </c>
      <c r="Y18" s="3">
        <f t="shared" si="11"/>
        <v>24.884294380345104</v>
      </c>
      <c r="Z18" s="20">
        <f>Z17+(Z24-Z12)/12</f>
        <v>0.84999999999999987</v>
      </c>
      <c r="AB18">
        <v>2024</v>
      </c>
      <c r="AC18" s="14">
        <v>8.5</v>
      </c>
      <c r="AF18">
        <v>2024</v>
      </c>
      <c r="AG18">
        <v>-60000</v>
      </c>
      <c r="AH18">
        <v>-20000</v>
      </c>
      <c r="AI18" s="3">
        <f t="shared" si="16"/>
        <v>13065</v>
      </c>
      <c r="AJ18" s="3">
        <f t="shared" si="17"/>
        <v>13065</v>
      </c>
      <c r="AK18" s="20">
        <f t="shared" si="22"/>
        <v>120.5682521507852</v>
      </c>
      <c r="AL18" s="3">
        <f t="shared" si="12"/>
        <v>-52992.627064733926</v>
      </c>
      <c r="AM18" s="3">
        <f t="shared" si="13"/>
        <v>-17664.209021577975</v>
      </c>
      <c r="AN18" s="3">
        <f t="shared" si="14"/>
        <v>11539.144543345814</v>
      </c>
      <c r="AO18" s="3">
        <f t="shared" si="15"/>
        <v>11539.144543345814</v>
      </c>
    </row>
    <row r="19" spans="1:41">
      <c r="A19">
        <v>2025</v>
      </c>
      <c r="B19" s="3">
        <f t="shared" si="6"/>
        <v>28.343375828936317</v>
      </c>
      <c r="C19" s="3">
        <f t="shared" si="0"/>
        <v>240918.69454595869</v>
      </c>
      <c r="E19">
        <v>25</v>
      </c>
      <c r="F19" s="3">
        <f t="shared" si="19"/>
        <v>60229.673636489671</v>
      </c>
      <c r="G19" s="3">
        <f t="shared" si="1"/>
        <v>301148.36818244838</v>
      </c>
      <c r="H19" s="3">
        <f t="shared" si="2"/>
        <v>-52060.739821921517</v>
      </c>
      <c r="I19" s="3">
        <f t="shared" si="8"/>
        <v>249087.62836052687</v>
      </c>
      <c r="K19" s="3">
        <f t="shared" si="3"/>
        <v>11336.226096223412</v>
      </c>
      <c r="M19">
        <v>2025</v>
      </c>
      <c r="N19" s="3">
        <f t="shared" si="20"/>
        <v>249087.62836052687</v>
      </c>
      <c r="O19" s="3">
        <f t="shared" si="21"/>
        <v>283794.7882418079</v>
      </c>
      <c r="P19" s="3">
        <f t="shared" si="4"/>
        <v>244375</v>
      </c>
      <c r="T19">
        <v>2025</v>
      </c>
      <c r="U19" s="3">
        <f>'Vehicle price'!X21</f>
        <v>23</v>
      </c>
      <c r="V19" s="20">
        <f>V18+(V24-V12)/12</f>
        <v>1.1749999999999994</v>
      </c>
      <c r="W19" s="3">
        <f t="shared" si="5"/>
        <v>33.303466599000153</v>
      </c>
      <c r="X19" s="3">
        <f>'Vehicle price'!T21</f>
        <v>28.343375828936317</v>
      </c>
      <c r="Y19" s="3">
        <f t="shared" si="11"/>
        <v>23.383285058872456</v>
      </c>
      <c r="Z19" s="20">
        <f>Z18+(Z24-Z12)/12</f>
        <v>0.82499999999999984</v>
      </c>
      <c r="AB19">
        <v>2025</v>
      </c>
      <c r="AC19" s="14">
        <v>8.5</v>
      </c>
      <c r="AF19">
        <v>2025</v>
      </c>
      <c r="AG19">
        <v>-60000</v>
      </c>
      <c r="AH19">
        <v>-20000</v>
      </c>
      <c r="AI19" s="3">
        <f t="shared" si="16"/>
        <v>13065</v>
      </c>
      <c r="AJ19" s="3">
        <f t="shared" si="17"/>
        <v>13065</v>
      </c>
      <c r="AK19" s="20">
        <f t="shared" si="22"/>
        <v>122.72642386428429</v>
      </c>
      <c r="AL19" s="3">
        <f t="shared" si="12"/>
        <v>-52060.739821921517</v>
      </c>
      <c r="AM19" s="3">
        <f t="shared" si="13"/>
        <v>-17353.579940640506</v>
      </c>
      <c r="AN19" s="3">
        <f t="shared" si="14"/>
        <v>11336.226096223412</v>
      </c>
      <c r="AO19" s="3">
        <f t="shared" si="15"/>
        <v>11336.226096223412</v>
      </c>
    </row>
    <row r="20" spans="1:41">
      <c r="A20">
        <v>2026</v>
      </c>
      <c r="B20" s="3">
        <f t="shared" si="6"/>
        <v>27.812270474504896</v>
      </c>
      <c r="C20" s="3">
        <f t="shared" si="0"/>
        <v>236404.29903329161</v>
      </c>
      <c r="E20">
        <v>25</v>
      </c>
      <c r="F20" s="3">
        <f t="shared" si="19"/>
        <v>59101.074758322902</v>
      </c>
      <c r="G20" s="3">
        <f t="shared" si="1"/>
        <v>295505.37379161449</v>
      </c>
      <c r="H20" s="3">
        <f t="shared" si="2"/>
        <v>-51145.240025465668</v>
      </c>
      <c r="I20" s="3">
        <f t="shared" si="8"/>
        <v>244360.13376614882</v>
      </c>
      <c r="K20" s="3">
        <f t="shared" si="3"/>
        <v>11136.876015545151</v>
      </c>
      <c r="M20">
        <v>2026</v>
      </c>
      <c r="N20" s="3">
        <f t="shared" si="20"/>
        <v>244360.13376614882</v>
      </c>
      <c r="O20" s="3">
        <f t="shared" si="21"/>
        <v>278456.96044979262</v>
      </c>
      <c r="P20" s="3">
        <f t="shared" si="4"/>
        <v>244375</v>
      </c>
      <c r="T20">
        <v>2026</v>
      </c>
      <c r="U20" s="3">
        <f>'Vehicle price'!X22</f>
        <v>23</v>
      </c>
      <c r="V20" s="20">
        <f>V19+(V24-V12)/12</f>
        <v>1.1999999999999993</v>
      </c>
      <c r="W20" s="3">
        <f t="shared" si="5"/>
        <v>33.374724569405856</v>
      </c>
      <c r="X20" s="3">
        <f>'Vehicle price'!T22</f>
        <v>27.812270474504896</v>
      </c>
      <c r="Y20" s="3">
        <f t="shared" si="11"/>
        <v>22.24981637960391</v>
      </c>
      <c r="Z20" s="20">
        <f>Z19+(Z24-Z12)/12</f>
        <v>0.79999999999999982</v>
      </c>
      <c r="AB20">
        <v>2026</v>
      </c>
      <c r="AC20" s="14">
        <v>8.5</v>
      </c>
      <c r="AF20">
        <v>2026</v>
      </c>
      <c r="AG20">
        <v>-60000</v>
      </c>
      <c r="AH20">
        <v>-20000</v>
      </c>
      <c r="AI20" s="3">
        <f t="shared" si="16"/>
        <v>13065</v>
      </c>
      <c r="AJ20" s="3">
        <f t="shared" si="17"/>
        <v>13065</v>
      </c>
      <c r="AK20" s="20">
        <f t="shared" si="22"/>
        <v>124.92322685145501</v>
      </c>
      <c r="AL20" s="3">
        <f t="shared" si="12"/>
        <v>-51145.240025465668</v>
      </c>
      <c r="AM20" s="3">
        <f t="shared" si="13"/>
        <v>-17048.413341821888</v>
      </c>
      <c r="AN20" s="3">
        <f t="shared" si="14"/>
        <v>11136.876015545151</v>
      </c>
      <c r="AO20" s="3">
        <f t="shared" si="15"/>
        <v>11136.876015545151</v>
      </c>
    </row>
    <row r="21" spans="1:41">
      <c r="A21">
        <v>2027</v>
      </c>
      <c r="B21" s="3">
        <f t="shared" si="6"/>
        <v>27.281165120073478</v>
      </c>
      <c r="C21" s="3">
        <f t="shared" si="0"/>
        <v>231889.90352062456</v>
      </c>
      <c r="E21">
        <v>25</v>
      </c>
      <c r="F21" s="3">
        <f t="shared" si="19"/>
        <v>57972.47588015614</v>
      </c>
      <c r="G21" s="3">
        <f t="shared" si="1"/>
        <v>289862.37940078072</v>
      </c>
      <c r="H21" s="3">
        <f t="shared" si="2"/>
        <v>-50245.839498443514</v>
      </c>
      <c r="I21" s="3">
        <f t="shared" si="8"/>
        <v>239616.53990233719</v>
      </c>
      <c r="K21" s="3">
        <f t="shared" si="3"/>
        <v>10941.031550786076</v>
      </c>
      <c r="M21">
        <v>2027</v>
      </c>
      <c r="N21" s="3">
        <f t="shared" si="20"/>
        <v>239616.53990233719</v>
      </c>
      <c r="O21" s="3">
        <f t="shared" si="21"/>
        <v>273113.76623463287</v>
      </c>
      <c r="P21" s="3">
        <f t="shared" si="4"/>
        <v>244375</v>
      </c>
      <c r="T21">
        <v>2027</v>
      </c>
      <c r="U21" s="3">
        <f>'Vehicle price'!X23</f>
        <v>23</v>
      </c>
      <c r="V21" s="20">
        <f>V20+(V24-V12)/12</f>
        <v>1.2249999999999992</v>
      </c>
      <c r="W21" s="3">
        <f t="shared" si="5"/>
        <v>33.41942727208999</v>
      </c>
      <c r="X21" s="3">
        <f>'Vehicle price'!T23</f>
        <v>27.281165120073478</v>
      </c>
      <c r="Y21" s="3">
        <f t="shared" si="11"/>
        <v>21.142902968056941</v>
      </c>
      <c r="Z21" s="20">
        <f>Z20+(Z24-Z12)/12</f>
        <v>0.7749999999999998</v>
      </c>
      <c r="AB21">
        <v>2027</v>
      </c>
      <c r="AC21" s="14">
        <v>8.5</v>
      </c>
      <c r="AF21">
        <v>2027</v>
      </c>
      <c r="AG21">
        <v>-60000</v>
      </c>
      <c r="AH21">
        <v>-20000</v>
      </c>
      <c r="AI21" s="3">
        <f t="shared" si="16"/>
        <v>13065</v>
      </c>
      <c r="AJ21" s="3">
        <f t="shared" si="17"/>
        <v>13065</v>
      </c>
      <c r="AK21" s="20">
        <f t="shared" si="22"/>
        <v>127.1593526120961</v>
      </c>
      <c r="AL21" s="3">
        <f t="shared" si="12"/>
        <v>-50245.839498443514</v>
      </c>
      <c r="AM21" s="3">
        <f t="shared" si="13"/>
        <v>-16748.613166147836</v>
      </c>
      <c r="AN21" s="3">
        <f t="shared" si="14"/>
        <v>10941.031550786076</v>
      </c>
      <c r="AO21" s="3">
        <f t="shared" si="15"/>
        <v>10941.031550786076</v>
      </c>
    </row>
    <row r="22" spans="1:41">
      <c r="A22">
        <v>2028</v>
      </c>
      <c r="B22" s="3">
        <f t="shared" si="6"/>
        <v>26.683671596338133</v>
      </c>
      <c r="C22" s="3">
        <f t="shared" si="0"/>
        <v>226811.20856887414</v>
      </c>
      <c r="E22">
        <v>25</v>
      </c>
      <c r="F22" s="3">
        <f t="shared" si="19"/>
        <v>56702.802142218541</v>
      </c>
      <c r="G22" s="3">
        <f t="shared" si="1"/>
        <v>283514.01071109268</v>
      </c>
      <c r="H22" s="3">
        <f t="shared" si="2"/>
        <v>-49362.255131588063</v>
      </c>
      <c r="I22" s="3">
        <f t="shared" si="8"/>
        <v>234151.75557950462</v>
      </c>
      <c r="K22" s="3">
        <f t="shared" si="3"/>
        <v>10748.631054903302</v>
      </c>
      <c r="M22">
        <v>2028</v>
      </c>
      <c r="N22" s="3">
        <f t="shared" si="20"/>
        <v>234151.75557950462</v>
      </c>
      <c r="O22" s="3">
        <f t="shared" si="21"/>
        <v>267059.92566722998</v>
      </c>
      <c r="P22" s="3">
        <f t="shared" si="4"/>
        <v>244375</v>
      </c>
      <c r="T22">
        <v>2028</v>
      </c>
      <c r="U22" s="3">
        <f>'Vehicle price'!X24</f>
        <v>23</v>
      </c>
      <c r="V22" s="20">
        <f>V21+(V24-V12)/12</f>
        <v>1.2499999999999991</v>
      </c>
      <c r="W22" s="3">
        <f t="shared" si="5"/>
        <v>33.354589495422644</v>
      </c>
      <c r="X22" s="3">
        <f>'Vehicle price'!T24</f>
        <v>26.683671596338133</v>
      </c>
      <c r="Y22" s="3">
        <f t="shared" si="11"/>
        <v>20.012753697253594</v>
      </c>
      <c r="Z22" s="20">
        <f>Z21+(Z24-Z12)/12</f>
        <v>0.74999999999999978</v>
      </c>
      <c r="AB22">
        <v>2028</v>
      </c>
      <c r="AC22" s="14">
        <v>8.5</v>
      </c>
      <c r="AF22">
        <v>2028</v>
      </c>
      <c r="AG22">
        <v>-60000</v>
      </c>
      <c r="AH22">
        <v>-20000</v>
      </c>
      <c r="AI22" s="3">
        <f t="shared" si="16"/>
        <v>13065</v>
      </c>
      <c r="AJ22" s="3">
        <f t="shared" si="17"/>
        <v>13065</v>
      </c>
      <c r="AK22" s="20">
        <f t="shared" si="22"/>
        <v>129.43550502385267</v>
      </c>
      <c r="AL22" s="3">
        <f t="shared" si="12"/>
        <v>-49362.255131588063</v>
      </c>
      <c r="AM22" s="3">
        <f t="shared" si="13"/>
        <v>-16454.085043862688</v>
      </c>
      <c r="AN22" s="3">
        <f t="shared" si="14"/>
        <v>10748.631054903302</v>
      </c>
      <c r="AO22" s="3">
        <f t="shared" si="15"/>
        <v>10748.631054903302</v>
      </c>
    </row>
    <row r="23" spans="1:41">
      <c r="A23">
        <v>2029</v>
      </c>
      <c r="B23" s="3">
        <f t="shared" si="6"/>
        <v>26.152566241906715</v>
      </c>
      <c r="C23" s="3">
        <f t="shared" si="0"/>
        <v>222296.81305620706</v>
      </c>
      <c r="E23">
        <v>25</v>
      </c>
      <c r="F23" s="3">
        <f t="shared" si="19"/>
        <v>55574.203264051772</v>
      </c>
      <c r="G23" s="3">
        <f t="shared" si="1"/>
        <v>277871.01632025884</v>
      </c>
      <c r="H23" s="3">
        <f t="shared" si="2"/>
        <v>-48494.208794172366</v>
      </c>
      <c r="I23" s="3">
        <f t="shared" si="8"/>
        <v>229376.80752608649</v>
      </c>
      <c r="K23" s="3">
        <f t="shared" si="3"/>
        <v>10559.613964931033</v>
      </c>
      <c r="M23">
        <v>2029</v>
      </c>
      <c r="N23" s="3">
        <f t="shared" si="20"/>
        <v>229376.80752608649</v>
      </c>
      <c r="O23" s="3">
        <f t="shared" si="21"/>
        <v>261706.28005553473</v>
      </c>
      <c r="P23" s="3">
        <f t="shared" si="4"/>
        <v>244375</v>
      </c>
      <c r="T23">
        <v>2029</v>
      </c>
      <c r="U23" s="3">
        <f>'Vehicle price'!X25</f>
        <v>23</v>
      </c>
      <c r="V23" s="20">
        <f>V22+(V24-V12)/12</f>
        <v>1.274999999999999</v>
      </c>
      <c r="W23" s="3">
        <f t="shared" si="5"/>
        <v>33.344521958431038</v>
      </c>
      <c r="X23" s="3">
        <f>'Vehicle price'!T25</f>
        <v>26.152566241906715</v>
      </c>
      <c r="Y23" s="3">
        <f t="shared" si="11"/>
        <v>18.960610525382361</v>
      </c>
      <c r="Z23" s="20">
        <f>Z22+(Z24-Z12)/12</f>
        <v>0.72499999999999976</v>
      </c>
      <c r="AB23">
        <v>2029</v>
      </c>
      <c r="AC23" s="14">
        <v>8.5</v>
      </c>
      <c r="AF23">
        <v>2029</v>
      </c>
      <c r="AG23">
        <v>-60000</v>
      </c>
      <c r="AH23">
        <v>-20000</v>
      </c>
      <c r="AI23" s="3">
        <f t="shared" si="16"/>
        <v>13065</v>
      </c>
      <c r="AJ23" s="3">
        <f t="shared" si="17"/>
        <v>13065</v>
      </c>
      <c r="AK23" s="20">
        <f t="shared" si="22"/>
        <v>131.75240056377967</v>
      </c>
      <c r="AL23" s="3">
        <f t="shared" si="12"/>
        <v>-48494.208794172366</v>
      </c>
      <c r="AM23" s="3">
        <f t="shared" si="13"/>
        <v>-16164.736264724121</v>
      </c>
      <c r="AN23" s="3">
        <f t="shared" si="14"/>
        <v>10559.613964931033</v>
      </c>
      <c r="AO23" s="3">
        <f t="shared" si="15"/>
        <v>10559.613964931033</v>
      </c>
    </row>
    <row r="24" spans="1:41">
      <c r="A24">
        <v>2030</v>
      </c>
      <c r="B24" s="3">
        <f t="shared" si="6"/>
        <v>25.55507271817137</v>
      </c>
      <c r="C24" s="3">
        <f t="shared" si="0"/>
        <v>217218.11810445663</v>
      </c>
      <c r="E24">
        <v>25</v>
      </c>
      <c r="F24" s="3">
        <f t="shared" si="19"/>
        <v>54304.529526114158</v>
      </c>
      <c r="G24" s="3">
        <f t="shared" si="1"/>
        <v>271522.64763057081</v>
      </c>
      <c r="H24" s="3">
        <f t="shared" si="2"/>
        <v>-47641.427246460698</v>
      </c>
      <c r="I24" s="3">
        <f t="shared" si="8"/>
        <v>223881.22038411011</v>
      </c>
      <c r="K24" s="3">
        <f t="shared" si="3"/>
        <v>10373.920782916819</v>
      </c>
      <c r="M24">
        <v>2030</v>
      </c>
      <c r="N24" s="3">
        <f t="shared" si="20"/>
        <v>223881.22038411011</v>
      </c>
      <c r="O24" s="3">
        <f t="shared" si="21"/>
        <v>255642.17188175058</v>
      </c>
      <c r="P24" s="3">
        <f t="shared" si="4"/>
        <v>244375</v>
      </c>
      <c r="T24">
        <v>2030</v>
      </c>
      <c r="U24" s="3">
        <f>'Vehicle price'!X26</f>
        <v>23</v>
      </c>
      <c r="V24">
        <v>1.3</v>
      </c>
      <c r="W24" s="3">
        <f t="shared" si="5"/>
        <v>33.221594533622785</v>
      </c>
      <c r="X24" s="3">
        <f>'Vehicle price'!T26</f>
        <v>25.55507271817137</v>
      </c>
      <c r="Y24" s="3">
        <f t="shared" si="11"/>
        <v>17.88855090271996</v>
      </c>
      <c r="Z24">
        <v>0.7</v>
      </c>
      <c r="AB24">
        <v>2030</v>
      </c>
      <c r="AC24" s="14">
        <v>8.5</v>
      </c>
      <c r="AF24">
        <v>2030</v>
      </c>
      <c r="AG24">
        <v>-60000</v>
      </c>
      <c r="AH24">
        <v>-20000</v>
      </c>
      <c r="AI24" s="3">
        <f t="shared" si="16"/>
        <v>13065</v>
      </c>
      <c r="AJ24" s="3">
        <f t="shared" si="17"/>
        <v>13065</v>
      </c>
      <c r="AK24" s="20">
        <f t="shared" si="22"/>
        <v>134.11076853387138</v>
      </c>
      <c r="AL24" s="3">
        <f t="shared" si="12"/>
        <v>-47641.427246460698</v>
      </c>
      <c r="AM24" s="3">
        <f t="shared" si="13"/>
        <v>-15880.475748820234</v>
      </c>
      <c r="AN24" s="3">
        <f t="shared" si="14"/>
        <v>10373.920782916819</v>
      </c>
      <c r="AO24" s="3">
        <f t="shared" si="15"/>
        <v>10373.920782916819</v>
      </c>
    </row>
    <row r="25" spans="1:41">
      <c r="F25" s="3"/>
    </row>
    <row r="26" spans="1:41">
      <c r="A26" t="s">
        <v>324</v>
      </c>
      <c r="B26" t="s">
        <v>1395</v>
      </c>
      <c r="C26" t="s">
        <v>754</v>
      </c>
      <c r="D26" t="s">
        <v>754</v>
      </c>
      <c r="E26" t="s">
        <v>498</v>
      </c>
      <c r="F26" t="s">
        <v>754</v>
      </c>
      <c r="G26" t="s">
        <v>754</v>
      </c>
      <c r="H26" t="s">
        <v>754</v>
      </c>
      <c r="I26" t="s">
        <v>754</v>
      </c>
      <c r="K26" t="s">
        <v>904</v>
      </c>
    </row>
    <row r="27" spans="1:41">
      <c r="B27" t="s">
        <v>711</v>
      </c>
      <c r="C27" t="s">
        <v>711</v>
      </c>
      <c r="D27" t="s">
        <v>749</v>
      </c>
      <c r="E27" t="s">
        <v>714</v>
      </c>
      <c r="F27" s="3" t="s">
        <v>728</v>
      </c>
      <c r="G27" t="s">
        <v>717</v>
      </c>
      <c r="H27" t="s">
        <v>750</v>
      </c>
      <c r="I27" t="s">
        <v>717</v>
      </c>
      <c r="K27" t="s">
        <v>735</v>
      </c>
    </row>
    <row r="28" spans="1:41">
      <c r="A28">
        <v>2009</v>
      </c>
      <c r="B28" s="3">
        <f t="shared" ref="B28:B49" si="23">B3</f>
        <v>29.592572886961211</v>
      </c>
      <c r="C28" s="3">
        <f t="shared" ref="C28:C49" si="24">B28*AC3*1000</f>
        <v>226496.22621368145</v>
      </c>
      <c r="D28" s="3"/>
      <c r="E28">
        <v>25</v>
      </c>
      <c r="F28" s="3">
        <f t="shared" ref="F28:F36" si="25">(C28)*E28/100</f>
        <v>56624.056553420356</v>
      </c>
      <c r="G28" s="3">
        <f t="shared" ref="G28:G49" si="26">C28+F28+D28</f>
        <v>283120.28276710183</v>
      </c>
      <c r="H28" s="3">
        <f t="shared" ref="H28:H49" si="27">AM3</f>
        <v>0</v>
      </c>
      <c r="I28" s="3">
        <f>G28+H28</f>
        <v>283120.28276710183</v>
      </c>
      <c r="K28" s="3">
        <f t="shared" ref="K28:K49" si="28">AO3</f>
        <v>0</v>
      </c>
    </row>
    <row r="29" spans="1:41">
      <c r="A29">
        <v>2010</v>
      </c>
      <c r="B29" s="3">
        <f t="shared" si="23"/>
        <v>30</v>
      </c>
      <c r="C29" s="3">
        <f t="shared" si="24"/>
        <v>215888.67918492691</v>
      </c>
      <c r="D29" s="3"/>
      <c r="E29">
        <v>25</v>
      </c>
      <c r="F29" s="3">
        <f t="shared" si="25"/>
        <v>53972.169796231727</v>
      </c>
      <c r="G29" s="3">
        <f t="shared" si="26"/>
        <v>269860.84898115863</v>
      </c>
      <c r="H29" s="3">
        <f t="shared" si="27"/>
        <v>0</v>
      </c>
      <c r="I29" s="3">
        <f t="shared" ref="I29:I49" si="29">G29+H29</f>
        <v>269860.84898115863</v>
      </c>
      <c r="K29" s="3">
        <f t="shared" si="28"/>
        <v>0</v>
      </c>
    </row>
    <row r="30" spans="1:41">
      <c r="A30">
        <v>2011</v>
      </c>
      <c r="B30" s="3">
        <f t="shared" si="23"/>
        <v>30</v>
      </c>
      <c r="C30" s="3">
        <f t="shared" si="24"/>
        <v>194939.81495507181</v>
      </c>
      <c r="D30" s="3"/>
      <c r="E30">
        <v>25</v>
      </c>
      <c r="F30" s="3">
        <f t="shared" si="25"/>
        <v>48734.953738767952</v>
      </c>
      <c r="G30" s="3">
        <f t="shared" si="26"/>
        <v>243674.76869383975</v>
      </c>
      <c r="H30" s="3">
        <f t="shared" si="27"/>
        <v>0</v>
      </c>
      <c r="I30" s="3">
        <f t="shared" si="29"/>
        <v>243674.76869383975</v>
      </c>
      <c r="K30" s="3">
        <f t="shared" si="28"/>
        <v>0</v>
      </c>
    </row>
    <row r="31" spans="1:41">
      <c r="A31">
        <v>2012</v>
      </c>
      <c r="B31" s="3">
        <f t="shared" si="23"/>
        <v>30.842462459493706</v>
      </c>
      <c r="C31" s="3">
        <f t="shared" si="24"/>
        <v>208823.12658129571</v>
      </c>
      <c r="D31" s="3"/>
      <c r="E31">
        <v>25</v>
      </c>
      <c r="F31" s="3">
        <f t="shared" si="25"/>
        <v>52205.781645323936</v>
      </c>
      <c r="G31" s="3">
        <f t="shared" si="26"/>
        <v>261028.90822661965</v>
      </c>
      <c r="H31" s="3">
        <f t="shared" si="27"/>
        <v>-41005.535019123454</v>
      </c>
      <c r="I31" s="3">
        <f t="shared" si="29"/>
        <v>220023.37320749619</v>
      </c>
      <c r="K31" s="3">
        <f t="shared" si="28"/>
        <v>11035.560896446425</v>
      </c>
    </row>
    <row r="32" spans="1:41">
      <c r="A32">
        <v>2013</v>
      </c>
      <c r="B32" s="3">
        <f t="shared" si="23"/>
        <v>31.143929334439989</v>
      </c>
      <c r="C32" s="3">
        <f t="shared" si="24"/>
        <v>202861.14627793239</v>
      </c>
      <c r="D32" s="3"/>
      <c r="E32">
        <v>25</v>
      </c>
      <c r="F32" s="3">
        <f t="shared" si="25"/>
        <v>50715.286569483091</v>
      </c>
      <c r="G32" s="3">
        <f t="shared" si="26"/>
        <v>253576.43284741548</v>
      </c>
      <c r="H32" s="3">
        <f t="shared" si="27"/>
        <v>-41023.737033620768</v>
      </c>
      <c r="I32" s="3">
        <f t="shared" si="29"/>
        <v>212552.69581379471</v>
      </c>
      <c r="K32" s="3">
        <f t="shared" si="28"/>
        <v>10689.940235124912</v>
      </c>
    </row>
    <row r="33" spans="1:21">
      <c r="A33">
        <v>2014</v>
      </c>
      <c r="B33" s="3">
        <f t="shared" si="23"/>
        <v>33.541755956678692</v>
      </c>
      <c r="C33" s="3">
        <f t="shared" si="24"/>
        <v>229882.00481462429</v>
      </c>
      <c r="D33" s="3"/>
      <c r="E33">
        <v>25</v>
      </c>
      <c r="F33" s="3">
        <f t="shared" si="25"/>
        <v>57470.501203656073</v>
      </c>
      <c r="G33" s="3">
        <f t="shared" si="26"/>
        <v>287352.50601828034</v>
      </c>
      <c r="H33" s="3">
        <f t="shared" si="27"/>
        <v>-41097.514704507543</v>
      </c>
      <c r="I33" s="3">
        <f t="shared" si="29"/>
        <v>246254.9913137728</v>
      </c>
      <c r="K33" s="3">
        <f t="shared" si="28"/>
        <v>11173.691927379925</v>
      </c>
      <c r="U33" s="167"/>
    </row>
    <row r="34" spans="1:21">
      <c r="A34">
        <v>2015</v>
      </c>
      <c r="B34" s="3">
        <f t="shared" si="23"/>
        <v>30</v>
      </c>
      <c r="C34" s="3">
        <f t="shared" si="24"/>
        <v>253082.56165098224</v>
      </c>
      <c r="D34" s="3"/>
      <c r="E34">
        <v>25</v>
      </c>
      <c r="F34" s="3">
        <f t="shared" si="25"/>
        <v>63270.640412745561</v>
      </c>
      <c r="G34" s="3">
        <f t="shared" si="26"/>
        <v>316353.20206372777</v>
      </c>
      <c r="H34" s="3">
        <f t="shared" si="27"/>
        <v>-41116.782597924052</v>
      </c>
      <c r="I34" s="3">
        <f t="shared" si="29"/>
        <v>275236.41946580372</v>
      </c>
      <c r="K34" s="3">
        <f t="shared" si="28"/>
        <v>13342.389339933465</v>
      </c>
    </row>
    <row r="35" spans="1:21">
      <c r="A35">
        <v>2016</v>
      </c>
      <c r="B35" s="3">
        <f t="shared" si="23"/>
        <v>30</v>
      </c>
      <c r="C35" s="3">
        <f t="shared" si="24"/>
        <v>256875.39107210989</v>
      </c>
      <c r="D35" s="3"/>
      <c r="E35">
        <v>25</v>
      </c>
      <c r="F35" s="3">
        <f t="shared" si="25"/>
        <v>64218.847768027474</v>
      </c>
      <c r="G35" s="3">
        <f t="shared" si="26"/>
        <v>321094.23884013738</v>
      </c>
      <c r="H35" s="3">
        <f t="shared" si="27"/>
        <v>-20358</v>
      </c>
      <c r="I35" s="3">
        <f t="shared" si="29"/>
        <v>300736.23884013738</v>
      </c>
      <c r="K35" s="3">
        <f t="shared" si="28"/>
        <v>13383.494085371995</v>
      </c>
      <c r="U35" s="167"/>
    </row>
    <row r="36" spans="1:21">
      <c r="A36">
        <v>2017</v>
      </c>
      <c r="B36" s="3">
        <f t="shared" si="23"/>
        <v>30</v>
      </c>
      <c r="C36" s="3">
        <f t="shared" si="24"/>
        <v>256198.58135824979</v>
      </c>
      <c r="D36" s="3"/>
      <c r="E36">
        <v>25</v>
      </c>
      <c r="F36" s="3">
        <f t="shared" si="25"/>
        <v>64049.645339562448</v>
      </c>
      <c r="G36" s="3">
        <f t="shared" si="26"/>
        <v>320248.22669781226</v>
      </c>
      <c r="H36" s="3">
        <f t="shared" si="27"/>
        <v>-20000</v>
      </c>
      <c r="I36" s="3">
        <f t="shared" si="29"/>
        <v>300248.22669781226</v>
      </c>
      <c r="K36" s="3">
        <f t="shared" si="28"/>
        <v>13118.137106882406</v>
      </c>
      <c r="U36" s="167"/>
    </row>
    <row r="37" spans="1:21">
      <c r="A37">
        <v>2018</v>
      </c>
      <c r="B37" s="3">
        <f t="shared" si="23"/>
        <v>30.592100851060948</v>
      </c>
      <c r="C37" s="3">
        <f t="shared" si="24"/>
        <v>260032.85723401807</v>
      </c>
      <c r="D37" s="3"/>
      <c r="E37">
        <v>25</v>
      </c>
      <c r="F37" s="3">
        <f>(C37)*E37/100</f>
        <v>65008.214308504517</v>
      </c>
      <c r="G37" s="3">
        <f t="shared" si="26"/>
        <v>325041.07154252258</v>
      </c>
      <c r="H37" s="3">
        <f t="shared" si="27"/>
        <v>-19648.295510364474</v>
      </c>
      <c r="I37" s="3">
        <f t="shared" si="29"/>
        <v>305392.77603215812</v>
      </c>
      <c r="K37" s="3">
        <f t="shared" si="28"/>
        <v>12835.249042145593</v>
      </c>
      <c r="U37" s="105"/>
    </row>
    <row r="38" spans="1:21">
      <c r="A38">
        <v>2019</v>
      </c>
      <c r="B38" s="3">
        <f t="shared" si="23"/>
        <v>31.172994053473918</v>
      </c>
      <c r="C38" s="3">
        <f t="shared" si="24"/>
        <v>264970.44945452828</v>
      </c>
      <c r="D38" s="3"/>
      <c r="E38">
        <v>25</v>
      </c>
      <c r="F38" s="3">
        <f t="shared" ref="F38:F49" si="30">(C38)*E38/100</f>
        <v>66242.61236363207</v>
      </c>
      <c r="G38" s="3">
        <f t="shared" si="26"/>
        <v>331213.06181816035</v>
      </c>
      <c r="H38" s="3">
        <f t="shared" si="27"/>
        <v>-19302.775823130436</v>
      </c>
      <c r="I38" s="3">
        <f t="shared" si="29"/>
        <v>311910.2859950299</v>
      </c>
      <c r="K38" s="3">
        <f t="shared" si="28"/>
        <v>12609.538306459959</v>
      </c>
      <c r="U38" s="105"/>
    </row>
    <row r="39" spans="1:21">
      <c r="A39">
        <v>2020</v>
      </c>
      <c r="B39" s="3">
        <f t="shared" si="23"/>
        <v>30.985903123425071</v>
      </c>
      <c r="C39" s="3">
        <f t="shared" si="24"/>
        <v>263380.17654911312</v>
      </c>
      <c r="D39" s="3"/>
      <c r="E39">
        <v>25</v>
      </c>
      <c r="F39" s="3">
        <f t="shared" si="30"/>
        <v>65845.044137278281</v>
      </c>
      <c r="G39" s="3">
        <f t="shared" si="26"/>
        <v>329225.2206863914</v>
      </c>
      <c r="H39" s="3">
        <f t="shared" si="27"/>
        <v>-18963.332177159282</v>
      </c>
      <c r="I39" s="3">
        <f t="shared" si="29"/>
        <v>310261.88850923214</v>
      </c>
      <c r="K39" s="3">
        <f t="shared" si="28"/>
        <v>12387.796744729303</v>
      </c>
      <c r="U39" s="105"/>
    </row>
    <row r="40" spans="1:21">
      <c r="A40">
        <v>2021</v>
      </c>
      <c r="B40" s="3">
        <f t="shared" si="23"/>
        <v>30.206708843097807</v>
      </c>
      <c r="C40" s="3">
        <f t="shared" si="24"/>
        <v>256757.02516633135</v>
      </c>
      <c r="D40" s="3"/>
      <c r="E40">
        <v>25</v>
      </c>
      <c r="F40" s="3">
        <f t="shared" si="30"/>
        <v>64189.256291582838</v>
      </c>
      <c r="G40" s="3">
        <f t="shared" si="26"/>
        <v>320946.28145791421</v>
      </c>
      <c r="H40" s="3">
        <f t="shared" si="27"/>
        <v>-18629.857723901441</v>
      </c>
      <c r="I40" s="3">
        <f t="shared" si="29"/>
        <v>302316.42373401276</v>
      </c>
      <c r="K40" s="3">
        <f t="shared" si="28"/>
        <v>12169.954558138619</v>
      </c>
      <c r="U40" s="105"/>
    </row>
    <row r="41" spans="1:21">
      <c r="A41">
        <v>2022</v>
      </c>
      <c r="B41" s="3">
        <f t="shared" si="23"/>
        <v>30.642454642697771</v>
      </c>
      <c r="C41" s="3">
        <f t="shared" si="24"/>
        <v>260460.86446293106</v>
      </c>
      <c r="D41" s="3"/>
      <c r="E41">
        <v>25</v>
      </c>
      <c r="F41" s="3">
        <f t="shared" si="30"/>
        <v>65115.216115732765</v>
      </c>
      <c r="G41" s="3">
        <f t="shared" si="26"/>
        <v>325576.08057866385</v>
      </c>
      <c r="H41" s="3">
        <f t="shared" si="27"/>
        <v>-18302.24749376308</v>
      </c>
      <c r="I41" s="3">
        <f t="shared" si="29"/>
        <v>307273.83308490075</v>
      </c>
      <c r="K41" s="3">
        <f t="shared" si="28"/>
        <v>11955.943175300734</v>
      </c>
      <c r="U41" s="105"/>
    </row>
    <row r="42" spans="1:21">
      <c r="A42">
        <v>2023</v>
      </c>
      <c r="B42" s="3">
        <f t="shared" si="23"/>
        <v>30.361546257811007</v>
      </c>
      <c r="C42" s="3">
        <f t="shared" si="24"/>
        <v>258073.14319139358</v>
      </c>
      <c r="D42" s="3"/>
      <c r="E42">
        <v>25</v>
      </c>
      <c r="F42" s="3">
        <f t="shared" si="30"/>
        <v>64518.285797848395</v>
      </c>
      <c r="G42" s="3">
        <f t="shared" si="26"/>
        <v>322591.42898924195</v>
      </c>
      <c r="H42" s="3">
        <f t="shared" si="27"/>
        <v>-17980.398363064225</v>
      </c>
      <c r="I42" s="3">
        <f t="shared" si="29"/>
        <v>304611.03062617773</v>
      </c>
      <c r="K42" s="3">
        <f t="shared" si="28"/>
        <v>11745.695230671707</v>
      </c>
      <c r="U42" s="105"/>
    </row>
    <row r="43" spans="1:21">
      <c r="A43">
        <v>2024</v>
      </c>
      <c r="B43" s="3">
        <f t="shared" si="23"/>
        <v>29.275640447464834</v>
      </c>
      <c r="C43" s="3">
        <f t="shared" si="24"/>
        <v>248842.94380345108</v>
      </c>
      <c r="D43" s="3"/>
      <c r="E43">
        <v>25</v>
      </c>
      <c r="F43" s="3">
        <f t="shared" si="30"/>
        <v>62210.735950862778</v>
      </c>
      <c r="G43" s="3">
        <f t="shared" si="26"/>
        <v>311053.67975431384</v>
      </c>
      <c r="H43" s="3">
        <f t="shared" si="27"/>
        <v>-17664.209021577975</v>
      </c>
      <c r="I43" s="3">
        <f t="shared" si="29"/>
        <v>293389.47073273588</v>
      </c>
      <c r="K43" s="3">
        <f t="shared" si="28"/>
        <v>11539.144543345814</v>
      </c>
      <c r="U43" s="105"/>
    </row>
    <row r="44" spans="1:21">
      <c r="A44">
        <v>2025</v>
      </c>
      <c r="B44" s="3">
        <f t="shared" si="23"/>
        <v>28.343375828936317</v>
      </c>
      <c r="C44" s="3">
        <f t="shared" si="24"/>
        <v>240918.69454595869</v>
      </c>
      <c r="D44" s="3"/>
      <c r="E44">
        <v>25</v>
      </c>
      <c r="F44" s="3">
        <f t="shared" si="30"/>
        <v>60229.673636489671</v>
      </c>
      <c r="G44" s="3">
        <f t="shared" si="26"/>
        <v>301148.36818244838</v>
      </c>
      <c r="H44" s="3">
        <f t="shared" si="27"/>
        <v>-17353.579940640506</v>
      </c>
      <c r="I44" s="3">
        <f t="shared" si="29"/>
        <v>283794.7882418079</v>
      </c>
      <c r="K44" s="3">
        <f t="shared" si="28"/>
        <v>11336.226096223412</v>
      </c>
      <c r="U44" s="105"/>
    </row>
    <row r="45" spans="1:21">
      <c r="A45">
        <v>2026</v>
      </c>
      <c r="B45" s="3">
        <f t="shared" si="23"/>
        <v>27.812270474504896</v>
      </c>
      <c r="C45" s="3">
        <f t="shared" si="24"/>
        <v>236404.29903329161</v>
      </c>
      <c r="D45" s="3"/>
      <c r="E45">
        <v>25</v>
      </c>
      <c r="F45" s="3">
        <f t="shared" si="30"/>
        <v>59101.074758322902</v>
      </c>
      <c r="G45" s="3">
        <f t="shared" si="26"/>
        <v>295505.37379161449</v>
      </c>
      <c r="H45" s="3">
        <f t="shared" si="27"/>
        <v>-17048.413341821888</v>
      </c>
      <c r="I45" s="3">
        <f t="shared" si="29"/>
        <v>278456.96044979262</v>
      </c>
      <c r="K45" s="3">
        <f t="shared" si="28"/>
        <v>11136.876015545151</v>
      </c>
      <c r="U45" s="105"/>
    </row>
    <row r="46" spans="1:21">
      <c r="A46">
        <v>2027</v>
      </c>
      <c r="B46" s="3">
        <f t="shared" si="23"/>
        <v>27.281165120073478</v>
      </c>
      <c r="C46" s="3">
        <f t="shared" si="24"/>
        <v>231889.90352062456</v>
      </c>
      <c r="D46" s="3"/>
      <c r="E46">
        <v>25</v>
      </c>
      <c r="F46" s="3">
        <f t="shared" si="30"/>
        <v>57972.47588015614</v>
      </c>
      <c r="G46" s="3">
        <f t="shared" si="26"/>
        <v>289862.37940078072</v>
      </c>
      <c r="H46" s="3">
        <f t="shared" si="27"/>
        <v>-16748.613166147836</v>
      </c>
      <c r="I46" s="3">
        <f t="shared" si="29"/>
        <v>273113.76623463287</v>
      </c>
      <c r="K46" s="3">
        <f t="shared" si="28"/>
        <v>10941.031550786076</v>
      </c>
      <c r="U46" s="105"/>
    </row>
    <row r="47" spans="1:21">
      <c r="A47">
        <v>2028</v>
      </c>
      <c r="B47" s="3">
        <f t="shared" si="23"/>
        <v>26.683671596338133</v>
      </c>
      <c r="C47" s="3">
        <f t="shared" si="24"/>
        <v>226811.20856887414</v>
      </c>
      <c r="D47" s="3"/>
      <c r="E47">
        <v>25</v>
      </c>
      <c r="F47" s="3">
        <f t="shared" si="30"/>
        <v>56702.802142218541</v>
      </c>
      <c r="G47" s="3">
        <f t="shared" si="26"/>
        <v>283514.01071109268</v>
      </c>
      <c r="H47" s="3">
        <f t="shared" si="27"/>
        <v>-16454.085043862688</v>
      </c>
      <c r="I47" s="3">
        <f t="shared" si="29"/>
        <v>267059.92566722998</v>
      </c>
      <c r="K47" s="3">
        <f t="shared" si="28"/>
        <v>10748.631054903302</v>
      </c>
      <c r="U47" s="105"/>
    </row>
    <row r="48" spans="1:21">
      <c r="A48">
        <v>2029</v>
      </c>
      <c r="B48" s="3">
        <f t="shared" si="23"/>
        <v>26.152566241906715</v>
      </c>
      <c r="C48" s="3">
        <f t="shared" si="24"/>
        <v>222296.81305620706</v>
      </c>
      <c r="D48" s="3"/>
      <c r="E48">
        <v>25</v>
      </c>
      <c r="F48" s="3">
        <f t="shared" si="30"/>
        <v>55574.203264051772</v>
      </c>
      <c r="G48" s="3">
        <f t="shared" si="26"/>
        <v>277871.01632025884</v>
      </c>
      <c r="H48" s="3">
        <f t="shared" si="27"/>
        <v>-16164.736264724121</v>
      </c>
      <c r="I48" s="3">
        <f t="shared" si="29"/>
        <v>261706.28005553473</v>
      </c>
      <c r="K48" s="3">
        <f t="shared" si="28"/>
        <v>10559.613964931033</v>
      </c>
      <c r="U48" s="105"/>
    </row>
    <row r="49" spans="1:21">
      <c r="A49">
        <v>2030</v>
      </c>
      <c r="B49" s="3">
        <f t="shared" si="23"/>
        <v>25.55507271817137</v>
      </c>
      <c r="C49" s="3">
        <f t="shared" si="24"/>
        <v>217218.11810445663</v>
      </c>
      <c r="D49" s="3"/>
      <c r="E49">
        <v>25</v>
      </c>
      <c r="F49" s="3">
        <f t="shared" si="30"/>
        <v>54304.529526114158</v>
      </c>
      <c r="G49" s="3">
        <f t="shared" si="26"/>
        <v>271522.64763057081</v>
      </c>
      <c r="H49" s="3">
        <f t="shared" si="27"/>
        <v>-15880.475748820234</v>
      </c>
      <c r="I49" s="3">
        <f t="shared" si="29"/>
        <v>255642.17188175058</v>
      </c>
      <c r="K49" s="3">
        <f t="shared" si="28"/>
        <v>10373.920782916819</v>
      </c>
      <c r="U49" s="105"/>
    </row>
    <row r="50" spans="1:21">
      <c r="U50" s="167"/>
    </row>
    <row r="51" spans="1:21">
      <c r="A51" t="s">
        <v>716</v>
      </c>
      <c r="B51" t="s">
        <v>1395</v>
      </c>
      <c r="C51" t="s">
        <v>754</v>
      </c>
      <c r="D51" t="s">
        <v>754</v>
      </c>
      <c r="E51" t="s">
        <v>498</v>
      </c>
      <c r="F51" t="s">
        <v>754</v>
      </c>
      <c r="G51" t="s">
        <v>754</v>
      </c>
    </row>
    <row r="52" spans="1:21">
      <c r="B52" t="s">
        <v>724</v>
      </c>
      <c r="C52" t="s">
        <v>724</v>
      </c>
      <c r="D52" t="s">
        <v>749</v>
      </c>
      <c r="E52" t="s">
        <v>714</v>
      </c>
      <c r="F52" t="s">
        <v>728</v>
      </c>
      <c r="G52" t="s">
        <v>725</v>
      </c>
      <c r="K52" t="s">
        <v>1289</v>
      </c>
    </row>
    <row r="53" spans="1:21">
      <c r="A53">
        <v>2009</v>
      </c>
      <c r="B53" s="3">
        <f t="shared" ref="B53:B74" si="31">U3</f>
        <v>23</v>
      </c>
      <c r="C53" s="3">
        <f t="shared" ref="C53:C74" si="32">B53*AC3*1000</f>
        <v>176037.86</v>
      </c>
      <c r="D53" s="61"/>
      <c r="E53">
        <v>25</v>
      </c>
      <c r="F53" s="3">
        <f t="shared" ref="F53:F61" si="33">(C53)*E53/100</f>
        <v>44009.464999999997</v>
      </c>
      <c r="G53" s="3">
        <f t="shared" ref="G53:G62" si="34">C53+F53+D53</f>
        <v>220047.32499999998</v>
      </c>
      <c r="K53">
        <v>0</v>
      </c>
    </row>
    <row r="54" spans="1:21">
      <c r="A54">
        <v>2010</v>
      </c>
      <c r="B54" s="3">
        <f t="shared" si="31"/>
        <v>23</v>
      </c>
      <c r="C54" s="3">
        <f t="shared" si="32"/>
        <v>165514.65404177731</v>
      </c>
      <c r="D54" s="61"/>
      <c r="E54">
        <v>25</v>
      </c>
      <c r="F54" s="3">
        <f t="shared" si="33"/>
        <v>41378.663510444327</v>
      </c>
      <c r="G54" s="3">
        <f t="shared" si="34"/>
        <v>206893.31755222165</v>
      </c>
      <c r="K54">
        <v>0</v>
      </c>
    </row>
    <row r="55" spans="1:21">
      <c r="A55">
        <v>2011</v>
      </c>
      <c r="B55" s="3">
        <f t="shared" si="31"/>
        <v>23</v>
      </c>
      <c r="C55" s="3">
        <f t="shared" si="32"/>
        <v>149453.85813222171</v>
      </c>
      <c r="D55" s="61"/>
      <c r="E55">
        <v>25</v>
      </c>
      <c r="F55" s="3">
        <f t="shared" si="33"/>
        <v>37363.464533055427</v>
      </c>
      <c r="G55" s="3">
        <f t="shared" si="34"/>
        <v>186817.32266527714</v>
      </c>
      <c r="K55">
        <v>0</v>
      </c>
    </row>
    <row r="56" spans="1:21">
      <c r="A56">
        <v>2012</v>
      </c>
      <c r="B56" s="3">
        <f t="shared" si="31"/>
        <v>23</v>
      </c>
      <c r="C56" s="3">
        <f t="shared" si="32"/>
        <v>155724.65777262856</v>
      </c>
      <c r="D56" s="61"/>
      <c r="E56">
        <v>25</v>
      </c>
      <c r="F56" s="3">
        <f t="shared" si="33"/>
        <v>38931.16444315714</v>
      </c>
      <c r="G56" s="3">
        <f t="shared" si="34"/>
        <v>194655.82221578571</v>
      </c>
      <c r="K56">
        <v>0</v>
      </c>
    </row>
    <row r="57" spans="1:21">
      <c r="A57">
        <v>2013</v>
      </c>
      <c r="B57" s="3">
        <f t="shared" si="31"/>
        <v>23</v>
      </c>
      <c r="C57" s="3">
        <f t="shared" si="32"/>
        <v>149814.31258363539</v>
      </c>
      <c r="D57" s="61"/>
      <c r="E57">
        <v>25</v>
      </c>
      <c r="F57" s="3">
        <f t="shared" si="33"/>
        <v>37453.578145908847</v>
      </c>
      <c r="G57" s="3">
        <f t="shared" si="34"/>
        <v>187267.89072954422</v>
      </c>
      <c r="K57">
        <v>0</v>
      </c>
    </row>
    <row r="58" spans="1:21">
      <c r="A58">
        <v>2014</v>
      </c>
      <c r="B58" s="3">
        <f t="shared" si="31"/>
        <v>23</v>
      </c>
      <c r="C58" s="3">
        <f t="shared" si="32"/>
        <v>157632.95510125422</v>
      </c>
      <c r="D58" s="61"/>
      <c r="E58">
        <v>25</v>
      </c>
      <c r="F58" s="3">
        <f t="shared" si="33"/>
        <v>39408.238775313555</v>
      </c>
      <c r="G58" s="3">
        <f t="shared" si="34"/>
        <v>197041.19387656776</v>
      </c>
      <c r="K58">
        <v>0</v>
      </c>
    </row>
    <row r="59" spans="1:21">
      <c r="A59">
        <v>2015</v>
      </c>
      <c r="B59" s="3">
        <f t="shared" si="31"/>
        <v>23</v>
      </c>
      <c r="C59" s="3">
        <f t="shared" si="32"/>
        <v>194029.96393241975</v>
      </c>
      <c r="D59" s="61"/>
      <c r="E59">
        <v>25</v>
      </c>
      <c r="F59" s="3">
        <f t="shared" si="33"/>
        <v>48507.490983104937</v>
      </c>
      <c r="G59" s="3">
        <f t="shared" si="34"/>
        <v>242537.45491552469</v>
      </c>
      <c r="K59">
        <v>0</v>
      </c>
    </row>
    <row r="60" spans="1:21">
      <c r="A60">
        <v>2016</v>
      </c>
      <c r="B60" s="3">
        <f t="shared" si="31"/>
        <v>23</v>
      </c>
      <c r="C60" s="3">
        <f t="shared" si="32"/>
        <v>196937.79982195093</v>
      </c>
      <c r="D60" s="61"/>
      <c r="E60">
        <v>25</v>
      </c>
      <c r="F60" s="3">
        <f t="shared" si="33"/>
        <v>49234.449955487733</v>
      </c>
      <c r="G60" s="3">
        <f t="shared" si="34"/>
        <v>246172.24977743867</v>
      </c>
      <c r="K60">
        <v>0</v>
      </c>
    </row>
    <row r="61" spans="1:21">
      <c r="A61">
        <v>2017</v>
      </c>
      <c r="B61" s="3">
        <f t="shared" si="31"/>
        <v>23</v>
      </c>
      <c r="C61" s="3">
        <f t="shared" si="32"/>
        <v>196418.91237465816</v>
      </c>
      <c r="D61" s="61"/>
      <c r="E61">
        <v>25</v>
      </c>
      <c r="F61" s="3">
        <f t="shared" si="33"/>
        <v>49104.72809366454</v>
      </c>
      <c r="G61" s="3">
        <f t="shared" si="34"/>
        <v>245523.6404683227</v>
      </c>
      <c r="K61">
        <v>0</v>
      </c>
      <c r="L61" s="3"/>
    </row>
    <row r="62" spans="1:21">
      <c r="A62">
        <v>2018</v>
      </c>
      <c r="B62" s="3">
        <f t="shared" si="31"/>
        <v>23</v>
      </c>
      <c r="C62" s="3">
        <f t="shared" si="32"/>
        <v>195500</v>
      </c>
      <c r="D62" s="61"/>
      <c r="E62">
        <v>25</v>
      </c>
      <c r="F62" s="3">
        <f>(C62)*E62/100</f>
        <v>48875</v>
      </c>
      <c r="G62" s="3">
        <f t="shared" si="34"/>
        <v>244375</v>
      </c>
      <c r="K62">
        <f>(110-95)*82</f>
        <v>1230</v>
      </c>
    </row>
    <row r="63" spans="1:21">
      <c r="A63">
        <v>2019</v>
      </c>
      <c r="B63" s="3">
        <f t="shared" si="31"/>
        <v>23</v>
      </c>
      <c r="C63" s="3">
        <f t="shared" si="32"/>
        <v>195500</v>
      </c>
      <c r="D63" s="33"/>
      <c r="E63">
        <v>25</v>
      </c>
      <c r="F63" s="3">
        <f t="shared" ref="F63:F74" si="35">(C63)*E63/100</f>
        <v>48875</v>
      </c>
      <c r="G63" s="3">
        <f t="shared" ref="G63:G74" si="36">C63+F63+D63</f>
        <v>244375</v>
      </c>
      <c r="K63">
        <f t="shared" ref="K63:K74" si="37">(110-95)*82</f>
        <v>1230</v>
      </c>
    </row>
    <row r="64" spans="1:21">
      <c r="A64">
        <v>2020</v>
      </c>
      <c r="B64" s="3">
        <f t="shared" si="31"/>
        <v>23</v>
      </c>
      <c r="C64" s="3">
        <f t="shared" si="32"/>
        <v>195500</v>
      </c>
      <c r="D64" s="3"/>
      <c r="E64">
        <v>25</v>
      </c>
      <c r="F64" s="3">
        <f t="shared" si="35"/>
        <v>48875</v>
      </c>
      <c r="G64" s="3">
        <f t="shared" si="36"/>
        <v>244375</v>
      </c>
      <c r="K64">
        <f t="shared" si="37"/>
        <v>1230</v>
      </c>
    </row>
    <row r="65" spans="1:11">
      <c r="A65">
        <v>2021</v>
      </c>
      <c r="B65" s="3">
        <f t="shared" si="31"/>
        <v>23</v>
      </c>
      <c r="C65" s="3">
        <f t="shared" si="32"/>
        <v>195500</v>
      </c>
      <c r="E65">
        <v>25</v>
      </c>
      <c r="F65" s="3">
        <f t="shared" si="35"/>
        <v>48875</v>
      </c>
      <c r="G65" s="3">
        <f t="shared" si="36"/>
        <v>244375</v>
      </c>
      <c r="K65">
        <f t="shared" si="37"/>
        <v>1230</v>
      </c>
    </row>
    <row r="66" spans="1:11">
      <c r="A66">
        <v>2022</v>
      </c>
      <c r="B66" s="3">
        <f t="shared" si="31"/>
        <v>23</v>
      </c>
      <c r="C66" s="3">
        <f t="shared" si="32"/>
        <v>195500</v>
      </c>
      <c r="E66">
        <v>25</v>
      </c>
      <c r="F66" s="3">
        <f t="shared" si="35"/>
        <v>48875</v>
      </c>
      <c r="G66" s="3">
        <f t="shared" si="36"/>
        <v>244375</v>
      </c>
      <c r="K66">
        <f t="shared" si="37"/>
        <v>1230</v>
      </c>
    </row>
    <row r="67" spans="1:11">
      <c r="A67">
        <v>2023</v>
      </c>
      <c r="B67" s="3">
        <f t="shared" si="31"/>
        <v>23</v>
      </c>
      <c r="C67" s="3">
        <f t="shared" si="32"/>
        <v>195500</v>
      </c>
      <c r="E67">
        <v>25</v>
      </c>
      <c r="F67" s="3">
        <f t="shared" si="35"/>
        <v>48875</v>
      </c>
      <c r="G67" s="3">
        <f t="shared" si="36"/>
        <v>244375</v>
      </c>
      <c r="K67">
        <f t="shared" si="37"/>
        <v>1230</v>
      </c>
    </row>
    <row r="68" spans="1:11">
      <c r="A68">
        <v>2024</v>
      </c>
      <c r="B68" s="3">
        <f t="shared" si="31"/>
        <v>23</v>
      </c>
      <c r="C68" s="3">
        <f t="shared" si="32"/>
        <v>195500</v>
      </c>
      <c r="E68">
        <v>25</v>
      </c>
      <c r="F68" s="3">
        <f t="shared" si="35"/>
        <v>48875</v>
      </c>
      <c r="G68" s="3">
        <f t="shared" si="36"/>
        <v>244375</v>
      </c>
      <c r="K68">
        <f t="shared" si="37"/>
        <v>1230</v>
      </c>
    </row>
    <row r="69" spans="1:11">
      <c r="A69">
        <v>2025</v>
      </c>
      <c r="B69" s="3">
        <f t="shared" si="31"/>
        <v>23</v>
      </c>
      <c r="C69" s="3">
        <f t="shared" si="32"/>
        <v>195500</v>
      </c>
      <c r="E69">
        <v>25</v>
      </c>
      <c r="F69" s="3">
        <f t="shared" si="35"/>
        <v>48875</v>
      </c>
      <c r="G69" s="3">
        <f t="shared" si="36"/>
        <v>244375</v>
      </c>
      <c r="K69">
        <f t="shared" si="37"/>
        <v>1230</v>
      </c>
    </row>
    <row r="70" spans="1:11">
      <c r="A70">
        <v>2026</v>
      </c>
      <c r="B70" s="3">
        <f t="shared" si="31"/>
        <v>23</v>
      </c>
      <c r="C70" s="3">
        <f t="shared" si="32"/>
        <v>195500</v>
      </c>
      <c r="E70">
        <v>25</v>
      </c>
      <c r="F70" s="3">
        <f t="shared" si="35"/>
        <v>48875</v>
      </c>
      <c r="G70" s="3">
        <f t="shared" si="36"/>
        <v>244375</v>
      </c>
      <c r="K70">
        <f t="shared" si="37"/>
        <v>1230</v>
      </c>
    </row>
    <row r="71" spans="1:11">
      <c r="A71">
        <v>2027</v>
      </c>
      <c r="B71" s="3">
        <f t="shared" si="31"/>
        <v>23</v>
      </c>
      <c r="C71" s="3">
        <f t="shared" si="32"/>
        <v>195500</v>
      </c>
      <c r="E71">
        <v>25</v>
      </c>
      <c r="F71" s="3">
        <f t="shared" si="35"/>
        <v>48875</v>
      </c>
      <c r="G71" s="3">
        <f t="shared" si="36"/>
        <v>244375</v>
      </c>
      <c r="K71">
        <f t="shared" si="37"/>
        <v>1230</v>
      </c>
    </row>
    <row r="72" spans="1:11">
      <c r="A72">
        <v>2028</v>
      </c>
      <c r="B72" s="3">
        <f t="shared" si="31"/>
        <v>23</v>
      </c>
      <c r="C72" s="3">
        <f t="shared" si="32"/>
        <v>195500</v>
      </c>
      <c r="E72">
        <v>25</v>
      </c>
      <c r="F72" s="3">
        <f t="shared" si="35"/>
        <v>48875</v>
      </c>
      <c r="G72" s="3">
        <f t="shared" si="36"/>
        <v>244375</v>
      </c>
      <c r="K72">
        <f t="shared" si="37"/>
        <v>1230</v>
      </c>
    </row>
    <row r="73" spans="1:11">
      <c r="A73">
        <v>2029</v>
      </c>
      <c r="B73" s="3">
        <f t="shared" si="31"/>
        <v>23</v>
      </c>
      <c r="C73" s="3">
        <f t="shared" si="32"/>
        <v>195500</v>
      </c>
      <c r="E73">
        <v>25</v>
      </c>
      <c r="F73" s="3">
        <f t="shared" si="35"/>
        <v>48875</v>
      </c>
      <c r="G73" s="3">
        <f t="shared" si="36"/>
        <v>244375</v>
      </c>
      <c r="K73">
        <f t="shared" si="37"/>
        <v>1230</v>
      </c>
    </row>
    <row r="74" spans="1:11">
      <c r="A74">
        <v>2030</v>
      </c>
      <c r="B74" s="3">
        <f t="shared" si="31"/>
        <v>23</v>
      </c>
      <c r="C74" s="3">
        <f t="shared" si="32"/>
        <v>195500</v>
      </c>
      <c r="E74">
        <v>25</v>
      </c>
      <c r="F74" s="3">
        <f t="shared" si="35"/>
        <v>48875</v>
      </c>
      <c r="G74" s="3">
        <f t="shared" si="36"/>
        <v>244375</v>
      </c>
      <c r="K74">
        <f t="shared" si="37"/>
        <v>1230</v>
      </c>
    </row>
    <row r="81" spans="1:30">
      <c r="AA81" s="87" t="s">
        <v>1230</v>
      </c>
      <c r="AB81" s="87"/>
      <c r="AC81" s="87"/>
      <c r="AD81" s="234"/>
    </row>
    <row r="82" spans="1:30">
      <c r="AA82" s="235" t="s">
        <v>1167</v>
      </c>
      <c r="AB82" s="235" t="s">
        <v>1168</v>
      </c>
      <c r="AC82" s="235" t="s">
        <v>1169</v>
      </c>
      <c r="AD82" s="235" t="s">
        <v>1170</v>
      </c>
    </row>
    <row r="83" spans="1:30">
      <c r="B83" t="s">
        <v>980</v>
      </c>
      <c r="C83" t="s">
        <v>980</v>
      </c>
      <c r="D83" t="s">
        <v>980</v>
      </c>
      <c r="E83" t="s">
        <v>980</v>
      </c>
      <c r="F83" t="s">
        <v>980</v>
      </c>
      <c r="J83" t="s">
        <v>812</v>
      </c>
      <c r="K83" t="s">
        <v>812</v>
      </c>
      <c r="L83" t="s">
        <v>812</v>
      </c>
      <c r="M83" t="s">
        <v>812</v>
      </c>
      <c r="N83" t="s">
        <v>812</v>
      </c>
      <c r="O83" t="s">
        <v>812</v>
      </c>
      <c r="V83" t="s">
        <v>1105</v>
      </c>
      <c r="Z83" s="3">
        <v>2010</v>
      </c>
      <c r="AA83" s="13">
        <v>13.539159508345154</v>
      </c>
      <c r="AB83" s="13">
        <v>13.539159508345154</v>
      </c>
      <c r="AC83" s="13">
        <v>13.539159508345154</v>
      </c>
      <c r="AD83" s="13">
        <v>13.539159508345154</v>
      </c>
    </row>
    <row r="84" spans="1:30">
      <c r="B84" t="s">
        <v>978</v>
      </c>
      <c r="C84" t="s">
        <v>979</v>
      </c>
      <c r="D84" t="s">
        <v>916</v>
      </c>
      <c r="E84" t="s">
        <v>981</v>
      </c>
      <c r="F84" t="s">
        <v>983</v>
      </c>
      <c r="J84" t="s">
        <v>725</v>
      </c>
      <c r="K84" t="s">
        <v>979</v>
      </c>
      <c r="L84" t="s">
        <v>916</v>
      </c>
      <c r="M84" t="s">
        <v>1290</v>
      </c>
      <c r="N84" t="s">
        <v>985</v>
      </c>
      <c r="O84" t="s">
        <v>983</v>
      </c>
      <c r="S84" t="s">
        <v>997</v>
      </c>
      <c r="T84" t="s">
        <v>984</v>
      </c>
      <c r="V84" t="s">
        <v>934</v>
      </c>
      <c r="W84" t="s">
        <v>986</v>
      </c>
      <c r="X84" t="s">
        <v>987</v>
      </c>
      <c r="Z84" s="3">
        <v>2011</v>
      </c>
      <c r="AA84" s="13">
        <v>14.495277817304576</v>
      </c>
      <c r="AB84" s="13">
        <v>14.495277817304576</v>
      </c>
      <c r="AC84" s="13">
        <v>14.495277817304576</v>
      </c>
      <c r="AD84" s="13">
        <v>14.495277817304576</v>
      </c>
    </row>
    <row r="85" spans="1:30">
      <c r="A85" s="3">
        <v>2012</v>
      </c>
      <c r="B85" s="3">
        <f t="shared" ref="B85:B103" si="38">MIN(I6,I31)</f>
        <v>220023.37320749619</v>
      </c>
      <c r="C85" s="3">
        <f>B85/5</f>
        <v>44004.674641499238</v>
      </c>
      <c r="D85" s="3">
        <f>B85*0.13</f>
        <v>28603.038516974506</v>
      </c>
      <c r="E85" s="3">
        <f t="shared" ref="E85:E103" si="39">K6</f>
        <v>11035.560896446425</v>
      </c>
      <c r="F85" s="3">
        <f>C85+D85-E85</f>
        <v>61572.152262027324</v>
      </c>
      <c r="G85" s="3"/>
      <c r="H85" s="3"/>
      <c r="I85" s="3">
        <v>2012</v>
      </c>
      <c r="J85" s="3">
        <f>G56</f>
        <v>194655.82221578571</v>
      </c>
      <c r="K85" s="3">
        <f>J85/5</f>
        <v>38931.16444315714</v>
      </c>
      <c r="L85" s="3">
        <f>J85*0.13</f>
        <v>25305.256888052143</v>
      </c>
      <c r="M85" s="3">
        <v>0</v>
      </c>
      <c r="N85" s="3">
        <f t="shared" ref="N85:N104" si="40">X85/100*W85*V85</f>
        <v>13419.646467159091</v>
      </c>
      <c r="O85" s="3">
        <f t="shared" ref="O85:O103" si="41">SUM(K85:N85)</f>
        <v>77656.067798368371</v>
      </c>
      <c r="P85" s="3"/>
      <c r="Q85" s="3"/>
      <c r="R85" s="3">
        <v>2012</v>
      </c>
      <c r="S85" s="13">
        <f t="shared" ref="S85:S103" si="42">O85/F85</f>
        <v>1.2612206159026911</v>
      </c>
      <c r="T85" s="13">
        <f t="shared" ref="T85:T103" si="43">F85/O85</f>
        <v>0.7928826942654057</v>
      </c>
      <c r="V85" s="13">
        <f>AC85</f>
        <v>15.339999577432197</v>
      </c>
      <c r="W85" s="12">
        <f>'Country L per 100 km'!T7</f>
        <v>5.643961322634194</v>
      </c>
      <c r="X85" s="3">
        <f>'Country distance travelled'!T7</f>
        <v>15500</v>
      </c>
      <c r="Z85" s="3">
        <v>2012</v>
      </c>
      <c r="AA85" s="13">
        <v>15.339999577432197</v>
      </c>
      <c r="AB85" s="13">
        <v>15.339999577432197</v>
      </c>
      <c r="AC85" s="13">
        <v>15.339999577432197</v>
      </c>
      <c r="AD85" s="13">
        <v>15.339999577432197</v>
      </c>
    </row>
    <row r="86" spans="1:30">
      <c r="A86" s="3">
        <v>2013</v>
      </c>
      <c r="B86" s="3">
        <f t="shared" si="38"/>
        <v>212552.69581379471</v>
      </c>
      <c r="C86" s="3">
        <f t="shared" ref="C86:C103" si="44">B86/5</f>
        <v>42510.539162758942</v>
      </c>
      <c r="D86" s="3">
        <f t="shared" ref="D86:D103" si="45">B86*0.13</f>
        <v>27631.850455793312</v>
      </c>
      <c r="E86" s="3">
        <f t="shared" si="39"/>
        <v>10689.940235124912</v>
      </c>
      <c r="F86" s="3">
        <f t="shared" ref="F86:F103" si="46">C86+D86-E86</f>
        <v>59452.449383427345</v>
      </c>
      <c r="G86" s="3"/>
      <c r="H86" s="3"/>
      <c r="I86" s="3">
        <v>2013</v>
      </c>
      <c r="J86" s="3">
        <f>G57</f>
        <v>187267.89072954422</v>
      </c>
      <c r="K86" s="3">
        <f t="shared" ref="K86:K103" si="47">J86/5</f>
        <v>37453.578145908847</v>
      </c>
      <c r="L86" s="3">
        <f t="shared" ref="L86:L103" si="48">J86*0.13</f>
        <v>24344.825794840748</v>
      </c>
      <c r="M86" s="3">
        <v>0</v>
      </c>
      <c r="N86" s="3">
        <f t="shared" si="40"/>
        <v>12879.880204594452</v>
      </c>
      <c r="O86" s="3">
        <f t="shared" si="41"/>
        <v>74678.284145344049</v>
      </c>
      <c r="P86" s="3"/>
      <c r="Q86" s="3"/>
      <c r="R86" s="3">
        <v>2013</v>
      </c>
      <c r="S86" s="13">
        <f t="shared" si="42"/>
        <v>1.2561010508367882</v>
      </c>
      <c r="T86" s="13">
        <f t="shared" si="43"/>
        <v>0.79611429298130187</v>
      </c>
      <c r="V86" s="13">
        <f t="shared" ref="V86:V103" si="49">AC86</f>
        <v>14.838571664279323</v>
      </c>
      <c r="W86" s="12">
        <f>'Country L per 100 km'!T8</f>
        <v>5.6</v>
      </c>
      <c r="X86" s="3">
        <f>'Country distance travelled'!T8</f>
        <v>15500</v>
      </c>
      <c r="Z86" s="3">
        <v>2013</v>
      </c>
      <c r="AA86" s="13">
        <v>14.838571664279323</v>
      </c>
      <c r="AB86" s="13">
        <v>14.838571664279323</v>
      </c>
      <c r="AC86" s="13">
        <v>14.838571664279323</v>
      </c>
      <c r="AD86" s="13">
        <v>14.838571664279323</v>
      </c>
    </row>
    <row r="87" spans="1:30">
      <c r="A87" s="3">
        <v>2014</v>
      </c>
      <c r="B87" s="3">
        <f t="shared" si="38"/>
        <v>246254.9913137728</v>
      </c>
      <c r="C87" s="3">
        <f t="shared" si="44"/>
        <v>49250.998262754561</v>
      </c>
      <c r="D87" s="3">
        <f t="shared" si="45"/>
        <v>32013.148870790465</v>
      </c>
      <c r="E87" s="3">
        <f t="shared" si="39"/>
        <v>11173.691927379925</v>
      </c>
      <c r="F87" s="3">
        <f t="shared" si="46"/>
        <v>70090.45520616509</v>
      </c>
      <c r="G87" s="3"/>
      <c r="H87" s="3"/>
      <c r="I87" s="3">
        <v>2014</v>
      </c>
      <c r="J87" s="3">
        <f t="shared" ref="J87:J103" si="50">G58</f>
        <v>197041.19387656776</v>
      </c>
      <c r="K87" s="3">
        <f t="shared" si="47"/>
        <v>39408.238775313555</v>
      </c>
      <c r="L87" s="3">
        <f t="shared" si="48"/>
        <v>25615.355203953812</v>
      </c>
      <c r="M87" s="3">
        <v>0</v>
      </c>
      <c r="N87" s="3">
        <f t="shared" si="40"/>
        <v>12540.973919806942</v>
      </c>
      <c r="O87" s="3">
        <f t="shared" si="41"/>
        <v>77564.567899074304</v>
      </c>
      <c r="P87" s="3"/>
      <c r="Q87" s="3"/>
      <c r="R87" s="3">
        <v>2014</v>
      </c>
      <c r="S87" s="13">
        <f t="shared" si="42"/>
        <v>1.1066352425722554</v>
      </c>
      <c r="T87" s="13">
        <f t="shared" si="43"/>
        <v>0.90364011693284485</v>
      </c>
      <c r="V87" s="13">
        <f t="shared" si="49"/>
        <v>14.621504155350953</v>
      </c>
      <c r="W87" s="12">
        <f>'Country L per 100 km'!T9</f>
        <v>5.5335968379446632</v>
      </c>
      <c r="X87" s="3">
        <f>'Country distance travelled'!T9</f>
        <v>15500</v>
      </c>
      <c r="Z87" s="3">
        <v>2014</v>
      </c>
      <c r="AA87" s="13">
        <v>14.621504155350953</v>
      </c>
      <c r="AB87" s="13">
        <v>14.621504155350953</v>
      </c>
      <c r="AC87" s="13">
        <v>14.621504155350953</v>
      </c>
      <c r="AD87" s="13">
        <v>14.621504155350953</v>
      </c>
    </row>
    <row r="88" spans="1:30">
      <c r="A88" s="3">
        <v>2015</v>
      </c>
      <c r="B88" s="3">
        <f t="shared" si="38"/>
        <v>275236.41946580372</v>
      </c>
      <c r="C88" s="3">
        <f t="shared" si="44"/>
        <v>55047.28389316074</v>
      </c>
      <c r="D88" s="3">
        <f t="shared" si="45"/>
        <v>35780.734530554488</v>
      </c>
      <c r="E88" s="3">
        <f t="shared" si="39"/>
        <v>13342.389339933465</v>
      </c>
      <c r="F88" s="3">
        <f t="shared" si="46"/>
        <v>77485.629083781765</v>
      </c>
      <c r="G88" s="3"/>
      <c r="H88" s="3"/>
      <c r="I88" s="3">
        <v>2015</v>
      </c>
      <c r="J88" s="3">
        <f t="shared" si="50"/>
        <v>242537.45491552469</v>
      </c>
      <c r="K88" s="3">
        <f t="shared" si="47"/>
        <v>48507.490983104937</v>
      </c>
      <c r="L88" s="3">
        <f t="shared" si="48"/>
        <v>31529.86913901821</v>
      </c>
      <c r="M88" s="3">
        <v>0</v>
      </c>
      <c r="N88" s="3">
        <f t="shared" si="40"/>
        <v>11445.923788854534</v>
      </c>
      <c r="O88" s="3">
        <f t="shared" si="41"/>
        <v>91483.283910977683</v>
      </c>
      <c r="P88" s="3"/>
      <c r="Q88" s="3"/>
      <c r="R88" s="3">
        <v>2015</v>
      </c>
      <c r="S88" s="13">
        <f t="shared" si="42"/>
        <v>1.1806483988412984</v>
      </c>
      <c r="T88" s="13">
        <f t="shared" si="43"/>
        <v>0.84699221290725613</v>
      </c>
      <c r="V88" s="13">
        <f t="shared" si="49"/>
        <v>13.491579375504973</v>
      </c>
      <c r="W88" s="12">
        <f>'Country L per 100 km'!T10</f>
        <v>5.4733895528631695</v>
      </c>
      <c r="X88" s="3">
        <f>'Country distance travelled'!T10</f>
        <v>15500</v>
      </c>
      <c r="Z88" s="3">
        <v>2015</v>
      </c>
      <c r="AA88" s="13">
        <v>13.491579375504973</v>
      </c>
      <c r="AB88" s="13">
        <v>13.491579375504973</v>
      </c>
      <c r="AC88" s="13">
        <v>13.491579375504973</v>
      </c>
      <c r="AD88" s="13">
        <v>13.491579375504973</v>
      </c>
    </row>
    <row r="89" spans="1:30">
      <c r="A89" s="3">
        <v>2016</v>
      </c>
      <c r="B89" s="3">
        <f t="shared" si="38"/>
        <v>280378.23884013738</v>
      </c>
      <c r="C89" s="3">
        <f t="shared" si="44"/>
        <v>56075.647768027477</v>
      </c>
      <c r="D89" s="3">
        <f t="shared" si="45"/>
        <v>36449.171049217861</v>
      </c>
      <c r="E89" s="3">
        <f t="shared" si="39"/>
        <v>13383.494085371995</v>
      </c>
      <c r="F89" s="3">
        <f t="shared" si="46"/>
        <v>79141.324731873348</v>
      </c>
      <c r="G89" s="3"/>
      <c r="H89" s="3"/>
      <c r="I89" s="3">
        <v>2016</v>
      </c>
      <c r="J89" s="3">
        <f t="shared" si="50"/>
        <v>246172.24977743867</v>
      </c>
      <c r="K89" s="3">
        <f t="shared" si="47"/>
        <v>49234.449955487733</v>
      </c>
      <c r="L89" s="3">
        <f t="shared" si="48"/>
        <v>32002.392471067029</v>
      </c>
      <c r="M89" s="3">
        <v>0</v>
      </c>
      <c r="N89" s="3">
        <f t="shared" si="40"/>
        <v>11177.896309865642</v>
      </c>
      <c r="O89" s="3">
        <f t="shared" si="41"/>
        <v>92414.738736420404</v>
      </c>
      <c r="P89" s="3"/>
      <c r="Q89" s="3"/>
      <c r="R89" s="3">
        <v>2016</v>
      </c>
      <c r="S89" s="13">
        <f t="shared" si="42"/>
        <v>1.1677178648388398</v>
      </c>
      <c r="T89" s="13">
        <f t="shared" si="43"/>
        <v>0.8563712435263745</v>
      </c>
      <c r="V89" s="13">
        <f t="shared" si="49"/>
        <v>13.307405577625012</v>
      </c>
      <c r="W89" s="12">
        <f>'Country L per 100 km'!T11</f>
        <v>5.4191975770922465</v>
      </c>
      <c r="X89" s="3">
        <f>'Country distance travelled'!T11</f>
        <v>15500</v>
      </c>
      <c r="Z89" s="3">
        <v>2016</v>
      </c>
      <c r="AA89" s="13">
        <v>13.307405577625012</v>
      </c>
      <c r="AB89" s="13">
        <v>13.307405577625012</v>
      </c>
      <c r="AC89" s="13">
        <v>13.307405577625012</v>
      </c>
      <c r="AD89" s="13">
        <v>13.307405577625012</v>
      </c>
    </row>
    <row r="90" spans="1:30">
      <c r="A90" s="3">
        <v>2017</v>
      </c>
      <c r="B90" s="3">
        <f t="shared" si="38"/>
        <v>280248.22669781226</v>
      </c>
      <c r="C90" s="3">
        <f t="shared" si="44"/>
        <v>56049.645339562456</v>
      </c>
      <c r="D90" s="3">
        <f t="shared" si="45"/>
        <v>36432.269470715597</v>
      </c>
      <c r="E90" s="3">
        <f t="shared" si="39"/>
        <v>13118.137106882406</v>
      </c>
      <c r="F90" s="3">
        <f t="shared" si="46"/>
        <v>79363.777703395637</v>
      </c>
      <c r="G90" s="3"/>
      <c r="H90" s="3"/>
      <c r="I90" s="3">
        <v>2017</v>
      </c>
      <c r="J90" s="3">
        <f t="shared" si="50"/>
        <v>245523.6404683227</v>
      </c>
      <c r="K90" s="3">
        <f t="shared" si="47"/>
        <v>49104.72809366454</v>
      </c>
      <c r="L90" s="3">
        <f t="shared" si="48"/>
        <v>31918.073260881953</v>
      </c>
      <c r="M90" s="3">
        <v>0</v>
      </c>
      <c r="N90" s="3">
        <f t="shared" si="40"/>
        <v>11664.165963172845</v>
      </c>
      <c r="O90" s="3">
        <f t="shared" si="41"/>
        <v>92686.967317719333</v>
      </c>
      <c r="P90" s="3"/>
      <c r="Q90" s="3"/>
      <c r="R90" s="3">
        <v>2017</v>
      </c>
      <c r="S90" s="13">
        <f t="shared" si="42"/>
        <v>1.1678749424468695</v>
      </c>
      <c r="T90" s="13">
        <f t="shared" si="43"/>
        <v>0.8562560627466268</v>
      </c>
      <c r="V90" s="13">
        <f t="shared" si="49"/>
        <v>14.025177969334841</v>
      </c>
      <c r="W90" s="12">
        <f>'Country L per 100 km'!T12</f>
        <v>5.3655421555368772</v>
      </c>
      <c r="X90" s="3">
        <f>'Country distance travelled'!T12</f>
        <v>15500</v>
      </c>
      <c r="Z90" s="3">
        <v>2017</v>
      </c>
      <c r="AA90" s="13">
        <v>14.025177969334841</v>
      </c>
      <c r="AB90" s="13">
        <v>14.025177969334841</v>
      </c>
      <c r="AC90" s="13">
        <v>14.025177969334841</v>
      </c>
      <c r="AD90" s="13">
        <v>14.025177969334841</v>
      </c>
    </row>
    <row r="91" spans="1:30">
      <c r="A91" s="3">
        <v>2018</v>
      </c>
      <c r="B91" s="3">
        <f t="shared" si="38"/>
        <v>266096.18501142913</v>
      </c>
      <c r="C91" s="3">
        <f t="shared" si="44"/>
        <v>53219.237002285823</v>
      </c>
      <c r="D91" s="3">
        <f t="shared" si="45"/>
        <v>34592.50405148579</v>
      </c>
      <c r="E91" s="3">
        <f t="shared" si="39"/>
        <v>12835.249042145593</v>
      </c>
      <c r="F91" s="3">
        <f t="shared" si="46"/>
        <v>74976.492011626018</v>
      </c>
      <c r="G91" s="3"/>
      <c r="H91" s="3"/>
      <c r="I91" s="3">
        <v>2018</v>
      </c>
      <c r="J91" s="3">
        <f t="shared" si="50"/>
        <v>244375</v>
      </c>
      <c r="K91" s="3">
        <f t="shared" si="47"/>
        <v>48875</v>
      </c>
      <c r="L91" s="3">
        <f t="shared" si="48"/>
        <v>31768.75</v>
      </c>
      <c r="M91" s="3">
        <f t="shared" ref="M91:M103" si="51">K62</f>
        <v>1230</v>
      </c>
      <c r="N91" s="3">
        <f t="shared" si="40"/>
        <v>12654.127588868707</v>
      </c>
      <c r="O91" s="3">
        <f t="shared" si="41"/>
        <v>94527.877588868709</v>
      </c>
      <c r="P91" s="3"/>
      <c r="Q91" s="3"/>
      <c r="R91" s="3">
        <v>2018</v>
      </c>
      <c r="S91" s="13">
        <f t="shared" si="42"/>
        <v>1.260766875759018</v>
      </c>
      <c r="T91" s="13">
        <f t="shared" si="43"/>
        <v>0.79316804654942341</v>
      </c>
      <c r="U91" s="3"/>
      <c r="V91" s="13">
        <f t="shared" si="49"/>
        <v>15.367678748854141</v>
      </c>
      <c r="W91" s="12">
        <f>'Country L per 100 km'!T13</f>
        <v>5.3124179757790868</v>
      </c>
      <c r="X91" s="3">
        <f>'Country distance travelled'!T13</f>
        <v>15500</v>
      </c>
      <c r="Z91" s="3">
        <v>2018</v>
      </c>
      <c r="AA91" s="13">
        <v>15.367678748854141</v>
      </c>
      <c r="AB91" s="13">
        <v>15.367678748854141</v>
      </c>
      <c r="AC91" s="13">
        <v>15.367678748854141</v>
      </c>
      <c r="AD91" s="13">
        <v>15.367678748854141</v>
      </c>
    </row>
    <row r="92" spans="1:30">
      <c r="A92" s="3">
        <v>2019</v>
      </c>
      <c r="B92" s="3">
        <f t="shared" si="38"/>
        <v>273304.73434876907</v>
      </c>
      <c r="C92" s="3">
        <f t="shared" si="44"/>
        <v>54660.94686975381</v>
      </c>
      <c r="D92" s="3">
        <f t="shared" si="45"/>
        <v>35529.615465339979</v>
      </c>
      <c r="E92" s="3">
        <f t="shared" si="39"/>
        <v>12609.538306459959</v>
      </c>
      <c r="F92" s="3">
        <f t="shared" si="46"/>
        <v>77581.024028633838</v>
      </c>
      <c r="G92" s="3"/>
      <c r="H92" s="3"/>
      <c r="I92" s="3">
        <v>2019</v>
      </c>
      <c r="J92" s="3">
        <f t="shared" si="50"/>
        <v>244375</v>
      </c>
      <c r="K92" s="3">
        <f t="shared" si="47"/>
        <v>48875</v>
      </c>
      <c r="L92" s="3">
        <f t="shared" si="48"/>
        <v>31768.75</v>
      </c>
      <c r="M92" s="3">
        <f t="shared" si="51"/>
        <v>1230</v>
      </c>
      <c r="N92" s="3">
        <f t="shared" si="40"/>
        <v>12098.58057175608</v>
      </c>
      <c r="O92" s="3">
        <f t="shared" si="41"/>
        <v>93972.330571756087</v>
      </c>
      <c r="P92" s="3"/>
      <c r="Q92" s="3"/>
      <c r="R92" s="3">
        <v>2019</v>
      </c>
      <c r="S92" s="13">
        <f t="shared" si="42"/>
        <v>1.2112798425691378</v>
      </c>
      <c r="T92" s="13">
        <f t="shared" si="43"/>
        <v>0.82557305492592781</v>
      </c>
      <c r="U92" s="3"/>
      <c r="V92" s="13">
        <f t="shared" si="49"/>
        <v>14.839930229919752</v>
      </c>
      <c r="W92" s="12">
        <f>'Country L per 100 km'!T14</f>
        <v>5.2598197779990956</v>
      </c>
      <c r="X92" s="3">
        <f>'Country distance travelled'!T14</f>
        <v>15500</v>
      </c>
      <c r="Z92" s="3">
        <v>2019</v>
      </c>
      <c r="AA92" s="13"/>
      <c r="AB92" s="13">
        <v>17.269530226599002</v>
      </c>
      <c r="AC92" s="13">
        <v>14.839930229919752</v>
      </c>
      <c r="AD92" s="13">
        <v>12.723671238109644</v>
      </c>
    </row>
    <row r="93" spans="1:30">
      <c r="A93" s="3">
        <v>2020</v>
      </c>
      <c r="B93" s="3">
        <f t="shared" si="38"/>
        <v>272335.22415491357</v>
      </c>
      <c r="C93" s="3">
        <f t="shared" si="44"/>
        <v>54467.044830982712</v>
      </c>
      <c r="D93" s="3">
        <f t="shared" si="45"/>
        <v>35403.579140138761</v>
      </c>
      <c r="E93" s="3">
        <f t="shared" si="39"/>
        <v>12387.796744729303</v>
      </c>
      <c r="F93" s="3">
        <f t="shared" si="46"/>
        <v>77482.827226392168</v>
      </c>
      <c r="G93" s="3"/>
      <c r="H93" s="3"/>
      <c r="I93" s="3">
        <v>2020</v>
      </c>
      <c r="J93" s="3">
        <f t="shared" si="50"/>
        <v>244375</v>
      </c>
      <c r="K93" s="3">
        <f t="shared" si="47"/>
        <v>48875</v>
      </c>
      <c r="L93" s="3">
        <f t="shared" si="48"/>
        <v>31768.75</v>
      </c>
      <c r="M93" s="3">
        <f t="shared" si="51"/>
        <v>1230</v>
      </c>
      <c r="N93" s="3">
        <f t="shared" si="40"/>
        <v>11991.936922152738</v>
      </c>
      <c r="O93" s="3">
        <f t="shared" si="41"/>
        <v>93865.68692215273</v>
      </c>
      <c r="P93" s="3"/>
      <c r="Q93" s="3"/>
      <c r="R93" s="3">
        <v>2020</v>
      </c>
      <c r="S93" s="13">
        <f t="shared" si="42"/>
        <v>1.211438589455345</v>
      </c>
      <c r="T93" s="13">
        <f t="shared" si="43"/>
        <v>0.82546487185090711</v>
      </c>
      <c r="U93" s="3"/>
      <c r="V93" s="13">
        <f t="shared" si="49"/>
        <v>14.856214020544394</v>
      </c>
      <c r="W93" s="12">
        <f>'Country L per 100 km'!T15</f>
        <v>5.2077423544545498</v>
      </c>
      <c r="X93" s="3">
        <f>'Country distance travelled'!T15</f>
        <v>15500</v>
      </c>
      <c r="Z93" s="3">
        <v>2020</v>
      </c>
      <c r="AA93" s="13"/>
      <c r="AB93" s="13">
        <v>18.299924930656587</v>
      </c>
      <c r="AC93" s="13">
        <v>14.856214020544394</v>
      </c>
      <c r="AD93" s="13">
        <v>12.7842826912895</v>
      </c>
    </row>
    <row r="94" spans="1:30">
      <c r="A94" s="3">
        <v>2021</v>
      </c>
      <c r="B94" s="3">
        <f t="shared" si="38"/>
        <v>265056.70828620991</v>
      </c>
      <c r="C94" s="3">
        <f t="shared" si="44"/>
        <v>53011.341657241981</v>
      </c>
      <c r="D94" s="3">
        <f t="shared" si="45"/>
        <v>34457.372077207292</v>
      </c>
      <c r="E94" s="3">
        <f t="shared" si="39"/>
        <v>12169.954558138619</v>
      </c>
      <c r="F94" s="3">
        <f t="shared" si="46"/>
        <v>75298.759176310647</v>
      </c>
      <c r="G94" s="3"/>
      <c r="H94" s="3"/>
      <c r="I94" s="3">
        <v>2021</v>
      </c>
      <c r="J94" s="3">
        <f t="shared" si="50"/>
        <v>244375</v>
      </c>
      <c r="K94" s="3">
        <f t="shared" si="47"/>
        <v>48875</v>
      </c>
      <c r="L94" s="3">
        <f t="shared" si="48"/>
        <v>31768.75</v>
      </c>
      <c r="M94" s="3">
        <f t="shared" si="51"/>
        <v>1230</v>
      </c>
      <c r="N94" s="3">
        <f t="shared" si="40"/>
        <v>12256.631132225881</v>
      </c>
      <c r="O94" s="3">
        <f t="shared" si="41"/>
        <v>94130.381132225884</v>
      </c>
      <c r="P94" s="3"/>
      <c r="Q94" s="3"/>
      <c r="R94" s="3">
        <v>2021</v>
      </c>
      <c r="S94" s="13">
        <f t="shared" si="42"/>
        <v>1.2500920620992086</v>
      </c>
      <c r="T94" s="13">
        <f t="shared" si="43"/>
        <v>0.79994108459560709</v>
      </c>
      <c r="U94" s="3"/>
      <c r="V94" s="13">
        <f t="shared" si="49"/>
        <v>15.335971813210046</v>
      </c>
      <c r="W94" s="12">
        <f>'Country L per 100 km'!T16</f>
        <v>5.1561805489649011</v>
      </c>
      <c r="X94" s="3">
        <f>'Country distance travelled'!T16</f>
        <v>15500</v>
      </c>
      <c r="Z94" s="3">
        <v>2021</v>
      </c>
      <c r="AA94" s="13"/>
      <c r="AB94" s="13">
        <v>19.390931087894035</v>
      </c>
      <c r="AC94" s="13">
        <v>15.335971813210046</v>
      </c>
      <c r="AD94" s="13">
        <v>12.905505597649221</v>
      </c>
    </row>
    <row r="95" spans="1:30">
      <c r="A95" s="3">
        <v>2022</v>
      </c>
      <c r="B95" s="3">
        <f t="shared" si="38"/>
        <v>270669.3380973746</v>
      </c>
      <c r="C95" s="3">
        <f t="shared" si="44"/>
        <v>54133.867619474921</v>
      </c>
      <c r="D95" s="3">
        <f t="shared" si="45"/>
        <v>35187.013952658701</v>
      </c>
      <c r="E95" s="3">
        <f t="shared" si="39"/>
        <v>11955.943175300734</v>
      </c>
      <c r="F95" s="3">
        <f t="shared" si="46"/>
        <v>77364.938396832891</v>
      </c>
      <c r="G95" s="3"/>
      <c r="H95" s="3"/>
      <c r="I95" s="3">
        <v>2022</v>
      </c>
      <c r="J95" s="3">
        <f t="shared" si="50"/>
        <v>244375</v>
      </c>
      <c r="K95" s="3">
        <f t="shared" si="47"/>
        <v>48875</v>
      </c>
      <c r="L95" s="3">
        <f t="shared" si="48"/>
        <v>31768.75</v>
      </c>
      <c r="M95" s="3">
        <f t="shared" si="51"/>
        <v>1230</v>
      </c>
      <c r="N95" s="3">
        <f t="shared" si="40"/>
        <v>12417.938956827522</v>
      </c>
      <c r="O95" s="3">
        <f t="shared" si="41"/>
        <v>94291.688956827522</v>
      </c>
      <c r="P95" s="3"/>
      <c r="Q95" s="3"/>
      <c r="R95" s="3">
        <v>2022</v>
      </c>
      <c r="S95" s="13">
        <f t="shared" si="42"/>
        <v>1.2187909783262694</v>
      </c>
      <c r="T95" s="13">
        <f t="shared" si="43"/>
        <v>0.82048523313921418</v>
      </c>
      <c r="U95" s="3"/>
      <c r="V95" s="13">
        <f t="shared" si="49"/>
        <v>15.693184478118447</v>
      </c>
      <c r="W95" s="12">
        <f>'Country L per 100 km'!T17</f>
        <v>5.1051292564008923</v>
      </c>
      <c r="X95" s="3">
        <f>'Country distance travelled'!T17</f>
        <v>15500</v>
      </c>
      <c r="Z95" s="3">
        <v>2022</v>
      </c>
      <c r="AA95" s="13"/>
      <c r="AB95" s="13">
        <v>19.875822713332902</v>
      </c>
      <c r="AC95" s="13">
        <v>15.693184478118447</v>
      </c>
      <c r="AD95" s="13">
        <v>12.966117050829077</v>
      </c>
    </row>
    <row r="96" spans="1:30">
      <c r="A96" s="3">
        <v>2023</v>
      </c>
      <c r="B96" s="3">
        <f t="shared" si="38"/>
        <v>268650.23390004929</v>
      </c>
      <c r="C96" s="3">
        <f t="shared" si="44"/>
        <v>53730.046780009856</v>
      </c>
      <c r="D96" s="3">
        <f t="shared" si="45"/>
        <v>34924.530407006408</v>
      </c>
      <c r="E96" s="3">
        <f t="shared" si="39"/>
        <v>11745.695230671707</v>
      </c>
      <c r="F96" s="3">
        <f t="shared" si="46"/>
        <v>76908.881956344558</v>
      </c>
      <c r="G96" s="3"/>
      <c r="H96" s="3"/>
      <c r="I96" s="3">
        <v>2023</v>
      </c>
      <c r="J96" s="3">
        <f t="shared" si="50"/>
        <v>244375</v>
      </c>
      <c r="K96" s="3">
        <f t="shared" si="47"/>
        <v>48875</v>
      </c>
      <c r="L96" s="3">
        <f t="shared" si="48"/>
        <v>31768.75</v>
      </c>
      <c r="M96" s="3">
        <f t="shared" si="51"/>
        <v>1230</v>
      </c>
      <c r="N96" s="3">
        <f t="shared" si="40"/>
        <v>12423.772113911315</v>
      </c>
      <c r="O96" s="3">
        <f t="shared" si="41"/>
        <v>94297.522113911313</v>
      </c>
      <c r="P96" s="3"/>
      <c r="Q96" s="3"/>
      <c r="R96" s="3">
        <v>2023</v>
      </c>
      <c r="S96" s="13">
        <f t="shared" si="42"/>
        <v>1.2260940442150361</v>
      </c>
      <c r="T96" s="13">
        <f t="shared" si="43"/>
        <v>0.81559812211649318</v>
      </c>
      <c r="U96" s="3"/>
      <c r="V96" s="13">
        <f t="shared" si="49"/>
        <v>15.857561698386602</v>
      </c>
      <c r="W96" s="12">
        <f>'Country L per 100 km'!T18</f>
        <v>5.0545834221791015</v>
      </c>
      <c r="X96" s="3">
        <f>'Country distance travelled'!T18</f>
        <v>15500</v>
      </c>
      <c r="Z96" s="3">
        <v>2023</v>
      </c>
      <c r="AA96" s="13"/>
      <c r="AB96" s="13">
        <v>20.239491432412049</v>
      </c>
      <c r="AC96" s="13">
        <v>15.857561698386602</v>
      </c>
      <c r="AD96" s="13">
        <v>12.966117050829077</v>
      </c>
    </row>
    <row r="97" spans="1:30">
      <c r="A97" s="3">
        <v>2024</v>
      </c>
      <c r="B97" s="3">
        <f t="shared" si="38"/>
        <v>258061.0526895799</v>
      </c>
      <c r="C97" s="3">
        <f t="shared" si="44"/>
        <v>51612.210537915977</v>
      </c>
      <c r="D97" s="3">
        <f t="shared" si="45"/>
        <v>33547.93684964539</v>
      </c>
      <c r="E97" s="3">
        <f t="shared" si="39"/>
        <v>11539.144543345814</v>
      </c>
      <c r="F97" s="3">
        <f t="shared" si="46"/>
        <v>73621.002844215545</v>
      </c>
      <c r="G97" s="3"/>
      <c r="H97" s="3"/>
      <c r="I97" s="3">
        <v>2024</v>
      </c>
      <c r="J97" s="3">
        <f t="shared" si="50"/>
        <v>244375</v>
      </c>
      <c r="K97" s="3">
        <f t="shared" si="47"/>
        <v>48875</v>
      </c>
      <c r="L97" s="3">
        <f t="shared" si="48"/>
        <v>31768.75</v>
      </c>
      <c r="M97" s="3">
        <f t="shared" si="51"/>
        <v>1230</v>
      </c>
      <c r="N97" s="3">
        <f t="shared" si="40"/>
        <v>12334.475980990768</v>
      </c>
      <c r="O97" s="3">
        <f t="shared" si="41"/>
        <v>94208.22598099077</v>
      </c>
      <c r="P97" s="3"/>
      <c r="Q97" s="3"/>
      <c r="R97" s="3">
        <v>2024</v>
      </c>
      <c r="S97" s="13">
        <f t="shared" si="42"/>
        <v>1.2796379068665835</v>
      </c>
      <c r="T97" s="13">
        <f t="shared" si="43"/>
        <v>0.7814710666462471</v>
      </c>
      <c r="U97" s="3"/>
      <c r="V97" s="13">
        <f t="shared" si="49"/>
        <v>15.901020979246946</v>
      </c>
      <c r="W97" s="12">
        <f>'Country L per 100 km'!T19</f>
        <v>5.0045380417614869</v>
      </c>
      <c r="X97" s="3">
        <f>'Country distance travelled'!T19</f>
        <v>15500</v>
      </c>
      <c r="Z97" s="3">
        <v>2024</v>
      </c>
      <c r="AA97" s="13"/>
      <c r="AB97" s="13">
        <v>20.542548698311343</v>
      </c>
      <c r="AC97" s="13">
        <v>15.901020979246946</v>
      </c>
      <c r="AD97" s="13">
        <v>12.966117050829077</v>
      </c>
    </row>
    <row r="98" spans="1:30">
      <c r="A98" s="3">
        <v>2025</v>
      </c>
      <c r="B98" s="3">
        <f t="shared" si="38"/>
        <v>249087.62836052687</v>
      </c>
      <c r="C98" s="3">
        <f t="shared" si="44"/>
        <v>49817.525672105374</v>
      </c>
      <c r="D98" s="3">
        <f t="shared" si="45"/>
        <v>32381.391686868494</v>
      </c>
      <c r="E98" s="3">
        <f t="shared" si="39"/>
        <v>11336.226096223412</v>
      </c>
      <c r="F98" s="3">
        <f t="shared" si="46"/>
        <v>70862.69126275045</v>
      </c>
      <c r="G98" s="3"/>
      <c r="H98" s="3"/>
      <c r="I98" s="3">
        <v>2025</v>
      </c>
      <c r="J98" s="3">
        <f t="shared" si="50"/>
        <v>244375</v>
      </c>
      <c r="K98" s="3">
        <f t="shared" si="47"/>
        <v>48875</v>
      </c>
      <c r="L98" s="3">
        <f t="shared" si="48"/>
        <v>31768.75</v>
      </c>
      <c r="M98" s="3">
        <f t="shared" si="51"/>
        <v>1230</v>
      </c>
      <c r="N98" s="3">
        <f t="shared" si="40"/>
        <v>12386.998876415246</v>
      </c>
      <c r="O98" s="3">
        <f t="shared" si="41"/>
        <v>94260.748876415251</v>
      </c>
      <c r="P98" s="3"/>
      <c r="Q98" s="3"/>
      <c r="R98" s="3">
        <v>2025</v>
      </c>
      <c r="S98" s="13">
        <f t="shared" si="42"/>
        <v>1.3301886676432819</v>
      </c>
      <c r="T98" s="13">
        <f t="shared" si="43"/>
        <v>0.75177305620240864</v>
      </c>
      <c r="U98" s="3"/>
      <c r="V98" s="13">
        <f t="shared" si="49"/>
        <v>16.128418313061204</v>
      </c>
      <c r="W98" s="12">
        <f>'Country L per 100 km'!T20</f>
        <v>4.9549881601598873</v>
      </c>
      <c r="X98" s="3">
        <f>'Country distance travelled'!T20</f>
        <v>15500</v>
      </c>
      <c r="Z98" s="3">
        <v>2025</v>
      </c>
      <c r="AA98" s="13"/>
      <c r="AB98" s="13">
        <v>20.84560596421063</v>
      </c>
      <c r="AC98" s="13">
        <v>16.128418313061204</v>
      </c>
      <c r="AD98" s="13">
        <v>13.026728504008934</v>
      </c>
    </row>
    <row r="99" spans="1:30">
      <c r="A99" s="3">
        <v>2026</v>
      </c>
      <c r="B99" s="3">
        <f t="shared" si="38"/>
        <v>244360.13376614882</v>
      </c>
      <c r="C99" s="3">
        <f t="shared" si="44"/>
        <v>48872.026753229766</v>
      </c>
      <c r="D99" s="3">
        <f t="shared" si="45"/>
        <v>31766.81738959935</v>
      </c>
      <c r="E99" s="3">
        <f t="shared" si="39"/>
        <v>11136.876015545151</v>
      </c>
      <c r="F99" s="3">
        <f t="shared" si="46"/>
        <v>69501.968127283966</v>
      </c>
      <c r="G99" s="3"/>
      <c r="H99" s="3"/>
      <c r="I99" s="3">
        <v>2026</v>
      </c>
      <c r="J99" s="3">
        <f t="shared" si="50"/>
        <v>244375</v>
      </c>
      <c r="K99" s="3">
        <f t="shared" si="47"/>
        <v>48875</v>
      </c>
      <c r="L99" s="3">
        <f t="shared" si="48"/>
        <v>31768.75</v>
      </c>
      <c r="M99" s="3">
        <f t="shared" si="51"/>
        <v>1230</v>
      </c>
      <c r="N99" s="3">
        <f t="shared" si="40"/>
        <v>12568.277533244485</v>
      </c>
      <c r="O99" s="3">
        <f t="shared" si="41"/>
        <v>94442.027533244487</v>
      </c>
      <c r="P99" s="3"/>
      <c r="Q99" s="3"/>
      <c r="R99" s="3">
        <v>2026</v>
      </c>
      <c r="S99" s="13">
        <f t="shared" si="42"/>
        <v>1.3588396138694374</v>
      </c>
      <c r="T99" s="13">
        <f t="shared" si="43"/>
        <v>0.73592202478730795</v>
      </c>
      <c r="U99" s="3"/>
      <c r="V99" s="13">
        <f t="shared" si="49"/>
        <v>16.528095622575314</v>
      </c>
      <c r="W99" s="12">
        <f>'Country L per 100 km'!T21</f>
        <v>4.9059288714454334</v>
      </c>
      <c r="X99" s="3">
        <f>'Country distance travelled'!T21</f>
        <v>15500</v>
      </c>
      <c r="Z99" s="3">
        <v>2026</v>
      </c>
      <c r="AA99" s="13"/>
      <c r="AB99" s="13">
        <v>21.148663230109925</v>
      </c>
      <c r="AC99" s="13">
        <v>16.528095622575314</v>
      </c>
      <c r="AD99" s="13">
        <v>13.087339957188794</v>
      </c>
    </row>
    <row r="100" spans="1:30">
      <c r="A100" s="3">
        <v>2027</v>
      </c>
      <c r="B100" s="3">
        <f t="shared" si="38"/>
        <v>239616.53990233719</v>
      </c>
      <c r="C100" s="3">
        <f t="shared" si="44"/>
        <v>47923.307980467434</v>
      </c>
      <c r="D100" s="3">
        <f t="shared" si="45"/>
        <v>31150.150187303836</v>
      </c>
      <c r="E100" s="3">
        <f t="shared" si="39"/>
        <v>10941.031550786076</v>
      </c>
      <c r="F100" s="3">
        <f t="shared" si="46"/>
        <v>68132.426616985191</v>
      </c>
      <c r="G100" s="3"/>
      <c r="H100" s="3"/>
      <c r="I100" s="3">
        <v>2027</v>
      </c>
      <c r="J100" s="3">
        <f t="shared" si="50"/>
        <v>244375</v>
      </c>
      <c r="K100" s="3">
        <f t="shared" si="47"/>
        <v>48875</v>
      </c>
      <c r="L100" s="3">
        <f t="shared" si="48"/>
        <v>31768.75</v>
      </c>
      <c r="M100" s="3">
        <f t="shared" si="51"/>
        <v>1230</v>
      </c>
      <c r="N100" s="3">
        <f t="shared" si="40"/>
        <v>12598.922128891838</v>
      </c>
      <c r="O100" s="3">
        <f t="shared" si="41"/>
        <v>94472.672128891834</v>
      </c>
      <c r="P100" s="3"/>
      <c r="Q100" s="3"/>
      <c r="R100" s="3">
        <v>2027</v>
      </c>
      <c r="S100" s="13">
        <f t="shared" si="42"/>
        <v>1.3866036602509635</v>
      </c>
      <c r="T100" s="13">
        <f t="shared" si="43"/>
        <v>0.7211866149401398</v>
      </c>
      <c r="U100" s="3"/>
      <c r="V100" s="13">
        <f t="shared" si="49"/>
        <v>16.734079194882966</v>
      </c>
      <c r="W100" s="12">
        <f>'Country L per 100 km'!T22</f>
        <v>4.8573553182628046</v>
      </c>
      <c r="X100" s="3">
        <f>'Country distance travelled'!T22</f>
        <v>15500</v>
      </c>
      <c r="Z100" s="3">
        <v>2027</v>
      </c>
      <c r="AA100" s="13"/>
      <c r="AB100" s="13">
        <v>21.451720496009205</v>
      </c>
      <c r="AC100" s="13">
        <v>16.734079194882966</v>
      </c>
      <c r="AD100" s="13">
        <v>13.147951410368654</v>
      </c>
    </row>
    <row r="101" spans="1:30">
      <c r="A101" s="3">
        <v>2028</v>
      </c>
      <c r="B101" s="3">
        <f t="shared" si="38"/>
        <v>234151.75557950462</v>
      </c>
      <c r="C101" s="3">
        <f t="shared" si="44"/>
        <v>46830.351115900921</v>
      </c>
      <c r="D101" s="3">
        <f t="shared" si="45"/>
        <v>30439.728225335602</v>
      </c>
      <c r="E101" s="3">
        <f t="shared" si="39"/>
        <v>10748.631054903302</v>
      </c>
      <c r="F101" s="3">
        <f t="shared" si="46"/>
        <v>66521.448286333223</v>
      </c>
      <c r="G101" s="3"/>
      <c r="H101" s="3"/>
      <c r="I101" s="3">
        <v>2028</v>
      </c>
      <c r="J101" s="3">
        <f t="shared" si="50"/>
        <v>244375</v>
      </c>
      <c r="K101" s="3">
        <f t="shared" si="47"/>
        <v>48875</v>
      </c>
      <c r="L101" s="3">
        <f t="shared" si="48"/>
        <v>31768.75</v>
      </c>
      <c r="M101" s="3">
        <f t="shared" si="51"/>
        <v>1230</v>
      </c>
      <c r="N101" s="3">
        <f t="shared" si="40"/>
        <v>12571.379731692898</v>
      </c>
      <c r="O101" s="3">
        <f t="shared" si="41"/>
        <v>94445.129731692898</v>
      </c>
      <c r="P101" s="3"/>
      <c r="Q101" s="3"/>
      <c r="R101" s="3">
        <v>2028</v>
      </c>
      <c r="S101" s="13">
        <f t="shared" si="42"/>
        <v>1.4197695955921719</v>
      </c>
      <c r="T101" s="13">
        <f t="shared" si="43"/>
        <v>0.70433963588501125</v>
      </c>
      <c r="U101" s="3"/>
      <c r="V101" s="13">
        <f t="shared" si="49"/>
        <v>16.864471935423811</v>
      </c>
      <c r="W101" s="12">
        <f>'Country L per 100 km'!T23</f>
        <v>4.8092626913493124</v>
      </c>
      <c r="X101" s="3">
        <f>'Country distance travelled'!T23</f>
        <v>15500</v>
      </c>
      <c r="Z101" s="3">
        <v>2028</v>
      </c>
      <c r="AA101" s="13"/>
      <c r="AB101" s="13">
        <v>21.694166308728651</v>
      </c>
      <c r="AC101" s="13">
        <v>16.864471935423811</v>
      </c>
      <c r="AD101" s="13">
        <v>13.147951410368654</v>
      </c>
    </row>
    <row r="102" spans="1:30">
      <c r="A102" s="3">
        <v>2029</v>
      </c>
      <c r="B102" s="3">
        <f t="shared" si="38"/>
        <v>229376.80752608649</v>
      </c>
      <c r="C102" s="3">
        <f t="shared" si="44"/>
        <v>45875.361505217297</v>
      </c>
      <c r="D102" s="3">
        <f t="shared" si="45"/>
        <v>29818.984978391243</v>
      </c>
      <c r="E102" s="3">
        <f t="shared" si="39"/>
        <v>10559.613964931033</v>
      </c>
      <c r="F102" s="3">
        <f t="shared" si="46"/>
        <v>65134.732518677498</v>
      </c>
      <c r="G102" s="3"/>
      <c r="H102" s="3"/>
      <c r="I102" s="3">
        <v>2029</v>
      </c>
      <c r="J102" s="3">
        <f t="shared" si="50"/>
        <v>244375</v>
      </c>
      <c r="K102" s="3">
        <f t="shared" si="47"/>
        <v>48875</v>
      </c>
      <c r="L102" s="3">
        <f t="shared" si="48"/>
        <v>31768.75</v>
      </c>
      <c r="M102" s="3">
        <f t="shared" si="51"/>
        <v>1230</v>
      </c>
      <c r="N102" s="3">
        <f t="shared" si="40"/>
        <v>12577.353506758318</v>
      </c>
      <c r="O102" s="3">
        <f t="shared" si="41"/>
        <v>94451.103506758314</v>
      </c>
      <c r="P102" s="3"/>
      <c r="Q102" s="3"/>
      <c r="R102" s="3">
        <v>2029</v>
      </c>
      <c r="S102" s="13">
        <f t="shared" si="42"/>
        <v>1.4500881458241084</v>
      </c>
      <c r="T102" s="13">
        <f t="shared" si="43"/>
        <v>0.68961325067014034</v>
      </c>
      <c r="U102" s="3"/>
      <c r="V102" s="13">
        <f t="shared" si="49"/>
        <v>17.041210595915015</v>
      </c>
      <c r="W102" s="12">
        <f>'Country L per 100 km'!T24</f>
        <v>4.7616462290587247</v>
      </c>
      <c r="X102" s="3">
        <f>'Country distance travelled'!T24</f>
        <v>15500</v>
      </c>
      <c r="Z102" s="3">
        <v>2029</v>
      </c>
      <c r="AA102" s="13"/>
      <c r="AB102" s="13">
        <v>21.997223574627935</v>
      </c>
      <c r="AC102" s="13">
        <v>17.041210595915015</v>
      </c>
      <c r="AD102" s="13">
        <v>13.147951410368654</v>
      </c>
    </row>
    <row r="103" spans="1:30">
      <c r="A103" s="3">
        <v>2030</v>
      </c>
      <c r="B103" s="3">
        <f t="shared" si="38"/>
        <v>223881.22038411011</v>
      </c>
      <c r="C103" s="3">
        <f t="shared" si="44"/>
        <v>44776.244076822026</v>
      </c>
      <c r="D103" s="3">
        <f t="shared" si="45"/>
        <v>29104.558649934315</v>
      </c>
      <c r="E103" s="3">
        <f t="shared" si="39"/>
        <v>10373.920782916819</v>
      </c>
      <c r="F103" s="3">
        <f t="shared" si="46"/>
        <v>63506.881943839529</v>
      </c>
      <c r="G103" s="3"/>
      <c r="H103" s="3"/>
      <c r="I103" s="3">
        <v>2030</v>
      </c>
      <c r="J103" s="3">
        <f t="shared" si="50"/>
        <v>244375</v>
      </c>
      <c r="K103" s="3">
        <f t="shared" si="47"/>
        <v>48875</v>
      </c>
      <c r="L103" s="3">
        <f t="shared" si="48"/>
        <v>31768.75</v>
      </c>
      <c r="M103" s="3">
        <f t="shared" si="51"/>
        <v>1230</v>
      </c>
      <c r="N103" s="3">
        <f t="shared" si="40"/>
        <v>12551.57814173065</v>
      </c>
      <c r="O103" s="3">
        <f t="shared" si="41"/>
        <v>94425.328141730657</v>
      </c>
      <c r="P103" s="3"/>
      <c r="Q103" s="3"/>
      <c r="R103" s="3">
        <v>2030</v>
      </c>
      <c r="S103" s="13">
        <f t="shared" si="42"/>
        <v>1.4868519009519781</v>
      </c>
      <c r="T103" s="13">
        <f t="shared" si="43"/>
        <v>0.67256194067461306</v>
      </c>
      <c r="U103" s="3"/>
      <c r="V103" s="13">
        <f t="shared" si="49"/>
        <v>17.176350109939705</v>
      </c>
      <c r="W103" s="12">
        <f>'Country L per 100 km'!T25</f>
        <v>4.7145012168898264</v>
      </c>
      <c r="X103" s="3">
        <f>'Country distance travelled'!T25</f>
        <v>15500</v>
      </c>
      <c r="Z103" s="3">
        <v>2030</v>
      </c>
      <c r="AA103" s="13"/>
      <c r="AB103" s="13">
        <v>22.17905793416751</v>
      </c>
      <c r="AC103" s="13">
        <v>17.176350109939705</v>
      </c>
      <c r="AD103" s="13">
        <v>13.20856286354851</v>
      </c>
    </row>
    <row r="104" spans="1:30">
      <c r="A104" s="3">
        <v>2031</v>
      </c>
      <c r="B104" s="3"/>
      <c r="C104" s="3"/>
      <c r="D104" s="3"/>
      <c r="E104" s="3"/>
      <c r="F104" s="3"/>
      <c r="G104" s="3"/>
      <c r="H104" s="3"/>
      <c r="I104" s="3">
        <v>2031</v>
      </c>
      <c r="J104" s="3"/>
      <c r="K104" s="3"/>
      <c r="L104" s="3"/>
      <c r="M104" s="3"/>
      <c r="N104" s="3">
        <f t="shared" si="40"/>
        <v>12427.305090822425</v>
      </c>
      <c r="O104" s="3"/>
      <c r="P104" s="3"/>
      <c r="Q104" s="3"/>
      <c r="R104" s="3">
        <v>2031</v>
      </c>
      <c r="S104" s="3"/>
      <c r="T104" s="3"/>
      <c r="U104" s="3"/>
      <c r="V104" s="13">
        <f>V103</f>
        <v>17.176350109939705</v>
      </c>
      <c r="W104" s="12">
        <f>'Country L per 100 km'!T26</f>
        <v>4.6678229870196306</v>
      </c>
      <c r="X104" s="3">
        <f>'Country distance travelled'!T26</f>
        <v>15500</v>
      </c>
      <c r="Z104" s="3">
        <v>2031</v>
      </c>
    </row>
    <row r="105" spans="1:30">
      <c r="A105" s="3">
        <v>2032</v>
      </c>
      <c r="B105" s="3"/>
      <c r="C105" s="3"/>
      <c r="D105" s="3"/>
      <c r="E105" s="3"/>
      <c r="F105" s="3"/>
      <c r="G105" s="3"/>
      <c r="H105" s="3"/>
      <c r="I105" s="3">
        <v>2032</v>
      </c>
      <c r="J105" s="3"/>
      <c r="K105" s="3"/>
      <c r="L105" s="3"/>
      <c r="M105" s="3"/>
      <c r="N105" s="3"/>
      <c r="O105" s="3"/>
      <c r="P105" s="3"/>
      <c r="Q105" s="3"/>
      <c r="R105" s="3">
        <v>2032</v>
      </c>
      <c r="S105" s="3"/>
      <c r="T105" s="3"/>
      <c r="U105" s="3"/>
      <c r="V105" s="13">
        <f t="shared" ref="V105:V113" si="52">V104</f>
        <v>17.176350109939705</v>
      </c>
      <c r="W105" s="12">
        <f>'Country L per 100 km'!T27</f>
        <v>4.621606917841218</v>
      </c>
      <c r="X105" s="3">
        <f>'Country distance travelled'!T27</f>
        <v>15500</v>
      </c>
      <c r="Z105" s="3">
        <v>2032</v>
      </c>
    </row>
    <row r="106" spans="1:30">
      <c r="A106" s="3">
        <v>2033</v>
      </c>
      <c r="B106" s="3"/>
      <c r="C106" s="3"/>
      <c r="D106" s="3"/>
      <c r="E106" s="3"/>
      <c r="F106" s="3"/>
      <c r="G106" s="3"/>
      <c r="H106" s="3"/>
      <c r="I106" s="3">
        <v>2033</v>
      </c>
      <c r="J106" s="3"/>
      <c r="K106" s="3"/>
      <c r="L106" s="3"/>
      <c r="M106" s="3"/>
      <c r="N106" s="3"/>
      <c r="O106" s="3"/>
      <c r="P106" s="3"/>
      <c r="Q106" s="3"/>
      <c r="R106" s="3">
        <v>2033</v>
      </c>
      <c r="S106" s="3"/>
      <c r="T106" s="3"/>
      <c r="U106" s="3"/>
      <c r="V106" s="13">
        <f t="shared" si="52"/>
        <v>17.176350109939705</v>
      </c>
      <c r="W106" s="12">
        <f>'Country L per 100 km'!T28</f>
        <v>4.5758484335061569</v>
      </c>
      <c r="X106" s="3">
        <f>'Country distance travelled'!T28</f>
        <v>15500</v>
      </c>
      <c r="Z106" s="3">
        <v>2033</v>
      </c>
    </row>
    <row r="107" spans="1:30">
      <c r="A107" s="3">
        <v>2034</v>
      </c>
      <c r="B107" s="3"/>
      <c r="C107" s="3"/>
      <c r="D107" s="3"/>
      <c r="E107" s="3"/>
      <c r="F107" s="3"/>
      <c r="G107" s="3"/>
      <c r="H107" s="3"/>
      <c r="I107" s="3">
        <v>2034</v>
      </c>
      <c r="J107" s="3"/>
      <c r="K107" s="3"/>
      <c r="L107" s="3"/>
      <c r="M107" s="3"/>
      <c r="N107" s="3"/>
      <c r="O107" s="3"/>
      <c r="P107" s="3"/>
      <c r="Q107" s="3"/>
      <c r="R107" s="3">
        <v>2034</v>
      </c>
      <c r="S107" s="3"/>
      <c r="T107" s="3"/>
      <c r="U107" s="3"/>
      <c r="V107" s="13">
        <f t="shared" si="52"/>
        <v>17.176350109939705</v>
      </c>
      <c r="W107" s="12">
        <f>'Country L per 100 km'!T29</f>
        <v>4.5305430034714416</v>
      </c>
      <c r="X107" s="3">
        <f>'Country distance travelled'!T29</f>
        <v>15500</v>
      </c>
      <c r="Z107" s="3">
        <v>2034</v>
      </c>
    </row>
    <row r="108" spans="1:30">
      <c r="A108" s="3">
        <v>2035</v>
      </c>
      <c r="B108" s="3"/>
      <c r="C108" s="3"/>
      <c r="D108" s="3"/>
      <c r="E108" s="3"/>
      <c r="F108" s="3"/>
      <c r="G108" s="3"/>
      <c r="H108" s="3"/>
      <c r="I108" s="3">
        <v>2035</v>
      </c>
      <c r="J108" s="3"/>
      <c r="K108" s="3"/>
      <c r="L108" s="3"/>
      <c r="M108" s="3"/>
      <c r="N108" s="3"/>
      <c r="O108" s="3"/>
      <c r="P108" s="3"/>
      <c r="Q108" s="3"/>
      <c r="R108" s="3">
        <v>2035</v>
      </c>
      <c r="S108" s="3"/>
      <c r="T108" s="3"/>
      <c r="U108" s="3"/>
      <c r="V108" s="13">
        <f t="shared" si="52"/>
        <v>17.176350109939705</v>
      </c>
      <c r="W108" s="12">
        <f>'Country L per 100 km'!T30</f>
        <v>4.4856861420509313</v>
      </c>
      <c r="X108" s="3">
        <f>'Country distance travelled'!T30</f>
        <v>15500</v>
      </c>
      <c r="Z108" s="3">
        <v>2035</v>
      </c>
    </row>
    <row r="109" spans="1:30">
      <c r="A109" s="3">
        <v>2036</v>
      </c>
      <c r="B109" s="3"/>
      <c r="C109" s="3"/>
      <c r="D109" s="3"/>
      <c r="E109" s="3"/>
      <c r="F109" s="3"/>
      <c r="G109" s="3"/>
      <c r="H109" s="3"/>
      <c r="I109" s="3">
        <v>2036</v>
      </c>
      <c r="J109" s="3"/>
      <c r="K109" s="3"/>
      <c r="L109" s="3"/>
      <c r="M109" s="3"/>
      <c r="N109" s="3"/>
      <c r="O109" s="3"/>
      <c r="P109" s="3"/>
      <c r="Q109" s="3"/>
      <c r="R109" s="3">
        <v>2036</v>
      </c>
      <c r="S109" s="3"/>
      <c r="T109" s="3"/>
      <c r="U109" s="3"/>
      <c r="V109" s="13">
        <f t="shared" si="52"/>
        <v>17.176350109939705</v>
      </c>
      <c r="W109" s="12">
        <f>'Country L per 100 km'!T31</f>
        <v>4.4412734079712202</v>
      </c>
      <c r="X109" s="3">
        <f>'Country distance travelled'!T31</f>
        <v>15500</v>
      </c>
      <c r="Z109" s="3">
        <v>2036</v>
      </c>
    </row>
    <row r="110" spans="1:30">
      <c r="A110" s="3">
        <v>2037</v>
      </c>
      <c r="B110" s="3"/>
      <c r="C110" s="3"/>
      <c r="D110" s="3"/>
      <c r="E110" s="3"/>
      <c r="F110" s="3"/>
      <c r="G110" s="3"/>
      <c r="H110" s="3"/>
      <c r="I110" s="3">
        <v>2037</v>
      </c>
      <c r="J110" s="3"/>
      <c r="K110" s="3"/>
      <c r="L110" s="3"/>
      <c r="M110" s="3"/>
      <c r="N110" s="3"/>
      <c r="O110" s="3"/>
      <c r="P110" s="3"/>
      <c r="Q110" s="3"/>
      <c r="R110" s="3">
        <v>2037</v>
      </c>
      <c r="S110" s="3"/>
      <c r="T110" s="3"/>
      <c r="U110" s="3"/>
      <c r="V110" s="13">
        <f t="shared" si="52"/>
        <v>17.176350109939705</v>
      </c>
      <c r="W110" s="12">
        <f>'Country L per 100 km'!T32</f>
        <v>4.3973004039319017</v>
      </c>
      <c r="X110" s="3">
        <f>'Country distance travelled'!T32</f>
        <v>15500</v>
      </c>
      <c r="Z110" s="3">
        <v>2037</v>
      </c>
    </row>
    <row r="111" spans="1:30">
      <c r="A111" s="3">
        <v>2038</v>
      </c>
      <c r="B111" s="3"/>
      <c r="C111" s="3"/>
      <c r="D111" s="3"/>
      <c r="E111" s="3"/>
      <c r="F111" s="3"/>
      <c r="G111" s="3"/>
      <c r="H111" s="3"/>
      <c r="I111" s="3">
        <v>2038</v>
      </c>
      <c r="J111" s="3"/>
      <c r="K111" s="3"/>
      <c r="L111" s="3"/>
      <c r="M111" s="3"/>
      <c r="N111" s="3"/>
      <c r="O111" s="3"/>
      <c r="P111" s="3"/>
      <c r="Q111" s="3"/>
      <c r="R111" s="3">
        <v>2038</v>
      </c>
      <c r="S111" s="3"/>
      <c r="T111" s="3"/>
      <c r="U111" s="3"/>
      <c r="V111" s="13">
        <f t="shared" si="52"/>
        <v>17.176350109939705</v>
      </c>
      <c r="W111" s="12">
        <f>'Country L per 100 km'!T33</f>
        <v>4.3537627761701989</v>
      </c>
      <c r="X111" s="3">
        <f>'Country distance travelled'!T33</f>
        <v>15500</v>
      </c>
      <c r="Z111" s="3">
        <v>2038</v>
      </c>
    </row>
    <row r="112" spans="1:30">
      <c r="A112" s="3">
        <v>2039</v>
      </c>
      <c r="B112" s="3"/>
      <c r="C112" s="3"/>
      <c r="D112" s="3"/>
      <c r="E112" s="3"/>
      <c r="F112" s="3"/>
      <c r="G112" s="3"/>
      <c r="H112" s="3"/>
      <c r="I112" s="3">
        <v>2039</v>
      </c>
      <c r="J112" s="3"/>
      <c r="K112" s="3"/>
      <c r="L112" s="3"/>
      <c r="M112" s="3"/>
      <c r="N112" s="3"/>
      <c r="O112" s="3"/>
      <c r="P112" s="3"/>
      <c r="Q112" s="3"/>
      <c r="R112" s="3">
        <v>2039</v>
      </c>
      <c r="S112" s="3"/>
      <c r="T112" s="3"/>
      <c r="U112" s="3"/>
      <c r="V112" s="13">
        <f t="shared" si="52"/>
        <v>17.176350109939705</v>
      </c>
      <c r="W112" s="12">
        <f>'Country L per 100 km'!T34</f>
        <v>4.3106562140299003</v>
      </c>
      <c r="X112" s="3">
        <f>'Country distance travelled'!T34</f>
        <v>15500</v>
      </c>
      <c r="Z112" s="3">
        <v>2039</v>
      </c>
    </row>
    <row r="113" spans="1:30">
      <c r="A113" s="3">
        <v>2040</v>
      </c>
      <c r="B113" s="3"/>
      <c r="C113" s="3"/>
      <c r="D113" s="3"/>
      <c r="E113" s="3"/>
      <c r="F113" s="3"/>
      <c r="G113" s="3"/>
      <c r="H113" s="3"/>
      <c r="I113" s="3">
        <v>2040</v>
      </c>
      <c r="J113" s="3"/>
      <c r="K113" s="3"/>
      <c r="L113" s="3"/>
      <c r="M113" s="3"/>
      <c r="N113" s="3"/>
      <c r="O113" s="3"/>
      <c r="P113" s="3"/>
      <c r="Q113" s="3"/>
      <c r="R113" s="3">
        <v>2040</v>
      </c>
      <c r="S113" s="3"/>
      <c r="T113" s="3"/>
      <c r="U113" s="3"/>
      <c r="V113" s="13">
        <f t="shared" si="52"/>
        <v>17.176350109939705</v>
      </c>
      <c r="W113" s="12">
        <f>'Country L per 100 km'!T35</f>
        <v>4.2679764495345553</v>
      </c>
      <c r="X113" s="3">
        <f>'Country distance travelled'!T35</f>
        <v>15500</v>
      </c>
      <c r="Z113" s="3">
        <v>2040</v>
      </c>
    </row>
    <row r="121" spans="1:30">
      <c r="Q121" s="87" t="s">
        <v>980</v>
      </c>
      <c r="R121" s="87" t="s">
        <v>980</v>
      </c>
      <c r="S121" s="87" t="s">
        <v>980</v>
      </c>
      <c r="T121" s="87" t="s">
        <v>980</v>
      </c>
      <c r="U121" s="87" t="s">
        <v>980</v>
      </c>
      <c r="W121" s="14" t="s">
        <v>812</v>
      </c>
      <c r="X121" s="14" t="s">
        <v>812</v>
      </c>
      <c r="Y121" s="14" t="s">
        <v>812</v>
      </c>
      <c r="Z121" s="14" t="s">
        <v>812</v>
      </c>
      <c r="AA121" s="14" t="s">
        <v>812</v>
      </c>
      <c r="AB121" s="14" t="s">
        <v>812</v>
      </c>
      <c r="AD121" s="248" t="s">
        <v>952</v>
      </c>
    </row>
    <row r="122" spans="1:30">
      <c r="Q122" s="87" t="s">
        <v>978</v>
      </c>
      <c r="R122" s="87" t="s">
        <v>979</v>
      </c>
      <c r="S122" s="87" t="s">
        <v>916</v>
      </c>
      <c r="T122" s="87" t="s">
        <v>981</v>
      </c>
      <c r="U122" s="87" t="s">
        <v>983</v>
      </c>
      <c r="W122" s="14" t="s">
        <v>725</v>
      </c>
      <c r="X122" s="14" t="s">
        <v>979</v>
      </c>
      <c r="Y122" s="14" t="s">
        <v>916</v>
      </c>
      <c r="Z122" s="14" t="s">
        <v>1290</v>
      </c>
      <c r="AA122" s="14" t="s">
        <v>985</v>
      </c>
      <c r="AB122" s="14" t="s">
        <v>983</v>
      </c>
      <c r="AD122" s="248" t="s">
        <v>1204</v>
      </c>
    </row>
    <row r="123" spans="1:30">
      <c r="P123">
        <v>2012</v>
      </c>
      <c r="Q123" s="3">
        <f>B85</f>
        <v>220023.37320749619</v>
      </c>
      <c r="R123" s="3">
        <f t="shared" ref="R123:U138" si="53">C85</f>
        <v>44004.674641499238</v>
      </c>
      <c r="S123" s="3">
        <f t="shared" si="53"/>
        <v>28603.038516974506</v>
      </c>
      <c r="T123" s="3">
        <f t="shared" si="53"/>
        <v>11035.560896446425</v>
      </c>
      <c r="U123" s="3">
        <f t="shared" si="53"/>
        <v>61572.152262027324</v>
      </c>
      <c r="V123" s="3"/>
      <c r="W123" s="3">
        <f>J85</f>
        <v>194655.82221578571</v>
      </c>
      <c r="X123" s="3">
        <f t="shared" ref="X123:Y138" si="54">K85</f>
        <v>38931.16444315714</v>
      </c>
      <c r="Y123" s="3">
        <f t="shared" si="54"/>
        <v>25305.256888052143</v>
      </c>
      <c r="Z123" s="3">
        <f t="shared" ref="Z123" si="55">M85</f>
        <v>0</v>
      </c>
      <c r="AA123" s="3">
        <f t="shared" ref="AA123" si="56">N85</f>
        <v>13419.646467159091</v>
      </c>
      <c r="AB123" s="3">
        <f t="shared" ref="AB123" si="57">O85</f>
        <v>77656.067798368371</v>
      </c>
      <c r="AD123" s="13">
        <f t="shared" ref="AD123:AD141" si="58">U123/AB123</f>
        <v>0.7928826942654057</v>
      </c>
    </row>
    <row r="124" spans="1:30">
      <c r="P124">
        <v>2013</v>
      </c>
      <c r="Q124" s="3">
        <f t="shared" ref="Q124:U139" si="59">B86</f>
        <v>212552.69581379471</v>
      </c>
      <c r="R124" s="3">
        <f t="shared" si="53"/>
        <v>42510.539162758942</v>
      </c>
      <c r="S124" s="3">
        <f t="shared" si="53"/>
        <v>27631.850455793312</v>
      </c>
      <c r="T124" s="3">
        <f t="shared" si="53"/>
        <v>10689.940235124912</v>
      </c>
      <c r="U124" s="3">
        <f t="shared" si="53"/>
        <v>59452.449383427345</v>
      </c>
      <c r="V124" s="3"/>
      <c r="W124" s="3">
        <f t="shared" ref="W124:X139" si="60">J86</f>
        <v>187267.89072954422</v>
      </c>
      <c r="X124" s="3">
        <f t="shared" si="54"/>
        <v>37453.578145908847</v>
      </c>
      <c r="Y124" s="3">
        <f t="shared" ref="Y124:Y141" si="61">L86</f>
        <v>24344.825794840748</v>
      </c>
      <c r="Z124" s="3">
        <f t="shared" ref="Z124:Z141" si="62">M86</f>
        <v>0</v>
      </c>
      <c r="AA124" s="3">
        <f t="shared" ref="AA124:AA141" si="63">N86</f>
        <v>12879.880204594452</v>
      </c>
      <c r="AB124" s="3">
        <f t="shared" ref="AB124:AB141" si="64">O86</f>
        <v>74678.284145344049</v>
      </c>
      <c r="AD124" s="13">
        <f t="shared" si="58"/>
        <v>0.79611429298130187</v>
      </c>
    </row>
    <row r="125" spans="1:30">
      <c r="P125">
        <v>2014</v>
      </c>
      <c r="Q125" s="3">
        <f t="shared" si="59"/>
        <v>246254.9913137728</v>
      </c>
      <c r="R125" s="3">
        <f t="shared" si="53"/>
        <v>49250.998262754561</v>
      </c>
      <c r="S125" s="3">
        <f t="shared" si="53"/>
        <v>32013.148870790465</v>
      </c>
      <c r="T125" s="3">
        <f t="shared" si="53"/>
        <v>11173.691927379925</v>
      </c>
      <c r="U125" s="3">
        <f t="shared" si="53"/>
        <v>70090.45520616509</v>
      </c>
      <c r="V125" s="3"/>
      <c r="W125" s="3">
        <f t="shared" si="60"/>
        <v>197041.19387656776</v>
      </c>
      <c r="X125" s="3">
        <f t="shared" si="54"/>
        <v>39408.238775313555</v>
      </c>
      <c r="Y125" s="3">
        <f t="shared" si="61"/>
        <v>25615.355203953812</v>
      </c>
      <c r="Z125" s="3">
        <f t="shared" si="62"/>
        <v>0</v>
      </c>
      <c r="AA125" s="3">
        <f t="shared" si="63"/>
        <v>12540.973919806942</v>
      </c>
      <c r="AB125" s="3">
        <f t="shared" si="64"/>
        <v>77564.567899074304</v>
      </c>
      <c r="AD125" s="13">
        <f t="shared" si="58"/>
        <v>0.90364011693284485</v>
      </c>
    </row>
    <row r="126" spans="1:30">
      <c r="P126">
        <v>2015</v>
      </c>
      <c r="Q126" s="3">
        <f t="shared" si="59"/>
        <v>275236.41946580372</v>
      </c>
      <c r="R126" s="3">
        <f t="shared" si="53"/>
        <v>55047.28389316074</v>
      </c>
      <c r="S126" s="3">
        <f t="shared" si="53"/>
        <v>35780.734530554488</v>
      </c>
      <c r="T126" s="3">
        <f t="shared" si="53"/>
        <v>13342.389339933465</v>
      </c>
      <c r="U126" s="3">
        <f t="shared" si="53"/>
        <v>77485.629083781765</v>
      </c>
      <c r="V126" s="3"/>
      <c r="W126" s="3">
        <f t="shared" si="60"/>
        <v>242537.45491552469</v>
      </c>
      <c r="X126" s="3">
        <f t="shared" si="54"/>
        <v>48507.490983104937</v>
      </c>
      <c r="Y126" s="3">
        <f t="shared" si="61"/>
        <v>31529.86913901821</v>
      </c>
      <c r="Z126" s="3">
        <f t="shared" si="62"/>
        <v>0</v>
      </c>
      <c r="AA126" s="3">
        <f t="shared" si="63"/>
        <v>11445.923788854534</v>
      </c>
      <c r="AB126" s="3">
        <f t="shared" si="64"/>
        <v>91483.283910977683</v>
      </c>
      <c r="AD126" s="13">
        <f t="shared" si="58"/>
        <v>0.84699221290725613</v>
      </c>
    </row>
    <row r="127" spans="1:30">
      <c r="P127">
        <v>2016</v>
      </c>
      <c r="Q127" s="3">
        <f t="shared" si="59"/>
        <v>280378.23884013738</v>
      </c>
      <c r="R127" s="3">
        <f t="shared" si="53"/>
        <v>56075.647768027477</v>
      </c>
      <c r="S127" s="3">
        <f t="shared" si="53"/>
        <v>36449.171049217861</v>
      </c>
      <c r="T127" s="3">
        <f t="shared" si="53"/>
        <v>13383.494085371995</v>
      </c>
      <c r="U127" s="3">
        <f t="shared" si="53"/>
        <v>79141.324731873348</v>
      </c>
      <c r="V127" s="3"/>
      <c r="W127" s="3">
        <f t="shared" si="60"/>
        <v>246172.24977743867</v>
      </c>
      <c r="X127" s="3">
        <f t="shared" si="54"/>
        <v>49234.449955487733</v>
      </c>
      <c r="Y127" s="3">
        <f t="shared" si="61"/>
        <v>32002.392471067029</v>
      </c>
      <c r="Z127" s="3">
        <f t="shared" si="62"/>
        <v>0</v>
      </c>
      <c r="AA127" s="3">
        <f t="shared" si="63"/>
        <v>11177.896309865642</v>
      </c>
      <c r="AB127" s="3">
        <f t="shared" si="64"/>
        <v>92414.738736420404</v>
      </c>
      <c r="AD127" s="13">
        <f t="shared" si="58"/>
        <v>0.8563712435263745</v>
      </c>
    </row>
    <row r="128" spans="1:30">
      <c r="P128">
        <v>2017</v>
      </c>
      <c r="Q128" s="3">
        <f t="shared" si="59"/>
        <v>280248.22669781226</v>
      </c>
      <c r="R128" s="3">
        <f t="shared" si="53"/>
        <v>56049.645339562456</v>
      </c>
      <c r="S128" s="3">
        <f t="shared" si="53"/>
        <v>36432.269470715597</v>
      </c>
      <c r="T128" s="3">
        <f t="shared" si="53"/>
        <v>13118.137106882406</v>
      </c>
      <c r="U128" s="3">
        <f t="shared" si="53"/>
        <v>79363.777703395637</v>
      </c>
      <c r="V128" s="3"/>
      <c r="W128" s="3">
        <f t="shared" si="60"/>
        <v>245523.6404683227</v>
      </c>
      <c r="X128" s="3">
        <f t="shared" si="54"/>
        <v>49104.72809366454</v>
      </c>
      <c r="Y128" s="3">
        <f t="shared" si="61"/>
        <v>31918.073260881953</v>
      </c>
      <c r="Z128" s="3">
        <f t="shared" si="62"/>
        <v>0</v>
      </c>
      <c r="AA128" s="3">
        <f t="shared" si="63"/>
        <v>11664.165963172845</v>
      </c>
      <c r="AB128" s="3">
        <f t="shared" si="64"/>
        <v>92686.967317719333</v>
      </c>
      <c r="AD128" s="13">
        <f t="shared" si="58"/>
        <v>0.8562560627466268</v>
      </c>
    </row>
    <row r="129" spans="16:30">
      <c r="P129">
        <v>2018</v>
      </c>
      <c r="Q129" s="3">
        <f t="shared" si="59"/>
        <v>266096.18501142913</v>
      </c>
      <c r="R129" s="3">
        <f t="shared" si="53"/>
        <v>53219.237002285823</v>
      </c>
      <c r="S129" s="3">
        <f t="shared" si="53"/>
        <v>34592.50405148579</v>
      </c>
      <c r="T129" s="3">
        <f t="shared" si="53"/>
        <v>12835.249042145593</v>
      </c>
      <c r="U129" s="3">
        <f t="shared" si="53"/>
        <v>74976.492011626018</v>
      </c>
      <c r="V129" s="3"/>
      <c r="W129" s="3">
        <f t="shared" si="60"/>
        <v>244375</v>
      </c>
      <c r="X129" s="3">
        <f t="shared" si="54"/>
        <v>48875</v>
      </c>
      <c r="Y129" s="3">
        <f t="shared" si="61"/>
        <v>31768.75</v>
      </c>
      <c r="Z129" s="3">
        <f t="shared" si="62"/>
        <v>1230</v>
      </c>
      <c r="AA129" s="3">
        <f t="shared" si="63"/>
        <v>12654.127588868707</v>
      </c>
      <c r="AB129" s="3">
        <f t="shared" si="64"/>
        <v>94527.877588868709</v>
      </c>
      <c r="AD129" s="13">
        <f t="shared" si="58"/>
        <v>0.79316804654942341</v>
      </c>
    </row>
    <row r="130" spans="16:30">
      <c r="P130">
        <v>2019</v>
      </c>
      <c r="Q130" s="3">
        <f t="shared" si="59"/>
        <v>273304.73434876907</v>
      </c>
      <c r="R130" s="3">
        <f t="shared" si="53"/>
        <v>54660.94686975381</v>
      </c>
      <c r="S130" s="3">
        <f t="shared" si="53"/>
        <v>35529.615465339979</v>
      </c>
      <c r="T130" s="3">
        <f t="shared" si="53"/>
        <v>12609.538306459959</v>
      </c>
      <c r="U130" s="3">
        <f t="shared" si="53"/>
        <v>77581.024028633838</v>
      </c>
      <c r="V130" s="3"/>
      <c r="W130" s="3">
        <f t="shared" si="60"/>
        <v>244375</v>
      </c>
      <c r="X130" s="3">
        <f t="shared" si="54"/>
        <v>48875</v>
      </c>
      <c r="Y130" s="3">
        <f t="shared" si="61"/>
        <v>31768.75</v>
      </c>
      <c r="Z130" s="3">
        <f t="shared" si="62"/>
        <v>1230</v>
      </c>
      <c r="AA130" s="3">
        <f t="shared" si="63"/>
        <v>12098.58057175608</v>
      </c>
      <c r="AB130" s="3">
        <f t="shared" si="64"/>
        <v>93972.330571756087</v>
      </c>
      <c r="AD130" s="13">
        <f t="shared" si="58"/>
        <v>0.82557305492592781</v>
      </c>
    </row>
    <row r="131" spans="16:30">
      <c r="P131">
        <v>2020</v>
      </c>
      <c r="Q131" s="3">
        <f t="shared" si="59"/>
        <v>272335.22415491357</v>
      </c>
      <c r="R131" s="3">
        <f t="shared" si="53"/>
        <v>54467.044830982712</v>
      </c>
      <c r="S131" s="3">
        <f t="shared" si="53"/>
        <v>35403.579140138761</v>
      </c>
      <c r="T131" s="3">
        <f t="shared" si="53"/>
        <v>12387.796744729303</v>
      </c>
      <c r="U131" s="3">
        <f t="shared" si="53"/>
        <v>77482.827226392168</v>
      </c>
      <c r="V131" s="3"/>
      <c r="W131" s="3">
        <f t="shared" si="60"/>
        <v>244375</v>
      </c>
      <c r="X131" s="3">
        <f t="shared" si="54"/>
        <v>48875</v>
      </c>
      <c r="Y131" s="3">
        <f t="shared" si="61"/>
        <v>31768.75</v>
      </c>
      <c r="Z131" s="3">
        <f t="shared" si="62"/>
        <v>1230</v>
      </c>
      <c r="AA131" s="3">
        <f t="shared" si="63"/>
        <v>11991.936922152738</v>
      </c>
      <c r="AB131" s="3">
        <f t="shared" si="64"/>
        <v>93865.68692215273</v>
      </c>
      <c r="AD131" s="13">
        <f t="shared" si="58"/>
        <v>0.82546487185090711</v>
      </c>
    </row>
    <row r="132" spans="16:30">
      <c r="P132">
        <v>2021</v>
      </c>
      <c r="Q132" s="3">
        <f t="shared" si="59"/>
        <v>265056.70828620991</v>
      </c>
      <c r="R132" s="3">
        <f t="shared" si="53"/>
        <v>53011.341657241981</v>
      </c>
      <c r="S132" s="3">
        <f t="shared" si="53"/>
        <v>34457.372077207292</v>
      </c>
      <c r="T132" s="3">
        <f t="shared" si="53"/>
        <v>12169.954558138619</v>
      </c>
      <c r="U132" s="3">
        <f t="shared" si="53"/>
        <v>75298.759176310647</v>
      </c>
      <c r="V132" s="3"/>
      <c r="W132" s="3">
        <f t="shared" si="60"/>
        <v>244375</v>
      </c>
      <c r="X132" s="3">
        <f t="shared" si="54"/>
        <v>48875</v>
      </c>
      <c r="Y132" s="3">
        <f t="shared" si="61"/>
        <v>31768.75</v>
      </c>
      <c r="Z132" s="3">
        <f t="shared" si="62"/>
        <v>1230</v>
      </c>
      <c r="AA132" s="3">
        <f t="shared" si="63"/>
        <v>12256.631132225881</v>
      </c>
      <c r="AB132" s="3">
        <f t="shared" si="64"/>
        <v>94130.381132225884</v>
      </c>
      <c r="AD132" s="13">
        <f t="shared" si="58"/>
        <v>0.79994108459560709</v>
      </c>
    </row>
    <row r="133" spans="16:30">
      <c r="P133">
        <v>2022</v>
      </c>
      <c r="Q133" s="3">
        <f t="shared" si="59"/>
        <v>270669.3380973746</v>
      </c>
      <c r="R133" s="3">
        <f t="shared" si="53"/>
        <v>54133.867619474921</v>
      </c>
      <c r="S133" s="3">
        <f t="shared" si="53"/>
        <v>35187.013952658701</v>
      </c>
      <c r="T133" s="3">
        <f t="shared" si="53"/>
        <v>11955.943175300734</v>
      </c>
      <c r="U133" s="3">
        <f t="shared" si="53"/>
        <v>77364.938396832891</v>
      </c>
      <c r="V133" s="3"/>
      <c r="W133" s="3">
        <f t="shared" si="60"/>
        <v>244375</v>
      </c>
      <c r="X133" s="3">
        <f t="shared" si="54"/>
        <v>48875</v>
      </c>
      <c r="Y133" s="3">
        <f t="shared" si="61"/>
        <v>31768.75</v>
      </c>
      <c r="Z133" s="3">
        <f t="shared" si="62"/>
        <v>1230</v>
      </c>
      <c r="AA133" s="3">
        <f t="shared" si="63"/>
        <v>12417.938956827522</v>
      </c>
      <c r="AB133" s="3">
        <f t="shared" si="64"/>
        <v>94291.688956827522</v>
      </c>
      <c r="AD133" s="13">
        <f t="shared" si="58"/>
        <v>0.82048523313921418</v>
      </c>
    </row>
    <row r="134" spans="16:30">
      <c r="P134">
        <v>2023</v>
      </c>
      <c r="Q134" s="3">
        <f t="shared" si="59"/>
        <v>268650.23390004929</v>
      </c>
      <c r="R134" s="3">
        <f t="shared" si="53"/>
        <v>53730.046780009856</v>
      </c>
      <c r="S134" s="3">
        <f t="shared" si="53"/>
        <v>34924.530407006408</v>
      </c>
      <c r="T134" s="3">
        <f t="shared" si="53"/>
        <v>11745.695230671707</v>
      </c>
      <c r="U134" s="3">
        <f t="shared" si="53"/>
        <v>76908.881956344558</v>
      </c>
      <c r="V134" s="3"/>
      <c r="W134" s="3">
        <f t="shared" si="60"/>
        <v>244375</v>
      </c>
      <c r="X134" s="3">
        <f t="shared" si="54"/>
        <v>48875</v>
      </c>
      <c r="Y134" s="3">
        <f t="shared" si="61"/>
        <v>31768.75</v>
      </c>
      <c r="Z134" s="3">
        <f t="shared" si="62"/>
        <v>1230</v>
      </c>
      <c r="AA134" s="3">
        <f t="shared" si="63"/>
        <v>12423.772113911315</v>
      </c>
      <c r="AB134" s="3">
        <f t="shared" si="64"/>
        <v>94297.522113911313</v>
      </c>
      <c r="AD134" s="13">
        <f t="shared" si="58"/>
        <v>0.81559812211649318</v>
      </c>
    </row>
    <row r="135" spans="16:30">
      <c r="P135">
        <v>2024</v>
      </c>
      <c r="Q135" s="3">
        <f t="shared" si="59"/>
        <v>258061.0526895799</v>
      </c>
      <c r="R135" s="3">
        <f t="shared" si="53"/>
        <v>51612.210537915977</v>
      </c>
      <c r="S135" s="3">
        <f t="shared" si="53"/>
        <v>33547.93684964539</v>
      </c>
      <c r="T135" s="3">
        <f t="shared" si="53"/>
        <v>11539.144543345814</v>
      </c>
      <c r="U135" s="3">
        <f t="shared" si="53"/>
        <v>73621.002844215545</v>
      </c>
      <c r="V135" s="3"/>
      <c r="W135" s="3">
        <f t="shared" si="60"/>
        <v>244375</v>
      </c>
      <c r="X135" s="3">
        <f t="shared" si="54"/>
        <v>48875</v>
      </c>
      <c r="Y135" s="3">
        <f t="shared" si="61"/>
        <v>31768.75</v>
      </c>
      <c r="Z135" s="3">
        <f t="shared" si="62"/>
        <v>1230</v>
      </c>
      <c r="AA135" s="3">
        <f t="shared" si="63"/>
        <v>12334.475980990768</v>
      </c>
      <c r="AB135" s="3">
        <f t="shared" si="64"/>
        <v>94208.22598099077</v>
      </c>
      <c r="AD135" s="13">
        <f t="shared" si="58"/>
        <v>0.7814710666462471</v>
      </c>
    </row>
    <row r="136" spans="16:30">
      <c r="P136">
        <v>2025</v>
      </c>
      <c r="Q136" s="3">
        <f t="shared" si="59"/>
        <v>249087.62836052687</v>
      </c>
      <c r="R136" s="3">
        <f t="shared" si="53"/>
        <v>49817.525672105374</v>
      </c>
      <c r="S136" s="3">
        <f t="shared" si="53"/>
        <v>32381.391686868494</v>
      </c>
      <c r="T136" s="3">
        <f t="shared" si="53"/>
        <v>11336.226096223412</v>
      </c>
      <c r="U136" s="3">
        <f t="shared" si="53"/>
        <v>70862.69126275045</v>
      </c>
      <c r="V136" s="3"/>
      <c r="W136" s="3">
        <f t="shared" si="60"/>
        <v>244375</v>
      </c>
      <c r="X136" s="3">
        <f t="shared" si="54"/>
        <v>48875</v>
      </c>
      <c r="Y136" s="3">
        <f t="shared" si="61"/>
        <v>31768.75</v>
      </c>
      <c r="Z136" s="3">
        <f t="shared" si="62"/>
        <v>1230</v>
      </c>
      <c r="AA136" s="3">
        <f t="shared" si="63"/>
        <v>12386.998876415246</v>
      </c>
      <c r="AB136" s="3">
        <f t="shared" si="64"/>
        <v>94260.748876415251</v>
      </c>
      <c r="AD136" s="13">
        <f t="shared" si="58"/>
        <v>0.75177305620240864</v>
      </c>
    </row>
    <row r="137" spans="16:30">
      <c r="P137">
        <v>2026</v>
      </c>
      <c r="Q137" s="3">
        <f t="shared" si="59"/>
        <v>244360.13376614882</v>
      </c>
      <c r="R137" s="3">
        <f t="shared" si="53"/>
        <v>48872.026753229766</v>
      </c>
      <c r="S137" s="3">
        <f t="shared" si="53"/>
        <v>31766.81738959935</v>
      </c>
      <c r="T137" s="3">
        <f t="shared" si="53"/>
        <v>11136.876015545151</v>
      </c>
      <c r="U137" s="3">
        <f t="shared" si="53"/>
        <v>69501.968127283966</v>
      </c>
      <c r="V137" s="3"/>
      <c r="W137" s="3">
        <f t="shared" si="60"/>
        <v>244375</v>
      </c>
      <c r="X137" s="3">
        <f t="shared" si="54"/>
        <v>48875</v>
      </c>
      <c r="Y137" s="3">
        <f t="shared" si="61"/>
        <v>31768.75</v>
      </c>
      <c r="Z137" s="3">
        <f t="shared" si="62"/>
        <v>1230</v>
      </c>
      <c r="AA137" s="3">
        <f t="shared" si="63"/>
        <v>12568.277533244485</v>
      </c>
      <c r="AB137" s="3">
        <f t="shared" si="64"/>
        <v>94442.027533244487</v>
      </c>
      <c r="AD137" s="13">
        <f t="shared" si="58"/>
        <v>0.73592202478730795</v>
      </c>
    </row>
    <row r="138" spans="16:30">
      <c r="P138">
        <v>2027</v>
      </c>
      <c r="Q138" s="3">
        <f t="shared" si="59"/>
        <v>239616.53990233719</v>
      </c>
      <c r="R138" s="3">
        <f t="shared" si="53"/>
        <v>47923.307980467434</v>
      </c>
      <c r="S138" s="3">
        <f t="shared" si="53"/>
        <v>31150.150187303836</v>
      </c>
      <c r="T138" s="3">
        <f t="shared" si="53"/>
        <v>10941.031550786076</v>
      </c>
      <c r="U138" s="3">
        <f t="shared" si="53"/>
        <v>68132.426616985191</v>
      </c>
      <c r="V138" s="3"/>
      <c r="W138" s="3">
        <f t="shared" si="60"/>
        <v>244375</v>
      </c>
      <c r="X138" s="3">
        <f t="shared" si="54"/>
        <v>48875</v>
      </c>
      <c r="Y138" s="3">
        <f t="shared" si="61"/>
        <v>31768.75</v>
      </c>
      <c r="Z138" s="3">
        <f t="shared" si="62"/>
        <v>1230</v>
      </c>
      <c r="AA138" s="3">
        <f t="shared" si="63"/>
        <v>12598.922128891838</v>
      </c>
      <c r="AB138" s="3">
        <f t="shared" si="64"/>
        <v>94472.672128891834</v>
      </c>
      <c r="AD138" s="13">
        <f t="shared" si="58"/>
        <v>0.7211866149401398</v>
      </c>
    </row>
    <row r="139" spans="16:30">
      <c r="P139">
        <v>2028</v>
      </c>
      <c r="Q139" s="3">
        <f t="shared" si="59"/>
        <v>234151.75557950462</v>
      </c>
      <c r="R139" s="3">
        <f t="shared" si="59"/>
        <v>46830.351115900921</v>
      </c>
      <c r="S139" s="3">
        <f t="shared" si="59"/>
        <v>30439.728225335602</v>
      </c>
      <c r="T139" s="3">
        <f t="shared" si="59"/>
        <v>10748.631054903302</v>
      </c>
      <c r="U139" s="3">
        <f t="shared" si="59"/>
        <v>66521.448286333223</v>
      </c>
      <c r="V139" s="3"/>
      <c r="W139" s="3">
        <f t="shared" si="60"/>
        <v>244375</v>
      </c>
      <c r="X139" s="3">
        <f t="shared" si="60"/>
        <v>48875</v>
      </c>
      <c r="Y139" s="3">
        <f t="shared" si="61"/>
        <v>31768.75</v>
      </c>
      <c r="Z139" s="3">
        <f t="shared" si="62"/>
        <v>1230</v>
      </c>
      <c r="AA139" s="3">
        <f t="shared" si="63"/>
        <v>12571.379731692898</v>
      </c>
      <c r="AB139" s="3">
        <f t="shared" si="64"/>
        <v>94445.129731692898</v>
      </c>
      <c r="AD139" s="13">
        <f t="shared" si="58"/>
        <v>0.70433963588501125</v>
      </c>
    </row>
    <row r="140" spans="16:30">
      <c r="P140">
        <v>2029</v>
      </c>
      <c r="Q140" s="3">
        <f t="shared" ref="Q140:U141" si="65">B102</f>
        <v>229376.80752608649</v>
      </c>
      <c r="R140" s="3">
        <f t="shared" si="65"/>
        <v>45875.361505217297</v>
      </c>
      <c r="S140" s="3">
        <f t="shared" si="65"/>
        <v>29818.984978391243</v>
      </c>
      <c r="T140" s="3">
        <f t="shared" si="65"/>
        <v>10559.613964931033</v>
      </c>
      <c r="U140" s="3">
        <f t="shared" si="65"/>
        <v>65134.732518677498</v>
      </c>
      <c r="V140" s="3"/>
      <c r="W140" s="3">
        <f t="shared" ref="W140:X141" si="66">J102</f>
        <v>244375</v>
      </c>
      <c r="X140" s="3">
        <f t="shared" si="66"/>
        <v>48875</v>
      </c>
      <c r="Y140" s="3">
        <f t="shared" si="61"/>
        <v>31768.75</v>
      </c>
      <c r="Z140" s="3">
        <f t="shared" si="62"/>
        <v>1230</v>
      </c>
      <c r="AA140" s="3">
        <f t="shared" si="63"/>
        <v>12577.353506758318</v>
      </c>
      <c r="AB140" s="3">
        <f t="shared" si="64"/>
        <v>94451.103506758314</v>
      </c>
      <c r="AD140" s="13">
        <f t="shared" si="58"/>
        <v>0.68961325067014034</v>
      </c>
    </row>
    <row r="141" spans="16:30">
      <c r="P141">
        <v>2030</v>
      </c>
      <c r="Q141" s="3">
        <f t="shared" si="65"/>
        <v>223881.22038411011</v>
      </c>
      <c r="R141" s="3">
        <f t="shared" si="65"/>
        <v>44776.244076822026</v>
      </c>
      <c r="S141" s="3">
        <f t="shared" si="65"/>
        <v>29104.558649934315</v>
      </c>
      <c r="T141" s="3">
        <f t="shared" si="65"/>
        <v>10373.920782916819</v>
      </c>
      <c r="U141" s="3">
        <f t="shared" si="65"/>
        <v>63506.881943839529</v>
      </c>
      <c r="V141" s="3"/>
      <c r="W141" s="3">
        <f t="shared" si="66"/>
        <v>244375</v>
      </c>
      <c r="X141" s="3">
        <f t="shared" si="66"/>
        <v>48875</v>
      </c>
      <c r="Y141" s="3">
        <f t="shared" si="61"/>
        <v>31768.75</v>
      </c>
      <c r="Z141" s="3">
        <f t="shared" si="62"/>
        <v>1230</v>
      </c>
      <c r="AA141" s="3">
        <f t="shared" si="63"/>
        <v>12551.57814173065</v>
      </c>
      <c r="AB141" s="3">
        <f t="shared" si="64"/>
        <v>94425.328141730657</v>
      </c>
      <c r="AD141" s="13">
        <f t="shared" si="58"/>
        <v>0.67256194067461306</v>
      </c>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3" sqref="A3:G20"/>
    </sheetView>
  </sheetViews>
  <sheetFormatPr defaultRowHeight="15"/>
  <cols>
    <col min="1" max="1" width="18.140625" customWidth="1"/>
    <col min="2" max="7" width="13.5703125" customWidth="1"/>
  </cols>
  <sheetData>
    <row r="1" spans="1:7">
      <c r="A1" t="s">
        <v>148</v>
      </c>
    </row>
    <row r="2" spans="1:7" ht="15.75" thickBot="1"/>
    <row r="3" spans="1:7">
      <c r="A3" s="44" t="s">
        <v>149</v>
      </c>
      <c r="B3" s="44"/>
    </row>
    <row r="4" spans="1:7">
      <c r="A4" s="41" t="s">
        <v>150</v>
      </c>
      <c r="B4" s="41">
        <v>0.99951757368418093</v>
      </c>
    </row>
    <row r="5" spans="1:7">
      <c r="A5" s="41" t="s">
        <v>151</v>
      </c>
      <c r="B5" s="41">
        <v>0.99903538010351201</v>
      </c>
    </row>
    <row r="6" spans="1:7">
      <c r="A6" s="41" t="s">
        <v>152</v>
      </c>
      <c r="B6" s="41">
        <v>0.99831191518114593</v>
      </c>
    </row>
    <row r="7" spans="1:7">
      <c r="A7" s="41" t="s">
        <v>153</v>
      </c>
      <c r="B7" s="41">
        <v>4.9242906025727159E-2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3</v>
      </c>
      <c r="C12" s="41">
        <v>10.045510074244586</v>
      </c>
      <c r="D12" s="41">
        <v>3.3485033580815284</v>
      </c>
      <c r="E12" s="41">
        <v>1380.9036889256276</v>
      </c>
      <c r="F12" s="41">
        <v>1.7441105631507446E-6</v>
      </c>
    </row>
    <row r="13" spans="1:7">
      <c r="A13" s="41" t="s">
        <v>157</v>
      </c>
      <c r="B13" s="41">
        <v>4</v>
      </c>
      <c r="C13" s="41">
        <v>9.699455175434385E-3</v>
      </c>
      <c r="D13" s="41">
        <v>2.4248637938585962E-3</v>
      </c>
      <c r="E13" s="41"/>
      <c r="F13" s="41"/>
    </row>
    <row r="14" spans="1:7" ht="15.75" thickBot="1">
      <c r="A14" s="42" t="s">
        <v>158</v>
      </c>
      <c r="B14" s="42">
        <v>7</v>
      </c>
      <c r="C14" s="42">
        <v>10.05520952942002</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-7.2616479422551432</v>
      </c>
      <c r="C17" s="41">
        <v>7.6390362182352609E-2</v>
      </c>
      <c r="D17" s="41">
        <v>-95.059739668739255</v>
      </c>
      <c r="E17" s="41">
        <v>7.3425080365654088E-8</v>
      </c>
      <c r="F17" s="41">
        <v>-7.4737415894206229</v>
      </c>
      <c r="G17" s="41">
        <v>-7.0495542950896635</v>
      </c>
    </row>
    <row r="18" spans="1:7">
      <c r="A18" s="41" t="s">
        <v>1244</v>
      </c>
      <c r="B18" s="41">
        <v>0.55863982514611854</v>
      </c>
      <c r="C18" s="41">
        <v>2.0146987698408125E-2</v>
      </c>
      <c r="D18" s="41">
        <v>27.728205998272308</v>
      </c>
      <c r="E18" s="41">
        <v>1.0062543849195256E-5</v>
      </c>
      <c r="F18" s="41">
        <v>0.50270281976639319</v>
      </c>
      <c r="G18" s="41">
        <v>0.61457683052584389</v>
      </c>
    </row>
    <row r="19" spans="1:7">
      <c r="A19" s="41" t="s">
        <v>1342</v>
      </c>
      <c r="B19" s="41">
        <v>0.30887778388776899</v>
      </c>
      <c r="C19" s="41">
        <v>7.5214083613344904E-2</v>
      </c>
      <c r="D19" s="41">
        <v>4.1066482372586686</v>
      </c>
      <c r="E19" s="41">
        <v>1.4772535786275938E-2</v>
      </c>
      <c r="F19" s="41">
        <v>0.10005000959755997</v>
      </c>
      <c r="G19" s="41">
        <v>0.51770555817797803</v>
      </c>
    </row>
    <row r="20" spans="1:7" ht="15.75" thickBot="1">
      <c r="A20" s="42" t="s">
        <v>1243</v>
      </c>
      <c r="B20" s="42">
        <v>0.34923610720878179</v>
      </c>
      <c r="C20" s="42">
        <v>2.5594398319344104E-2</v>
      </c>
      <c r="D20" s="42">
        <v>13.645021182030721</v>
      </c>
      <c r="E20" s="42">
        <v>1.6705587438991404E-4</v>
      </c>
      <c r="F20" s="42">
        <v>0.2781746652745562</v>
      </c>
      <c r="G20" s="42">
        <v>0.42029754914300738</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12" width="12.5703125" customWidth="1"/>
    <col min="22" max="22" width="5.5703125" customWidth="1"/>
  </cols>
  <sheetData>
    <row r="1" spans="1:36">
      <c r="P1" s="14"/>
      <c r="R1" s="236" t="s">
        <v>1318</v>
      </c>
      <c r="S1" s="236"/>
      <c r="T1" s="236"/>
      <c r="U1" s="236"/>
      <c r="W1" s="236" t="s">
        <v>1318</v>
      </c>
      <c r="X1" s="236"/>
      <c r="Y1" s="236"/>
      <c r="Z1" s="236"/>
    </row>
    <row r="2" spans="1:36">
      <c r="B2" t="s">
        <v>546</v>
      </c>
      <c r="C2" t="s">
        <v>282</v>
      </c>
      <c r="L2" t="s">
        <v>282</v>
      </c>
      <c r="S2" t="s">
        <v>1172</v>
      </c>
      <c r="X2" t="s">
        <v>1184</v>
      </c>
      <c r="AB2" t="s">
        <v>960</v>
      </c>
    </row>
    <row r="3" spans="1:36">
      <c r="B3" t="s">
        <v>1299</v>
      </c>
      <c r="C3" s="14"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1316</v>
      </c>
      <c r="AE3" t="s">
        <v>1296</v>
      </c>
      <c r="AF3" t="s">
        <v>943</v>
      </c>
      <c r="AH3" t="s">
        <v>1244</v>
      </c>
      <c r="AI3" t="s">
        <v>1342</v>
      </c>
      <c r="AJ3" t="s">
        <v>1243</v>
      </c>
    </row>
    <row r="4" spans="1:36">
      <c r="A4">
        <v>2009</v>
      </c>
      <c r="B4" s="13">
        <f>'EV %sales'!U67</f>
        <v>0</v>
      </c>
      <c r="C4" s="20"/>
      <c r="D4" s="13"/>
      <c r="E4" s="13"/>
      <c r="F4" s="84"/>
      <c r="G4" s="84"/>
      <c r="H4" s="84"/>
      <c r="I4" s="13"/>
      <c r="J4" s="13"/>
      <c r="K4" s="13"/>
      <c r="L4" s="13"/>
      <c r="M4" s="13"/>
      <c r="N4" s="13"/>
      <c r="O4" s="13"/>
      <c r="P4" s="13"/>
      <c r="R4">
        <v>2009</v>
      </c>
      <c r="W4">
        <v>2009</v>
      </c>
      <c r="AB4" s="13"/>
      <c r="AC4" s="13"/>
    </row>
    <row r="5" spans="1:36">
      <c r="A5">
        <v>2010</v>
      </c>
      <c r="B5" s="13">
        <f>'EV %sales'!U68</f>
        <v>4.1470412714895974E-2</v>
      </c>
      <c r="C5" s="20"/>
      <c r="D5" s="13"/>
      <c r="E5" s="13"/>
      <c r="F5" s="230"/>
      <c r="G5" s="230"/>
      <c r="H5" s="230"/>
      <c r="I5" s="13"/>
      <c r="J5" s="13"/>
      <c r="K5" s="13"/>
      <c r="L5" s="13"/>
      <c r="M5" s="13"/>
      <c r="N5" s="13"/>
      <c r="O5" s="13"/>
      <c r="P5" s="13"/>
      <c r="R5">
        <v>2010</v>
      </c>
      <c r="W5">
        <v>2010</v>
      </c>
      <c r="AB5" s="13">
        <f>65*EXP(AF5)/(1+EXP(AF5))</f>
        <v>7.9671184386999661E-2</v>
      </c>
      <c r="AC5" s="13"/>
      <c r="AD5" s="33">
        <f t="shared" ref="AD5:AD13" si="0">LN(B5/(65-B5))</f>
        <v>-7.3565241125753227</v>
      </c>
      <c r="AE5" s="33">
        <f t="shared" ref="AE5:AE50" si="1">AE$56+AE$57*AH5+AE$58*AI5+AE$59*AJ5</f>
        <v>-6.7030081171090243</v>
      </c>
      <c r="AF5" s="33">
        <f t="shared" ref="AF5:AF50" si="2">AE$56+AE$57*AH5</f>
        <v>-6.7030081171090243</v>
      </c>
      <c r="AH5">
        <v>1</v>
      </c>
      <c r="AI5">
        <v>0</v>
      </c>
      <c r="AJ5">
        <v>0</v>
      </c>
    </row>
    <row r="6" spans="1:36">
      <c r="A6">
        <v>2011</v>
      </c>
      <c r="B6" s="13">
        <f>'EV %sales'!U69</f>
        <v>0.13294506868320349</v>
      </c>
      <c r="C6" s="20"/>
      <c r="D6" s="13"/>
      <c r="E6" s="13"/>
      <c r="F6" s="230"/>
      <c r="G6" s="230"/>
      <c r="H6" s="230"/>
      <c r="I6" s="13"/>
      <c r="J6" s="13"/>
      <c r="K6" s="13"/>
      <c r="L6" s="13"/>
      <c r="M6" s="13"/>
      <c r="N6" s="13"/>
      <c r="O6" s="13"/>
      <c r="P6" s="13"/>
      <c r="R6">
        <v>2011</v>
      </c>
      <c r="W6">
        <v>2011</v>
      </c>
      <c r="AB6" s="13">
        <f>65*EXP(AF6)/(1+EXP(AF6))</f>
        <v>0.1391609287823368</v>
      </c>
      <c r="AC6" s="13"/>
      <c r="AD6" s="33">
        <f t="shared" si="0"/>
        <v>-6.1901591201413968</v>
      </c>
      <c r="AE6" s="33">
        <f t="shared" si="1"/>
        <v>-6.1443682919629063</v>
      </c>
      <c r="AF6" s="33">
        <f t="shared" si="2"/>
        <v>-6.1443682919629063</v>
      </c>
      <c r="AH6">
        <v>2</v>
      </c>
      <c r="AI6">
        <v>0</v>
      </c>
      <c r="AJ6">
        <v>0</v>
      </c>
    </row>
    <row r="7" spans="1:36">
      <c r="A7">
        <v>2012</v>
      </c>
      <c r="B7" s="13">
        <f>'EV %sales'!U70</f>
        <v>0.25655226092292954</v>
      </c>
      <c r="C7" s="13">
        <f t="shared" ref="C7:C12" si="3">AB7</f>
        <v>0.2429049181160419</v>
      </c>
      <c r="D7" s="84">
        <f>65*EXP(E7)/(1+EXP(E7))</f>
        <v>0.2429049181160419</v>
      </c>
      <c r="E7" s="84">
        <f>J7-SUM(F7:F$7)</f>
        <v>-5.5857284668167875</v>
      </c>
      <c r="F7" s="13">
        <f>I7*G7</f>
        <v>0</v>
      </c>
      <c r="G7" s="13">
        <f>IF(H7&lt;0,0,H7)</f>
        <v>1</v>
      </c>
      <c r="H7" s="13">
        <v>1</v>
      </c>
      <c r="I7" s="13">
        <v>0</v>
      </c>
      <c r="J7" s="13">
        <f>LN(L7/(65-L7))</f>
        <v>-5.5857284668167875</v>
      </c>
      <c r="K7" s="13"/>
      <c r="L7" s="84">
        <f t="shared" ref="L7:L12" si="4">M7</f>
        <v>0.2429049181160419</v>
      </c>
      <c r="M7" s="13">
        <f t="shared" ref="M7:M50" si="5">LOOKUP(ROUND(N7,0),A$4:A$50,AB$4:AB$50)</f>
        <v>0.2429049181160419</v>
      </c>
      <c r="N7" s="13">
        <f t="shared" ref="N7:N50" si="6">A7-(O7-O$11)</f>
        <v>2011.6368918027454</v>
      </c>
      <c r="O7" s="13">
        <f t="shared" ref="O7:O50" si="7">AA$56+AA$57*P7+AA$65*1</f>
        <v>2016.3122978428701</v>
      </c>
      <c r="P7" s="13">
        <f>1/Switzerland!R84</f>
        <v>1.14252002782756</v>
      </c>
      <c r="R7">
        <v>2012</v>
      </c>
      <c r="S7" s="13">
        <v>0.2429049181160419</v>
      </c>
      <c r="T7" s="13">
        <v>0.2429049181160419</v>
      </c>
      <c r="U7" s="13">
        <v>0.2429049181160419</v>
      </c>
      <c r="W7">
        <v>2012</v>
      </c>
      <c r="X7" s="13">
        <v>0.2429049181160419</v>
      </c>
      <c r="Y7" s="13">
        <f>T7</f>
        <v>0.2429049181160419</v>
      </c>
      <c r="Z7" s="13">
        <v>0.2429049181160419</v>
      </c>
      <c r="AB7" s="13">
        <f>65*EXP(AF7)/(1+EXP(AF7))</f>
        <v>0.2429049181160419</v>
      </c>
      <c r="AC7" s="13"/>
      <c r="AD7" s="33">
        <f t="shared" si="0"/>
        <v>-5.5308553910769254</v>
      </c>
      <c r="AE7" s="33">
        <f t="shared" si="1"/>
        <v>-5.5857284668167875</v>
      </c>
      <c r="AF7" s="33">
        <f t="shared" si="2"/>
        <v>-5.5857284668167875</v>
      </c>
      <c r="AH7" s="33">
        <v>3</v>
      </c>
      <c r="AI7" s="33">
        <v>0</v>
      </c>
      <c r="AJ7">
        <v>0</v>
      </c>
    </row>
    <row r="8" spans="1:36">
      <c r="A8">
        <v>2013</v>
      </c>
      <c r="B8" s="13">
        <f>'EV %sales'!U71</f>
        <v>0.43690676507084714</v>
      </c>
      <c r="C8" s="13">
        <f t="shared" si="3"/>
        <v>0.42348472348697969</v>
      </c>
      <c r="D8" s="84">
        <f t="shared" ref="D8:D49" si="8">65*EXP(E8)/(1+EXP(E8))</f>
        <v>0.42348472348697969</v>
      </c>
      <c r="E8" s="84">
        <f>J8-SUM(F$7:F8)</f>
        <v>-5.0270886416706695</v>
      </c>
      <c r="F8" s="13">
        <f t="shared" ref="F8:F50" si="9">I8*G8</f>
        <v>0</v>
      </c>
      <c r="G8" s="13">
        <f t="shared" ref="G8:G50" si="10">IF(H8&lt;0,0,H8)</f>
        <v>1</v>
      </c>
      <c r="H8" s="13">
        <v>1</v>
      </c>
      <c r="I8" s="13">
        <v>0</v>
      </c>
      <c r="J8" s="13">
        <f t="shared" ref="J8:J47" si="11">LN(L8/(65-L8))</f>
        <v>-5.0270886416706695</v>
      </c>
      <c r="K8" s="13"/>
      <c r="L8" s="84">
        <f t="shared" si="4"/>
        <v>0.42348472348697969</v>
      </c>
      <c r="M8" s="13">
        <f t="shared" si="5"/>
        <v>0.42348472348697969</v>
      </c>
      <c r="N8" s="13">
        <f t="shared" si="6"/>
        <v>2012.9448622222717</v>
      </c>
      <c r="O8" s="13">
        <f t="shared" si="7"/>
        <v>2016.0043274233437</v>
      </c>
      <c r="P8" s="13">
        <f>1/Switzerland!R85</f>
        <v>1.1139616860324417</v>
      </c>
      <c r="R8">
        <v>2013</v>
      </c>
      <c r="S8" s="13">
        <v>0.42348472348697969</v>
      </c>
      <c r="T8" s="13">
        <v>0.42348472348697969</v>
      </c>
      <c r="U8" s="13">
        <v>0.42348472348697969</v>
      </c>
      <c r="W8">
        <v>2013</v>
      </c>
      <c r="X8" s="13">
        <v>0.42348472348697969</v>
      </c>
      <c r="Y8" s="13">
        <f t="shared" ref="Y8:Y45" si="12">T8</f>
        <v>0.42348472348697969</v>
      </c>
      <c r="Z8" s="13">
        <v>0.42348472348697969</v>
      </c>
      <c r="AB8" s="13">
        <f>65*EXP(AF8)/(1+EXP(AF8))</f>
        <v>0.42348472348697969</v>
      </c>
      <c r="AC8" s="13"/>
      <c r="AD8" s="33">
        <f t="shared" si="0"/>
        <v>-4.9956783942647824</v>
      </c>
      <c r="AE8" s="33">
        <f t="shared" si="1"/>
        <v>-5.0270886416706695</v>
      </c>
      <c r="AF8" s="33">
        <f t="shared" si="2"/>
        <v>-5.0270886416706695</v>
      </c>
      <c r="AH8" s="33">
        <v>4</v>
      </c>
      <c r="AI8" s="33">
        <v>0</v>
      </c>
      <c r="AJ8">
        <v>0</v>
      </c>
    </row>
    <row r="9" spans="1:36">
      <c r="A9">
        <v>2014</v>
      </c>
      <c r="B9" s="13">
        <f>'EV %sales'!U72</f>
        <v>0.70521908497078434</v>
      </c>
      <c r="C9" s="13">
        <f t="shared" si="3"/>
        <v>0.73678333887473513</v>
      </c>
      <c r="D9" s="84">
        <f t="shared" si="8"/>
        <v>0.42348472348697969</v>
      </c>
      <c r="E9" s="84">
        <f>J9-SUM(F$7:F9)</f>
        <v>-5.0270886416706695</v>
      </c>
      <c r="F9" s="13">
        <f t="shared" si="9"/>
        <v>0</v>
      </c>
      <c r="G9" s="13">
        <f t="shared" si="10"/>
        <v>1</v>
      </c>
      <c r="H9" s="13">
        <v>1</v>
      </c>
      <c r="I9" s="13">
        <v>0</v>
      </c>
      <c r="J9" s="13">
        <f t="shared" si="11"/>
        <v>-5.0270886416706695</v>
      </c>
      <c r="K9" s="13"/>
      <c r="L9" s="84">
        <f t="shared" si="4"/>
        <v>0.42348472348697969</v>
      </c>
      <c r="M9" s="13">
        <f t="shared" si="5"/>
        <v>0.42348472348697969</v>
      </c>
      <c r="N9" s="13">
        <f t="shared" si="6"/>
        <v>2012.9534618729083</v>
      </c>
      <c r="O9" s="13">
        <f t="shared" si="7"/>
        <v>2016.9957277727071</v>
      </c>
      <c r="P9" s="13">
        <f>1/Switzerland!R86</f>
        <v>1.2058950284503829</v>
      </c>
      <c r="R9">
        <v>2014</v>
      </c>
      <c r="S9" s="13">
        <v>0.73678333887473513</v>
      </c>
      <c r="T9" s="13">
        <v>0.73678333887473513</v>
      </c>
      <c r="U9" s="13">
        <v>0.73678333887473513</v>
      </c>
      <c r="W9">
        <v>2014</v>
      </c>
      <c r="X9" s="13">
        <v>0.73678333887473513</v>
      </c>
      <c r="Y9" s="13">
        <f t="shared" si="12"/>
        <v>0.73678333887473513</v>
      </c>
      <c r="Z9" s="13">
        <v>0.73678333887473513</v>
      </c>
      <c r="AB9" s="13">
        <f>65*EXP(AF9)/(1+EXP(AF9))</f>
        <v>0.73678333887473513</v>
      </c>
      <c r="AC9" s="13"/>
      <c r="AD9" s="14">
        <f t="shared" si="0"/>
        <v>-4.5127252258419395</v>
      </c>
      <c r="AE9" s="33">
        <f t="shared" si="1"/>
        <v>-4.4684488165245506</v>
      </c>
      <c r="AF9" s="33">
        <f t="shared" si="2"/>
        <v>-4.4684488165245506</v>
      </c>
      <c r="AH9" s="14">
        <v>5</v>
      </c>
      <c r="AI9" s="14">
        <v>0</v>
      </c>
      <c r="AJ9">
        <v>0</v>
      </c>
    </row>
    <row r="10" spans="1:36">
      <c r="A10">
        <v>2015</v>
      </c>
      <c r="B10" s="13">
        <f>'EV %sales'!U73</f>
        <v>1.736769602362229</v>
      </c>
      <c r="C10" s="13">
        <f t="shared" si="3"/>
        <v>1.7272382151998207</v>
      </c>
      <c r="D10" s="84">
        <f t="shared" si="8"/>
        <v>1.7272382151998207</v>
      </c>
      <c r="E10" s="84">
        <f>J10-SUM(F$7:F10)</f>
        <v>-3.600931207490663</v>
      </c>
      <c r="F10" s="13">
        <f t="shared" si="9"/>
        <v>0</v>
      </c>
      <c r="G10" s="13">
        <f t="shared" si="10"/>
        <v>1</v>
      </c>
      <c r="H10" s="13">
        <v>1</v>
      </c>
      <c r="I10" s="13">
        <v>0</v>
      </c>
      <c r="J10" s="13">
        <f t="shared" si="11"/>
        <v>-3.600931207490663</v>
      </c>
      <c r="K10" s="13"/>
      <c r="L10" s="84">
        <f t="shared" si="4"/>
        <v>1.7272382151998207</v>
      </c>
      <c r="M10" s="13">
        <f t="shared" si="5"/>
        <v>1.7272382151998207</v>
      </c>
      <c r="N10" s="13">
        <f t="shared" si="6"/>
        <v>2015.0840364591577</v>
      </c>
      <c r="O10" s="13">
        <f t="shared" si="7"/>
        <v>2015.8651531864577</v>
      </c>
      <c r="P10" s="13">
        <f>1/Switzerland!R87</f>
        <v>1.1010559484223863</v>
      </c>
      <c r="R10">
        <v>2015</v>
      </c>
      <c r="S10" s="13">
        <v>1.7272382151998207</v>
      </c>
      <c r="T10" s="13">
        <v>1.7272382151998207</v>
      </c>
      <c r="U10" s="13">
        <v>1.7272382151998207</v>
      </c>
      <c r="W10">
        <v>2015</v>
      </c>
      <c r="X10" s="13">
        <v>1.7272382151998207</v>
      </c>
      <c r="Y10" s="13">
        <f t="shared" si="12"/>
        <v>1.7272382151998207</v>
      </c>
      <c r="Z10" s="13">
        <v>1.7272382151998207</v>
      </c>
      <c r="AB10" s="13">
        <f t="shared" ref="AB10:AB35" si="13">65*EXP(AE10)/(1+EXP(AE10))</f>
        <v>1.7272382151998207</v>
      </c>
      <c r="AC10" s="13"/>
      <c r="AD10" s="14">
        <f t="shared" si="0"/>
        <v>-3.5952774446463098</v>
      </c>
      <c r="AE10" s="33">
        <f t="shared" si="1"/>
        <v>-3.600931207490663</v>
      </c>
      <c r="AF10" s="33">
        <f t="shared" si="2"/>
        <v>-3.9098089913784317</v>
      </c>
      <c r="AH10" s="14">
        <v>6</v>
      </c>
      <c r="AI10" s="14">
        <v>1</v>
      </c>
      <c r="AJ10">
        <v>0</v>
      </c>
    </row>
    <row r="11" spans="1:36">
      <c r="A11">
        <v>2016</v>
      </c>
      <c r="B11" s="13">
        <f>'EV %sales'!U74</f>
        <v>1.9299434316058177</v>
      </c>
      <c r="C11" s="13">
        <f t="shared" si="3"/>
        <v>1.9655495214791945</v>
      </c>
      <c r="D11" s="84">
        <f t="shared" si="8"/>
        <v>1.9655495214791945</v>
      </c>
      <c r="E11" s="84">
        <f>J11-SUM(F$7:F11)</f>
        <v>-3.4679095490033194</v>
      </c>
      <c r="F11" s="13">
        <f t="shared" si="9"/>
        <v>0</v>
      </c>
      <c r="G11" s="13">
        <f t="shared" si="10"/>
        <v>1</v>
      </c>
      <c r="H11" s="13">
        <v>1</v>
      </c>
      <c r="I11" s="13">
        <v>0</v>
      </c>
      <c r="J11" s="13">
        <f t="shared" si="11"/>
        <v>-3.4679095490033194</v>
      </c>
      <c r="K11" s="13"/>
      <c r="L11" s="84">
        <f t="shared" si="4"/>
        <v>1.9655495214791945</v>
      </c>
      <c r="M11" s="13">
        <f t="shared" si="5"/>
        <v>1.9655495214791945</v>
      </c>
      <c r="N11" s="13">
        <f t="shared" si="6"/>
        <v>2016</v>
      </c>
      <c r="O11" s="13">
        <f t="shared" si="7"/>
        <v>2015.9491896456154</v>
      </c>
      <c r="P11" s="13">
        <f>1/Switzerland!R88</f>
        <v>1.1088487160770621</v>
      </c>
      <c r="R11">
        <v>2016</v>
      </c>
      <c r="S11" s="13">
        <v>1.9655495214791945</v>
      </c>
      <c r="T11" s="13">
        <v>1.9655495214791945</v>
      </c>
      <c r="U11" s="13">
        <v>1.9655495214791945</v>
      </c>
      <c r="W11">
        <v>2016</v>
      </c>
      <c r="X11" s="13">
        <v>1.9655495214791945</v>
      </c>
      <c r="Y11" s="13">
        <f t="shared" si="12"/>
        <v>1.9655495214791945</v>
      </c>
      <c r="Z11" s="13">
        <v>1.9655495214791945</v>
      </c>
      <c r="AB11" s="13">
        <f t="shared" si="13"/>
        <v>1.9655495214791945</v>
      </c>
      <c r="AC11" s="13"/>
      <c r="AD11" s="14">
        <f t="shared" si="0"/>
        <v>-3.4867554251511574</v>
      </c>
      <c r="AE11" s="33">
        <f t="shared" si="1"/>
        <v>-3.4679095490033194</v>
      </c>
      <c r="AF11" s="33">
        <f t="shared" si="2"/>
        <v>-3.9098089913784317</v>
      </c>
      <c r="AH11" s="14">
        <v>6</v>
      </c>
      <c r="AI11" s="14">
        <v>0.3</v>
      </c>
      <c r="AJ11">
        <v>1</v>
      </c>
    </row>
    <row r="12" spans="1:36">
      <c r="A12">
        <v>2017</v>
      </c>
      <c r="B12" s="13">
        <f>'EV %sales'!U75</f>
        <v>2.6039079317767841</v>
      </c>
      <c r="C12" s="13">
        <f t="shared" si="3"/>
        <v>2.5181859041344001</v>
      </c>
      <c r="D12" s="84">
        <f>65*EXP(E12)/(1+EXP(E12))</f>
        <v>2.5181859041344001</v>
      </c>
      <c r="E12" s="84">
        <f>J12-SUM(F$7:F12)</f>
        <v>-3.2113367769608683</v>
      </c>
      <c r="F12" s="13">
        <f t="shared" si="9"/>
        <v>0</v>
      </c>
      <c r="G12" s="13">
        <f t="shared" si="10"/>
        <v>1</v>
      </c>
      <c r="H12" s="13">
        <v>1</v>
      </c>
      <c r="I12" s="13">
        <v>0</v>
      </c>
      <c r="J12" s="13">
        <f t="shared" si="11"/>
        <v>-3.2113367769608683</v>
      </c>
      <c r="K12" s="13"/>
      <c r="L12" s="84">
        <f t="shared" si="4"/>
        <v>2.5181859041344001</v>
      </c>
      <c r="M12" s="13">
        <f t="shared" si="5"/>
        <v>2.5181859041344001</v>
      </c>
      <c r="N12" s="13">
        <f t="shared" si="6"/>
        <v>2017.0639279758198</v>
      </c>
      <c r="O12" s="13">
        <f t="shared" si="7"/>
        <v>2015.8852616697957</v>
      </c>
      <c r="P12" s="13">
        <f>1/Switzerland!R89</f>
        <v>1.1029206240656846</v>
      </c>
      <c r="R12">
        <v>2017</v>
      </c>
      <c r="S12" s="13">
        <v>2.5181859041344001</v>
      </c>
      <c r="T12" s="13">
        <v>2.5181859041344001</v>
      </c>
      <c r="U12" s="13">
        <v>2.5181859041344001</v>
      </c>
      <c r="W12">
        <v>2017</v>
      </c>
      <c r="X12" s="13">
        <v>2.5181859041344001</v>
      </c>
      <c r="Y12" s="13">
        <f t="shared" si="12"/>
        <v>2.5181859041344001</v>
      </c>
      <c r="Z12" s="13">
        <v>2.5181859041344001</v>
      </c>
      <c r="AB12" s="13">
        <f t="shared" si="13"/>
        <v>2.5181859041344001</v>
      </c>
      <c r="AC12" s="13"/>
      <c r="AD12" s="14">
        <f t="shared" si="0"/>
        <v>-3.1764892790416752</v>
      </c>
      <c r="AE12" s="33">
        <f t="shared" si="1"/>
        <v>-3.2113367769608683</v>
      </c>
      <c r="AF12" s="33">
        <f t="shared" si="2"/>
        <v>-3.9098089913784317</v>
      </c>
      <c r="AH12" s="14">
        <v>6</v>
      </c>
      <c r="AI12" s="14">
        <v>0</v>
      </c>
      <c r="AJ12">
        <v>2</v>
      </c>
    </row>
    <row r="13" spans="1:36">
      <c r="A13">
        <v>2018</v>
      </c>
      <c r="B13" s="13">
        <f>'EV %sales'!U76</f>
        <v>3.6945206904604002</v>
      </c>
      <c r="C13" s="13">
        <f>AVERAGE(D11:D15)</f>
        <v>4.0792777376945386</v>
      </c>
      <c r="D13" s="84">
        <f t="shared" si="8"/>
        <v>3.9138515212675342</v>
      </c>
      <c r="E13" s="84">
        <f>J13-SUM(F$7:F13)</f>
        <v>-2.747763205038491</v>
      </c>
      <c r="F13" s="13">
        <f t="shared" si="9"/>
        <v>0</v>
      </c>
      <c r="G13" s="13">
        <v>1</v>
      </c>
      <c r="H13" s="13">
        <v>1</v>
      </c>
      <c r="I13" s="13">
        <v>0</v>
      </c>
      <c r="J13" s="13">
        <f t="shared" si="11"/>
        <v>-2.747763205038491</v>
      </c>
      <c r="K13" s="13"/>
      <c r="L13" s="84">
        <f t="shared" ref="L13:L48" si="14">AVERAGE(M11:M15)</f>
        <v>3.9138515212675342</v>
      </c>
      <c r="M13" s="13">
        <f t="shared" si="5"/>
        <v>3.5138465896522613</v>
      </c>
      <c r="N13" s="13">
        <f t="shared" si="6"/>
        <v>2017.9073763454112</v>
      </c>
      <c r="O13" s="13">
        <f t="shared" si="7"/>
        <v>2016.0418133002042</v>
      </c>
      <c r="P13" s="13">
        <f>1/Switzerland!R90</f>
        <v>1.1174377811896374</v>
      </c>
      <c r="R13">
        <v>2018</v>
      </c>
      <c r="S13" s="13">
        <v>4.0792777376945386</v>
      </c>
      <c r="T13" s="13">
        <v>4.0792777376945386</v>
      </c>
      <c r="U13" s="13">
        <v>3.7067750247812037</v>
      </c>
      <c r="W13">
        <v>2018</v>
      </c>
      <c r="X13" s="13">
        <v>3.4077988040413749</v>
      </c>
      <c r="Y13" s="13">
        <f t="shared" si="12"/>
        <v>4.0792777376945386</v>
      </c>
      <c r="Z13" s="13">
        <v>4.4598536432359621</v>
      </c>
      <c r="AB13" s="13">
        <f t="shared" si="13"/>
        <v>3.5138465896522613</v>
      </c>
      <c r="AC13" s="13"/>
      <c r="AD13" s="14">
        <f t="shared" si="0"/>
        <v>-2.8090183965229771</v>
      </c>
      <c r="AE13" s="33">
        <f t="shared" si="1"/>
        <v>-2.8621006697520865</v>
      </c>
      <c r="AF13" s="33">
        <f t="shared" si="2"/>
        <v>-3.9098089913784317</v>
      </c>
      <c r="AH13" s="14">
        <v>6</v>
      </c>
      <c r="AI13" s="14">
        <v>0</v>
      </c>
      <c r="AJ13">
        <v>3</v>
      </c>
    </row>
    <row r="14" spans="1:36">
      <c r="A14">
        <v>2019</v>
      </c>
      <c r="B14" s="13"/>
      <c r="C14" s="13">
        <f>AVERAGE(D12:D16)</f>
        <v>5.3295337963467757</v>
      </c>
      <c r="D14" s="84">
        <f>65*EXP(E14)/(1+EXP(E14))</f>
        <v>5.3421470235199253</v>
      </c>
      <c r="E14" s="84">
        <f>J14-SUM(F$7:F14)</f>
        <v>-2.4129981542881782</v>
      </c>
      <c r="F14" s="13">
        <f>I14*G14</f>
        <v>0</v>
      </c>
      <c r="G14" s="13">
        <f t="shared" si="10"/>
        <v>1</v>
      </c>
      <c r="H14" s="13">
        <v>1</v>
      </c>
      <c r="I14" s="13">
        <v>0</v>
      </c>
      <c r="J14" s="13">
        <f t="shared" si="11"/>
        <v>-2.4129981542881782</v>
      </c>
      <c r="K14" s="13"/>
      <c r="L14" s="84">
        <f t="shared" si="14"/>
        <v>5.3421470235199262</v>
      </c>
      <c r="M14" s="13">
        <f t="shared" si="5"/>
        <v>4.8724801350553042</v>
      </c>
      <c r="N14" s="13">
        <f t="shared" si="6"/>
        <v>2018.6026625948573</v>
      </c>
      <c r="O14" s="13">
        <f t="shared" si="7"/>
        <v>2016.3465270507581</v>
      </c>
      <c r="P14" s="13">
        <f>1/Switzerland!R91</f>
        <v>1.1456941294823417</v>
      </c>
      <c r="R14">
        <v>2019</v>
      </c>
      <c r="S14" s="13">
        <v>5.3295337963467757</v>
      </c>
      <c r="T14" s="13">
        <v>5.3295337963467757</v>
      </c>
      <c r="U14" s="13">
        <v>4.8471878321012811</v>
      </c>
      <c r="W14">
        <v>2019</v>
      </c>
      <c r="X14" s="13">
        <v>4.1233242238504975</v>
      </c>
      <c r="Y14" s="13">
        <f t="shared" si="12"/>
        <v>5.3295337963467757</v>
      </c>
      <c r="Z14" s="13">
        <v>6.1104522859816743</v>
      </c>
      <c r="AB14" s="13">
        <f t="shared" si="13"/>
        <v>4.8724801350553042</v>
      </c>
      <c r="AC14" s="13"/>
      <c r="AE14" s="33">
        <f t="shared" si="1"/>
        <v>-2.5128645625433048</v>
      </c>
      <c r="AF14" s="33">
        <f t="shared" si="2"/>
        <v>-3.9098089913784317</v>
      </c>
      <c r="AH14">
        <v>6</v>
      </c>
      <c r="AI14">
        <v>0</v>
      </c>
      <c r="AJ14">
        <v>4</v>
      </c>
    </row>
    <row r="15" spans="1:36">
      <c r="A15">
        <v>2020</v>
      </c>
      <c r="B15" s="13"/>
      <c r="C15" s="13">
        <f>AVERAGE(D13:D17)</f>
        <v>6.833462724122529</v>
      </c>
      <c r="D15" s="84">
        <f>65*EXP(E15)/(1+EXP(E15))</f>
        <v>6.6566547180716391</v>
      </c>
      <c r="E15" s="84">
        <f>J15-SUM(F$7:F15)</f>
        <v>-2.1707282401562864</v>
      </c>
      <c r="F15" s="13">
        <f t="shared" si="9"/>
        <v>0.1</v>
      </c>
      <c r="G15" s="13">
        <f t="shared" si="10"/>
        <v>1</v>
      </c>
      <c r="H15" s="13">
        <f t="shared" ref="H15:H50" si="15">IF((P15-0.6)/0.3&gt;1,1,(P15-0.6)/0.3)</f>
        <v>1</v>
      </c>
      <c r="I15" s="231">
        <v>0.1</v>
      </c>
      <c r="J15" s="13">
        <f t="shared" si="11"/>
        <v>-2.0707282401562863</v>
      </c>
      <c r="K15" s="13">
        <v>0.15</v>
      </c>
      <c r="L15" s="84">
        <f t="shared" si="14"/>
        <v>7.2783492984092222</v>
      </c>
      <c r="M15" s="13">
        <f t="shared" si="5"/>
        <v>6.6991954560165095</v>
      </c>
      <c r="N15" s="13">
        <f t="shared" si="6"/>
        <v>2019.6661382013972</v>
      </c>
      <c r="O15" s="13">
        <f t="shared" si="7"/>
        <v>2016.2830514442182</v>
      </c>
      <c r="P15" s="13">
        <f>1/Switzerland!R92</f>
        <v>1.1398079860338768</v>
      </c>
      <c r="R15">
        <v>2020</v>
      </c>
      <c r="S15" s="13">
        <v>7.0044967939803922</v>
      </c>
      <c r="T15" s="13">
        <v>6.833462724122529</v>
      </c>
      <c r="U15" s="13">
        <v>6.2913444110730534</v>
      </c>
      <c r="W15">
        <v>2020</v>
      </c>
      <c r="X15" s="13">
        <v>5.0197391644630738</v>
      </c>
      <c r="Y15" s="13">
        <f t="shared" si="12"/>
        <v>6.833462724122529</v>
      </c>
      <c r="Z15" s="13">
        <v>8.3589845623289172</v>
      </c>
      <c r="AB15" s="13">
        <f t="shared" si="13"/>
        <v>6.6991954560165095</v>
      </c>
      <c r="AC15" s="13"/>
      <c r="AE15" s="33">
        <f t="shared" si="1"/>
        <v>-2.1636284553345231</v>
      </c>
      <c r="AF15" s="33">
        <f t="shared" si="2"/>
        <v>-3.9098089913784317</v>
      </c>
      <c r="AH15">
        <v>6</v>
      </c>
      <c r="AI15">
        <v>0</v>
      </c>
      <c r="AJ15">
        <v>5</v>
      </c>
    </row>
    <row r="16" spans="1:36">
      <c r="A16">
        <v>2021</v>
      </c>
      <c r="B16" s="13"/>
      <c r="C16" s="13">
        <f>AVERAGE(D13:D19)</f>
        <v>9.0655879820791885</v>
      </c>
      <c r="D16" s="84">
        <f t="shared" si="8"/>
        <v>8.2168298147403807</v>
      </c>
      <c r="E16" s="84">
        <f>J16-SUM(F$7:F16)</f>
        <v>-1.9330555148936281</v>
      </c>
      <c r="F16" s="13">
        <f t="shared" si="9"/>
        <v>0.10250000000000001</v>
      </c>
      <c r="G16" s="13">
        <f t="shared" si="10"/>
        <v>1</v>
      </c>
      <c r="H16" s="13">
        <f t="shared" si="15"/>
        <v>1</v>
      </c>
      <c r="I16" s="20">
        <f>I15+(I35-I15)/20</f>
        <v>0.10250000000000001</v>
      </c>
      <c r="J16" s="13">
        <f t="shared" si="11"/>
        <v>-1.7305555148936282</v>
      </c>
      <c r="K16" s="13"/>
      <c r="L16" s="84">
        <f t="shared" si="14"/>
        <v>9.7835749110881469</v>
      </c>
      <c r="M16" s="13">
        <f t="shared" si="5"/>
        <v>9.1070270327411542</v>
      </c>
      <c r="N16" s="13">
        <f t="shared" si="6"/>
        <v>2021.0069972549809</v>
      </c>
      <c r="O16" s="13">
        <f t="shared" si="7"/>
        <v>2015.9421923906345</v>
      </c>
      <c r="P16" s="13">
        <f>1/Switzerland!R93</f>
        <v>1.1081998550608654</v>
      </c>
      <c r="R16">
        <v>2021</v>
      </c>
      <c r="S16" s="13">
        <v>9.4294615859120405</v>
      </c>
      <c r="T16" s="13">
        <v>9.0655879820791885</v>
      </c>
      <c r="U16" s="13">
        <v>8.6783606156152775</v>
      </c>
      <c r="W16">
        <v>2021</v>
      </c>
      <c r="X16" s="13">
        <v>6.3446631219240084</v>
      </c>
      <c r="Y16" s="13">
        <f t="shared" si="12"/>
        <v>9.0655879820791885</v>
      </c>
      <c r="Z16" s="13">
        <v>11.950068457436364</v>
      </c>
      <c r="AB16" s="13">
        <f t="shared" si="13"/>
        <v>9.1070270327411542</v>
      </c>
      <c r="AC16" s="13"/>
      <c r="AE16" s="33">
        <f t="shared" si="1"/>
        <v>-1.8143923481257409</v>
      </c>
      <c r="AF16" s="33">
        <f t="shared" si="2"/>
        <v>-3.9098089913784317</v>
      </c>
      <c r="AH16">
        <v>6</v>
      </c>
      <c r="AI16">
        <v>0</v>
      </c>
      <c r="AJ16">
        <v>6</v>
      </c>
    </row>
    <row r="17" spans="1:36">
      <c r="A17">
        <v>2022</v>
      </c>
      <c r="B17" s="13"/>
      <c r="C17" s="13">
        <f t="shared" ref="C17:C50" si="16">AVERAGE(D14:D20)</f>
        <v>11.340549172193581</v>
      </c>
      <c r="D17" s="84">
        <f t="shared" si="8"/>
        <v>10.037830543013165</v>
      </c>
      <c r="E17" s="84">
        <f>J17-SUM(F$7:F17)</f>
        <v>-1.7002841109739926</v>
      </c>
      <c r="F17" s="13">
        <f t="shared" si="9"/>
        <v>0.10500000000000001</v>
      </c>
      <c r="G17" s="13">
        <f t="shared" si="10"/>
        <v>1</v>
      </c>
      <c r="H17" s="13">
        <f t="shared" si="15"/>
        <v>1</v>
      </c>
      <c r="I17" s="20">
        <f>I16+(I35-I15)/20</f>
        <v>0.10500000000000001</v>
      </c>
      <c r="J17" s="13">
        <f t="shared" si="11"/>
        <v>-1.3927841109739927</v>
      </c>
      <c r="K17" s="13"/>
      <c r="L17" s="84">
        <f>AVERAGE(M15:M19)</f>
        <v>12.932637986724922</v>
      </c>
      <c r="M17" s="13">
        <f t="shared" si="5"/>
        <v>12.199197278580884</v>
      </c>
      <c r="N17" s="13">
        <f t="shared" si="6"/>
        <v>2021.8476627841878</v>
      </c>
      <c r="O17" s="13">
        <f t="shared" si="7"/>
        <v>2016.1015268614276</v>
      </c>
      <c r="P17" s="13">
        <f>1/Switzerland!R94</f>
        <v>1.1229750671856211</v>
      </c>
      <c r="R17">
        <v>2022</v>
      </c>
      <c r="S17" s="13">
        <v>11.954347932256995</v>
      </c>
      <c r="T17" s="13">
        <v>11.340549172193581</v>
      </c>
      <c r="U17" s="13">
        <v>11.04433177334008</v>
      </c>
      <c r="W17">
        <v>2022</v>
      </c>
      <c r="X17" s="13">
        <v>7.7047757798345158</v>
      </c>
      <c r="Y17" s="13">
        <f t="shared" si="12"/>
        <v>11.340549172193581</v>
      </c>
      <c r="Z17" s="13">
        <v>15.581056054288174</v>
      </c>
      <c r="AB17" s="13">
        <f t="shared" si="13"/>
        <v>12.199197278580884</v>
      </c>
      <c r="AC17" s="13"/>
      <c r="AE17" s="33">
        <f t="shared" si="1"/>
        <v>-1.4651562409169592</v>
      </c>
      <c r="AF17" s="33">
        <f t="shared" si="2"/>
        <v>-3.9098089913784317</v>
      </c>
      <c r="AH17">
        <v>6</v>
      </c>
      <c r="AI17">
        <v>0</v>
      </c>
      <c r="AJ17">
        <v>7</v>
      </c>
    </row>
    <row r="18" spans="1:36">
      <c r="A18">
        <v>2023</v>
      </c>
      <c r="B18" s="13"/>
      <c r="C18" s="13">
        <f>AVERAGE(D15:D21)</f>
        <v>13.969895796420333</v>
      </c>
      <c r="D18" s="84">
        <f t="shared" si="8"/>
        <v>13.016650949420239</v>
      </c>
      <c r="E18" s="84">
        <f>J18-SUM(F$7:F18)</f>
        <v>-1.3846940765913636</v>
      </c>
      <c r="F18" s="13">
        <f t="shared" si="9"/>
        <v>0.10750000000000001</v>
      </c>
      <c r="G18" s="13">
        <f t="shared" si="10"/>
        <v>1</v>
      </c>
      <c r="H18" s="13">
        <f t="shared" si="15"/>
        <v>1</v>
      </c>
      <c r="I18" s="20">
        <f>I17+(I35-I15)/20</f>
        <v>0.10750000000000001</v>
      </c>
      <c r="J18" s="13">
        <f t="shared" si="11"/>
        <v>-0.96969407659136342</v>
      </c>
      <c r="K18" s="13"/>
      <c r="L18" s="84">
        <f t="shared" si="14"/>
        <v>17.871196423205994</v>
      </c>
      <c r="M18" s="13">
        <f t="shared" si="5"/>
        <v>16.039974653046883</v>
      </c>
      <c r="N18" s="13">
        <f t="shared" si="6"/>
        <v>2022.9605419998909</v>
      </c>
      <c r="O18" s="13">
        <f t="shared" si="7"/>
        <v>2015.9886476457245</v>
      </c>
      <c r="P18" s="13">
        <f>1/Switzerland!R95</f>
        <v>1.1125076877906275</v>
      </c>
      <c r="R18">
        <v>2023</v>
      </c>
      <c r="S18" s="13">
        <v>14.975735891228243</v>
      </c>
      <c r="T18" s="13">
        <v>13.969895796420333</v>
      </c>
      <c r="U18" s="13">
        <v>13.764688365177236</v>
      </c>
      <c r="W18">
        <v>2023</v>
      </c>
      <c r="X18" s="13">
        <v>9.3405712485623678</v>
      </c>
      <c r="Y18" s="13">
        <f t="shared" si="12"/>
        <v>13.969895796420333</v>
      </c>
      <c r="Z18" s="13">
        <v>19.911706727912989</v>
      </c>
      <c r="AB18" s="13">
        <f t="shared" si="13"/>
        <v>16.039974653046883</v>
      </c>
      <c r="AC18" s="13"/>
      <c r="AE18" s="33">
        <f t="shared" si="1"/>
        <v>-1.1159201337081774</v>
      </c>
      <c r="AF18" s="33">
        <f t="shared" si="2"/>
        <v>-3.9098089913784317</v>
      </c>
      <c r="AH18">
        <v>6</v>
      </c>
      <c r="AI18">
        <v>0</v>
      </c>
      <c r="AJ18">
        <v>8</v>
      </c>
    </row>
    <row r="19" spans="1:36">
      <c r="A19">
        <v>2024</v>
      </c>
      <c r="B19" s="13"/>
      <c r="C19" s="13">
        <f t="shared" si="16"/>
        <v>17.132598991346192</v>
      </c>
      <c r="D19" s="84">
        <f t="shared" si="8"/>
        <v>16.275151304521433</v>
      </c>
      <c r="E19" s="84">
        <f>J19-SUM(F$7:F19)</f>
        <v>-1.0965496553176564</v>
      </c>
      <c r="F19" s="13">
        <f t="shared" si="9"/>
        <v>0.11000000000000001</v>
      </c>
      <c r="G19" s="13">
        <f t="shared" si="10"/>
        <v>1</v>
      </c>
      <c r="H19" s="13">
        <f t="shared" si="15"/>
        <v>1</v>
      </c>
      <c r="I19" s="20">
        <f>I18+(I35-I15)/20</f>
        <v>0.11000000000000001</v>
      </c>
      <c r="J19" s="13">
        <f t="shared" si="11"/>
        <v>-0.57154965531765634</v>
      </c>
      <c r="K19" s="13"/>
      <c r="L19" s="84">
        <f t="shared" si="14"/>
        <v>23.457156249803763</v>
      </c>
      <c r="M19" s="13">
        <f t="shared" si="5"/>
        <v>20.617795513239166</v>
      </c>
      <c r="N19" s="13">
        <f t="shared" si="6"/>
        <v>2024.3876340061713</v>
      </c>
      <c r="O19" s="13">
        <f t="shared" si="7"/>
        <v>2015.5615556394441</v>
      </c>
      <c r="P19" s="13">
        <f>1/Switzerland!R96</f>
        <v>1.0729031065711963</v>
      </c>
      <c r="R19">
        <v>2024</v>
      </c>
      <c r="S19" s="13">
        <v>18.425898288837942</v>
      </c>
      <c r="T19" s="13">
        <v>17.132598991346192</v>
      </c>
      <c r="U19" s="13">
        <v>16.907005997956382</v>
      </c>
      <c r="W19">
        <v>2024</v>
      </c>
      <c r="X19" s="13">
        <v>11.237454974511561</v>
      </c>
      <c r="Y19" s="13">
        <f t="shared" si="12"/>
        <v>17.132598991346192</v>
      </c>
      <c r="Z19" s="13">
        <v>24.934230617045475</v>
      </c>
      <c r="AB19" s="13">
        <f t="shared" si="13"/>
        <v>20.617795513239166</v>
      </c>
      <c r="AC19" s="13"/>
      <c r="AE19" s="33">
        <f t="shared" si="1"/>
        <v>-0.76668402649939571</v>
      </c>
      <c r="AF19" s="33">
        <f t="shared" si="2"/>
        <v>-3.9098089913784317</v>
      </c>
      <c r="AH19">
        <v>6</v>
      </c>
      <c r="AI19">
        <v>0</v>
      </c>
      <c r="AJ19">
        <v>9</v>
      </c>
    </row>
    <row r="20" spans="1:36">
      <c r="A20" s="14">
        <v>2025</v>
      </c>
      <c r="B20" s="13"/>
      <c r="C20" s="20">
        <f t="shared" si="16"/>
        <v>20.673049593959433</v>
      </c>
      <c r="D20" s="84">
        <f t="shared" si="8"/>
        <v>19.8385798520683</v>
      </c>
      <c r="E20" s="84">
        <f>J20-SUM(F$7:F20)</f>
        <v>-0.82261466656040005</v>
      </c>
      <c r="F20" s="13">
        <f t="shared" si="9"/>
        <v>0.11250000000000002</v>
      </c>
      <c r="G20" s="13">
        <f t="shared" si="10"/>
        <v>1</v>
      </c>
      <c r="H20" s="13">
        <f t="shared" si="15"/>
        <v>1</v>
      </c>
      <c r="I20" s="20">
        <f>I19+(I35-I15)/20</f>
        <v>0.11250000000000002</v>
      </c>
      <c r="J20" s="13">
        <f t="shared" si="11"/>
        <v>-0.18511466656039999</v>
      </c>
      <c r="K20" s="13"/>
      <c r="L20" s="84">
        <f t="shared" si="14"/>
        <v>29.5004473628175</v>
      </c>
      <c r="M20" s="13">
        <f t="shared" si="5"/>
        <v>31.39198763842187</v>
      </c>
      <c r="N20" s="13">
        <f t="shared" si="6"/>
        <v>2025.7671654883982</v>
      </c>
      <c r="O20" s="13">
        <f t="shared" si="7"/>
        <v>2015.1820241572173</v>
      </c>
      <c r="P20" s="13">
        <f>1/Switzerland!R97</f>
        <v>1.037708850551069</v>
      </c>
      <c r="R20" s="87">
        <v>2025</v>
      </c>
      <c r="S20" s="13">
        <v>22.306487468995464</v>
      </c>
      <c r="T20" s="13">
        <v>20.673049593959433</v>
      </c>
      <c r="U20" s="13">
        <v>20.403433487493835</v>
      </c>
      <c r="W20" s="87">
        <v>2025</v>
      </c>
      <c r="X20" s="13">
        <v>13.475618677178284</v>
      </c>
      <c r="Y20" s="13">
        <f t="shared" si="12"/>
        <v>20.673049593959433</v>
      </c>
      <c r="Z20" s="13">
        <v>30.407352140646974</v>
      </c>
      <c r="AB20" s="13">
        <f t="shared" si="13"/>
        <v>25.813294105753002</v>
      </c>
      <c r="AC20" s="13"/>
      <c r="AE20" s="33">
        <f t="shared" si="1"/>
        <v>-0.41744791929061398</v>
      </c>
      <c r="AF20" s="33">
        <f t="shared" si="2"/>
        <v>-3.9098089913784317</v>
      </c>
      <c r="AH20">
        <v>6</v>
      </c>
      <c r="AI20">
        <v>0</v>
      </c>
      <c r="AJ20">
        <v>10</v>
      </c>
    </row>
    <row r="21" spans="1:36">
      <c r="A21">
        <v>2026</v>
      </c>
      <c r="B21" s="13"/>
      <c r="C21" s="13">
        <f t="shared" si="16"/>
        <v>24.573267650361963</v>
      </c>
      <c r="D21" s="84">
        <f t="shared" si="8"/>
        <v>23.747573393107174</v>
      </c>
      <c r="E21" s="84">
        <f>J21-SUM(F$7:F21)</f>
        <v>-0.55222958554538659</v>
      </c>
      <c r="F21" s="13">
        <f t="shared" si="9"/>
        <v>0.11500000000000002</v>
      </c>
      <c r="G21" s="13">
        <f>IF(H21&lt;0,0,H21)</f>
        <v>1</v>
      </c>
      <c r="H21" s="13">
        <f t="shared" si="15"/>
        <v>1</v>
      </c>
      <c r="I21" s="20">
        <f>I20+(I35-I15)/20</f>
        <v>0.11500000000000002</v>
      </c>
      <c r="J21" s="13">
        <f t="shared" si="11"/>
        <v>0.20027041445461347</v>
      </c>
      <c r="K21" s="13"/>
      <c r="L21" s="84">
        <f t="shared" si="14"/>
        <v>35.743560350493752</v>
      </c>
      <c r="M21" s="13">
        <f t="shared" si="5"/>
        <v>37.036826165730012</v>
      </c>
      <c r="N21" s="13">
        <f t="shared" si="6"/>
        <v>2026.9972005990896</v>
      </c>
      <c r="O21" s="13">
        <f t="shared" si="7"/>
        <v>2014.9519890465258</v>
      </c>
      <c r="P21" s="13">
        <f>1/Switzerland!R98</f>
        <v>1.0163775118916349</v>
      </c>
      <c r="R21">
        <v>2026</v>
      </c>
      <c r="S21" s="13">
        <v>26.499309756021312</v>
      </c>
      <c r="T21" s="13">
        <v>24.573267650361963</v>
      </c>
      <c r="U21" s="13">
        <v>24.198668417554103</v>
      </c>
      <c r="W21">
        <v>2026</v>
      </c>
      <c r="X21" s="13">
        <v>15.943933303124263</v>
      </c>
      <c r="Y21" s="13">
        <f>T21</f>
        <v>24.573267650361963</v>
      </c>
      <c r="Z21" s="13">
        <v>36.116767954394554</v>
      </c>
      <c r="AB21" s="13">
        <f t="shared" si="13"/>
        <v>31.39198763842187</v>
      </c>
      <c r="AC21" s="13"/>
      <c r="AE21" s="33">
        <f t="shared" si="1"/>
        <v>-6.8211812081832246E-2</v>
      </c>
      <c r="AF21" s="33">
        <f t="shared" si="2"/>
        <v>-3.9098089913784317</v>
      </c>
      <c r="AH21">
        <v>6</v>
      </c>
      <c r="AI21">
        <v>0</v>
      </c>
      <c r="AJ21">
        <v>11</v>
      </c>
    </row>
    <row r="22" spans="1:36">
      <c r="A22">
        <v>2027</v>
      </c>
      <c r="B22" s="13"/>
      <c r="C22" s="13">
        <f t="shared" si="16"/>
        <v>28.686021159696825</v>
      </c>
      <c r="D22" s="84">
        <f t="shared" si="8"/>
        <v>28.795577082552672</v>
      </c>
      <c r="E22" s="84">
        <f>J22-SUM(F$7:F22)</f>
        <v>-0.22895948958253087</v>
      </c>
      <c r="F22" s="13">
        <f t="shared" si="9"/>
        <v>0.11750000000000002</v>
      </c>
      <c r="G22" s="13">
        <f t="shared" si="10"/>
        <v>1</v>
      </c>
      <c r="H22" s="13">
        <f t="shared" si="15"/>
        <v>1</v>
      </c>
      <c r="I22" s="20">
        <f>I21+(I35-I15)/20</f>
        <v>0.11750000000000002</v>
      </c>
      <c r="J22" s="13">
        <f t="shared" si="11"/>
        <v>0.64104051041746923</v>
      </c>
      <c r="K22" s="13"/>
      <c r="L22" s="84">
        <f t="shared" si="14"/>
        <v>42.574261048730236</v>
      </c>
      <c r="M22" s="13">
        <f t="shared" si="5"/>
        <v>42.415652843649568</v>
      </c>
      <c r="N22" s="13">
        <f t="shared" si="6"/>
        <v>2028.2127402577044</v>
      </c>
      <c r="O22" s="13">
        <f t="shared" si="7"/>
        <v>2014.7364493879111</v>
      </c>
      <c r="P22" s="13">
        <f>1/Switzerland!R99</f>
        <v>0.99639034802509496</v>
      </c>
      <c r="R22">
        <v>2027</v>
      </c>
      <c r="S22" s="13">
        <v>30.724570954117109</v>
      </c>
      <c r="T22" s="13">
        <v>28.686021159696825</v>
      </c>
      <c r="U22" s="13">
        <v>28.129272468044377</v>
      </c>
      <c r="W22">
        <v>2027</v>
      </c>
      <c r="X22" s="13">
        <v>18.630824562923493</v>
      </c>
      <c r="Y22" s="13">
        <f t="shared" si="12"/>
        <v>28.686021159696825</v>
      </c>
      <c r="Z22" s="13">
        <v>41.610202761903103</v>
      </c>
      <c r="AB22" s="13">
        <f t="shared" si="13"/>
        <v>37.036826165730012</v>
      </c>
      <c r="AC22" s="13"/>
      <c r="AE22" s="33">
        <f t="shared" si="1"/>
        <v>0.28102429512694993</v>
      </c>
      <c r="AF22" s="33">
        <f t="shared" si="2"/>
        <v>-3.9098089913784317</v>
      </c>
      <c r="AH22">
        <v>6</v>
      </c>
      <c r="AI22">
        <v>0</v>
      </c>
      <c r="AJ22">
        <v>12</v>
      </c>
    </row>
    <row r="23" spans="1:36">
      <c r="A23">
        <v>2028</v>
      </c>
      <c r="B23" s="13"/>
      <c r="C23" s="13">
        <f t="shared" si="16"/>
        <v>32.989440621710102</v>
      </c>
      <c r="D23" s="84">
        <f t="shared" si="8"/>
        <v>32.999984033033044</v>
      </c>
      <c r="E23" s="84">
        <f>J23-SUM(F$7:F23)</f>
        <v>3.0770675851560125E-2</v>
      </c>
      <c r="F23" s="13">
        <f t="shared" si="9"/>
        <v>0.12000000000000002</v>
      </c>
      <c r="G23" s="13">
        <f t="shared" si="10"/>
        <v>1</v>
      </c>
      <c r="H23" s="13">
        <f t="shared" si="15"/>
        <v>1</v>
      </c>
      <c r="I23" s="20">
        <f>I22+(I35-I15)/20</f>
        <v>0.12000000000000002</v>
      </c>
      <c r="J23" s="13">
        <f t="shared" si="11"/>
        <v>1.0207706758515602</v>
      </c>
      <c r="K23" s="13"/>
      <c r="L23" s="84">
        <f t="shared" si="14"/>
        <v>47.782974888531861</v>
      </c>
      <c r="M23" s="13">
        <f t="shared" si="5"/>
        <v>47.255539591428146</v>
      </c>
      <c r="N23" s="13">
        <f t="shared" si="6"/>
        <v>2029.4496202076139</v>
      </c>
      <c r="O23" s="13">
        <f t="shared" si="7"/>
        <v>2014.4995694380016</v>
      </c>
      <c r="P23" s="13">
        <f>1/Switzerland!R100</f>
        <v>0.97442428198430531</v>
      </c>
      <c r="R23">
        <v>2028</v>
      </c>
      <c r="S23" s="13">
        <v>34.906259220212</v>
      </c>
      <c r="T23" s="13">
        <v>32.989440621710102</v>
      </c>
      <c r="U23" s="13">
        <v>32.203968894658189</v>
      </c>
      <c r="W23">
        <v>2028</v>
      </c>
      <c r="X23" s="13">
        <v>21.516106171943829</v>
      </c>
      <c r="Y23" s="13">
        <f t="shared" si="12"/>
        <v>32.989440621710102</v>
      </c>
      <c r="Z23" s="13">
        <v>46.814412193288078</v>
      </c>
      <c r="AB23" s="13">
        <f t="shared" si="13"/>
        <v>42.415652843649568</v>
      </c>
      <c r="AC23" s="13"/>
      <c r="AE23" s="33">
        <f t="shared" si="1"/>
        <v>0.63026040233573166</v>
      </c>
      <c r="AF23" s="33">
        <f t="shared" si="2"/>
        <v>-3.9098089913784317</v>
      </c>
      <c r="AH23">
        <v>6</v>
      </c>
      <c r="AI23">
        <v>0</v>
      </c>
      <c r="AJ23">
        <v>13</v>
      </c>
    </row>
    <row r="24" spans="1:36">
      <c r="A24">
        <v>2029</v>
      </c>
      <c r="B24" s="13"/>
      <c r="C24" s="13">
        <f t="shared" si="16"/>
        <v>37.169467984997326</v>
      </c>
      <c r="D24" s="84">
        <f t="shared" si="8"/>
        <v>37.339356937830864</v>
      </c>
      <c r="E24" s="84">
        <f>J24-SUM(F$7:F24)</f>
        <v>0.30003734138165217</v>
      </c>
      <c r="F24" s="13">
        <f t="shared" si="9"/>
        <v>0.12250000000000003</v>
      </c>
      <c r="G24" s="13">
        <f t="shared" si="10"/>
        <v>1</v>
      </c>
      <c r="H24" s="13">
        <f t="shared" si="15"/>
        <v>1</v>
      </c>
      <c r="I24" s="20">
        <f>I23+(I35-I15)/20</f>
        <v>0.12250000000000003</v>
      </c>
      <c r="J24" s="13">
        <f t="shared" si="11"/>
        <v>1.4125373413816522</v>
      </c>
      <c r="K24" s="13"/>
      <c r="L24" s="84">
        <f t="shared" si="14"/>
        <v>52.27077963515503</v>
      </c>
      <c r="M24" s="13">
        <f t="shared" si="5"/>
        <v>54.771299004421564</v>
      </c>
      <c r="N24" s="13">
        <f t="shared" si="6"/>
        <v>2030.6629214284528</v>
      </c>
      <c r="O24" s="13">
        <f t="shared" si="7"/>
        <v>2014.2862682171626</v>
      </c>
      <c r="P24" s="13">
        <f>1/Switzerland!R101</f>
        <v>0.95464469023195508</v>
      </c>
      <c r="R24">
        <v>2029</v>
      </c>
      <c r="S24" s="13">
        <v>38.83636142726867</v>
      </c>
      <c r="T24" s="13">
        <v>37.169467984997326</v>
      </c>
      <c r="U24" s="13">
        <v>36.383996257945419</v>
      </c>
      <c r="W24">
        <v>2029</v>
      </c>
      <c r="X24" s="13">
        <v>24.57035717423425</v>
      </c>
      <c r="Y24" s="13">
        <f t="shared" si="12"/>
        <v>37.169467984997326</v>
      </c>
      <c r="Z24" s="13">
        <v>51.351396839437101</v>
      </c>
      <c r="AB24" s="13">
        <f t="shared" si="13"/>
        <v>47.255539591428146</v>
      </c>
      <c r="AC24" s="13"/>
      <c r="AE24" s="33">
        <f t="shared" si="1"/>
        <v>0.97949650954451339</v>
      </c>
      <c r="AF24" s="33">
        <f t="shared" si="2"/>
        <v>-3.9098089913784317</v>
      </c>
      <c r="AH24">
        <v>6</v>
      </c>
      <c r="AI24">
        <v>0</v>
      </c>
      <c r="AJ24">
        <v>14</v>
      </c>
    </row>
    <row r="25" spans="1:36">
      <c r="A25" s="14">
        <v>2030</v>
      </c>
      <c r="B25" s="13"/>
      <c r="C25" s="20">
        <f t="shared" si="16"/>
        <v>41.135504216434143</v>
      </c>
      <c r="D25" s="84">
        <f t="shared" si="8"/>
        <v>41.805925514764269</v>
      </c>
      <c r="E25" s="84">
        <f>J25-SUM(F$7:F25)</f>
        <v>0.58914125227991421</v>
      </c>
      <c r="F25" s="13">
        <f t="shared" si="9"/>
        <v>0.12500000000000003</v>
      </c>
      <c r="G25" s="13">
        <f t="shared" si="10"/>
        <v>1</v>
      </c>
      <c r="H25" s="13">
        <f t="shared" si="15"/>
        <v>1</v>
      </c>
      <c r="I25" s="20">
        <f>I24+(I35-I15)/20</f>
        <v>0.12500000000000003</v>
      </c>
      <c r="J25" s="13">
        <f t="shared" si="11"/>
        <v>1.8266412522799143</v>
      </c>
      <c r="K25" s="13"/>
      <c r="L25" s="84">
        <f t="shared" si="14"/>
        <v>55.988472671163706</v>
      </c>
      <c r="M25" s="13">
        <f t="shared" si="5"/>
        <v>57.435556837430028</v>
      </c>
      <c r="N25" s="13">
        <f t="shared" si="6"/>
        <v>2031.900160607034</v>
      </c>
      <c r="O25" s="13">
        <f t="shared" si="7"/>
        <v>2014.0490290385815</v>
      </c>
      <c r="P25" s="13">
        <f>1/Switzerland!R102</f>
        <v>0.93264531263090245</v>
      </c>
      <c r="R25" s="87">
        <v>2030</v>
      </c>
      <c r="S25" s="13">
        <v>42.410356323960983</v>
      </c>
      <c r="T25" s="13">
        <v>41.135504216434143</v>
      </c>
      <c r="U25" s="13">
        <v>40.350032489382222</v>
      </c>
      <c r="W25" s="87">
        <v>2030</v>
      </c>
      <c r="X25" s="13">
        <v>27.688167816750827</v>
      </c>
      <c r="Y25" s="13">
        <f t="shared" si="12"/>
        <v>41.135504216434143</v>
      </c>
      <c r="Z25" s="13">
        <v>55.045179220185808</v>
      </c>
      <c r="AB25" s="13">
        <f t="shared" si="13"/>
        <v>51.391009635066219</v>
      </c>
      <c r="AC25" s="13"/>
      <c r="AE25" s="33">
        <f t="shared" si="1"/>
        <v>1.3287326167532951</v>
      </c>
      <c r="AF25" s="33">
        <f t="shared" si="2"/>
        <v>-3.9098089913784317</v>
      </c>
      <c r="AH25">
        <v>6</v>
      </c>
      <c r="AI25">
        <v>0</v>
      </c>
      <c r="AJ25">
        <v>15</v>
      </c>
    </row>
    <row r="26" spans="1:36">
      <c r="A26">
        <v>2031</v>
      </c>
      <c r="C26" s="13">
        <f t="shared" si="16"/>
        <v>44.68290315088489</v>
      </c>
      <c r="D26" s="84">
        <f>65*EXP(E26)/(1+EXP(E26))</f>
        <v>46.399087538614388</v>
      </c>
      <c r="E26" s="84">
        <f>J26-SUM(F$7:F26)</f>
        <v>0.9140691573431392</v>
      </c>
      <c r="F26" s="13">
        <f t="shared" si="9"/>
        <v>0.12750000000000003</v>
      </c>
      <c r="G26" s="13">
        <f t="shared" si="10"/>
        <v>1</v>
      </c>
      <c r="H26" s="13">
        <f t="shared" si="15"/>
        <v>1</v>
      </c>
      <c r="I26" s="20">
        <f>I25+(I35-I15)/20</f>
        <v>0.12750000000000003</v>
      </c>
      <c r="J26" s="13">
        <f t="shared" si="11"/>
        <v>2.2790691573431392</v>
      </c>
      <c r="K26" s="13"/>
      <c r="L26" s="84">
        <f t="shared" si="14"/>
        <v>58.963362678129236</v>
      </c>
      <c r="M26" s="13">
        <f t="shared" si="5"/>
        <v>59.475849898845816</v>
      </c>
      <c r="N26" s="13">
        <f t="shared" si="6"/>
        <v>2032.900160607034</v>
      </c>
      <c r="O26" s="13">
        <f t="shared" si="7"/>
        <v>2014.0490290385815</v>
      </c>
      <c r="P26" s="13">
        <f>P25</f>
        <v>0.93264531263090245</v>
      </c>
      <c r="R26">
        <v>2031</v>
      </c>
      <c r="S26" s="13">
        <v>45.670296055727896</v>
      </c>
      <c r="T26" s="13">
        <v>44.68290315088489</v>
      </c>
      <c r="U26" s="13">
        <v>44.001870417125545</v>
      </c>
      <c r="W26">
        <v>2031</v>
      </c>
      <c r="X26" s="13">
        <v>30.885208407692541</v>
      </c>
      <c r="Y26" s="13">
        <f t="shared" si="12"/>
        <v>44.68290315088489</v>
      </c>
      <c r="Z26" s="13">
        <v>57.874728709932114</v>
      </c>
      <c r="AB26" s="13">
        <f t="shared" si="13"/>
        <v>54.771299004421564</v>
      </c>
      <c r="AC26" s="13"/>
      <c r="AE26" s="33">
        <f t="shared" si="1"/>
        <v>1.6779687239620769</v>
      </c>
      <c r="AF26" s="33">
        <f t="shared" si="2"/>
        <v>-3.9098089913784317</v>
      </c>
      <c r="AH26">
        <v>6</v>
      </c>
      <c r="AI26">
        <v>0</v>
      </c>
      <c r="AJ26">
        <v>16</v>
      </c>
    </row>
    <row r="27" spans="1:36">
      <c r="A27">
        <v>2032</v>
      </c>
      <c r="C27" s="13">
        <f t="shared" si="16"/>
        <v>47.891592258478695</v>
      </c>
      <c r="D27" s="84">
        <f t="shared" si="8"/>
        <v>49.09877139507892</v>
      </c>
      <c r="E27" s="84">
        <f>J27-SUM(F$7:F27)</f>
        <v>1.127437634993214</v>
      </c>
      <c r="F27" s="13">
        <f t="shared" si="9"/>
        <v>0.13000000000000003</v>
      </c>
      <c r="G27" s="13">
        <f t="shared" si="10"/>
        <v>1</v>
      </c>
      <c r="H27" s="13">
        <f t="shared" si="15"/>
        <v>1</v>
      </c>
      <c r="I27" s="20">
        <f>I26+(I35-I15)/20</f>
        <v>0.13000000000000003</v>
      </c>
      <c r="J27" s="13">
        <f t="shared" si="11"/>
        <v>2.6224376349932141</v>
      </c>
      <c r="K27" s="13"/>
      <c r="L27" s="84">
        <f t="shared" si="14"/>
        <v>60.598963202072696</v>
      </c>
      <c r="M27" s="13">
        <f t="shared" si="5"/>
        <v>61.004118023693003</v>
      </c>
      <c r="N27" s="13">
        <f t="shared" si="6"/>
        <v>2033.900160607034</v>
      </c>
      <c r="O27" s="13">
        <f t="shared" si="7"/>
        <v>2014.0490290385815</v>
      </c>
      <c r="P27" s="13">
        <f t="shared" ref="P27:P50" si="17">P26</f>
        <v>0.93264531263090245</v>
      </c>
      <c r="R27">
        <v>2032</v>
      </c>
      <c r="S27" s="13">
        <v>48.538846585777421</v>
      </c>
      <c r="T27" s="13">
        <v>47.891592258478695</v>
      </c>
      <c r="U27" s="13">
        <v>47.33304210303239</v>
      </c>
      <c r="W27">
        <v>2032</v>
      </c>
      <c r="X27" s="13">
        <v>34.105781240342019</v>
      </c>
      <c r="Y27" s="13">
        <f t="shared" si="12"/>
        <v>47.891592258478695</v>
      </c>
      <c r="Z27" s="13">
        <v>60.009788264248719</v>
      </c>
      <c r="AB27" s="13">
        <f t="shared" si="13"/>
        <v>57.435556837430028</v>
      </c>
      <c r="AC27" s="13"/>
      <c r="AE27" s="33">
        <f t="shared" si="1"/>
        <v>2.0272048311708586</v>
      </c>
      <c r="AF27" s="33">
        <f t="shared" si="2"/>
        <v>-3.9098089913784317</v>
      </c>
      <c r="AH27">
        <v>6</v>
      </c>
      <c r="AI27">
        <v>0</v>
      </c>
      <c r="AJ27">
        <v>17</v>
      </c>
    </row>
    <row r="28" spans="1:36">
      <c r="A28">
        <v>2033</v>
      </c>
      <c r="C28" s="13">
        <f t="shared" si="16"/>
        <v>50.704484533454597</v>
      </c>
      <c r="D28" s="84">
        <f t="shared" si="8"/>
        <v>51.509827013164795</v>
      </c>
      <c r="E28" s="84">
        <f>J28-SUM(F$7:F28)</f>
        <v>1.3398111117804203</v>
      </c>
      <c r="F28" s="13">
        <f t="shared" si="9"/>
        <v>0.13250000000000003</v>
      </c>
      <c r="G28" s="13">
        <f t="shared" si="10"/>
        <v>1</v>
      </c>
      <c r="H28" s="13">
        <f t="shared" si="15"/>
        <v>1</v>
      </c>
      <c r="I28" s="20">
        <f>I27+(I35-I15)/20</f>
        <v>0.13250000000000003</v>
      </c>
      <c r="J28" s="13">
        <f t="shared" si="11"/>
        <v>2.9673111117804205</v>
      </c>
      <c r="K28" s="13"/>
      <c r="L28" s="84">
        <f t="shared" si="14"/>
        <v>61.819895268190919</v>
      </c>
      <c r="M28" s="13">
        <f t="shared" si="5"/>
        <v>62.129989626255771</v>
      </c>
      <c r="N28" s="13">
        <f t="shared" si="6"/>
        <v>2034.900160607034</v>
      </c>
      <c r="O28" s="13">
        <f t="shared" si="7"/>
        <v>2014.0490290385815</v>
      </c>
      <c r="P28" s="13">
        <f t="shared" si="17"/>
        <v>0.93264531263090245</v>
      </c>
      <c r="R28">
        <v>2033</v>
      </c>
      <c r="S28" s="13">
        <v>50.936967437374385</v>
      </c>
      <c r="T28" s="13">
        <v>50.704484533454597</v>
      </c>
      <c r="U28" s="13">
        <v>50.293612039210537</v>
      </c>
      <c r="W28">
        <v>2033</v>
      </c>
      <c r="X28" s="13">
        <v>37.290917135694649</v>
      </c>
      <c r="Y28" s="13">
        <f t="shared" si="12"/>
        <v>50.704484533454597</v>
      </c>
      <c r="Z28" s="13">
        <v>61.462157504856563</v>
      </c>
      <c r="AB28" s="13">
        <f t="shared" si="13"/>
        <v>59.475849898845816</v>
      </c>
      <c r="AC28" s="13"/>
      <c r="AE28" s="33">
        <f t="shared" si="1"/>
        <v>2.3764409383796403</v>
      </c>
      <c r="AF28" s="33">
        <f t="shared" si="2"/>
        <v>-3.9098089913784317</v>
      </c>
      <c r="AH28">
        <v>6</v>
      </c>
      <c r="AI28">
        <v>0</v>
      </c>
      <c r="AJ28">
        <v>18</v>
      </c>
    </row>
    <row r="29" spans="1:36">
      <c r="A29">
        <v>2034</v>
      </c>
      <c r="C29" s="13">
        <f t="shared" si="16"/>
        <v>53.06923354824098</v>
      </c>
      <c r="D29" s="84">
        <f t="shared" si="8"/>
        <v>53.627369623707999</v>
      </c>
      <c r="E29" s="84">
        <f>J29-SUM(F$7:F29)</f>
        <v>1.5508499404910299</v>
      </c>
      <c r="F29" s="13">
        <f t="shared" si="9"/>
        <v>0.13500000000000004</v>
      </c>
      <c r="G29" s="13">
        <f t="shared" si="10"/>
        <v>1</v>
      </c>
      <c r="H29" s="13">
        <f t="shared" si="15"/>
        <v>1</v>
      </c>
      <c r="I29" s="20">
        <f>I28+(I35-I15)/20</f>
        <v>0.13500000000000004</v>
      </c>
      <c r="J29" s="13">
        <f t="shared" si="11"/>
        <v>3.31334994049103</v>
      </c>
      <c r="K29" s="13"/>
      <c r="L29" s="84">
        <f t="shared" si="14"/>
        <v>62.717457622953035</v>
      </c>
      <c r="M29" s="13">
        <f t="shared" si="5"/>
        <v>62.949301624138897</v>
      </c>
      <c r="N29" s="13">
        <f t="shared" si="6"/>
        <v>2035.900160607034</v>
      </c>
      <c r="O29" s="13">
        <f t="shared" si="7"/>
        <v>2014.0490290385815</v>
      </c>
      <c r="P29" s="13">
        <f t="shared" si="17"/>
        <v>0.93264531263090245</v>
      </c>
      <c r="R29">
        <v>2034</v>
      </c>
      <c r="S29" s="13">
        <v>53.06923354824098</v>
      </c>
      <c r="T29" s="13">
        <v>53.06923354824098</v>
      </c>
      <c r="U29" s="13">
        <v>52.840510512841512</v>
      </c>
      <c r="W29">
        <v>2034</v>
      </c>
      <c r="X29" s="13">
        <v>40.382442799172125</v>
      </c>
      <c r="Y29" s="13">
        <f t="shared" si="12"/>
        <v>53.06923354824098</v>
      </c>
      <c r="Z29" s="13">
        <v>62.48522138005103</v>
      </c>
      <c r="AB29" s="13">
        <f t="shared" si="13"/>
        <v>61.004118023693003</v>
      </c>
      <c r="AC29" s="13"/>
      <c r="AE29" s="33">
        <f t="shared" si="1"/>
        <v>2.7256770455884221</v>
      </c>
      <c r="AF29" s="33">
        <f t="shared" si="2"/>
        <v>-3.9098089913784317</v>
      </c>
      <c r="AH29">
        <v>6</v>
      </c>
      <c r="AI29">
        <v>0</v>
      </c>
      <c r="AJ29">
        <v>19</v>
      </c>
    </row>
    <row r="30" spans="1:36">
      <c r="A30">
        <v>2035</v>
      </c>
      <c r="C30" s="13">
        <f t="shared" si="16"/>
        <v>54.937576847824054</v>
      </c>
      <c r="D30" s="84">
        <f t="shared" si="8"/>
        <v>55.460807786189648</v>
      </c>
      <c r="E30" s="84">
        <f>J30-SUM(F$7:F30)</f>
        <v>1.7602677970147254</v>
      </c>
      <c r="F30" s="13">
        <f t="shared" si="9"/>
        <v>0.13750000000000004</v>
      </c>
      <c r="G30" s="13">
        <f t="shared" si="10"/>
        <v>1</v>
      </c>
      <c r="H30" s="13">
        <f t="shared" si="15"/>
        <v>1</v>
      </c>
      <c r="I30" s="20">
        <f>I29+(I35-I15)/20</f>
        <v>0.13750000000000004</v>
      </c>
      <c r="J30" s="13">
        <f t="shared" si="11"/>
        <v>3.6602677970147255</v>
      </c>
      <c r="K30" s="13"/>
      <c r="L30" s="84">
        <f t="shared" si="14"/>
        <v>63.369773134694071</v>
      </c>
      <c r="M30" s="13">
        <f t="shared" si="5"/>
        <v>63.540217168021101</v>
      </c>
      <c r="N30" s="13">
        <f t="shared" si="6"/>
        <v>2036.900160607034</v>
      </c>
      <c r="O30" s="13">
        <f t="shared" si="7"/>
        <v>2014.0490290385815</v>
      </c>
      <c r="P30" s="13">
        <f t="shared" si="17"/>
        <v>0.93264531263090245</v>
      </c>
      <c r="R30">
        <v>2035</v>
      </c>
      <c r="S30" s="13">
        <v>54.937576847824054</v>
      </c>
      <c r="T30" s="13">
        <v>54.937576847824054</v>
      </c>
      <c r="U30" s="13">
        <v>54.937576847824054</v>
      </c>
      <c r="W30">
        <v>2035</v>
      </c>
      <c r="X30" s="13">
        <v>43.327337362881572</v>
      </c>
      <c r="Y30" s="13">
        <f t="shared" si="12"/>
        <v>54.937576847824054</v>
      </c>
      <c r="Z30" s="13">
        <v>63.158981458322209</v>
      </c>
      <c r="AB30" s="13">
        <f t="shared" si="13"/>
        <v>62.129989626255771</v>
      </c>
      <c r="AC30" s="13"/>
      <c r="AE30" s="33">
        <f t="shared" si="1"/>
        <v>3.0749131527972038</v>
      </c>
      <c r="AF30" s="33">
        <f t="shared" si="2"/>
        <v>-3.9098089913784317</v>
      </c>
      <c r="AH30">
        <v>6</v>
      </c>
      <c r="AI30">
        <v>0</v>
      </c>
      <c r="AJ30">
        <v>20</v>
      </c>
    </row>
    <row r="31" spans="1:36">
      <c r="A31">
        <v>2036</v>
      </c>
      <c r="C31" s="13">
        <f t="shared" si="16"/>
        <v>56.553846464532619</v>
      </c>
      <c r="D31" s="84">
        <f t="shared" si="8"/>
        <v>57.029602862662145</v>
      </c>
      <c r="E31" s="84">
        <f>J31-SUM(F$7:F31)</f>
        <v>1.9678361609007897</v>
      </c>
      <c r="F31" s="13">
        <f t="shared" si="9"/>
        <v>0.14000000000000004</v>
      </c>
      <c r="G31" s="13">
        <f t="shared" si="10"/>
        <v>1</v>
      </c>
      <c r="H31" s="13">
        <f t="shared" si="15"/>
        <v>1</v>
      </c>
      <c r="I31" s="20">
        <f>I30+(I35-I15)/20</f>
        <v>0.14000000000000004</v>
      </c>
      <c r="J31" s="13">
        <f t="shared" si="11"/>
        <v>4.0078361609007898</v>
      </c>
      <c r="K31" s="13"/>
      <c r="L31" s="84">
        <f t="shared" si="14"/>
        <v>63.839858961104142</v>
      </c>
      <c r="M31" s="13">
        <f t="shared" si="5"/>
        <v>63.963661672656372</v>
      </c>
      <c r="N31" s="13">
        <f t="shared" si="6"/>
        <v>2037.900160607034</v>
      </c>
      <c r="O31" s="13">
        <f t="shared" si="7"/>
        <v>2014.0490290385815</v>
      </c>
      <c r="P31" s="13">
        <f t="shared" si="17"/>
        <v>0.93264531263090245</v>
      </c>
      <c r="R31">
        <v>2036</v>
      </c>
      <c r="S31" s="13">
        <v>56.553846464532619</v>
      </c>
      <c r="T31" s="13">
        <v>56.553846464532619</v>
      </c>
      <c r="U31" s="13">
        <v>56.553846464532619</v>
      </c>
      <c r="W31">
        <v>2036</v>
      </c>
      <c r="X31" s="13">
        <v>46.081627519719369</v>
      </c>
      <c r="Y31" s="13">
        <f t="shared" si="12"/>
        <v>56.553846464532619</v>
      </c>
      <c r="Z31" s="13">
        <v>63.657542499431251</v>
      </c>
      <c r="AB31" s="13">
        <f t="shared" si="13"/>
        <v>62.949301624138897</v>
      </c>
      <c r="AC31" s="13"/>
      <c r="AE31" s="33">
        <f t="shared" si="1"/>
        <v>3.4241492600059855</v>
      </c>
      <c r="AF31" s="33">
        <f t="shared" si="2"/>
        <v>-3.9098089913784317</v>
      </c>
      <c r="AH31">
        <v>6</v>
      </c>
      <c r="AI31">
        <v>0</v>
      </c>
      <c r="AJ31">
        <v>21</v>
      </c>
    </row>
    <row r="32" spans="1:36">
      <c r="A32">
        <v>2037</v>
      </c>
      <c r="C32" s="13">
        <f t="shared" si="16"/>
        <v>57.936908496138756</v>
      </c>
      <c r="D32" s="84">
        <f t="shared" si="8"/>
        <v>58.359168618269003</v>
      </c>
      <c r="E32" s="84">
        <f>J32-SUM(F$7:F32)</f>
        <v>2.1733793140647277</v>
      </c>
      <c r="F32" s="13">
        <f t="shared" si="9"/>
        <v>0.14250000000000004</v>
      </c>
      <c r="G32" s="13">
        <f t="shared" si="10"/>
        <v>1</v>
      </c>
      <c r="H32" s="13">
        <f t="shared" si="15"/>
        <v>1</v>
      </c>
      <c r="I32" s="20">
        <f>I31+(I35-I15)/20</f>
        <v>0.14250000000000004</v>
      </c>
      <c r="J32" s="13">
        <f t="shared" si="11"/>
        <v>4.3558793140647278</v>
      </c>
      <c r="K32" s="13"/>
      <c r="L32" s="84">
        <f t="shared" si="14"/>
        <v>64.176541046369863</v>
      </c>
      <c r="M32" s="13">
        <f t="shared" si="5"/>
        <v>64.265695582398237</v>
      </c>
      <c r="N32" s="13">
        <f t="shared" si="6"/>
        <v>2038.900160607034</v>
      </c>
      <c r="O32" s="13">
        <f t="shared" si="7"/>
        <v>2014.0490290385815</v>
      </c>
      <c r="P32" s="13">
        <f t="shared" si="17"/>
        <v>0.93264531263090245</v>
      </c>
      <c r="R32">
        <v>2037</v>
      </c>
      <c r="S32" s="13">
        <v>57.936908496138756</v>
      </c>
      <c r="T32" s="13">
        <v>57.936908496138756</v>
      </c>
      <c r="U32" s="13">
        <v>57.936908496138756</v>
      </c>
      <c r="W32">
        <v>2037</v>
      </c>
      <c r="X32" s="13">
        <v>48.613107828414236</v>
      </c>
      <c r="Y32" s="13">
        <f t="shared" si="12"/>
        <v>57.936908496138756</v>
      </c>
      <c r="Z32" s="13">
        <v>64.023863789857145</v>
      </c>
      <c r="AB32" s="13">
        <f t="shared" si="13"/>
        <v>63.540217168021101</v>
      </c>
      <c r="AC32" s="13"/>
      <c r="AE32" s="33">
        <f t="shared" si="1"/>
        <v>3.7733853672147672</v>
      </c>
      <c r="AF32" s="33">
        <f t="shared" si="2"/>
        <v>-3.9098089913784317</v>
      </c>
      <c r="AH32">
        <v>6</v>
      </c>
      <c r="AI32">
        <v>0</v>
      </c>
      <c r="AJ32">
        <v>22</v>
      </c>
    </row>
    <row r="33" spans="1:36">
      <c r="A33">
        <v>2038</v>
      </c>
      <c r="C33" s="13">
        <f t="shared" si="16"/>
        <v>59.110854323429628</v>
      </c>
      <c r="D33" s="84">
        <f t="shared" si="8"/>
        <v>59.477490635695865</v>
      </c>
      <c r="E33" s="84">
        <f>J33-SUM(F$7:F33)</f>
        <v>2.3767655803564067</v>
      </c>
      <c r="F33" s="13">
        <f t="shared" si="9"/>
        <v>0.14500000000000005</v>
      </c>
      <c r="G33" s="13">
        <f t="shared" si="10"/>
        <v>1</v>
      </c>
      <c r="H33" s="13">
        <f t="shared" si="15"/>
        <v>1</v>
      </c>
      <c r="I33" s="20">
        <f>I32+(I35-I15)/20</f>
        <v>0.14500000000000005</v>
      </c>
      <c r="J33" s="13">
        <f t="shared" si="11"/>
        <v>4.7042655803564069</v>
      </c>
      <c r="K33" s="13"/>
      <c r="L33" s="84">
        <f t="shared" si="14"/>
        <v>64.416606934997532</v>
      </c>
      <c r="M33" s="13">
        <f t="shared" si="5"/>
        <v>64.480418758306072</v>
      </c>
      <c r="N33" s="13">
        <f t="shared" si="6"/>
        <v>2039.900160607034</v>
      </c>
      <c r="O33" s="13">
        <f t="shared" si="7"/>
        <v>2014.0490290385815</v>
      </c>
      <c r="P33" s="13">
        <f t="shared" si="17"/>
        <v>0.93264531263090245</v>
      </c>
      <c r="R33">
        <v>2038</v>
      </c>
      <c r="S33" s="13">
        <v>59.110854323429628</v>
      </c>
      <c r="T33" s="13">
        <v>59.110854323429628</v>
      </c>
      <c r="U33" s="13">
        <v>59.110854323429628</v>
      </c>
      <c r="W33">
        <v>2038</v>
      </c>
      <c r="X33" s="13">
        <v>50.905035102594034</v>
      </c>
      <c r="Y33" s="13">
        <f t="shared" si="12"/>
        <v>59.110854323429628</v>
      </c>
      <c r="Z33" s="13">
        <v>64.291647276722784</v>
      </c>
      <c r="AB33" s="13">
        <f t="shared" si="13"/>
        <v>63.963661672656372</v>
      </c>
      <c r="AC33" s="13"/>
      <c r="AE33" s="33">
        <f t="shared" si="1"/>
        <v>4.1226214744235499</v>
      </c>
      <c r="AF33" s="33">
        <f t="shared" si="2"/>
        <v>-3.9098089913784317</v>
      </c>
      <c r="AH33">
        <v>6</v>
      </c>
      <c r="AI33">
        <v>0</v>
      </c>
      <c r="AJ33">
        <v>23</v>
      </c>
    </row>
    <row r="34" spans="1:36">
      <c r="A34">
        <v>2039</v>
      </c>
      <c r="C34" s="13">
        <f t="shared" si="16"/>
        <v>60.100956023586413</v>
      </c>
      <c r="D34" s="84">
        <f t="shared" si="8"/>
        <v>60.412658712038855</v>
      </c>
      <c r="E34" s="84">
        <f>J34-SUM(F$7:F34)</f>
        <v>2.5778980481543292</v>
      </c>
      <c r="F34" s="13">
        <f t="shared" si="9"/>
        <v>0.14750000000000005</v>
      </c>
      <c r="G34" s="13">
        <f t="shared" si="10"/>
        <v>1</v>
      </c>
      <c r="H34" s="13">
        <f t="shared" si="15"/>
        <v>1</v>
      </c>
      <c r="I34" s="20">
        <f>I33+(I35-I15)/20</f>
        <v>0.14750000000000005</v>
      </c>
      <c r="J34" s="13">
        <f t="shared" si="11"/>
        <v>5.0528980481543293</v>
      </c>
      <c r="K34" s="13"/>
      <c r="L34" s="84">
        <f t="shared" si="14"/>
        <v>64.587236805563904</v>
      </c>
      <c r="M34" s="13">
        <f t="shared" si="5"/>
        <v>64.632712050467561</v>
      </c>
      <c r="N34" s="13">
        <f t="shared" si="6"/>
        <v>2040.900160607034</v>
      </c>
      <c r="O34" s="13">
        <f t="shared" si="7"/>
        <v>2014.0490290385815</v>
      </c>
      <c r="P34" s="13">
        <f t="shared" si="17"/>
        <v>0.93264531263090245</v>
      </c>
      <c r="R34">
        <v>2039</v>
      </c>
      <c r="S34" s="13">
        <v>60.100956023586413</v>
      </c>
      <c r="T34" s="13">
        <v>60.100956023586413</v>
      </c>
      <c r="U34" s="13">
        <v>60.100956023586413</v>
      </c>
      <c r="W34">
        <v>2039</v>
      </c>
      <c r="X34" s="13">
        <v>52.95199395753459</v>
      </c>
      <c r="Y34" s="13">
        <f t="shared" si="12"/>
        <v>60.100956023586413</v>
      </c>
      <c r="Z34" s="13">
        <v>64.486683864995754</v>
      </c>
      <c r="AB34" s="13">
        <f t="shared" si="13"/>
        <v>64.265695582398237</v>
      </c>
      <c r="AC34" s="13"/>
      <c r="AE34" s="33">
        <f t="shared" si="1"/>
        <v>4.4718575816323316</v>
      </c>
      <c r="AF34" s="33">
        <f t="shared" si="2"/>
        <v>-3.9098089913784317</v>
      </c>
      <c r="AH34">
        <v>6</v>
      </c>
      <c r="AI34">
        <v>0</v>
      </c>
      <c r="AJ34">
        <v>24</v>
      </c>
    </row>
    <row r="35" spans="1:36">
      <c r="A35">
        <v>2040</v>
      </c>
      <c r="C35" s="13">
        <f t="shared" si="16"/>
        <v>60.931984632212469</v>
      </c>
      <c r="D35" s="84">
        <f>65*EXP(E35)/(1+EXP(E35))</f>
        <v>61.191261234407762</v>
      </c>
      <c r="E35" s="84">
        <f>J35-SUM(F$7:F35)</f>
        <v>2.7767062873530692</v>
      </c>
      <c r="F35" s="13">
        <f t="shared" si="9"/>
        <v>0.15</v>
      </c>
      <c r="G35" s="13">
        <f t="shared" si="10"/>
        <v>1</v>
      </c>
      <c r="H35" s="13">
        <f t="shared" si="15"/>
        <v>1</v>
      </c>
      <c r="I35" s="89">
        <v>0.15</v>
      </c>
      <c r="J35" s="13">
        <f t="shared" si="11"/>
        <v>5.4017062873530692</v>
      </c>
      <c r="K35" s="13">
        <v>0.2</v>
      </c>
      <c r="L35" s="84">
        <f t="shared" si="14"/>
        <v>64.708238258582384</v>
      </c>
      <c r="M35" s="13">
        <f t="shared" si="5"/>
        <v>64.740546611159417</v>
      </c>
      <c r="N35" s="13">
        <f t="shared" si="6"/>
        <v>2041.900160607034</v>
      </c>
      <c r="O35" s="13">
        <f t="shared" si="7"/>
        <v>2014.0490290385815</v>
      </c>
      <c r="P35" s="13">
        <f t="shared" si="17"/>
        <v>0.93264531263090245</v>
      </c>
      <c r="R35" s="87">
        <v>2040</v>
      </c>
      <c r="S35" s="13">
        <v>60.931984632212469</v>
      </c>
      <c r="T35" s="13">
        <v>60.931984632212469</v>
      </c>
      <c r="U35" s="13">
        <v>60.931984632212469</v>
      </c>
      <c r="W35" s="87">
        <v>2040</v>
      </c>
      <c r="X35" s="13">
        <v>54.758393843358284</v>
      </c>
      <c r="Y35" s="13">
        <f t="shared" si="12"/>
        <v>60.931984632212469</v>
      </c>
      <c r="Z35" s="13">
        <v>64.628372559257514</v>
      </c>
      <c r="AB35" s="13">
        <f t="shared" si="13"/>
        <v>64.480418758306072</v>
      </c>
      <c r="AC35" s="13"/>
      <c r="AE35" s="33">
        <f t="shared" si="1"/>
        <v>4.8210936888411133</v>
      </c>
      <c r="AF35" s="33">
        <f t="shared" si="2"/>
        <v>-3.9098089913784317</v>
      </c>
      <c r="AH35">
        <v>6</v>
      </c>
      <c r="AI35">
        <v>0</v>
      </c>
      <c r="AJ35">
        <v>25</v>
      </c>
    </row>
    <row r="36" spans="1:36">
      <c r="A36">
        <v>2041</v>
      </c>
      <c r="C36" s="13">
        <f t="shared" si="16"/>
        <v>61.627097564996483</v>
      </c>
      <c r="D36" s="84">
        <f t="shared" si="8"/>
        <v>61.844990414744117</v>
      </c>
      <c r="E36" s="84">
        <f>J36-SUM(F$7:F36)</f>
        <v>2.9756395657340575</v>
      </c>
      <c r="F36" s="13">
        <f t="shared" si="9"/>
        <v>0.15</v>
      </c>
      <c r="G36" s="13">
        <f t="shared" si="10"/>
        <v>1</v>
      </c>
      <c r="H36" s="13">
        <f t="shared" si="15"/>
        <v>1</v>
      </c>
      <c r="I36" s="89">
        <f>I35</f>
        <v>0.15</v>
      </c>
      <c r="J36" s="13">
        <f t="shared" si="11"/>
        <v>5.7506395657340574</v>
      </c>
      <c r="K36" s="13"/>
      <c r="L36" s="84">
        <f t="shared" si="14"/>
        <v>64.793907049062426</v>
      </c>
      <c r="M36" s="13">
        <f t="shared" si="5"/>
        <v>64.816811025488292</v>
      </c>
      <c r="N36" s="13">
        <f t="shared" si="6"/>
        <v>2042.900160607034</v>
      </c>
      <c r="O36" s="13">
        <f t="shared" si="7"/>
        <v>2014.0490290385815</v>
      </c>
      <c r="P36" s="13">
        <f t="shared" si="17"/>
        <v>0.93264531263090245</v>
      </c>
      <c r="R36">
        <v>2041</v>
      </c>
      <c r="S36" s="13">
        <v>61.627097564996483</v>
      </c>
      <c r="T36" s="13">
        <v>61.627097564996483</v>
      </c>
      <c r="U36" s="13">
        <v>61.627097564996483</v>
      </c>
      <c r="W36">
        <v>2041</v>
      </c>
      <c r="X36" s="13">
        <v>56.336260463561416</v>
      </c>
      <c r="Y36" s="13">
        <f t="shared" si="12"/>
        <v>61.627097564996483</v>
      </c>
      <c r="Z36" s="13">
        <v>64.731125610654956</v>
      </c>
      <c r="AB36" s="13">
        <f t="shared" ref="AB36:AB50" si="18">65*EXP(AE36)/(1+EXP(AE36))</f>
        <v>64.632712050467561</v>
      </c>
      <c r="AC36" s="13"/>
      <c r="AE36" s="33">
        <f t="shared" si="1"/>
        <v>5.1703297960498951</v>
      </c>
      <c r="AF36" s="33">
        <f t="shared" si="2"/>
        <v>-3.9098089913784317</v>
      </c>
      <c r="AH36">
        <v>6</v>
      </c>
      <c r="AI36">
        <v>0</v>
      </c>
      <c r="AJ36">
        <v>26</v>
      </c>
    </row>
    <row r="37" spans="1:36">
      <c r="A37">
        <v>2042</v>
      </c>
      <c r="C37" s="13">
        <f t="shared" si="16"/>
        <v>62.20721190073521</v>
      </c>
      <c r="D37" s="84">
        <f t="shared" si="8"/>
        <v>62.391519687287122</v>
      </c>
      <c r="E37" s="84">
        <f>J37-SUM(F$7:F37)</f>
        <v>3.1746615676001078</v>
      </c>
      <c r="F37" s="13">
        <f t="shared" si="9"/>
        <v>0.15</v>
      </c>
      <c r="G37" s="13">
        <f t="shared" si="10"/>
        <v>1</v>
      </c>
      <c r="H37" s="13">
        <f t="shared" si="15"/>
        <v>1</v>
      </c>
      <c r="I37" s="89">
        <f t="shared" ref="I37:I50" si="19">I36</f>
        <v>0.15</v>
      </c>
      <c r="J37" s="13">
        <f t="shared" si="11"/>
        <v>6.0996615676001076</v>
      </c>
      <c r="K37" s="13"/>
      <c r="L37" s="84">
        <f t="shared" si="14"/>
        <v>64.854490719578507</v>
      </c>
      <c r="M37" s="13">
        <f t="shared" si="5"/>
        <v>64.870702847490548</v>
      </c>
      <c r="N37" s="13">
        <f t="shared" si="6"/>
        <v>2043.900160607034</v>
      </c>
      <c r="O37" s="13">
        <f t="shared" si="7"/>
        <v>2014.0490290385815</v>
      </c>
      <c r="P37" s="13">
        <f t="shared" si="17"/>
        <v>0.93264531263090245</v>
      </c>
      <c r="R37">
        <v>2042</v>
      </c>
      <c r="S37" s="13">
        <v>62.20721190073521</v>
      </c>
      <c r="T37" s="13">
        <v>62.20721190073521</v>
      </c>
      <c r="U37" s="13">
        <v>62.20721190073521</v>
      </c>
      <c r="W37">
        <v>2042</v>
      </c>
      <c r="X37" s="13">
        <v>57.702822184331914</v>
      </c>
      <c r="Y37" s="13">
        <f t="shared" si="12"/>
        <v>62.20721190073521</v>
      </c>
      <c r="Z37" s="13">
        <v>64.805556782312536</v>
      </c>
      <c r="AB37" s="13">
        <f t="shared" si="18"/>
        <v>64.740546611159417</v>
      </c>
      <c r="AC37" s="13"/>
      <c r="AE37" s="33">
        <f t="shared" si="1"/>
        <v>5.5195659032586768</v>
      </c>
      <c r="AF37" s="33">
        <f t="shared" si="2"/>
        <v>-3.9098089913784317</v>
      </c>
      <c r="AH37">
        <v>6</v>
      </c>
      <c r="AI37">
        <v>0</v>
      </c>
      <c r="AJ37">
        <v>27</v>
      </c>
    </row>
    <row r="38" spans="1:36">
      <c r="A38">
        <v>2043</v>
      </c>
      <c r="C38" s="13">
        <f t="shared" si="16"/>
        <v>62.690745151365839</v>
      </c>
      <c r="D38" s="84">
        <f t="shared" si="8"/>
        <v>62.846803123044559</v>
      </c>
      <c r="E38" s="84">
        <f>J38-SUM(F$7:F38)</f>
        <v>3.3737464112728204</v>
      </c>
      <c r="F38" s="13">
        <f t="shared" si="9"/>
        <v>0.15</v>
      </c>
      <c r="G38" s="13">
        <f t="shared" si="10"/>
        <v>1</v>
      </c>
      <c r="H38" s="13">
        <f t="shared" si="15"/>
        <v>1</v>
      </c>
      <c r="I38" s="89">
        <f t="shared" si="19"/>
        <v>0.15</v>
      </c>
      <c r="J38" s="13">
        <f t="shared" si="11"/>
        <v>6.4487464112728201</v>
      </c>
      <c r="K38" s="13"/>
      <c r="L38" s="84">
        <f t="shared" si="14"/>
        <v>64.897299715851744</v>
      </c>
      <c r="M38" s="13">
        <f t="shared" si="5"/>
        <v>64.908762710706355</v>
      </c>
      <c r="N38" s="13">
        <f t="shared" si="6"/>
        <v>2044.900160607034</v>
      </c>
      <c r="O38" s="13">
        <f t="shared" si="7"/>
        <v>2014.0490290385815</v>
      </c>
      <c r="P38" s="13">
        <f t="shared" si="17"/>
        <v>0.93264531263090245</v>
      </c>
      <c r="R38">
        <v>2043</v>
      </c>
      <c r="S38" s="13">
        <v>62.690745151365839</v>
      </c>
      <c r="T38" s="13">
        <v>62.690745151365839</v>
      </c>
      <c r="U38" s="13">
        <v>62.690745151365839</v>
      </c>
      <c r="W38">
        <v>2043</v>
      </c>
      <c r="X38" s="13">
        <v>58.878272906399154</v>
      </c>
      <c r="Y38" s="13">
        <f t="shared" si="12"/>
        <v>62.690745151365839</v>
      </c>
      <c r="Z38" s="13">
        <v>64.859434070647964</v>
      </c>
      <c r="AB38" s="13">
        <f t="shared" si="18"/>
        <v>64.816811025488292</v>
      </c>
      <c r="AC38" s="13"/>
      <c r="AE38" s="33">
        <f t="shared" si="1"/>
        <v>5.8688020104674585</v>
      </c>
      <c r="AF38" s="33">
        <f t="shared" si="2"/>
        <v>-3.9098089913784317</v>
      </c>
      <c r="AH38">
        <v>6</v>
      </c>
      <c r="AI38">
        <v>0</v>
      </c>
      <c r="AJ38">
        <v>28</v>
      </c>
    </row>
    <row r="39" spans="1:36">
      <c r="A39">
        <v>2044</v>
      </c>
      <c r="C39" s="13">
        <f t="shared" si="16"/>
        <v>63.093606989022319</v>
      </c>
      <c r="D39" s="84">
        <f t="shared" si="8"/>
        <v>63.224959147757097</v>
      </c>
      <c r="E39" s="84">
        <f>J39-SUM(F$7:F39)</f>
        <v>3.5728757084045197</v>
      </c>
      <c r="F39" s="13">
        <f t="shared" si="9"/>
        <v>0.15</v>
      </c>
      <c r="G39" s="13">
        <f t="shared" si="10"/>
        <v>1</v>
      </c>
      <c r="H39" s="13">
        <f t="shared" si="15"/>
        <v>1</v>
      </c>
      <c r="I39" s="89">
        <f t="shared" si="19"/>
        <v>0.15</v>
      </c>
      <c r="J39" s="13">
        <f t="shared" si="11"/>
        <v>6.7978757084045194</v>
      </c>
      <c r="K39" s="13"/>
      <c r="L39" s="84">
        <f t="shared" si="14"/>
        <v>64.927531548223016</v>
      </c>
      <c r="M39" s="13">
        <f t="shared" si="5"/>
        <v>64.935630403047924</v>
      </c>
      <c r="N39" s="13">
        <f t="shared" si="6"/>
        <v>2045.900160607034</v>
      </c>
      <c r="O39" s="13">
        <f t="shared" si="7"/>
        <v>2014.0490290385815</v>
      </c>
      <c r="P39" s="13">
        <f t="shared" si="17"/>
        <v>0.93264531263090245</v>
      </c>
      <c r="R39">
        <v>2044</v>
      </c>
      <c r="S39" s="13">
        <v>63.093606989022319</v>
      </c>
      <c r="T39" s="13">
        <v>63.093606989022319</v>
      </c>
      <c r="U39" s="13">
        <v>63.093606989022319</v>
      </c>
      <c r="W39">
        <v>2044</v>
      </c>
      <c r="X39" s="13">
        <v>59.883931413995697</v>
      </c>
      <c r="Y39" s="13">
        <f t="shared" si="12"/>
        <v>63.093606989022319</v>
      </c>
      <c r="Z39" s="13">
        <v>64.898418004049788</v>
      </c>
      <c r="AB39" s="13">
        <f t="shared" si="18"/>
        <v>64.870702847490548</v>
      </c>
      <c r="AC39" s="13"/>
      <c r="AE39" s="33">
        <f t="shared" si="1"/>
        <v>6.2180381176762403</v>
      </c>
      <c r="AF39" s="33">
        <f t="shared" si="2"/>
        <v>-3.9098089913784317</v>
      </c>
      <c r="AH39">
        <v>6</v>
      </c>
      <c r="AI39">
        <v>0</v>
      </c>
      <c r="AJ39">
        <v>29</v>
      </c>
    </row>
    <row r="40" spans="1:36">
      <c r="A40">
        <v>2045</v>
      </c>
      <c r="C40" s="13">
        <f t="shared" si="16"/>
        <v>63.428271807956612</v>
      </c>
      <c r="D40" s="84">
        <f t="shared" si="8"/>
        <v>63.538290985866993</v>
      </c>
      <c r="E40" s="84">
        <f>J40-SUM(F$7:F40)</f>
        <v>3.7720364230368522</v>
      </c>
      <c r="F40" s="13">
        <f t="shared" si="9"/>
        <v>0.15</v>
      </c>
      <c r="G40" s="13">
        <f t="shared" si="10"/>
        <v>1</v>
      </c>
      <c r="H40" s="13">
        <f t="shared" si="15"/>
        <v>1</v>
      </c>
      <c r="I40" s="89">
        <f t="shared" si="19"/>
        <v>0.15</v>
      </c>
      <c r="J40" s="13">
        <f t="shared" si="11"/>
        <v>7.1470364230368517</v>
      </c>
      <c r="K40" s="13"/>
      <c r="L40" s="84">
        <f t="shared" si="14"/>
        <v>64.948872667234923</v>
      </c>
      <c r="M40" s="13">
        <f t="shared" si="5"/>
        <v>64.954591592525631</v>
      </c>
      <c r="N40" s="13">
        <f t="shared" si="6"/>
        <v>2046.900160607034</v>
      </c>
      <c r="O40" s="13">
        <f t="shared" si="7"/>
        <v>2014.0490290385815</v>
      </c>
      <c r="P40" s="13">
        <f t="shared" si="17"/>
        <v>0.93264531263090245</v>
      </c>
      <c r="R40">
        <v>2045</v>
      </c>
      <c r="S40" s="13">
        <v>63.428271807956612</v>
      </c>
      <c r="T40" s="13">
        <v>63.428271807956612</v>
      </c>
      <c r="U40" s="13">
        <v>63.428271807956612</v>
      </c>
      <c r="W40">
        <v>2045</v>
      </c>
      <c r="X40" s="13">
        <v>60.738300631103883</v>
      </c>
      <c r="Y40" s="13">
        <f t="shared" si="12"/>
        <v>63.428271807956612</v>
      </c>
      <c r="Z40" s="13">
        <v>64.926608699044365</v>
      </c>
      <c r="AB40" s="13">
        <f t="shared" si="18"/>
        <v>64.908762710706355</v>
      </c>
      <c r="AC40" s="13"/>
      <c r="AE40" s="33">
        <f t="shared" si="1"/>
        <v>6.567274224885022</v>
      </c>
      <c r="AF40" s="33">
        <f t="shared" si="2"/>
        <v>-3.9098089913784317</v>
      </c>
      <c r="AH40">
        <v>6</v>
      </c>
      <c r="AI40">
        <v>0</v>
      </c>
      <c r="AJ40">
        <v>30</v>
      </c>
    </row>
    <row r="41" spans="1:36">
      <c r="A41">
        <v>2046</v>
      </c>
      <c r="C41" s="13">
        <f t="shared" si="16"/>
        <v>63.705607935449784</v>
      </c>
      <c r="D41" s="84">
        <f t="shared" si="8"/>
        <v>63.79739146645322</v>
      </c>
      <c r="E41" s="84">
        <f>J41-SUM(F$7:F41)</f>
        <v>3.9712193278964794</v>
      </c>
      <c r="F41" s="13">
        <f t="shared" si="9"/>
        <v>0.15</v>
      </c>
      <c r="G41" s="13">
        <f t="shared" si="10"/>
        <v>1</v>
      </c>
      <c r="H41" s="13">
        <f t="shared" si="15"/>
        <v>1</v>
      </c>
      <c r="I41" s="89">
        <f t="shared" si="19"/>
        <v>0.15</v>
      </c>
      <c r="J41" s="13">
        <f t="shared" si="11"/>
        <v>7.4962193278964788</v>
      </c>
      <c r="K41" s="13"/>
      <c r="L41" s="84">
        <f t="shared" si="14"/>
        <v>64.963933365146517</v>
      </c>
      <c r="M41" s="13">
        <f t="shared" si="5"/>
        <v>64.967970187344591</v>
      </c>
      <c r="N41" s="13">
        <f t="shared" si="6"/>
        <v>2047.900160607034</v>
      </c>
      <c r="O41" s="13">
        <f t="shared" si="7"/>
        <v>2014.0490290385815</v>
      </c>
      <c r="P41" s="13">
        <f t="shared" si="17"/>
        <v>0.93264531263090245</v>
      </c>
      <c r="R41">
        <v>2046</v>
      </c>
      <c r="S41" s="13">
        <v>63.705607935449784</v>
      </c>
      <c r="T41" s="13">
        <v>63.705607935449784</v>
      </c>
      <c r="U41" s="13">
        <v>63.705607935449784</v>
      </c>
      <c r="W41">
        <v>2046</v>
      </c>
      <c r="X41" s="13">
        <v>61.459802793626189</v>
      </c>
      <c r="Y41" s="13">
        <f t="shared" si="12"/>
        <v>63.705607935449784</v>
      </c>
      <c r="Z41" s="13">
        <v>64.946899679981158</v>
      </c>
      <c r="AB41" s="13">
        <f t="shared" si="18"/>
        <v>64.935630403047924</v>
      </c>
      <c r="AC41" s="13"/>
      <c r="AE41" s="33">
        <f t="shared" si="1"/>
        <v>6.9165103320938037</v>
      </c>
      <c r="AF41" s="33">
        <f t="shared" si="2"/>
        <v>-3.9098089913784317</v>
      </c>
      <c r="AH41">
        <v>6</v>
      </c>
      <c r="AI41">
        <v>0</v>
      </c>
      <c r="AJ41">
        <v>31</v>
      </c>
    </row>
    <row r="42" spans="1:36">
      <c r="A42">
        <v>2047</v>
      </c>
      <c r="C42" s="13">
        <f t="shared" si="16"/>
        <v>63.934973544822398</v>
      </c>
      <c r="D42" s="84">
        <f t="shared" si="8"/>
        <v>64.011294098003134</v>
      </c>
      <c r="E42" s="84">
        <f>J42-SUM(F$7:F42)</f>
        <v>4.1704178987171119</v>
      </c>
      <c r="F42" s="13">
        <f t="shared" si="9"/>
        <v>0.15</v>
      </c>
      <c r="G42" s="13">
        <f t="shared" si="10"/>
        <v>1</v>
      </c>
      <c r="H42" s="13">
        <f t="shared" si="15"/>
        <v>1</v>
      </c>
      <c r="I42" s="89">
        <f t="shared" si="19"/>
        <v>0.15</v>
      </c>
      <c r="J42" s="13">
        <f t="shared" si="11"/>
        <v>7.8454178987171117</v>
      </c>
      <c r="K42" s="13"/>
      <c r="L42" s="84">
        <f t="shared" si="14"/>
        <v>64.974559734242902</v>
      </c>
      <c r="M42" s="13">
        <f t="shared" si="5"/>
        <v>64.977408442550114</v>
      </c>
      <c r="N42" s="13">
        <f t="shared" si="6"/>
        <v>2048.9001606070342</v>
      </c>
      <c r="O42" s="13">
        <f t="shared" si="7"/>
        <v>2014.0490290385815</v>
      </c>
      <c r="P42" s="13">
        <f t="shared" si="17"/>
        <v>0.93264531263090245</v>
      </c>
      <c r="R42">
        <v>2047</v>
      </c>
      <c r="S42" s="13">
        <v>63.934973544822398</v>
      </c>
      <c r="T42" s="13">
        <v>63.934973544822398</v>
      </c>
      <c r="U42" s="13">
        <v>63.934973544822398</v>
      </c>
      <c r="W42">
        <v>2047</v>
      </c>
      <c r="X42" s="13">
        <v>62.066013698395416</v>
      </c>
      <c r="Y42" s="13">
        <f t="shared" si="12"/>
        <v>63.934973544822398</v>
      </c>
      <c r="Z42" s="13">
        <v>64.961385998754778</v>
      </c>
      <c r="AB42" s="13">
        <f t="shared" si="18"/>
        <v>64.954591592525631</v>
      </c>
      <c r="AC42" s="13"/>
      <c r="AE42" s="33">
        <f t="shared" si="1"/>
        <v>7.2657464393025855</v>
      </c>
      <c r="AF42" s="33">
        <f t="shared" si="2"/>
        <v>-3.9098089913784317</v>
      </c>
      <c r="AH42">
        <v>6</v>
      </c>
      <c r="AI42">
        <v>0</v>
      </c>
      <c r="AJ42">
        <v>32</v>
      </c>
    </row>
    <row r="43" spans="1:36">
      <c r="A43">
        <v>2048</v>
      </c>
      <c r="C43" s="13">
        <f t="shared" si="16"/>
        <v>64.124351024333706</v>
      </c>
      <c r="D43" s="84">
        <f t="shared" si="8"/>
        <v>64.187644147284175</v>
      </c>
      <c r="E43" s="84">
        <f>J43-SUM(F$7:F43)</f>
        <v>4.3696275259679798</v>
      </c>
      <c r="F43" s="13">
        <f t="shared" si="9"/>
        <v>0.15</v>
      </c>
      <c r="G43" s="13">
        <f t="shared" si="10"/>
        <v>1</v>
      </c>
      <c r="H43" s="13">
        <f t="shared" si="15"/>
        <v>1</v>
      </c>
      <c r="I43" s="89">
        <f t="shared" si="19"/>
        <v>0.15</v>
      </c>
      <c r="J43" s="13">
        <f t="shared" si="11"/>
        <v>8.1946275259679791</v>
      </c>
      <c r="K43" s="13"/>
      <c r="L43" s="84">
        <f t="shared" si="14"/>
        <v>64.982056302700173</v>
      </c>
      <c r="M43" s="13">
        <f t="shared" si="5"/>
        <v>64.98406620026428</v>
      </c>
      <c r="N43" s="13">
        <f t="shared" si="6"/>
        <v>2049.9001606070342</v>
      </c>
      <c r="O43" s="13">
        <f t="shared" si="7"/>
        <v>2014.0490290385815</v>
      </c>
      <c r="P43" s="13">
        <f t="shared" si="17"/>
        <v>0.93264531263090245</v>
      </c>
      <c r="R43">
        <v>2048</v>
      </c>
      <c r="S43" s="13">
        <v>64.124351024333706</v>
      </c>
      <c r="T43" s="13">
        <v>64.124351024333706</v>
      </c>
      <c r="U43" s="13">
        <v>64.124351024333706</v>
      </c>
      <c r="W43">
        <v>2048</v>
      </c>
      <c r="X43" s="13">
        <v>62.573180772306557</v>
      </c>
      <c r="Y43" s="13">
        <f t="shared" si="12"/>
        <v>64.124351024333706</v>
      </c>
      <c r="Z43" s="13">
        <v>64.971581293530036</v>
      </c>
      <c r="AB43" s="13">
        <f t="shared" si="18"/>
        <v>64.967970187344591</v>
      </c>
      <c r="AC43" s="13"/>
      <c r="AE43" s="33">
        <f t="shared" si="1"/>
        <v>7.6149825465113672</v>
      </c>
      <c r="AF43" s="33">
        <f t="shared" si="2"/>
        <v>-3.9098089913784317</v>
      </c>
      <c r="AH43">
        <v>6</v>
      </c>
      <c r="AI43">
        <v>0</v>
      </c>
      <c r="AJ43">
        <v>33</v>
      </c>
    </row>
    <row r="44" spans="1:36">
      <c r="A44">
        <v>2049</v>
      </c>
      <c r="C44" s="13">
        <f t="shared" si="16"/>
        <v>64.278564934374558</v>
      </c>
      <c r="D44" s="84">
        <f t="shared" si="8"/>
        <v>64.332872579739274</v>
      </c>
      <c r="E44" s="84">
        <f>J44-SUM(F$7:F44)</f>
        <v>4.5688449546758605</v>
      </c>
      <c r="F44" s="13">
        <f t="shared" si="9"/>
        <v>0.15</v>
      </c>
      <c r="G44" s="13">
        <f t="shared" si="10"/>
        <v>1</v>
      </c>
      <c r="H44" s="13">
        <f t="shared" si="15"/>
        <v>1</v>
      </c>
      <c r="I44" s="89">
        <f t="shared" si="19"/>
        <v>0.15</v>
      </c>
      <c r="J44" s="13">
        <f t="shared" si="11"/>
        <v>8.5438449546758601</v>
      </c>
      <c r="K44" s="13"/>
      <c r="L44" s="84">
        <f t="shared" si="14"/>
        <v>64.987344361170713</v>
      </c>
      <c r="M44" s="13">
        <f t="shared" si="5"/>
        <v>64.988762248529909</v>
      </c>
      <c r="N44" s="13">
        <f t="shared" si="6"/>
        <v>2050.9001606070342</v>
      </c>
      <c r="O44" s="13">
        <f t="shared" si="7"/>
        <v>2014.0490290385815</v>
      </c>
      <c r="P44" s="13">
        <f t="shared" si="17"/>
        <v>0.93264531263090245</v>
      </c>
      <c r="R44">
        <v>2049</v>
      </c>
      <c r="S44" s="13">
        <v>64.278564934374558</v>
      </c>
      <c r="T44" s="13">
        <v>64.278564934374558</v>
      </c>
      <c r="U44" s="13">
        <v>64.278564934374558</v>
      </c>
      <c r="W44">
        <v>2049</v>
      </c>
      <c r="X44" s="13">
        <v>62.99596580440663</v>
      </c>
      <c r="Y44" s="13">
        <f t="shared" si="12"/>
        <v>64.278564934374558</v>
      </c>
      <c r="Z44" s="13">
        <v>64.978576772646576</v>
      </c>
      <c r="AB44" s="13">
        <f t="shared" si="18"/>
        <v>64.977408442550114</v>
      </c>
      <c r="AC44" s="13"/>
      <c r="AE44" s="33">
        <f t="shared" si="1"/>
        <v>7.9642186537201489</v>
      </c>
      <c r="AF44" s="33">
        <f t="shared" si="2"/>
        <v>-3.9098089913784317</v>
      </c>
      <c r="AH44">
        <v>6</v>
      </c>
      <c r="AI44">
        <v>0</v>
      </c>
      <c r="AJ44">
        <v>34</v>
      </c>
    </row>
    <row r="45" spans="1:36">
      <c r="A45">
        <v>2050</v>
      </c>
      <c r="C45" s="13">
        <f t="shared" si="16"/>
        <v>64.40108218698748</v>
      </c>
      <c r="D45" s="84">
        <f t="shared" si="8"/>
        <v>64.452362388652872</v>
      </c>
      <c r="E45" s="84">
        <f>J45-SUM(F$7:F45)</f>
        <v>4.7680678872555804</v>
      </c>
      <c r="F45" s="13">
        <f t="shared" si="9"/>
        <v>0.15</v>
      </c>
      <c r="G45" s="13">
        <f t="shared" si="10"/>
        <v>1</v>
      </c>
      <c r="H45" s="13">
        <f t="shared" si="15"/>
        <v>1</v>
      </c>
      <c r="I45" s="89">
        <f t="shared" si="19"/>
        <v>0.15</v>
      </c>
      <c r="J45" s="13">
        <f t="shared" si="11"/>
        <v>8.8930678872555795</v>
      </c>
      <c r="K45" s="13"/>
      <c r="L45" s="84">
        <f t="shared" si="14"/>
        <v>64.991074276994738</v>
      </c>
      <c r="M45" s="13">
        <f t="shared" si="5"/>
        <v>64.99207443481194</v>
      </c>
      <c r="N45" s="13">
        <f t="shared" si="6"/>
        <v>2051.9001606070342</v>
      </c>
      <c r="O45" s="13">
        <f t="shared" si="7"/>
        <v>2014.0490290385815</v>
      </c>
      <c r="P45" s="13">
        <f t="shared" si="17"/>
        <v>0.93264531263090245</v>
      </c>
      <c r="R45">
        <v>2050</v>
      </c>
      <c r="S45" s="13">
        <v>64.40108218698748</v>
      </c>
      <c r="T45" s="13">
        <v>64.40108218698748</v>
      </c>
      <c r="U45" s="13">
        <v>64.40108218698748</v>
      </c>
      <c r="W45">
        <v>2050</v>
      </c>
      <c r="X45" s="13">
        <v>63.347353306823138</v>
      </c>
      <c r="Y45" s="13">
        <f t="shared" si="12"/>
        <v>64.40108218698748</v>
      </c>
      <c r="Z45" s="13">
        <v>64.983157187821604</v>
      </c>
      <c r="AB45" s="13">
        <f t="shared" si="18"/>
        <v>64.98406620026428</v>
      </c>
      <c r="AC45" s="13"/>
      <c r="AE45" s="33">
        <f t="shared" si="1"/>
        <v>8.3134547609289307</v>
      </c>
      <c r="AF45" s="33">
        <f t="shared" si="2"/>
        <v>-3.9098089913784317</v>
      </c>
      <c r="AH45">
        <v>6</v>
      </c>
      <c r="AI45">
        <v>0</v>
      </c>
      <c r="AJ45">
        <v>35</v>
      </c>
    </row>
    <row r="46" spans="1:36">
      <c r="A46">
        <v>2051</v>
      </c>
      <c r="C46" s="20">
        <f t="shared" si="16"/>
        <v>64.54232002236327</v>
      </c>
      <c r="D46" s="84">
        <f t="shared" si="8"/>
        <v>64.550601504336299</v>
      </c>
      <c r="E46" s="84">
        <f>J46-SUM(F$7:F46)</f>
        <v>4.9672947023435681</v>
      </c>
      <c r="F46" s="13">
        <f t="shared" si="9"/>
        <v>0.15</v>
      </c>
      <c r="G46" s="13">
        <f t="shared" si="10"/>
        <v>1</v>
      </c>
      <c r="H46" s="13">
        <f t="shared" si="15"/>
        <v>1</v>
      </c>
      <c r="I46" s="89">
        <f t="shared" si="19"/>
        <v>0.15</v>
      </c>
      <c r="J46" s="13">
        <f t="shared" si="11"/>
        <v>9.2422947023435675</v>
      </c>
      <c r="K46" s="13"/>
      <c r="L46" s="84">
        <f t="shared" si="14"/>
        <v>64.993705029406101</v>
      </c>
      <c r="M46" s="13">
        <f t="shared" si="5"/>
        <v>64.994410479697351</v>
      </c>
      <c r="N46" s="13">
        <f t="shared" si="6"/>
        <v>2052.9001606070342</v>
      </c>
      <c r="O46" s="13">
        <f t="shared" si="7"/>
        <v>2014.0490290385815</v>
      </c>
      <c r="P46" s="13">
        <f t="shared" si="17"/>
        <v>0.93264531263090245</v>
      </c>
      <c r="AB46" s="13">
        <f t="shared" si="18"/>
        <v>64.988762248529909</v>
      </c>
      <c r="AC46" s="13"/>
      <c r="AE46" s="33">
        <f t="shared" si="1"/>
        <v>8.6626908681377124</v>
      </c>
      <c r="AF46" s="33">
        <f t="shared" si="2"/>
        <v>-3.9098089913784317</v>
      </c>
      <c r="AH46">
        <v>6</v>
      </c>
      <c r="AI46">
        <v>0</v>
      </c>
      <c r="AJ46">
        <v>36</v>
      </c>
    </row>
    <row r="47" spans="1:36">
      <c r="A47">
        <v>2052</v>
      </c>
      <c r="C47" s="20">
        <f t="shared" si="16"/>
        <v>64.658366725532915</v>
      </c>
      <c r="D47" s="84">
        <f t="shared" si="8"/>
        <v>64.617788356152985</v>
      </c>
      <c r="E47" s="84">
        <f>J47-SUM(F$7:F47)</f>
        <v>5.1302705167494045</v>
      </c>
      <c r="F47" s="13">
        <f t="shared" si="9"/>
        <v>0.15</v>
      </c>
      <c r="G47" s="13">
        <f t="shared" si="10"/>
        <v>1</v>
      </c>
      <c r="H47" s="13">
        <f t="shared" si="15"/>
        <v>1</v>
      </c>
      <c r="I47" s="89">
        <f t="shared" si="19"/>
        <v>0.15</v>
      </c>
      <c r="J47" s="13">
        <f t="shared" si="11"/>
        <v>9.5552705167494043</v>
      </c>
      <c r="K47" s="13"/>
      <c r="L47" s="84">
        <f t="shared" si="14"/>
        <v>64.995396572164324</v>
      </c>
      <c r="M47" s="13">
        <f t="shared" si="5"/>
        <v>64.996058021670208</v>
      </c>
      <c r="N47" s="13">
        <f t="shared" si="6"/>
        <v>2053.9001606070342</v>
      </c>
      <c r="O47" s="13">
        <f t="shared" si="7"/>
        <v>2014.0490290385815</v>
      </c>
      <c r="P47" s="13">
        <f t="shared" si="17"/>
        <v>0.93264531263090245</v>
      </c>
      <c r="AB47" s="13">
        <f t="shared" si="18"/>
        <v>64.99207443481194</v>
      </c>
      <c r="AC47" s="13"/>
      <c r="AE47" s="33">
        <f t="shared" si="1"/>
        <v>9.0119269753464941</v>
      </c>
      <c r="AF47" s="33">
        <f t="shared" si="2"/>
        <v>-3.9098089913784317</v>
      </c>
      <c r="AH47">
        <v>6</v>
      </c>
      <c r="AI47">
        <v>0</v>
      </c>
      <c r="AJ47">
        <v>37</v>
      </c>
    </row>
    <row r="48" spans="1:36">
      <c r="A48">
        <v>2053</v>
      </c>
      <c r="C48" s="20">
        <f t="shared" si="16"/>
        <v>64.712615749831841</v>
      </c>
      <c r="D48" s="84">
        <f t="shared" si="8"/>
        <v>64.65501223474358</v>
      </c>
      <c r="E48" s="84">
        <f>J48-SUM(F$7:F48)</f>
        <v>5.2333119565834592</v>
      </c>
      <c r="F48" s="13">
        <f t="shared" si="9"/>
        <v>0.15</v>
      </c>
      <c r="G48" s="13">
        <f t="shared" si="10"/>
        <v>1</v>
      </c>
      <c r="H48" s="13">
        <f t="shared" si="15"/>
        <v>1</v>
      </c>
      <c r="I48" s="89">
        <f t="shared" si="19"/>
        <v>0.15</v>
      </c>
      <c r="J48" s="13">
        <f>LN(L48/(65-L48))</f>
        <v>9.8083119565834593</v>
      </c>
      <c r="K48" s="13"/>
      <c r="L48" s="84">
        <f t="shared" si="14"/>
        <v>64.996425677666167</v>
      </c>
      <c r="M48" s="13">
        <f t="shared" si="5"/>
        <v>64.997219962321068</v>
      </c>
      <c r="N48" s="13">
        <f t="shared" si="6"/>
        <v>2054.9001606070342</v>
      </c>
      <c r="O48" s="13">
        <f t="shared" si="7"/>
        <v>2014.0490290385815</v>
      </c>
      <c r="P48" s="13">
        <f t="shared" si="17"/>
        <v>0.93264531263090245</v>
      </c>
      <c r="AB48" s="13">
        <f t="shared" si="18"/>
        <v>64.994410479697351</v>
      </c>
      <c r="AC48" s="13"/>
      <c r="AE48" s="33">
        <f t="shared" si="1"/>
        <v>9.3611630825552758</v>
      </c>
      <c r="AF48" s="33">
        <f t="shared" si="2"/>
        <v>-3.9098089913784317</v>
      </c>
      <c r="AH48">
        <v>6</v>
      </c>
      <c r="AI48">
        <v>0</v>
      </c>
      <c r="AJ48">
        <v>38</v>
      </c>
    </row>
    <row r="49" spans="1:36">
      <c r="A49">
        <v>2054</v>
      </c>
      <c r="C49" s="20">
        <f t="shared" si="16"/>
        <v>64.764666422067648</v>
      </c>
      <c r="D49" s="84">
        <f t="shared" si="8"/>
        <v>64.999958945633679</v>
      </c>
      <c r="E49" s="84">
        <f>J49-SUM(F$7:F49)</f>
        <v>14.274999999999999</v>
      </c>
      <c r="F49" s="13">
        <f t="shared" si="9"/>
        <v>0.15</v>
      </c>
      <c r="G49" s="13">
        <f t="shared" si="10"/>
        <v>1</v>
      </c>
      <c r="H49" s="13">
        <f t="shared" si="15"/>
        <v>1</v>
      </c>
      <c r="I49" s="89">
        <f t="shared" si="19"/>
        <v>0.15</v>
      </c>
      <c r="J49" s="13">
        <v>19</v>
      </c>
      <c r="K49" s="13"/>
      <c r="L49" s="84">
        <f>AVERAGE(M45:M50)</f>
        <v>64.995700470523786</v>
      </c>
      <c r="M49" s="13">
        <f t="shared" si="5"/>
        <v>64.997219962321068</v>
      </c>
      <c r="N49" s="13">
        <f t="shared" si="6"/>
        <v>2055.9001606070342</v>
      </c>
      <c r="O49" s="13">
        <f t="shared" si="7"/>
        <v>2014.0490290385815</v>
      </c>
      <c r="P49" s="13">
        <f t="shared" si="17"/>
        <v>0.93264531263090245</v>
      </c>
      <c r="AB49" s="13">
        <f t="shared" si="18"/>
        <v>64.996058021670208</v>
      </c>
      <c r="AC49" s="13"/>
      <c r="AE49" s="33">
        <f t="shared" si="1"/>
        <v>9.7103991897640576</v>
      </c>
      <c r="AF49" s="33">
        <f t="shared" si="2"/>
        <v>-3.9098089913784317</v>
      </c>
      <c r="AH49">
        <v>6</v>
      </c>
      <c r="AI49">
        <v>0</v>
      </c>
      <c r="AJ49">
        <v>39</v>
      </c>
    </row>
    <row r="50" spans="1:36">
      <c r="A50">
        <v>2055</v>
      </c>
      <c r="C50" s="20">
        <f t="shared" si="16"/>
        <v>64.818182651500479</v>
      </c>
      <c r="D50" s="84">
        <f>65*EXP(E50)/(1+EXP(E50))</f>
        <v>64.999971069471627</v>
      </c>
      <c r="E50" s="84">
        <f>J50-SUM(F$7:F50)</f>
        <v>14.625</v>
      </c>
      <c r="F50" s="13">
        <f t="shared" si="9"/>
        <v>0.15</v>
      </c>
      <c r="G50" s="13">
        <f t="shared" si="10"/>
        <v>1</v>
      </c>
      <c r="H50" s="13">
        <f t="shared" si="15"/>
        <v>1</v>
      </c>
      <c r="I50" s="89">
        <f t="shared" si="19"/>
        <v>0.15</v>
      </c>
      <c r="J50" s="13">
        <v>19.5</v>
      </c>
      <c r="K50" s="13"/>
      <c r="L50" s="84">
        <f>AVERAGE(M45:M50)</f>
        <v>64.995700470523786</v>
      </c>
      <c r="M50" s="13">
        <f t="shared" si="5"/>
        <v>64.997219962321068</v>
      </c>
      <c r="N50" s="13">
        <f t="shared" si="6"/>
        <v>2056.9001606070342</v>
      </c>
      <c r="O50" s="13">
        <f t="shared" si="7"/>
        <v>2014.0490290385815</v>
      </c>
      <c r="P50" s="13">
        <f t="shared" si="17"/>
        <v>0.93264531263090245</v>
      </c>
      <c r="AB50" s="13">
        <f t="shared" si="18"/>
        <v>64.997219962321068</v>
      </c>
      <c r="AC50" s="13"/>
      <c r="AE50" s="33">
        <f t="shared" si="1"/>
        <v>10.059635296972839</v>
      </c>
      <c r="AF50" s="33">
        <f t="shared" si="2"/>
        <v>-3.9098089913784317</v>
      </c>
      <c r="AH50">
        <v>6</v>
      </c>
      <c r="AI50">
        <v>0</v>
      </c>
      <c r="AJ50">
        <v>40</v>
      </c>
    </row>
    <row r="56" spans="1:36">
      <c r="Z56" s="41" t="str">
        <f>' All EV uptake'!D46</f>
        <v>Intercept</v>
      </c>
      <c r="AA56" s="41">
        <f>' All EV uptake'!E46</f>
        <v>2006.0956444042549</v>
      </c>
      <c r="AD56" s="41" t="s">
        <v>159</v>
      </c>
      <c r="AE56" s="41">
        <v>-7.2616479422551432</v>
      </c>
    </row>
    <row r="57" spans="1:36">
      <c r="B57" t="s">
        <v>1233</v>
      </c>
      <c r="C57" s="13">
        <f>K69</f>
        <v>3.4731801083411145</v>
      </c>
      <c r="Z57" s="41" t="str">
        <f>' All EV uptake'!D47</f>
        <v>EV/FFV cost ratio</v>
      </c>
      <c r="AA57" s="41">
        <f>' All EV uptake'!E47</f>
        <v>10.783904112355547</v>
      </c>
      <c r="AD57" t="s">
        <v>1244</v>
      </c>
      <c r="AE57" s="41">
        <v>0.55863982514611854</v>
      </c>
    </row>
    <row r="58" spans="1:36">
      <c r="Z58" s="41" t="str">
        <f>' All EV uptake'!D48</f>
        <v>dumKorea</v>
      </c>
      <c r="AA58" s="41">
        <f>' All EV uptake'!E48</f>
        <v>3.2747008164932261</v>
      </c>
      <c r="AD58" t="s">
        <v>1342</v>
      </c>
      <c r="AE58" s="41">
        <v>0.30887778388776899</v>
      </c>
    </row>
    <row r="59" spans="1:36" ht="15.75" thickBot="1">
      <c r="Z59" s="41" t="str">
        <f>' All EV uptake'!D49</f>
        <v>dumUK</v>
      </c>
      <c r="AA59" s="41">
        <f>' All EV uptake'!E49</f>
        <v>2.7276845521810786</v>
      </c>
      <c r="AD59" t="s">
        <v>1243</v>
      </c>
      <c r="AE59" s="42">
        <v>0.34923610720878179</v>
      </c>
    </row>
    <row r="60" spans="1:36">
      <c r="Z60" s="41" t="str">
        <f>' All EV uptake'!D50</f>
        <v>dumNeth</v>
      </c>
      <c r="AA60" s="41">
        <f>' All EV uptake'!E50</f>
        <v>-1.2544269368470402</v>
      </c>
    </row>
    <row r="61" spans="1:36">
      <c r="F61" s="242">
        <v>2016</v>
      </c>
      <c r="G61" s="242"/>
      <c r="H61" s="242">
        <v>2017</v>
      </c>
      <c r="I61" s="242"/>
      <c r="J61" s="242">
        <v>2018</v>
      </c>
      <c r="K61" s="242"/>
      <c r="Z61" s="41" t="str">
        <f>' All EV uptake'!D51</f>
        <v>dumChina</v>
      </c>
      <c r="AA61" s="41">
        <f>' All EV uptake'!E51</f>
        <v>1.6840641661301363</v>
      </c>
    </row>
    <row r="62" spans="1:36">
      <c r="E62" t="s">
        <v>1235</v>
      </c>
      <c r="F62">
        <v>1270</v>
      </c>
      <c r="H62">
        <v>1677</v>
      </c>
      <c r="J62">
        <v>2203</v>
      </c>
      <c r="Z62" s="41" t="str">
        <f>' All EV uptake'!D52</f>
        <v>dumDenmark</v>
      </c>
      <c r="AA62" s="41">
        <f>' All EV uptake'!E52</f>
        <v>3.2654872236791634</v>
      </c>
    </row>
    <row r="63" spans="1:36">
      <c r="E63" t="s">
        <v>1236</v>
      </c>
      <c r="F63">
        <v>1274</v>
      </c>
      <c r="G63">
        <f>F62+F63</f>
        <v>2544</v>
      </c>
      <c r="H63">
        <v>1654</v>
      </c>
      <c r="I63">
        <f>H62+H63</f>
        <v>3331</v>
      </c>
      <c r="J63">
        <v>2240</v>
      </c>
      <c r="K63">
        <f>J62+J63</f>
        <v>4443</v>
      </c>
      <c r="Z63" s="41" t="str">
        <f>' All EV uptake'!D53</f>
        <v>dumIreland</v>
      </c>
      <c r="AA63" s="41">
        <f>' All EV uptake'!E53</f>
        <v>3.5582490934682056</v>
      </c>
    </row>
    <row r="64" spans="1:36">
      <c r="E64" t="s">
        <v>1237</v>
      </c>
      <c r="F64">
        <v>1467</v>
      </c>
      <c r="H64">
        <v>1983</v>
      </c>
      <c r="Z64" s="41" t="str">
        <f>' All EV uptake'!D54</f>
        <v>dumNZ</v>
      </c>
      <c r="AA64" s="41">
        <f>' All EV uptake'!E54</f>
        <v>1.900474768762227</v>
      </c>
    </row>
    <row r="65" spans="5:27">
      <c r="E65" t="s">
        <v>1238</v>
      </c>
      <c r="F65" s="18">
        <v>1421</v>
      </c>
      <c r="G65" s="18">
        <f>SUM(F64:F65)</f>
        <v>2888</v>
      </c>
      <c r="H65" s="18">
        <v>3053</v>
      </c>
      <c r="I65" s="18">
        <f>SUM(H64:H65)</f>
        <v>5036</v>
      </c>
      <c r="J65" s="18"/>
      <c r="K65" s="16">
        <f>K63*I65/I63</f>
        <v>6717.1864305013505</v>
      </c>
      <c r="Z65" s="41" t="str">
        <f>' All EV uptake'!D55</f>
        <v>dumSwitzerland</v>
      </c>
      <c r="AA65" s="41">
        <f>' All EV uptake'!E55</f>
        <v>-2.1041729879229703</v>
      </c>
    </row>
    <row r="66" spans="5:27">
      <c r="F66">
        <f>SUM(F62:F65)</f>
        <v>5432</v>
      </c>
      <c r="G66">
        <f>SUM(G62:G65)</f>
        <v>5432</v>
      </c>
      <c r="H66">
        <f>SUM(H62:H65)</f>
        <v>8367</v>
      </c>
      <c r="I66">
        <f>SUM(I62:I65)</f>
        <v>8367</v>
      </c>
      <c r="K66" s="3">
        <f>SUM(K62:K65)</f>
        <v>11160.186430501351</v>
      </c>
      <c r="Z66" s="41" t="str">
        <f>' All EV uptake'!D56</f>
        <v>dumSpain</v>
      </c>
      <c r="AA66" s="41">
        <f>' All EV uptake'!E56</f>
        <v>4.4168133039283006</v>
      </c>
    </row>
    <row r="67" spans="5:27">
      <c r="Z67" s="41" t="str">
        <f>' All EV uptake'!D57</f>
        <v>dumIndia</v>
      </c>
      <c r="AA67" s="41">
        <f>' All EV uptake'!E57</f>
        <v>8.3918907463589623</v>
      </c>
    </row>
    <row r="68" spans="5:27">
      <c r="Z68" s="41" t="str">
        <f>' All EV uptake'!D58</f>
        <v>dumUSA</v>
      </c>
      <c r="AA68" s="41">
        <f>' All EV uptake'!E58</f>
        <v>2.1386885311349126</v>
      </c>
    </row>
    <row r="69" spans="5:27">
      <c r="F69" s="13">
        <f>B11</f>
        <v>1.9299434316058177</v>
      </c>
      <c r="H69" s="13">
        <f>B12</f>
        <v>2.6039079317767841</v>
      </c>
      <c r="I69" s="13">
        <f>F69*H66/F66</f>
        <v>2.9727239860541013</v>
      </c>
      <c r="K69" s="13">
        <f>H69*K66/H66</f>
        <v>3.4731801083411145</v>
      </c>
      <c r="Z69" s="41" t="str">
        <f>' All EV uptake'!D59</f>
        <v>dumAustria</v>
      </c>
      <c r="AA69" s="41">
        <f>' All EV uptake'!E59</f>
        <v>-0.86657486911619475</v>
      </c>
    </row>
    <row r="70" spans="5:27">
      <c r="Z70" s="41" t="str">
        <f>' All EV uptake'!D60</f>
        <v>dumItaly</v>
      </c>
      <c r="AA70" s="41">
        <f>' All EV uptake'!E60</f>
        <v>2.0513905871244105</v>
      </c>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40"/>
  <sheetViews>
    <sheetView topLeftCell="A88" zoomScale="75" zoomScaleNormal="75" workbookViewId="0">
      <selection activeCell="P120" sqref="P120:AC140"/>
    </sheetView>
  </sheetViews>
  <sheetFormatPr defaultRowHeight="15"/>
  <cols>
    <col min="2" max="2" width="12" customWidth="1"/>
    <col min="3" max="3" width="10.85546875" customWidth="1"/>
    <col min="4" max="4" width="15.140625" customWidth="1"/>
    <col min="7" max="7" width="11.42578125" customWidth="1"/>
    <col min="8" max="8" width="14.28515625" customWidth="1"/>
    <col min="9" max="9" width="11" customWidth="1"/>
    <col min="11" max="11" width="13.28515625" customWidth="1"/>
    <col min="25" max="25" width="13.7109375" customWidth="1"/>
    <col min="27" max="27" width="13.7109375" customWidth="1"/>
  </cols>
  <sheetData>
    <row r="1" spans="1:36">
      <c r="A1" t="s">
        <v>5</v>
      </c>
      <c r="B1" t="s">
        <v>1395</v>
      </c>
      <c r="C1" t="s">
        <v>802</v>
      </c>
      <c r="D1" t="s">
        <v>802</v>
      </c>
      <c r="E1" t="s">
        <v>498</v>
      </c>
      <c r="F1" t="s">
        <v>802</v>
      </c>
      <c r="G1" t="s">
        <v>802</v>
      </c>
      <c r="I1" t="s">
        <v>802</v>
      </c>
      <c r="K1" t="s">
        <v>802</v>
      </c>
      <c r="N1" t="s">
        <v>754</v>
      </c>
      <c r="O1" t="s">
        <v>754</v>
      </c>
      <c r="P1" t="s">
        <v>754</v>
      </c>
      <c r="U1" t="s">
        <v>730</v>
      </c>
      <c r="V1" s="33" t="s">
        <v>715</v>
      </c>
      <c r="W1" s="87" t="s">
        <v>1181</v>
      </c>
      <c r="X1" s="87" t="s">
        <v>1181</v>
      </c>
      <c r="Y1" s="87" t="s">
        <v>1181</v>
      </c>
      <c r="AC1" t="s">
        <v>747</v>
      </c>
      <c r="AH1" t="s">
        <v>886</v>
      </c>
      <c r="AJ1" t="s">
        <v>887</v>
      </c>
    </row>
    <row r="2" spans="1:36">
      <c r="B2" t="s">
        <v>710</v>
      </c>
      <c r="C2" t="s">
        <v>710</v>
      </c>
      <c r="D2" t="s">
        <v>804</v>
      </c>
      <c r="E2" t="s">
        <v>714</v>
      </c>
      <c r="F2" t="s">
        <v>728</v>
      </c>
      <c r="G2" t="s">
        <v>269</v>
      </c>
      <c r="H2" t="s">
        <v>755</v>
      </c>
      <c r="I2" t="s">
        <v>269</v>
      </c>
      <c r="K2" t="s">
        <v>910</v>
      </c>
      <c r="N2" t="s">
        <v>269</v>
      </c>
      <c r="O2" t="s">
        <v>717</v>
      </c>
      <c r="P2" t="s">
        <v>725</v>
      </c>
      <c r="V2" s="33"/>
      <c r="W2" s="87" t="s">
        <v>338</v>
      </c>
      <c r="X2" s="87" t="s">
        <v>1182</v>
      </c>
      <c r="Y2" s="87" t="s">
        <v>1183</v>
      </c>
      <c r="AD2" t="s">
        <v>801</v>
      </c>
      <c r="AH2" t="s">
        <v>910</v>
      </c>
      <c r="AI2" t="s">
        <v>850</v>
      </c>
      <c r="AJ2" t="s">
        <v>910</v>
      </c>
    </row>
    <row r="3" spans="1:36">
      <c r="A3">
        <v>2009</v>
      </c>
      <c r="B3" s="3">
        <f>X3</f>
        <v>29.592572886961211</v>
      </c>
      <c r="C3" s="3">
        <f t="shared" ref="C3:C24" si="0">B3*AD3*1000</f>
        <v>32200.911582172786</v>
      </c>
      <c r="D3" s="3">
        <f>0.04*C3</f>
        <v>1288.0364632869114</v>
      </c>
      <c r="E3" s="12">
        <v>10.644237918215612</v>
      </c>
      <c r="F3" s="3">
        <f>(C3)*E3/100</f>
        <v>3427.5416406407185</v>
      </c>
      <c r="G3" s="3">
        <f t="shared" ref="G3:G24" si="1">C3+F3+D3</f>
        <v>36916.489686100416</v>
      </c>
      <c r="H3" s="3">
        <f>Austria!I3</f>
        <v>1450</v>
      </c>
      <c r="I3" s="3">
        <f>G3+H3</f>
        <v>38366.489686100416</v>
      </c>
      <c r="K3" s="3">
        <f t="shared" ref="K3:K24" si="2">AH3</f>
        <v>665</v>
      </c>
      <c r="M3">
        <v>2009</v>
      </c>
      <c r="N3" s="3">
        <f>I3</f>
        <v>38366.489686100416</v>
      </c>
      <c r="O3" s="3">
        <f>I28</f>
        <v>38366.489686100416</v>
      </c>
      <c r="P3" s="3">
        <f t="shared" ref="P3:P24" si="3">G53</f>
        <v>28692.309588073113</v>
      </c>
      <c r="T3">
        <v>2009</v>
      </c>
      <c r="U3" s="3">
        <f>'Vehicle price'!X5</f>
        <v>23</v>
      </c>
      <c r="V3">
        <v>1</v>
      </c>
      <c r="W3" s="3">
        <f t="shared" ref="W3:W24" si="4">X3*V3</f>
        <v>29.592572886961211</v>
      </c>
      <c r="X3" s="3">
        <f>'Vehicle price'!T5</f>
        <v>29.592572886961211</v>
      </c>
      <c r="Y3" s="3">
        <f>X3*Z3</f>
        <v>29.592572886961211</v>
      </c>
      <c r="Z3">
        <v>1</v>
      </c>
      <c r="AC3">
        <v>2009</v>
      </c>
      <c r="AD3" s="156">
        <v>1.0881416666666668</v>
      </c>
      <c r="AG3">
        <v>2009</v>
      </c>
      <c r="AH3" s="3">
        <f>665</f>
        <v>665</v>
      </c>
      <c r="AI3" s="13">
        <f>CPIs!U48</f>
        <v>99.316477089901994</v>
      </c>
      <c r="AJ3" s="3">
        <f>AH3*AI$11/AI3</f>
        <v>657.94722496677889</v>
      </c>
    </row>
    <row r="4" spans="1:36">
      <c r="A4">
        <v>2010</v>
      </c>
      <c r="B4" s="3">
        <f t="shared" ref="B4:B24" si="5">X4</f>
        <v>30</v>
      </c>
      <c r="C4" s="3">
        <f t="shared" si="0"/>
        <v>31142.735499533486</v>
      </c>
      <c r="D4" s="3">
        <f>0.04*C4</f>
        <v>1245.7094199813396</v>
      </c>
      <c r="E4" s="12">
        <v>11.562453531598514</v>
      </c>
      <c r="F4" s="3">
        <f t="shared" ref="F4:F11" si="6">(C4)*E4/100</f>
        <v>3600.8643206021934</v>
      </c>
      <c r="G4" s="3">
        <f t="shared" si="1"/>
        <v>35989.309240117014</v>
      </c>
      <c r="H4" s="3">
        <f>Austria!I4</f>
        <v>1450</v>
      </c>
      <c r="I4" s="3">
        <f t="shared" ref="I4:I24" si="7">G4+H4</f>
        <v>37439.309240117014</v>
      </c>
      <c r="K4" s="3">
        <f t="shared" si="2"/>
        <v>665</v>
      </c>
      <c r="M4">
        <v>2010</v>
      </c>
      <c r="N4" s="3">
        <f t="shared" ref="N4:N12" si="8">I4</f>
        <v>37439.309240117014</v>
      </c>
      <c r="O4" s="3">
        <f t="shared" ref="O4:O12" si="9">I29</f>
        <v>37439.309240117014</v>
      </c>
      <c r="P4" s="3">
        <f t="shared" si="3"/>
        <v>27591.803750756379</v>
      </c>
      <c r="T4">
        <v>2010</v>
      </c>
      <c r="U4" s="3">
        <f>'Vehicle price'!X6</f>
        <v>23</v>
      </c>
      <c r="V4">
        <v>1</v>
      </c>
      <c r="W4" s="3">
        <f t="shared" si="4"/>
        <v>30</v>
      </c>
      <c r="X4" s="3">
        <f>'Vehicle price'!T6</f>
        <v>30</v>
      </c>
      <c r="Y4" s="3">
        <f t="shared" ref="Y4:Y24" si="10">X4*Z4</f>
        <v>30</v>
      </c>
      <c r="Z4">
        <v>1</v>
      </c>
      <c r="AC4">
        <v>2010</v>
      </c>
      <c r="AD4" s="156">
        <v>1.0380911833177828</v>
      </c>
      <c r="AG4">
        <v>2010</v>
      </c>
      <c r="AH4" s="3">
        <f>665</f>
        <v>665</v>
      </c>
      <c r="AI4" s="13">
        <f>CPIs!U49</f>
        <v>100</v>
      </c>
      <c r="AJ4" s="3">
        <f t="shared" ref="AJ4:AJ24" si="11">AH4*AI$11/AI4</f>
        <v>653.45000494777696</v>
      </c>
    </row>
    <row r="5" spans="1:36">
      <c r="A5">
        <v>2011</v>
      </c>
      <c r="B5" s="3">
        <f t="shared" si="5"/>
        <v>30</v>
      </c>
      <c r="C5" s="3">
        <f t="shared" si="0"/>
        <v>26441.732529367957</v>
      </c>
      <c r="D5" s="3">
        <f>0.04*C5</f>
        <v>1057.6693011747184</v>
      </c>
      <c r="E5" s="12">
        <v>12.740740740740739</v>
      </c>
      <c r="F5" s="3">
        <f t="shared" si="6"/>
        <v>3368.8725889268799</v>
      </c>
      <c r="G5" s="3">
        <f t="shared" si="1"/>
        <v>30868.274419469555</v>
      </c>
      <c r="H5" s="3">
        <f>Austria!I5</f>
        <v>1450</v>
      </c>
      <c r="I5" s="3">
        <f t="shared" si="7"/>
        <v>32318.274419469555</v>
      </c>
      <c r="K5" s="3">
        <f t="shared" si="2"/>
        <v>665</v>
      </c>
      <c r="M5">
        <v>2011</v>
      </c>
      <c r="N5" s="3">
        <f t="shared" si="8"/>
        <v>32318.274419469555</v>
      </c>
      <c r="O5" s="3">
        <f t="shared" si="9"/>
        <v>32318.274419469555</v>
      </c>
      <c r="P5" s="3">
        <f t="shared" si="3"/>
        <v>23665.677054926655</v>
      </c>
      <c r="T5">
        <v>2011</v>
      </c>
      <c r="U5" s="3">
        <f>'Vehicle price'!X7</f>
        <v>23</v>
      </c>
      <c r="V5">
        <v>1</v>
      </c>
      <c r="W5" s="3">
        <f t="shared" si="4"/>
        <v>30</v>
      </c>
      <c r="X5" s="3">
        <f>'Vehicle price'!T7</f>
        <v>30</v>
      </c>
      <c r="Y5" s="3">
        <f t="shared" si="10"/>
        <v>30</v>
      </c>
      <c r="Z5">
        <v>1</v>
      </c>
      <c r="AC5">
        <v>2011</v>
      </c>
      <c r="AD5" s="156">
        <v>0.88139108431226521</v>
      </c>
      <c r="AG5">
        <v>2011</v>
      </c>
      <c r="AH5" s="3">
        <f>665</f>
        <v>665</v>
      </c>
      <c r="AI5" s="13">
        <f>CPIs!U50</f>
        <v>100.23133087158203</v>
      </c>
      <c r="AJ5" s="3">
        <f t="shared" si="11"/>
        <v>651.94186215584364</v>
      </c>
    </row>
    <row r="6" spans="1:36">
      <c r="A6">
        <v>2012</v>
      </c>
      <c r="B6" s="3">
        <f t="shared" si="5"/>
        <v>30.842462459493706</v>
      </c>
      <c r="C6" s="3">
        <f t="shared" si="0"/>
        <v>28744.502319618117</v>
      </c>
      <c r="D6" s="3">
        <f>0.04*C6</f>
        <v>1149.7800927847247</v>
      </c>
      <c r="E6" s="12">
        <v>13.037037037037036</v>
      </c>
      <c r="F6" s="3">
        <f t="shared" si="6"/>
        <v>3747.4314135205841</v>
      </c>
      <c r="G6" s="3">
        <f t="shared" si="1"/>
        <v>33641.713825923427</v>
      </c>
      <c r="H6" s="3">
        <f>Austria!I6</f>
        <v>1450</v>
      </c>
      <c r="I6" s="3">
        <f t="shared" si="7"/>
        <v>35091.713825923427</v>
      </c>
      <c r="K6" s="3">
        <f t="shared" si="2"/>
        <v>665</v>
      </c>
      <c r="M6">
        <v>2012</v>
      </c>
      <c r="N6" s="3">
        <f t="shared" si="8"/>
        <v>35091.713825923427</v>
      </c>
      <c r="O6" s="3">
        <f t="shared" si="9"/>
        <v>35091.713825923427</v>
      </c>
      <c r="P6" s="3">
        <f t="shared" si="3"/>
        <v>25087.472150203288</v>
      </c>
      <c r="T6">
        <v>2012</v>
      </c>
      <c r="U6" s="3">
        <f>'Vehicle price'!X8</f>
        <v>23</v>
      </c>
      <c r="V6">
        <v>1</v>
      </c>
      <c r="W6" s="3">
        <f t="shared" si="4"/>
        <v>30.842462459493706</v>
      </c>
      <c r="X6" s="3">
        <f>'Vehicle price'!T8</f>
        <v>30.842462459493706</v>
      </c>
      <c r="Y6" s="3">
        <f t="shared" si="10"/>
        <v>30.842462459493706</v>
      </c>
      <c r="Z6">
        <v>1</v>
      </c>
      <c r="AC6">
        <v>2012</v>
      </c>
      <c r="AD6" s="156">
        <v>0.93197818939940669</v>
      </c>
      <c r="AG6">
        <v>2012</v>
      </c>
      <c r="AH6" s="3">
        <f>665</f>
        <v>665</v>
      </c>
      <c r="AI6" s="13">
        <f>CPIs!U51</f>
        <v>99.537200927734375</v>
      </c>
      <c r="AJ6" s="3">
        <f t="shared" si="11"/>
        <v>656.48822636894545</v>
      </c>
    </row>
    <row r="7" spans="1:36">
      <c r="A7">
        <v>2013</v>
      </c>
      <c r="B7" s="3">
        <f t="shared" si="5"/>
        <v>31.143929334439989</v>
      </c>
      <c r="C7" s="3">
        <f t="shared" si="0"/>
        <v>28790.664243026422</v>
      </c>
      <c r="D7" s="3">
        <v>0</v>
      </c>
      <c r="E7" s="12">
        <v>12.962962962962962</v>
      </c>
      <c r="F7" s="3">
        <f t="shared" si="6"/>
        <v>3732.1231426145359</v>
      </c>
      <c r="G7" s="3">
        <f t="shared" si="1"/>
        <v>32522.787385640957</v>
      </c>
      <c r="H7" s="3">
        <f>Austria!I7</f>
        <v>1450</v>
      </c>
      <c r="I7" s="3">
        <f t="shared" si="7"/>
        <v>33972.787385640957</v>
      </c>
      <c r="K7" s="3">
        <f t="shared" si="2"/>
        <v>665</v>
      </c>
      <c r="M7">
        <v>2013</v>
      </c>
      <c r="N7" s="3">
        <f t="shared" si="8"/>
        <v>33972.787385640957</v>
      </c>
      <c r="O7" s="3">
        <f t="shared" si="9"/>
        <v>33972.787385640957</v>
      </c>
      <c r="P7" s="3">
        <f t="shared" si="3"/>
        <v>24868.779807975159</v>
      </c>
      <c r="T7">
        <v>2013</v>
      </c>
      <c r="U7" s="3">
        <f>'Vehicle price'!X9</f>
        <v>23</v>
      </c>
      <c r="V7">
        <v>1</v>
      </c>
      <c r="W7" s="3">
        <f t="shared" si="4"/>
        <v>31.143929334439989</v>
      </c>
      <c r="X7" s="3">
        <f>'Vehicle price'!T9</f>
        <v>31.143929334439989</v>
      </c>
      <c r="Y7" s="3">
        <f t="shared" si="10"/>
        <v>31.143929334439989</v>
      </c>
      <c r="Z7">
        <v>1</v>
      </c>
      <c r="AC7">
        <v>2013</v>
      </c>
      <c r="AD7" s="156">
        <v>0.92443904344429506</v>
      </c>
      <c r="AG7">
        <v>2013</v>
      </c>
      <c r="AH7" s="3">
        <f>665</f>
        <v>665</v>
      </c>
      <c r="AI7" s="13">
        <f>CPIs!U52</f>
        <v>99.320884704589844</v>
      </c>
      <c r="AJ7" s="3">
        <f t="shared" si="11"/>
        <v>657.9180268997136</v>
      </c>
    </row>
    <row r="8" spans="1:36">
      <c r="A8">
        <v>2014</v>
      </c>
      <c r="B8" s="3">
        <f t="shared" si="5"/>
        <v>33.541755956678692</v>
      </c>
      <c r="C8" s="3">
        <f t="shared" si="0"/>
        <v>30817.187849074173</v>
      </c>
      <c r="D8" s="3">
        <v>0</v>
      </c>
      <c r="E8" s="12">
        <v>12.592592592592592</v>
      </c>
      <c r="F8" s="3">
        <f t="shared" si="6"/>
        <v>3880.6829143278587</v>
      </c>
      <c r="G8" s="3">
        <f t="shared" si="1"/>
        <v>34697.870763402032</v>
      </c>
      <c r="H8" s="3">
        <f>Austria!I8</f>
        <v>1450</v>
      </c>
      <c r="I8" s="3">
        <f t="shared" si="7"/>
        <v>36147.870763402032</v>
      </c>
      <c r="K8" s="3">
        <f t="shared" si="2"/>
        <v>665</v>
      </c>
      <c r="M8">
        <v>2014</v>
      </c>
      <c r="N8" s="3">
        <f t="shared" si="8"/>
        <v>36147.870763402032</v>
      </c>
      <c r="O8" s="3">
        <f t="shared" si="9"/>
        <v>36147.870763402032</v>
      </c>
      <c r="P8" s="3">
        <f t="shared" si="3"/>
        <v>24638.031516499814</v>
      </c>
      <c r="T8">
        <v>2014</v>
      </c>
      <c r="U8" s="3">
        <f>'Vehicle price'!X10</f>
        <v>23</v>
      </c>
      <c r="V8">
        <v>1</v>
      </c>
      <c r="W8" s="3">
        <f t="shared" si="4"/>
        <v>33.541755956678692</v>
      </c>
      <c r="X8" s="3">
        <f>'Vehicle price'!T10</f>
        <v>33.541755956678692</v>
      </c>
      <c r="Y8" s="3">
        <f t="shared" si="10"/>
        <v>33.541755956678692</v>
      </c>
      <c r="Z8">
        <v>1</v>
      </c>
      <c r="AC8">
        <v>2014</v>
      </c>
      <c r="AD8" s="156">
        <v>0.91877085650723023</v>
      </c>
      <c r="AG8">
        <v>2014</v>
      </c>
      <c r="AH8" s="3">
        <f>665</f>
        <v>665</v>
      </c>
      <c r="AI8" s="13">
        <f>CPIs!U53</f>
        <v>99.3077392578125</v>
      </c>
      <c r="AJ8" s="3">
        <f t="shared" si="11"/>
        <v>658.00511604776091</v>
      </c>
    </row>
    <row r="9" spans="1:36">
      <c r="A9">
        <v>2015</v>
      </c>
      <c r="B9" s="3">
        <f t="shared" si="5"/>
        <v>30</v>
      </c>
      <c r="C9" s="3">
        <f t="shared" si="0"/>
        <v>28889.459465493754</v>
      </c>
      <c r="D9" s="3">
        <v>0</v>
      </c>
      <c r="E9" s="12">
        <v>10.74074074074074</v>
      </c>
      <c r="F9" s="3">
        <f t="shared" si="6"/>
        <v>3102.9419425900701</v>
      </c>
      <c r="G9" s="3">
        <f t="shared" si="1"/>
        <v>31992.401408083824</v>
      </c>
      <c r="H9" s="3">
        <f>Austria!I9</f>
        <v>1450</v>
      </c>
      <c r="I9" s="3">
        <f t="shared" si="7"/>
        <v>33442.401408083824</v>
      </c>
      <c r="K9" s="3">
        <f t="shared" si="2"/>
        <v>665</v>
      </c>
      <c r="M9">
        <v>2015</v>
      </c>
      <c r="N9" s="3">
        <f t="shared" si="8"/>
        <v>33442.401408083824</v>
      </c>
      <c r="O9" s="3">
        <f t="shared" si="9"/>
        <v>33442.401408083824</v>
      </c>
      <c r="P9" s="3">
        <f t="shared" si="3"/>
        <v>25413.451169806074</v>
      </c>
      <c r="T9">
        <v>2015</v>
      </c>
      <c r="U9" s="3">
        <f>'Vehicle price'!X11</f>
        <v>23</v>
      </c>
      <c r="V9">
        <v>1</v>
      </c>
      <c r="W9" s="3">
        <f t="shared" si="4"/>
        <v>30</v>
      </c>
      <c r="X9" s="3">
        <f>'Vehicle price'!T11</f>
        <v>30</v>
      </c>
      <c r="Y9" s="3">
        <f t="shared" si="10"/>
        <v>30</v>
      </c>
      <c r="Z9">
        <v>1</v>
      </c>
      <c r="AC9">
        <v>2015</v>
      </c>
      <c r="AD9" s="156">
        <v>0.96298198218312514</v>
      </c>
      <c r="AG9">
        <v>2015</v>
      </c>
      <c r="AH9" s="3">
        <f>665</f>
        <v>665</v>
      </c>
      <c r="AI9" s="13">
        <f>CPIs!U54</f>
        <v>98.171791076660156</v>
      </c>
      <c r="AJ9" s="3">
        <f t="shared" si="11"/>
        <v>665.6189092419761</v>
      </c>
    </row>
    <row r="10" spans="1:36">
      <c r="A10">
        <v>2016</v>
      </c>
      <c r="B10" s="3">
        <f t="shared" si="5"/>
        <v>30</v>
      </c>
      <c r="C10" s="3">
        <f t="shared" si="0"/>
        <v>29651.268369783313</v>
      </c>
      <c r="D10" s="3">
        <v>0</v>
      </c>
      <c r="E10" s="12">
        <v>10.370370370370368</v>
      </c>
      <c r="F10" s="3">
        <f t="shared" si="6"/>
        <v>3074.9463494590095</v>
      </c>
      <c r="G10" s="3">
        <f t="shared" si="1"/>
        <v>32726.214719242322</v>
      </c>
      <c r="H10" s="3">
        <f>Austria!I10</f>
        <v>1450</v>
      </c>
      <c r="I10" s="3">
        <f t="shared" si="7"/>
        <v>34176.214719242322</v>
      </c>
      <c r="K10" s="3">
        <f t="shared" si="2"/>
        <v>665</v>
      </c>
      <c r="M10">
        <v>2016</v>
      </c>
      <c r="N10" s="3">
        <f t="shared" si="8"/>
        <v>34176.214719242322</v>
      </c>
      <c r="O10" s="3">
        <f t="shared" si="9"/>
        <v>34176.214719242322</v>
      </c>
      <c r="P10" s="3">
        <f t="shared" si="3"/>
        <v>25999.403514759135</v>
      </c>
      <c r="T10">
        <v>2016</v>
      </c>
      <c r="U10" s="3">
        <f>'Vehicle price'!X12</f>
        <v>23</v>
      </c>
      <c r="V10">
        <v>1</v>
      </c>
      <c r="W10" s="3">
        <f t="shared" si="4"/>
        <v>30</v>
      </c>
      <c r="X10" s="3">
        <f>'Vehicle price'!T12</f>
        <v>30</v>
      </c>
      <c r="Y10" s="3">
        <f t="shared" si="10"/>
        <v>30</v>
      </c>
      <c r="Z10">
        <v>1</v>
      </c>
      <c r="AC10">
        <v>2016</v>
      </c>
      <c r="AD10" s="156">
        <v>0.98837561232611049</v>
      </c>
      <c r="AG10">
        <v>2016</v>
      </c>
      <c r="AH10" s="3">
        <f>665</f>
        <v>665</v>
      </c>
      <c r="AI10" s="13">
        <f>CPIs!U55</f>
        <v>97.745109558105469</v>
      </c>
      <c r="AJ10" s="3">
        <f t="shared" si="11"/>
        <v>668.5245000000001</v>
      </c>
    </row>
    <row r="11" spans="1:36">
      <c r="A11">
        <v>2017</v>
      </c>
      <c r="B11" s="3">
        <f t="shared" si="5"/>
        <v>30</v>
      </c>
      <c r="C11" s="3">
        <f t="shared" si="0"/>
        <v>29485.470974452328</v>
      </c>
      <c r="D11" s="3">
        <v>0</v>
      </c>
      <c r="E11" s="12">
        <v>11.111111111111111</v>
      </c>
      <c r="F11" s="3">
        <f t="shared" si="6"/>
        <v>3276.1634416058141</v>
      </c>
      <c r="G11" s="3">
        <f t="shared" si="1"/>
        <v>32761.634416058143</v>
      </c>
      <c r="H11" s="3">
        <f>Austria!I11</f>
        <v>1450</v>
      </c>
      <c r="I11" s="3">
        <f t="shared" si="7"/>
        <v>34211.634416058143</v>
      </c>
      <c r="K11" s="3">
        <f t="shared" si="2"/>
        <v>665</v>
      </c>
      <c r="M11">
        <v>2017</v>
      </c>
      <c r="N11" s="3">
        <f t="shared" si="8"/>
        <v>34211.634416058143</v>
      </c>
      <c r="O11" s="3">
        <f t="shared" si="9"/>
        <v>34211.634416058143</v>
      </c>
      <c r="P11" s="3">
        <f t="shared" si="3"/>
        <v>26021.474162194445</v>
      </c>
      <c r="T11">
        <v>2017</v>
      </c>
      <c r="U11" s="3">
        <f>'Vehicle price'!X13</f>
        <v>23</v>
      </c>
      <c r="V11">
        <v>1</v>
      </c>
      <c r="W11" s="3">
        <f t="shared" si="4"/>
        <v>30</v>
      </c>
      <c r="X11" s="3">
        <f>'Vehicle price'!T13</f>
        <v>30</v>
      </c>
      <c r="Y11" s="3">
        <f t="shared" si="10"/>
        <v>30</v>
      </c>
      <c r="Z11">
        <v>1</v>
      </c>
      <c r="AC11">
        <v>2017</v>
      </c>
      <c r="AD11" s="156">
        <v>0.98284903248174427</v>
      </c>
      <c r="AG11">
        <v>2017</v>
      </c>
      <c r="AH11" s="3">
        <f>665</f>
        <v>665</v>
      </c>
      <c r="AI11" s="13">
        <f>CPIs!U56</f>
        <v>98.263158638763443</v>
      </c>
      <c r="AJ11" s="3">
        <f t="shared" si="11"/>
        <v>665</v>
      </c>
    </row>
    <row r="12" spans="1:36">
      <c r="A12">
        <v>2018</v>
      </c>
      <c r="B12" s="3">
        <f t="shared" si="5"/>
        <v>30.592100851060948</v>
      </c>
      <c r="C12" s="3">
        <f t="shared" si="0"/>
        <v>29980.258834039727</v>
      </c>
      <c r="D12" s="3">
        <v>0</v>
      </c>
      <c r="E12" s="12">
        <v>11.111111111111111</v>
      </c>
      <c r="F12" s="3">
        <f>(C12)*E12/100</f>
        <v>3331.1398704488588</v>
      </c>
      <c r="G12" s="3">
        <f t="shared" si="1"/>
        <v>33311.398704488587</v>
      </c>
      <c r="H12" s="3">
        <f>Austria!I12</f>
        <v>1450</v>
      </c>
      <c r="I12" s="3">
        <f t="shared" si="7"/>
        <v>34761.398704488587</v>
      </c>
      <c r="K12" s="3">
        <f t="shared" si="2"/>
        <v>665</v>
      </c>
      <c r="M12">
        <v>2018</v>
      </c>
      <c r="N12" s="3">
        <f t="shared" si="8"/>
        <v>34761.398704488587</v>
      </c>
      <c r="O12" s="3">
        <f t="shared" si="9"/>
        <v>34761.398704488587</v>
      </c>
      <c r="P12" s="3">
        <f t="shared" si="3"/>
        <v>25946.044444444444</v>
      </c>
      <c r="T12">
        <v>2018</v>
      </c>
      <c r="U12" s="3">
        <f>'Vehicle price'!X14</f>
        <v>23</v>
      </c>
      <c r="V12">
        <v>1</v>
      </c>
      <c r="W12" s="3">
        <f t="shared" si="4"/>
        <v>30.592100851060948</v>
      </c>
      <c r="X12" s="3">
        <f>'Vehicle price'!T14</f>
        <v>30.592100851060948</v>
      </c>
      <c r="Y12" s="3">
        <f t="shared" si="10"/>
        <v>30.592100851060948</v>
      </c>
      <c r="Z12">
        <v>1</v>
      </c>
      <c r="AC12">
        <v>2018</v>
      </c>
      <c r="AD12" s="14">
        <v>0.98</v>
      </c>
      <c r="AG12">
        <v>2018</v>
      </c>
      <c r="AH12" s="3">
        <f>665</f>
        <v>665</v>
      </c>
      <c r="AI12" s="20">
        <f>AI11*AI11/AI10</f>
        <v>98.783953379548905</v>
      </c>
      <c r="AJ12" s="3">
        <f t="shared" si="11"/>
        <v>661.49408136874558</v>
      </c>
    </row>
    <row r="13" spans="1:36">
      <c r="A13">
        <v>2019</v>
      </c>
      <c r="B13" s="3">
        <f t="shared" si="5"/>
        <v>31.172994053473918</v>
      </c>
      <c r="C13" s="3">
        <f t="shared" si="0"/>
        <v>30549.534172404437</v>
      </c>
      <c r="D13" s="3">
        <v>0</v>
      </c>
      <c r="E13" s="12">
        <v>11.111111111111111</v>
      </c>
      <c r="F13" s="3">
        <f t="shared" ref="F13:F24" si="12">(C13)*E13/100</f>
        <v>3394.3926858227151</v>
      </c>
      <c r="G13" s="3">
        <f t="shared" si="1"/>
        <v>33943.926858227154</v>
      </c>
      <c r="H13" s="3">
        <f>Austria!I13</f>
        <v>1450</v>
      </c>
      <c r="I13" s="3">
        <f t="shared" si="7"/>
        <v>35393.926858227154</v>
      </c>
      <c r="K13" s="3">
        <f t="shared" si="2"/>
        <v>665</v>
      </c>
      <c r="M13">
        <v>2019</v>
      </c>
      <c r="N13" s="3">
        <f t="shared" ref="N13:N24" si="13">I13</f>
        <v>35393.926858227154</v>
      </c>
      <c r="O13" s="3">
        <f t="shared" ref="O13:O24" si="14">I38</f>
        <v>35393.926858227154</v>
      </c>
      <c r="P13" s="3">
        <f t="shared" si="3"/>
        <v>25946.044444444444</v>
      </c>
      <c r="T13">
        <v>2019</v>
      </c>
      <c r="U13" s="3">
        <f>'Vehicle price'!X15</f>
        <v>23</v>
      </c>
      <c r="V13" s="20">
        <f>V12+(V24-V12)/12</f>
        <v>1.0249999999999999</v>
      </c>
      <c r="W13" s="3">
        <f t="shared" si="4"/>
        <v>31.952318904810763</v>
      </c>
      <c r="X13" s="3">
        <f>'Vehicle price'!T15</f>
        <v>31.172994053473918</v>
      </c>
      <c r="Y13" s="3">
        <f t="shared" si="10"/>
        <v>30.393669202137069</v>
      </c>
      <c r="Z13" s="20">
        <f>Z12+(Z24-Z12)/12</f>
        <v>0.97499999999999998</v>
      </c>
      <c r="AC13">
        <v>2019</v>
      </c>
      <c r="AD13" s="14">
        <v>0.98</v>
      </c>
      <c r="AG13">
        <v>2019</v>
      </c>
      <c r="AH13" s="3">
        <f>665</f>
        <v>665</v>
      </c>
      <c r="AI13" s="20">
        <f t="shared" ref="AI13:AI24" si="15">AI12*AI12/AI11</f>
        <v>99.307508332460529</v>
      </c>
      <c r="AJ13" s="3">
        <f t="shared" si="11"/>
        <v>658.00664614418133</v>
      </c>
    </row>
    <row r="14" spans="1:36">
      <c r="A14">
        <v>2020</v>
      </c>
      <c r="B14" s="3">
        <f t="shared" si="5"/>
        <v>30.985903123425071</v>
      </c>
      <c r="C14" s="3">
        <f t="shared" si="0"/>
        <v>30366.18506095657</v>
      </c>
      <c r="D14" s="3">
        <v>0</v>
      </c>
      <c r="E14" s="12">
        <v>11.111111111111111</v>
      </c>
      <c r="F14" s="3">
        <f t="shared" si="12"/>
        <v>3374.0205623285078</v>
      </c>
      <c r="G14" s="3">
        <f t="shared" si="1"/>
        <v>33740.205623285081</v>
      </c>
      <c r="H14" s="3">
        <f>Austria!I14</f>
        <v>1450</v>
      </c>
      <c r="I14" s="3">
        <f t="shared" si="7"/>
        <v>35190.205623285081</v>
      </c>
      <c r="K14" s="3">
        <f t="shared" si="2"/>
        <v>665</v>
      </c>
      <c r="M14">
        <v>2020</v>
      </c>
      <c r="N14" s="3">
        <f t="shared" si="13"/>
        <v>35190.205623285081</v>
      </c>
      <c r="O14" s="3">
        <f t="shared" si="14"/>
        <v>35190.205623285081</v>
      </c>
      <c r="P14" s="3">
        <f t="shared" si="3"/>
        <v>25946.044444444444</v>
      </c>
      <c r="T14">
        <v>2020</v>
      </c>
      <c r="U14" s="3">
        <f>'Vehicle price'!X16</f>
        <v>23</v>
      </c>
      <c r="V14" s="20">
        <f>V13+(V24-V12)/12</f>
        <v>1.0499999999999998</v>
      </c>
      <c r="W14" s="3">
        <f t="shared" si="4"/>
        <v>32.535198279596322</v>
      </c>
      <c r="X14" s="3">
        <f>'Vehicle price'!T16</f>
        <v>30.985903123425071</v>
      </c>
      <c r="Y14" s="3">
        <f t="shared" si="10"/>
        <v>29.436607967253817</v>
      </c>
      <c r="Z14" s="20">
        <f>Z13+(Z24-Z12)/12</f>
        <v>0.95</v>
      </c>
      <c r="AC14">
        <v>2020</v>
      </c>
      <c r="AD14" s="14">
        <v>0.98</v>
      </c>
      <c r="AG14">
        <v>2020</v>
      </c>
      <c r="AH14" s="3">
        <f>665</f>
        <v>665</v>
      </c>
      <c r="AI14" s="20">
        <f t="shared" si="15"/>
        <v>99.833838126622581</v>
      </c>
      <c r="AJ14" s="3">
        <f t="shared" si="11"/>
        <v>654.53759688071341</v>
      </c>
    </row>
    <row r="15" spans="1:36">
      <c r="A15">
        <v>2021</v>
      </c>
      <c r="B15" s="3">
        <f t="shared" si="5"/>
        <v>30.206708843097807</v>
      </c>
      <c r="C15" s="3">
        <f t="shared" si="0"/>
        <v>29602.574666235851</v>
      </c>
      <c r="D15" s="3">
        <v>0</v>
      </c>
      <c r="E15" s="12">
        <v>11.111111111111111</v>
      </c>
      <c r="F15" s="3">
        <f t="shared" si="12"/>
        <v>3289.1749629150941</v>
      </c>
      <c r="G15" s="3">
        <f t="shared" si="1"/>
        <v>32891.749629150945</v>
      </c>
      <c r="H15" s="3">
        <f>Austria!I15</f>
        <v>1450</v>
      </c>
      <c r="I15" s="3">
        <f t="shared" si="7"/>
        <v>34341.749629150945</v>
      </c>
      <c r="K15" s="3">
        <f t="shared" si="2"/>
        <v>665</v>
      </c>
      <c r="M15">
        <v>2021</v>
      </c>
      <c r="N15" s="3">
        <f t="shared" si="13"/>
        <v>34341.749629150945</v>
      </c>
      <c r="O15" s="3">
        <f t="shared" si="14"/>
        <v>34341.749629150945</v>
      </c>
      <c r="P15" s="3">
        <f t="shared" si="3"/>
        <v>25946.044444444444</v>
      </c>
      <c r="T15">
        <v>2021</v>
      </c>
      <c r="U15" s="3">
        <f>'Vehicle price'!X17</f>
        <v>23</v>
      </c>
      <c r="V15" s="20">
        <f>V14+(V24-V12)/12</f>
        <v>1.0749999999999997</v>
      </c>
      <c r="W15" s="3">
        <f t="shared" si="4"/>
        <v>32.472212006330132</v>
      </c>
      <c r="X15" s="3">
        <f>'Vehicle price'!T17</f>
        <v>30.206708843097807</v>
      </c>
      <c r="Y15" s="3">
        <f t="shared" si="10"/>
        <v>27.941205679865469</v>
      </c>
      <c r="Z15" s="20">
        <f>Z14+(Z24-Z12)/12</f>
        <v>0.92499999999999993</v>
      </c>
      <c r="AC15">
        <v>2021</v>
      </c>
      <c r="AD15" s="14">
        <v>0.98</v>
      </c>
      <c r="AG15">
        <v>2021</v>
      </c>
      <c r="AH15" s="3">
        <f>665</f>
        <v>665</v>
      </c>
      <c r="AI15" s="20">
        <f t="shared" si="15"/>
        <v>100.36295746869369</v>
      </c>
      <c r="AJ15" s="3">
        <f t="shared" si="11"/>
        <v>651.08683664648697</v>
      </c>
    </row>
    <row r="16" spans="1:36">
      <c r="A16">
        <v>2022</v>
      </c>
      <c r="B16" s="3">
        <f t="shared" si="5"/>
        <v>30.642454642697771</v>
      </c>
      <c r="C16" s="3">
        <f t="shared" si="0"/>
        <v>30029.605549843815</v>
      </c>
      <c r="D16" s="3">
        <v>0</v>
      </c>
      <c r="E16" s="12">
        <v>11.111111111111111</v>
      </c>
      <c r="F16" s="3">
        <f t="shared" si="12"/>
        <v>3336.6228388715349</v>
      </c>
      <c r="G16" s="3">
        <f t="shared" si="1"/>
        <v>33366.228388715346</v>
      </c>
      <c r="H16" s="3">
        <f>Austria!I16</f>
        <v>1450</v>
      </c>
      <c r="I16" s="3">
        <f t="shared" si="7"/>
        <v>34816.228388715346</v>
      </c>
      <c r="K16" s="3">
        <f t="shared" si="2"/>
        <v>665</v>
      </c>
      <c r="M16">
        <v>2022</v>
      </c>
      <c r="N16" s="3">
        <f t="shared" si="13"/>
        <v>34816.228388715346</v>
      </c>
      <c r="O16" s="3">
        <f t="shared" si="14"/>
        <v>34816.228388715346</v>
      </c>
      <c r="P16" s="3">
        <f t="shared" si="3"/>
        <v>25946.044444444444</v>
      </c>
      <c r="T16">
        <v>2022</v>
      </c>
      <c r="U16" s="3">
        <f>'Vehicle price'!X18</f>
        <v>23</v>
      </c>
      <c r="V16" s="20">
        <f>V15+(V24-V12)/12</f>
        <v>1.0999999999999996</v>
      </c>
      <c r="W16" s="3">
        <f t="shared" si="4"/>
        <v>33.706700106967538</v>
      </c>
      <c r="X16" s="3">
        <f>'Vehicle price'!T18</f>
        <v>30.642454642697771</v>
      </c>
      <c r="Y16" s="3">
        <f t="shared" si="10"/>
        <v>27.57820917842799</v>
      </c>
      <c r="Z16" s="20">
        <f>Z15+(Z24-Z12)/12</f>
        <v>0.89999999999999991</v>
      </c>
      <c r="AC16">
        <v>2022</v>
      </c>
      <c r="AD16" s="14">
        <v>0.98</v>
      </c>
      <c r="AG16">
        <v>2022</v>
      </c>
      <c r="AH16" s="3">
        <f>665</f>
        <v>665</v>
      </c>
      <c r="AI16" s="20">
        <f t="shared" si="15"/>
        <v>100.89488114327779</v>
      </c>
      <c r="AJ16" s="3">
        <f t="shared" si="11"/>
        <v>647.65426902067725</v>
      </c>
    </row>
    <row r="17" spans="1:36">
      <c r="A17">
        <v>2023</v>
      </c>
      <c r="B17" s="3">
        <f t="shared" si="5"/>
        <v>30.361546257811007</v>
      </c>
      <c r="C17" s="3">
        <f t="shared" si="0"/>
        <v>29754.315332654787</v>
      </c>
      <c r="D17" s="3">
        <v>0</v>
      </c>
      <c r="E17" s="12">
        <v>11.111111111111111</v>
      </c>
      <c r="F17" s="3">
        <f t="shared" si="12"/>
        <v>3306.0350369616431</v>
      </c>
      <c r="G17" s="3">
        <f t="shared" si="1"/>
        <v>33060.350369616433</v>
      </c>
      <c r="H17" s="3">
        <f>Austria!I17</f>
        <v>1450</v>
      </c>
      <c r="I17" s="3">
        <f t="shared" si="7"/>
        <v>34510.350369616433</v>
      </c>
      <c r="K17" s="3">
        <f t="shared" si="2"/>
        <v>665</v>
      </c>
      <c r="M17">
        <v>2023</v>
      </c>
      <c r="N17" s="3">
        <f t="shared" si="13"/>
        <v>34510.350369616433</v>
      </c>
      <c r="O17" s="3">
        <f t="shared" si="14"/>
        <v>34510.350369616433</v>
      </c>
      <c r="P17" s="3">
        <f t="shared" si="3"/>
        <v>25946.044444444444</v>
      </c>
      <c r="T17">
        <v>2023</v>
      </c>
      <c r="U17" s="3">
        <f>'Vehicle price'!X19</f>
        <v>23</v>
      </c>
      <c r="V17" s="20">
        <f>V16+(V24-V12)/12</f>
        <v>1.1249999999999996</v>
      </c>
      <c r="W17" s="3">
        <f t="shared" si="4"/>
        <v>34.156739540037371</v>
      </c>
      <c r="X17" s="3">
        <f>'Vehicle price'!T19</f>
        <v>30.361546257811007</v>
      </c>
      <c r="Y17" s="3">
        <f t="shared" si="10"/>
        <v>26.566352975584628</v>
      </c>
      <c r="Z17" s="20">
        <f>Z16+(Z24-Z12)/12</f>
        <v>0.87499999999999989</v>
      </c>
      <c r="AC17">
        <v>2023</v>
      </c>
      <c r="AD17" s="14">
        <v>0.98</v>
      </c>
      <c r="AG17">
        <v>2023</v>
      </c>
      <c r="AH17" s="3">
        <f>665</f>
        <v>665</v>
      </c>
      <c r="AI17" s="20">
        <f t="shared" si="15"/>
        <v>101.42962401333718</v>
      </c>
      <c r="AJ17" s="3">
        <f t="shared" si="11"/>
        <v>644.23979809079594</v>
      </c>
    </row>
    <row r="18" spans="1:36">
      <c r="A18">
        <v>2024</v>
      </c>
      <c r="B18" s="3">
        <f t="shared" si="5"/>
        <v>29.275640447464834</v>
      </c>
      <c r="C18" s="3">
        <f t="shared" si="0"/>
        <v>28690.127638515536</v>
      </c>
      <c r="D18" s="3">
        <v>0</v>
      </c>
      <c r="E18" s="12">
        <v>11.111111111111111</v>
      </c>
      <c r="F18" s="3">
        <f t="shared" si="12"/>
        <v>3187.7919598350591</v>
      </c>
      <c r="G18" s="3">
        <f t="shared" si="1"/>
        <v>31877.919598350596</v>
      </c>
      <c r="H18" s="3">
        <f>Austria!I18</f>
        <v>1450</v>
      </c>
      <c r="I18" s="3">
        <f t="shared" si="7"/>
        <v>33327.919598350592</v>
      </c>
      <c r="K18" s="3">
        <f t="shared" si="2"/>
        <v>665</v>
      </c>
      <c r="M18">
        <v>2024</v>
      </c>
      <c r="N18" s="3">
        <f t="shared" si="13"/>
        <v>33327.919598350592</v>
      </c>
      <c r="O18" s="3">
        <f t="shared" si="14"/>
        <v>33327.919598350592</v>
      </c>
      <c r="P18" s="3">
        <f t="shared" si="3"/>
        <v>25946.044444444444</v>
      </c>
      <c r="T18">
        <v>2024</v>
      </c>
      <c r="U18" s="3">
        <f>'Vehicle price'!X20</f>
        <v>23</v>
      </c>
      <c r="V18" s="20">
        <f>V17+(V24-V12)/12</f>
        <v>1.1499999999999995</v>
      </c>
      <c r="W18" s="3">
        <f t="shared" si="4"/>
        <v>33.666986514584543</v>
      </c>
      <c r="X18" s="3">
        <f>'Vehicle price'!T20</f>
        <v>29.275640447464834</v>
      </c>
      <c r="Y18" s="3">
        <f t="shared" si="10"/>
        <v>24.884294380345104</v>
      </c>
      <c r="Z18" s="20">
        <f>Z17+(Z24-Z12)/12</f>
        <v>0.84999999999999987</v>
      </c>
      <c r="AC18">
        <v>2024</v>
      </c>
      <c r="AD18" s="14">
        <v>0.98</v>
      </c>
      <c r="AG18">
        <v>2024</v>
      </c>
      <c r="AH18" s="3">
        <f>665</f>
        <v>665</v>
      </c>
      <c r="AI18" s="20">
        <f t="shared" si="15"/>
        <v>101.96720102060787</v>
      </c>
      <c r="AJ18" s="3">
        <f t="shared" si="11"/>
        <v>640.84332845001086</v>
      </c>
    </row>
    <row r="19" spans="1:36">
      <c r="A19">
        <v>2025</v>
      </c>
      <c r="B19" s="3">
        <f t="shared" si="5"/>
        <v>28.343375828936317</v>
      </c>
      <c r="C19" s="3">
        <f t="shared" si="0"/>
        <v>27776.50831235759</v>
      </c>
      <c r="D19" s="3">
        <v>0</v>
      </c>
      <c r="E19" s="12">
        <v>11.111111111111111</v>
      </c>
      <c r="F19" s="3">
        <f t="shared" si="12"/>
        <v>3086.2787013730649</v>
      </c>
      <c r="G19" s="3">
        <f t="shared" si="1"/>
        <v>30862.787013730653</v>
      </c>
      <c r="H19" s="3">
        <f>Austria!I19</f>
        <v>1450</v>
      </c>
      <c r="I19" s="3">
        <f t="shared" si="7"/>
        <v>32312.787013730653</v>
      </c>
      <c r="K19" s="3">
        <f t="shared" si="2"/>
        <v>665</v>
      </c>
      <c r="M19">
        <v>2025</v>
      </c>
      <c r="N19" s="3">
        <f t="shared" si="13"/>
        <v>32312.787013730653</v>
      </c>
      <c r="O19" s="3">
        <f t="shared" si="14"/>
        <v>32312.787013730653</v>
      </c>
      <c r="P19" s="3">
        <f t="shared" si="3"/>
        <v>25946.044444444444</v>
      </c>
      <c r="T19">
        <v>2025</v>
      </c>
      <c r="U19" s="3">
        <f>'Vehicle price'!X21</f>
        <v>23</v>
      </c>
      <c r="V19" s="20">
        <f>V18+(V24-V12)/12</f>
        <v>1.1749999999999994</v>
      </c>
      <c r="W19" s="3">
        <f t="shared" si="4"/>
        <v>33.303466599000153</v>
      </c>
      <c r="X19" s="3">
        <f>'Vehicle price'!T21</f>
        <v>28.343375828936317</v>
      </c>
      <c r="Y19" s="3">
        <f t="shared" si="10"/>
        <v>23.383285058872456</v>
      </c>
      <c r="Z19" s="20">
        <f>Z18+(Z24-Z12)/12</f>
        <v>0.82499999999999984</v>
      </c>
      <c r="AC19">
        <v>2025</v>
      </c>
      <c r="AD19" s="14">
        <v>0.98</v>
      </c>
      <c r="AG19">
        <v>2025</v>
      </c>
      <c r="AH19" s="3">
        <f>665</f>
        <v>665</v>
      </c>
      <c r="AI19" s="20">
        <f t="shared" si="15"/>
        <v>102.50762718601712</v>
      </c>
      <c r="AJ19" s="3">
        <f t="shared" si="11"/>
        <v>637.46476519447992</v>
      </c>
    </row>
    <row r="20" spans="1:36">
      <c r="A20">
        <v>2026</v>
      </c>
      <c r="B20" s="3">
        <f t="shared" si="5"/>
        <v>27.812270474504896</v>
      </c>
      <c r="C20" s="3">
        <f t="shared" si="0"/>
        <v>27256.025065014797</v>
      </c>
      <c r="D20" s="3">
        <v>0</v>
      </c>
      <c r="E20" s="12">
        <v>11.111111111111111</v>
      </c>
      <c r="F20" s="3">
        <f t="shared" si="12"/>
        <v>3028.4472294460884</v>
      </c>
      <c r="G20" s="3">
        <f t="shared" si="1"/>
        <v>30284.472294460887</v>
      </c>
      <c r="H20" s="3">
        <f>Austria!I20</f>
        <v>1450</v>
      </c>
      <c r="I20" s="3">
        <f t="shared" si="7"/>
        <v>31734.472294460887</v>
      </c>
      <c r="K20" s="3">
        <f t="shared" si="2"/>
        <v>665</v>
      </c>
      <c r="M20">
        <v>2026</v>
      </c>
      <c r="N20" s="3">
        <f t="shared" si="13"/>
        <v>31734.472294460887</v>
      </c>
      <c r="O20" s="3">
        <f t="shared" si="14"/>
        <v>31734.472294460887</v>
      </c>
      <c r="P20" s="3">
        <f t="shared" si="3"/>
        <v>25946.044444444444</v>
      </c>
      <c r="T20">
        <v>2026</v>
      </c>
      <c r="U20" s="3">
        <f>'Vehicle price'!X22</f>
        <v>23</v>
      </c>
      <c r="V20" s="20">
        <f>V19+(V24-V12)/12</f>
        <v>1.1999999999999993</v>
      </c>
      <c r="W20" s="3">
        <f t="shared" si="4"/>
        <v>33.374724569405856</v>
      </c>
      <c r="X20" s="3">
        <f>'Vehicle price'!T22</f>
        <v>27.812270474504896</v>
      </c>
      <c r="Y20" s="3">
        <f t="shared" si="10"/>
        <v>22.24981637960391</v>
      </c>
      <c r="Z20" s="20">
        <f>Z19+(Z24-Z12)/12</f>
        <v>0.79999999999999982</v>
      </c>
      <c r="AC20">
        <v>2026</v>
      </c>
      <c r="AD20" s="14">
        <v>0.98</v>
      </c>
      <c r="AG20">
        <v>2026</v>
      </c>
      <c r="AH20" s="3">
        <f>665</f>
        <v>665</v>
      </c>
      <c r="AI20" s="20">
        <f t="shared" si="15"/>
        <v>103.05091761010303</v>
      </c>
      <c r="AJ20" s="3">
        <f t="shared" si="11"/>
        <v>634.10401392070014</v>
      </c>
    </row>
    <row r="21" spans="1:36">
      <c r="A21">
        <v>2027</v>
      </c>
      <c r="B21" s="3">
        <f t="shared" si="5"/>
        <v>27.281165120073478</v>
      </c>
      <c r="C21" s="3">
        <f t="shared" si="0"/>
        <v>26735.541817672009</v>
      </c>
      <c r="D21" s="3">
        <v>0</v>
      </c>
      <c r="E21" s="12">
        <v>11.111111111111111</v>
      </c>
      <c r="F21" s="3">
        <f t="shared" si="12"/>
        <v>2970.6157575191119</v>
      </c>
      <c r="G21" s="3">
        <f t="shared" si="1"/>
        <v>29706.157575191122</v>
      </c>
      <c r="H21" s="3">
        <f>Austria!I21</f>
        <v>1450</v>
      </c>
      <c r="I21" s="3">
        <f t="shared" si="7"/>
        <v>31156.157575191122</v>
      </c>
      <c r="K21" s="3">
        <f t="shared" si="2"/>
        <v>665</v>
      </c>
      <c r="M21">
        <v>2027</v>
      </c>
      <c r="N21" s="3">
        <f t="shared" si="13"/>
        <v>31156.157575191122</v>
      </c>
      <c r="O21" s="3">
        <f t="shared" si="14"/>
        <v>31156.157575191122</v>
      </c>
      <c r="P21" s="3">
        <f t="shared" si="3"/>
        <v>25946.044444444444</v>
      </c>
      <c r="T21">
        <v>2027</v>
      </c>
      <c r="U21" s="3">
        <f>'Vehicle price'!X23</f>
        <v>23</v>
      </c>
      <c r="V21" s="20">
        <f>V20+(V24-V12)/12</f>
        <v>1.2249999999999992</v>
      </c>
      <c r="W21" s="3">
        <f t="shared" si="4"/>
        <v>33.41942727208999</v>
      </c>
      <c r="X21" s="3">
        <f>'Vehicle price'!T23</f>
        <v>27.281165120073478</v>
      </c>
      <c r="Y21" s="3">
        <f t="shared" si="10"/>
        <v>21.142902968056941</v>
      </c>
      <c r="Z21" s="20">
        <f>Z20+(Z24-Z12)/12</f>
        <v>0.7749999999999998</v>
      </c>
      <c r="AC21">
        <v>2027</v>
      </c>
      <c r="AD21" s="14">
        <v>0.98</v>
      </c>
      <c r="AG21">
        <v>2027</v>
      </c>
      <c r="AH21" s="3">
        <f>665</f>
        <v>665</v>
      </c>
      <c r="AI21" s="20">
        <f t="shared" si="15"/>
        <v>103.59708747343659</v>
      </c>
      <c r="AJ21" s="3">
        <f t="shared" si="11"/>
        <v>630.76098072286879</v>
      </c>
    </row>
    <row r="22" spans="1:36">
      <c r="A22">
        <v>2028</v>
      </c>
      <c r="B22" s="3">
        <f t="shared" si="5"/>
        <v>26.683671596338133</v>
      </c>
      <c r="C22" s="3">
        <f t="shared" si="0"/>
        <v>26149.998164411369</v>
      </c>
      <c r="D22" s="3">
        <v>0</v>
      </c>
      <c r="E22" s="12">
        <v>11.111111111111111</v>
      </c>
      <c r="F22" s="3">
        <f t="shared" si="12"/>
        <v>2905.5553516012628</v>
      </c>
      <c r="G22" s="3">
        <f t="shared" si="1"/>
        <v>29055.553516012631</v>
      </c>
      <c r="H22" s="3">
        <f>Austria!I22</f>
        <v>1450</v>
      </c>
      <c r="I22" s="3">
        <f t="shared" si="7"/>
        <v>30505.553516012631</v>
      </c>
      <c r="K22" s="3">
        <f t="shared" si="2"/>
        <v>665</v>
      </c>
      <c r="M22">
        <v>2028</v>
      </c>
      <c r="N22" s="3">
        <f t="shared" si="13"/>
        <v>30505.553516012631</v>
      </c>
      <c r="O22" s="3">
        <f t="shared" si="14"/>
        <v>30505.553516012631</v>
      </c>
      <c r="P22" s="3">
        <f t="shared" si="3"/>
        <v>25946.044444444444</v>
      </c>
      <c r="T22">
        <v>2028</v>
      </c>
      <c r="U22" s="3">
        <f>'Vehicle price'!X24</f>
        <v>23</v>
      </c>
      <c r="V22" s="20">
        <f>V21+(V24-V12)/12</f>
        <v>1.2499999999999991</v>
      </c>
      <c r="W22" s="3">
        <f t="shared" si="4"/>
        <v>33.354589495422644</v>
      </c>
      <c r="X22" s="3">
        <f>'Vehicle price'!T24</f>
        <v>26.683671596338133</v>
      </c>
      <c r="Y22" s="3">
        <f t="shared" si="10"/>
        <v>20.012753697253594</v>
      </c>
      <c r="Z22" s="20">
        <f>Z21+(Z24-Z12)/12</f>
        <v>0.74999999999999978</v>
      </c>
      <c r="AC22">
        <v>2028</v>
      </c>
      <c r="AD22" s="14">
        <v>0.98</v>
      </c>
      <c r="AG22">
        <v>2028</v>
      </c>
      <c r="AH22" s="3">
        <f>665</f>
        <v>665</v>
      </c>
      <c r="AI22" s="20">
        <f t="shared" si="15"/>
        <v>104.14615203704582</v>
      </c>
      <c r="AJ22" s="3">
        <f t="shared" si="11"/>
        <v>627.43557219026036</v>
      </c>
    </row>
    <row r="23" spans="1:36">
      <c r="A23">
        <v>2029</v>
      </c>
      <c r="B23" s="3">
        <f t="shared" si="5"/>
        <v>26.152566241906715</v>
      </c>
      <c r="C23" s="3">
        <f t="shared" si="0"/>
        <v>25629.51491706858</v>
      </c>
      <c r="D23" s="3">
        <v>0</v>
      </c>
      <c r="E23" s="12">
        <v>11.111111111111111</v>
      </c>
      <c r="F23" s="3">
        <f t="shared" si="12"/>
        <v>2847.7238796742868</v>
      </c>
      <c r="G23" s="3">
        <f t="shared" si="1"/>
        <v>28477.238796742866</v>
      </c>
      <c r="H23" s="3">
        <f>Austria!I23</f>
        <v>1450</v>
      </c>
      <c r="I23" s="3">
        <f t="shared" si="7"/>
        <v>29927.238796742866</v>
      </c>
      <c r="K23" s="3">
        <f t="shared" si="2"/>
        <v>665</v>
      </c>
      <c r="M23">
        <v>2029</v>
      </c>
      <c r="N23" s="3">
        <f t="shared" si="13"/>
        <v>29927.238796742866</v>
      </c>
      <c r="O23" s="3">
        <f t="shared" si="14"/>
        <v>29927.238796742866</v>
      </c>
      <c r="P23" s="3">
        <f t="shared" si="3"/>
        <v>25946.044444444444</v>
      </c>
      <c r="T23">
        <v>2029</v>
      </c>
      <c r="U23" s="3">
        <f>'Vehicle price'!X25</f>
        <v>23</v>
      </c>
      <c r="V23" s="20">
        <f>V22+(V24-V12)/12</f>
        <v>1.274999999999999</v>
      </c>
      <c r="W23" s="3">
        <f t="shared" si="4"/>
        <v>33.344521958431038</v>
      </c>
      <c r="X23" s="3">
        <f>'Vehicle price'!T25</f>
        <v>26.152566241906715</v>
      </c>
      <c r="Y23" s="3">
        <f t="shared" si="10"/>
        <v>18.960610525382361</v>
      </c>
      <c r="Z23" s="20">
        <f>Z22+(Z24-Z12)/12</f>
        <v>0.72499999999999976</v>
      </c>
      <c r="AC23">
        <v>2029</v>
      </c>
      <c r="AD23" s="14">
        <v>0.98</v>
      </c>
      <c r="AG23">
        <v>2029</v>
      </c>
      <c r="AH23" s="3">
        <f>665</f>
        <v>665</v>
      </c>
      <c r="AI23" s="20">
        <f t="shared" si="15"/>
        <v>104.6981266428422</v>
      </c>
      <c r="AJ23" s="3">
        <f t="shared" si="11"/>
        <v>624.12769540461568</v>
      </c>
    </row>
    <row r="24" spans="1:36">
      <c r="A24">
        <v>2030</v>
      </c>
      <c r="B24" s="3">
        <f t="shared" si="5"/>
        <v>25.55507271817137</v>
      </c>
      <c r="C24" s="3">
        <f t="shared" si="0"/>
        <v>25043.971263807944</v>
      </c>
      <c r="D24" s="3">
        <v>0</v>
      </c>
      <c r="E24" s="12">
        <v>11.111111111111111</v>
      </c>
      <c r="F24" s="3">
        <f t="shared" si="12"/>
        <v>2782.6634737564377</v>
      </c>
      <c r="G24" s="3">
        <f t="shared" si="1"/>
        <v>27826.634737564382</v>
      </c>
      <c r="H24" s="3">
        <f>Austria!I24</f>
        <v>1450</v>
      </c>
      <c r="I24" s="3">
        <f t="shared" si="7"/>
        <v>29276.634737564382</v>
      </c>
      <c r="K24" s="3">
        <f t="shared" si="2"/>
        <v>665</v>
      </c>
      <c r="M24">
        <v>2030</v>
      </c>
      <c r="N24" s="3">
        <f t="shared" si="13"/>
        <v>29276.634737564382</v>
      </c>
      <c r="O24" s="3">
        <f t="shared" si="14"/>
        <v>29276.634737564382</v>
      </c>
      <c r="P24" s="3">
        <f t="shared" si="3"/>
        <v>25946.044444444444</v>
      </c>
      <c r="T24">
        <v>2030</v>
      </c>
      <c r="U24" s="3">
        <f>'Vehicle price'!X26</f>
        <v>23</v>
      </c>
      <c r="V24">
        <v>1.3</v>
      </c>
      <c r="W24" s="3">
        <f t="shared" si="4"/>
        <v>33.221594533622785</v>
      </c>
      <c r="X24" s="3">
        <f>'Vehicle price'!T26</f>
        <v>25.55507271817137</v>
      </c>
      <c r="Y24" s="3">
        <f t="shared" si="10"/>
        <v>17.88855090271996</v>
      </c>
      <c r="Z24">
        <v>0.7</v>
      </c>
      <c r="AC24">
        <v>2030</v>
      </c>
      <c r="AD24" s="14">
        <v>0.98</v>
      </c>
      <c r="AG24">
        <v>2030</v>
      </c>
      <c r="AH24" s="3">
        <f>665</f>
        <v>665</v>
      </c>
      <c r="AI24" s="20">
        <f t="shared" si="15"/>
        <v>105.25302671404928</v>
      </c>
      <c r="AJ24" s="3">
        <f t="shared" si="11"/>
        <v>620.8372579375465</v>
      </c>
    </row>
    <row r="25" spans="1:36">
      <c r="F25" s="3"/>
    </row>
    <row r="26" spans="1:36">
      <c r="A26" t="s">
        <v>324</v>
      </c>
      <c r="B26" t="s">
        <v>1395</v>
      </c>
      <c r="C26" t="s">
        <v>802</v>
      </c>
      <c r="D26" t="s">
        <v>802</v>
      </c>
      <c r="E26" t="s">
        <v>498</v>
      </c>
      <c r="F26" t="s">
        <v>802</v>
      </c>
      <c r="G26" t="s">
        <v>802</v>
      </c>
      <c r="I26" t="s">
        <v>802</v>
      </c>
      <c r="K26" t="s">
        <v>802</v>
      </c>
    </row>
    <row r="27" spans="1:36">
      <c r="B27" t="s">
        <v>711</v>
      </c>
      <c r="C27" t="s">
        <v>711</v>
      </c>
      <c r="D27" t="s">
        <v>804</v>
      </c>
      <c r="E27" t="s">
        <v>714</v>
      </c>
      <c r="F27" s="3" t="s">
        <v>728</v>
      </c>
      <c r="G27" t="s">
        <v>717</v>
      </c>
      <c r="H27" t="s">
        <v>755</v>
      </c>
      <c r="I27" t="s">
        <v>717</v>
      </c>
      <c r="K27" t="s">
        <v>910</v>
      </c>
    </row>
    <row r="28" spans="1:36">
      <c r="A28">
        <v>2009</v>
      </c>
      <c r="B28" s="3">
        <f t="shared" ref="B28:B49" si="16">B3</f>
        <v>29.592572886961211</v>
      </c>
      <c r="C28" s="3">
        <f t="shared" ref="C28:C49" si="17">B28*AD3*1000</f>
        <v>32200.911582172786</v>
      </c>
      <c r="D28" s="3">
        <f>0.04*C28</f>
        <v>1288.0364632869114</v>
      </c>
      <c r="E28" s="12">
        <v>10.644237918215612</v>
      </c>
      <c r="F28" s="3">
        <f t="shared" ref="F28:F36" si="18">(C28)*E28/100</f>
        <v>3427.5416406407185</v>
      </c>
      <c r="G28" s="3">
        <f t="shared" ref="G28:G37" si="19">C28+F28+D28</f>
        <v>36916.489686100416</v>
      </c>
      <c r="H28" s="3">
        <f t="shared" ref="H28:H49" si="20">H3</f>
        <v>1450</v>
      </c>
      <c r="I28" s="3">
        <f>G28+H28</f>
        <v>38366.489686100416</v>
      </c>
      <c r="K28" s="3">
        <f t="shared" ref="K28:K49" si="21">AH3</f>
        <v>665</v>
      </c>
    </row>
    <row r="29" spans="1:36">
      <c r="A29">
        <v>2010</v>
      </c>
      <c r="B29" s="3">
        <f t="shared" si="16"/>
        <v>30</v>
      </c>
      <c r="C29" s="3">
        <f t="shared" si="17"/>
        <v>31142.735499533486</v>
      </c>
      <c r="D29" s="3">
        <f>0.04*C29</f>
        <v>1245.7094199813396</v>
      </c>
      <c r="E29" s="12">
        <v>11.562453531598514</v>
      </c>
      <c r="F29" s="3">
        <f t="shared" si="18"/>
        <v>3600.8643206021934</v>
      </c>
      <c r="G29" s="3">
        <f t="shared" si="19"/>
        <v>35989.309240117014</v>
      </c>
      <c r="H29" s="3">
        <f t="shared" si="20"/>
        <v>1450</v>
      </c>
      <c r="I29" s="3">
        <f t="shared" ref="I29:I49" si="22">G29+H29</f>
        <v>37439.309240117014</v>
      </c>
      <c r="K29" s="3">
        <f t="shared" si="21"/>
        <v>665</v>
      </c>
    </row>
    <row r="30" spans="1:36">
      <c r="A30">
        <v>2011</v>
      </c>
      <c r="B30" s="3">
        <f t="shared" si="16"/>
        <v>30</v>
      </c>
      <c r="C30" s="3">
        <f t="shared" si="17"/>
        <v>26441.732529367957</v>
      </c>
      <c r="D30" s="3">
        <f>0.04*C30</f>
        <v>1057.6693011747184</v>
      </c>
      <c r="E30" s="12">
        <v>12.740740740740739</v>
      </c>
      <c r="F30" s="3">
        <f t="shared" si="18"/>
        <v>3368.8725889268799</v>
      </c>
      <c r="G30" s="3">
        <f t="shared" si="19"/>
        <v>30868.274419469555</v>
      </c>
      <c r="H30" s="3">
        <f t="shared" si="20"/>
        <v>1450</v>
      </c>
      <c r="I30" s="3">
        <f t="shared" si="22"/>
        <v>32318.274419469555</v>
      </c>
      <c r="K30" s="3">
        <f t="shared" si="21"/>
        <v>665</v>
      </c>
    </row>
    <row r="31" spans="1:36">
      <c r="A31">
        <v>2012</v>
      </c>
      <c r="B31" s="3">
        <f t="shared" si="16"/>
        <v>30.842462459493706</v>
      </c>
      <c r="C31" s="3">
        <f t="shared" si="17"/>
        <v>28744.502319618117</v>
      </c>
      <c r="D31" s="3">
        <f>0.04*C31</f>
        <v>1149.7800927847247</v>
      </c>
      <c r="E31" s="12">
        <v>13.037037037037036</v>
      </c>
      <c r="F31" s="3">
        <f t="shared" si="18"/>
        <v>3747.4314135205841</v>
      </c>
      <c r="G31" s="3">
        <f t="shared" si="19"/>
        <v>33641.713825923427</v>
      </c>
      <c r="H31" s="3">
        <f t="shared" si="20"/>
        <v>1450</v>
      </c>
      <c r="I31" s="3">
        <f t="shared" si="22"/>
        <v>35091.713825923427</v>
      </c>
      <c r="K31" s="3">
        <f t="shared" si="21"/>
        <v>665</v>
      </c>
    </row>
    <row r="32" spans="1:36">
      <c r="A32">
        <v>2013</v>
      </c>
      <c r="B32" s="3">
        <f t="shared" si="16"/>
        <v>31.143929334439989</v>
      </c>
      <c r="C32" s="3">
        <f t="shared" si="17"/>
        <v>28790.664243026422</v>
      </c>
      <c r="D32" s="3">
        <v>0</v>
      </c>
      <c r="E32" s="12">
        <v>12.962962962962962</v>
      </c>
      <c r="F32" s="3">
        <f t="shared" si="18"/>
        <v>3732.1231426145359</v>
      </c>
      <c r="G32" s="3">
        <f t="shared" si="19"/>
        <v>32522.787385640957</v>
      </c>
      <c r="H32" s="3">
        <f t="shared" si="20"/>
        <v>1450</v>
      </c>
      <c r="I32" s="3">
        <f t="shared" si="22"/>
        <v>33972.787385640957</v>
      </c>
      <c r="K32" s="3">
        <f t="shared" si="21"/>
        <v>665</v>
      </c>
    </row>
    <row r="33" spans="1:21">
      <c r="A33">
        <v>2014</v>
      </c>
      <c r="B33" s="3">
        <f t="shared" si="16"/>
        <v>33.541755956678692</v>
      </c>
      <c r="C33" s="3">
        <f t="shared" si="17"/>
        <v>30817.187849074173</v>
      </c>
      <c r="D33" s="3">
        <v>0</v>
      </c>
      <c r="E33" s="12">
        <v>12.592592592592592</v>
      </c>
      <c r="F33" s="3">
        <f t="shared" si="18"/>
        <v>3880.6829143278587</v>
      </c>
      <c r="G33" s="3">
        <f t="shared" si="19"/>
        <v>34697.870763402032</v>
      </c>
      <c r="H33" s="3">
        <f t="shared" si="20"/>
        <v>1450</v>
      </c>
      <c r="I33" s="3">
        <f t="shared" si="22"/>
        <v>36147.870763402032</v>
      </c>
      <c r="K33" s="3">
        <f t="shared" si="21"/>
        <v>665</v>
      </c>
      <c r="U33" s="167"/>
    </row>
    <row r="34" spans="1:21">
      <c r="A34">
        <v>2015</v>
      </c>
      <c r="B34" s="3">
        <f t="shared" si="16"/>
        <v>30</v>
      </c>
      <c r="C34" s="3">
        <f t="shared" si="17"/>
        <v>28889.459465493754</v>
      </c>
      <c r="D34" s="3">
        <v>0</v>
      </c>
      <c r="E34" s="12">
        <v>10.74074074074074</v>
      </c>
      <c r="F34" s="3">
        <f t="shared" si="18"/>
        <v>3102.9419425900701</v>
      </c>
      <c r="G34" s="3">
        <f t="shared" si="19"/>
        <v>31992.401408083824</v>
      </c>
      <c r="H34" s="3">
        <f t="shared" si="20"/>
        <v>1450</v>
      </c>
      <c r="I34" s="3">
        <f t="shared" si="22"/>
        <v>33442.401408083824</v>
      </c>
      <c r="K34" s="3">
        <f t="shared" si="21"/>
        <v>665</v>
      </c>
    </row>
    <row r="35" spans="1:21">
      <c r="A35">
        <v>2016</v>
      </c>
      <c r="B35" s="3">
        <f t="shared" si="16"/>
        <v>30</v>
      </c>
      <c r="C35" s="3">
        <f t="shared" si="17"/>
        <v>29651.268369783313</v>
      </c>
      <c r="D35" s="3">
        <v>0</v>
      </c>
      <c r="E35" s="12">
        <v>10.370370370370368</v>
      </c>
      <c r="F35" s="3">
        <f t="shared" si="18"/>
        <v>3074.9463494590095</v>
      </c>
      <c r="G35" s="3">
        <f t="shared" si="19"/>
        <v>32726.214719242322</v>
      </c>
      <c r="H35" s="3">
        <f t="shared" si="20"/>
        <v>1450</v>
      </c>
      <c r="I35" s="3">
        <f t="shared" si="22"/>
        <v>34176.214719242322</v>
      </c>
      <c r="K35" s="3">
        <f t="shared" si="21"/>
        <v>665</v>
      </c>
      <c r="U35" s="167"/>
    </row>
    <row r="36" spans="1:21">
      <c r="A36">
        <v>2017</v>
      </c>
      <c r="B36" s="3">
        <f t="shared" si="16"/>
        <v>30</v>
      </c>
      <c r="C36" s="3">
        <f t="shared" si="17"/>
        <v>29485.470974452328</v>
      </c>
      <c r="D36" s="3">
        <v>0</v>
      </c>
      <c r="E36" s="12">
        <v>11.111111111111111</v>
      </c>
      <c r="F36" s="3">
        <f t="shared" si="18"/>
        <v>3276.1634416058141</v>
      </c>
      <c r="G36" s="3">
        <f t="shared" si="19"/>
        <v>32761.634416058143</v>
      </c>
      <c r="H36" s="3">
        <f t="shared" si="20"/>
        <v>1450</v>
      </c>
      <c r="I36" s="3">
        <f t="shared" si="22"/>
        <v>34211.634416058143</v>
      </c>
      <c r="K36" s="3">
        <f t="shared" si="21"/>
        <v>665</v>
      </c>
      <c r="U36" s="167"/>
    </row>
    <row r="37" spans="1:21">
      <c r="A37">
        <v>2018</v>
      </c>
      <c r="B37" s="3">
        <f t="shared" si="16"/>
        <v>30.592100851060948</v>
      </c>
      <c r="C37" s="3">
        <f t="shared" si="17"/>
        <v>29980.258834039727</v>
      </c>
      <c r="D37" s="3">
        <v>0</v>
      </c>
      <c r="E37" s="12">
        <v>11.111111111111111</v>
      </c>
      <c r="F37" s="3">
        <f>(C37)*E37/100</f>
        <v>3331.1398704488588</v>
      </c>
      <c r="G37" s="3">
        <f t="shared" si="19"/>
        <v>33311.398704488587</v>
      </c>
      <c r="H37" s="3">
        <f t="shared" si="20"/>
        <v>1450</v>
      </c>
      <c r="I37" s="3">
        <f t="shared" si="22"/>
        <v>34761.398704488587</v>
      </c>
      <c r="K37" s="3">
        <f t="shared" si="21"/>
        <v>665</v>
      </c>
      <c r="U37" s="105"/>
    </row>
    <row r="38" spans="1:21">
      <c r="A38">
        <v>2019</v>
      </c>
      <c r="B38" s="3">
        <f t="shared" si="16"/>
        <v>31.172994053473918</v>
      </c>
      <c r="C38" s="3">
        <f t="shared" si="17"/>
        <v>30549.534172404437</v>
      </c>
      <c r="D38" s="3">
        <v>0</v>
      </c>
      <c r="E38" s="12">
        <v>11.111111111111111</v>
      </c>
      <c r="F38" s="3">
        <f t="shared" ref="F38:F49" si="23">(C38)*E38/100</f>
        <v>3394.3926858227151</v>
      </c>
      <c r="G38" s="3">
        <f t="shared" ref="G38:G49" si="24">C38+F38+D38</f>
        <v>33943.926858227154</v>
      </c>
      <c r="H38" s="3">
        <f t="shared" si="20"/>
        <v>1450</v>
      </c>
      <c r="I38" s="3">
        <f t="shared" si="22"/>
        <v>35393.926858227154</v>
      </c>
      <c r="K38" s="3">
        <f t="shared" si="21"/>
        <v>665</v>
      </c>
      <c r="U38" s="105"/>
    </row>
    <row r="39" spans="1:21">
      <c r="A39">
        <v>2020</v>
      </c>
      <c r="B39" s="3">
        <f t="shared" si="16"/>
        <v>30.985903123425071</v>
      </c>
      <c r="C39" s="3">
        <f t="shared" si="17"/>
        <v>30366.18506095657</v>
      </c>
      <c r="D39" s="3">
        <v>0</v>
      </c>
      <c r="E39" s="12">
        <v>11.111111111111111</v>
      </c>
      <c r="F39" s="3">
        <f t="shared" si="23"/>
        <v>3374.0205623285078</v>
      </c>
      <c r="G39" s="3">
        <f t="shared" si="24"/>
        <v>33740.205623285081</v>
      </c>
      <c r="H39" s="3">
        <f t="shared" si="20"/>
        <v>1450</v>
      </c>
      <c r="I39" s="3">
        <f t="shared" si="22"/>
        <v>35190.205623285081</v>
      </c>
      <c r="K39" s="3">
        <f t="shared" si="21"/>
        <v>665</v>
      </c>
      <c r="U39" s="105"/>
    </row>
    <row r="40" spans="1:21">
      <c r="A40">
        <v>2021</v>
      </c>
      <c r="B40" s="3">
        <f t="shared" si="16"/>
        <v>30.206708843097807</v>
      </c>
      <c r="C40" s="3">
        <f t="shared" si="17"/>
        <v>29602.574666235851</v>
      </c>
      <c r="D40" s="3">
        <v>0</v>
      </c>
      <c r="E40" s="12">
        <v>11.111111111111111</v>
      </c>
      <c r="F40" s="3">
        <f t="shared" si="23"/>
        <v>3289.1749629150941</v>
      </c>
      <c r="G40" s="3">
        <f t="shared" si="24"/>
        <v>32891.749629150945</v>
      </c>
      <c r="H40" s="3">
        <f t="shared" si="20"/>
        <v>1450</v>
      </c>
      <c r="I40" s="3">
        <f t="shared" si="22"/>
        <v>34341.749629150945</v>
      </c>
      <c r="K40" s="3">
        <f t="shared" si="21"/>
        <v>665</v>
      </c>
      <c r="U40" s="105"/>
    </row>
    <row r="41" spans="1:21">
      <c r="A41">
        <v>2022</v>
      </c>
      <c r="B41" s="3">
        <f t="shared" si="16"/>
        <v>30.642454642697771</v>
      </c>
      <c r="C41" s="3">
        <f t="shared" si="17"/>
        <v>30029.605549843815</v>
      </c>
      <c r="D41" s="3">
        <v>0</v>
      </c>
      <c r="E41" s="12">
        <v>11.111111111111111</v>
      </c>
      <c r="F41" s="3">
        <f t="shared" si="23"/>
        <v>3336.6228388715349</v>
      </c>
      <c r="G41" s="3">
        <f t="shared" si="24"/>
        <v>33366.228388715346</v>
      </c>
      <c r="H41" s="3">
        <f t="shared" si="20"/>
        <v>1450</v>
      </c>
      <c r="I41" s="3">
        <f t="shared" si="22"/>
        <v>34816.228388715346</v>
      </c>
      <c r="K41" s="3">
        <f t="shared" si="21"/>
        <v>665</v>
      </c>
      <c r="U41" s="105"/>
    </row>
    <row r="42" spans="1:21">
      <c r="A42">
        <v>2023</v>
      </c>
      <c r="B42" s="3">
        <f t="shared" si="16"/>
        <v>30.361546257811007</v>
      </c>
      <c r="C42" s="3">
        <f t="shared" si="17"/>
        <v>29754.315332654787</v>
      </c>
      <c r="D42" s="3">
        <v>0</v>
      </c>
      <c r="E42" s="12">
        <v>11.111111111111111</v>
      </c>
      <c r="F42" s="3">
        <f t="shared" si="23"/>
        <v>3306.0350369616431</v>
      </c>
      <c r="G42" s="3">
        <f t="shared" si="24"/>
        <v>33060.350369616433</v>
      </c>
      <c r="H42" s="3">
        <f t="shared" si="20"/>
        <v>1450</v>
      </c>
      <c r="I42" s="3">
        <f t="shared" si="22"/>
        <v>34510.350369616433</v>
      </c>
      <c r="K42" s="3">
        <f t="shared" si="21"/>
        <v>665</v>
      </c>
      <c r="U42" s="105"/>
    </row>
    <row r="43" spans="1:21">
      <c r="A43">
        <v>2024</v>
      </c>
      <c r="B43" s="3">
        <f t="shared" si="16"/>
        <v>29.275640447464834</v>
      </c>
      <c r="C43" s="3">
        <f t="shared" si="17"/>
        <v>28690.127638515536</v>
      </c>
      <c r="D43" s="3">
        <v>0</v>
      </c>
      <c r="E43" s="12">
        <v>11.111111111111111</v>
      </c>
      <c r="F43" s="3">
        <f t="shared" si="23"/>
        <v>3187.7919598350591</v>
      </c>
      <c r="G43" s="3">
        <f t="shared" si="24"/>
        <v>31877.919598350596</v>
      </c>
      <c r="H43" s="3">
        <f t="shared" si="20"/>
        <v>1450</v>
      </c>
      <c r="I43" s="3">
        <f t="shared" si="22"/>
        <v>33327.919598350592</v>
      </c>
      <c r="K43" s="3">
        <f t="shared" si="21"/>
        <v>665</v>
      </c>
      <c r="U43" s="105"/>
    </row>
    <row r="44" spans="1:21">
      <c r="A44">
        <v>2025</v>
      </c>
      <c r="B44" s="3">
        <f t="shared" si="16"/>
        <v>28.343375828936317</v>
      </c>
      <c r="C44" s="3">
        <f t="shared" si="17"/>
        <v>27776.50831235759</v>
      </c>
      <c r="D44" s="3">
        <v>0</v>
      </c>
      <c r="E44" s="12">
        <v>11.111111111111111</v>
      </c>
      <c r="F44" s="3">
        <f t="shared" si="23"/>
        <v>3086.2787013730649</v>
      </c>
      <c r="G44" s="3">
        <f t="shared" si="24"/>
        <v>30862.787013730653</v>
      </c>
      <c r="H44" s="3">
        <f t="shared" si="20"/>
        <v>1450</v>
      </c>
      <c r="I44" s="3">
        <f t="shared" si="22"/>
        <v>32312.787013730653</v>
      </c>
      <c r="K44" s="3">
        <f t="shared" si="21"/>
        <v>665</v>
      </c>
      <c r="U44" s="105"/>
    </row>
    <row r="45" spans="1:21">
      <c r="A45">
        <v>2026</v>
      </c>
      <c r="B45" s="3">
        <f t="shared" si="16"/>
        <v>27.812270474504896</v>
      </c>
      <c r="C45" s="3">
        <f t="shared" si="17"/>
        <v>27256.025065014797</v>
      </c>
      <c r="D45" s="3">
        <v>0</v>
      </c>
      <c r="E45" s="12">
        <v>11.111111111111111</v>
      </c>
      <c r="F45" s="3">
        <f t="shared" si="23"/>
        <v>3028.4472294460884</v>
      </c>
      <c r="G45" s="3">
        <f t="shared" si="24"/>
        <v>30284.472294460887</v>
      </c>
      <c r="H45" s="3">
        <f t="shared" si="20"/>
        <v>1450</v>
      </c>
      <c r="I45" s="3">
        <f t="shared" si="22"/>
        <v>31734.472294460887</v>
      </c>
      <c r="K45" s="3">
        <f t="shared" si="21"/>
        <v>665</v>
      </c>
      <c r="U45" s="105"/>
    </row>
    <row r="46" spans="1:21">
      <c r="A46">
        <v>2027</v>
      </c>
      <c r="B46" s="3">
        <f t="shared" si="16"/>
        <v>27.281165120073478</v>
      </c>
      <c r="C46" s="3">
        <f t="shared" si="17"/>
        <v>26735.541817672009</v>
      </c>
      <c r="D46" s="3">
        <v>0</v>
      </c>
      <c r="E46" s="12">
        <v>11.111111111111111</v>
      </c>
      <c r="F46" s="3">
        <f t="shared" si="23"/>
        <v>2970.6157575191119</v>
      </c>
      <c r="G46" s="3">
        <f t="shared" si="24"/>
        <v>29706.157575191122</v>
      </c>
      <c r="H46" s="3">
        <f t="shared" si="20"/>
        <v>1450</v>
      </c>
      <c r="I46" s="3">
        <f t="shared" si="22"/>
        <v>31156.157575191122</v>
      </c>
      <c r="K46" s="3">
        <f t="shared" si="21"/>
        <v>665</v>
      </c>
      <c r="U46" s="105"/>
    </row>
    <row r="47" spans="1:21">
      <c r="A47">
        <v>2028</v>
      </c>
      <c r="B47" s="3">
        <f t="shared" si="16"/>
        <v>26.683671596338133</v>
      </c>
      <c r="C47" s="3">
        <f t="shared" si="17"/>
        <v>26149.998164411369</v>
      </c>
      <c r="D47" s="3">
        <v>0</v>
      </c>
      <c r="E47" s="12">
        <v>11.111111111111111</v>
      </c>
      <c r="F47" s="3">
        <f t="shared" si="23"/>
        <v>2905.5553516012628</v>
      </c>
      <c r="G47" s="3">
        <f t="shared" si="24"/>
        <v>29055.553516012631</v>
      </c>
      <c r="H47" s="3">
        <f t="shared" si="20"/>
        <v>1450</v>
      </c>
      <c r="I47" s="3">
        <f t="shared" si="22"/>
        <v>30505.553516012631</v>
      </c>
      <c r="K47" s="3">
        <f t="shared" si="21"/>
        <v>665</v>
      </c>
      <c r="U47" s="105"/>
    </row>
    <row r="48" spans="1:21">
      <c r="A48">
        <v>2029</v>
      </c>
      <c r="B48" s="3">
        <f t="shared" si="16"/>
        <v>26.152566241906715</v>
      </c>
      <c r="C48" s="3">
        <f t="shared" si="17"/>
        <v>25629.51491706858</v>
      </c>
      <c r="D48" s="3">
        <v>0</v>
      </c>
      <c r="E48" s="12">
        <v>11.111111111111111</v>
      </c>
      <c r="F48" s="3">
        <f t="shared" si="23"/>
        <v>2847.7238796742868</v>
      </c>
      <c r="G48" s="3">
        <f t="shared" si="24"/>
        <v>28477.238796742866</v>
      </c>
      <c r="H48" s="3">
        <f t="shared" si="20"/>
        <v>1450</v>
      </c>
      <c r="I48" s="3">
        <f t="shared" si="22"/>
        <v>29927.238796742866</v>
      </c>
      <c r="K48" s="3">
        <f t="shared" si="21"/>
        <v>665</v>
      </c>
      <c r="U48" s="105"/>
    </row>
    <row r="49" spans="1:21">
      <c r="A49">
        <v>2030</v>
      </c>
      <c r="B49" s="3">
        <f t="shared" si="16"/>
        <v>25.55507271817137</v>
      </c>
      <c r="C49" s="3">
        <f t="shared" si="17"/>
        <v>25043.971263807944</v>
      </c>
      <c r="D49" s="3">
        <v>0</v>
      </c>
      <c r="E49" s="12">
        <v>11.111111111111111</v>
      </c>
      <c r="F49" s="3">
        <f t="shared" si="23"/>
        <v>2782.6634737564377</v>
      </c>
      <c r="G49" s="3">
        <f t="shared" si="24"/>
        <v>27826.634737564382</v>
      </c>
      <c r="H49" s="3">
        <f t="shared" si="20"/>
        <v>1450</v>
      </c>
      <c r="I49" s="3">
        <f t="shared" si="22"/>
        <v>29276.634737564382</v>
      </c>
      <c r="K49" s="3">
        <f t="shared" si="21"/>
        <v>665</v>
      </c>
      <c r="U49" s="105"/>
    </row>
    <row r="50" spans="1:21">
      <c r="H50" s="3"/>
      <c r="I50" s="3"/>
      <c r="K50" s="3"/>
      <c r="U50" s="167"/>
    </row>
    <row r="51" spans="1:21">
      <c r="A51" t="s">
        <v>716</v>
      </c>
      <c r="B51" t="s">
        <v>1395</v>
      </c>
      <c r="C51" t="s">
        <v>802</v>
      </c>
      <c r="D51" t="s">
        <v>802</v>
      </c>
      <c r="E51" t="s">
        <v>498</v>
      </c>
      <c r="F51" t="s">
        <v>802</v>
      </c>
      <c r="G51" t="s">
        <v>802</v>
      </c>
      <c r="H51" s="3"/>
      <c r="I51" s="3"/>
      <c r="K51" s="3"/>
    </row>
    <row r="52" spans="1:21">
      <c r="B52" t="s">
        <v>724</v>
      </c>
      <c r="C52" t="s">
        <v>724</v>
      </c>
      <c r="D52" t="s">
        <v>804</v>
      </c>
      <c r="E52" t="s">
        <v>714</v>
      </c>
      <c r="F52" t="s">
        <v>728</v>
      </c>
      <c r="G52" t="s">
        <v>725</v>
      </c>
      <c r="H52" s="3"/>
      <c r="I52" s="3"/>
      <c r="K52" s="3"/>
    </row>
    <row r="53" spans="1:21">
      <c r="A53">
        <v>2009</v>
      </c>
      <c r="B53" s="3">
        <f t="shared" ref="B53:B74" si="25">U3</f>
        <v>23</v>
      </c>
      <c r="C53" s="3">
        <f t="shared" ref="C53:C74" si="26">B53*AD3*1000</f>
        <v>25027.258333333335</v>
      </c>
      <c r="D53" s="61">
        <f>0.04*C53</f>
        <v>1001.0903333333334</v>
      </c>
      <c r="E53" s="12">
        <v>10.644237918215612</v>
      </c>
      <c r="F53" s="3">
        <f t="shared" ref="F53:F61" si="27">(C53)*E53/100</f>
        <v>2663.960921406444</v>
      </c>
      <c r="G53" s="3">
        <f t="shared" ref="G53:G74" si="28">C53+F53+D53</f>
        <v>28692.309588073113</v>
      </c>
    </row>
    <row r="54" spans="1:21">
      <c r="A54">
        <v>2010</v>
      </c>
      <c r="B54" s="3">
        <f t="shared" si="25"/>
        <v>23</v>
      </c>
      <c r="C54" s="3">
        <f t="shared" si="26"/>
        <v>23876.097216309005</v>
      </c>
      <c r="D54" s="61">
        <f t="shared" ref="D54:D74" si="29">0.04*C54</f>
        <v>955.04388865236024</v>
      </c>
      <c r="E54" s="12">
        <v>11.562453531598514</v>
      </c>
      <c r="F54" s="3">
        <f t="shared" si="27"/>
        <v>2760.6626457950151</v>
      </c>
      <c r="G54" s="3">
        <f t="shared" si="28"/>
        <v>27591.803750756379</v>
      </c>
    </row>
    <row r="55" spans="1:21">
      <c r="A55">
        <v>2011</v>
      </c>
      <c r="B55" s="3">
        <f t="shared" si="25"/>
        <v>23</v>
      </c>
      <c r="C55" s="3">
        <f t="shared" si="26"/>
        <v>20271.994939182099</v>
      </c>
      <c r="D55" s="61">
        <f t="shared" si="29"/>
        <v>810.87979756728396</v>
      </c>
      <c r="E55" s="12">
        <v>12.740740740740739</v>
      </c>
      <c r="F55" s="3">
        <f t="shared" si="27"/>
        <v>2582.8023181772746</v>
      </c>
      <c r="G55" s="3">
        <f t="shared" si="28"/>
        <v>23665.677054926655</v>
      </c>
    </row>
    <row r="56" spans="1:21">
      <c r="A56">
        <v>2012</v>
      </c>
      <c r="B56" s="3">
        <f t="shared" si="25"/>
        <v>23</v>
      </c>
      <c r="C56" s="3">
        <f t="shared" si="26"/>
        <v>21435.498356186356</v>
      </c>
      <c r="D56" s="61">
        <f t="shared" si="29"/>
        <v>857.41993424745419</v>
      </c>
      <c r="E56" s="12">
        <v>13.037037037037036</v>
      </c>
      <c r="F56" s="3">
        <f t="shared" si="27"/>
        <v>2794.5538597694804</v>
      </c>
      <c r="G56" s="3">
        <f t="shared" si="28"/>
        <v>25087.472150203288</v>
      </c>
    </row>
    <row r="57" spans="1:21">
      <c r="A57">
        <v>2013</v>
      </c>
      <c r="B57" s="3">
        <f t="shared" si="25"/>
        <v>23</v>
      </c>
      <c r="C57" s="3">
        <f t="shared" si="26"/>
        <v>21262.097999218786</v>
      </c>
      <c r="D57" s="61">
        <f t="shared" si="29"/>
        <v>850.48391996875148</v>
      </c>
      <c r="E57" s="12">
        <v>12.962962962962962</v>
      </c>
      <c r="F57" s="3">
        <f t="shared" si="27"/>
        <v>2756.1978887876198</v>
      </c>
      <c r="G57" s="3">
        <f t="shared" si="28"/>
        <v>24868.779807975159</v>
      </c>
    </row>
    <row r="58" spans="1:21">
      <c r="A58">
        <v>2014</v>
      </c>
      <c r="B58" s="3">
        <f t="shared" si="25"/>
        <v>23</v>
      </c>
      <c r="C58" s="3">
        <f t="shared" si="26"/>
        <v>21131.729699666295</v>
      </c>
      <c r="D58" s="61">
        <f t="shared" si="29"/>
        <v>845.26918798665179</v>
      </c>
      <c r="E58" s="12">
        <v>12.592592592592592</v>
      </c>
      <c r="F58" s="3">
        <f t="shared" si="27"/>
        <v>2661.0326288468664</v>
      </c>
      <c r="G58" s="3">
        <f t="shared" si="28"/>
        <v>24638.031516499814</v>
      </c>
    </row>
    <row r="59" spans="1:21">
      <c r="A59">
        <v>2015</v>
      </c>
      <c r="B59" s="3">
        <f t="shared" si="25"/>
        <v>23</v>
      </c>
      <c r="C59" s="3">
        <f t="shared" si="26"/>
        <v>22148.585590211878</v>
      </c>
      <c r="D59" s="61">
        <f t="shared" si="29"/>
        <v>885.9434236084752</v>
      </c>
      <c r="E59" s="12">
        <v>10.74074074074074</v>
      </c>
      <c r="F59" s="3">
        <f t="shared" si="27"/>
        <v>2378.9221559857201</v>
      </c>
      <c r="G59" s="3">
        <f t="shared" si="28"/>
        <v>25413.451169806074</v>
      </c>
    </row>
    <row r="60" spans="1:21">
      <c r="A60">
        <v>2016</v>
      </c>
      <c r="B60" s="3">
        <f t="shared" si="25"/>
        <v>23</v>
      </c>
      <c r="C60" s="3">
        <f t="shared" si="26"/>
        <v>22732.63908350054</v>
      </c>
      <c r="D60" s="61">
        <f t="shared" si="29"/>
        <v>909.30556334002165</v>
      </c>
      <c r="E60" s="12">
        <v>10.370370370370368</v>
      </c>
      <c r="F60" s="3">
        <f t="shared" si="27"/>
        <v>2357.4588679185745</v>
      </c>
      <c r="G60" s="3">
        <f t="shared" si="28"/>
        <v>25999.403514759135</v>
      </c>
    </row>
    <row r="61" spans="1:21">
      <c r="A61">
        <v>2017</v>
      </c>
      <c r="B61" s="3">
        <f t="shared" si="25"/>
        <v>23</v>
      </c>
      <c r="C61" s="3">
        <f t="shared" si="26"/>
        <v>22605.527747080116</v>
      </c>
      <c r="D61" s="61">
        <f t="shared" si="29"/>
        <v>904.22110988320469</v>
      </c>
      <c r="E61" s="12">
        <v>11.111111111111111</v>
      </c>
      <c r="F61" s="3">
        <f t="shared" si="27"/>
        <v>2511.7253052311239</v>
      </c>
      <c r="G61" s="3">
        <f t="shared" si="28"/>
        <v>26021.474162194445</v>
      </c>
      <c r="L61" s="3"/>
    </row>
    <row r="62" spans="1:21">
      <c r="A62">
        <v>2018</v>
      </c>
      <c r="B62" s="3">
        <f t="shared" si="25"/>
        <v>23</v>
      </c>
      <c r="C62" s="3">
        <f t="shared" si="26"/>
        <v>22540</v>
      </c>
      <c r="D62" s="61">
        <f t="shared" si="29"/>
        <v>901.6</v>
      </c>
      <c r="E62" s="12">
        <v>11.111111111111111</v>
      </c>
      <c r="F62" s="3">
        <f>(C62)*E62/100</f>
        <v>2504.4444444444443</v>
      </c>
      <c r="G62" s="3">
        <f t="shared" si="28"/>
        <v>25946.044444444444</v>
      </c>
    </row>
    <row r="63" spans="1:21">
      <c r="A63">
        <v>2019</v>
      </c>
      <c r="B63" s="3">
        <f t="shared" si="25"/>
        <v>23</v>
      </c>
      <c r="C63" s="3">
        <f t="shared" si="26"/>
        <v>22540</v>
      </c>
      <c r="D63" s="61">
        <f t="shared" si="29"/>
        <v>901.6</v>
      </c>
      <c r="E63" s="12">
        <v>11.111111111111111</v>
      </c>
      <c r="F63" s="3">
        <f t="shared" ref="F63:F74" si="30">(C63)*E63/100</f>
        <v>2504.4444444444443</v>
      </c>
      <c r="G63" s="3">
        <f t="shared" si="28"/>
        <v>25946.044444444444</v>
      </c>
    </row>
    <row r="64" spans="1:21">
      <c r="A64">
        <v>2020</v>
      </c>
      <c r="B64" s="3">
        <f t="shared" si="25"/>
        <v>23</v>
      </c>
      <c r="C64" s="3">
        <f t="shared" si="26"/>
        <v>22540</v>
      </c>
      <c r="D64" s="61">
        <f t="shared" si="29"/>
        <v>901.6</v>
      </c>
      <c r="E64" s="12">
        <v>11.111111111111111</v>
      </c>
      <c r="F64" s="3">
        <f t="shared" si="30"/>
        <v>2504.4444444444443</v>
      </c>
      <c r="G64" s="3">
        <f t="shared" si="28"/>
        <v>25946.044444444444</v>
      </c>
    </row>
    <row r="65" spans="1:29">
      <c r="A65">
        <v>2021</v>
      </c>
      <c r="B65" s="3">
        <f t="shared" si="25"/>
        <v>23</v>
      </c>
      <c r="C65" s="3">
        <f t="shared" si="26"/>
        <v>22540</v>
      </c>
      <c r="D65" s="61">
        <f t="shared" si="29"/>
        <v>901.6</v>
      </c>
      <c r="E65" s="12">
        <v>11.111111111111111</v>
      </c>
      <c r="F65" s="3">
        <f t="shared" si="30"/>
        <v>2504.4444444444443</v>
      </c>
      <c r="G65" s="3">
        <f t="shared" si="28"/>
        <v>25946.044444444444</v>
      </c>
    </row>
    <row r="66" spans="1:29">
      <c r="A66">
        <v>2022</v>
      </c>
      <c r="B66" s="3">
        <f t="shared" si="25"/>
        <v>23</v>
      </c>
      <c r="C66" s="3">
        <f t="shared" si="26"/>
        <v>22540</v>
      </c>
      <c r="D66" s="61">
        <f t="shared" si="29"/>
        <v>901.6</v>
      </c>
      <c r="E66" s="12">
        <v>11.111111111111111</v>
      </c>
      <c r="F66" s="3">
        <f t="shared" si="30"/>
        <v>2504.4444444444443</v>
      </c>
      <c r="G66" s="3">
        <f t="shared" si="28"/>
        <v>25946.044444444444</v>
      </c>
    </row>
    <row r="67" spans="1:29">
      <c r="A67">
        <v>2023</v>
      </c>
      <c r="B67" s="3">
        <f t="shared" si="25"/>
        <v>23</v>
      </c>
      <c r="C67" s="3">
        <f t="shared" si="26"/>
        <v>22540</v>
      </c>
      <c r="D67" s="61">
        <f t="shared" si="29"/>
        <v>901.6</v>
      </c>
      <c r="E67" s="12">
        <v>11.111111111111111</v>
      </c>
      <c r="F67" s="3">
        <f t="shared" si="30"/>
        <v>2504.4444444444443</v>
      </c>
      <c r="G67" s="3">
        <f t="shared" si="28"/>
        <v>25946.044444444444</v>
      </c>
    </row>
    <row r="68" spans="1:29">
      <c r="A68">
        <v>2024</v>
      </c>
      <c r="B68" s="3">
        <f t="shared" si="25"/>
        <v>23</v>
      </c>
      <c r="C68" s="3">
        <f t="shared" si="26"/>
        <v>22540</v>
      </c>
      <c r="D68" s="61">
        <f t="shared" si="29"/>
        <v>901.6</v>
      </c>
      <c r="E68" s="12">
        <v>11.111111111111111</v>
      </c>
      <c r="F68" s="3">
        <f t="shared" si="30"/>
        <v>2504.4444444444443</v>
      </c>
      <c r="G68" s="3">
        <f t="shared" si="28"/>
        <v>25946.044444444444</v>
      </c>
    </row>
    <row r="69" spans="1:29">
      <c r="A69">
        <v>2025</v>
      </c>
      <c r="B69" s="3">
        <f t="shared" si="25"/>
        <v>23</v>
      </c>
      <c r="C69" s="3">
        <f t="shared" si="26"/>
        <v>22540</v>
      </c>
      <c r="D69" s="61">
        <f t="shared" si="29"/>
        <v>901.6</v>
      </c>
      <c r="E69" s="12">
        <v>11.111111111111111</v>
      </c>
      <c r="F69" s="3">
        <f t="shared" si="30"/>
        <v>2504.4444444444443</v>
      </c>
      <c r="G69" s="3">
        <f t="shared" si="28"/>
        <v>25946.044444444444</v>
      </c>
    </row>
    <row r="70" spans="1:29">
      <c r="A70">
        <v>2026</v>
      </c>
      <c r="B70" s="3">
        <f t="shared" si="25"/>
        <v>23</v>
      </c>
      <c r="C70" s="3">
        <f t="shared" si="26"/>
        <v>22540</v>
      </c>
      <c r="D70" s="61">
        <f t="shared" si="29"/>
        <v>901.6</v>
      </c>
      <c r="E70" s="12">
        <v>11.111111111111111</v>
      </c>
      <c r="F70" s="3">
        <f t="shared" si="30"/>
        <v>2504.4444444444443</v>
      </c>
      <c r="G70" s="3">
        <f t="shared" si="28"/>
        <v>25946.044444444444</v>
      </c>
    </row>
    <row r="71" spans="1:29">
      <c r="A71">
        <v>2027</v>
      </c>
      <c r="B71" s="3">
        <f t="shared" si="25"/>
        <v>23</v>
      </c>
      <c r="C71" s="3">
        <f t="shared" si="26"/>
        <v>22540</v>
      </c>
      <c r="D71" s="61">
        <f t="shared" si="29"/>
        <v>901.6</v>
      </c>
      <c r="E71" s="12">
        <v>11.111111111111111</v>
      </c>
      <c r="F71" s="3">
        <f t="shared" si="30"/>
        <v>2504.4444444444443</v>
      </c>
      <c r="G71" s="3">
        <f t="shared" si="28"/>
        <v>25946.044444444444</v>
      </c>
    </row>
    <row r="72" spans="1:29">
      <c r="A72">
        <v>2028</v>
      </c>
      <c r="B72" s="3">
        <f t="shared" si="25"/>
        <v>23</v>
      </c>
      <c r="C72" s="3">
        <f t="shared" si="26"/>
        <v>22540</v>
      </c>
      <c r="D72" s="61">
        <f t="shared" si="29"/>
        <v>901.6</v>
      </c>
      <c r="E72" s="12">
        <v>11.111111111111111</v>
      </c>
      <c r="F72" s="3">
        <f t="shared" si="30"/>
        <v>2504.4444444444443</v>
      </c>
      <c r="G72" s="3">
        <f t="shared" si="28"/>
        <v>25946.044444444444</v>
      </c>
    </row>
    <row r="73" spans="1:29">
      <c r="A73">
        <v>2029</v>
      </c>
      <c r="B73" s="3">
        <f t="shared" si="25"/>
        <v>23</v>
      </c>
      <c r="C73" s="3">
        <f t="shared" si="26"/>
        <v>22540</v>
      </c>
      <c r="D73" s="61">
        <f t="shared" si="29"/>
        <v>901.6</v>
      </c>
      <c r="E73" s="12">
        <v>11.111111111111111</v>
      </c>
      <c r="F73" s="3">
        <f t="shared" si="30"/>
        <v>2504.4444444444443</v>
      </c>
      <c r="G73" s="3">
        <f t="shared" si="28"/>
        <v>25946.044444444444</v>
      </c>
    </row>
    <row r="74" spans="1:29">
      <c r="A74">
        <v>2030</v>
      </c>
      <c r="B74" s="3">
        <f t="shared" si="25"/>
        <v>23</v>
      </c>
      <c r="C74" s="3">
        <f t="shared" si="26"/>
        <v>22540</v>
      </c>
      <c r="D74" s="61">
        <f t="shared" si="29"/>
        <v>901.6</v>
      </c>
      <c r="E74" s="12">
        <v>11.111111111111111</v>
      </c>
      <c r="F74" s="3">
        <f t="shared" si="30"/>
        <v>2504.4444444444443</v>
      </c>
      <c r="G74" s="3">
        <f t="shared" si="28"/>
        <v>25946.044444444444</v>
      </c>
    </row>
    <row r="80" spans="1:29">
      <c r="Z80" s="87" t="s">
        <v>1231</v>
      </c>
      <c r="AA80" s="87"/>
      <c r="AB80" s="87"/>
      <c r="AC80" s="234"/>
    </row>
    <row r="81" spans="1:29">
      <c r="Z81" s="235" t="s">
        <v>1167</v>
      </c>
      <c r="AA81" s="235" t="s">
        <v>1168</v>
      </c>
      <c r="AB81" s="235" t="s">
        <v>1169</v>
      </c>
      <c r="AC81" s="235" t="s">
        <v>1170</v>
      </c>
    </row>
    <row r="82" spans="1:29">
      <c r="B82" t="s">
        <v>980</v>
      </c>
      <c r="C82" t="s">
        <v>980</v>
      </c>
      <c r="D82" t="s">
        <v>980</v>
      </c>
      <c r="E82" t="s">
        <v>980</v>
      </c>
      <c r="F82" t="s">
        <v>980</v>
      </c>
      <c r="J82" t="s">
        <v>812</v>
      </c>
      <c r="K82" t="s">
        <v>812</v>
      </c>
      <c r="L82" t="s">
        <v>812</v>
      </c>
      <c r="M82" t="s">
        <v>812</v>
      </c>
      <c r="N82" t="s">
        <v>812</v>
      </c>
      <c r="U82" t="s">
        <v>1105</v>
      </c>
      <c r="Y82" s="3">
        <v>2010</v>
      </c>
      <c r="Z82" s="13">
        <v>1.6085679069165577</v>
      </c>
      <c r="AA82" s="13">
        <v>1.6085679069165577</v>
      </c>
      <c r="AB82" s="13">
        <v>1.6085679069165577</v>
      </c>
      <c r="AC82" s="13">
        <v>1.6085679069165577</v>
      </c>
    </row>
    <row r="83" spans="1:29">
      <c r="B83" t="s">
        <v>978</v>
      </c>
      <c r="C83" t="s">
        <v>979</v>
      </c>
      <c r="D83" t="s">
        <v>916</v>
      </c>
      <c r="E83" t="s">
        <v>981</v>
      </c>
      <c r="F83" t="s">
        <v>983</v>
      </c>
      <c r="J83" t="s">
        <v>725</v>
      </c>
      <c r="K83" t="s">
        <v>979</v>
      </c>
      <c r="L83" t="s">
        <v>916</v>
      </c>
      <c r="M83" t="s">
        <v>985</v>
      </c>
      <c r="N83" t="s">
        <v>983</v>
      </c>
      <c r="R83" t="s">
        <v>997</v>
      </c>
      <c r="S83" t="s">
        <v>984</v>
      </c>
      <c r="U83" t="s">
        <v>934</v>
      </c>
      <c r="V83" t="s">
        <v>986</v>
      </c>
      <c r="W83" t="s">
        <v>987</v>
      </c>
      <c r="Y83" s="3">
        <v>2011</v>
      </c>
      <c r="Z83" s="13">
        <v>1.6862255682827834</v>
      </c>
      <c r="AA83" s="13">
        <v>1.6862255682827834</v>
      </c>
      <c r="AB83" s="13">
        <v>1.6862255682827834</v>
      </c>
      <c r="AC83" s="13">
        <v>1.6862255682827834</v>
      </c>
    </row>
    <row r="84" spans="1:29">
      <c r="A84" s="3">
        <v>2012</v>
      </c>
      <c r="B84" s="3">
        <f t="shared" ref="B84:B102" si="31">MIN(I6,I31)</f>
        <v>35091.713825923427</v>
      </c>
      <c r="C84" s="3">
        <f>B84/5</f>
        <v>7018.342765184685</v>
      </c>
      <c r="D84" s="3">
        <f>B84*0.13</f>
        <v>4561.9227973700454</v>
      </c>
      <c r="E84" s="3">
        <f t="shared" ref="E84:E102" si="32">K6</f>
        <v>665</v>
      </c>
      <c r="F84" s="3">
        <f>C84+D84-E84</f>
        <v>10915.26556255473</v>
      </c>
      <c r="G84" s="3"/>
      <c r="H84" s="3"/>
      <c r="I84" s="3">
        <v>2012</v>
      </c>
      <c r="J84" s="3">
        <f>G56</f>
        <v>25087.472150203288</v>
      </c>
      <c r="K84" s="3">
        <f>J84/5</f>
        <v>5017.4944300406578</v>
      </c>
      <c r="L84" s="3">
        <f>J84*0.13</f>
        <v>3261.3713795264275</v>
      </c>
      <c r="M84" s="3">
        <f t="shared" ref="M84:M103" si="33">W84/100*V84*U84</f>
        <v>1274.8096593080782</v>
      </c>
      <c r="N84" s="3">
        <f t="shared" ref="N84:N102" si="34">SUM(K84:M84)</f>
        <v>9553.6754688751644</v>
      </c>
      <c r="O84" s="3"/>
      <c r="P84" s="3"/>
      <c r="Q84" s="3">
        <v>2012</v>
      </c>
      <c r="R84" s="13">
        <f>N84/F84</f>
        <v>0.87525817985129406</v>
      </c>
      <c r="S84" s="13">
        <f t="shared" ref="S84:S102" si="35">F84/N84</f>
        <v>1.14252002782756</v>
      </c>
      <c r="U84" s="13">
        <f>AB84</f>
        <v>1.7374725991117952</v>
      </c>
      <c r="V84" s="12">
        <f>'Country L per 100 km'!U7</f>
        <v>5.643961322634194</v>
      </c>
      <c r="W84" s="3">
        <f>'Country distance travelled'!U7</f>
        <v>13000</v>
      </c>
      <c r="Y84" s="3">
        <v>2012</v>
      </c>
      <c r="Z84" s="13">
        <v>1.7374725991117952</v>
      </c>
      <c r="AA84" s="13">
        <v>1.7374725991117952</v>
      </c>
      <c r="AB84" s="13">
        <v>1.7374725991117952</v>
      </c>
      <c r="AC84" s="13">
        <v>1.7374725991117952</v>
      </c>
    </row>
    <row r="85" spans="1:29">
      <c r="A85" s="3">
        <v>2013</v>
      </c>
      <c r="B85" s="3">
        <f t="shared" si="31"/>
        <v>33972.787385640957</v>
      </c>
      <c r="C85" s="3">
        <f t="shared" ref="C85:C102" si="36">B85/5</f>
        <v>6794.5574771281917</v>
      </c>
      <c r="D85" s="3">
        <f t="shared" ref="D85:D102" si="37">B85*0.13</f>
        <v>4416.4623601333242</v>
      </c>
      <c r="E85" s="3">
        <f t="shared" si="32"/>
        <v>665</v>
      </c>
      <c r="F85" s="3">
        <f t="shared" ref="F85:F102" si="38">C85+D85-E85</f>
        <v>10546.019837261516</v>
      </c>
      <c r="G85" s="3"/>
      <c r="H85" s="3"/>
      <c r="I85" s="3">
        <v>2013</v>
      </c>
      <c r="J85" s="3">
        <f t="shared" ref="J85:J102" si="39">G57</f>
        <v>24868.779807975159</v>
      </c>
      <c r="K85" s="3">
        <f t="shared" ref="K85:K102" si="40">J85/5</f>
        <v>4973.7559615950322</v>
      </c>
      <c r="L85" s="3">
        <f t="shared" ref="L85:L102" si="41">J85*0.13</f>
        <v>3232.9413750367708</v>
      </c>
      <c r="M85" s="3">
        <f t="shared" si="33"/>
        <v>1260.4324304815566</v>
      </c>
      <c r="N85" s="3">
        <f t="shared" si="34"/>
        <v>9467.1297671133598</v>
      </c>
      <c r="O85" s="3"/>
      <c r="P85" s="3"/>
      <c r="Q85" s="3">
        <v>2013</v>
      </c>
      <c r="R85" s="13">
        <f t="shared" ref="R85:R102" si="42">N85/F85</f>
        <v>0.89769694284698864</v>
      </c>
      <c r="S85" s="13">
        <f t="shared" si="35"/>
        <v>1.1139616860324417</v>
      </c>
      <c r="U85" s="13">
        <f t="shared" ref="U85:U102" si="43">AB85</f>
        <v>1.7313632286834568</v>
      </c>
      <c r="V85" s="12">
        <f>'Country L per 100 km'!U8</f>
        <v>5.6</v>
      </c>
      <c r="W85" s="3">
        <f>'Country distance travelled'!U8</f>
        <v>13000</v>
      </c>
      <c r="Y85" s="3">
        <v>2013</v>
      </c>
      <c r="Z85" s="13">
        <v>1.7313632286834568</v>
      </c>
      <c r="AA85" s="13">
        <v>1.7313632286834568</v>
      </c>
      <c r="AB85" s="13">
        <v>1.7313632286834568</v>
      </c>
      <c r="AC85" s="13">
        <v>1.7313632286834568</v>
      </c>
    </row>
    <row r="86" spans="1:29">
      <c r="A86" s="3">
        <v>2014</v>
      </c>
      <c r="B86" s="3">
        <f t="shared" si="31"/>
        <v>36147.870763402032</v>
      </c>
      <c r="C86" s="3">
        <f t="shared" si="36"/>
        <v>7229.5741526804068</v>
      </c>
      <c r="D86" s="3">
        <f t="shared" si="37"/>
        <v>4699.2231992422639</v>
      </c>
      <c r="E86" s="3">
        <f t="shared" si="32"/>
        <v>665</v>
      </c>
      <c r="F86" s="3">
        <f t="shared" si="38"/>
        <v>11263.797351922671</v>
      </c>
      <c r="G86" s="3"/>
      <c r="H86" s="3"/>
      <c r="I86" s="3">
        <v>2014</v>
      </c>
      <c r="J86" s="3">
        <f t="shared" si="39"/>
        <v>24638.031516499814</v>
      </c>
      <c r="K86" s="3">
        <f t="shared" si="40"/>
        <v>4927.6063032999627</v>
      </c>
      <c r="L86" s="3">
        <f t="shared" si="41"/>
        <v>3202.9440971449758</v>
      </c>
      <c r="M86" s="3">
        <f t="shared" si="33"/>
        <v>1210.0614158232172</v>
      </c>
      <c r="N86" s="3">
        <f t="shared" si="34"/>
        <v>9340.611816268156</v>
      </c>
      <c r="O86" s="3"/>
      <c r="P86" s="3"/>
      <c r="Q86" s="3">
        <v>2014</v>
      </c>
      <c r="R86" s="13">
        <f t="shared" si="42"/>
        <v>0.82925957600557887</v>
      </c>
      <c r="S86" s="13">
        <f t="shared" si="35"/>
        <v>1.2058950284503829</v>
      </c>
      <c r="U86" s="13">
        <f t="shared" si="43"/>
        <v>1.6821183417762307</v>
      </c>
      <c r="V86" s="12">
        <f>'Country L per 100 km'!U9</f>
        <v>5.5335968379446632</v>
      </c>
      <c r="W86" s="3">
        <f>'Country distance travelled'!U9</f>
        <v>13000</v>
      </c>
      <c r="Y86" s="3">
        <v>2014</v>
      </c>
      <c r="Z86" s="13">
        <v>1.6821183417762307</v>
      </c>
      <c r="AA86" s="13">
        <v>1.6821183417762307</v>
      </c>
      <c r="AB86" s="13">
        <v>1.6821183417762307</v>
      </c>
      <c r="AC86" s="13">
        <v>1.6821183417762307</v>
      </c>
    </row>
    <row r="87" spans="1:29">
      <c r="A87" s="3">
        <v>2015</v>
      </c>
      <c r="B87" s="3">
        <f t="shared" si="31"/>
        <v>33442.401408083824</v>
      </c>
      <c r="C87" s="3">
        <f t="shared" si="36"/>
        <v>6688.4802816167648</v>
      </c>
      <c r="D87" s="3">
        <f t="shared" si="37"/>
        <v>4347.512183050897</v>
      </c>
      <c r="E87" s="3">
        <f t="shared" si="32"/>
        <v>665</v>
      </c>
      <c r="F87" s="3">
        <f t="shared" si="38"/>
        <v>10370.992464667663</v>
      </c>
      <c r="G87" s="3"/>
      <c r="H87" s="3"/>
      <c r="I87" s="3">
        <v>2015</v>
      </c>
      <c r="J87" s="3">
        <f t="shared" si="39"/>
        <v>25413.451169806074</v>
      </c>
      <c r="K87" s="3">
        <f t="shared" si="40"/>
        <v>5082.6902339612152</v>
      </c>
      <c r="L87" s="3">
        <f t="shared" si="41"/>
        <v>3303.7486520747898</v>
      </c>
      <c r="M87" s="3">
        <f t="shared" si="33"/>
        <v>1032.6941557748271</v>
      </c>
      <c r="N87" s="3">
        <f t="shared" si="34"/>
        <v>9419.1330418108319</v>
      </c>
      <c r="O87" s="3"/>
      <c r="P87" s="3"/>
      <c r="Q87" s="3">
        <v>2015</v>
      </c>
      <c r="R87" s="13">
        <f t="shared" si="42"/>
        <v>0.90821906137723407</v>
      </c>
      <c r="S87" s="13">
        <f t="shared" si="35"/>
        <v>1.1010559484223863</v>
      </c>
      <c r="U87" s="13">
        <f t="shared" si="43"/>
        <v>1.4513495013546844</v>
      </c>
      <c r="V87" s="12">
        <f>'Country L per 100 km'!U10</f>
        <v>5.4733895528631695</v>
      </c>
      <c r="W87" s="3">
        <f>'Country distance travelled'!U10</f>
        <v>13000</v>
      </c>
      <c r="Y87" s="3">
        <v>2015</v>
      </c>
      <c r="Z87" s="13">
        <v>1.4513495013546844</v>
      </c>
      <c r="AA87" s="13">
        <v>1.4513495013546844</v>
      </c>
      <c r="AB87" s="13">
        <v>1.4513495013546844</v>
      </c>
      <c r="AC87" s="13">
        <v>1.4513495013546844</v>
      </c>
    </row>
    <row r="88" spans="1:29">
      <c r="A88" s="3">
        <v>2016</v>
      </c>
      <c r="B88" s="3">
        <f t="shared" si="31"/>
        <v>34176.214719242322</v>
      </c>
      <c r="C88" s="3">
        <f t="shared" si="36"/>
        <v>6835.2429438484642</v>
      </c>
      <c r="D88" s="3">
        <f t="shared" si="37"/>
        <v>4442.9079135015018</v>
      </c>
      <c r="E88" s="3">
        <f t="shared" si="32"/>
        <v>665</v>
      </c>
      <c r="F88" s="3">
        <f t="shared" si="38"/>
        <v>10613.150857349967</v>
      </c>
      <c r="G88" s="3"/>
      <c r="H88" s="3"/>
      <c r="I88" s="3">
        <v>2016</v>
      </c>
      <c r="J88" s="3">
        <f t="shared" si="39"/>
        <v>25999.403514759135</v>
      </c>
      <c r="K88" s="3">
        <f t="shared" si="40"/>
        <v>5199.8807029518266</v>
      </c>
      <c r="L88" s="3">
        <f t="shared" si="41"/>
        <v>3379.9224569186877</v>
      </c>
      <c r="M88" s="3">
        <f t="shared" si="33"/>
        <v>991.52131701365204</v>
      </c>
      <c r="N88" s="3">
        <f t="shared" si="34"/>
        <v>9571.3244768841669</v>
      </c>
      <c r="O88" s="3"/>
      <c r="P88" s="3"/>
      <c r="Q88" s="3">
        <v>2016</v>
      </c>
      <c r="R88" s="13">
        <f t="shared" si="42"/>
        <v>0.90183627892707285</v>
      </c>
      <c r="S88" s="13">
        <f t="shared" si="35"/>
        <v>1.1088487160770621</v>
      </c>
      <c r="U88" s="13">
        <f t="shared" si="43"/>
        <v>1.4074200000000001</v>
      </c>
      <c r="V88" s="12">
        <f>'Country L per 100 km'!U11</f>
        <v>5.4191975770922465</v>
      </c>
      <c r="W88" s="3">
        <f>'Country distance travelled'!U11</f>
        <v>13000</v>
      </c>
      <c r="Y88" s="3">
        <v>2016</v>
      </c>
      <c r="Z88" s="13">
        <v>1.4074200000000001</v>
      </c>
      <c r="AA88" s="13">
        <v>1.4074200000000001</v>
      </c>
      <c r="AB88" s="13">
        <v>1.4074200000000001</v>
      </c>
      <c r="AC88" s="13">
        <v>1.4074200000000001</v>
      </c>
    </row>
    <row r="89" spans="1:29">
      <c r="A89" s="3">
        <v>2017</v>
      </c>
      <c r="B89" s="3">
        <f t="shared" si="31"/>
        <v>34211.634416058143</v>
      </c>
      <c r="C89" s="3">
        <f t="shared" si="36"/>
        <v>6842.3268832116282</v>
      </c>
      <c r="D89" s="3">
        <f t="shared" si="37"/>
        <v>4447.512474087559</v>
      </c>
      <c r="E89" s="3">
        <f t="shared" si="32"/>
        <v>665</v>
      </c>
      <c r="F89" s="3">
        <f t="shared" si="38"/>
        <v>10624.839357299188</v>
      </c>
      <c r="G89" s="3"/>
      <c r="H89" s="3"/>
      <c r="I89" s="3">
        <v>2017</v>
      </c>
      <c r="J89" s="3">
        <f t="shared" si="39"/>
        <v>26021.474162194445</v>
      </c>
      <c r="K89" s="3">
        <f t="shared" si="40"/>
        <v>5204.294832438889</v>
      </c>
      <c r="L89" s="3">
        <f t="shared" si="41"/>
        <v>3382.7916410852781</v>
      </c>
      <c r="M89" s="3">
        <f t="shared" si="33"/>
        <v>1046.2807203296909</v>
      </c>
      <c r="N89" s="3">
        <f t="shared" si="34"/>
        <v>9633.3671938538573</v>
      </c>
      <c r="O89" s="3"/>
      <c r="P89" s="3"/>
      <c r="Q89" s="3">
        <v>2017</v>
      </c>
      <c r="R89" s="13">
        <f>N89/F89</f>
        <v>0.90668356197176792</v>
      </c>
      <c r="S89" s="13">
        <f t="shared" si="35"/>
        <v>1.1029206240656846</v>
      </c>
      <c r="U89" s="13">
        <f t="shared" si="43"/>
        <v>1.4999999999999998</v>
      </c>
      <c r="V89" s="12">
        <f>'Country L per 100 km'!U12</f>
        <v>5.3655421555368772</v>
      </c>
      <c r="W89" s="3">
        <f>'Country distance travelled'!U12</f>
        <v>13000</v>
      </c>
      <c r="Y89" s="3">
        <v>2017</v>
      </c>
      <c r="Z89" s="13">
        <v>1.4999999999999998</v>
      </c>
      <c r="AA89" s="13">
        <v>1.4999999999999998</v>
      </c>
      <c r="AB89" s="13">
        <v>1.4999999999999998</v>
      </c>
      <c r="AC89" s="13">
        <v>1.4999999999999998</v>
      </c>
    </row>
    <row r="90" spans="1:29">
      <c r="A90" s="3">
        <v>2018</v>
      </c>
      <c r="B90" s="3">
        <f t="shared" si="31"/>
        <v>34761.398704488587</v>
      </c>
      <c r="C90" s="3">
        <f t="shared" si="36"/>
        <v>6952.2797408977176</v>
      </c>
      <c r="D90" s="3">
        <f t="shared" si="37"/>
        <v>4518.9818315835164</v>
      </c>
      <c r="E90" s="3">
        <f t="shared" si="32"/>
        <v>665</v>
      </c>
      <c r="F90" s="3">
        <f t="shared" si="38"/>
        <v>10806.261572481235</v>
      </c>
      <c r="G90" s="3"/>
      <c r="H90" s="3"/>
      <c r="I90" s="3">
        <v>2018</v>
      </c>
      <c r="J90" s="3">
        <f t="shared" si="39"/>
        <v>25946.044444444444</v>
      </c>
      <c r="K90" s="3">
        <f t="shared" si="40"/>
        <v>5189.2088888888884</v>
      </c>
      <c r="L90" s="3">
        <f t="shared" si="41"/>
        <v>3372.9857777777779</v>
      </c>
      <c r="M90" s="3">
        <f t="shared" si="33"/>
        <v>1108.3764867238715</v>
      </c>
      <c r="N90" s="3">
        <f t="shared" si="34"/>
        <v>9670.5711533905378</v>
      </c>
      <c r="O90" s="3"/>
      <c r="P90" s="3"/>
      <c r="Q90" s="3">
        <v>2018</v>
      </c>
      <c r="R90" s="13">
        <f t="shared" si="42"/>
        <v>0.894904411532773</v>
      </c>
      <c r="S90" s="13">
        <f t="shared" si="35"/>
        <v>1.1174377811896374</v>
      </c>
      <c r="T90" s="3"/>
      <c r="U90" s="13">
        <f t="shared" si="43"/>
        <v>1.6049138101842682</v>
      </c>
      <c r="V90" s="12">
        <f>'Country L per 100 km'!U13</f>
        <v>5.3124179757790868</v>
      </c>
      <c r="W90" s="3">
        <f>'Country distance travelled'!U13</f>
        <v>13000</v>
      </c>
      <c r="Y90" s="3">
        <v>2018</v>
      </c>
      <c r="Z90" s="13">
        <v>1.6049138101842682</v>
      </c>
      <c r="AA90" s="13">
        <f>Z90</f>
        <v>1.6049138101842682</v>
      </c>
      <c r="AB90" s="13">
        <f>AA90</f>
        <v>1.6049138101842682</v>
      </c>
      <c r="AC90" s="13">
        <f>AB90</f>
        <v>1.6049138101842682</v>
      </c>
    </row>
    <row r="91" spans="1:29">
      <c r="A91" s="3">
        <v>2019</v>
      </c>
      <c r="B91" s="3">
        <f t="shared" si="31"/>
        <v>35393.926858227154</v>
      </c>
      <c r="C91" s="3">
        <f t="shared" si="36"/>
        <v>7078.785371645431</v>
      </c>
      <c r="D91" s="3">
        <f t="shared" si="37"/>
        <v>4601.2104915695299</v>
      </c>
      <c r="E91" s="3">
        <f t="shared" si="32"/>
        <v>665</v>
      </c>
      <c r="F91" s="3">
        <f t="shared" si="38"/>
        <v>11014.995863214961</v>
      </c>
      <c r="G91" s="3"/>
      <c r="H91" s="3"/>
      <c r="I91" s="3">
        <v>2019</v>
      </c>
      <c r="J91" s="3">
        <f t="shared" si="39"/>
        <v>25946.044444444444</v>
      </c>
      <c r="K91" s="3">
        <f t="shared" si="40"/>
        <v>5189.2088888888884</v>
      </c>
      <c r="L91" s="3">
        <f t="shared" si="41"/>
        <v>3372.9857777777779</v>
      </c>
      <c r="M91" s="3">
        <f t="shared" si="33"/>
        <v>1052.0606391468159</v>
      </c>
      <c r="N91" s="3">
        <f t="shared" si="34"/>
        <v>9614.2553058134818</v>
      </c>
      <c r="O91" s="3"/>
      <c r="P91" s="3"/>
      <c r="Q91" s="3">
        <v>2019</v>
      </c>
      <c r="R91" s="13">
        <f t="shared" si="42"/>
        <v>0.87283331062526215</v>
      </c>
      <c r="S91" s="13">
        <f t="shared" si="35"/>
        <v>1.1456941294823415</v>
      </c>
      <c r="T91" s="3"/>
      <c r="U91" s="13">
        <f t="shared" si="43"/>
        <v>1.5386029348636345</v>
      </c>
      <c r="V91" s="12">
        <f>'Country L per 100 km'!U14</f>
        <v>5.2598197779990956</v>
      </c>
      <c r="W91" s="3">
        <f>'Country distance travelled'!U14</f>
        <v>13000</v>
      </c>
      <c r="Y91" s="3">
        <v>2019</v>
      </c>
      <c r="Z91" s="13"/>
      <c r="AA91" s="13">
        <v>1.7775162730125089</v>
      </c>
      <c r="AB91" s="13">
        <v>1.5386029348636345</v>
      </c>
      <c r="AC91" s="13">
        <v>1.3305018067717773</v>
      </c>
    </row>
    <row r="92" spans="1:29">
      <c r="A92" s="3">
        <v>2020</v>
      </c>
      <c r="B92" s="3">
        <f t="shared" si="31"/>
        <v>35190.205623285081</v>
      </c>
      <c r="C92" s="3">
        <f t="shared" si="36"/>
        <v>7038.0411246570166</v>
      </c>
      <c r="D92" s="3">
        <f t="shared" si="37"/>
        <v>4574.7267310270609</v>
      </c>
      <c r="E92" s="3">
        <f t="shared" si="32"/>
        <v>665</v>
      </c>
      <c r="F92" s="3">
        <f t="shared" si="38"/>
        <v>10947.767855684076</v>
      </c>
      <c r="G92" s="3"/>
      <c r="H92" s="3"/>
      <c r="I92" s="3">
        <v>2020</v>
      </c>
      <c r="J92" s="3">
        <f t="shared" si="39"/>
        <v>25946.044444444444</v>
      </c>
      <c r="K92" s="3">
        <f t="shared" si="40"/>
        <v>5189.2088888888884</v>
      </c>
      <c r="L92" s="3">
        <f t="shared" si="41"/>
        <v>3372.9857777777779</v>
      </c>
      <c r="M92" s="3">
        <f t="shared" si="33"/>
        <v>1042.7282587976354</v>
      </c>
      <c r="N92" s="3">
        <f t="shared" si="34"/>
        <v>9604.9229254643014</v>
      </c>
      <c r="O92" s="3"/>
      <c r="P92" s="3"/>
      <c r="Q92" s="3">
        <v>2020</v>
      </c>
      <c r="R92" s="13">
        <f t="shared" si="42"/>
        <v>0.87734075585804727</v>
      </c>
      <c r="S92" s="13">
        <f t="shared" si="35"/>
        <v>1.1398079860338768</v>
      </c>
      <c r="T92" s="3"/>
      <c r="U92" s="13">
        <f t="shared" si="43"/>
        <v>1.5402041921821921</v>
      </c>
      <c r="V92" s="12">
        <f>'Country L per 100 km'!U15</f>
        <v>5.2077423544545498</v>
      </c>
      <c r="W92" s="3">
        <f>'Country distance travelled'!U15</f>
        <v>13000</v>
      </c>
      <c r="Y92" s="3">
        <v>2020</v>
      </c>
      <c r="Z92" s="13"/>
      <c r="AA92" s="13">
        <v>1.8788395520270749</v>
      </c>
      <c r="AB92" s="13">
        <v>1.5402041921821921</v>
      </c>
      <c r="AC92" s="13">
        <v>1.3364619996549871</v>
      </c>
    </row>
    <row r="93" spans="1:29">
      <c r="A93" s="3">
        <v>2021</v>
      </c>
      <c r="B93" s="3">
        <f t="shared" si="31"/>
        <v>34341.749629150945</v>
      </c>
      <c r="C93" s="3">
        <f t="shared" si="36"/>
        <v>6868.349925830189</v>
      </c>
      <c r="D93" s="3">
        <f t="shared" si="37"/>
        <v>4464.4274517896229</v>
      </c>
      <c r="E93" s="3">
        <f t="shared" si="32"/>
        <v>665</v>
      </c>
      <c r="F93" s="3">
        <f t="shared" si="38"/>
        <v>10667.777377619812</v>
      </c>
      <c r="G93" s="3"/>
      <c r="H93" s="3"/>
      <c r="I93" s="3">
        <v>2021</v>
      </c>
      <c r="J93" s="3">
        <f t="shared" si="39"/>
        <v>25946.044444444444</v>
      </c>
      <c r="K93" s="3">
        <f t="shared" si="40"/>
        <v>5189.2088888888884</v>
      </c>
      <c r="L93" s="3">
        <f t="shared" si="41"/>
        <v>3372.9857777777779</v>
      </c>
      <c r="M93" s="3">
        <f t="shared" si="33"/>
        <v>1064.026929467642</v>
      </c>
      <c r="N93" s="3">
        <f t="shared" si="34"/>
        <v>9626.2215961343081</v>
      </c>
      <c r="O93" s="3"/>
      <c r="P93" s="3"/>
      <c r="Q93" s="3">
        <v>2021</v>
      </c>
      <c r="R93" s="13">
        <f t="shared" si="42"/>
        <v>0.9023643122070949</v>
      </c>
      <c r="S93" s="13">
        <f t="shared" si="35"/>
        <v>1.1081998550608654</v>
      </c>
      <c r="T93" s="3"/>
      <c r="U93" s="13">
        <f t="shared" si="43"/>
        <v>1.5873809027128758</v>
      </c>
      <c r="V93" s="12">
        <f>'Country L per 100 km'!U16</f>
        <v>5.1561805489649011</v>
      </c>
      <c r="W93" s="3">
        <f>'Country distance travelled'!U16</f>
        <v>13000</v>
      </c>
      <c r="Y93" s="3">
        <v>2021</v>
      </c>
      <c r="Z93" s="13"/>
      <c r="AA93" s="13">
        <v>1.9861230239248502</v>
      </c>
      <c r="AB93" s="13">
        <v>1.5873809027128758</v>
      </c>
      <c r="AC93" s="13">
        <v>1.3483823854214065</v>
      </c>
    </row>
    <row r="94" spans="1:29">
      <c r="A94" s="3">
        <v>2022</v>
      </c>
      <c r="B94" s="3">
        <f t="shared" si="31"/>
        <v>34816.228388715346</v>
      </c>
      <c r="C94" s="3">
        <f t="shared" si="36"/>
        <v>6963.2456777430689</v>
      </c>
      <c r="D94" s="3">
        <f t="shared" si="37"/>
        <v>4526.109690532995</v>
      </c>
      <c r="E94" s="3">
        <f t="shared" si="32"/>
        <v>665</v>
      </c>
      <c r="F94" s="3">
        <f t="shared" si="38"/>
        <v>10824.355368276065</v>
      </c>
      <c r="G94" s="3"/>
      <c r="H94" s="3"/>
      <c r="I94" s="3">
        <v>2022</v>
      </c>
      <c r="J94" s="3">
        <f t="shared" si="39"/>
        <v>25946.044444444444</v>
      </c>
      <c r="K94" s="3">
        <f t="shared" si="40"/>
        <v>5189.2088888888884</v>
      </c>
      <c r="L94" s="3">
        <f t="shared" si="41"/>
        <v>3372.9857777777779</v>
      </c>
      <c r="M94" s="3">
        <f t="shared" si="33"/>
        <v>1076.8041718417066</v>
      </c>
      <c r="N94" s="3">
        <f t="shared" si="34"/>
        <v>9638.9988385083725</v>
      </c>
      <c r="O94" s="3"/>
      <c r="P94" s="3"/>
      <c r="Q94" s="3">
        <v>2022</v>
      </c>
      <c r="R94" s="13">
        <f t="shared" si="42"/>
        <v>0.89049172080568184</v>
      </c>
      <c r="S94" s="13">
        <f t="shared" si="35"/>
        <v>1.1229750671856213</v>
      </c>
      <c r="T94" s="3"/>
      <c r="U94" s="13">
        <f t="shared" si="43"/>
        <v>1.6225072075856806</v>
      </c>
      <c r="V94" s="12">
        <f>'Country L per 100 km'!U17</f>
        <v>5.1051292564008923</v>
      </c>
      <c r="W94" s="3">
        <f>'Country distance travelled'!U17</f>
        <v>13000</v>
      </c>
      <c r="Y94" s="3">
        <v>2022</v>
      </c>
      <c r="Z94" s="13"/>
      <c r="AA94" s="13">
        <v>2.0338045669905278</v>
      </c>
      <c r="AB94" s="13">
        <v>1.6225072075856806</v>
      </c>
      <c r="AC94" s="13">
        <v>1.3543425783046164</v>
      </c>
    </row>
    <row r="95" spans="1:29">
      <c r="A95" s="3">
        <v>2023</v>
      </c>
      <c r="B95" s="3">
        <f t="shared" si="31"/>
        <v>34510.350369616433</v>
      </c>
      <c r="C95" s="3">
        <f t="shared" si="36"/>
        <v>6902.0700739232871</v>
      </c>
      <c r="D95" s="3">
        <f t="shared" si="37"/>
        <v>4486.3455480501361</v>
      </c>
      <c r="E95" s="3">
        <f t="shared" si="32"/>
        <v>665</v>
      </c>
      <c r="F95" s="3">
        <f t="shared" si="38"/>
        <v>10723.415621973423</v>
      </c>
      <c r="G95" s="3"/>
      <c r="H95" s="3"/>
      <c r="I95" s="3">
        <v>2023</v>
      </c>
      <c r="J95" s="3">
        <f t="shared" si="39"/>
        <v>25946.044444444444</v>
      </c>
      <c r="K95" s="3">
        <f t="shared" si="40"/>
        <v>5189.2088888888884</v>
      </c>
      <c r="L95" s="3">
        <f t="shared" si="41"/>
        <v>3372.9857777777779</v>
      </c>
      <c r="M95" s="3">
        <f t="shared" si="33"/>
        <v>1076.764002706193</v>
      </c>
      <c r="N95" s="3">
        <f t="shared" si="34"/>
        <v>9638.9586693728597</v>
      </c>
      <c r="O95" s="3"/>
      <c r="P95" s="3"/>
      <c r="Q95" s="3">
        <v>2023</v>
      </c>
      <c r="R95" s="13">
        <f t="shared" si="42"/>
        <v>0.89887019296553283</v>
      </c>
      <c r="S95" s="13">
        <f t="shared" si="35"/>
        <v>1.1125076877906275</v>
      </c>
      <c r="T95" s="3"/>
      <c r="U95" s="13">
        <f t="shared" si="43"/>
        <v>1.6386711483428318</v>
      </c>
      <c r="V95" s="12">
        <f>'Country L per 100 km'!U18</f>
        <v>5.0545834221791015</v>
      </c>
      <c r="W95" s="3">
        <f>'Country distance travelled'!U18</f>
        <v>13000</v>
      </c>
      <c r="Y95" s="3">
        <v>2023</v>
      </c>
      <c r="Z95" s="13"/>
      <c r="AA95" s="13">
        <v>2.0695657242897867</v>
      </c>
      <c r="AB95" s="13">
        <v>1.6386711483428318</v>
      </c>
      <c r="AC95" s="13">
        <v>1.3543425783046164</v>
      </c>
    </row>
    <row r="96" spans="1:29">
      <c r="A96" s="3">
        <v>2024</v>
      </c>
      <c r="B96" s="3">
        <f t="shared" si="31"/>
        <v>33327.919598350592</v>
      </c>
      <c r="C96" s="3">
        <f t="shared" si="36"/>
        <v>6665.5839196701181</v>
      </c>
      <c r="D96" s="3">
        <f t="shared" si="37"/>
        <v>4332.6295477855774</v>
      </c>
      <c r="E96" s="3">
        <f t="shared" si="32"/>
        <v>665</v>
      </c>
      <c r="F96" s="3">
        <f t="shared" si="38"/>
        <v>10333.213467455695</v>
      </c>
      <c r="G96" s="3"/>
      <c r="H96" s="3"/>
      <c r="I96" s="3">
        <v>2024</v>
      </c>
      <c r="J96" s="3">
        <f t="shared" si="39"/>
        <v>25946.044444444444</v>
      </c>
      <c r="K96" s="3">
        <f t="shared" si="40"/>
        <v>5189.2088888888884</v>
      </c>
      <c r="L96" s="3">
        <f t="shared" si="41"/>
        <v>3372.9857777777779</v>
      </c>
      <c r="M96" s="3">
        <f t="shared" si="33"/>
        <v>1068.8832975670005</v>
      </c>
      <c r="N96" s="3">
        <f t="shared" si="34"/>
        <v>9631.0779642336674</v>
      </c>
      <c r="O96" s="3"/>
      <c r="P96" s="3"/>
      <c r="Q96" s="3">
        <v>2024</v>
      </c>
      <c r="R96" s="13">
        <f t="shared" si="42"/>
        <v>0.93205061470631645</v>
      </c>
      <c r="S96" s="13">
        <f t="shared" si="35"/>
        <v>1.0729031065711963</v>
      </c>
      <c r="T96" s="3"/>
      <c r="U96" s="13">
        <f t="shared" si="43"/>
        <v>1.6429446920858701</v>
      </c>
      <c r="V96" s="12">
        <f>'Country L per 100 km'!U19</f>
        <v>5.0045380417614869</v>
      </c>
      <c r="W96" s="3">
        <f>'Country distance travelled'!U19</f>
        <v>13000</v>
      </c>
      <c r="Y96" s="3">
        <v>2024</v>
      </c>
      <c r="Z96" s="13"/>
      <c r="AA96" s="13">
        <v>2.0993666887058358</v>
      </c>
      <c r="AB96" s="13">
        <v>1.6429446920858701</v>
      </c>
      <c r="AC96" s="13">
        <v>1.3543425783046164</v>
      </c>
    </row>
    <row r="97" spans="1:29">
      <c r="A97" s="3">
        <v>2025</v>
      </c>
      <c r="B97" s="3">
        <f t="shared" si="31"/>
        <v>32312.787013730653</v>
      </c>
      <c r="C97" s="3">
        <f t="shared" si="36"/>
        <v>6462.5574027461307</v>
      </c>
      <c r="D97" s="3">
        <f t="shared" si="37"/>
        <v>4200.6623117849849</v>
      </c>
      <c r="E97" s="3">
        <f t="shared" si="32"/>
        <v>665</v>
      </c>
      <c r="F97" s="3">
        <f t="shared" si="38"/>
        <v>9998.2197145311147</v>
      </c>
      <c r="G97" s="3"/>
      <c r="H97" s="3"/>
      <c r="I97" s="3">
        <v>2025</v>
      </c>
      <c r="J97" s="3">
        <f t="shared" si="39"/>
        <v>25946.044444444444</v>
      </c>
      <c r="K97" s="3">
        <f t="shared" si="40"/>
        <v>5189.2088888888884</v>
      </c>
      <c r="L97" s="3">
        <f t="shared" si="41"/>
        <v>3372.9857777777779</v>
      </c>
      <c r="M97" s="3">
        <f t="shared" si="33"/>
        <v>1072.7040905537424</v>
      </c>
      <c r="N97" s="3">
        <f t="shared" si="34"/>
        <v>9634.8987572204096</v>
      </c>
      <c r="O97" s="3"/>
      <c r="P97" s="3"/>
      <c r="Q97" s="3">
        <v>2025</v>
      </c>
      <c r="R97" s="13">
        <f t="shared" si="42"/>
        <v>0.96366143496700063</v>
      </c>
      <c r="S97" s="13">
        <f t="shared" si="35"/>
        <v>1.037708850551069</v>
      </c>
      <c r="T97" s="3"/>
      <c r="U97" s="13">
        <f t="shared" si="43"/>
        <v>1.6653056799776933</v>
      </c>
      <c r="V97" s="12">
        <f>'Country L per 100 km'!U20</f>
        <v>4.9549881601598873</v>
      </c>
      <c r="W97" s="3">
        <f>'Country distance travelled'!U20</f>
        <v>13000</v>
      </c>
      <c r="Y97" s="3">
        <v>2025</v>
      </c>
      <c r="Z97" s="13"/>
      <c r="AA97" s="13">
        <v>2.1291676531218839</v>
      </c>
      <c r="AB97" s="13">
        <v>1.6653056799776933</v>
      </c>
      <c r="AC97" s="13">
        <v>1.3603027711878257</v>
      </c>
    </row>
    <row r="98" spans="1:29">
      <c r="A98" s="3">
        <v>2026</v>
      </c>
      <c r="B98" s="3">
        <f t="shared" si="31"/>
        <v>31734.472294460887</v>
      </c>
      <c r="C98" s="3">
        <f t="shared" si="36"/>
        <v>6346.8944588921777</v>
      </c>
      <c r="D98" s="3">
        <f t="shared" si="37"/>
        <v>4125.4813982799151</v>
      </c>
      <c r="E98" s="3">
        <f t="shared" si="32"/>
        <v>665</v>
      </c>
      <c r="F98" s="3">
        <f t="shared" si="38"/>
        <v>9807.3758571720937</v>
      </c>
      <c r="G98" s="3"/>
      <c r="H98" s="3"/>
      <c r="I98" s="3">
        <v>2026</v>
      </c>
      <c r="J98" s="3">
        <f t="shared" si="39"/>
        <v>25946.044444444444</v>
      </c>
      <c r="K98" s="3">
        <f t="shared" si="40"/>
        <v>5189.2088888888884</v>
      </c>
      <c r="L98" s="3">
        <f t="shared" si="41"/>
        <v>3372.9857777777779</v>
      </c>
      <c r="M98" s="3">
        <f t="shared" si="33"/>
        <v>1087.1489506660882</v>
      </c>
      <c r="N98" s="3">
        <f t="shared" si="34"/>
        <v>9649.3436173327536</v>
      </c>
      <c r="O98" s="3"/>
      <c r="P98" s="3"/>
      <c r="Q98" s="3">
        <v>2026</v>
      </c>
      <c r="R98" s="13">
        <f t="shared" si="42"/>
        <v>0.98388638896471259</v>
      </c>
      <c r="S98" s="13">
        <f t="shared" si="35"/>
        <v>1.0163775118916352</v>
      </c>
      <c r="T98" s="3"/>
      <c r="U98" s="13">
        <f t="shared" si="43"/>
        <v>1.7046077216013713</v>
      </c>
      <c r="V98" s="12">
        <f>'Country L per 100 km'!U21</f>
        <v>4.9059288714454334</v>
      </c>
      <c r="W98" s="3">
        <f>'Country distance travelled'!U21</f>
        <v>13000</v>
      </c>
      <c r="Y98" s="3">
        <v>2026</v>
      </c>
      <c r="Z98" s="13"/>
      <c r="AA98" s="13">
        <v>2.1589686175379335</v>
      </c>
      <c r="AB98" s="13">
        <v>1.7046077216013713</v>
      </c>
      <c r="AC98" s="13">
        <v>1.3662629640710362</v>
      </c>
    </row>
    <row r="99" spans="1:29">
      <c r="A99" s="3">
        <v>2027</v>
      </c>
      <c r="B99" s="3">
        <f t="shared" si="31"/>
        <v>31156.157575191122</v>
      </c>
      <c r="C99" s="3">
        <f t="shared" si="36"/>
        <v>6231.2315150382246</v>
      </c>
      <c r="D99" s="3">
        <f t="shared" si="37"/>
        <v>4050.3004847748462</v>
      </c>
      <c r="E99" s="3">
        <f t="shared" si="32"/>
        <v>665</v>
      </c>
      <c r="F99" s="3">
        <f t="shared" si="38"/>
        <v>9616.5319998130708</v>
      </c>
      <c r="G99" s="3"/>
      <c r="H99" s="3"/>
      <c r="I99" s="3">
        <v>2027</v>
      </c>
      <c r="J99" s="3">
        <f t="shared" si="39"/>
        <v>25946.044444444444</v>
      </c>
      <c r="K99" s="3">
        <f t="shared" si="40"/>
        <v>5189.2088888888884</v>
      </c>
      <c r="L99" s="3">
        <f t="shared" si="41"/>
        <v>3372.9857777777779</v>
      </c>
      <c r="M99" s="3">
        <f t="shared" si="33"/>
        <v>1089.1754202411501</v>
      </c>
      <c r="N99" s="3">
        <f t="shared" si="34"/>
        <v>9651.3700869078166</v>
      </c>
      <c r="O99" s="3"/>
      <c r="P99" s="3"/>
      <c r="Q99" s="3">
        <v>2027</v>
      </c>
      <c r="R99" s="13">
        <f t="shared" si="42"/>
        <v>1.003622728764946</v>
      </c>
      <c r="S99" s="13">
        <f t="shared" si="35"/>
        <v>0.99639034802509496</v>
      </c>
      <c r="T99" s="3"/>
      <c r="U99" s="13">
        <f t="shared" si="43"/>
        <v>1.7248629993965288</v>
      </c>
      <c r="V99" s="12">
        <f>'Country L per 100 km'!U22</f>
        <v>4.8573553182628046</v>
      </c>
      <c r="W99" s="3">
        <f>'Country distance travelled'!U22</f>
        <v>13000</v>
      </c>
      <c r="Y99" s="3">
        <v>2027</v>
      </c>
      <c r="Z99" s="13"/>
      <c r="AA99" s="13">
        <v>2.1887695819539821</v>
      </c>
      <c r="AB99" s="13">
        <v>1.7248629993965288</v>
      </c>
      <c r="AC99" s="13">
        <v>1.3722231569542458</v>
      </c>
    </row>
    <row r="100" spans="1:29">
      <c r="A100" s="3">
        <v>2028</v>
      </c>
      <c r="B100" s="3">
        <f t="shared" si="31"/>
        <v>30505.553516012631</v>
      </c>
      <c r="C100" s="3">
        <f t="shared" si="36"/>
        <v>6101.1107032025266</v>
      </c>
      <c r="D100" s="3">
        <f t="shared" si="37"/>
        <v>3965.7219570816424</v>
      </c>
      <c r="E100" s="3">
        <f t="shared" si="32"/>
        <v>665</v>
      </c>
      <c r="F100" s="3">
        <f t="shared" si="38"/>
        <v>9401.8326602841698</v>
      </c>
      <c r="G100" s="3"/>
      <c r="H100" s="3"/>
      <c r="I100" s="3">
        <v>2028</v>
      </c>
      <c r="J100" s="3">
        <f t="shared" si="39"/>
        <v>25946.044444444444</v>
      </c>
      <c r="K100" s="3">
        <f t="shared" si="40"/>
        <v>5189.2088888888884</v>
      </c>
      <c r="L100" s="3">
        <f t="shared" si="41"/>
        <v>3372.9857777777779</v>
      </c>
      <c r="M100" s="3">
        <f t="shared" si="33"/>
        <v>1086.4079329508179</v>
      </c>
      <c r="N100" s="3">
        <f t="shared" si="34"/>
        <v>9648.6025996174849</v>
      </c>
      <c r="O100" s="3"/>
      <c r="P100" s="3"/>
      <c r="Q100" s="3">
        <v>2028</v>
      </c>
      <c r="R100" s="13">
        <f t="shared" si="42"/>
        <v>1.0262470039884604</v>
      </c>
      <c r="S100" s="13">
        <f t="shared" si="35"/>
        <v>0.97442428198430531</v>
      </c>
      <c r="T100" s="3"/>
      <c r="U100" s="13">
        <f t="shared" si="43"/>
        <v>1.7376850956080747</v>
      </c>
      <c r="V100" s="12">
        <f>'Country L per 100 km'!U23</f>
        <v>4.8092626913493124</v>
      </c>
      <c r="W100" s="3">
        <f>'Country distance travelled'!U23</f>
        <v>13000</v>
      </c>
      <c r="Y100" s="3">
        <v>2028</v>
      </c>
      <c r="Z100" s="13"/>
      <c r="AA100" s="13">
        <v>2.2126103534868213</v>
      </c>
      <c r="AB100" s="13">
        <v>1.7376850956080747</v>
      </c>
      <c r="AC100" s="13">
        <v>1.3722231569542458</v>
      </c>
    </row>
    <row r="101" spans="1:29">
      <c r="A101" s="3">
        <v>2029</v>
      </c>
      <c r="B101" s="3">
        <f t="shared" si="31"/>
        <v>29927.238796742866</v>
      </c>
      <c r="C101" s="3">
        <f t="shared" si="36"/>
        <v>5985.4477593485735</v>
      </c>
      <c r="D101" s="3">
        <f t="shared" si="37"/>
        <v>3890.5410435765725</v>
      </c>
      <c r="E101" s="3">
        <f t="shared" si="32"/>
        <v>665</v>
      </c>
      <c r="F101" s="3">
        <f t="shared" si="38"/>
        <v>9210.9888029251451</v>
      </c>
      <c r="G101" s="3"/>
      <c r="H101" s="3"/>
      <c r="I101" s="3">
        <v>2029</v>
      </c>
      <c r="J101" s="3">
        <f t="shared" si="39"/>
        <v>25946.044444444444</v>
      </c>
      <c r="K101" s="3">
        <f t="shared" si="40"/>
        <v>5189.2088888888884</v>
      </c>
      <c r="L101" s="3">
        <f t="shared" si="41"/>
        <v>3372.9857777777779</v>
      </c>
      <c r="M101" s="3">
        <f t="shared" si="33"/>
        <v>1086.4095702532518</v>
      </c>
      <c r="N101" s="3">
        <f t="shared" si="34"/>
        <v>9648.6042369199185</v>
      </c>
      <c r="O101" s="3"/>
      <c r="P101" s="3"/>
      <c r="Q101" s="3">
        <v>2029</v>
      </c>
      <c r="R101" s="13">
        <f t="shared" si="42"/>
        <v>1.0475101472119692</v>
      </c>
      <c r="S101" s="13">
        <f t="shared" si="35"/>
        <v>0.95464469023195508</v>
      </c>
      <c r="T101" s="3"/>
      <c r="U101" s="13">
        <f t="shared" si="43"/>
        <v>1.7550645915809211</v>
      </c>
      <c r="V101" s="12">
        <f>'Country L per 100 km'!U24</f>
        <v>4.7616462290587247</v>
      </c>
      <c r="W101" s="3">
        <f>'Country distance travelled'!U24</f>
        <v>13000</v>
      </c>
      <c r="Y101" s="3">
        <v>2029</v>
      </c>
      <c r="Z101" s="13"/>
      <c r="AA101" s="13">
        <v>2.2424113179028695</v>
      </c>
      <c r="AB101" s="13">
        <v>1.7550645915809211</v>
      </c>
      <c r="AC101" s="13">
        <v>1.3722231569542458</v>
      </c>
    </row>
    <row r="102" spans="1:29">
      <c r="A102" s="3">
        <v>2030</v>
      </c>
      <c r="B102" s="3">
        <f t="shared" si="31"/>
        <v>29276.634737564382</v>
      </c>
      <c r="C102" s="3">
        <f t="shared" si="36"/>
        <v>5855.3269475128764</v>
      </c>
      <c r="D102" s="3">
        <f t="shared" si="37"/>
        <v>3805.9625158833696</v>
      </c>
      <c r="E102" s="3">
        <f t="shared" si="32"/>
        <v>665</v>
      </c>
      <c r="F102" s="3">
        <f t="shared" si="38"/>
        <v>8996.289463396246</v>
      </c>
      <c r="G102" s="3"/>
      <c r="H102" s="3"/>
      <c r="I102" s="3">
        <v>2030</v>
      </c>
      <c r="J102" s="3">
        <f t="shared" si="39"/>
        <v>25946.044444444444</v>
      </c>
      <c r="K102" s="3">
        <f t="shared" si="40"/>
        <v>5189.2088888888884</v>
      </c>
      <c r="L102" s="3">
        <f t="shared" si="41"/>
        <v>3372.9857777777779</v>
      </c>
      <c r="M102" s="3">
        <f t="shared" si="33"/>
        <v>1083.797589509029</v>
      </c>
      <c r="N102" s="3">
        <f t="shared" si="34"/>
        <v>9645.9922561756957</v>
      </c>
      <c r="O102" s="3"/>
      <c r="P102" s="3"/>
      <c r="Q102" s="3">
        <v>2030</v>
      </c>
      <c r="R102" s="13">
        <f t="shared" si="42"/>
        <v>1.0722189737694563</v>
      </c>
      <c r="S102" s="13">
        <f t="shared" si="35"/>
        <v>0.93264531263090245</v>
      </c>
      <c r="T102" s="3"/>
      <c r="U102" s="13">
        <f t="shared" si="43"/>
        <v>1.7683534590716947</v>
      </c>
      <c r="V102" s="12">
        <f>'Country L per 100 km'!U25</f>
        <v>4.7145012168898264</v>
      </c>
      <c r="W102" s="3">
        <f>'Country distance travelled'!U25</f>
        <v>13000</v>
      </c>
      <c r="Y102" s="3">
        <v>2030</v>
      </c>
      <c r="Z102" s="13"/>
      <c r="AA102" s="13">
        <v>2.2602918965524985</v>
      </c>
      <c r="AB102" s="13">
        <v>1.7683534590716947</v>
      </c>
      <c r="AC102" s="13">
        <v>1.3781833498374554</v>
      </c>
    </row>
    <row r="103" spans="1:29">
      <c r="A103" s="3">
        <v>2031</v>
      </c>
      <c r="B103" s="3"/>
      <c r="C103" s="3"/>
      <c r="D103" s="3"/>
      <c r="E103" s="3"/>
      <c r="F103" s="3"/>
      <c r="G103" s="3"/>
      <c r="H103" s="3"/>
      <c r="I103" s="3">
        <v>2031</v>
      </c>
      <c r="J103" s="3"/>
      <c r="K103" s="3"/>
      <c r="L103" s="3"/>
      <c r="M103" s="3">
        <f t="shared" si="33"/>
        <v>1073.0669203059695</v>
      </c>
      <c r="N103" s="3"/>
      <c r="O103" s="3"/>
      <c r="P103" s="3"/>
      <c r="Q103" s="3">
        <v>2031</v>
      </c>
      <c r="R103" s="3"/>
      <c r="S103" s="3"/>
      <c r="T103" s="3"/>
      <c r="U103" s="13">
        <f>U102</f>
        <v>1.7683534590716947</v>
      </c>
      <c r="V103" s="12">
        <f>'Country L per 100 km'!U26</f>
        <v>4.6678229870196306</v>
      </c>
      <c r="W103" s="3">
        <f>'Country distance travelled'!U26</f>
        <v>13000</v>
      </c>
      <c r="Y103" s="3">
        <v>2031</v>
      </c>
    </row>
    <row r="104" spans="1:29">
      <c r="A104" s="3">
        <v>2032</v>
      </c>
      <c r="B104" s="3"/>
      <c r="C104" s="3"/>
      <c r="D104" s="3"/>
      <c r="E104" s="3"/>
      <c r="F104" s="3"/>
      <c r="G104" s="3"/>
      <c r="H104" s="3"/>
      <c r="I104" s="3">
        <v>2032</v>
      </c>
      <c r="J104" s="3"/>
      <c r="K104" s="3"/>
      <c r="L104" s="3"/>
      <c r="M104" s="3"/>
      <c r="N104" s="3"/>
      <c r="O104" s="3"/>
      <c r="P104" s="3"/>
      <c r="Q104" s="3">
        <v>2032</v>
      </c>
      <c r="R104" s="3"/>
      <c r="S104" s="3"/>
      <c r="T104" s="3"/>
      <c r="U104" s="13">
        <f t="shared" ref="U104:U112" si="44">U103</f>
        <v>1.7683534590716947</v>
      </c>
      <c r="V104" s="12">
        <f>'Country L per 100 km'!U27</f>
        <v>4.621606917841218</v>
      </c>
      <c r="W104" s="3">
        <f>'Country distance travelled'!U27</f>
        <v>13000</v>
      </c>
      <c r="Y104" s="3">
        <v>2032</v>
      </c>
    </row>
    <row r="105" spans="1:29">
      <c r="A105" s="3">
        <v>2033</v>
      </c>
      <c r="B105" s="3"/>
      <c r="C105" s="3"/>
      <c r="D105" s="3"/>
      <c r="E105" s="3"/>
      <c r="F105" s="3"/>
      <c r="G105" s="3"/>
      <c r="H105" s="3"/>
      <c r="I105" s="3">
        <v>2033</v>
      </c>
      <c r="J105" s="3"/>
      <c r="K105" s="3"/>
      <c r="L105" s="3"/>
      <c r="M105" s="3"/>
      <c r="N105" s="3"/>
      <c r="O105" s="3"/>
      <c r="P105" s="3"/>
      <c r="Q105" s="3">
        <v>2033</v>
      </c>
      <c r="R105" s="3"/>
      <c r="S105" s="3"/>
      <c r="T105" s="3"/>
      <c r="U105" s="13">
        <f t="shared" si="44"/>
        <v>1.7683534590716947</v>
      </c>
      <c r="V105" s="12">
        <f>'Country L per 100 km'!U28</f>
        <v>4.5758484335061569</v>
      </c>
      <c r="W105" s="3">
        <f>'Country distance travelled'!U28</f>
        <v>13000</v>
      </c>
      <c r="Y105" s="3">
        <v>2033</v>
      </c>
    </row>
    <row r="106" spans="1:29">
      <c r="A106" s="3">
        <v>2034</v>
      </c>
      <c r="B106" s="3"/>
      <c r="C106" s="3"/>
      <c r="D106" s="3"/>
      <c r="E106" s="3"/>
      <c r="F106" s="3"/>
      <c r="G106" s="3"/>
      <c r="H106" s="3"/>
      <c r="I106" s="3">
        <v>2034</v>
      </c>
      <c r="J106" s="3"/>
      <c r="K106" s="3"/>
      <c r="L106" s="3"/>
      <c r="M106" s="3"/>
      <c r="N106" s="3"/>
      <c r="O106" s="3"/>
      <c r="P106" s="3"/>
      <c r="Q106" s="3">
        <v>2034</v>
      </c>
      <c r="R106" s="3"/>
      <c r="S106" s="3"/>
      <c r="T106" s="3"/>
      <c r="U106" s="13">
        <f t="shared" si="44"/>
        <v>1.7683534590716947</v>
      </c>
      <c r="V106" s="12">
        <f>'Country L per 100 km'!U29</f>
        <v>4.5305430034714416</v>
      </c>
      <c r="W106" s="3">
        <f>'Country distance travelled'!U29</f>
        <v>13000</v>
      </c>
      <c r="Y106" s="3">
        <v>2034</v>
      </c>
    </row>
    <row r="107" spans="1:29">
      <c r="A107" s="3">
        <v>2035</v>
      </c>
      <c r="B107" s="3"/>
      <c r="C107" s="3"/>
      <c r="D107" s="3"/>
      <c r="E107" s="3"/>
      <c r="F107" s="3"/>
      <c r="G107" s="3"/>
      <c r="H107" s="3"/>
      <c r="I107" s="3">
        <v>2035</v>
      </c>
      <c r="J107" s="3"/>
      <c r="K107" s="3"/>
      <c r="L107" s="3"/>
      <c r="M107" s="3"/>
      <c r="N107" s="3"/>
      <c r="O107" s="3"/>
      <c r="P107" s="3"/>
      <c r="Q107" s="3">
        <v>2035</v>
      </c>
      <c r="R107" s="3"/>
      <c r="S107" s="3"/>
      <c r="T107" s="3"/>
      <c r="U107" s="13">
        <f t="shared" si="44"/>
        <v>1.7683534590716947</v>
      </c>
      <c r="V107" s="12">
        <f>'Country L per 100 km'!U30</f>
        <v>4.4856861420509313</v>
      </c>
      <c r="W107" s="3">
        <f>'Country distance travelled'!U30</f>
        <v>13000</v>
      </c>
      <c r="Y107" s="3">
        <v>2035</v>
      </c>
    </row>
    <row r="108" spans="1:29">
      <c r="A108" s="3">
        <v>2036</v>
      </c>
      <c r="B108" s="3"/>
      <c r="C108" s="3"/>
      <c r="D108" s="3"/>
      <c r="E108" s="3"/>
      <c r="F108" s="3"/>
      <c r="G108" s="3"/>
      <c r="H108" s="3"/>
      <c r="I108" s="3">
        <v>2036</v>
      </c>
      <c r="J108" s="3"/>
      <c r="K108" s="3"/>
      <c r="L108" s="3"/>
      <c r="M108" s="3"/>
      <c r="N108" s="3"/>
      <c r="O108" s="3"/>
      <c r="P108" s="3"/>
      <c r="Q108" s="3">
        <v>2036</v>
      </c>
      <c r="R108" s="3"/>
      <c r="S108" s="3"/>
      <c r="T108" s="3"/>
      <c r="U108" s="13">
        <f t="shared" si="44"/>
        <v>1.7683534590716947</v>
      </c>
      <c r="V108" s="12">
        <f>'Country L per 100 km'!U31</f>
        <v>4.4412734079712202</v>
      </c>
      <c r="W108" s="3">
        <f>'Country distance travelled'!U31</f>
        <v>13000</v>
      </c>
      <c r="Y108" s="3">
        <v>2036</v>
      </c>
    </row>
    <row r="109" spans="1:29">
      <c r="A109" s="3">
        <v>2037</v>
      </c>
      <c r="B109" s="3"/>
      <c r="C109" s="3"/>
      <c r="D109" s="3"/>
      <c r="E109" s="3"/>
      <c r="F109" s="3"/>
      <c r="G109" s="3"/>
      <c r="H109" s="3"/>
      <c r="I109" s="3">
        <v>2037</v>
      </c>
      <c r="J109" s="3"/>
      <c r="K109" s="3"/>
      <c r="L109" s="3"/>
      <c r="M109" s="3"/>
      <c r="N109" s="3"/>
      <c r="O109" s="3"/>
      <c r="P109" s="3"/>
      <c r="Q109" s="3">
        <v>2037</v>
      </c>
      <c r="R109" s="3"/>
      <c r="S109" s="3"/>
      <c r="T109" s="3"/>
      <c r="U109" s="13">
        <f t="shared" si="44"/>
        <v>1.7683534590716947</v>
      </c>
      <c r="V109" s="12">
        <f>'Country L per 100 km'!U32</f>
        <v>4.3973004039319017</v>
      </c>
      <c r="W109" s="3">
        <f>'Country distance travelled'!U32</f>
        <v>13000</v>
      </c>
      <c r="Y109" s="3">
        <v>2037</v>
      </c>
    </row>
    <row r="110" spans="1:29">
      <c r="A110" s="3">
        <v>2038</v>
      </c>
      <c r="B110" s="3"/>
      <c r="C110" s="3"/>
      <c r="D110" s="3"/>
      <c r="E110" s="3"/>
      <c r="F110" s="3"/>
      <c r="G110" s="3"/>
      <c r="H110" s="3"/>
      <c r="I110" s="3">
        <v>2038</v>
      </c>
      <c r="J110" s="3"/>
      <c r="K110" s="3"/>
      <c r="L110" s="3"/>
      <c r="M110" s="3"/>
      <c r="N110" s="3"/>
      <c r="O110" s="3"/>
      <c r="P110" s="3"/>
      <c r="Q110" s="3">
        <v>2038</v>
      </c>
      <c r="R110" s="3"/>
      <c r="S110" s="3"/>
      <c r="T110" s="3"/>
      <c r="U110" s="13">
        <f t="shared" si="44"/>
        <v>1.7683534590716947</v>
      </c>
      <c r="V110" s="12">
        <f>'Country L per 100 km'!U33</f>
        <v>4.3537627761701989</v>
      </c>
      <c r="W110" s="3">
        <f>'Country distance travelled'!U33</f>
        <v>13000</v>
      </c>
      <c r="Y110" s="3">
        <v>2038</v>
      </c>
    </row>
    <row r="111" spans="1:29">
      <c r="A111" s="3">
        <v>2039</v>
      </c>
      <c r="B111" s="3"/>
      <c r="C111" s="3"/>
      <c r="D111" s="3"/>
      <c r="E111" s="3"/>
      <c r="F111" s="3"/>
      <c r="G111" s="3"/>
      <c r="H111" s="3"/>
      <c r="I111" s="3">
        <v>2039</v>
      </c>
      <c r="J111" s="3"/>
      <c r="K111" s="3"/>
      <c r="L111" s="3"/>
      <c r="M111" s="3"/>
      <c r="N111" s="3"/>
      <c r="O111" s="3"/>
      <c r="P111" s="3"/>
      <c r="Q111" s="3">
        <v>2039</v>
      </c>
      <c r="R111" s="3"/>
      <c r="S111" s="3"/>
      <c r="T111" s="3"/>
      <c r="U111" s="13">
        <f t="shared" si="44"/>
        <v>1.7683534590716947</v>
      </c>
      <c r="V111" s="12">
        <f>'Country L per 100 km'!U34</f>
        <v>4.3106562140299003</v>
      </c>
      <c r="W111" s="3">
        <f>'Country distance travelled'!U34</f>
        <v>13000</v>
      </c>
      <c r="Y111" s="3">
        <v>2039</v>
      </c>
    </row>
    <row r="112" spans="1:29">
      <c r="A112" s="3">
        <v>2040</v>
      </c>
      <c r="B112" s="3"/>
      <c r="C112" s="3"/>
      <c r="D112" s="3"/>
      <c r="E112" s="3"/>
      <c r="F112" s="3"/>
      <c r="G112" s="3"/>
      <c r="H112" s="3"/>
      <c r="I112" s="3">
        <v>2040</v>
      </c>
      <c r="J112" s="3"/>
      <c r="K112" s="3"/>
      <c r="L112" s="3"/>
      <c r="M112" s="3"/>
      <c r="N112" s="3"/>
      <c r="O112" s="3"/>
      <c r="P112" s="3"/>
      <c r="Q112" s="3">
        <v>2040</v>
      </c>
      <c r="R112" s="3"/>
      <c r="S112" s="3"/>
      <c r="T112" s="3"/>
      <c r="U112" s="13">
        <f t="shared" si="44"/>
        <v>1.7683534590716947</v>
      </c>
      <c r="V112" s="12">
        <f>'Country L per 100 km'!U35</f>
        <v>4.2679764495345553</v>
      </c>
      <c r="W112" s="3">
        <f>'Country distance travelled'!U35</f>
        <v>13000</v>
      </c>
      <c r="Y112" s="3">
        <v>2040</v>
      </c>
    </row>
    <row r="120" spans="16:29">
      <c r="Q120" s="87" t="s">
        <v>980</v>
      </c>
      <c r="R120" s="87" t="s">
        <v>980</v>
      </c>
      <c r="S120" s="87" t="s">
        <v>980</v>
      </c>
      <c r="T120" s="87" t="s">
        <v>980</v>
      </c>
      <c r="U120" s="87" t="s">
        <v>980</v>
      </c>
      <c r="W120" s="14" t="s">
        <v>812</v>
      </c>
      <c r="X120" s="14" t="s">
        <v>812</v>
      </c>
      <c r="Y120" s="14" t="s">
        <v>812</v>
      </c>
      <c r="Z120" s="14" t="s">
        <v>812</v>
      </c>
      <c r="AA120" s="14" t="s">
        <v>812</v>
      </c>
      <c r="AC120" s="248" t="s">
        <v>952</v>
      </c>
    </row>
    <row r="121" spans="16:29">
      <c r="Q121" s="87" t="s">
        <v>978</v>
      </c>
      <c r="R121" s="87" t="s">
        <v>979</v>
      </c>
      <c r="S121" s="87" t="s">
        <v>916</v>
      </c>
      <c r="T121" s="87" t="s">
        <v>981</v>
      </c>
      <c r="U121" s="87" t="s">
        <v>983</v>
      </c>
      <c r="W121" s="14" t="s">
        <v>725</v>
      </c>
      <c r="X121" s="14" t="s">
        <v>979</v>
      </c>
      <c r="Y121" s="14" t="s">
        <v>916</v>
      </c>
      <c r="Z121" s="14" t="s">
        <v>985</v>
      </c>
      <c r="AA121" s="14" t="s">
        <v>983</v>
      </c>
      <c r="AC121" s="248" t="s">
        <v>1204</v>
      </c>
    </row>
    <row r="122" spans="16:29">
      <c r="P122">
        <v>2012</v>
      </c>
      <c r="Q122" s="3">
        <f>B84</f>
        <v>35091.713825923427</v>
      </c>
      <c r="R122" s="3">
        <f t="shared" ref="R122:U137" si="45">C84</f>
        <v>7018.342765184685</v>
      </c>
      <c r="S122" s="3">
        <f t="shared" si="45"/>
        <v>4561.9227973700454</v>
      </c>
      <c r="T122" s="3">
        <f t="shared" si="45"/>
        <v>665</v>
      </c>
      <c r="U122" s="3">
        <f t="shared" si="45"/>
        <v>10915.26556255473</v>
      </c>
      <c r="V122" s="3"/>
      <c r="W122" s="3">
        <f>J84</f>
        <v>25087.472150203288</v>
      </c>
      <c r="X122" s="3">
        <f t="shared" ref="X122:AA137" si="46">K84</f>
        <v>5017.4944300406578</v>
      </c>
      <c r="Y122" s="3">
        <f t="shared" si="46"/>
        <v>3261.3713795264275</v>
      </c>
      <c r="Z122" s="3">
        <f t="shared" si="46"/>
        <v>1274.8096593080782</v>
      </c>
      <c r="AA122" s="3">
        <f t="shared" si="46"/>
        <v>9553.6754688751644</v>
      </c>
      <c r="AC122" s="13">
        <f>U122/AA122</f>
        <v>1.14252002782756</v>
      </c>
    </row>
    <row r="123" spans="16:29">
      <c r="P123">
        <v>2013</v>
      </c>
      <c r="Q123" s="3">
        <f t="shared" ref="Q123:U138" si="47">B85</f>
        <v>33972.787385640957</v>
      </c>
      <c r="R123" s="3">
        <f t="shared" si="45"/>
        <v>6794.5574771281917</v>
      </c>
      <c r="S123" s="3">
        <f t="shared" si="45"/>
        <v>4416.4623601333242</v>
      </c>
      <c r="T123" s="3">
        <f t="shared" si="45"/>
        <v>665</v>
      </c>
      <c r="U123" s="3">
        <f t="shared" si="45"/>
        <v>10546.019837261516</v>
      </c>
      <c r="V123" s="3"/>
      <c r="W123" s="3">
        <f t="shared" ref="W123:AA138" si="48">J85</f>
        <v>24868.779807975159</v>
      </c>
      <c r="X123" s="3">
        <f t="shared" si="46"/>
        <v>4973.7559615950322</v>
      </c>
      <c r="Y123" s="3">
        <f t="shared" si="46"/>
        <v>3232.9413750367708</v>
      </c>
      <c r="Z123" s="3">
        <f t="shared" si="46"/>
        <v>1260.4324304815566</v>
      </c>
      <c r="AA123" s="3">
        <f t="shared" si="46"/>
        <v>9467.1297671133598</v>
      </c>
      <c r="AC123" s="13">
        <f t="shared" ref="AC123:AC140" si="49">U123/AA123</f>
        <v>1.1139616860324417</v>
      </c>
    </row>
    <row r="124" spans="16:29">
      <c r="P124">
        <v>2014</v>
      </c>
      <c r="Q124" s="3">
        <f t="shared" si="47"/>
        <v>36147.870763402032</v>
      </c>
      <c r="R124" s="3">
        <f t="shared" si="45"/>
        <v>7229.5741526804068</v>
      </c>
      <c r="S124" s="3">
        <f t="shared" si="45"/>
        <v>4699.2231992422639</v>
      </c>
      <c r="T124" s="3">
        <f t="shared" si="45"/>
        <v>665</v>
      </c>
      <c r="U124" s="3">
        <f t="shared" si="45"/>
        <v>11263.797351922671</v>
      </c>
      <c r="V124" s="3"/>
      <c r="W124" s="3">
        <f t="shared" si="48"/>
        <v>24638.031516499814</v>
      </c>
      <c r="X124" s="3">
        <f t="shared" si="46"/>
        <v>4927.6063032999627</v>
      </c>
      <c r="Y124" s="3">
        <f t="shared" si="46"/>
        <v>3202.9440971449758</v>
      </c>
      <c r="Z124" s="3">
        <f t="shared" si="46"/>
        <v>1210.0614158232172</v>
      </c>
      <c r="AA124" s="3">
        <f t="shared" si="46"/>
        <v>9340.611816268156</v>
      </c>
      <c r="AC124" s="13">
        <f t="shared" si="49"/>
        <v>1.2058950284503829</v>
      </c>
    </row>
    <row r="125" spans="16:29">
      <c r="P125">
        <v>2015</v>
      </c>
      <c r="Q125" s="3">
        <f t="shared" si="47"/>
        <v>33442.401408083824</v>
      </c>
      <c r="R125" s="3">
        <f t="shared" si="45"/>
        <v>6688.4802816167648</v>
      </c>
      <c r="S125" s="3">
        <f t="shared" si="45"/>
        <v>4347.512183050897</v>
      </c>
      <c r="T125" s="3">
        <f t="shared" si="45"/>
        <v>665</v>
      </c>
      <c r="U125" s="3">
        <f t="shared" si="45"/>
        <v>10370.992464667663</v>
      </c>
      <c r="V125" s="3"/>
      <c r="W125" s="3">
        <f t="shared" si="48"/>
        <v>25413.451169806074</v>
      </c>
      <c r="X125" s="3">
        <f t="shared" si="46"/>
        <v>5082.6902339612152</v>
      </c>
      <c r="Y125" s="3">
        <f t="shared" si="46"/>
        <v>3303.7486520747898</v>
      </c>
      <c r="Z125" s="3">
        <f t="shared" si="46"/>
        <v>1032.6941557748271</v>
      </c>
      <c r="AA125" s="3">
        <f t="shared" si="46"/>
        <v>9419.1330418108319</v>
      </c>
      <c r="AC125" s="13">
        <f t="shared" si="49"/>
        <v>1.1010559484223863</v>
      </c>
    </row>
    <row r="126" spans="16:29">
      <c r="P126">
        <v>2016</v>
      </c>
      <c r="Q126" s="3">
        <f t="shared" si="47"/>
        <v>34176.214719242322</v>
      </c>
      <c r="R126" s="3">
        <f t="shared" si="45"/>
        <v>6835.2429438484642</v>
      </c>
      <c r="S126" s="3">
        <f t="shared" si="45"/>
        <v>4442.9079135015018</v>
      </c>
      <c r="T126" s="3">
        <f t="shared" si="45"/>
        <v>665</v>
      </c>
      <c r="U126" s="3">
        <f t="shared" si="45"/>
        <v>10613.150857349967</v>
      </c>
      <c r="V126" s="3"/>
      <c r="W126" s="3">
        <f t="shared" si="48"/>
        <v>25999.403514759135</v>
      </c>
      <c r="X126" s="3">
        <f t="shared" si="46"/>
        <v>5199.8807029518266</v>
      </c>
      <c r="Y126" s="3">
        <f t="shared" si="46"/>
        <v>3379.9224569186877</v>
      </c>
      <c r="Z126" s="3">
        <f t="shared" si="46"/>
        <v>991.52131701365204</v>
      </c>
      <c r="AA126" s="3">
        <f t="shared" si="46"/>
        <v>9571.3244768841669</v>
      </c>
      <c r="AC126" s="13">
        <f t="shared" si="49"/>
        <v>1.1088487160770621</v>
      </c>
    </row>
    <row r="127" spans="16:29">
      <c r="P127">
        <v>2017</v>
      </c>
      <c r="Q127" s="3">
        <f t="shared" si="47"/>
        <v>34211.634416058143</v>
      </c>
      <c r="R127" s="3">
        <f t="shared" si="45"/>
        <v>6842.3268832116282</v>
      </c>
      <c r="S127" s="3">
        <f t="shared" si="45"/>
        <v>4447.512474087559</v>
      </c>
      <c r="T127" s="3">
        <f t="shared" si="45"/>
        <v>665</v>
      </c>
      <c r="U127" s="3">
        <f t="shared" si="45"/>
        <v>10624.839357299188</v>
      </c>
      <c r="V127" s="3"/>
      <c r="W127" s="3">
        <f t="shared" si="48"/>
        <v>26021.474162194445</v>
      </c>
      <c r="X127" s="3">
        <f t="shared" si="46"/>
        <v>5204.294832438889</v>
      </c>
      <c r="Y127" s="3">
        <f t="shared" si="46"/>
        <v>3382.7916410852781</v>
      </c>
      <c r="Z127" s="3">
        <f t="shared" si="46"/>
        <v>1046.2807203296909</v>
      </c>
      <c r="AA127" s="3">
        <f t="shared" si="46"/>
        <v>9633.3671938538573</v>
      </c>
      <c r="AC127" s="13">
        <f t="shared" si="49"/>
        <v>1.1029206240656846</v>
      </c>
    </row>
    <row r="128" spans="16:29">
      <c r="P128">
        <v>2018</v>
      </c>
      <c r="Q128" s="3">
        <f t="shared" si="47"/>
        <v>34761.398704488587</v>
      </c>
      <c r="R128" s="3">
        <f t="shared" si="45"/>
        <v>6952.2797408977176</v>
      </c>
      <c r="S128" s="3">
        <f t="shared" si="45"/>
        <v>4518.9818315835164</v>
      </c>
      <c r="T128" s="3">
        <f t="shared" si="45"/>
        <v>665</v>
      </c>
      <c r="U128" s="3">
        <f t="shared" si="45"/>
        <v>10806.261572481235</v>
      </c>
      <c r="V128" s="3"/>
      <c r="W128" s="3">
        <f t="shared" si="48"/>
        <v>25946.044444444444</v>
      </c>
      <c r="X128" s="3">
        <f t="shared" si="46"/>
        <v>5189.2088888888884</v>
      </c>
      <c r="Y128" s="3">
        <f t="shared" si="46"/>
        <v>3372.9857777777779</v>
      </c>
      <c r="Z128" s="3">
        <f t="shared" si="46"/>
        <v>1108.3764867238715</v>
      </c>
      <c r="AA128" s="3">
        <f t="shared" si="46"/>
        <v>9670.5711533905378</v>
      </c>
      <c r="AC128" s="13">
        <f t="shared" si="49"/>
        <v>1.1174377811896374</v>
      </c>
    </row>
    <row r="129" spans="16:29">
      <c r="P129">
        <v>2019</v>
      </c>
      <c r="Q129" s="3">
        <f t="shared" si="47"/>
        <v>35393.926858227154</v>
      </c>
      <c r="R129" s="3">
        <f t="shared" si="45"/>
        <v>7078.785371645431</v>
      </c>
      <c r="S129" s="3">
        <f t="shared" si="45"/>
        <v>4601.2104915695299</v>
      </c>
      <c r="T129" s="3">
        <f t="shared" si="45"/>
        <v>665</v>
      </c>
      <c r="U129" s="3">
        <f t="shared" si="45"/>
        <v>11014.995863214961</v>
      </c>
      <c r="V129" s="3"/>
      <c r="W129" s="3">
        <f t="shared" si="48"/>
        <v>25946.044444444444</v>
      </c>
      <c r="X129" s="3">
        <f t="shared" si="46"/>
        <v>5189.2088888888884</v>
      </c>
      <c r="Y129" s="3">
        <f t="shared" si="46"/>
        <v>3372.9857777777779</v>
      </c>
      <c r="Z129" s="3">
        <f t="shared" si="46"/>
        <v>1052.0606391468159</v>
      </c>
      <c r="AA129" s="3">
        <f t="shared" si="46"/>
        <v>9614.2553058134818</v>
      </c>
      <c r="AC129" s="13">
        <f t="shared" si="49"/>
        <v>1.1456941294823415</v>
      </c>
    </row>
    <row r="130" spans="16:29">
      <c r="P130">
        <v>2020</v>
      </c>
      <c r="Q130" s="3">
        <f t="shared" si="47"/>
        <v>35190.205623285081</v>
      </c>
      <c r="R130" s="3">
        <f t="shared" si="45"/>
        <v>7038.0411246570166</v>
      </c>
      <c r="S130" s="3">
        <f t="shared" si="45"/>
        <v>4574.7267310270609</v>
      </c>
      <c r="T130" s="3">
        <f t="shared" si="45"/>
        <v>665</v>
      </c>
      <c r="U130" s="3">
        <f t="shared" si="45"/>
        <v>10947.767855684076</v>
      </c>
      <c r="V130" s="3"/>
      <c r="W130" s="3">
        <f t="shared" si="48"/>
        <v>25946.044444444444</v>
      </c>
      <c r="X130" s="3">
        <f t="shared" si="46"/>
        <v>5189.2088888888884</v>
      </c>
      <c r="Y130" s="3">
        <f t="shared" si="46"/>
        <v>3372.9857777777779</v>
      </c>
      <c r="Z130" s="3">
        <f t="shared" si="46"/>
        <v>1042.7282587976354</v>
      </c>
      <c r="AA130" s="3">
        <f t="shared" si="46"/>
        <v>9604.9229254643014</v>
      </c>
      <c r="AC130" s="13">
        <f t="shared" si="49"/>
        <v>1.1398079860338768</v>
      </c>
    </row>
    <row r="131" spans="16:29">
      <c r="P131">
        <v>2021</v>
      </c>
      <c r="Q131" s="3">
        <f t="shared" si="47"/>
        <v>34341.749629150945</v>
      </c>
      <c r="R131" s="3">
        <f t="shared" si="45"/>
        <v>6868.349925830189</v>
      </c>
      <c r="S131" s="3">
        <f t="shared" si="45"/>
        <v>4464.4274517896229</v>
      </c>
      <c r="T131" s="3">
        <f t="shared" si="45"/>
        <v>665</v>
      </c>
      <c r="U131" s="3">
        <f t="shared" si="45"/>
        <v>10667.777377619812</v>
      </c>
      <c r="V131" s="3"/>
      <c r="W131" s="3">
        <f t="shared" si="48"/>
        <v>25946.044444444444</v>
      </c>
      <c r="X131" s="3">
        <f t="shared" si="46"/>
        <v>5189.2088888888884</v>
      </c>
      <c r="Y131" s="3">
        <f t="shared" si="46"/>
        <v>3372.9857777777779</v>
      </c>
      <c r="Z131" s="3">
        <f t="shared" si="46"/>
        <v>1064.026929467642</v>
      </c>
      <c r="AA131" s="3">
        <f t="shared" si="46"/>
        <v>9626.2215961343081</v>
      </c>
      <c r="AC131" s="13">
        <f t="shared" si="49"/>
        <v>1.1081998550608654</v>
      </c>
    </row>
    <row r="132" spans="16:29">
      <c r="P132">
        <v>2022</v>
      </c>
      <c r="Q132" s="3">
        <f t="shared" si="47"/>
        <v>34816.228388715346</v>
      </c>
      <c r="R132" s="3">
        <f t="shared" si="45"/>
        <v>6963.2456777430689</v>
      </c>
      <c r="S132" s="3">
        <f t="shared" si="45"/>
        <v>4526.109690532995</v>
      </c>
      <c r="T132" s="3">
        <f t="shared" si="45"/>
        <v>665</v>
      </c>
      <c r="U132" s="3">
        <f t="shared" si="45"/>
        <v>10824.355368276065</v>
      </c>
      <c r="V132" s="3"/>
      <c r="W132" s="3">
        <f t="shared" si="48"/>
        <v>25946.044444444444</v>
      </c>
      <c r="X132" s="3">
        <f t="shared" si="46"/>
        <v>5189.2088888888884</v>
      </c>
      <c r="Y132" s="3">
        <f t="shared" si="46"/>
        <v>3372.9857777777779</v>
      </c>
      <c r="Z132" s="3">
        <f t="shared" si="46"/>
        <v>1076.8041718417066</v>
      </c>
      <c r="AA132" s="3">
        <f t="shared" si="46"/>
        <v>9638.9988385083725</v>
      </c>
      <c r="AC132" s="13">
        <f t="shared" si="49"/>
        <v>1.1229750671856213</v>
      </c>
    </row>
    <row r="133" spans="16:29">
      <c r="P133">
        <v>2023</v>
      </c>
      <c r="Q133" s="3">
        <f t="shared" si="47"/>
        <v>34510.350369616433</v>
      </c>
      <c r="R133" s="3">
        <f t="shared" si="45"/>
        <v>6902.0700739232871</v>
      </c>
      <c r="S133" s="3">
        <f t="shared" si="45"/>
        <v>4486.3455480501361</v>
      </c>
      <c r="T133" s="3">
        <f t="shared" si="45"/>
        <v>665</v>
      </c>
      <c r="U133" s="3">
        <f t="shared" si="45"/>
        <v>10723.415621973423</v>
      </c>
      <c r="V133" s="3"/>
      <c r="W133" s="3">
        <f t="shared" si="48"/>
        <v>25946.044444444444</v>
      </c>
      <c r="X133" s="3">
        <f t="shared" si="46"/>
        <v>5189.2088888888884</v>
      </c>
      <c r="Y133" s="3">
        <f t="shared" si="46"/>
        <v>3372.9857777777779</v>
      </c>
      <c r="Z133" s="3">
        <f t="shared" si="46"/>
        <v>1076.764002706193</v>
      </c>
      <c r="AA133" s="3">
        <f t="shared" si="46"/>
        <v>9638.9586693728597</v>
      </c>
      <c r="AC133" s="13">
        <f t="shared" si="49"/>
        <v>1.1125076877906275</v>
      </c>
    </row>
    <row r="134" spans="16:29">
      <c r="P134">
        <v>2024</v>
      </c>
      <c r="Q134" s="3">
        <f t="shared" si="47"/>
        <v>33327.919598350592</v>
      </c>
      <c r="R134" s="3">
        <f t="shared" si="45"/>
        <v>6665.5839196701181</v>
      </c>
      <c r="S134" s="3">
        <f t="shared" si="45"/>
        <v>4332.6295477855774</v>
      </c>
      <c r="T134" s="3">
        <f t="shared" si="45"/>
        <v>665</v>
      </c>
      <c r="U134" s="3">
        <f t="shared" si="45"/>
        <v>10333.213467455695</v>
      </c>
      <c r="V134" s="3"/>
      <c r="W134" s="3">
        <f t="shared" si="48"/>
        <v>25946.044444444444</v>
      </c>
      <c r="X134" s="3">
        <f t="shared" si="46"/>
        <v>5189.2088888888884</v>
      </c>
      <c r="Y134" s="3">
        <f t="shared" si="46"/>
        <v>3372.9857777777779</v>
      </c>
      <c r="Z134" s="3">
        <f t="shared" si="46"/>
        <v>1068.8832975670005</v>
      </c>
      <c r="AA134" s="3">
        <f t="shared" si="46"/>
        <v>9631.0779642336674</v>
      </c>
      <c r="AC134" s="13">
        <f t="shared" si="49"/>
        <v>1.0729031065711963</v>
      </c>
    </row>
    <row r="135" spans="16:29">
      <c r="P135">
        <v>2025</v>
      </c>
      <c r="Q135" s="3">
        <f t="shared" si="47"/>
        <v>32312.787013730653</v>
      </c>
      <c r="R135" s="3">
        <f t="shared" si="45"/>
        <v>6462.5574027461307</v>
      </c>
      <c r="S135" s="3">
        <f t="shared" si="45"/>
        <v>4200.6623117849849</v>
      </c>
      <c r="T135" s="3">
        <f t="shared" si="45"/>
        <v>665</v>
      </c>
      <c r="U135" s="3">
        <f t="shared" si="45"/>
        <v>9998.2197145311147</v>
      </c>
      <c r="V135" s="3"/>
      <c r="W135" s="3">
        <f t="shared" si="48"/>
        <v>25946.044444444444</v>
      </c>
      <c r="X135" s="3">
        <f t="shared" si="46"/>
        <v>5189.2088888888884</v>
      </c>
      <c r="Y135" s="3">
        <f t="shared" si="46"/>
        <v>3372.9857777777779</v>
      </c>
      <c r="Z135" s="3">
        <f t="shared" si="46"/>
        <v>1072.7040905537424</v>
      </c>
      <c r="AA135" s="3">
        <f t="shared" si="46"/>
        <v>9634.8987572204096</v>
      </c>
      <c r="AC135" s="13">
        <f t="shared" si="49"/>
        <v>1.037708850551069</v>
      </c>
    </row>
    <row r="136" spans="16:29">
      <c r="P136">
        <v>2026</v>
      </c>
      <c r="Q136" s="3">
        <f t="shared" si="47"/>
        <v>31734.472294460887</v>
      </c>
      <c r="R136" s="3">
        <f t="shared" si="45"/>
        <v>6346.8944588921777</v>
      </c>
      <c r="S136" s="3">
        <f t="shared" si="45"/>
        <v>4125.4813982799151</v>
      </c>
      <c r="T136" s="3">
        <f t="shared" si="45"/>
        <v>665</v>
      </c>
      <c r="U136" s="3">
        <f t="shared" si="45"/>
        <v>9807.3758571720937</v>
      </c>
      <c r="V136" s="3"/>
      <c r="W136" s="3">
        <f t="shared" si="48"/>
        <v>25946.044444444444</v>
      </c>
      <c r="X136" s="3">
        <f t="shared" si="46"/>
        <v>5189.2088888888884</v>
      </c>
      <c r="Y136" s="3">
        <f t="shared" si="46"/>
        <v>3372.9857777777779</v>
      </c>
      <c r="Z136" s="3">
        <f t="shared" si="46"/>
        <v>1087.1489506660882</v>
      </c>
      <c r="AA136" s="3">
        <f t="shared" si="46"/>
        <v>9649.3436173327536</v>
      </c>
      <c r="AC136" s="13">
        <f t="shared" si="49"/>
        <v>1.0163775118916352</v>
      </c>
    </row>
    <row r="137" spans="16:29">
      <c r="P137">
        <v>2027</v>
      </c>
      <c r="Q137" s="3">
        <f t="shared" si="47"/>
        <v>31156.157575191122</v>
      </c>
      <c r="R137" s="3">
        <f t="shared" si="45"/>
        <v>6231.2315150382246</v>
      </c>
      <c r="S137" s="3">
        <f t="shared" si="45"/>
        <v>4050.3004847748462</v>
      </c>
      <c r="T137" s="3">
        <f t="shared" si="45"/>
        <v>665</v>
      </c>
      <c r="U137" s="3">
        <f t="shared" si="45"/>
        <v>9616.5319998130708</v>
      </c>
      <c r="V137" s="3"/>
      <c r="W137" s="3">
        <f t="shared" si="48"/>
        <v>25946.044444444444</v>
      </c>
      <c r="X137" s="3">
        <f t="shared" si="46"/>
        <v>5189.2088888888884</v>
      </c>
      <c r="Y137" s="3">
        <f t="shared" si="46"/>
        <v>3372.9857777777779</v>
      </c>
      <c r="Z137" s="3">
        <f t="shared" si="46"/>
        <v>1089.1754202411501</v>
      </c>
      <c r="AA137" s="3">
        <f t="shared" si="46"/>
        <v>9651.3700869078166</v>
      </c>
      <c r="AC137" s="13">
        <f t="shared" si="49"/>
        <v>0.99639034802509496</v>
      </c>
    </row>
    <row r="138" spans="16:29">
      <c r="P138">
        <v>2028</v>
      </c>
      <c r="Q138" s="3">
        <f t="shared" si="47"/>
        <v>30505.553516012631</v>
      </c>
      <c r="R138" s="3">
        <f t="shared" si="47"/>
        <v>6101.1107032025266</v>
      </c>
      <c r="S138" s="3">
        <f t="shared" si="47"/>
        <v>3965.7219570816424</v>
      </c>
      <c r="T138" s="3">
        <f t="shared" si="47"/>
        <v>665</v>
      </c>
      <c r="U138" s="3">
        <f t="shared" si="47"/>
        <v>9401.8326602841698</v>
      </c>
      <c r="V138" s="3"/>
      <c r="W138" s="3">
        <f t="shared" si="48"/>
        <v>25946.044444444444</v>
      </c>
      <c r="X138" s="3">
        <f t="shared" si="48"/>
        <v>5189.2088888888884</v>
      </c>
      <c r="Y138" s="3">
        <f t="shared" si="48"/>
        <v>3372.9857777777779</v>
      </c>
      <c r="Z138" s="3">
        <f t="shared" si="48"/>
        <v>1086.4079329508179</v>
      </c>
      <c r="AA138" s="3">
        <f t="shared" si="48"/>
        <v>9648.6025996174849</v>
      </c>
      <c r="AC138" s="13">
        <f t="shared" si="49"/>
        <v>0.97442428198430531</v>
      </c>
    </row>
    <row r="139" spans="16:29">
      <c r="P139">
        <v>2029</v>
      </c>
      <c r="Q139" s="3">
        <f t="shared" ref="Q139:U140" si="50">B101</f>
        <v>29927.238796742866</v>
      </c>
      <c r="R139" s="3">
        <f t="shared" si="50"/>
        <v>5985.4477593485735</v>
      </c>
      <c r="S139" s="3">
        <f t="shared" si="50"/>
        <v>3890.5410435765725</v>
      </c>
      <c r="T139" s="3">
        <f t="shared" si="50"/>
        <v>665</v>
      </c>
      <c r="U139" s="3">
        <f t="shared" si="50"/>
        <v>9210.9888029251451</v>
      </c>
      <c r="V139" s="3"/>
      <c r="W139" s="3">
        <f t="shared" ref="W139:AA140" si="51">J101</f>
        <v>25946.044444444444</v>
      </c>
      <c r="X139" s="3">
        <f t="shared" si="51"/>
        <v>5189.2088888888884</v>
      </c>
      <c r="Y139" s="3">
        <f t="shared" si="51"/>
        <v>3372.9857777777779</v>
      </c>
      <c r="Z139" s="3">
        <f t="shared" si="51"/>
        <v>1086.4095702532518</v>
      </c>
      <c r="AA139" s="3">
        <f t="shared" si="51"/>
        <v>9648.6042369199185</v>
      </c>
      <c r="AC139" s="13">
        <f t="shared" si="49"/>
        <v>0.95464469023195508</v>
      </c>
    </row>
    <row r="140" spans="16:29">
      <c r="P140">
        <v>2030</v>
      </c>
      <c r="Q140" s="3">
        <f t="shared" si="50"/>
        <v>29276.634737564382</v>
      </c>
      <c r="R140" s="3">
        <f t="shared" si="50"/>
        <v>5855.3269475128764</v>
      </c>
      <c r="S140" s="3">
        <f t="shared" si="50"/>
        <v>3805.9625158833696</v>
      </c>
      <c r="T140" s="3">
        <f t="shared" si="50"/>
        <v>665</v>
      </c>
      <c r="U140" s="3">
        <f t="shared" si="50"/>
        <v>8996.289463396246</v>
      </c>
      <c r="V140" s="3"/>
      <c r="W140" s="3">
        <f t="shared" si="51"/>
        <v>25946.044444444444</v>
      </c>
      <c r="X140" s="3">
        <f t="shared" si="51"/>
        <v>5189.2088888888884</v>
      </c>
      <c r="Y140" s="3">
        <f t="shared" si="51"/>
        <v>3372.9857777777779</v>
      </c>
      <c r="Z140" s="3">
        <f t="shared" si="51"/>
        <v>1083.797589509029</v>
      </c>
      <c r="AA140" s="3">
        <f t="shared" si="51"/>
        <v>9645.9922561756957</v>
      </c>
      <c r="AC140" s="13">
        <f t="shared" si="49"/>
        <v>0.93264531263090245</v>
      </c>
    </row>
  </sheetData>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3" sqref="A3:G20"/>
    </sheetView>
  </sheetViews>
  <sheetFormatPr defaultRowHeight="15"/>
  <cols>
    <col min="1" max="1" width="18.140625" customWidth="1"/>
    <col min="2" max="7" width="13" customWidth="1"/>
  </cols>
  <sheetData>
    <row r="1" spans="1:7">
      <c r="A1" t="s">
        <v>148</v>
      </c>
    </row>
    <row r="2" spans="1:7" ht="15.75" thickBot="1"/>
    <row r="3" spans="1:7">
      <c r="A3" s="44" t="s">
        <v>149</v>
      </c>
      <c r="B3" s="44"/>
    </row>
    <row r="4" spans="1:7">
      <c r="A4" s="41" t="s">
        <v>150</v>
      </c>
      <c r="B4" s="41">
        <v>0.99774188342795822</v>
      </c>
    </row>
    <row r="5" spans="1:7">
      <c r="A5" s="41" t="s">
        <v>151</v>
      </c>
      <c r="B5" s="41">
        <v>0.99548886594636943</v>
      </c>
    </row>
    <row r="6" spans="1:7">
      <c r="A6" s="41" t="s">
        <v>152</v>
      </c>
      <c r="B6" s="41">
        <v>0.99097773189273874</v>
      </c>
    </row>
    <row r="7" spans="1:7">
      <c r="A7" s="41" t="s">
        <v>153</v>
      </c>
      <c r="B7" s="41">
        <v>5.3699125023769424E-2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3</v>
      </c>
      <c r="C12" s="41">
        <v>1.909001842519813</v>
      </c>
      <c r="D12" s="41">
        <v>0.63633394750660432</v>
      </c>
      <c r="E12" s="41">
        <v>220.67374946333419</v>
      </c>
      <c r="F12" s="41">
        <v>5.1367547752144535E-4</v>
      </c>
    </row>
    <row r="13" spans="1:7">
      <c r="A13" s="41" t="s">
        <v>157</v>
      </c>
      <c r="B13" s="41">
        <v>3</v>
      </c>
      <c r="C13" s="41">
        <v>8.6507880849552576E-3</v>
      </c>
      <c r="D13" s="41">
        <v>2.8835960283184192E-3</v>
      </c>
      <c r="E13" s="41"/>
      <c r="F13" s="41"/>
    </row>
    <row r="14" spans="1:7" ht="15.75" thickBot="1">
      <c r="A14" s="42" t="s">
        <v>158</v>
      </c>
      <c r="B14" s="42">
        <v>6</v>
      </c>
      <c r="C14" s="42">
        <v>1.9176526306047683</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-5.70907477020938</v>
      </c>
      <c r="C17" s="41">
        <v>8.8770332346869152E-2</v>
      </c>
      <c r="D17" s="41">
        <v>-64.312869167834464</v>
      </c>
      <c r="E17" s="41">
        <v>8.2832204664645392E-6</v>
      </c>
      <c r="F17" s="41">
        <v>-5.9915815864054807</v>
      </c>
      <c r="G17" s="41">
        <v>-5.4265679540132794</v>
      </c>
    </row>
    <row r="18" spans="1:7">
      <c r="A18" s="41" t="s">
        <v>329</v>
      </c>
      <c r="B18" s="41">
        <v>0.23827831203413002</v>
      </c>
      <c r="C18" s="41">
        <v>1.410208110911885E-2</v>
      </c>
      <c r="D18" s="41">
        <v>16.896677177672149</v>
      </c>
      <c r="E18" s="41">
        <v>4.5145816191682653E-4</v>
      </c>
      <c r="F18" s="41">
        <v>0.19339919611160356</v>
      </c>
      <c r="G18" s="41">
        <v>0.28315742795665649</v>
      </c>
    </row>
    <row r="19" spans="1:7">
      <c r="A19" s="41" t="s">
        <v>1323</v>
      </c>
      <c r="B19" s="41">
        <v>0.30870938796794306</v>
      </c>
      <c r="C19" s="41">
        <v>5.108964256439058E-2</v>
      </c>
      <c r="D19" s="41">
        <v>6.0425043604261415</v>
      </c>
      <c r="E19" s="41">
        <v>9.0902244688182369E-3</v>
      </c>
      <c r="F19" s="41">
        <v>0.14611934375063293</v>
      </c>
      <c r="G19" s="41">
        <v>0.47129943218525316</v>
      </c>
    </row>
    <row r="20" spans="1:7" ht="15.75" thickBot="1">
      <c r="A20" s="42" t="s">
        <v>1291</v>
      </c>
      <c r="B20" s="42">
        <v>0.39276543905768274</v>
      </c>
      <c r="C20" s="42">
        <v>7.3445988725535746E-2</v>
      </c>
      <c r="D20" s="42">
        <v>5.3476771961696778</v>
      </c>
      <c r="E20" s="42">
        <v>1.278902332610187E-2</v>
      </c>
      <c r="F20" s="42">
        <v>0.15902752360019254</v>
      </c>
      <c r="G20" s="42">
        <v>0.62650335451517292</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2" width="12.5703125" customWidth="1"/>
    <col min="3" max="3" width="17.7109375" customWidth="1"/>
    <col min="4" max="12" width="12.5703125" customWidth="1"/>
  </cols>
  <sheetData>
    <row r="1" spans="1:36">
      <c r="P1" s="14"/>
      <c r="R1" s="236" t="s">
        <v>1318</v>
      </c>
      <c r="S1" s="236"/>
      <c r="T1" s="236"/>
      <c r="U1" s="236"/>
      <c r="W1" s="236" t="s">
        <v>1318</v>
      </c>
      <c r="X1" s="236"/>
      <c r="Y1" s="236"/>
      <c r="Z1" s="236"/>
    </row>
    <row r="2" spans="1:36">
      <c r="B2" t="s">
        <v>249</v>
      </c>
      <c r="C2" t="s">
        <v>282</v>
      </c>
      <c r="L2" t="s">
        <v>282</v>
      </c>
      <c r="S2" t="s">
        <v>1172</v>
      </c>
      <c r="X2" t="s">
        <v>1184</v>
      </c>
      <c r="AB2" t="s">
        <v>960</v>
      </c>
    </row>
    <row r="3" spans="1:36">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1343</v>
      </c>
      <c r="AE3" t="s">
        <v>1296</v>
      </c>
      <c r="AF3" t="s">
        <v>943</v>
      </c>
      <c r="AH3" t="s">
        <v>329</v>
      </c>
      <c r="AI3" t="s">
        <v>1323</v>
      </c>
      <c r="AJ3" t="s">
        <v>1291</v>
      </c>
    </row>
    <row r="4" spans="1:36">
      <c r="A4">
        <v>2009</v>
      </c>
      <c r="B4" s="13">
        <f>'EV %sales'!W67</f>
        <v>1.5372168284789645E-2</v>
      </c>
      <c r="C4" s="20"/>
      <c r="D4" s="13"/>
      <c r="E4" s="13"/>
      <c r="F4" s="84"/>
      <c r="G4" s="84"/>
      <c r="H4" s="84"/>
      <c r="I4" s="13"/>
      <c r="J4" s="13"/>
      <c r="K4" s="13"/>
      <c r="L4" s="13"/>
      <c r="M4" s="13"/>
      <c r="N4" s="13"/>
      <c r="O4" s="13"/>
      <c r="P4" s="13"/>
      <c r="R4">
        <v>2009</v>
      </c>
      <c r="W4">
        <v>2009</v>
      </c>
      <c r="AB4" s="13"/>
      <c r="AC4" s="13"/>
    </row>
    <row r="5" spans="1:36">
      <c r="A5">
        <v>2010</v>
      </c>
      <c r="B5" s="13">
        <f>'EV %sales'!W68</f>
        <v>1.2496929588413098E-2</v>
      </c>
      <c r="C5" s="20"/>
      <c r="D5" s="13"/>
      <c r="E5" s="13"/>
      <c r="F5" s="230"/>
      <c r="G5" s="230"/>
      <c r="H5" s="230"/>
      <c r="I5" s="13"/>
      <c r="J5" s="13"/>
      <c r="K5" s="13"/>
      <c r="L5" s="13"/>
      <c r="M5" s="13"/>
      <c r="N5" s="13"/>
      <c r="O5" s="13"/>
      <c r="P5" s="13"/>
      <c r="R5">
        <v>2010</v>
      </c>
      <c r="W5">
        <v>2010</v>
      </c>
      <c r="AB5" s="13">
        <f>65*EXP(AE5)/(1+EXP(AE5))</f>
        <v>0.27236607887944386</v>
      </c>
      <c r="AC5" s="13"/>
      <c r="AD5" s="33">
        <f t="shared" ref="AD5:AD13" si="0">LN(B5/(65-B5))</f>
        <v>-8.5564672887295625</v>
      </c>
      <c r="AE5" s="33">
        <f t="shared" ref="AE5:AE50" si="1">AE$56+AE$57*AH5+AE$58*AI5+AE$59*AJ5</f>
        <v>-5.4707964581752497</v>
      </c>
      <c r="AF5" s="33">
        <f t="shared" ref="AF5:AF50" si="2">AE$56+AE$57*AH5</f>
        <v>-5.4707964581752497</v>
      </c>
      <c r="AH5">
        <v>1</v>
      </c>
      <c r="AI5">
        <v>0</v>
      </c>
      <c r="AJ5">
        <v>0</v>
      </c>
    </row>
    <row r="6" spans="1:36">
      <c r="A6">
        <v>2011</v>
      </c>
      <c r="B6" s="13">
        <f>'EV %sales'!W69</f>
        <v>0.16820182853317761</v>
      </c>
      <c r="C6" s="20"/>
      <c r="D6" s="13"/>
      <c r="E6" s="13"/>
      <c r="F6" s="230"/>
      <c r="G6" s="230"/>
      <c r="H6" s="230"/>
      <c r="I6" s="13"/>
      <c r="J6" s="13"/>
      <c r="K6" s="13"/>
      <c r="L6" s="13"/>
      <c r="M6" s="13"/>
      <c r="N6" s="13"/>
      <c r="O6" s="13"/>
      <c r="P6" s="13"/>
      <c r="R6">
        <v>2011</v>
      </c>
      <c r="W6">
        <v>2011</v>
      </c>
      <c r="AB6" s="13">
        <f t="shared" ref="AB6:AB50" si="3">65*EXP(AE6)/(1+EXP(AE6))</f>
        <v>0.3452602736585953</v>
      </c>
      <c r="AC6" s="13"/>
      <c r="AD6" s="33">
        <f t="shared" si="0"/>
        <v>-5.9543868558390578</v>
      </c>
      <c r="AE6" s="33">
        <f t="shared" si="1"/>
        <v>-5.2325181461411203</v>
      </c>
      <c r="AF6" s="33">
        <f t="shared" si="2"/>
        <v>-5.2325181461411203</v>
      </c>
      <c r="AH6">
        <v>2</v>
      </c>
      <c r="AI6">
        <v>0</v>
      </c>
      <c r="AJ6">
        <v>0</v>
      </c>
    </row>
    <row r="7" spans="1:36">
      <c r="A7">
        <v>2012</v>
      </c>
      <c r="B7" s="13">
        <f>'EV %sales'!W70</f>
        <v>0.44224870675064742</v>
      </c>
      <c r="C7" s="13">
        <f t="shared" ref="C7:C13" si="4">D7</f>
        <v>0.43753150028238091</v>
      </c>
      <c r="D7" s="84">
        <f t="shared" ref="D7:D49" si="5">65*EXP(E7)/(1+EXP(E7))</f>
        <v>0.43753150028238091</v>
      </c>
      <c r="E7" s="84">
        <f>J7-SUM(F$7:F7)</f>
        <v>-4.99423983410699</v>
      </c>
      <c r="F7" s="13">
        <f>I7*G7</f>
        <v>0</v>
      </c>
      <c r="G7" s="13">
        <f>IF(H7&lt;0,0,H7)</f>
        <v>1</v>
      </c>
      <c r="H7" s="13">
        <v>1</v>
      </c>
      <c r="I7" s="13">
        <v>0</v>
      </c>
      <c r="J7" s="13">
        <f t="shared" ref="J7:J47" si="6">LN(L7/(65-L7))</f>
        <v>-4.99423983410699</v>
      </c>
      <c r="K7" s="13"/>
      <c r="L7" s="84">
        <f t="shared" ref="L7:L14" si="7">M7</f>
        <v>0.43753150028238091</v>
      </c>
      <c r="M7" s="13">
        <f>AB7</f>
        <v>0.43753150028238091</v>
      </c>
      <c r="N7" s="13">
        <f t="shared" ref="N7:N50" si="8">A7-(O7-O$11)</f>
        <v>2012.5096962636694</v>
      </c>
      <c r="O7" s="13">
        <f t="shared" ref="O7:O50" si="9">M$56+M$57*P7+M$68*1</f>
        <v>2017.099858186273</v>
      </c>
      <c r="P7" s="13">
        <f>1/USA!R84</f>
        <v>0.82210720333887222</v>
      </c>
      <c r="R7">
        <v>2012</v>
      </c>
      <c r="S7" s="13">
        <v>0.43753150028238091</v>
      </c>
      <c r="T7" s="13">
        <v>0.43753150028238091</v>
      </c>
      <c r="U7" s="13">
        <v>0.43753150028238091</v>
      </c>
      <c r="W7">
        <v>2012</v>
      </c>
      <c r="X7" s="13">
        <v>0.43753150028238091</v>
      </c>
      <c r="Y7" s="13">
        <f>T7</f>
        <v>0.43753150028238091</v>
      </c>
      <c r="Z7" s="13">
        <v>0.43753150028238091</v>
      </c>
      <c r="AB7" s="13">
        <f t="shared" si="3"/>
        <v>0.43753150028238091</v>
      </c>
      <c r="AC7" s="13"/>
      <c r="AD7" s="33">
        <f t="shared" si="0"/>
        <v>-4.9834430622817418</v>
      </c>
      <c r="AE7" s="33">
        <f t="shared" si="1"/>
        <v>-4.99423983410699</v>
      </c>
      <c r="AF7" s="33">
        <f t="shared" si="2"/>
        <v>-4.99423983410699</v>
      </c>
      <c r="AH7">
        <v>3</v>
      </c>
      <c r="AI7">
        <v>0</v>
      </c>
      <c r="AJ7">
        <v>0</v>
      </c>
    </row>
    <row r="8" spans="1:36">
      <c r="A8">
        <v>2013</v>
      </c>
      <c r="B8" s="13">
        <f>'EV %sales'!W71</f>
        <v>0.78405356666940451</v>
      </c>
      <c r="C8" s="13">
        <f t="shared" si="4"/>
        <v>0.75238469235392802</v>
      </c>
      <c r="D8" s="84">
        <f t="shared" si="5"/>
        <v>0.75238469235392802</v>
      </c>
      <c r="E8" s="84">
        <f>J8-SUM(F$7:F8)</f>
        <v>-4.4472521341049163</v>
      </c>
      <c r="F8" s="13">
        <f t="shared" ref="F8:F50" si="10">I8*G8</f>
        <v>0</v>
      </c>
      <c r="G8" s="13">
        <f t="shared" ref="G8:G50" si="11">IF(H8&lt;0,0,H8)</f>
        <v>1</v>
      </c>
      <c r="H8" s="13">
        <v>1</v>
      </c>
      <c r="I8" s="13">
        <v>0</v>
      </c>
      <c r="J8" s="13">
        <f t="shared" si="6"/>
        <v>-4.4472521341049163</v>
      </c>
      <c r="K8" s="13"/>
      <c r="L8" s="84">
        <f t="shared" si="7"/>
        <v>0.75238469235392802</v>
      </c>
      <c r="M8" s="13">
        <f t="shared" ref="M8:M50" si="12">LOOKUP(ROUND(N8,0),A$4:A$50,AB$4:AB$50)</f>
        <v>0.75238469235392802</v>
      </c>
      <c r="N8" s="13">
        <f t="shared" si="8"/>
        <v>2013.2619126537725</v>
      </c>
      <c r="O8" s="13">
        <f t="shared" si="9"/>
        <v>2017.3476417961699</v>
      </c>
      <c r="P8" s="13">
        <f>1/USA!R85</f>
        <v>0.84508437443713846</v>
      </c>
      <c r="R8">
        <v>2013</v>
      </c>
      <c r="S8" s="13">
        <v>0.75238469235392802</v>
      </c>
      <c r="T8" s="13">
        <v>0.75238469235392802</v>
      </c>
      <c r="U8" s="13">
        <v>0.75238469235392802</v>
      </c>
      <c r="W8">
        <v>2013</v>
      </c>
      <c r="X8" s="13">
        <v>0.75238469235392802</v>
      </c>
      <c r="Y8" s="13">
        <f t="shared" ref="Y8:Y45" si="13">T8</f>
        <v>0.75238469235392802</v>
      </c>
      <c r="Z8" s="13">
        <v>0.75238469235392802</v>
      </c>
      <c r="AB8" s="13">
        <f t="shared" si="3"/>
        <v>0.75238469235392802</v>
      </c>
      <c r="AC8" s="13"/>
      <c r="AD8" s="33">
        <f t="shared" si="0"/>
        <v>-4.4055295027973616</v>
      </c>
      <c r="AE8" s="33">
        <f t="shared" si="1"/>
        <v>-4.4472521341049163</v>
      </c>
      <c r="AF8" s="33">
        <f t="shared" si="2"/>
        <v>-4.7559615220728597</v>
      </c>
      <c r="AH8">
        <v>4</v>
      </c>
      <c r="AI8">
        <v>1</v>
      </c>
      <c r="AJ8">
        <v>0</v>
      </c>
    </row>
    <row r="9" spans="1:36">
      <c r="A9">
        <v>2014</v>
      </c>
      <c r="B9" s="13">
        <f>'EV %sales'!W72</f>
        <v>0.91350827091065279</v>
      </c>
      <c r="C9" s="13">
        <f t="shared" si="4"/>
        <v>0.75238469235392802</v>
      </c>
      <c r="D9" s="84">
        <f t="shared" si="5"/>
        <v>0.75238469235392802</v>
      </c>
      <c r="E9" s="84">
        <f>J9-SUM(F$7:F9)</f>
        <v>-4.4472521341049163</v>
      </c>
      <c r="F9" s="13">
        <f t="shared" si="10"/>
        <v>0</v>
      </c>
      <c r="G9" s="13">
        <f t="shared" si="11"/>
        <v>1</v>
      </c>
      <c r="H9" s="13">
        <v>1</v>
      </c>
      <c r="I9" s="13">
        <v>0</v>
      </c>
      <c r="J9" s="13">
        <f t="shared" si="6"/>
        <v>-4.4472521341049163</v>
      </c>
      <c r="K9" s="13"/>
      <c r="L9" s="84">
        <f t="shared" si="7"/>
        <v>0.75238469235392802</v>
      </c>
      <c r="M9" s="13">
        <f t="shared" si="12"/>
        <v>0.75238469235392802</v>
      </c>
      <c r="N9" s="13">
        <f t="shared" si="8"/>
        <v>2013.1473441354051</v>
      </c>
      <c r="O9" s="13">
        <f t="shared" si="9"/>
        <v>2018.4622103145373</v>
      </c>
      <c r="P9" s="13">
        <f>1/USA!R86</f>
        <v>0.94843919906789054</v>
      </c>
      <c r="R9">
        <v>2014</v>
      </c>
      <c r="S9" s="13">
        <v>0.75238469235392802</v>
      </c>
      <c r="T9" s="13">
        <v>0.75238469235392802</v>
      </c>
      <c r="U9" s="13">
        <v>0.75238469235392802</v>
      </c>
      <c r="W9">
        <v>2014</v>
      </c>
      <c r="X9" s="13">
        <v>0.75238469235392802</v>
      </c>
      <c r="Y9" s="13">
        <f t="shared" si="13"/>
        <v>0.75238469235392802</v>
      </c>
      <c r="Z9" s="13">
        <v>0.75238469235392802</v>
      </c>
      <c r="AB9" s="13">
        <f t="shared" si="3"/>
        <v>0.95185857423565579</v>
      </c>
      <c r="AC9" s="13"/>
      <c r="AD9" s="33">
        <f t="shared" si="0"/>
        <v>-4.2506964533783416</v>
      </c>
      <c r="AE9" s="33">
        <f t="shared" si="1"/>
        <v>-4.208973822070786</v>
      </c>
      <c r="AF9" s="33">
        <f t="shared" si="2"/>
        <v>-4.5176832100387294</v>
      </c>
      <c r="AH9">
        <v>5</v>
      </c>
      <c r="AI9">
        <v>1</v>
      </c>
      <c r="AJ9">
        <v>0</v>
      </c>
    </row>
    <row r="10" spans="1:36">
      <c r="A10">
        <v>2015</v>
      </c>
      <c r="B10" s="13">
        <f>'EV %sales'!W73</f>
        <v>0.83582354236066314</v>
      </c>
      <c r="C10" s="13">
        <f t="shared" si="4"/>
        <v>0.88800892679070453</v>
      </c>
      <c r="D10" s="84">
        <f t="shared" si="5"/>
        <v>0.88800892679070453</v>
      </c>
      <c r="E10" s="84">
        <f>J10-SUM(F$7:F10)</f>
        <v>-4.2794048980046</v>
      </c>
      <c r="F10" s="13">
        <f t="shared" si="10"/>
        <v>0</v>
      </c>
      <c r="G10" s="13">
        <f t="shared" si="11"/>
        <v>1</v>
      </c>
      <c r="H10" s="13">
        <v>1</v>
      </c>
      <c r="I10" s="13">
        <v>0</v>
      </c>
      <c r="J10" s="13">
        <f t="shared" si="6"/>
        <v>-4.2794048980046</v>
      </c>
      <c r="K10" s="13"/>
      <c r="L10" s="84">
        <f t="shared" si="7"/>
        <v>0.88800892679070453</v>
      </c>
      <c r="M10" s="13">
        <f t="shared" si="12"/>
        <v>0.88800892679070453</v>
      </c>
      <c r="N10" s="13">
        <f t="shared" si="8"/>
        <v>2015.1688428152754</v>
      </c>
      <c r="O10" s="13">
        <f t="shared" si="9"/>
        <v>2017.440711634667</v>
      </c>
      <c r="P10" s="13">
        <f>1/USA!R87</f>
        <v>0.8537148145381892</v>
      </c>
      <c r="R10">
        <v>2015</v>
      </c>
      <c r="S10" s="13">
        <v>0.88800892679070453</v>
      </c>
      <c r="T10" s="13">
        <v>0.88800892679070453</v>
      </c>
      <c r="U10" s="13">
        <v>0.88800892679070453</v>
      </c>
      <c r="W10">
        <v>2015</v>
      </c>
      <c r="X10" s="13">
        <v>0.88800892679070453</v>
      </c>
      <c r="Y10" s="13">
        <f t="shared" si="13"/>
        <v>0.88800892679070453</v>
      </c>
      <c r="Z10" s="13">
        <v>0.88800892679070453</v>
      </c>
      <c r="AB10" s="13">
        <f t="shared" si="3"/>
        <v>0.88800892679070453</v>
      </c>
      <c r="AC10" s="13"/>
      <c r="AD10" s="33">
        <f t="shared" si="0"/>
        <v>-4.3407828177621823</v>
      </c>
      <c r="AE10" s="33">
        <f t="shared" si="1"/>
        <v>-4.2794048980046</v>
      </c>
      <c r="AF10" s="33">
        <f t="shared" si="2"/>
        <v>-4.2794048980046</v>
      </c>
      <c r="AH10">
        <v>6</v>
      </c>
      <c r="AI10">
        <v>0</v>
      </c>
      <c r="AJ10">
        <v>0</v>
      </c>
    </row>
    <row r="11" spans="1:36">
      <c r="A11">
        <v>2016</v>
      </c>
      <c r="B11" s="13">
        <f>'EV %sales'!W74</f>
        <v>1.1530510994799494</v>
      </c>
      <c r="C11" s="13">
        <f t="shared" si="4"/>
        <v>1.1228114078567422</v>
      </c>
      <c r="D11" s="84">
        <f t="shared" si="5"/>
        <v>1.1228114078567422</v>
      </c>
      <c r="E11" s="84">
        <f>J11-SUM(F$7:F11)</f>
        <v>-4.0411265859704697</v>
      </c>
      <c r="F11" s="13">
        <f t="shared" si="10"/>
        <v>0</v>
      </c>
      <c r="G11" s="13">
        <f t="shared" si="11"/>
        <v>1</v>
      </c>
      <c r="H11" s="13">
        <v>1</v>
      </c>
      <c r="I11" s="13">
        <v>0</v>
      </c>
      <c r="J11" s="13">
        <f t="shared" si="6"/>
        <v>-4.0411265859704697</v>
      </c>
      <c r="K11" s="13"/>
      <c r="L11" s="84">
        <f t="shared" si="7"/>
        <v>1.1228114078567422</v>
      </c>
      <c r="M11" s="13">
        <f t="shared" si="12"/>
        <v>1.1228114078567422</v>
      </c>
      <c r="N11" s="13">
        <f t="shared" si="8"/>
        <v>2016</v>
      </c>
      <c r="O11" s="13">
        <f t="shared" si="9"/>
        <v>2017.6095544499424</v>
      </c>
      <c r="P11" s="13">
        <f>1/USA!R88</f>
        <v>0.86937174300455911</v>
      </c>
      <c r="R11">
        <v>2016</v>
      </c>
      <c r="S11" s="13">
        <v>1.1228114078567422</v>
      </c>
      <c r="T11" s="13">
        <v>1.1228114078567422</v>
      </c>
      <c r="U11" s="13">
        <v>1.1228114078567422</v>
      </c>
      <c r="W11">
        <v>2016</v>
      </c>
      <c r="X11" s="13">
        <v>1.1228114078567422</v>
      </c>
      <c r="Y11" s="13">
        <f t="shared" si="13"/>
        <v>1.1228114078567422</v>
      </c>
      <c r="Z11" s="13">
        <v>1.1228114078567422</v>
      </c>
      <c r="AB11" s="13">
        <f t="shared" si="3"/>
        <v>1.1228114078567422</v>
      </c>
      <c r="AC11" s="13"/>
      <c r="AD11" s="33">
        <f t="shared" si="0"/>
        <v>-4.0140772368890962</v>
      </c>
      <c r="AE11" s="33">
        <f t="shared" si="1"/>
        <v>-4.0411265859704697</v>
      </c>
      <c r="AF11" s="33">
        <f t="shared" si="2"/>
        <v>-4.0411265859704697</v>
      </c>
      <c r="AH11">
        <v>7</v>
      </c>
      <c r="AI11">
        <v>0</v>
      </c>
      <c r="AJ11">
        <v>0</v>
      </c>
    </row>
    <row r="12" spans="1:36">
      <c r="A12">
        <v>2017</v>
      </c>
      <c r="B12" s="13">
        <f>'EV %sales'!W75</f>
        <v>1.4513430776109104</v>
      </c>
      <c r="C12" s="13">
        <f t="shared" si="4"/>
        <v>1.4183255938840109</v>
      </c>
      <c r="D12" s="84">
        <f>65*EXP(E12)/(1+EXP(E12))</f>
        <v>1.4183255938840109</v>
      </c>
      <c r="E12" s="84">
        <f>J12-SUM(F$7:F12)</f>
        <v>-3.8028482739363398</v>
      </c>
      <c r="F12" s="13">
        <f t="shared" si="10"/>
        <v>0</v>
      </c>
      <c r="G12" s="13">
        <f t="shared" si="11"/>
        <v>1</v>
      </c>
      <c r="H12" s="13">
        <v>1</v>
      </c>
      <c r="I12" s="13">
        <v>0</v>
      </c>
      <c r="J12" s="13">
        <f t="shared" si="6"/>
        <v>-3.8028482739363398</v>
      </c>
      <c r="K12" s="13"/>
      <c r="L12" s="84">
        <f t="shared" si="7"/>
        <v>1.4183255938840109</v>
      </c>
      <c r="M12" s="13">
        <f t="shared" si="12"/>
        <v>1.4183255938840109</v>
      </c>
      <c r="N12" s="13">
        <f t="shared" si="8"/>
        <v>2016.9920000457676</v>
      </c>
      <c r="O12" s="13">
        <f t="shared" si="9"/>
        <v>2017.6175544041748</v>
      </c>
      <c r="P12" s="13">
        <f>1/USA!R89</f>
        <v>0.87011358511934311</v>
      </c>
      <c r="R12">
        <v>2017</v>
      </c>
      <c r="S12" s="13">
        <v>1.4183255938840109</v>
      </c>
      <c r="T12" s="13">
        <v>1.4183255938840109</v>
      </c>
      <c r="U12" s="13">
        <v>1.4183255938840109</v>
      </c>
      <c r="W12">
        <v>2017</v>
      </c>
      <c r="X12" s="13">
        <v>1.4183255938840109</v>
      </c>
      <c r="Y12" s="13">
        <f t="shared" si="13"/>
        <v>1.4183255938840109</v>
      </c>
      <c r="Z12" s="13">
        <v>1.4183255938840109</v>
      </c>
      <c r="AB12" s="13">
        <f t="shared" si="3"/>
        <v>1.4183255938840109</v>
      </c>
      <c r="AC12" s="13"/>
      <c r="AD12" s="33">
        <f t="shared" si="0"/>
        <v>-3.7793164750853769</v>
      </c>
      <c r="AE12" s="33">
        <f t="shared" si="1"/>
        <v>-3.8028482739363398</v>
      </c>
      <c r="AF12" s="33">
        <f t="shared" si="2"/>
        <v>-3.8028482739363398</v>
      </c>
      <c r="AH12">
        <v>8</v>
      </c>
      <c r="AI12">
        <v>0</v>
      </c>
      <c r="AJ12">
        <v>0</v>
      </c>
    </row>
    <row r="13" spans="1:36">
      <c r="A13">
        <v>2018</v>
      </c>
      <c r="B13" s="13">
        <f>'EV %sales'!W76</f>
        <v>2.6156431898055863</v>
      </c>
      <c r="C13" s="13">
        <f t="shared" si="4"/>
        <v>2.6156431898055854</v>
      </c>
      <c r="D13" s="84">
        <f t="shared" si="5"/>
        <v>2.6156431898055854</v>
      </c>
      <c r="E13" s="84">
        <f>J13-SUM(F$7:F13)</f>
        <v>-3.1718045228445271</v>
      </c>
      <c r="F13" s="13">
        <f t="shared" si="10"/>
        <v>0</v>
      </c>
      <c r="G13" s="13">
        <v>1</v>
      </c>
      <c r="H13" s="13">
        <v>1</v>
      </c>
      <c r="I13" s="13">
        <v>0</v>
      </c>
      <c r="J13" s="13">
        <f t="shared" si="6"/>
        <v>-3.1718045228445271</v>
      </c>
      <c r="K13" s="13"/>
      <c r="L13" s="84">
        <f t="shared" si="7"/>
        <v>2.6156431898055854</v>
      </c>
      <c r="M13" s="13">
        <f t="shared" si="12"/>
        <v>2.6156431898055854</v>
      </c>
      <c r="N13" s="13">
        <f t="shared" si="8"/>
        <v>2017.8134727767933</v>
      </c>
      <c r="O13" s="13">
        <f t="shared" si="9"/>
        <v>2017.796081673149</v>
      </c>
      <c r="P13" s="13">
        <f>1/USA!R90</f>
        <v>0.88666856067497357</v>
      </c>
      <c r="R13">
        <v>2018</v>
      </c>
      <c r="S13" s="13">
        <v>2.6156431898055854</v>
      </c>
      <c r="T13" s="13">
        <v>2.6156431898055854</v>
      </c>
      <c r="U13" s="13">
        <v>2.6156431898055854</v>
      </c>
      <c r="W13">
        <v>2018</v>
      </c>
      <c r="X13" s="13">
        <v>2.6156431898055854</v>
      </c>
      <c r="Y13" s="13">
        <f t="shared" si="13"/>
        <v>2.6156431898055854</v>
      </c>
      <c r="Z13" s="13">
        <v>2.6156431898055854</v>
      </c>
      <c r="AB13" s="13">
        <f t="shared" si="3"/>
        <v>2.6156431898055854</v>
      </c>
      <c r="AC13" s="13"/>
      <c r="AD13" s="33">
        <f t="shared" si="0"/>
        <v>-3.1718045228445266</v>
      </c>
      <c r="AE13" s="33">
        <f t="shared" si="1"/>
        <v>-3.1718045228445271</v>
      </c>
      <c r="AF13" s="33">
        <f t="shared" si="2"/>
        <v>-3.56456996190221</v>
      </c>
      <c r="AH13">
        <v>9</v>
      </c>
      <c r="AI13">
        <v>0</v>
      </c>
      <c r="AJ13">
        <v>1</v>
      </c>
    </row>
    <row r="14" spans="1:36">
      <c r="A14">
        <v>2019</v>
      </c>
      <c r="B14" s="13"/>
      <c r="C14" s="13">
        <f>AVERAGE(D12:D16)</f>
        <v>2.3935033158161345</v>
      </c>
      <c r="D14" s="84">
        <f>65*EXP(E14)/(1+EXP(E14))</f>
        <v>2.6156431898055854</v>
      </c>
      <c r="E14" s="84">
        <f>J14-SUM(F$7:F14)</f>
        <v>-3.1718045228445271</v>
      </c>
      <c r="F14" s="13">
        <f>I14*G14</f>
        <v>0</v>
      </c>
      <c r="G14" s="13">
        <f t="shared" si="11"/>
        <v>1</v>
      </c>
      <c r="H14" s="13">
        <v>1</v>
      </c>
      <c r="I14" s="13">
        <v>0</v>
      </c>
      <c r="J14" s="13">
        <f t="shared" si="6"/>
        <v>-3.1718045228445271</v>
      </c>
      <c r="K14" s="13"/>
      <c r="L14" s="84">
        <f t="shared" si="7"/>
        <v>2.6156431898055854</v>
      </c>
      <c r="M14" s="13">
        <f t="shared" si="12"/>
        <v>2.6156431898055854</v>
      </c>
      <c r="N14" s="13">
        <f t="shared" si="8"/>
        <v>2017.5352546111985</v>
      </c>
      <c r="O14" s="13">
        <f t="shared" si="9"/>
        <v>2019.0742998387439</v>
      </c>
      <c r="P14" s="13">
        <f>1/USA!R91</f>
        <v>1.0051987471711943</v>
      </c>
      <c r="R14">
        <v>2019</v>
      </c>
      <c r="S14" s="13">
        <v>2.4398303668356651</v>
      </c>
      <c r="T14" s="13">
        <v>2.3935033158161345</v>
      </c>
      <c r="U14" s="13">
        <v>1.8536488820983255</v>
      </c>
      <c r="W14">
        <v>2019</v>
      </c>
      <c r="X14" s="13">
        <v>1.8536488820983255</v>
      </c>
      <c r="Y14" s="13">
        <f t="shared" si="13"/>
        <v>2.3935033158161345</v>
      </c>
      <c r="Z14" s="13">
        <v>2.4754755863866831</v>
      </c>
      <c r="AB14" s="13">
        <f t="shared" si="3"/>
        <v>2.7228670318692854</v>
      </c>
      <c r="AC14" s="13"/>
      <c r="AE14" s="33">
        <f t="shared" si="1"/>
        <v>-3.1299089303392384</v>
      </c>
      <c r="AF14" s="33">
        <f t="shared" si="2"/>
        <v>-3.3262916498680797</v>
      </c>
      <c r="AH14">
        <v>10</v>
      </c>
      <c r="AI14">
        <v>0</v>
      </c>
      <c r="AJ14">
        <v>0.5</v>
      </c>
    </row>
    <row r="15" spans="1:36">
      <c r="A15">
        <v>2020</v>
      </c>
      <c r="B15" s="13"/>
      <c r="C15" s="13">
        <f>AVERAGE(D13:D17)</f>
        <v>2.7192280592535458</v>
      </c>
      <c r="D15" s="84">
        <f>65*EXP(E15)/(1+EXP(E15))</f>
        <v>2.6370879582183253</v>
      </c>
      <c r="E15" s="84">
        <f>J15-SUM(F$7:F15)</f>
        <v>-3.163295478143997</v>
      </c>
      <c r="F15" s="13">
        <f t="shared" si="10"/>
        <v>0</v>
      </c>
      <c r="G15" s="13">
        <f t="shared" si="11"/>
        <v>1</v>
      </c>
      <c r="H15" s="13">
        <f t="shared" ref="H15:H50" si="14">IF((P15-0.6)/0.3&gt;1,1,(P15-0.6)/0.3)</f>
        <v>1</v>
      </c>
      <c r="I15" s="231">
        <v>0</v>
      </c>
      <c r="J15" s="13">
        <f t="shared" si="6"/>
        <v>-3.163295478143997</v>
      </c>
      <c r="K15" s="13"/>
      <c r="L15" s="84">
        <f t="shared" ref="L15:L48" si="15">AVERAGE(M13:M17)</f>
        <v>2.6370879582183253</v>
      </c>
      <c r="M15" s="13">
        <f t="shared" si="12"/>
        <v>2.6156431898055854</v>
      </c>
      <c r="N15" s="13">
        <f t="shared" si="8"/>
        <v>2017.6303341841442</v>
      </c>
      <c r="O15" s="13">
        <f t="shared" si="9"/>
        <v>2019.9792202657982</v>
      </c>
      <c r="P15" s="13">
        <f>1/USA!R92</f>
        <v>1.0891127376542409</v>
      </c>
      <c r="R15">
        <v>2020</v>
      </c>
      <c r="S15" s="13">
        <v>2.8031364234628375</v>
      </c>
      <c r="T15" s="13">
        <v>2.7192280592535458</v>
      </c>
      <c r="U15" s="13">
        <v>2.0391972604812243</v>
      </c>
      <c r="W15">
        <v>2020</v>
      </c>
      <c r="X15" s="13">
        <v>2.0103616851212309</v>
      </c>
      <c r="Y15" s="13">
        <f t="shared" si="13"/>
        <v>2.7192280592535458</v>
      </c>
      <c r="Z15" s="13">
        <v>2.9182011418432441</v>
      </c>
      <c r="AB15" s="13">
        <f t="shared" si="3"/>
        <v>2.8342866355497933</v>
      </c>
      <c r="AC15" s="13"/>
      <c r="AE15" s="33">
        <f t="shared" si="1"/>
        <v>-3.0880133378339498</v>
      </c>
      <c r="AF15" s="33">
        <f t="shared" si="2"/>
        <v>-3.0880133378339498</v>
      </c>
      <c r="AH15">
        <v>11</v>
      </c>
      <c r="AI15">
        <v>0</v>
      </c>
      <c r="AJ15">
        <v>0</v>
      </c>
    </row>
    <row r="16" spans="1:36">
      <c r="A16">
        <v>2021</v>
      </c>
      <c r="B16" s="13"/>
      <c r="C16" s="13">
        <f>AVERAGE(D13:D19)</f>
        <v>3.1016682263851574</v>
      </c>
      <c r="D16" s="84">
        <f t="shared" si="5"/>
        <v>2.6808166473671671</v>
      </c>
      <c r="E16" s="84">
        <f>J16-SUM(F$7:F16)</f>
        <v>-3.1461478301067949</v>
      </c>
      <c r="F16" s="13">
        <f t="shared" si="10"/>
        <v>0</v>
      </c>
      <c r="G16" s="13">
        <f t="shared" si="11"/>
        <v>1</v>
      </c>
      <c r="H16" s="13">
        <f t="shared" si="14"/>
        <v>1</v>
      </c>
      <c r="I16" s="20">
        <f>I15+(I35-I15)/20</f>
        <v>0</v>
      </c>
      <c r="J16" s="13">
        <f t="shared" si="6"/>
        <v>-3.1461478301067949</v>
      </c>
      <c r="K16" s="13"/>
      <c r="L16" s="84">
        <f t="shared" si="15"/>
        <v>2.6808166473671671</v>
      </c>
      <c r="M16" s="13">
        <f t="shared" si="12"/>
        <v>2.6156431898055854</v>
      </c>
      <c r="N16" s="13">
        <f t="shared" si="8"/>
        <v>2018.0724986003743</v>
      </c>
      <c r="O16" s="13">
        <f t="shared" si="9"/>
        <v>2020.5370558495681</v>
      </c>
      <c r="P16" s="13">
        <f>1/USA!R93</f>
        <v>1.1408412747367176</v>
      </c>
      <c r="R16">
        <v>2021</v>
      </c>
      <c r="S16" s="13">
        <v>3.3343526375724548</v>
      </c>
      <c r="T16" s="13">
        <v>3.1016682263851574</v>
      </c>
      <c r="U16" s="13">
        <v>2.4176830312942319</v>
      </c>
      <c r="W16">
        <v>2021</v>
      </c>
      <c r="X16" s="13">
        <v>2.2737034281082411</v>
      </c>
      <c r="Y16" s="13">
        <f t="shared" si="13"/>
        <v>3.1016682263851574</v>
      </c>
      <c r="Z16" s="13">
        <v>3.6766648544475524</v>
      </c>
      <c r="AB16" s="13">
        <f t="shared" si="3"/>
        <v>3.5551760195496298</v>
      </c>
      <c r="AC16" s="13"/>
      <c r="AE16" s="33">
        <f t="shared" si="1"/>
        <v>-2.84973502579982</v>
      </c>
      <c r="AF16" s="33">
        <f t="shared" si="2"/>
        <v>-2.84973502579982</v>
      </c>
      <c r="AH16">
        <v>12</v>
      </c>
      <c r="AI16">
        <v>0</v>
      </c>
      <c r="AJ16">
        <v>0</v>
      </c>
    </row>
    <row r="17" spans="1:36">
      <c r="A17">
        <v>2022</v>
      </c>
      <c r="B17" s="13"/>
      <c r="C17" s="13">
        <f t="shared" ref="C17:C50" si="16">AVERAGE(D14:D20)</f>
        <v>3.5330616873736922</v>
      </c>
      <c r="D17" s="84">
        <f t="shared" si="5"/>
        <v>3.0469493110710655</v>
      </c>
      <c r="E17" s="84">
        <f>J17-SUM(F$7:F17)</f>
        <v>-3.0122359870547681</v>
      </c>
      <c r="F17" s="13">
        <f t="shared" si="10"/>
        <v>0</v>
      </c>
      <c r="G17" s="13">
        <f t="shared" si="11"/>
        <v>1</v>
      </c>
      <c r="H17" s="13">
        <f t="shared" si="14"/>
        <v>1</v>
      </c>
      <c r="I17" s="20">
        <f>I16+(I35-I15)/20</f>
        <v>0</v>
      </c>
      <c r="J17" s="13">
        <f t="shared" si="6"/>
        <v>-3.0122359870547681</v>
      </c>
      <c r="K17" s="13"/>
      <c r="L17" s="84">
        <f>AVERAGE(M15:M19)</f>
        <v>3.0469493110710646</v>
      </c>
      <c r="M17" s="13">
        <f t="shared" si="12"/>
        <v>2.7228670318692854</v>
      </c>
      <c r="N17" s="13">
        <f t="shared" si="8"/>
        <v>2018.9601965686527</v>
      </c>
      <c r="O17" s="13">
        <f t="shared" si="9"/>
        <v>2020.6493578812897</v>
      </c>
      <c r="P17" s="13">
        <f>1/USA!R94</f>
        <v>1.1512551314023185</v>
      </c>
      <c r="R17">
        <v>2022</v>
      </c>
      <c r="S17" s="13">
        <v>3.9251523241248392</v>
      </c>
      <c r="T17" s="13">
        <v>3.5330616873736922</v>
      </c>
      <c r="U17" s="13">
        <v>2.7510753635853331</v>
      </c>
      <c r="W17">
        <v>2022</v>
      </c>
      <c r="X17" s="13">
        <v>2.4457343920096757</v>
      </c>
      <c r="Y17" s="13">
        <f t="shared" si="13"/>
        <v>3.5330616873736922</v>
      </c>
      <c r="Z17" s="13">
        <v>4.5637277143357071</v>
      </c>
      <c r="AB17" s="13">
        <f t="shared" si="3"/>
        <v>4.4463065083250726</v>
      </c>
      <c r="AC17" s="13"/>
      <c r="AE17" s="33">
        <f t="shared" si="1"/>
        <v>-2.6114567137656897</v>
      </c>
      <c r="AF17" s="33">
        <f t="shared" si="2"/>
        <v>-2.6114567137656897</v>
      </c>
      <c r="AH17">
        <v>13</v>
      </c>
      <c r="AI17">
        <v>0</v>
      </c>
      <c r="AJ17">
        <v>0</v>
      </c>
    </row>
    <row r="18" spans="1:36">
      <c r="A18">
        <v>2023</v>
      </c>
      <c r="B18" s="13"/>
      <c r="C18" s="13">
        <f>AVERAGE(D15:D21)</f>
        <v>4.2449709311987238</v>
      </c>
      <c r="D18" s="84">
        <f t="shared" si="5"/>
        <v>3.6319533711668179</v>
      </c>
      <c r="E18" s="84">
        <f>J18-SUM(F$7:F18)</f>
        <v>-2.8271186641584487</v>
      </c>
      <c r="F18" s="13">
        <f t="shared" si="10"/>
        <v>0</v>
      </c>
      <c r="G18" s="13">
        <f t="shared" si="11"/>
        <v>1</v>
      </c>
      <c r="H18" s="13">
        <f t="shared" si="14"/>
        <v>1</v>
      </c>
      <c r="I18" s="20">
        <f>I17+(I35-I15)/20</f>
        <v>0</v>
      </c>
      <c r="J18" s="13">
        <f t="shared" si="6"/>
        <v>-2.8271186641584487</v>
      </c>
      <c r="K18" s="13"/>
      <c r="L18" s="84">
        <f t="shared" si="15"/>
        <v>3.631953371166817</v>
      </c>
      <c r="M18" s="13">
        <f t="shared" si="12"/>
        <v>2.8342866355497933</v>
      </c>
      <c r="N18" s="13">
        <f t="shared" si="8"/>
        <v>2020.1065450192471</v>
      </c>
      <c r="O18" s="13">
        <f t="shared" si="9"/>
        <v>2020.5030094306953</v>
      </c>
      <c r="P18" s="13">
        <f>1/USA!R95</f>
        <v>1.1376841232526191</v>
      </c>
      <c r="R18">
        <v>2023</v>
      </c>
      <c r="S18" s="13">
        <v>4.8503046820128484</v>
      </c>
      <c r="T18" s="13">
        <v>4.2449709311987238</v>
      </c>
      <c r="U18" s="13">
        <v>3.4748309229838017</v>
      </c>
      <c r="W18">
        <v>2023</v>
      </c>
      <c r="X18" s="13">
        <v>2.9074086949973355</v>
      </c>
      <c r="Y18" s="13">
        <f t="shared" si="13"/>
        <v>4.2449709311987238</v>
      </c>
      <c r="Z18" s="13">
        <v>5.8441101531182422</v>
      </c>
      <c r="AB18" s="13">
        <f t="shared" si="3"/>
        <v>5.5406634902843503</v>
      </c>
      <c r="AC18" s="13"/>
      <c r="AE18" s="33">
        <f t="shared" si="1"/>
        <v>-2.3731784017315598</v>
      </c>
      <c r="AF18" s="33">
        <f t="shared" si="2"/>
        <v>-2.3731784017315598</v>
      </c>
      <c r="AH18">
        <v>14</v>
      </c>
      <c r="AI18">
        <v>0</v>
      </c>
      <c r="AJ18">
        <v>0</v>
      </c>
    </row>
    <row r="19" spans="1:36">
      <c r="A19">
        <v>2024</v>
      </c>
      <c r="B19" s="13"/>
      <c r="C19" s="13">
        <f t="shared" si="16"/>
        <v>5.2627084369068342</v>
      </c>
      <c r="D19" s="84">
        <f t="shared" si="5"/>
        <v>4.483583917261555</v>
      </c>
      <c r="E19" s="84">
        <f>J19-SUM(F$7:F19)</f>
        <v>-2.6024919602974332</v>
      </c>
      <c r="F19" s="13">
        <f t="shared" si="10"/>
        <v>0</v>
      </c>
      <c r="G19" s="13">
        <f t="shared" si="11"/>
        <v>1</v>
      </c>
      <c r="H19" s="13">
        <f t="shared" si="14"/>
        <v>1</v>
      </c>
      <c r="I19" s="20">
        <f>I18+(I35-I15)/20</f>
        <v>0</v>
      </c>
      <c r="J19" s="13">
        <f t="shared" si="6"/>
        <v>-2.6024919602974332</v>
      </c>
      <c r="K19" s="13"/>
      <c r="L19" s="84">
        <f t="shared" si="15"/>
        <v>4.4835839172615568</v>
      </c>
      <c r="M19" s="13">
        <f t="shared" si="12"/>
        <v>4.4463065083250726</v>
      </c>
      <c r="N19" s="13">
        <f t="shared" si="8"/>
        <v>2021.5425516562598</v>
      </c>
      <c r="O19" s="13">
        <f t="shared" si="9"/>
        <v>2020.0670027936826</v>
      </c>
      <c r="P19" s="13">
        <f>1/USA!R96</f>
        <v>1.0972528812395075</v>
      </c>
      <c r="R19">
        <v>2024</v>
      </c>
      <c r="S19" s="13">
        <v>6.1594661248578699</v>
      </c>
      <c r="T19" s="13">
        <v>5.2627084369068342</v>
      </c>
      <c r="U19" s="13">
        <v>4.3900872773375381</v>
      </c>
      <c r="W19">
        <v>2024</v>
      </c>
      <c r="X19" s="13">
        <v>3.4620262180362857</v>
      </c>
      <c r="Y19" s="13">
        <f t="shared" si="13"/>
        <v>5.2627084369068342</v>
      </c>
      <c r="Z19" s="13">
        <v>7.6725050296144834</v>
      </c>
      <c r="AB19" s="13">
        <f t="shared" si="3"/>
        <v>6.8737959202792842</v>
      </c>
      <c r="AC19" s="13"/>
      <c r="AE19" s="33">
        <f t="shared" si="1"/>
        <v>-2.1349000896974295</v>
      </c>
      <c r="AF19" s="33">
        <f t="shared" si="2"/>
        <v>-2.1349000896974295</v>
      </c>
      <c r="AH19">
        <v>15</v>
      </c>
      <c r="AI19">
        <v>0</v>
      </c>
      <c r="AJ19">
        <v>0</v>
      </c>
    </row>
    <row r="20" spans="1:36">
      <c r="A20" s="14">
        <v>2025</v>
      </c>
      <c r="B20" s="13"/>
      <c r="C20" s="20">
        <f t="shared" si="16"/>
        <v>6.6362512235749405</v>
      </c>
      <c r="D20" s="84">
        <f t="shared" si="5"/>
        <v>5.6353974167253282</v>
      </c>
      <c r="E20" s="84">
        <f>J20-SUM(F$7:F20)</f>
        <v>-2.3546304611468054</v>
      </c>
      <c r="F20" s="13">
        <f t="shared" si="10"/>
        <v>0</v>
      </c>
      <c r="G20" s="13">
        <f t="shared" si="11"/>
        <v>1</v>
      </c>
      <c r="H20" s="13">
        <f t="shared" si="14"/>
        <v>1</v>
      </c>
      <c r="I20" s="20">
        <f>I19+(I35-I15)/20</f>
        <v>0</v>
      </c>
      <c r="J20" s="13">
        <f t="shared" si="6"/>
        <v>-2.3546304611468054</v>
      </c>
      <c r="K20" s="13"/>
      <c r="L20" s="84">
        <f t="shared" si="15"/>
        <v>5.6353974167253282</v>
      </c>
      <c r="M20" s="13">
        <f t="shared" si="12"/>
        <v>5.5406634902843503</v>
      </c>
      <c r="N20" s="13">
        <f t="shared" si="8"/>
        <v>2022.9567381682014</v>
      </c>
      <c r="O20" s="13">
        <f t="shared" si="9"/>
        <v>2019.652816281741</v>
      </c>
      <c r="P20" s="13">
        <f>1/USA!R97</f>
        <v>1.0588450367681363</v>
      </c>
      <c r="R20" s="87">
        <v>2025</v>
      </c>
      <c r="S20" s="13">
        <v>7.8594606548577914</v>
      </c>
      <c r="T20" s="13">
        <v>6.6362512235749405</v>
      </c>
      <c r="U20" s="13">
        <v>5.6111718935743555</v>
      </c>
      <c r="W20" s="87">
        <v>2025</v>
      </c>
      <c r="X20" s="13">
        <v>4.2091178022011189</v>
      </c>
      <c r="Y20" s="13">
        <f t="shared" si="13"/>
        <v>6.6362512235749405</v>
      </c>
      <c r="Z20" s="13">
        <v>10.029116042222864</v>
      </c>
      <c r="AB20" s="13">
        <f t="shared" si="3"/>
        <v>8.4819345291881394</v>
      </c>
      <c r="AC20" s="13"/>
      <c r="AE20" s="33">
        <f t="shared" si="1"/>
        <v>-1.8966217776632996</v>
      </c>
      <c r="AF20" s="33">
        <f t="shared" si="2"/>
        <v>-1.8966217776632996</v>
      </c>
      <c r="AH20">
        <v>16</v>
      </c>
      <c r="AI20">
        <v>0</v>
      </c>
      <c r="AJ20">
        <v>0</v>
      </c>
    </row>
    <row r="21" spans="1:36">
      <c r="A21">
        <v>2026</v>
      </c>
      <c r="B21" s="13"/>
      <c r="C21" s="13">
        <f t="shared" si="16"/>
        <v>8.3751662262900783</v>
      </c>
      <c r="D21" s="84">
        <f t="shared" si="5"/>
        <v>7.5990078965808117</v>
      </c>
      <c r="E21" s="84">
        <f>J21-SUM(F$7:F21)</f>
        <v>-2.0220438883602161</v>
      </c>
      <c r="F21" s="13">
        <f t="shared" si="10"/>
        <v>0</v>
      </c>
      <c r="G21" s="13">
        <f>IF(H21&lt;0,0,H21)</f>
        <v>1</v>
      </c>
      <c r="H21" s="13">
        <f t="shared" si="14"/>
        <v>1</v>
      </c>
      <c r="I21" s="20">
        <f>I20+(I35-I15)/20</f>
        <v>0</v>
      </c>
      <c r="J21" s="13">
        <f t="shared" si="6"/>
        <v>-2.0220438883602161</v>
      </c>
      <c r="K21" s="13"/>
      <c r="L21" s="84">
        <f t="shared" si="15"/>
        <v>7.5990078965808125</v>
      </c>
      <c r="M21" s="13">
        <f t="shared" si="12"/>
        <v>6.8737959202792842</v>
      </c>
      <c r="N21" s="13">
        <f t="shared" si="8"/>
        <v>2024.2424134512369</v>
      </c>
      <c r="O21" s="13">
        <f t="shared" si="9"/>
        <v>2019.3671409987055</v>
      </c>
      <c r="P21" s="13">
        <f>1/USA!R98</f>
        <v>1.0323541407012589</v>
      </c>
      <c r="R21">
        <v>2026</v>
      </c>
      <c r="S21" s="13">
        <v>9.980437134868124</v>
      </c>
      <c r="T21" s="13">
        <v>8.3751662262900783</v>
      </c>
      <c r="U21" s="13">
        <v>7.1332558770591268</v>
      </c>
      <c r="W21">
        <v>2026</v>
      </c>
      <c r="X21" s="13">
        <v>5.1502114287898495</v>
      </c>
      <c r="Y21" s="13">
        <f>T21</f>
        <v>8.3751662262900783</v>
      </c>
      <c r="Z21" s="13">
        <v>12.93807171700478</v>
      </c>
      <c r="AB21" s="13">
        <f t="shared" si="3"/>
        <v>10.39899200101924</v>
      </c>
      <c r="AC21" s="13"/>
      <c r="AE21" s="33">
        <f t="shared" si="1"/>
        <v>-1.6583434656291693</v>
      </c>
      <c r="AF21" s="33">
        <f t="shared" si="2"/>
        <v>-1.6583434656291693</v>
      </c>
      <c r="AH21">
        <v>17</v>
      </c>
      <c r="AI21">
        <v>0</v>
      </c>
      <c r="AJ21">
        <v>0</v>
      </c>
    </row>
    <row r="22" spans="1:36">
      <c r="A22">
        <v>2027</v>
      </c>
      <c r="B22" s="13"/>
      <c r="C22" s="13">
        <f t="shared" si="16"/>
        <v>10.50379583667393</v>
      </c>
      <c r="D22" s="84">
        <f t="shared" si="5"/>
        <v>9.761250498175098</v>
      </c>
      <c r="E22" s="84">
        <f>J22-SUM(F$7:F22)</f>
        <v>-1.7332441737056905</v>
      </c>
      <c r="F22" s="13">
        <f t="shared" si="10"/>
        <v>0</v>
      </c>
      <c r="G22" s="13">
        <f t="shared" si="11"/>
        <v>1</v>
      </c>
      <c r="H22" s="13">
        <f t="shared" si="14"/>
        <v>1</v>
      </c>
      <c r="I22" s="20">
        <f>I21+(I35-I15)/20</f>
        <v>0</v>
      </c>
      <c r="J22" s="13">
        <f t="shared" si="6"/>
        <v>-1.7332441737056905</v>
      </c>
      <c r="K22" s="13"/>
      <c r="L22" s="84">
        <f t="shared" si="15"/>
        <v>9.7612504981750998</v>
      </c>
      <c r="M22" s="13">
        <f t="shared" si="12"/>
        <v>8.4819345291881394</v>
      </c>
      <c r="N22" s="13">
        <f t="shared" si="8"/>
        <v>2025.4841491691761</v>
      </c>
      <c r="O22" s="13">
        <f t="shared" si="9"/>
        <v>2019.1254052807662</v>
      </c>
      <c r="P22" s="13">
        <f>1/USA!R99</f>
        <v>1.0099377954314392</v>
      </c>
      <c r="R22">
        <v>2027</v>
      </c>
      <c r="S22" s="13">
        <v>12.505499840025298</v>
      </c>
      <c r="T22" s="13">
        <v>10.50379583667393</v>
      </c>
      <c r="U22" s="13">
        <v>8.9405561850243451</v>
      </c>
      <c r="W22">
        <v>2027</v>
      </c>
      <c r="X22" s="13">
        <v>6.3078766439599088</v>
      </c>
      <c r="Y22" s="13">
        <f t="shared" si="13"/>
        <v>10.50379583667393</v>
      </c>
      <c r="Z22" s="13">
        <v>16.28656420509429</v>
      </c>
      <c r="AB22" s="13">
        <f t="shared" si="3"/>
        <v>12.652339034827211</v>
      </c>
      <c r="AC22" s="13"/>
      <c r="AE22" s="33">
        <f t="shared" si="1"/>
        <v>-1.4200651535950399</v>
      </c>
      <c r="AF22" s="33">
        <f t="shared" si="2"/>
        <v>-1.4200651535950399</v>
      </c>
      <c r="AH22">
        <v>18</v>
      </c>
      <c r="AI22">
        <v>0</v>
      </c>
      <c r="AJ22">
        <v>0</v>
      </c>
    </row>
    <row r="23" spans="1:36">
      <c r="A23">
        <v>2028</v>
      </c>
      <c r="B23" s="13"/>
      <c r="C23" s="13">
        <f t="shared" si="16"/>
        <v>12.972130328381544</v>
      </c>
      <c r="D23" s="84">
        <f t="shared" si="5"/>
        <v>12.295616154043913</v>
      </c>
      <c r="E23" s="84">
        <f>J23-SUM(F$7:F23)</f>
        <v>-1.4554558484115807</v>
      </c>
      <c r="F23" s="13">
        <f t="shared" si="10"/>
        <v>0</v>
      </c>
      <c r="G23" s="13">
        <f t="shared" si="11"/>
        <v>1</v>
      </c>
      <c r="H23" s="13">
        <f t="shared" si="14"/>
        <v>1</v>
      </c>
      <c r="I23" s="20">
        <f>I22+(I35-I15)/20</f>
        <v>0</v>
      </c>
      <c r="J23" s="13">
        <f t="shared" si="6"/>
        <v>-1.4554558484115807</v>
      </c>
      <c r="K23" s="13"/>
      <c r="L23" s="84">
        <f t="shared" si="15"/>
        <v>12.295616154043913</v>
      </c>
      <c r="M23" s="13">
        <f t="shared" si="12"/>
        <v>12.652339034827211</v>
      </c>
      <c r="N23" s="13">
        <f t="shared" si="8"/>
        <v>2026.7412682423183</v>
      </c>
      <c r="O23" s="13">
        <f t="shared" si="9"/>
        <v>2018.8682862076241</v>
      </c>
      <c r="P23" s="13">
        <f>1/USA!R100</f>
        <v>0.98609493940607862</v>
      </c>
      <c r="R23">
        <v>2028</v>
      </c>
      <c r="S23" s="13">
        <v>15.363119358438372</v>
      </c>
      <c r="T23" s="13">
        <v>12.972130328381544</v>
      </c>
      <c r="U23" s="13">
        <v>11.048588955865345</v>
      </c>
      <c r="W23">
        <v>2028</v>
      </c>
      <c r="X23" s="13">
        <v>7.7029908572701986</v>
      </c>
      <c r="Y23" s="13">
        <f t="shared" si="13"/>
        <v>12.972130328381544</v>
      </c>
      <c r="Z23" s="13">
        <v>20.045327993227566</v>
      </c>
      <c r="AB23" s="13">
        <f t="shared" si="3"/>
        <v>15.25751951629652</v>
      </c>
      <c r="AC23" s="13"/>
      <c r="AE23" s="33">
        <f t="shared" si="1"/>
        <v>-1.1817868415609096</v>
      </c>
      <c r="AF23" s="33">
        <f t="shared" si="2"/>
        <v>-1.1817868415609096</v>
      </c>
      <c r="AH23">
        <v>19</v>
      </c>
      <c r="AI23">
        <v>0</v>
      </c>
      <c r="AJ23">
        <v>0</v>
      </c>
    </row>
    <row r="24" spans="1:36">
      <c r="A24">
        <v>2029</v>
      </c>
      <c r="B24" s="13"/>
      <c r="C24" s="13">
        <f t="shared" si="16"/>
        <v>15.773021633345055</v>
      </c>
      <c r="D24" s="84">
        <f t="shared" si="5"/>
        <v>15.219354330077023</v>
      </c>
      <c r="E24" s="84">
        <f>J24-SUM(F$7:F24)</f>
        <v>-1.1850583382555426</v>
      </c>
      <c r="F24" s="13">
        <f t="shared" si="10"/>
        <v>0</v>
      </c>
      <c r="G24" s="13">
        <f t="shared" si="11"/>
        <v>1</v>
      </c>
      <c r="H24" s="13">
        <f t="shared" si="14"/>
        <v>1</v>
      </c>
      <c r="I24" s="20">
        <f>I23+(I35-I15)/20</f>
        <v>0</v>
      </c>
      <c r="J24" s="13">
        <f t="shared" si="6"/>
        <v>-1.1850583382555426</v>
      </c>
      <c r="K24" s="13"/>
      <c r="L24" s="84">
        <f t="shared" si="15"/>
        <v>15.219354330077021</v>
      </c>
      <c r="M24" s="13">
        <f t="shared" si="12"/>
        <v>15.25751951629652</v>
      </c>
      <c r="N24" s="13">
        <f t="shared" si="8"/>
        <v>2027.9791056538386</v>
      </c>
      <c r="O24" s="13">
        <f t="shared" si="9"/>
        <v>2018.6304487961038</v>
      </c>
      <c r="P24" s="13">
        <f>1/USA!R101</f>
        <v>0.96404008718908485</v>
      </c>
      <c r="R24">
        <v>2029</v>
      </c>
      <c r="S24" s="13">
        <v>18.527321796461361</v>
      </c>
      <c r="T24" s="13">
        <v>15.773021633345055</v>
      </c>
      <c r="U24" s="13">
        <v>13.450379790632708</v>
      </c>
      <c r="W24">
        <v>2029</v>
      </c>
      <c r="X24" s="13">
        <v>9.3862631268884282</v>
      </c>
      <c r="Y24" s="13">
        <f t="shared" si="13"/>
        <v>15.773021633345055</v>
      </c>
      <c r="Z24" s="13">
        <v>23.984456213135541</v>
      </c>
      <c r="AB24" s="13">
        <f t="shared" si="3"/>
        <v>18.212491769628407</v>
      </c>
      <c r="AC24" s="13"/>
      <c r="AE24" s="33">
        <f t="shared" si="1"/>
        <v>-0.94350852952677933</v>
      </c>
      <c r="AF24" s="33">
        <f t="shared" si="2"/>
        <v>-0.94350852952677933</v>
      </c>
      <c r="AH24">
        <v>20</v>
      </c>
      <c r="AI24">
        <v>0</v>
      </c>
      <c r="AJ24">
        <v>0</v>
      </c>
    </row>
    <row r="25" spans="1:36">
      <c r="A25">
        <v>2030</v>
      </c>
      <c r="B25" s="13"/>
      <c r="C25" s="20">
        <f t="shared" si="16"/>
        <v>18.816114514095393</v>
      </c>
      <c r="D25" s="84">
        <f t="shared" si="5"/>
        <v>18.532360643853785</v>
      </c>
      <c r="E25" s="84">
        <f>J25-SUM(F$7:F25)</f>
        <v>-0.91923771453248715</v>
      </c>
      <c r="F25" s="13">
        <f t="shared" si="10"/>
        <v>0</v>
      </c>
      <c r="G25" s="13">
        <f t="shared" si="11"/>
        <v>1</v>
      </c>
      <c r="H25" s="13">
        <f t="shared" si="14"/>
        <v>1</v>
      </c>
      <c r="I25" s="20">
        <f>I24+(I35-I15)/20</f>
        <v>0</v>
      </c>
      <c r="J25" s="13">
        <f t="shared" si="6"/>
        <v>-0.91923771453248715</v>
      </c>
      <c r="K25" s="13"/>
      <c r="L25" s="84">
        <f t="shared" si="15"/>
        <v>18.532360643853785</v>
      </c>
      <c r="M25" s="13">
        <f t="shared" si="12"/>
        <v>18.212491769628407</v>
      </c>
      <c r="N25" s="13">
        <f t="shared" si="8"/>
        <v>2029.219519270036</v>
      </c>
      <c r="O25" s="13">
        <f t="shared" si="9"/>
        <v>2018.3900351799064</v>
      </c>
      <c r="P25" s="13">
        <f>1/USA!R102</f>
        <v>0.94174634146466296</v>
      </c>
      <c r="R25" s="87">
        <v>2030</v>
      </c>
      <c r="S25" s="13">
        <v>21.893046575716301</v>
      </c>
      <c r="T25" s="13">
        <v>18.816114514095393</v>
      </c>
      <c r="U25" s="13">
        <v>16.129954368032227</v>
      </c>
      <c r="W25" s="87">
        <v>2030</v>
      </c>
      <c r="X25" s="13">
        <v>11.369450973896452</v>
      </c>
      <c r="Y25" s="13">
        <f t="shared" si="13"/>
        <v>18.816114514095393</v>
      </c>
      <c r="Z25" s="13">
        <v>28.051353571476433</v>
      </c>
      <c r="AB25" s="13">
        <f t="shared" si="3"/>
        <v>21.492486800444834</v>
      </c>
      <c r="AC25" s="13"/>
      <c r="AE25" s="33">
        <f t="shared" si="1"/>
        <v>-0.70523021749264991</v>
      </c>
      <c r="AF25" s="33">
        <f t="shared" si="2"/>
        <v>-0.70523021749264991</v>
      </c>
      <c r="AH25">
        <v>21</v>
      </c>
      <c r="AI25">
        <v>0</v>
      </c>
      <c r="AJ25">
        <v>0</v>
      </c>
    </row>
    <row r="26" spans="1:36">
      <c r="A26">
        <v>2031</v>
      </c>
      <c r="C26" s="13">
        <f t="shared" si="16"/>
        <v>22.086190607185557</v>
      </c>
      <c r="D26" s="84">
        <f>65*EXP(E26)/(1+EXP(E26))</f>
        <v>21.761925359214843</v>
      </c>
      <c r="E26" s="84">
        <f>J26-SUM(F$7:F26)</f>
        <v>-0.68655956485320835</v>
      </c>
      <c r="F26" s="13">
        <f t="shared" si="10"/>
        <v>0</v>
      </c>
      <c r="G26" s="13">
        <f t="shared" si="11"/>
        <v>1</v>
      </c>
      <c r="H26" s="13">
        <f t="shared" si="14"/>
        <v>1</v>
      </c>
      <c r="I26" s="20">
        <f>I25+(I35-I15)/20</f>
        <v>0</v>
      </c>
      <c r="J26" s="13">
        <f t="shared" si="6"/>
        <v>-0.68655956485320835</v>
      </c>
      <c r="K26" s="13"/>
      <c r="L26" s="84">
        <f t="shared" si="15"/>
        <v>21.761925359214846</v>
      </c>
      <c r="M26" s="13">
        <f t="shared" si="12"/>
        <v>21.492486800444834</v>
      </c>
      <c r="N26" s="13">
        <f t="shared" si="8"/>
        <v>2030.219519270036</v>
      </c>
      <c r="O26" s="13">
        <f t="shared" si="9"/>
        <v>2018.3900351799064</v>
      </c>
      <c r="P26" s="13">
        <f>P25</f>
        <v>0.94174634146466296</v>
      </c>
      <c r="R26">
        <v>2031</v>
      </c>
      <c r="S26" s="13">
        <v>25.400765718730042</v>
      </c>
      <c r="T26" s="13">
        <v>22.086190607185557</v>
      </c>
      <c r="U26" s="13">
        <v>19.07232736076142</v>
      </c>
      <c r="W26">
        <v>2031</v>
      </c>
      <c r="X26" s="13">
        <v>13.652643840423531</v>
      </c>
      <c r="Y26" s="13">
        <f t="shared" si="13"/>
        <v>22.086190607185557</v>
      </c>
      <c r="Z26" s="13">
        <v>32.055486640379868</v>
      </c>
      <c r="AB26" s="13">
        <f t="shared" si="3"/>
        <v>25.046966098071962</v>
      </c>
      <c r="AC26" s="13"/>
      <c r="AE26" s="33">
        <f t="shared" si="1"/>
        <v>-0.46695190545851961</v>
      </c>
      <c r="AF26" s="33">
        <f t="shared" si="2"/>
        <v>-0.46695190545851961</v>
      </c>
      <c r="AH26">
        <v>22</v>
      </c>
      <c r="AI26">
        <v>0</v>
      </c>
      <c r="AJ26">
        <v>0</v>
      </c>
    </row>
    <row r="27" spans="1:36">
      <c r="A27">
        <v>2032</v>
      </c>
      <c r="C27" s="13">
        <f t="shared" si="16"/>
        <v>25.529528406376212</v>
      </c>
      <c r="D27" s="84">
        <f t="shared" si="5"/>
        <v>25.241636551469909</v>
      </c>
      <c r="E27" s="84">
        <f>J27-SUM(F$7:F27)</f>
        <v>-0.45432534502032529</v>
      </c>
      <c r="F27" s="13">
        <f t="shared" si="10"/>
        <v>0</v>
      </c>
      <c r="G27" s="13">
        <f t="shared" si="11"/>
        <v>1</v>
      </c>
      <c r="H27" s="13">
        <f t="shared" si="14"/>
        <v>1</v>
      </c>
      <c r="I27" s="20">
        <f>I26+(I35-I15)/20</f>
        <v>0</v>
      </c>
      <c r="J27" s="13">
        <f t="shared" si="6"/>
        <v>-0.45432534502032529</v>
      </c>
      <c r="K27" s="13"/>
      <c r="L27" s="84">
        <f t="shared" si="15"/>
        <v>25.241636551469906</v>
      </c>
      <c r="M27" s="13">
        <f t="shared" si="12"/>
        <v>25.046966098071962</v>
      </c>
      <c r="N27" s="13">
        <f t="shared" si="8"/>
        <v>2031.219519270036</v>
      </c>
      <c r="O27" s="13">
        <f t="shared" si="9"/>
        <v>2018.3900351799064</v>
      </c>
      <c r="P27" s="13">
        <f t="shared" ref="P27:P50" si="17">P26</f>
        <v>0.94174634146466296</v>
      </c>
      <c r="R27">
        <v>2032</v>
      </c>
      <c r="S27" s="13">
        <v>29.011896696780635</v>
      </c>
      <c r="T27" s="13">
        <v>25.529528406376212</v>
      </c>
      <c r="U27" s="13">
        <v>22.241683565830442</v>
      </c>
      <c r="W27">
        <v>2032</v>
      </c>
      <c r="X27" s="13">
        <v>16.237400706373631</v>
      </c>
      <c r="Y27" s="13">
        <f t="shared" si="13"/>
        <v>25.529528406376212</v>
      </c>
      <c r="Z27" s="13">
        <v>35.937231755308567</v>
      </c>
      <c r="AB27" s="13">
        <f t="shared" si="3"/>
        <v>28.800162611632498</v>
      </c>
      <c r="AC27" s="13"/>
      <c r="AE27" s="33">
        <f t="shared" si="1"/>
        <v>-0.22867359342438931</v>
      </c>
      <c r="AF27" s="33">
        <f t="shared" si="2"/>
        <v>-0.22867359342438931</v>
      </c>
      <c r="AH27">
        <v>23</v>
      </c>
      <c r="AI27">
        <v>0</v>
      </c>
      <c r="AJ27">
        <v>0</v>
      </c>
    </row>
    <row r="28" spans="1:36">
      <c r="A28">
        <v>2033</v>
      </c>
      <c r="C28" s="13">
        <f t="shared" si="16"/>
        <v>29.076278040603714</v>
      </c>
      <c r="D28" s="84">
        <f t="shared" si="5"/>
        <v>28.900658061833173</v>
      </c>
      <c r="E28" s="84">
        <f>J28-SUM(F$7:F28)</f>
        <v>-0.22241027114824991</v>
      </c>
      <c r="F28" s="13">
        <f t="shared" si="10"/>
        <v>0</v>
      </c>
      <c r="G28" s="13">
        <f t="shared" si="11"/>
        <v>1</v>
      </c>
      <c r="H28" s="13">
        <f t="shared" si="14"/>
        <v>1</v>
      </c>
      <c r="I28" s="20">
        <f>I27+(I35-I15)/20</f>
        <v>0</v>
      </c>
      <c r="J28" s="13">
        <f t="shared" si="6"/>
        <v>-0.22241027114824991</v>
      </c>
      <c r="K28" s="13"/>
      <c r="L28" s="84">
        <f t="shared" si="15"/>
        <v>28.900658061833173</v>
      </c>
      <c r="M28" s="13">
        <f t="shared" si="12"/>
        <v>28.800162611632498</v>
      </c>
      <c r="N28" s="13">
        <f t="shared" si="8"/>
        <v>2032.219519270036</v>
      </c>
      <c r="O28" s="13">
        <f t="shared" si="9"/>
        <v>2018.3900351799064</v>
      </c>
      <c r="P28" s="13">
        <f t="shared" si="17"/>
        <v>0.94174634146466296</v>
      </c>
      <c r="R28">
        <v>2033</v>
      </c>
      <c r="S28" s="13">
        <v>32.644299700791024</v>
      </c>
      <c r="T28" s="13">
        <v>29.076278040603714</v>
      </c>
      <c r="U28" s="13">
        <v>25.584301476999958</v>
      </c>
      <c r="W28">
        <v>2033</v>
      </c>
      <c r="X28" s="13">
        <v>19.110416858761276</v>
      </c>
      <c r="Y28" s="13">
        <f t="shared" si="13"/>
        <v>29.076278040603714</v>
      </c>
      <c r="Z28" s="13">
        <v>39.597905978454527</v>
      </c>
      <c r="AB28" s="13">
        <f t="shared" si="3"/>
        <v>32.656075477571825</v>
      </c>
      <c r="AC28" s="13"/>
      <c r="AE28" s="33">
        <f t="shared" si="1"/>
        <v>9.6047186097401038E-3</v>
      </c>
      <c r="AF28" s="33">
        <f t="shared" si="2"/>
        <v>9.6047186097401038E-3</v>
      </c>
      <c r="AH28">
        <v>24</v>
      </c>
      <c r="AI28">
        <v>0</v>
      </c>
      <c r="AJ28">
        <v>0</v>
      </c>
    </row>
    <row r="29" spans="1:36">
      <c r="A29">
        <v>2034</v>
      </c>
      <c r="C29" s="13">
        <f t="shared" si="16"/>
        <v>32.644299700791024</v>
      </c>
      <c r="D29" s="84">
        <f t="shared" si="5"/>
        <v>32.651783149806242</v>
      </c>
      <c r="E29" s="84">
        <f>J29-SUM(F$7:F29)</f>
        <v>9.3405694367400174E-3</v>
      </c>
      <c r="F29" s="13">
        <f t="shared" si="10"/>
        <v>0</v>
      </c>
      <c r="G29" s="13">
        <f t="shared" si="11"/>
        <v>1</v>
      </c>
      <c r="H29" s="13">
        <f t="shared" si="14"/>
        <v>1</v>
      </c>
      <c r="I29" s="20">
        <f>I28+(I35-I15)/20</f>
        <v>0</v>
      </c>
      <c r="J29" s="13">
        <f t="shared" si="6"/>
        <v>9.3405694367400174E-3</v>
      </c>
      <c r="K29" s="13"/>
      <c r="L29" s="84">
        <f t="shared" si="15"/>
        <v>32.651783149806235</v>
      </c>
      <c r="M29" s="13">
        <f t="shared" si="12"/>
        <v>32.656075477571825</v>
      </c>
      <c r="N29" s="13">
        <f t="shared" si="8"/>
        <v>2033.219519270036</v>
      </c>
      <c r="O29" s="13">
        <f t="shared" si="9"/>
        <v>2018.3900351799064</v>
      </c>
      <c r="P29" s="13">
        <f t="shared" si="17"/>
        <v>0.94174634146466296</v>
      </c>
      <c r="R29">
        <v>2034</v>
      </c>
      <c r="S29" s="13">
        <v>36.209087821450417</v>
      </c>
      <c r="T29" s="13">
        <v>32.644299700791024</v>
      </c>
      <c r="U29" s="13">
        <v>29.076278040603714</v>
      </c>
      <c r="W29">
        <v>2034</v>
      </c>
      <c r="X29" s="13">
        <v>22.241683565830442</v>
      </c>
      <c r="Y29" s="13">
        <f t="shared" si="13"/>
        <v>32.644299700791024</v>
      </c>
      <c r="Z29" s="13">
        <v>43.019314504399027</v>
      </c>
      <c r="AB29" s="13">
        <f t="shared" si="3"/>
        <v>36.507599321444729</v>
      </c>
      <c r="AC29" s="13"/>
      <c r="AE29" s="33">
        <f t="shared" si="1"/>
        <v>0.24788303064387041</v>
      </c>
      <c r="AF29" s="33">
        <f t="shared" si="2"/>
        <v>0.24788303064387041</v>
      </c>
      <c r="AH29">
        <v>25</v>
      </c>
      <c r="AI29">
        <v>0</v>
      </c>
      <c r="AJ29">
        <v>0</v>
      </c>
    </row>
    <row r="30" spans="1:36">
      <c r="A30">
        <v>2035</v>
      </c>
      <c r="C30" s="13">
        <f t="shared" si="16"/>
        <v>36.209087821450417</v>
      </c>
      <c r="D30" s="84">
        <f t="shared" si="5"/>
        <v>36.398980748378492</v>
      </c>
      <c r="E30" s="84">
        <f>J30-SUM(F$7:F30)</f>
        <v>0.24109841747310801</v>
      </c>
      <c r="F30" s="13">
        <f t="shared" si="10"/>
        <v>0</v>
      </c>
      <c r="G30" s="13">
        <f t="shared" si="11"/>
        <v>1</v>
      </c>
      <c r="H30" s="13">
        <f t="shared" si="14"/>
        <v>1</v>
      </c>
      <c r="I30" s="20">
        <f>I29+(I35-I15)/20</f>
        <v>0</v>
      </c>
      <c r="J30" s="13">
        <f t="shared" si="6"/>
        <v>0.24109841747310801</v>
      </c>
      <c r="K30" s="13"/>
      <c r="L30" s="84">
        <f t="shared" si="15"/>
        <v>36.398980748378492</v>
      </c>
      <c r="M30" s="13">
        <f t="shared" si="12"/>
        <v>36.507599321444729</v>
      </c>
      <c r="N30" s="13">
        <f t="shared" si="8"/>
        <v>2034.219519270036</v>
      </c>
      <c r="O30" s="13">
        <f t="shared" si="9"/>
        <v>2018.3900351799064</v>
      </c>
      <c r="P30" s="13">
        <f t="shared" si="17"/>
        <v>0.94174634146466296</v>
      </c>
      <c r="R30">
        <v>2035</v>
      </c>
      <c r="S30" s="13">
        <v>39.691620122192134</v>
      </c>
      <c r="T30" s="13">
        <v>36.209087821450417</v>
      </c>
      <c r="U30" s="13">
        <v>32.644299700791024</v>
      </c>
      <c r="W30">
        <v>2035</v>
      </c>
      <c r="X30" s="13">
        <v>25.584301476999958</v>
      </c>
      <c r="Y30" s="13">
        <f t="shared" si="13"/>
        <v>36.209087821450417</v>
      </c>
      <c r="Z30" s="13">
        <v>46.131280259941583</v>
      </c>
      <c r="AB30" s="13">
        <f t="shared" si="3"/>
        <v>40.248112240310185</v>
      </c>
      <c r="AC30" s="13"/>
      <c r="AE30" s="33">
        <f t="shared" si="1"/>
        <v>0.48616134267800071</v>
      </c>
      <c r="AF30" s="33">
        <f t="shared" si="2"/>
        <v>0.48616134267800071</v>
      </c>
      <c r="AH30">
        <v>26</v>
      </c>
      <c r="AI30">
        <v>0</v>
      </c>
      <c r="AJ30">
        <v>0</v>
      </c>
    </row>
    <row r="31" spans="1:36">
      <c r="A31">
        <v>2036</v>
      </c>
      <c r="C31" s="13">
        <f t="shared" si="16"/>
        <v>39.691620122192134</v>
      </c>
      <c r="D31" s="84">
        <f t="shared" si="5"/>
        <v>40.046601769669586</v>
      </c>
      <c r="E31" s="84">
        <f>J31-SUM(F$7:F31)</f>
        <v>0.47303380567890979</v>
      </c>
      <c r="F31" s="13">
        <f t="shared" si="10"/>
        <v>0</v>
      </c>
      <c r="G31" s="13">
        <f t="shared" si="11"/>
        <v>1</v>
      </c>
      <c r="H31" s="13">
        <f t="shared" si="14"/>
        <v>1</v>
      </c>
      <c r="I31" s="20">
        <f>I30+(I35-I15)/20</f>
        <v>0</v>
      </c>
      <c r="J31" s="13">
        <f t="shared" si="6"/>
        <v>0.47303380567890979</v>
      </c>
      <c r="K31" s="13"/>
      <c r="L31" s="84">
        <f t="shared" si="15"/>
        <v>40.046601769669586</v>
      </c>
      <c r="M31" s="13">
        <f t="shared" si="12"/>
        <v>40.248112240310185</v>
      </c>
      <c r="N31" s="13">
        <f t="shared" si="8"/>
        <v>2035.219519270036</v>
      </c>
      <c r="O31" s="13">
        <f t="shared" si="9"/>
        <v>2018.3900351799064</v>
      </c>
      <c r="P31" s="13">
        <f t="shared" si="17"/>
        <v>0.94174634146466296</v>
      </c>
      <c r="R31">
        <v>2036</v>
      </c>
      <c r="S31" s="13">
        <v>43.019314504399027</v>
      </c>
      <c r="T31" s="13">
        <v>39.691620122192134</v>
      </c>
      <c r="U31" s="13">
        <v>36.209087821450417</v>
      </c>
      <c r="W31">
        <v>2036</v>
      </c>
      <c r="X31" s="13">
        <v>29.076278040603714</v>
      </c>
      <c r="Y31" s="13">
        <f t="shared" si="13"/>
        <v>39.691620122192134</v>
      </c>
      <c r="Z31" s="13">
        <v>48.981940547460013</v>
      </c>
      <c r="AB31" s="13">
        <f t="shared" si="3"/>
        <v>43.782954090933238</v>
      </c>
      <c r="AC31" s="13"/>
      <c r="AE31" s="33">
        <f t="shared" si="1"/>
        <v>0.72443965471213101</v>
      </c>
      <c r="AF31" s="33">
        <f t="shared" si="2"/>
        <v>0.72443965471213101</v>
      </c>
      <c r="AH31">
        <v>27</v>
      </c>
      <c r="AI31">
        <v>0</v>
      </c>
      <c r="AJ31">
        <v>0</v>
      </c>
    </row>
    <row r="32" spans="1:36">
      <c r="A32">
        <v>2037</v>
      </c>
      <c r="C32" s="13">
        <f t="shared" si="16"/>
        <v>43.019314504399027</v>
      </c>
      <c r="D32" s="84">
        <f t="shared" si="5"/>
        <v>43.508512265164875</v>
      </c>
      <c r="E32" s="84">
        <f>J32-SUM(F$7:F32)</f>
        <v>0.70529966578075576</v>
      </c>
      <c r="F32" s="13">
        <f t="shared" si="10"/>
        <v>0</v>
      </c>
      <c r="G32" s="13">
        <f t="shared" si="11"/>
        <v>1</v>
      </c>
      <c r="H32" s="13">
        <f t="shared" si="14"/>
        <v>1</v>
      </c>
      <c r="I32" s="20">
        <f>I31+(I35-I15)/20</f>
        <v>0</v>
      </c>
      <c r="J32" s="13">
        <f t="shared" si="6"/>
        <v>0.70529966578075576</v>
      </c>
      <c r="K32" s="13"/>
      <c r="L32" s="84">
        <f t="shared" si="15"/>
        <v>43.508512265164875</v>
      </c>
      <c r="M32" s="13">
        <f t="shared" si="12"/>
        <v>43.782954090933238</v>
      </c>
      <c r="N32" s="13">
        <f t="shared" si="8"/>
        <v>2036.219519270036</v>
      </c>
      <c r="O32" s="13">
        <f t="shared" si="9"/>
        <v>2018.3900351799064</v>
      </c>
      <c r="P32" s="13">
        <f t="shared" si="17"/>
        <v>0.94174634146466296</v>
      </c>
      <c r="R32">
        <v>2037</v>
      </c>
      <c r="S32" s="13">
        <v>46.131280259941583</v>
      </c>
      <c r="T32" s="13">
        <v>43.019314504399027</v>
      </c>
      <c r="U32" s="13">
        <v>39.691620122192134</v>
      </c>
      <c r="W32">
        <v>2037</v>
      </c>
      <c r="X32" s="13">
        <v>32.644299700791024</v>
      </c>
      <c r="Y32" s="13">
        <f t="shared" si="13"/>
        <v>43.019314504399027</v>
      </c>
      <c r="Z32" s="13">
        <v>51.54266515602253</v>
      </c>
      <c r="AB32" s="13">
        <f t="shared" si="3"/>
        <v>47.038267718087994</v>
      </c>
      <c r="AC32" s="13"/>
      <c r="AE32" s="33">
        <f t="shared" si="1"/>
        <v>0.96271796674626042</v>
      </c>
      <c r="AF32" s="33">
        <f t="shared" si="2"/>
        <v>0.96271796674626042</v>
      </c>
      <c r="AH32">
        <v>28</v>
      </c>
      <c r="AI32">
        <v>0</v>
      </c>
      <c r="AJ32">
        <v>0</v>
      </c>
    </row>
    <row r="33" spans="1:36">
      <c r="A33">
        <v>2038</v>
      </c>
      <c r="C33" s="13">
        <f t="shared" si="16"/>
        <v>46.131280259941583</v>
      </c>
      <c r="D33" s="84">
        <f t="shared" si="5"/>
        <v>46.715442203830662</v>
      </c>
      <c r="E33" s="84">
        <f>J33-SUM(F$7:F33)</f>
        <v>0.93801791085019237</v>
      </c>
      <c r="F33" s="13">
        <f t="shared" si="10"/>
        <v>0</v>
      </c>
      <c r="G33" s="13">
        <f t="shared" si="11"/>
        <v>1</v>
      </c>
      <c r="H33" s="13">
        <f t="shared" si="14"/>
        <v>1</v>
      </c>
      <c r="I33" s="20">
        <f>I32+(I35-I15)/20</f>
        <v>0</v>
      </c>
      <c r="J33" s="13">
        <f t="shared" si="6"/>
        <v>0.93801791085019237</v>
      </c>
      <c r="K33" s="13"/>
      <c r="L33" s="84">
        <f t="shared" si="15"/>
        <v>46.715442203830662</v>
      </c>
      <c r="M33" s="13">
        <f t="shared" si="12"/>
        <v>47.038267718087994</v>
      </c>
      <c r="N33" s="13">
        <f t="shared" si="8"/>
        <v>2037.219519270036</v>
      </c>
      <c r="O33" s="13">
        <f t="shared" si="9"/>
        <v>2018.3900351799064</v>
      </c>
      <c r="P33" s="13">
        <f t="shared" si="17"/>
        <v>0.94174634146466296</v>
      </c>
      <c r="R33">
        <v>2038</v>
      </c>
      <c r="S33" s="13">
        <v>48.981940547460013</v>
      </c>
      <c r="T33" s="13">
        <v>46.131280259941583</v>
      </c>
      <c r="U33" s="13">
        <v>43.019314504399027</v>
      </c>
      <c r="W33">
        <v>2038</v>
      </c>
      <c r="X33" s="13">
        <v>36.209087821450417</v>
      </c>
      <c r="Y33" s="13">
        <f t="shared" si="13"/>
        <v>46.131280259941583</v>
      </c>
      <c r="Z33" s="13">
        <v>53.80143448311258</v>
      </c>
      <c r="AB33" s="13">
        <f t="shared" si="3"/>
        <v>49.965627955048241</v>
      </c>
      <c r="AC33" s="13"/>
      <c r="AE33" s="33">
        <f t="shared" si="1"/>
        <v>1.2009962787803907</v>
      </c>
      <c r="AF33" s="33">
        <f t="shared" si="2"/>
        <v>1.2009962787803907</v>
      </c>
      <c r="AH33">
        <v>29</v>
      </c>
      <c r="AI33">
        <v>0</v>
      </c>
      <c r="AJ33">
        <v>0</v>
      </c>
    </row>
    <row r="34" spans="1:36">
      <c r="A34">
        <v>2039</v>
      </c>
      <c r="C34" s="13">
        <f t="shared" si="16"/>
        <v>48.981940547460013</v>
      </c>
      <c r="D34" s="84">
        <f t="shared" si="5"/>
        <v>49.619362656661892</v>
      </c>
      <c r="E34" s="84">
        <f>J34-SUM(F$7:F34)</f>
        <v>1.1712717307285199</v>
      </c>
      <c r="F34" s="13">
        <f t="shared" si="10"/>
        <v>0</v>
      </c>
      <c r="G34" s="13">
        <f t="shared" si="11"/>
        <v>1</v>
      </c>
      <c r="H34" s="13">
        <f t="shared" si="14"/>
        <v>1</v>
      </c>
      <c r="I34" s="20">
        <f>I33+(I35-I15)/20</f>
        <v>0</v>
      </c>
      <c r="J34" s="13">
        <f t="shared" si="6"/>
        <v>1.1712717307285199</v>
      </c>
      <c r="K34" s="13"/>
      <c r="L34" s="84">
        <f t="shared" si="15"/>
        <v>49.619362656661892</v>
      </c>
      <c r="M34" s="13">
        <f t="shared" si="12"/>
        <v>49.965627955048241</v>
      </c>
      <c r="N34" s="13">
        <f t="shared" si="8"/>
        <v>2038.219519270036</v>
      </c>
      <c r="O34" s="13">
        <f t="shared" si="9"/>
        <v>2018.3900351799064</v>
      </c>
      <c r="P34" s="13">
        <f t="shared" si="17"/>
        <v>0.94174634146466296</v>
      </c>
      <c r="R34">
        <v>2039</v>
      </c>
      <c r="S34" s="13">
        <v>51.54266515602253</v>
      </c>
      <c r="T34" s="13">
        <v>48.981940547460013</v>
      </c>
      <c r="U34" s="13">
        <v>46.131280259941583</v>
      </c>
      <c r="W34">
        <v>2039</v>
      </c>
      <c r="X34" s="13">
        <v>39.691620122192134</v>
      </c>
      <c r="Y34" s="13">
        <f t="shared" si="13"/>
        <v>48.981940547460013</v>
      </c>
      <c r="Z34" s="13">
        <v>55.760887983522075</v>
      </c>
      <c r="AB34" s="13">
        <f t="shared" si="3"/>
        <v>52.542249014773667</v>
      </c>
      <c r="AC34" s="13"/>
      <c r="AE34" s="33">
        <f t="shared" si="1"/>
        <v>1.439274590814521</v>
      </c>
      <c r="AF34" s="33">
        <f t="shared" si="2"/>
        <v>1.439274590814521</v>
      </c>
      <c r="AH34">
        <v>30</v>
      </c>
      <c r="AI34">
        <v>0</v>
      </c>
      <c r="AJ34">
        <v>0</v>
      </c>
    </row>
    <row r="35" spans="1:36">
      <c r="A35">
        <v>2040</v>
      </c>
      <c r="C35" s="13">
        <f t="shared" si="16"/>
        <v>51.54266515602253</v>
      </c>
      <c r="D35" s="84">
        <f>65*EXP(E35)/(1+EXP(E35))</f>
        <v>52.194518737281456</v>
      </c>
      <c r="E35" s="84">
        <f>J35-SUM(F$7:F35)</f>
        <v>1.4051041814283789</v>
      </c>
      <c r="F35" s="13">
        <f t="shared" si="10"/>
        <v>0</v>
      </c>
      <c r="G35" s="13">
        <f t="shared" si="11"/>
        <v>1</v>
      </c>
      <c r="H35" s="13">
        <f t="shared" si="14"/>
        <v>1</v>
      </c>
      <c r="I35" s="89">
        <v>0</v>
      </c>
      <c r="J35" s="13">
        <f t="shared" si="6"/>
        <v>1.4051041814283789</v>
      </c>
      <c r="K35" s="13"/>
      <c r="L35" s="84">
        <f t="shared" si="15"/>
        <v>52.194518737281456</v>
      </c>
      <c r="M35" s="13">
        <f t="shared" si="12"/>
        <v>52.542249014773667</v>
      </c>
      <c r="N35" s="13">
        <f t="shared" si="8"/>
        <v>2039.219519270036</v>
      </c>
      <c r="O35" s="13">
        <f t="shared" si="9"/>
        <v>2018.3900351799064</v>
      </c>
      <c r="P35" s="13">
        <f t="shared" si="17"/>
        <v>0.94174634146466296</v>
      </c>
      <c r="R35" s="87">
        <v>2040</v>
      </c>
      <c r="S35" s="13">
        <v>53.80143448311258</v>
      </c>
      <c r="T35" s="13">
        <v>51.54266515602253</v>
      </c>
      <c r="U35" s="13">
        <v>48.981940547460013</v>
      </c>
      <c r="W35" s="87">
        <v>2040</v>
      </c>
      <c r="X35" s="13">
        <v>43.019314504399027</v>
      </c>
      <c r="Y35" s="13">
        <f t="shared" si="13"/>
        <v>51.54266515602253</v>
      </c>
      <c r="Z35" s="13">
        <v>57.43531933423801</v>
      </c>
      <c r="AB35" s="13">
        <f t="shared" si="3"/>
        <v>54.767714504466355</v>
      </c>
      <c r="AC35" s="13"/>
      <c r="AE35" s="33">
        <f t="shared" si="1"/>
        <v>1.6775529028486504</v>
      </c>
      <c r="AF35" s="33">
        <f t="shared" si="2"/>
        <v>1.6775529028486504</v>
      </c>
      <c r="AH35">
        <v>31</v>
      </c>
      <c r="AI35">
        <v>0</v>
      </c>
      <c r="AJ35">
        <v>0</v>
      </c>
    </row>
    <row r="36" spans="1:36">
      <c r="A36">
        <v>2041</v>
      </c>
      <c r="C36" s="13">
        <f t="shared" si="16"/>
        <v>53.80143448311258</v>
      </c>
      <c r="D36" s="84">
        <f t="shared" si="5"/>
        <v>54.435543438604093</v>
      </c>
      <c r="E36" s="84">
        <f>J36-SUM(F$7:F36)</f>
        <v>1.6395221004295051</v>
      </c>
      <c r="F36" s="13">
        <f t="shared" si="10"/>
        <v>0</v>
      </c>
      <c r="G36" s="13">
        <f t="shared" si="11"/>
        <v>1</v>
      </c>
      <c r="H36" s="13">
        <f t="shared" si="14"/>
        <v>1</v>
      </c>
      <c r="I36" s="89">
        <f>I35</f>
        <v>0</v>
      </c>
      <c r="J36" s="13">
        <f t="shared" si="6"/>
        <v>1.6395221004295051</v>
      </c>
      <c r="K36" s="13"/>
      <c r="L36" s="84">
        <f t="shared" si="15"/>
        <v>54.435543438604086</v>
      </c>
      <c r="M36" s="13">
        <f t="shared" si="12"/>
        <v>54.767714504466355</v>
      </c>
      <c r="N36" s="13">
        <f t="shared" si="8"/>
        <v>2040.219519270036</v>
      </c>
      <c r="O36" s="13">
        <f t="shared" si="9"/>
        <v>2018.3900351799064</v>
      </c>
      <c r="P36" s="13">
        <f t="shared" si="17"/>
        <v>0.94174634146466296</v>
      </c>
      <c r="R36">
        <v>2041</v>
      </c>
      <c r="S36" s="13">
        <v>55.760887983522075</v>
      </c>
      <c r="T36" s="13">
        <v>53.80143448311258</v>
      </c>
      <c r="U36" s="13">
        <v>51.54266515602253</v>
      </c>
      <c r="W36">
        <v>2041</v>
      </c>
      <c r="X36" s="13">
        <v>46.131280259941583</v>
      </c>
      <c r="Y36" s="13">
        <f t="shared" si="13"/>
        <v>53.80143448311258</v>
      </c>
      <c r="Z36" s="13">
        <v>58.847235925457504</v>
      </c>
      <c r="AB36" s="13">
        <f t="shared" si="3"/>
        <v>56.65873449403103</v>
      </c>
      <c r="AC36" s="13"/>
      <c r="AE36" s="33">
        <f t="shared" si="1"/>
        <v>1.9158312148827807</v>
      </c>
      <c r="AF36" s="33">
        <f t="shared" si="2"/>
        <v>1.9158312148827807</v>
      </c>
      <c r="AH36">
        <v>32</v>
      </c>
      <c r="AI36">
        <v>0</v>
      </c>
      <c r="AJ36">
        <v>0</v>
      </c>
    </row>
    <row r="37" spans="1:36">
      <c r="A37">
        <v>2042</v>
      </c>
      <c r="C37" s="13">
        <f t="shared" si="16"/>
        <v>55.760887983522075</v>
      </c>
      <c r="D37" s="84">
        <f t="shared" si="5"/>
        <v>56.353602761007529</v>
      </c>
      <c r="E37" s="84">
        <f>J37-SUM(F$7:F37)</f>
        <v>1.874503443844493</v>
      </c>
      <c r="F37" s="13">
        <f t="shared" si="10"/>
        <v>0</v>
      </c>
      <c r="G37" s="13">
        <f t="shared" si="11"/>
        <v>1</v>
      </c>
      <c r="H37" s="13">
        <f t="shared" si="14"/>
        <v>1</v>
      </c>
      <c r="I37" s="89">
        <f t="shared" ref="I37:I50" si="18">I36</f>
        <v>0</v>
      </c>
      <c r="J37" s="13">
        <f t="shared" si="6"/>
        <v>1.874503443844493</v>
      </c>
      <c r="K37" s="13"/>
      <c r="L37" s="84">
        <f t="shared" si="15"/>
        <v>56.353602761007529</v>
      </c>
      <c r="M37" s="13">
        <f t="shared" si="12"/>
        <v>56.65873449403103</v>
      </c>
      <c r="N37" s="13">
        <f t="shared" si="8"/>
        <v>2041.219519270036</v>
      </c>
      <c r="O37" s="13">
        <f t="shared" si="9"/>
        <v>2018.3900351799064</v>
      </c>
      <c r="P37" s="13">
        <f t="shared" si="17"/>
        <v>0.94174634146466296</v>
      </c>
      <c r="R37">
        <v>2042</v>
      </c>
      <c r="S37" s="13">
        <v>57.43531933423801</v>
      </c>
      <c r="T37" s="13">
        <v>55.760887983522075</v>
      </c>
      <c r="U37" s="13">
        <v>53.80143448311258</v>
      </c>
      <c r="W37">
        <v>2042</v>
      </c>
      <c r="X37" s="13">
        <v>48.981940547460013</v>
      </c>
      <c r="Y37" s="13">
        <f t="shared" si="13"/>
        <v>55.760887983522075</v>
      </c>
      <c r="Z37" s="13">
        <v>60.024019742333699</v>
      </c>
      <c r="AB37" s="13">
        <f t="shared" si="3"/>
        <v>58.243391224701156</v>
      </c>
      <c r="AC37" s="13"/>
      <c r="AE37" s="33">
        <f t="shared" si="1"/>
        <v>2.154109526916911</v>
      </c>
      <c r="AF37" s="33">
        <f t="shared" si="2"/>
        <v>2.154109526916911</v>
      </c>
      <c r="AH37">
        <v>33</v>
      </c>
      <c r="AI37">
        <v>0</v>
      </c>
      <c r="AJ37">
        <v>0</v>
      </c>
    </row>
    <row r="38" spans="1:36">
      <c r="A38">
        <v>2043</v>
      </c>
      <c r="C38" s="13">
        <f t="shared" si="16"/>
        <v>57.43531933423801</v>
      </c>
      <c r="D38" s="84">
        <f t="shared" si="5"/>
        <v>57.971674029607172</v>
      </c>
      <c r="E38" s="84">
        <f>J38-SUM(F$7:F38)</f>
        <v>2.1100059615292337</v>
      </c>
      <c r="F38" s="13">
        <f t="shared" si="10"/>
        <v>0</v>
      </c>
      <c r="G38" s="13">
        <f t="shared" si="11"/>
        <v>1</v>
      </c>
      <c r="H38" s="13">
        <f t="shared" si="14"/>
        <v>1</v>
      </c>
      <c r="I38" s="89">
        <f t="shared" si="18"/>
        <v>0</v>
      </c>
      <c r="J38" s="13">
        <f t="shared" si="6"/>
        <v>2.1100059615292337</v>
      </c>
      <c r="K38" s="13"/>
      <c r="L38" s="84">
        <f t="shared" si="15"/>
        <v>57.971674029607172</v>
      </c>
      <c r="M38" s="13">
        <f t="shared" si="12"/>
        <v>58.243391224701156</v>
      </c>
      <c r="N38" s="13">
        <f t="shared" si="8"/>
        <v>2042.219519270036</v>
      </c>
      <c r="O38" s="13">
        <f t="shared" si="9"/>
        <v>2018.3900351799064</v>
      </c>
      <c r="P38" s="13">
        <f t="shared" si="17"/>
        <v>0.94174634146466296</v>
      </c>
      <c r="R38">
        <v>2043</v>
      </c>
      <c r="S38" s="13">
        <v>58.847235925457504</v>
      </c>
      <c r="T38" s="13">
        <v>57.43531933423801</v>
      </c>
      <c r="U38" s="13">
        <v>55.760887983522075</v>
      </c>
      <c r="W38">
        <v>2043</v>
      </c>
      <c r="X38" s="13">
        <v>51.54266515602253</v>
      </c>
      <c r="Y38" s="13">
        <f t="shared" si="13"/>
        <v>57.43531933423801</v>
      </c>
      <c r="Z38" s="13">
        <v>60.995062429685902</v>
      </c>
      <c r="AB38" s="13">
        <f t="shared" si="3"/>
        <v>59.55592456706546</v>
      </c>
      <c r="AC38" s="13"/>
      <c r="AE38" s="33">
        <f t="shared" si="1"/>
        <v>2.3923878389510413</v>
      </c>
      <c r="AF38" s="33">
        <f t="shared" si="2"/>
        <v>2.3923878389510413</v>
      </c>
      <c r="AH38">
        <v>34</v>
      </c>
      <c r="AI38">
        <v>0</v>
      </c>
      <c r="AJ38">
        <v>0</v>
      </c>
    </row>
    <row r="39" spans="1:36">
      <c r="A39">
        <v>2044</v>
      </c>
      <c r="C39" s="13">
        <f t="shared" si="16"/>
        <v>58.847235925457504</v>
      </c>
      <c r="D39" s="84">
        <f t="shared" si="5"/>
        <v>59.319897554795212</v>
      </c>
      <c r="E39" s="84">
        <f>J39-SUM(F$7:F39)</f>
        <v>2.3459755215775608</v>
      </c>
      <c r="F39" s="13">
        <f t="shared" si="10"/>
        <v>0</v>
      </c>
      <c r="G39" s="13">
        <f t="shared" si="11"/>
        <v>1</v>
      </c>
      <c r="H39" s="13">
        <f t="shared" si="14"/>
        <v>1</v>
      </c>
      <c r="I39" s="89">
        <f t="shared" si="18"/>
        <v>0</v>
      </c>
      <c r="J39" s="13">
        <f t="shared" si="6"/>
        <v>2.3459755215775608</v>
      </c>
      <c r="K39" s="13"/>
      <c r="L39" s="84">
        <f t="shared" si="15"/>
        <v>59.319897554795205</v>
      </c>
      <c r="M39" s="13">
        <f t="shared" si="12"/>
        <v>59.55592456706546</v>
      </c>
      <c r="N39" s="13">
        <f t="shared" si="8"/>
        <v>2043.219519270036</v>
      </c>
      <c r="O39" s="13">
        <f t="shared" si="9"/>
        <v>2018.3900351799064</v>
      </c>
      <c r="P39" s="13">
        <f t="shared" si="17"/>
        <v>0.94174634146466296</v>
      </c>
      <c r="R39">
        <v>2044</v>
      </c>
      <c r="S39" s="13">
        <v>60.024019742333699</v>
      </c>
      <c r="T39" s="13">
        <v>58.847235925457504</v>
      </c>
      <c r="U39" s="13">
        <v>57.43531933423801</v>
      </c>
      <c r="W39">
        <v>2044</v>
      </c>
      <c r="X39" s="13">
        <v>53.80143448311258</v>
      </c>
      <c r="Y39" s="13">
        <f t="shared" si="13"/>
        <v>58.847235925457504</v>
      </c>
      <c r="Z39" s="13">
        <v>61.789561498396438</v>
      </c>
      <c r="AB39" s="13">
        <f t="shared" si="3"/>
        <v>60.632605357771858</v>
      </c>
      <c r="AC39" s="13"/>
      <c r="AE39" s="33">
        <f t="shared" si="1"/>
        <v>2.6306661509851708</v>
      </c>
      <c r="AF39" s="33">
        <f t="shared" si="2"/>
        <v>2.6306661509851708</v>
      </c>
      <c r="AH39">
        <v>35</v>
      </c>
      <c r="AI39">
        <v>0</v>
      </c>
      <c r="AJ39">
        <v>0</v>
      </c>
    </row>
    <row r="40" spans="1:36">
      <c r="A40">
        <v>2045</v>
      </c>
      <c r="C40" s="13">
        <f t="shared" si="16"/>
        <v>60.024019742333699</v>
      </c>
      <c r="D40" s="84">
        <f t="shared" si="5"/>
        <v>60.431616706697206</v>
      </c>
      <c r="E40" s="84">
        <f>J40-SUM(F$7:F40)</f>
        <v>2.5823530462198288</v>
      </c>
      <c r="F40" s="13">
        <f t="shared" si="10"/>
        <v>0</v>
      </c>
      <c r="G40" s="13">
        <f t="shared" si="11"/>
        <v>1</v>
      </c>
      <c r="H40" s="13">
        <f t="shared" si="14"/>
        <v>1</v>
      </c>
      <c r="I40" s="89">
        <f t="shared" si="18"/>
        <v>0</v>
      </c>
      <c r="J40" s="13">
        <f t="shared" si="6"/>
        <v>2.5823530462198288</v>
      </c>
      <c r="K40" s="13"/>
      <c r="L40" s="84">
        <f t="shared" si="15"/>
        <v>60.431616706697206</v>
      </c>
      <c r="M40" s="13">
        <f t="shared" si="12"/>
        <v>60.632605357771858</v>
      </c>
      <c r="N40" s="13">
        <f t="shared" si="8"/>
        <v>2044.219519270036</v>
      </c>
      <c r="O40" s="13">
        <f t="shared" si="9"/>
        <v>2018.3900351799064</v>
      </c>
      <c r="P40" s="13">
        <f t="shared" si="17"/>
        <v>0.94174634146466296</v>
      </c>
      <c r="R40">
        <v>2045</v>
      </c>
      <c r="S40" s="13">
        <v>60.995062429685902</v>
      </c>
      <c r="T40" s="13">
        <v>60.024019742333699</v>
      </c>
      <c r="U40" s="13">
        <v>58.847235925457504</v>
      </c>
      <c r="W40">
        <v>2045</v>
      </c>
      <c r="X40" s="13">
        <v>55.760887983522075</v>
      </c>
      <c r="Y40" s="13">
        <f t="shared" si="13"/>
        <v>60.024019742333699</v>
      </c>
      <c r="Z40" s="13">
        <v>62.435006443948865</v>
      </c>
      <c r="AB40" s="13">
        <f t="shared" si="3"/>
        <v>61.50883213040651</v>
      </c>
      <c r="AC40" s="13"/>
      <c r="AE40" s="33">
        <f t="shared" si="1"/>
        <v>2.8689444630193002</v>
      </c>
      <c r="AF40" s="33">
        <f t="shared" si="2"/>
        <v>2.8689444630193002</v>
      </c>
      <c r="AH40">
        <v>36</v>
      </c>
      <c r="AI40">
        <v>0</v>
      </c>
      <c r="AJ40">
        <v>0</v>
      </c>
    </row>
    <row r="41" spans="1:36">
      <c r="A41">
        <v>2046</v>
      </c>
      <c r="C41" s="13">
        <f t="shared" si="16"/>
        <v>60.995062429685902</v>
      </c>
      <c r="D41" s="84">
        <f t="shared" si="5"/>
        <v>61.340382111673492</v>
      </c>
      <c r="E41" s="84">
        <f>J41-SUM(F$7:F41)</f>
        <v>2.8190796482048124</v>
      </c>
      <c r="F41" s="13">
        <f t="shared" si="10"/>
        <v>0</v>
      </c>
      <c r="G41" s="13">
        <f t="shared" si="11"/>
        <v>1</v>
      </c>
      <c r="H41" s="13">
        <f t="shared" si="14"/>
        <v>1</v>
      </c>
      <c r="I41" s="89">
        <f t="shared" si="18"/>
        <v>0</v>
      </c>
      <c r="J41" s="13">
        <f t="shared" si="6"/>
        <v>2.8190796482048124</v>
      </c>
      <c r="K41" s="13"/>
      <c r="L41" s="84">
        <f t="shared" si="15"/>
        <v>61.340382111673492</v>
      </c>
      <c r="M41" s="13">
        <f t="shared" si="12"/>
        <v>61.50883213040651</v>
      </c>
      <c r="N41" s="13">
        <f t="shared" si="8"/>
        <v>2045.219519270036</v>
      </c>
      <c r="O41" s="13">
        <f t="shared" si="9"/>
        <v>2018.3900351799064</v>
      </c>
      <c r="P41" s="13">
        <f t="shared" si="17"/>
        <v>0.94174634146466296</v>
      </c>
      <c r="R41">
        <v>2046</v>
      </c>
      <c r="S41" s="13">
        <v>61.789561498396438</v>
      </c>
      <c r="T41" s="13">
        <v>60.995062429685902</v>
      </c>
      <c r="U41" s="13">
        <v>60.024019742333699</v>
      </c>
      <c r="W41">
        <v>2046</v>
      </c>
      <c r="X41" s="13">
        <v>57.43531933423801</v>
      </c>
      <c r="Y41" s="13">
        <f t="shared" si="13"/>
        <v>60.995062429685902</v>
      </c>
      <c r="Z41" s="13">
        <v>62.956277730654051</v>
      </c>
      <c r="AB41" s="13">
        <f t="shared" si="3"/>
        <v>62.217330253541057</v>
      </c>
      <c r="AC41" s="13"/>
      <c r="AE41" s="33">
        <f t="shared" si="1"/>
        <v>3.1072227750534314</v>
      </c>
      <c r="AF41" s="33">
        <f t="shared" si="2"/>
        <v>3.1072227750534314</v>
      </c>
      <c r="AH41">
        <v>37</v>
      </c>
      <c r="AI41">
        <v>0</v>
      </c>
      <c r="AJ41">
        <v>0</v>
      </c>
    </row>
    <row r="42" spans="1:36">
      <c r="A42">
        <v>2047</v>
      </c>
      <c r="C42" s="13">
        <f t="shared" si="16"/>
        <v>61.789561498396438</v>
      </c>
      <c r="D42" s="84">
        <f t="shared" si="5"/>
        <v>62.077934875817903</v>
      </c>
      <c r="E42" s="84">
        <f>J42-SUM(F$7:F42)</f>
        <v>3.0561000091735733</v>
      </c>
      <c r="F42" s="13">
        <f t="shared" si="10"/>
        <v>0</v>
      </c>
      <c r="G42" s="13">
        <f t="shared" si="11"/>
        <v>1</v>
      </c>
      <c r="H42" s="13">
        <f t="shared" si="14"/>
        <v>1</v>
      </c>
      <c r="I42" s="89">
        <f t="shared" si="18"/>
        <v>0</v>
      </c>
      <c r="J42" s="13">
        <f t="shared" si="6"/>
        <v>3.0561000091735733</v>
      </c>
      <c r="K42" s="13"/>
      <c r="L42" s="84">
        <f t="shared" si="15"/>
        <v>62.077934875817903</v>
      </c>
      <c r="M42" s="13">
        <f t="shared" si="12"/>
        <v>62.217330253541057</v>
      </c>
      <c r="N42" s="13">
        <f t="shared" si="8"/>
        <v>2046.219519270036</v>
      </c>
      <c r="O42" s="13">
        <f t="shared" si="9"/>
        <v>2018.3900351799064</v>
      </c>
      <c r="P42" s="13">
        <f t="shared" si="17"/>
        <v>0.94174634146466296</v>
      </c>
      <c r="R42">
        <v>2047</v>
      </c>
      <c r="S42" s="13">
        <v>62.435006443948865</v>
      </c>
      <c r="T42" s="13">
        <v>61.789561498396438</v>
      </c>
      <c r="U42" s="13">
        <v>60.995062429685902</v>
      </c>
      <c r="W42">
        <v>2047</v>
      </c>
      <c r="X42" s="13">
        <v>58.847235925457504</v>
      </c>
      <c r="Y42" s="13">
        <f t="shared" si="13"/>
        <v>61.789561498396438</v>
      </c>
      <c r="Z42" s="13">
        <v>63.375229853366932</v>
      </c>
      <c r="AB42" s="13">
        <f t="shared" si="3"/>
        <v>62.787218249582544</v>
      </c>
      <c r="AC42" s="13"/>
      <c r="AE42" s="33">
        <f t="shared" si="1"/>
        <v>3.3455010870875608</v>
      </c>
      <c r="AF42" s="33">
        <f t="shared" si="2"/>
        <v>3.3455010870875608</v>
      </c>
      <c r="AH42">
        <v>38</v>
      </c>
      <c r="AI42">
        <v>0</v>
      </c>
      <c r="AJ42">
        <v>0</v>
      </c>
    </row>
    <row r="43" spans="1:36">
      <c r="A43">
        <v>2048</v>
      </c>
      <c r="C43" s="13">
        <f t="shared" si="16"/>
        <v>62.435006443948865</v>
      </c>
      <c r="D43" s="84">
        <f t="shared" si="5"/>
        <v>62.673030156737426</v>
      </c>
      <c r="E43" s="84">
        <f>J43-SUM(F$7:F43)</f>
        <v>3.2933642893164365</v>
      </c>
      <c r="F43" s="13">
        <f t="shared" si="10"/>
        <v>0</v>
      </c>
      <c r="G43" s="13">
        <f t="shared" si="11"/>
        <v>1</v>
      </c>
      <c r="H43" s="13">
        <f t="shared" si="14"/>
        <v>1</v>
      </c>
      <c r="I43" s="89">
        <f t="shared" si="18"/>
        <v>0</v>
      </c>
      <c r="J43" s="13">
        <f t="shared" si="6"/>
        <v>3.2933642893164365</v>
      </c>
      <c r="K43" s="13"/>
      <c r="L43" s="84">
        <f t="shared" si="15"/>
        <v>62.673030156737433</v>
      </c>
      <c r="M43" s="13">
        <f t="shared" si="12"/>
        <v>62.787218249582544</v>
      </c>
      <c r="N43" s="13">
        <f t="shared" si="8"/>
        <v>2047.219519270036</v>
      </c>
      <c r="O43" s="13">
        <f t="shared" si="9"/>
        <v>2018.3900351799064</v>
      </c>
      <c r="P43" s="13">
        <f t="shared" si="17"/>
        <v>0.94174634146466296</v>
      </c>
      <c r="R43">
        <v>2048</v>
      </c>
      <c r="S43" s="13">
        <v>62.956277730654051</v>
      </c>
      <c r="T43" s="13">
        <v>62.435006443948865</v>
      </c>
      <c r="U43" s="13">
        <v>61.789561498396438</v>
      </c>
      <c r="W43">
        <v>2048</v>
      </c>
      <c r="X43" s="13">
        <v>60.024019742333699</v>
      </c>
      <c r="Y43" s="13">
        <f t="shared" si="13"/>
        <v>62.435006443948865</v>
      </c>
      <c r="Z43" s="13">
        <v>63.710619731084243</v>
      </c>
      <c r="AB43" s="13">
        <f t="shared" si="3"/>
        <v>63.243688387787543</v>
      </c>
      <c r="AC43" s="13"/>
      <c r="AE43" s="33">
        <f t="shared" si="1"/>
        <v>3.5837793991216902</v>
      </c>
      <c r="AF43" s="33">
        <f t="shared" si="2"/>
        <v>3.5837793991216902</v>
      </c>
      <c r="AH43">
        <v>39</v>
      </c>
      <c r="AI43">
        <v>0</v>
      </c>
      <c r="AJ43">
        <v>0</v>
      </c>
    </row>
    <row r="44" spans="1:36">
      <c r="A44">
        <v>2049</v>
      </c>
      <c r="C44" s="13">
        <f t="shared" si="16"/>
        <v>62.956277730654051</v>
      </c>
      <c r="D44" s="84">
        <f t="shared" si="5"/>
        <v>63.150901572472876</v>
      </c>
      <c r="E44" s="84">
        <f>J44-SUM(F$7:F44)</f>
        <v>3.5308289415452658</v>
      </c>
      <c r="F44" s="13">
        <f t="shared" si="10"/>
        <v>0</v>
      </c>
      <c r="G44" s="13">
        <f t="shared" si="11"/>
        <v>1</v>
      </c>
      <c r="H44" s="13">
        <f t="shared" si="14"/>
        <v>1</v>
      </c>
      <c r="I44" s="89">
        <f t="shared" si="18"/>
        <v>0</v>
      </c>
      <c r="J44" s="13">
        <f t="shared" si="6"/>
        <v>3.5308289415452658</v>
      </c>
      <c r="K44" s="13"/>
      <c r="L44" s="84">
        <f t="shared" si="15"/>
        <v>63.150901572472876</v>
      </c>
      <c r="M44" s="13">
        <f t="shared" si="12"/>
        <v>63.243688387787543</v>
      </c>
      <c r="N44" s="13">
        <f t="shared" si="8"/>
        <v>2048.219519270036</v>
      </c>
      <c r="O44" s="13">
        <f t="shared" si="9"/>
        <v>2018.3900351799064</v>
      </c>
      <c r="P44" s="13">
        <f t="shared" si="17"/>
        <v>0.94174634146466296</v>
      </c>
      <c r="R44">
        <v>2049</v>
      </c>
      <c r="S44" s="13">
        <v>63.375229853366932</v>
      </c>
      <c r="T44" s="13">
        <v>62.956277730654051</v>
      </c>
      <c r="U44" s="13">
        <v>62.435006443948865</v>
      </c>
      <c r="W44">
        <v>2049</v>
      </c>
      <c r="X44" s="13">
        <v>60.995062429685902</v>
      </c>
      <c r="Y44" s="13">
        <f t="shared" si="13"/>
        <v>62.956277730654051</v>
      </c>
      <c r="Z44" s="13">
        <v>63.976213554695292</v>
      </c>
      <c r="AB44" s="13">
        <f t="shared" si="3"/>
        <v>63.608081762369522</v>
      </c>
      <c r="AC44" s="13"/>
      <c r="AE44" s="33">
        <f t="shared" si="1"/>
        <v>3.8220577111558214</v>
      </c>
      <c r="AF44" s="33">
        <f t="shared" si="2"/>
        <v>3.8220577111558214</v>
      </c>
      <c r="AH44">
        <v>40</v>
      </c>
      <c r="AI44">
        <v>0</v>
      </c>
      <c r="AJ44">
        <v>0</v>
      </c>
    </row>
    <row r="45" spans="1:36">
      <c r="A45">
        <v>2050</v>
      </c>
      <c r="C45" s="13">
        <f t="shared" si="16"/>
        <v>63.375229853366932</v>
      </c>
      <c r="D45" s="84">
        <f t="shared" si="5"/>
        <v>63.533167510580952</v>
      </c>
      <c r="E45" s="84">
        <f>J45-SUM(F$7:F45)</f>
        <v>3.7684567857040148</v>
      </c>
      <c r="F45" s="13">
        <f t="shared" si="10"/>
        <v>0</v>
      </c>
      <c r="G45" s="13">
        <f t="shared" si="11"/>
        <v>1</v>
      </c>
      <c r="H45" s="13">
        <f t="shared" si="14"/>
        <v>1</v>
      </c>
      <c r="I45" s="89">
        <f t="shared" si="18"/>
        <v>0</v>
      </c>
      <c r="J45" s="13">
        <f t="shared" si="6"/>
        <v>3.7684567857040148</v>
      </c>
      <c r="K45" s="13"/>
      <c r="L45" s="84">
        <f t="shared" si="15"/>
        <v>63.533167510580952</v>
      </c>
      <c r="M45" s="13">
        <f t="shared" si="12"/>
        <v>63.608081762369522</v>
      </c>
      <c r="N45" s="13">
        <f t="shared" si="8"/>
        <v>2049.219519270036</v>
      </c>
      <c r="O45" s="13">
        <f t="shared" si="9"/>
        <v>2018.3900351799064</v>
      </c>
      <c r="P45" s="13">
        <f t="shared" si="17"/>
        <v>0.94174634146466296</v>
      </c>
      <c r="R45">
        <v>2050</v>
      </c>
      <c r="S45" s="13">
        <v>63.710619731084243</v>
      </c>
      <c r="T45" s="13">
        <v>63.375229853366932</v>
      </c>
      <c r="U45" s="13">
        <v>62.956277730654051</v>
      </c>
      <c r="W45">
        <v>2050</v>
      </c>
      <c r="X45" s="13">
        <v>61.789561498396438</v>
      </c>
      <c r="Y45" s="13">
        <f t="shared" si="13"/>
        <v>63.375229853366932</v>
      </c>
      <c r="Z45" s="13">
        <v>64.183535258629036</v>
      </c>
      <c r="AB45" s="13">
        <f t="shared" si="3"/>
        <v>63.89818920908376</v>
      </c>
      <c r="AC45" s="13"/>
      <c r="AE45" s="33">
        <f t="shared" si="1"/>
        <v>4.0603360231899508</v>
      </c>
      <c r="AF45" s="33">
        <f t="shared" si="2"/>
        <v>4.0603360231899508</v>
      </c>
      <c r="AH45">
        <v>41</v>
      </c>
      <c r="AI45">
        <v>0</v>
      </c>
      <c r="AJ45">
        <v>0</v>
      </c>
    </row>
    <row r="46" spans="1:36">
      <c r="A46">
        <v>2051</v>
      </c>
      <c r="C46" s="20">
        <f t="shared" si="16"/>
        <v>63.792667676224134</v>
      </c>
      <c r="D46" s="84">
        <f t="shared" si="5"/>
        <v>63.838012173662207</v>
      </c>
      <c r="E46" s="84">
        <f>J46-SUM(F$7:F46)</f>
        <v>4.0062166331248221</v>
      </c>
      <c r="F46" s="13">
        <f t="shared" si="10"/>
        <v>0</v>
      </c>
      <c r="G46" s="13">
        <f t="shared" si="11"/>
        <v>1</v>
      </c>
      <c r="H46" s="13">
        <f t="shared" si="14"/>
        <v>1</v>
      </c>
      <c r="I46" s="89">
        <f t="shared" si="18"/>
        <v>0</v>
      </c>
      <c r="J46" s="13">
        <f t="shared" si="6"/>
        <v>4.0062166331248221</v>
      </c>
      <c r="K46" s="13"/>
      <c r="L46" s="84">
        <f t="shared" si="15"/>
        <v>63.838012173662207</v>
      </c>
      <c r="M46" s="13">
        <f t="shared" si="12"/>
        <v>63.89818920908376</v>
      </c>
      <c r="N46" s="13">
        <f t="shared" si="8"/>
        <v>2050.219519270036</v>
      </c>
      <c r="O46" s="13">
        <f t="shared" si="9"/>
        <v>2018.3900351799064</v>
      </c>
      <c r="P46" s="13">
        <f t="shared" si="17"/>
        <v>0.94174634146466296</v>
      </c>
      <c r="AB46" s="13">
        <f t="shared" si="3"/>
        <v>64.128659944081377</v>
      </c>
      <c r="AC46" s="13"/>
      <c r="AE46" s="33">
        <f t="shared" si="1"/>
        <v>4.2986143352240802</v>
      </c>
      <c r="AF46" s="33">
        <f t="shared" si="2"/>
        <v>4.2986143352240802</v>
      </c>
      <c r="AH46">
        <v>42</v>
      </c>
      <c r="AI46">
        <v>0</v>
      </c>
      <c r="AJ46">
        <v>0</v>
      </c>
    </row>
    <row r="47" spans="1:36">
      <c r="A47">
        <v>2052</v>
      </c>
      <c r="C47" s="20">
        <f t="shared" si="16"/>
        <v>64.125091907992001</v>
      </c>
      <c r="D47" s="84">
        <f t="shared" si="5"/>
        <v>64.080515713633503</v>
      </c>
      <c r="E47" s="84">
        <f>J47-SUM(F$7:F47)</f>
        <v>4.2440826751011631</v>
      </c>
      <c r="F47" s="13">
        <f t="shared" si="10"/>
        <v>0</v>
      </c>
      <c r="G47" s="13">
        <f t="shared" si="11"/>
        <v>1</v>
      </c>
      <c r="H47" s="13">
        <f t="shared" si="14"/>
        <v>1</v>
      </c>
      <c r="I47" s="89">
        <f t="shared" si="18"/>
        <v>0</v>
      </c>
      <c r="J47" s="13">
        <f t="shared" si="6"/>
        <v>4.2440826751011631</v>
      </c>
      <c r="K47" s="13"/>
      <c r="L47" s="84">
        <f t="shared" si="15"/>
        <v>64.080515713633503</v>
      </c>
      <c r="M47" s="13">
        <f t="shared" si="12"/>
        <v>64.128659944081377</v>
      </c>
      <c r="N47" s="13">
        <f t="shared" si="8"/>
        <v>2051.219519270036</v>
      </c>
      <c r="O47" s="13">
        <f t="shared" si="9"/>
        <v>2018.3900351799064</v>
      </c>
      <c r="P47" s="13">
        <f t="shared" si="17"/>
        <v>0.94174634146466296</v>
      </c>
      <c r="AB47" s="13">
        <f t="shared" si="3"/>
        <v>64.311441564988868</v>
      </c>
      <c r="AC47" s="13"/>
      <c r="AE47" s="33">
        <f t="shared" si="1"/>
        <v>4.5368926472582114</v>
      </c>
      <c r="AF47" s="33">
        <f t="shared" si="2"/>
        <v>4.5368926472582114</v>
      </c>
      <c r="AH47">
        <v>43</v>
      </c>
      <c r="AI47">
        <v>0</v>
      </c>
      <c r="AJ47">
        <v>0</v>
      </c>
    </row>
    <row r="48" spans="1:36">
      <c r="A48">
        <v>2053</v>
      </c>
      <c r="C48" s="20">
        <f t="shared" si="16"/>
        <v>64.28745696391185</v>
      </c>
      <c r="D48" s="84">
        <f t="shared" si="5"/>
        <v>64.273046970663671</v>
      </c>
      <c r="E48" s="84">
        <f>J48-SUM(F$7:F48)</f>
        <v>4.4820337795964518</v>
      </c>
      <c r="F48" s="13">
        <f t="shared" si="10"/>
        <v>0</v>
      </c>
      <c r="G48" s="13">
        <f t="shared" si="11"/>
        <v>1</v>
      </c>
      <c r="H48" s="13">
        <f t="shared" si="14"/>
        <v>1</v>
      </c>
      <c r="I48" s="89">
        <f t="shared" si="18"/>
        <v>0</v>
      </c>
      <c r="J48" s="13">
        <f>LN(L48/(65-L48))</f>
        <v>4.4820337795964518</v>
      </c>
      <c r="K48" s="13"/>
      <c r="L48" s="84">
        <f t="shared" si="15"/>
        <v>64.273046970663671</v>
      </c>
      <c r="M48" s="13">
        <f t="shared" si="12"/>
        <v>64.311441564988868</v>
      </c>
      <c r="N48" s="13">
        <f t="shared" si="8"/>
        <v>2052.219519270036</v>
      </c>
      <c r="O48" s="13">
        <f t="shared" si="9"/>
        <v>2018.3900351799064</v>
      </c>
      <c r="P48" s="13">
        <f t="shared" si="17"/>
        <v>0.94174634146466296</v>
      </c>
      <c r="AB48" s="13">
        <f t="shared" si="3"/>
        <v>64.456206087643992</v>
      </c>
      <c r="AC48" s="13"/>
      <c r="AE48" s="33">
        <f t="shared" si="1"/>
        <v>4.7751709592923408</v>
      </c>
      <c r="AF48" s="33">
        <f t="shared" si="2"/>
        <v>4.7751709592923408</v>
      </c>
      <c r="AH48">
        <v>44</v>
      </c>
      <c r="AI48">
        <v>0</v>
      </c>
      <c r="AJ48">
        <v>0</v>
      </c>
    </row>
    <row r="49" spans="1:36">
      <c r="A49">
        <v>2054</v>
      </c>
      <c r="C49" s="20">
        <f t="shared" si="16"/>
        <v>64.438314854578039</v>
      </c>
      <c r="D49" s="84">
        <f t="shared" si="5"/>
        <v>64.999999635818241</v>
      </c>
      <c r="E49" s="84">
        <f>J49-SUM(F$7:F49)</f>
        <v>19</v>
      </c>
      <c r="F49" s="13">
        <f t="shared" si="10"/>
        <v>0</v>
      </c>
      <c r="G49" s="13">
        <f t="shared" si="11"/>
        <v>1</v>
      </c>
      <c r="H49" s="13">
        <f t="shared" si="14"/>
        <v>1</v>
      </c>
      <c r="I49" s="89">
        <f t="shared" si="18"/>
        <v>0</v>
      </c>
      <c r="J49" s="13">
        <v>19</v>
      </c>
      <c r="K49" s="13"/>
      <c r="L49" s="84">
        <f>AVERAGE(M45:M50)</f>
        <v>64.162219435947975</v>
      </c>
      <c r="M49" s="13">
        <f t="shared" si="12"/>
        <v>64.456206087643992</v>
      </c>
      <c r="N49" s="13">
        <f t="shared" si="8"/>
        <v>2053.219519270036</v>
      </c>
      <c r="O49" s="13">
        <f t="shared" si="9"/>
        <v>2018.3900351799064</v>
      </c>
      <c r="P49" s="13">
        <f t="shared" si="17"/>
        <v>0.94174634146466296</v>
      </c>
      <c r="AB49" s="13">
        <f t="shared" si="3"/>
        <v>64.570738047520379</v>
      </c>
      <c r="AC49" s="13"/>
      <c r="AE49" s="33">
        <f t="shared" si="1"/>
        <v>5.0134492713264702</v>
      </c>
      <c r="AF49" s="33">
        <f t="shared" si="2"/>
        <v>5.0134492713264702</v>
      </c>
      <c r="AH49">
        <v>45</v>
      </c>
      <c r="AI49">
        <v>0</v>
      </c>
      <c r="AJ49">
        <v>0</v>
      </c>
    </row>
    <row r="50" spans="1:36">
      <c r="A50">
        <v>2055</v>
      </c>
      <c r="C50" s="20">
        <f t="shared" si="16"/>
        <v>64.588390524807011</v>
      </c>
      <c r="D50" s="84">
        <f>65*EXP(E50)/(1+EXP(E50))</f>
        <v>64.999999779112585</v>
      </c>
      <c r="E50" s="84">
        <f>J50-SUM(F$7:F50)</f>
        <v>19.5</v>
      </c>
      <c r="F50" s="13">
        <f t="shared" si="10"/>
        <v>0</v>
      </c>
      <c r="G50" s="13">
        <f t="shared" si="11"/>
        <v>1</v>
      </c>
      <c r="H50" s="13">
        <f t="shared" si="14"/>
        <v>1</v>
      </c>
      <c r="I50" s="89">
        <f t="shared" si="18"/>
        <v>0</v>
      </c>
      <c r="J50" s="13">
        <v>19.5</v>
      </c>
      <c r="K50" s="13"/>
      <c r="L50" s="84">
        <f>AVERAGE(M45:M50)</f>
        <v>64.162219435947975</v>
      </c>
      <c r="M50" s="13">
        <f t="shared" si="12"/>
        <v>64.570738047520379</v>
      </c>
      <c r="N50" s="13">
        <f t="shared" si="8"/>
        <v>2054.219519270036</v>
      </c>
      <c r="O50" s="13">
        <f t="shared" si="9"/>
        <v>2018.3900351799064</v>
      </c>
      <c r="P50" s="13">
        <f t="shared" si="17"/>
        <v>0.94174634146466296</v>
      </c>
      <c r="AB50" s="13">
        <f t="shared" si="3"/>
        <v>64.661274454960406</v>
      </c>
      <c r="AC50" s="13"/>
      <c r="AE50" s="33">
        <f t="shared" si="1"/>
        <v>5.2517275833606014</v>
      </c>
      <c r="AF50" s="33">
        <f t="shared" si="2"/>
        <v>5.2517275833606014</v>
      </c>
      <c r="AH50">
        <v>46</v>
      </c>
      <c r="AI50">
        <v>0</v>
      </c>
      <c r="AJ50">
        <v>0</v>
      </c>
    </row>
    <row r="56" spans="1:36">
      <c r="L56" s="41" t="str">
        <f>' All EV uptake'!D46</f>
        <v>Intercept</v>
      </c>
      <c r="M56" s="41">
        <f>' All EV uptake'!E46</f>
        <v>2006.0956444042549</v>
      </c>
      <c r="AD56" s="41" t="s">
        <v>159</v>
      </c>
      <c r="AE56" s="41">
        <v>-5.70907477020938</v>
      </c>
    </row>
    <row r="57" spans="1:36">
      <c r="L57" s="41" t="str">
        <f>' All EV uptake'!D47</f>
        <v>EV/FFV cost ratio</v>
      </c>
      <c r="M57" s="41">
        <f>' All EV uptake'!E47</f>
        <v>10.783904112355547</v>
      </c>
      <c r="AD57" t="s">
        <v>329</v>
      </c>
      <c r="AE57" s="41">
        <v>0.23827831203413002</v>
      </c>
    </row>
    <row r="58" spans="1:36">
      <c r="B58" t="s">
        <v>1233</v>
      </c>
      <c r="L58" s="41" t="str">
        <f>' All EV uptake'!D48</f>
        <v>dumKorea</v>
      </c>
      <c r="M58" s="41">
        <f>' All EV uptake'!E48</f>
        <v>3.2747008164932261</v>
      </c>
      <c r="AD58" t="s">
        <v>1323</v>
      </c>
      <c r="AE58" s="41">
        <v>0.30870938796794306</v>
      </c>
    </row>
    <row r="59" spans="1:36" ht="15.75" thickBot="1">
      <c r="L59" s="41" t="str">
        <f>' All EV uptake'!D49</f>
        <v>dumUK</v>
      </c>
      <c r="M59" s="41">
        <f>' All EV uptake'!E49</f>
        <v>2.7276845521810786</v>
      </c>
      <c r="AD59" t="s">
        <v>1291</v>
      </c>
      <c r="AE59" s="42">
        <v>0.39276543905768274</v>
      </c>
    </row>
    <row r="60" spans="1:36">
      <c r="L60" s="41" t="str">
        <f>' All EV uptake'!D50</f>
        <v>dumNeth</v>
      </c>
      <c r="M60" s="41">
        <f>' All EV uptake'!E50</f>
        <v>-1.2544269368470402</v>
      </c>
    </row>
    <row r="61" spans="1:36">
      <c r="L61" s="41" t="str">
        <f>' All EV uptake'!D51</f>
        <v>dumChina</v>
      </c>
      <c r="M61" s="41">
        <f>' All EV uptake'!E51</f>
        <v>1.6840641661301363</v>
      </c>
    </row>
    <row r="62" spans="1:36">
      <c r="L62" s="41" t="str">
        <f>' All EV uptake'!D52</f>
        <v>dumDenmark</v>
      </c>
      <c r="M62" s="41">
        <f>' All EV uptake'!E52</f>
        <v>3.2654872236791634</v>
      </c>
    </row>
    <row r="63" spans="1:36">
      <c r="L63" s="41" t="str">
        <f>' All EV uptake'!D53</f>
        <v>dumIreland</v>
      </c>
      <c r="M63" s="41">
        <f>' All EV uptake'!E53</f>
        <v>3.5582490934682056</v>
      </c>
    </row>
    <row r="64" spans="1:36">
      <c r="L64" s="41" t="str">
        <f>' All EV uptake'!D54</f>
        <v>dumNZ</v>
      </c>
      <c r="M64" s="41">
        <f>' All EV uptake'!E54</f>
        <v>1.900474768762227</v>
      </c>
    </row>
    <row r="65" spans="12:13">
      <c r="L65" s="41" t="str">
        <f>' All EV uptake'!D55</f>
        <v>dumSwitzerland</v>
      </c>
      <c r="M65" s="41">
        <f>' All EV uptake'!E55</f>
        <v>-2.1041729879229703</v>
      </c>
    </row>
    <row r="66" spans="12:13">
      <c r="L66" s="41" t="str">
        <f>' All EV uptake'!D56</f>
        <v>dumSpain</v>
      </c>
      <c r="M66" s="41">
        <f>' All EV uptake'!E56</f>
        <v>4.4168133039283006</v>
      </c>
    </row>
    <row r="67" spans="12:13">
      <c r="L67" s="41" t="str">
        <f>' All EV uptake'!D57</f>
        <v>dumIndia</v>
      </c>
      <c r="M67" s="41">
        <f>' All EV uptake'!E57</f>
        <v>8.3918907463589623</v>
      </c>
    </row>
    <row r="68" spans="12:13">
      <c r="L68" s="41" t="str">
        <f>' All EV uptake'!D58</f>
        <v>dumUSA</v>
      </c>
      <c r="M68" s="41">
        <f>' All EV uptake'!E58</f>
        <v>2.1386885311349126</v>
      </c>
    </row>
    <row r="69" spans="12:13">
      <c r="L69" s="41" t="str">
        <f>' All EV uptake'!D59</f>
        <v>dumAustria</v>
      </c>
      <c r="M69" s="41">
        <f>' All EV uptake'!E59</f>
        <v>-0.86657486911619475</v>
      </c>
    </row>
    <row r="70" spans="12:13">
      <c r="L70" s="41" t="str">
        <f>' All EV uptake'!D60</f>
        <v>dumItaly</v>
      </c>
      <c r="M70" s="41">
        <f>' All EV uptake'!E60</f>
        <v>2.0513905871244105</v>
      </c>
    </row>
  </sheetData>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140"/>
  <sheetViews>
    <sheetView topLeftCell="A91" zoomScale="75" zoomScaleNormal="75" workbookViewId="0">
      <selection activeCell="C107" sqref="C107"/>
    </sheetView>
  </sheetViews>
  <sheetFormatPr defaultRowHeight="15"/>
  <cols>
    <col min="2" max="2" width="13" customWidth="1"/>
    <col min="3" max="3" width="10.28515625" customWidth="1"/>
    <col min="4" max="4" width="11.28515625" customWidth="1"/>
    <col min="5" max="6" width="11.5703125" customWidth="1"/>
    <col min="7" max="8" width="16.42578125" customWidth="1"/>
    <col min="9" max="9" width="14.140625" customWidth="1"/>
    <col min="10" max="10" width="10.85546875" customWidth="1"/>
    <col min="19" max="19" width="10.85546875" customWidth="1"/>
    <col min="23" max="23" width="11.42578125" customWidth="1"/>
    <col min="27" max="27" width="9.85546875" customWidth="1"/>
    <col min="28" max="28" width="8.7109375" customWidth="1"/>
    <col min="29" max="29" width="9.85546875" customWidth="1"/>
    <col min="30" max="30" width="10.28515625" customWidth="1"/>
    <col min="32" max="32" width="14.28515625" customWidth="1"/>
    <col min="33" max="34" width="16.5703125" customWidth="1"/>
    <col min="35" max="35" width="15" customWidth="1"/>
    <col min="36" max="36" width="12.140625" bestFit="1" customWidth="1"/>
  </cols>
  <sheetData>
    <row r="1" spans="1:42">
      <c r="A1" t="s">
        <v>5</v>
      </c>
      <c r="B1" t="s">
        <v>803</v>
      </c>
      <c r="C1" t="s">
        <v>705</v>
      </c>
      <c r="D1" t="s">
        <v>498</v>
      </c>
      <c r="E1" t="s">
        <v>705</v>
      </c>
      <c r="F1" t="s">
        <v>705</v>
      </c>
      <c r="G1" t="s">
        <v>705</v>
      </c>
      <c r="H1" t="s">
        <v>705</v>
      </c>
      <c r="I1" t="s">
        <v>705</v>
      </c>
      <c r="J1" t="s">
        <v>705</v>
      </c>
      <c r="O1" t="s">
        <v>705</v>
      </c>
      <c r="P1" t="s">
        <v>705</v>
      </c>
      <c r="Q1" t="s">
        <v>705</v>
      </c>
      <c r="U1" t="s">
        <v>730</v>
      </c>
      <c r="V1" s="33" t="s">
        <v>715</v>
      </c>
      <c r="W1" s="87" t="s">
        <v>1181</v>
      </c>
      <c r="X1" s="87" t="s">
        <v>1181</v>
      </c>
      <c r="Y1" s="87" t="s">
        <v>1181</v>
      </c>
      <c r="AC1" t="s">
        <v>747</v>
      </c>
      <c r="AH1" t="s">
        <v>888</v>
      </c>
      <c r="AI1" t="s">
        <v>888</v>
      </c>
      <c r="AJ1" t="s">
        <v>888</v>
      </c>
      <c r="AK1" t="s">
        <v>888</v>
      </c>
      <c r="AM1" t="s">
        <v>889</v>
      </c>
      <c r="AN1" t="s">
        <v>889</v>
      </c>
      <c r="AO1" t="s">
        <v>889</v>
      </c>
      <c r="AP1" t="s">
        <v>889</v>
      </c>
    </row>
    <row r="2" spans="1:42">
      <c r="B2" t="s">
        <v>710</v>
      </c>
      <c r="C2" t="s">
        <v>710</v>
      </c>
      <c r="D2" t="s">
        <v>807</v>
      </c>
      <c r="E2" t="s">
        <v>808</v>
      </c>
      <c r="F2" t="s">
        <v>269</v>
      </c>
      <c r="G2" t="s">
        <v>809</v>
      </c>
      <c r="H2" t="s">
        <v>810</v>
      </c>
      <c r="I2" t="s">
        <v>811</v>
      </c>
      <c r="J2" t="s">
        <v>269</v>
      </c>
      <c r="O2" t="s">
        <v>269</v>
      </c>
      <c r="P2" t="s">
        <v>717</v>
      </c>
      <c r="Q2" t="s">
        <v>725</v>
      </c>
      <c r="V2" s="33"/>
      <c r="W2" s="87" t="s">
        <v>338</v>
      </c>
      <c r="X2" s="87" t="s">
        <v>1182</v>
      </c>
      <c r="Y2" s="87" t="s">
        <v>1183</v>
      </c>
      <c r="AD2" t="s">
        <v>665</v>
      </c>
      <c r="AH2" t="s">
        <v>890</v>
      </c>
      <c r="AI2" t="s">
        <v>891</v>
      </c>
      <c r="AJ2" t="s">
        <v>892</v>
      </c>
      <c r="AK2" t="s">
        <v>893</v>
      </c>
      <c r="AL2" t="s">
        <v>850</v>
      </c>
      <c r="AM2" t="s">
        <v>890</v>
      </c>
      <c r="AN2" t="s">
        <v>891</v>
      </c>
      <c r="AO2" t="s">
        <v>892</v>
      </c>
      <c r="AP2" t="s">
        <v>893</v>
      </c>
    </row>
    <row r="3" spans="1:42">
      <c r="A3">
        <v>2009</v>
      </c>
      <c r="B3" s="3">
        <f>X3</f>
        <v>29.592572886961211</v>
      </c>
      <c r="C3" s="3">
        <f>B3*1000</f>
        <v>29592.57288696121</v>
      </c>
      <c r="D3">
        <v>6</v>
      </c>
      <c r="E3" s="3">
        <f t="shared" ref="E3:E12" si="0">(C3)*D3/100</f>
        <v>1775.5543732176727</v>
      </c>
      <c r="F3" s="3">
        <f t="shared" ref="F3:F12" si="1">C3+E3</f>
        <v>31368.127260178884</v>
      </c>
      <c r="G3" s="3">
        <f t="shared" ref="G3:G24" si="2">AM3</f>
        <v>-8570.8437923028923</v>
      </c>
      <c r="H3" s="3">
        <f t="shared" ref="H3:H24" si="3">AO3</f>
        <v>-1714.1687584605784</v>
      </c>
      <c r="I3" s="3">
        <f t="shared" ref="I3:I10" si="4">I4</f>
        <v>852.94117647058829</v>
      </c>
      <c r="J3" s="3">
        <f t="shared" ref="J3:J24" si="5">F3+G3+H3+I3</f>
        <v>21936.055885885999</v>
      </c>
      <c r="N3">
        <v>2009</v>
      </c>
      <c r="O3" s="3">
        <f>J3</f>
        <v>21936.055885885999</v>
      </c>
      <c r="P3" s="3">
        <f>J28</f>
        <v>28507.036126651554</v>
      </c>
      <c r="Q3" s="3">
        <f t="shared" ref="Q3:Q12" si="6">F53</f>
        <v>24380</v>
      </c>
      <c r="T3">
        <v>2009</v>
      </c>
      <c r="U3" s="3">
        <f>'Vehicle price'!X5</f>
        <v>23</v>
      </c>
      <c r="V3">
        <v>1</v>
      </c>
      <c r="W3" s="3">
        <f t="shared" ref="W3:W24" si="7">X3*V3</f>
        <v>29.592572886961211</v>
      </c>
      <c r="X3" s="3">
        <f>'Vehicle price'!T5</f>
        <v>29.592572886961211</v>
      </c>
      <c r="Y3" s="3">
        <f>X3*Z3</f>
        <v>29.592572886961211</v>
      </c>
      <c r="Z3">
        <v>1</v>
      </c>
      <c r="AC3">
        <v>2009</v>
      </c>
      <c r="AD3" s="156">
        <v>0.71984416666666673</v>
      </c>
      <c r="AG3">
        <v>2009</v>
      </c>
      <c r="AH3" s="3">
        <v>-7500</v>
      </c>
      <c r="AI3" s="3">
        <v>-2500</v>
      </c>
      <c r="AJ3" s="3">
        <v>-1500</v>
      </c>
      <c r="AK3" s="3">
        <v>-750</v>
      </c>
      <c r="AL3" s="13">
        <f>CPIs!W48</f>
        <v>98.380597588110902</v>
      </c>
      <c r="AM3" s="3">
        <f>AH3*AL$11/AL3</f>
        <v>-8570.8437923028923</v>
      </c>
      <c r="AN3" s="3">
        <f>AI3*AL$11/AL3</f>
        <v>-2856.9479307676306</v>
      </c>
      <c r="AO3" s="3">
        <f>AJ3*AL$11/AL3</f>
        <v>-1714.1687584605784</v>
      </c>
      <c r="AP3" s="3">
        <f>AK3*AL$11/AL3</f>
        <v>-857.08437923028919</v>
      </c>
    </row>
    <row r="4" spans="1:42">
      <c r="A4">
        <v>2010</v>
      </c>
      <c r="B4" s="3">
        <f t="shared" ref="B4:B24" si="8">X4</f>
        <v>30</v>
      </c>
      <c r="C4" s="3">
        <f t="shared" ref="C4:C24" si="9">B4*1000</f>
        <v>30000</v>
      </c>
      <c r="D4">
        <v>6</v>
      </c>
      <c r="E4" s="3">
        <f t="shared" si="0"/>
        <v>1800</v>
      </c>
      <c r="F4" s="3">
        <f t="shared" si="1"/>
        <v>31800</v>
      </c>
      <c r="G4" s="3">
        <f t="shared" si="2"/>
        <v>-8432.0474668583902</v>
      </c>
      <c r="H4" s="3">
        <f t="shared" si="3"/>
        <v>-1686.4094933716781</v>
      </c>
      <c r="I4" s="3">
        <f t="shared" si="4"/>
        <v>852.94117647058829</v>
      </c>
      <c r="J4" s="3">
        <f t="shared" si="5"/>
        <v>22534.484216240518</v>
      </c>
      <c r="N4">
        <v>2010</v>
      </c>
      <c r="O4" s="3">
        <f t="shared" ref="O4:O12" si="10">J4</f>
        <v>22534.484216240518</v>
      </c>
      <c r="P4" s="3">
        <f t="shared" ref="P4:P12" si="11">J29</f>
        <v>28999.053940831953</v>
      </c>
      <c r="Q4" s="3">
        <f t="shared" si="6"/>
        <v>24380</v>
      </c>
      <c r="T4">
        <v>2010</v>
      </c>
      <c r="U4" s="3">
        <f>'Vehicle price'!X6</f>
        <v>23</v>
      </c>
      <c r="V4">
        <v>1</v>
      </c>
      <c r="W4" s="3">
        <f t="shared" si="7"/>
        <v>30</v>
      </c>
      <c r="X4" s="3">
        <f>'Vehicle price'!T6</f>
        <v>30</v>
      </c>
      <c r="Y4" s="3">
        <f t="shared" ref="Y4:Y24" si="12">X4*Z4</f>
        <v>30</v>
      </c>
      <c r="Z4">
        <v>1</v>
      </c>
      <c r="AC4">
        <v>2010</v>
      </c>
      <c r="AD4" s="156">
        <v>0.75867129256384003</v>
      </c>
      <c r="AG4">
        <v>2010</v>
      </c>
      <c r="AH4" s="3">
        <v>-7500</v>
      </c>
      <c r="AI4" s="3">
        <v>-2500</v>
      </c>
      <c r="AJ4" s="3">
        <v>-1500</v>
      </c>
      <c r="AK4" s="3">
        <v>-750</v>
      </c>
      <c r="AL4" s="13">
        <f>CPIs!W49</f>
        <v>99.999998509883881</v>
      </c>
      <c r="AM4" s="3">
        <f t="shared" ref="AM4:AM24" si="13">AH4*AL$11/AL4</f>
        <v>-8432.0474668583902</v>
      </c>
      <c r="AN4" s="3">
        <f t="shared" ref="AN4:AN24" si="14">AI4*AL$11/AL4</f>
        <v>-2810.682488952797</v>
      </c>
      <c r="AO4" s="3">
        <f t="shared" ref="AO4:AO24" si="15">AJ4*AL$11/AL4</f>
        <v>-1686.4094933716781</v>
      </c>
      <c r="AP4" s="3">
        <f t="shared" ref="AP4:AP24" si="16">AK4*AL$11/AL4</f>
        <v>-843.20474668583904</v>
      </c>
    </row>
    <row r="5" spans="1:42">
      <c r="A5">
        <v>2011</v>
      </c>
      <c r="B5" s="3">
        <f t="shared" si="8"/>
        <v>30</v>
      </c>
      <c r="C5" s="3">
        <f t="shared" si="9"/>
        <v>30000</v>
      </c>
      <c r="D5">
        <v>6</v>
      </c>
      <c r="E5" s="3">
        <f t="shared" si="0"/>
        <v>1800</v>
      </c>
      <c r="F5" s="3">
        <f t="shared" si="1"/>
        <v>31800</v>
      </c>
      <c r="G5" s="3">
        <f t="shared" si="2"/>
        <v>-8175.919416054714</v>
      </c>
      <c r="H5" s="3">
        <f t="shared" si="3"/>
        <v>-1635.1838832109427</v>
      </c>
      <c r="I5" s="3">
        <f t="shared" si="4"/>
        <v>852.94117647058829</v>
      </c>
      <c r="J5" s="3">
        <f t="shared" si="5"/>
        <v>22841.837877204933</v>
      </c>
      <c r="N5">
        <v>2011</v>
      </c>
      <c r="O5" s="3">
        <f t="shared" si="10"/>
        <v>22841.837877204933</v>
      </c>
      <c r="P5" s="3">
        <f t="shared" si="11"/>
        <v>29110.042762846879</v>
      </c>
      <c r="Q5" s="3">
        <f t="shared" si="6"/>
        <v>24380</v>
      </c>
      <c r="T5">
        <v>2011</v>
      </c>
      <c r="U5" s="3">
        <f>'Vehicle price'!X7</f>
        <v>23</v>
      </c>
      <c r="V5">
        <v>1</v>
      </c>
      <c r="W5" s="3">
        <f t="shared" si="7"/>
        <v>30</v>
      </c>
      <c r="X5" s="3">
        <f>'Vehicle price'!T7</f>
        <v>30</v>
      </c>
      <c r="Y5" s="3">
        <f t="shared" si="12"/>
        <v>30</v>
      </c>
      <c r="Z5">
        <v>1</v>
      </c>
      <c r="AC5">
        <v>2011</v>
      </c>
      <c r="AD5" s="156">
        <v>0.71544109992713056</v>
      </c>
      <c r="AG5">
        <v>2011</v>
      </c>
      <c r="AH5" s="3">
        <v>-7500</v>
      </c>
      <c r="AI5" s="3">
        <v>-2500</v>
      </c>
      <c r="AJ5" s="3">
        <v>-1500</v>
      </c>
      <c r="AK5" s="3">
        <v>-750</v>
      </c>
      <c r="AL5" s="13">
        <f>CPIs!W50</f>
        <v>103.13271097869961</v>
      </c>
      <c r="AM5" s="3">
        <f t="shared" si="13"/>
        <v>-8175.919416054714</v>
      </c>
      <c r="AN5" s="3">
        <f t="shared" si="14"/>
        <v>-2725.3064720182379</v>
      </c>
      <c r="AO5" s="3">
        <f t="shared" si="15"/>
        <v>-1635.1838832109427</v>
      </c>
      <c r="AP5" s="3">
        <f t="shared" si="16"/>
        <v>-817.59194160547133</v>
      </c>
    </row>
    <row r="6" spans="1:42">
      <c r="A6">
        <v>2012</v>
      </c>
      <c r="B6" s="3">
        <f t="shared" si="8"/>
        <v>30.842462459493706</v>
      </c>
      <c r="C6" s="3">
        <f t="shared" si="9"/>
        <v>30842.462459493705</v>
      </c>
      <c r="D6">
        <v>6</v>
      </c>
      <c r="E6" s="3">
        <f t="shared" si="0"/>
        <v>1850.5477475696223</v>
      </c>
      <c r="F6" s="3">
        <f t="shared" si="1"/>
        <v>32693.010207063326</v>
      </c>
      <c r="G6" s="3">
        <f t="shared" si="2"/>
        <v>-8014.4372428501456</v>
      </c>
      <c r="H6" s="3">
        <f t="shared" si="3"/>
        <v>-1602.8874485700292</v>
      </c>
      <c r="I6" s="3">
        <f t="shared" si="4"/>
        <v>852.94117647058829</v>
      </c>
      <c r="J6" s="3">
        <f t="shared" si="5"/>
        <v>23928.626692113739</v>
      </c>
      <c r="N6">
        <v>2012</v>
      </c>
      <c r="O6" s="3">
        <f t="shared" si="10"/>
        <v>23928.626692113739</v>
      </c>
      <c r="P6" s="3">
        <f t="shared" si="11"/>
        <v>30073.02857829885</v>
      </c>
      <c r="Q6" s="3">
        <f t="shared" si="6"/>
        <v>24380</v>
      </c>
      <c r="T6">
        <v>2012</v>
      </c>
      <c r="U6" s="3">
        <f>'Vehicle price'!X8</f>
        <v>23</v>
      </c>
      <c r="V6">
        <v>1</v>
      </c>
      <c r="W6" s="3">
        <f t="shared" si="7"/>
        <v>30.842462459493706</v>
      </c>
      <c r="X6" s="3">
        <f>'Vehicle price'!T8</f>
        <v>30.842462459493706</v>
      </c>
      <c r="Y6" s="3">
        <f t="shared" si="12"/>
        <v>30.842462459493706</v>
      </c>
      <c r="Z6">
        <v>1</v>
      </c>
      <c r="AC6">
        <v>2012</v>
      </c>
      <c r="AD6" s="156">
        <v>0.773899446716382</v>
      </c>
      <c r="AG6">
        <v>2012</v>
      </c>
      <c r="AH6" s="3">
        <v>-7500</v>
      </c>
      <c r="AI6" s="3">
        <v>-2500</v>
      </c>
      <c r="AJ6" s="3">
        <v>-1500</v>
      </c>
      <c r="AK6" s="3">
        <v>-750</v>
      </c>
      <c r="AL6" s="13">
        <f>CPIs!W51</f>
        <v>105.21072267093371</v>
      </c>
      <c r="AM6" s="3">
        <f t="shared" si="13"/>
        <v>-8014.4372428501456</v>
      </c>
      <c r="AN6" s="3">
        <f t="shared" si="14"/>
        <v>-2671.4790809500487</v>
      </c>
      <c r="AO6" s="3">
        <f t="shared" si="15"/>
        <v>-1602.8874485700292</v>
      </c>
      <c r="AP6" s="3">
        <f t="shared" si="16"/>
        <v>-801.44372428501458</v>
      </c>
    </row>
    <row r="7" spans="1:42">
      <c r="A7">
        <v>2013</v>
      </c>
      <c r="B7" s="3">
        <f t="shared" si="8"/>
        <v>31.143929334439989</v>
      </c>
      <c r="C7" s="3">
        <f t="shared" si="9"/>
        <v>31143.929334439988</v>
      </c>
      <c r="D7">
        <v>6</v>
      </c>
      <c r="E7" s="3">
        <f t="shared" si="0"/>
        <v>1868.6357600663991</v>
      </c>
      <c r="F7" s="3">
        <f t="shared" si="1"/>
        <v>33012.56509450639</v>
      </c>
      <c r="G7" s="3">
        <f t="shared" si="2"/>
        <v>-7902.7470166267012</v>
      </c>
      <c r="H7" s="3">
        <f t="shared" si="3"/>
        <v>-1580.5494033253401</v>
      </c>
      <c r="I7" s="3">
        <f t="shared" si="4"/>
        <v>852.94117647058829</v>
      </c>
      <c r="J7" s="3">
        <f t="shared" si="5"/>
        <v>24382.209851024934</v>
      </c>
      <c r="N7">
        <v>2013</v>
      </c>
      <c r="O7" s="3">
        <f t="shared" si="10"/>
        <v>24382.209851024934</v>
      </c>
      <c r="P7" s="3">
        <f t="shared" si="11"/>
        <v>30440.982563772071</v>
      </c>
      <c r="Q7" s="3">
        <f t="shared" si="6"/>
        <v>24380</v>
      </c>
      <c r="T7">
        <v>2013</v>
      </c>
      <c r="U7" s="3">
        <f>'Vehicle price'!X9</f>
        <v>23</v>
      </c>
      <c r="V7">
        <v>1</v>
      </c>
      <c r="W7" s="3">
        <f t="shared" si="7"/>
        <v>31.143929334439989</v>
      </c>
      <c r="X7" s="3">
        <f>'Vehicle price'!T9</f>
        <v>31.143929334439989</v>
      </c>
      <c r="Y7" s="3">
        <f t="shared" si="12"/>
        <v>31.143929334439989</v>
      </c>
      <c r="Z7">
        <v>1</v>
      </c>
      <c r="AC7">
        <v>2013</v>
      </c>
      <c r="AD7" s="156">
        <v>0.75166876437654617</v>
      </c>
      <c r="AG7">
        <v>2013</v>
      </c>
      <c r="AH7" s="3">
        <v>-7500</v>
      </c>
      <c r="AI7" s="3">
        <v>-2500</v>
      </c>
      <c r="AJ7" s="3">
        <v>-1500</v>
      </c>
      <c r="AK7" s="3">
        <v>-750</v>
      </c>
      <c r="AL7" s="13">
        <f>CPIs!W52</f>
        <v>106.69767516878358</v>
      </c>
      <c r="AM7" s="3">
        <f t="shared" si="13"/>
        <v>-7902.7470166267012</v>
      </c>
      <c r="AN7" s="3">
        <f t="shared" si="14"/>
        <v>-2634.2490055422336</v>
      </c>
      <c r="AO7" s="3">
        <f t="shared" si="15"/>
        <v>-1580.5494033253401</v>
      </c>
      <c r="AP7" s="3">
        <f t="shared" si="16"/>
        <v>-790.27470166267005</v>
      </c>
    </row>
    <row r="8" spans="1:42">
      <c r="A8">
        <v>2014</v>
      </c>
      <c r="B8" s="3">
        <f t="shared" si="8"/>
        <v>33.541755956678692</v>
      </c>
      <c r="C8" s="3">
        <f t="shared" si="9"/>
        <v>33541.755956678695</v>
      </c>
      <c r="D8">
        <v>6</v>
      </c>
      <c r="E8" s="3">
        <f t="shared" si="0"/>
        <v>2012.5053574007218</v>
      </c>
      <c r="F8" s="3">
        <f t="shared" si="1"/>
        <v>35554.26131407942</v>
      </c>
      <c r="G8" s="3">
        <f t="shared" si="2"/>
        <v>-7774.4737505564017</v>
      </c>
      <c r="H8" s="3">
        <f t="shared" si="3"/>
        <v>-1554.8947501112802</v>
      </c>
      <c r="I8" s="3">
        <f t="shared" si="4"/>
        <v>852.94117647058829</v>
      </c>
      <c r="J8" s="3">
        <f t="shared" si="5"/>
        <v>27077.833989882325</v>
      </c>
      <c r="N8">
        <v>2014</v>
      </c>
      <c r="O8" s="3">
        <f t="shared" si="10"/>
        <v>27077.833989882325</v>
      </c>
      <c r="P8" s="3">
        <f t="shared" si="11"/>
        <v>33038.263865308909</v>
      </c>
      <c r="Q8" s="3">
        <f t="shared" si="6"/>
        <v>24380</v>
      </c>
      <c r="T8">
        <v>2014</v>
      </c>
      <c r="U8" s="3">
        <f>'Vehicle price'!X10</f>
        <v>23</v>
      </c>
      <c r="V8">
        <v>1</v>
      </c>
      <c r="W8" s="3">
        <f t="shared" si="7"/>
        <v>33.541755956678692</v>
      </c>
      <c r="X8" s="3">
        <f>'Vehicle price'!T10</f>
        <v>33.541755956678692</v>
      </c>
      <c r="Y8" s="3">
        <f t="shared" si="12"/>
        <v>33.541755956678692</v>
      </c>
      <c r="Z8">
        <v>1</v>
      </c>
      <c r="AC8">
        <v>2014</v>
      </c>
      <c r="AD8" s="156">
        <v>0.757387838338895</v>
      </c>
      <c r="AG8">
        <v>2014</v>
      </c>
      <c r="AH8" s="3">
        <v>-7500</v>
      </c>
      <c r="AI8" s="3">
        <v>-2500</v>
      </c>
      <c r="AJ8" s="3">
        <v>-1500</v>
      </c>
      <c r="AK8" s="3">
        <v>-750</v>
      </c>
      <c r="AL8" s="13">
        <f>CPIs!W53</f>
        <v>108.45811062912946</v>
      </c>
      <c r="AM8" s="3">
        <f t="shared" si="13"/>
        <v>-7774.4737505564017</v>
      </c>
      <c r="AN8" s="3">
        <f t="shared" si="14"/>
        <v>-2591.4912501854669</v>
      </c>
      <c r="AO8" s="3">
        <f t="shared" si="15"/>
        <v>-1554.8947501112802</v>
      </c>
      <c r="AP8" s="3">
        <f t="shared" si="16"/>
        <v>-777.44737505564012</v>
      </c>
    </row>
    <row r="9" spans="1:42">
      <c r="A9">
        <v>2015</v>
      </c>
      <c r="B9" s="3">
        <f t="shared" si="8"/>
        <v>30</v>
      </c>
      <c r="C9" s="3">
        <f t="shared" si="9"/>
        <v>30000</v>
      </c>
      <c r="D9">
        <v>6</v>
      </c>
      <c r="E9" s="3">
        <f t="shared" si="0"/>
        <v>1800</v>
      </c>
      <c r="F9" s="3">
        <f t="shared" si="1"/>
        <v>31800</v>
      </c>
      <c r="G9" s="3">
        <f t="shared" si="2"/>
        <v>-7757.6463356423656</v>
      </c>
      <c r="H9" s="3">
        <f t="shared" si="3"/>
        <v>-1551.5292671284731</v>
      </c>
      <c r="I9" s="3">
        <f t="shared" si="4"/>
        <v>852.94117647058829</v>
      </c>
      <c r="J9" s="3">
        <f t="shared" si="5"/>
        <v>23343.765573699748</v>
      </c>
      <c r="N9">
        <v>2015</v>
      </c>
      <c r="O9" s="3">
        <f t="shared" si="10"/>
        <v>23343.765573699748</v>
      </c>
      <c r="P9" s="3">
        <f t="shared" si="11"/>
        <v>29291.294431025563</v>
      </c>
      <c r="Q9" s="3">
        <f t="shared" si="6"/>
        <v>24380</v>
      </c>
      <c r="T9">
        <v>2015</v>
      </c>
      <c r="U9" s="3">
        <f>'Vehicle price'!X11</f>
        <v>23</v>
      </c>
      <c r="V9">
        <v>1</v>
      </c>
      <c r="W9" s="3">
        <f t="shared" si="7"/>
        <v>30</v>
      </c>
      <c r="X9" s="3">
        <f>'Vehicle price'!T11</f>
        <v>30</v>
      </c>
      <c r="Y9" s="3">
        <f t="shared" si="12"/>
        <v>30</v>
      </c>
      <c r="Z9">
        <v>1</v>
      </c>
      <c r="AC9">
        <v>2015</v>
      </c>
      <c r="AD9" s="156">
        <v>0.90592556207997499</v>
      </c>
      <c r="AG9">
        <v>2015</v>
      </c>
      <c r="AH9" s="3">
        <v>-7500</v>
      </c>
      <c r="AI9" s="3">
        <v>-2500</v>
      </c>
      <c r="AJ9" s="3">
        <v>-1500</v>
      </c>
      <c r="AK9" s="3">
        <v>-750</v>
      </c>
      <c r="AL9" s="13">
        <f>CPIs!W54</f>
        <v>108.69337137051741</v>
      </c>
      <c r="AM9" s="3">
        <f t="shared" si="13"/>
        <v>-7757.6463356423656</v>
      </c>
      <c r="AN9" s="3">
        <f t="shared" si="14"/>
        <v>-2585.8821118807887</v>
      </c>
      <c r="AO9" s="3">
        <f t="shared" si="15"/>
        <v>-1551.5292671284731</v>
      </c>
      <c r="AP9" s="3">
        <f t="shared" si="16"/>
        <v>-775.76463356423653</v>
      </c>
    </row>
    <row r="10" spans="1:42">
      <c r="A10">
        <v>2016</v>
      </c>
      <c r="B10" s="3">
        <f t="shared" si="8"/>
        <v>30</v>
      </c>
      <c r="C10" s="3">
        <f t="shared" si="9"/>
        <v>30000</v>
      </c>
      <c r="D10">
        <v>6</v>
      </c>
      <c r="E10" s="3">
        <f t="shared" si="0"/>
        <v>1800</v>
      </c>
      <c r="F10" s="3">
        <f t="shared" si="1"/>
        <v>31800</v>
      </c>
      <c r="G10" s="3">
        <f t="shared" si="2"/>
        <v>-7659.75</v>
      </c>
      <c r="H10" s="3">
        <f t="shared" si="3"/>
        <v>-1531.95</v>
      </c>
      <c r="I10" s="3">
        <f t="shared" si="4"/>
        <v>852.94117647058829</v>
      </c>
      <c r="J10" s="3">
        <f t="shared" si="5"/>
        <v>23461.241176470587</v>
      </c>
      <c r="N10">
        <v>2016</v>
      </c>
      <c r="O10" s="3">
        <f t="shared" si="10"/>
        <v>23461.241176470587</v>
      </c>
      <c r="P10" s="3">
        <f t="shared" si="11"/>
        <v>29333.716176470589</v>
      </c>
      <c r="Q10" s="3">
        <f t="shared" si="6"/>
        <v>24380</v>
      </c>
      <c r="T10">
        <v>2016</v>
      </c>
      <c r="U10" s="3">
        <f>'Vehicle price'!X12</f>
        <v>23</v>
      </c>
      <c r="V10">
        <v>1</v>
      </c>
      <c r="W10" s="3">
        <f t="shared" si="7"/>
        <v>30</v>
      </c>
      <c r="X10" s="3">
        <f>'Vehicle price'!T12</f>
        <v>30</v>
      </c>
      <c r="Y10" s="3">
        <f t="shared" si="12"/>
        <v>30</v>
      </c>
      <c r="Z10">
        <v>1</v>
      </c>
      <c r="AC10">
        <v>2016</v>
      </c>
      <c r="AD10" s="156">
        <v>0.90674707708863456</v>
      </c>
      <c r="AG10">
        <v>2016</v>
      </c>
      <c r="AH10" s="3">
        <v>-7500</v>
      </c>
      <c r="AI10" s="3">
        <v>-2500</v>
      </c>
      <c r="AJ10" s="3">
        <v>-1500</v>
      </c>
      <c r="AK10" s="3">
        <v>-750</v>
      </c>
      <c r="AL10" s="13">
        <f>CPIs!W55</f>
        <v>110.08253978538585</v>
      </c>
      <c r="AM10" s="3">
        <f t="shared" si="13"/>
        <v>-7659.75</v>
      </c>
      <c r="AN10" s="3">
        <f t="shared" si="14"/>
        <v>-2553.25</v>
      </c>
      <c r="AO10" s="3">
        <f t="shared" si="15"/>
        <v>-1531.95</v>
      </c>
      <c r="AP10" s="3">
        <f t="shared" si="16"/>
        <v>-765.97500000000002</v>
      </c>
    </row>
    <row r="11" spans="1:42">
      <c r="A11">
        <v>2017</v>
      </c>
      <c r="B11" s="3">
        <f t="shared" si="8"/>
        <v>30</v>
      </c>
      <c r="C11" s="3">
        <f t="shared" si="9"/>
        <v>30000</v>
      </c>
      <c r="D11">
        <v>6</v>
      </c>
      <c r="E11" s="3">
        <f t="shared" si="0"/>
        <v>1800</v>
      </c>
      <c r="F11" s="3">
        <f t="shared" si="1"/>
        <v>31800</v>
      </c>
      <c r="G11" s="3">
        <f t="shared" si="2"/>
        <v>-7500</v>
      </c>
      <c r="H11" s="3">
        <f t="shared" si="3"/>
        <v>-1499.9999999999998</v>
      </c>
      <c r="I11" s="3">
        <f>I12</f>
        <v>852.94117647058829</v>
      </c>
      <c r="J11" s="3">
        <f t="shared" si="5"/>
        <v>23652.941176470587</v>
      </c>
      <c r="N11">
        <v>2017</v>
      </c>
      <c r="O11" s="3">
        <f t="shared" si="10"/>
        <v>23652.941176470587</v>
      </c>
      <c r="P11" s="3">
        <f t="shared" si="11"/>
        <v>29402.941176470587</v>
      </c>
      <c r="Q11" s="3">
        <f t="shared" si="6"/>
        <v>24380</v>
      </c>
      <c r="T11">
        <v>2017</v>
      </c>
      <c r="U11" s="3">
        <f>'Vehicle price'!X13</f>
        <v>23</v>
      </c>
      <c r="V11">
        <v>1</v>
      </c>
      <c r="W11" s="3">
        <f t="shared" si="7"/>
        <v>30</v>
      </c>
      <c r="X11" s="3">
        <f>'Vehicle price'!T13</f>
        <v>30</v>
      </c>
      <c r="Y11" s="3">
        <f t="shared" si="12"/>
        <v>30</v>
      </c>
      <c r="Z11">
        <v>1</v>
      </c>
      <c r="AC11">
        <v>2017</v>
      </c>
      <c r="AD11" s="156">
        <v>0.88206678367895308</v>
      </c>
      <c r="AG11">
        <v>2017</v>
      </c>
      <c r="AH11" s="3">
        <v>-7500</v>
      </c>
      <c r="AI11" s="3">
        <v>-2500</v>
      </c>
      <c r="AJ11" s="3">
        <v>-1500</v>
      </c>
      <c r="AK11" s="3">
        <v>-750</v>
      </c>
      <c r="AL11" s="13">
        <f>CPIs!W56</f>
        <v>112.42729788281457</v>
      </c>
      <c r="AM11" s="3">
        <f t="shared" si="13"/>
        <v>-7500</v>
      </c>
      <c r="AN11" s="3">
        <f t="shared" si="14"/>
        <v>-2500</v>
      </c>
      <c r="AO11" s="3">
        <f t="shared" si="15"/>
        <v>-1499.9999999999998</v>
      </c>
      <c r="AP11" s="3">
        <f t="shared" si="16"/>
        <v>-749.99999999999989</v>
      </c>
    </row>
    <row r="12" spans="1:42">
      <c r="A12">
        <v>2018</v>
      </c>
      <c r="B12" s="3">
        <f t="shared" si="8"/>
        <v>30.592100851060948</v>
      </c>
      <c r="C12" s="3">
        <f t="shared" si="9"/>
        <v>30592.10085106095</v>
      </c>
      <c r="D12">
        <v>6</v>
      </c>
      <c r="E12" s="3">
        <f t="shared" si="0"/>
        <v>1835.526051063657</v>
      </c>
      <c r="F12" s="3">
        <f t="shared" si="1"/>
        <v>32427.626902124608</v>
      </c>
      <c r="G12" s="3">
        <f t="shared" si="2"/>
        <v>-7500</v>
      </c>
      <c r="H12" s="3">
        <f t="shared" si="3"/>
        <v>-1460.9915262491477</v>
      </c>
      <c r="I12" s="61">
        <f>Austria!I12/AD12*0.5</f>
        <v>852.94117647058829</v>
      </c>
      <c r="J12" s="3">
        <f t="shared" si="5"/>
        <v>24319.576552346047</v>
      </c>
      <c r="N12">
        <v>2018</v>
      </c>
      <c r="O12" s="3">
        <f t="shared" si="10"/>
        <v>24319.576552346047</v>
      </c>
      <c r="P12" s="3">
        <f t="shared" si="11"/>
        <v>30050.072315470621</v>
      </c>
      <c r="Q12" s="3">
        <f t="shared" si="6"/>
        <v>24380</v>
      </c>
      <c r="T12">
        <v>2018</v>
      </c>
      <c r="U12" s="3">
        <f>'Vehicle price'!X14</f>
        <v>23</v>
      </c>
      <c r="V12">
        <v>1</v>
      </c>
      <c r="W12" s="3">
        <f t="shared" si="7"/>
        <v>30.592100851060948</v>
      </c>
      <c r="X12" s="3">
        <f>'Vehicle price'!T14</f>
        <v>30.592100851060948</v>
      </c>
      <c r="Y12" s="3">
        <f t="shared" si="12"/>
        <v>30.592100851060948</v>
      </c>
      <c r="Z12">
        <v>1</v>
      </c>
      <c r="AC12">
        <v>2018</v>
      </c>
      <c r="AD12" s="14">
        <v>0.85</v>
      </c>
      <c r="AG12">
        <v>2018</v>
      </c>
      <c r="AH12" s="3">
        <v>-7500</v>
      </c>
      <c r="AI12" s="3">
        <v>-2500</v>
      </c>
      <c r="AJ12" s="3">
        <v>-1500</v>
      </c>
      <c r="AK12" s="3">
        <v>-750</v>
      </c>
      <c r="AL12" s="13">
        <f>CPIs!W57</f>
        <v>115.42910673628572</v>
      </c>
      <c r="AM12" s="3">
        <f>AH12</f>
        <v>-7500</v>
      </c>
      <c r="AN12" s="3">
        <f>AI12</f>
        <v>-2500</v>
      </c>
      <c r="AO12" s="3">
        <f t="shared" si="15"/>
        <v>-1460.9915262491477</v>
      </c>
      <c r="AP12" s="3">
        <f t="shared" si="16"/>
        <v>-730.49576312457384</v>
      </c>
    </row>
    <row r="13" spans="1:42">
      <c r="A13">
        <v>2019</v>
      </c>
      <c r="B13" s="3">
        <f t="shared" si="8"/>
        <v>31.172994053473918</v>
      </c>
      <c r="C13" s="3">
        <f t="shared" si="9"/>
        <v>31172.994053473918</v>
      </c>
      <c r="D13">
        <v>6</v>
      </c>
      <c r="E13" s="3">
        <f t="shared" ref="E13:E24" si="17">(C13)*D13/100</f>
        <v>1870.3796432084353</v>
      </c>
      <c r="F13" s="3">
        <f t="shared" ref="F13:F24" si="18">C13+E13</f>
        <v>33043.373696682356</v>
      </c>
      <c r="G13" s="3">
        <f t="shared" si="2"/>
        <v>-5000</v>
      </c>
      <c r="H13" s="3">
        <f t="shared" si="3"/>
        <v>-1422.9974931812092</v>
      </c>
      <c r="I13" s="3">
        <f>I12</f>
        <v>852.94117647058829</v>
      </c>
      <c r="J13" s="3">
        <f t="shared" si="5"/>
        <v>27473.317379971733</v>
      </c>
      <c r="N13">
        <v>2019</v>
      </c>
      <c r="O13" s="3">
        <f t="shared" ref="O13:O24" si="19">J13</f>
        <v>27473.317379971733</v>
      </c>
      <c r="P13" s="3">
        <f t="shared" ref="P13:P24" si="20">J38</f>
        <v>31518.149459895671</v>
      </c>
      <c r="Q13" s="3">
        <f t="shared" ref="Q13:Q24" si="21">F63</f>
        <v>24380</v>
      </c>
      <c r="T13">
        <v>2019</v>
      </c>
      <c r="U13" s="3">
        <f>'Vehicle price'!X15</f>
        <v>23</v>
      </c>
      <c r="V13" s="20">
        <f>V12+(V24-V12)/12</f>
        <v>1.0249999999999999</v>
      </c>
      <c r="W13" s="3">
        <f t="shared" si="7"/>
        <v>31.952318904810763</v>
      </c>
      <c r="X13" s="3">
        <f>'Vehicle price'!T15</f>
        <v>31.172994053473918</v>
      </c>
      <c r="Y13" s="3">
        <f t="shared" si="12"/>
        <v>30.393669202137069</v>
      </c>
      <c r="Z13" s="20">
        <f>Z12+(Z24-Z12)/12</f>
        <v>0.97499999999999998</v>
      </c>
      <c r="AC13">
        <v>2019</v>
      </c>
      <c r="AD13" s="14">
        <v>0.85</v>
      </c>
      <c r="AG13">
        <v>2019</v>
      </c>
      <c r="AH13" s="20">
        <f>AH12+(AH15-AH12)/3</f>
        <v>-5000</v>
      </c>
      <c r="AI13" s="20">
        <f>AI12+(AI15-AI12)/3</f>
        <v>-1666.6666666666665</v>
      </c>
      <c r="AJ13" s="3">
        <v>-1500</v>
      </c>
      <c r="AK13" s="3">
        <v>-750</v>
      </c>
      <c r="AL13" s="20">
        <f t="shared" ref="AL13:AL24" si="22">AL12*AL12/AL11</f>
        <v>118.51106388614456</v>
      </c>
      <c r="AM13" s="3">
        <f t="shared" ref="AM13:AM15" si="23">AH13</f>
        <v>-5000</v>
      </c>
      <c r="AN13" s="3">
        <f t="shared" ref="AN13:AN15" si="24">AI13</f>
        <v>-1666.6666666666665</v>
      </c>
      <c r="AO13" s="3">
        <f t="shared" si="15"/>
        <v>-1422.9974931812092</v>
      </c>
      <c r="AP13" s="3">
        <f t="shared" si="16"/>
        <v>-711.49874659060458</v>
      </c>
    </row>
    <row r="14" spans="1:42">
      <c r="A14">
        <v>2020</v>
      </c>
      <c r="B14" s="3">
        <f t="shared" si="8"/>
        <v>30.985903123425071</v>
      </c>
      <c r="C14" s="3">
        <f t="shared" si="9"/>
        <v>30985.903123425072</v>
      </c>
      <c r="D14">
        <v>6</v>
      </c>
      <c r="E14" s="3">
        <f t="shared" si="17"/>
        <v>1859.1541874055044</v>
      </c>
      <c r="F14" s="3">
        <f t="shared" si="18"/>
        <v>32845.057310830576</v>
      </c>
      <c r="G14" s="3">
        <f t="shared" si="2"/>
        <v>-2500</v>
      </c>
      <c r="H14" s="3">
        <f t="shared" si="3"/>
        <v>-1385.991519607684</v>
      </c>
      <c r="I14" s="3">
        <f t="shared" ref="I14:I24" si="25">I13</f>
        <v>852.94117647058829</v>
      </c>
      <c r="J14" s="3">
        <f t="shared" si="5"/>
        <v>29812.00696769348</v>
      </c>
      <c r="N14">
        <v>2020</v>
      </c>
      <c r="O14" s="3">
        <f t="shared" si="19"/>
        <v>29812.00696769348</v>
      </c>
      <c r="P14" s="3">
        <f t="shared" si="20"/>
        <v>32171.66939416399</v>
      </c>
      <c r="Q14" s="3">
        <f t="shared" si="21"/>
        <v>24380</v>
      </c>
      <c r="T14">
        <v>2020</v>
      </c>
      <c r="U14" s="3">
        <f>'Vehicle price'!X16</f>
        <v>23</v>
      </c>
      <c r="V14" s="20">
        <f>V13+(V24-V12)/12</f>
        <v>1.0499999999999998</v>
      </c>
      <c r="W14" s="3">
        <f t="shared" si="7"/>
        <v>32.535198279596322</v>
      </c>
      <c r="X14" s="3">
        <f>'Vehicle price'!T16</f>
        <v>30.985903123425071</v>
      </c>
      <c r="Y14" s="3">
        <f t="shared" si="12"/>
        <v>29.436607967253817</v>
      </c>
      <c r="Z14" s="20">
        <f>Z13+(Z24-Z12)/12</f>
        <v>0.95</v>
      </c>
      <c r="AC14">
        <v>2020</v>
      </c>
      <c r="AD14" s="14">
        <v>0.85</v>
      </c>
      <c r="AG14">
        <v>2020</v>
      </c>
      <c r="AH14" s="20">
        <f>AH13+(AH15-AH12)/3</f>
        <v>-2500</v>
      </c>
      <c r="AI14" s="20">
        <f>AI13+(AI15-AI12)/3</f>
        <v>-833.33333333333314</v>
      </c>
      <c r="AJ14" s="3">
        <v>-1500</v>
      </c>
      <c r="AK14" s="3">
        <v>-750</v>
      </c>
      <c r="AL14" s="20">
        <f t="shared" si="22"/>
        <v>121.67530929190463</v>
      </c>
      <c r="AM14" s="3">
        <f t="shared" si="23"/>
        <v>-2500</v>
      </c>
      <c r="AN14" s="3">
        <f t="shared" si="24"/>
        <v>-833.33333333333314</v>
      </c>
      <c r="AO14" s="3">
        <f t="shared" si="15"/>
        <v>-1385.991519607684</v>
      </c>
      <c r="AP14" s="3">
        <f t="shared" si="16"/>
        <v>-692.99575980384202</v>
      </c>
    </row>
    <row r="15" spans="1:42">
      <c r="A15">
        <v>2021</v>
      </c>
      <c r="B15" s="3">
        <f t="shared" si="8"/>
        <v>30.206708843097807</v>
      </c>
      <c r="C15" s="3">
        <f t="shared" si="9"/>
        <v>30206.708843097807</v>
      </c>
      <c r="D15">
        <v>6</v>
      </c>
      <c r="E15" s="3">
        <f t="shared" si="17"/>
        <v>1812.4025305858686</v>
      </c>
      <c r="F15" s="3">
        <f t="shared" si="18"/>
        <v>32019.111373683678</v>
      </c>
      <c r="G15" s="3">
        <f t="shared" si="2"/>
        <v>0</v>
      </c>
      <c r="H15" s="3">
        <f t="shared" si="3"/>
        <v>-1349.9479104000036</v>
      </c>
      <c r="I15" s="3">
        <f t="shared" si="25"/>
        <v>852.94117647058829</v>
      </c>
      <c r="J15" s="3">
        <f t="shared" si="5"/>
        <v>31522.104639754263</v>
      </c>
      <c r="N15">
        <v>2021</v>
      </c>
      <c r="O15" s="3">
        <f t="shared" si="19"/>
        <v>31522.104639754263</v>
      </c>
      <c r="P15" s="3">
        <f t="shared" si="20"/>
        <v>32197.078594954262</v>
      </c>
      <c r="Q15" s="3">
        <f t="shared" si="21"/>
        <v>24380</v>
      </c>
      <c r="T15">
        <v>2021</v>
      </c>
      <c r="U15" s="3">
        <f>'Vehicle price'!X17</f>
        <v>23</v>
      </c>
      <c r="V15" s="20">
        <f>V14+(V24-V12)/12</f>
        <v>1.0749999999999997</v>
      </c>
      <c r="W15" s="3">
        <f t="shared" si="7"/>
        <v>32.472212006330132</v>
      </c>
      <c r="X15" s="3">
        <f>'Vehicle price'!T17</f>
        <v>30.206708843097807</v>
      </c>
      <c r="Y15" s="3">
        <f t="shared" si="12"/>
        <v>27.941205679865469</v>
      </c>
      <c r="Z15" s="20">
        <f>Z14+(Z24-Z12)/12</f>
        <v>0.92499999999999993</v>
      </c>
      <c r="AC15">
        <v>2021</v>
      </c>
      <c r="AD15" s="14">
        <v>0.85</v>
      </c>
      <c r="AG15">
        <v>2021</v>
      </c>
      <c r="AH15" s="3">
        <v>0</v>
      </c>
      <c r="AI15" s="3">
        <v>0</v>
      </c>
      <c r="AJ15" s="3">
        <v>-1500</v>
      </c>
      <c r="AK15" s="3">
        <v>-750</v>
      </c>
      <c r="AL15" s="20">
        <f t="shared" si="22"/>
        <v>124.9240400499985</v>
      </c>
      <c r="AM15" s="3">
        <f t="shared" si="23"/>
        <v>0</v>
      </c>
      <c r="AN15" s="3">
        <f t="shared" si="24"/>
        <v>0</v>
      </c>
      <c r="AO15" s="3">
        <f t="shared" si="15"/>
        <v>-1349.9479104000036</v>
      </c>
      <c r="AP15" s="3">
        <f t="shared" si="16"/>
        <v>-674.9739552000018</v>
      </c>
    </row>
    <row r="16" spans="1:42">
      <c r="A16">
        <v>2022</v>
      </c>
      <c r="B16" s="3">
        <f t="shared" si="8"/>
        <v>30.642454642697771</v>
      </c>
      <c r="C16" s="3">
        <f t="shared" si="9"/>
        <v>30642.454642697772</v>
      </c>
      <c r="D16">
        <v>6</v>
      </c>
      <c r="E16" s="3">
        <f t="shared" si="17"/>
        <v>1838.5472785618663</v>
      </c>
      <c r="F16" s="3">
        <f t="shared" si="18"/>
        <v>32481.001921259638</v>
      </c>
      <c r="G16" s="3">
        <f t="shared" si="2"/>
        <v>0</v>
      </c>
      <c r="H16" s="3">
        <f t="shared" si="3"/>
        <v>-1314.8416386480992</v>
      </c>
      <c r="I16" s="3">
        <f t="shared" si="25"/>
        <v>852.94117647058829</v>
      </c>
      <c r="J16" s="3">
        <f t="shared" si="5"/>
        <v>32019.101459082125</v>
      </c>
      <c r="N16">
        <v>2022</v>
      </c>
      <c r="O16" s="3">
        <f t="shared" si="19"/>
        <v>32019.101459082125</v>
      </c>
      <c r="P16" s="3">
        <f t="shared" si="20"/>
        <v>32676.522278406177</v>
      </c>
      <c r="Q16" s="3">
        <f t="shared" si="21"/>
        <v>24380</v>
      </c>
      <c r="T16">
        <v>2022</v>
      </c>
      <c r="U16" s="3">
        <f>'Vehicle price'!X18</f>
        <v>23</v>
      </c>
      <c r="V16" s="20">
        <f>V15+(V24-V12)/12</f>
        <v>1.0999999999999996</v>
      </c>
      <c r="W16" s="3">
        <f t="shared" si="7"/>
        <v>33.706700106967538</v>
      </c>
      <c r="X16" s="3">
        <f>'Vehicle price'!T18</f>
        <v>30.642454642697771</v>
      </c>
      <c r="Y16" s="3">
        <f t="shared" si="12"/>
        <v>27.57820917842799</v>
      </c>
      <c r="Z16" s="20">
        <f>Z15+(Z24-Z12)/12</f>
        <v>0.89999999999999991</v>
      </c>
      <c r="AC16">
        <v>2022</v>
      </c>
      <c r="AD16" s="14">
        <v>0.85</v>
      </c>
      <c r="AG16">
        <v>2022</v>
      </c>
      <c r="AH16" s="3">
        <v>0</v>
      </c>
      <c r="AI16" s="3">
        <v>0</v>
      </c>
      <c r="AJ16" s="3">
        <v>-1500</v>
      </c>
      <c r="AK16" s="3">
        <v>-750</v>
      </c>
      <c r="AL16" s="20">
        <f t="shared" si="22"/>
        <v>128.25951191933348</v>
      </c>
      <c r="AM16" s="3">
        <f t="shared" si="13"/>
        <v>0</v>
      </c>
      <c r="AN16" s="3">
        <f t="shared" si="14"/>
        <v>0</v>
      </c>
      <c r="AO16" s="3">
        <f t="shared" si="15"/>
        <v>-1314.8416386480992</v>
      </c>
      <c r="AP16" s="3">
        <f t="shared" si="16"/>
        <v>-657.4208193240496</v>
      </c>
    </row>
    <row r="17" spans="1:42">
      <c r="A17">
        <v>2023</v>
      </c>
      <c r="B17" s="3">
        <f t="shared" si="8"/>
        <v>30.361546257811007</v>
      </c>
      <c r="C17" s="3">
        <f t="shared" si="9"/>
        <v>30361.546257811005</v>
      </c>
      <c r="D17">
        <v>6</v>
      </c>
      <c r="E17" s="3">
        <f t="shared" si="17"/>
        <v>1821.6927754686603</v>
      </c>
      <c r="F17" s="3">
        <f t="shared" si="18"/>
        <v>32183.239033279664</v>
      </c>
      <c r="G17" s="3">
        <f t="shared" si="2"/>
        <v>0</v>
      </c>
      <c r="H17" s="3">
        <f t="shared" si="3"/>
        <v>-1280.6483282829445</v>
      </c>
      <c r="I17" s="3">
        <f t="shared" si="25"/>
        <v>852.94117647058829</v>
      </c>
      <c r="J17" s="3">
        <f t="shared" si="5"/>
        <v>31755.531881467308</v>
      </c>
      <c r="N17">
        <v>2023</v>
      </c>
      <c r="O17" s="3">
        <f t="shared" si="19"/>
        <v>31755.531881467308</v>
      </c>
      <c r="P17" s="3">
        <f t="shared" si="20"/>
        <v>32395.85604560878</v>
      </c>
      <c r="Q17" s="3">
        <f t="shared" si="21"/>
        <v>24380</v>
      </c>
      <c r="T17">
        <v>2023</v>
      </c>
      <c r="U17" s="3">
        <f>'Vehicle price'!X19</f>
        <v>23</v>
      </c>
      <c r="V17" s="20">
        <f>V16+(V24-V12)/12</f>
        <v>1.1249999999999996</v>
      </c>
      <c r="W17" s="3">
        <f t="shared" si="7"/>
        <v>34.156739540037371</v>
      </c>
      <c r="X17" s="3">
        <f>'Vehicle price'!T19</f>
        <v>30.361546257811007</v>
      </c>
      <c r="Y17" s="3">
        <f t="shared" si="12"/>
        <v>26.566352975584628</v>
      </c>
      <c r="Z17" s="20">
        <f>Z16+(Z24-Z12)/12</f>
        <v>0.87499999999999989</v>
      </c>
      <c r="AC17">
        <v>2023</v>
      </c>
      <c r="AD17" s="14">
        <v>0.85</v>
      </c>
      <c r="AG17">
        <v>2023</v>
      </c>
      <c r="AH17" s="3">
        <v>0</v>
      </c>
      <c r="AI17" s="3">
        <v>0</v>
      </c>
      <c r="AJ17" s="3">
        <v>-1500</v>
      </c>
      <c r="AK17" s="3">
        <v>-750</v>
      </c>
      <c r="AL17" s="20">
        <f t="shared" si="22"/>
        <v>131.6840408875797</v>
      </c>
      <c r="AM17" s="3">
        <f t="shared" si="13"/>
        <v>0</v>
      </c>
      <c r="AN17" s="3">
        <f t="shared" si="14"/>
        <v>0</v>
      </c>
      <c r="AO17" s="3">
        <f t="shared" si="15"/>
        <v>-1280.6483282829445</v>
      </c>
      <c r="AP17" s="3">
        <f t="shared" si="16"/>
        <v>-640.32416414147224</v>
      </c>
    </row>
    <row r="18" spans="1:42">
      <c r="A18">
        <v>2024</v>
      </c>
      <c r="B18" s="3">
        <f t="shared" si="8"/>
        <v>29.275640447464834</v>
      </c>
      <c r="C18" s="3">
        <f t="shared" si="9"/>
        <v>29275.640447464833</v>
      </c>
      <c r="D18">
        <v>6</v>
      </c>
      <c r="E18" s="3">
        <f t="shared" si="17"/>
        <v>1756.5384268478902</v>
      </c>
      <c r="F18" s="3">
        <f t="shared" si="18"/>
        <v>31032.178874312725</v>
      </c>
      <c r="G18" s="3">
        <f t="shared" si="2"/>
        <v>0</v>
      </c>
      <c r="H18" s="3">
        <f t="shared" si="3"/>
        <v>-1247.3442371510123</v>
      </c>
      <c r="I18" s="3">
        <f t="shared" si="25"/>
        <v>852.94117647058829</v>
      </c>
      <c r="J18" s="3">
        <f t="shared" si="5"/>
        <v>30637.775813632299</v>
      </c>
      <c r="N18">
        <v>2024</v>
      </c>
      <c r="O18" s="3">
        <f t="shared" si="19"/>
        <v>30637.775813632299</v>
      </c>
      <c r="P18" s="3">
        <f t="shared" si="20"/>
        <v>31261.447932207808</v>
      </c>
      <c r="Q18" s="3">
        <f t="shared" si="21"/>
        <v>24380</v>
      </c>
      <c r="T18">
        <v>2024</v>
      </c>
      <c r="U18" s="3">
        <f>'Vehicle price'!X20</f>
        <v>23</v>
      </c>
      <c r="V18" s="20">
        <f>V17+(V24-V12)/12</f>
        <v>1.1499999999999995</v>
      </c>
      <c r="W18" s="3">
        <f t="shared" si="7"/>
        <v>33.666986514584543</v>
      </c>
      <c r="X18" s="3">
        <f>'Vehicle price'!T20</f>
        <v>29.275640447464834</v>
      </c>
      <c r="Y18" s="3">
        <f t="shared" si="12"/>
        <v>24.884294380345104</v>
      </c>
      <c r="Z18" s="20">
        <f>Z17+(Z24-Z12)/12</f>
        <v>0.84999999999999987</v>
      </c>
      <c r="AC18">
        <v>2024</v>
      </c>
      <c r="AD18" s="14">
        <v>0.85</v>
      </c>
      <c r="AG18">
        <v>2024</v>
      </c>
      <c r="AH18" s="3">
        <v>0</v>
      </c>
      <c r="AI18" s="3">
        <v>0</v>
      </c>
      <c r="AJ18" s="3">
        <v>-1500</v>
      </c>
      <c r="AK18" s="3">
        <v>-750</v>
      </c>
      <c r="AL18" s="20">
        <f t="shared" si="22"/>
        <v>135.20000477927809</v>
      </c>
      <c r="AM18" s="3">
        <f t="shared" si="13"/>
        <v>0</v>
      </c>
      <c r="AN18" s="3">
        <f t="shared" si="14"/>
        <v>0</v>
      </c>
      <c r="AO18" s="3">
        <f t="shared" si="15"/>
        <v>-1247.3442371510123</v>
      </c>
      <c r="AP18" s="3">
        <f t="shared" si="16"/>
        <v>-623.67211857550615</v>
      </c>
    </row>
    <row r="19" spans="1:42">
      <c r="A19">
        <v>2025</v>
      </c>
      <c r="B19" s="3">
        <f t="shared" si="8"/>
        <v>28.343375828936317</v>
      </c>
      <c r="C19" s="3">
        <f t="shared" si="9"/>
        <v>28343.375828936318</v>
      </c>
      <c r="D19">
        <v>6</v>
      </c>
      <c r="E19" s="3">
        <f t="shared" si="17"/>
        <v>1700.6025497361791</v>
      </c>
      <c r="F19" s="3">
        <f t="shared" si="18"/>
        <v>30043.978378672498</v>
      </c>
      <c r="G19" s="3">
        <f t="shared" si="2"/>
        <v>0</v>
      </c>
      <c r="H19" s="3">
        <f t="shared" si="3"/>
        <v>-1214.9062405288907</v>
      </c>
      <c r="I19" s="3">
        <f t="shared" si="25"/>
        <v>852.94117647058829</v>
      </c>
      <c r="J19" s="3">
        <f t="shared" si="5"/>
        <v>29682.013314614196</v>
      </c>
      <c r="N19">
        <v>2025</v>
      </c>
      <c r="O19" s="3">
        <f t="shared" si="19"/>
        <v>29682.013314614196</v>
      </c>
      <c r="P19" s="3">
        <f t="shared" si="20"/>
        <v>30289.466434878639</v>
      </c>
      <c r="Q19" s="3">
        <f t="shared" si="21"/>
        <v>24380</v>
      </c>
      <c r="T19">
        <v>2025</v>
      </c>
      <c r="U19" s="3">
        <f>'Vehicle price'!X21</f>
        <v>23</v>
      </c>
      <c r="V19" s="20">
        <f>V18+(V24-V12)/12</f>
        <v>1.1749999999999994</v>
      </c>
      <c r="W19" s="3">
        <f t="shared" si="7"/>
        <v>33.303466599000153</v>
      </c>
      <c r="X19" s="3">
        <f>'Vehicle price'!T21</f>
        <v>28.343375828936317</v>
      </c>
      <c r="Y19" s="3">
        <f t="shared" si="12"/>
        <v>23.383285058872456</v>
      </c>
      <c r="Z19" s="20">
        <f>Z18+(Z24-Z12)/12</f>
        <v>0.82499999999999984</v>
      </c>
      <c r="AC19">
        <v>2025</v>
      </c>
      <c r="AD19" s="14">
        <v>0.85</v>
      </c>
      <c r="AG19">
        <v>2025</v>
      </c>
      <c r="AH19" s="3">
        <v>0</v>
      </c>
      <c r="AI19" s="3">
        <v>0</v>
      </c>
      <c r="AJ19" s="3">
        <v>-1500</v>
      </c>
      <c r="AK19" s="3">
        <v>-750</v>
      </c>
      <c r="AL19" s="20">
        <f t="shared" si="22"/>
        <v>138.80984490688482</v>
      </c>
      <c r="AM19" s="3">
        <f t="shared" si="13"/>
        <v>0</v>
      </c>
      <c r="AN19" s="3">
        <f t="shared" si="14"/>
        <v>0</v>
      </c>
      <c r="AO19" s="3">
        <f t="shared" si="15"/>
        <v>-1214.9062405288907</v>
      </c>
      <c r="AP19" s="3">
        <f t="shared" si="16"/>
        <v>-607.45312026444537</v>
      </c>
    </row>
    <row r="20" spans="1:42">
      <c r="A20">
        <v>2026</v>
      </c>
      <c r="B20" s="3">
        <f t="shared" si="8"/>
        <v>27.812270474504896</v>
      </c>
      <c r="C20" s="3">
        <f t="shared" si="9"/>
        <v>27812.270474504894</v>
      </c>
      <c r="D20">
        <v>6</v>
      </c>
      <c r="E20" s="3">
        <f t="shared" si="17"/>
        <v>1668.7362284702936</v>
      </c>
      <c r="F20" s="3">
        <f t="shared" si="18"/>
        <v>29481.006702975188</v>
      </c>
      <c r="G20" s="3">
        <f t="shared" si="2"/>
        <v>0</v>
      </c>
      <c r="H20" s="3">
        <f t="shared" si="3"/>
        <v>-1183.3118150666123</v>
      </c>
      <c r="I20" s="3">
        <f t="shared" si="25"/>
        <v>852.94117647058829</v>
      </c>
      <c r="J20" s="3">
        <f t="shared" si="5"/>
        <v>29150.636064379163</v>
      </c>
      <c r="N20">
        <v>2026</v>
      </c>
      <c r="O20" s="3">
        <f t="shared" si="19"/>
        <v>29150.636064379163</v>
      </c>
      <c r="P20" s="3">
        <f t="shared" si="20"/>
        <v>29742.291971912469</v>
      </c>
      <c r="Q20" s="3">
        <f t="shared" si="21"/>
        <v>24380</v>
      </c>
      <c r="T20">
        <v>2026</v>
      </c>
      <c r="U20" s="3">
        <f>'Vehicle price'!X22</f>
        <v>23</v>
      </c>
      <c r="V20" s="20">
        <f>V19+(V24-V12)/12</f>
        <v>1.1999999999999993</v>
      </c>
      <c r="W20" s="3">
        <f t="shared" si="7"/>
        <v>33.374724569405856</v>
      </c>
      <c r="X20" s="3">
        <f>'Vehicle price'!T22</f>
        <v>27.812270474504896</v>
      </c>
      <c r="Y20" s="3">
        <f t="shared" si="12"/>
        <v>22.24981637960391</v>
      </c>
      <c r="Z20" s="20">
        <f>Z19+(Z24-Z12)/12</f>
        <v>0.79999999999999982</v>
      </c>
      <c r="AC20">
        <v>2026</v>
      </c>
      <c r="AD20" s="14">
        <v>0.85</v>
      </c>
      <c r="AG20">
        <v>2026</v>
      </c>
      <c r="AH20" s="3">
        <v>0</v>
      </c>
      <c r="AI20" s="3">
        <v>0</v>
      </c>
      <c r="AJ20" s="3">
        <v>-1500</v>
      </c>
      <c r="AK20" s="3">
        <v>-750</v>
      </c>
      <c r="AL20" s="20">
        <f t="shared" si="22"/>
        <v>142.51606776589864</v>
      </c>
      <c r="AM20" s="3">
        <f t="shared" si="13"/>
        <v>0</v>
      </c>
      <c r="AN20" s="3">
        <f t="shared" si="14"/>
        <v>0</v>
      </c>
      <c r="AO20" s="3">
        <f t="shared" si="15"/>
        <v>-1183.3118150666123</v>
      </c>
      <c r="AP20" s="3">
        <f t="shared" si="16"/>
        <v>-591.65590753330616</v>
      </c>
    </row>
    <row r="21" spans="1:42">
      <c r="A21">
        <v>2027</v>
      </c>
      <c r="B21" s="3">
        <f t="shared" si="8"/>
        <v>27.281165120073478</v>
      </c>
      <c r="C21" s="3">
        <f t="shared" si="9"/>
        <v>27281.165120073478</v>
      </c>
      <c r="D21">
        <v>6</v>
      </c>
      <c r="E21" s="3">
        <f t="shared" si="17"/>
        <v>1636.8699072044087</v>
      </c>
      <c r="F21" s="3">
        <f t="shared" si="18"/>
        <v>28918.035027277885</v>
      </c>
      <c r="G21" s="3">
        <f t="shared" si="2"/>
        <v>0</v>
      </c>
      <c r="H21" s="3">
        <f t="shared" si="3"/>
        <v>-1152.539023148546</v>
      </c>
      <c r="I21" s="3">
        <f t="shared" si="25"/>
        <v>852.94117647058829</v>
      </c>
      <c r="J21" s="3">
        <f t="shared" si="5"/>
        <v>28618.437180599925</v>
      </c>
      <c r="N21">
        <v>2027</v>
      </c>
      <c r="O21" s="3">
        <f t="shared" si="19"/>
        <v>28618.437180599925</v>
      </c>
      <c r="P21" s="3">
        <f t="shared" si="20"/>
        <v>29194.706692174201</v>
      </c>
      <c r="Q21" s="3">
        <f t="shared" si="21"/>
        <v>24380</v>
      </c>
      <c r="T21">
        <v>2027</v>
      </c>
      <c r="U21" s="3">
        <f>'Vehicle price'!X23</f>
        <v>23</v>
      </c>
      <c r="V21" s="20">
        <f>V20+(V24-V12)/12</f>
        <v>1.2249999999999992</v>
      </c>
      <c r="W21" s="3">
        <f t="shared" si="7"/>
        <v>33.41942727208999</v>
      </c>
      <c r="X21" s="3">
        <f>'Vehicle price'!T23</f>
        <v>27.281165120073478</v>
      </c>
      <c r="Y21" s="3">
        <f t="shared" si="12"/>
        <v>21.142902968056941</v>
      </c>
      <c r="Z21" s="20">
        <f>Z20+(Z24-Z12)/12</f>
        <v>0.7749999999999998</v>
      </c>
      <c r="AC21">
        <v>2027</v>
      </c>
      <c r="AD21" s="14">
        <v>0.85</v>
      </c>
      <c r="AG21">
        <v>2027</v>
      </c>
      <c r="AH21" s="3">
        <v>0</v>
      </c>
      <c r="AI21" s="3">
        <v>0</v>
      </c>
      <c r="AJ21" s="3">
        <v>-1500</v>
      </c>
      <c r="AK21" s="3">
        <v>-750</v>
      </c>
      <c r="AL21" s="20">
        <f t="shared" si="22"/>
        <v>146.32124677524814</v>
      </c>
      <c r="AM21" s="3">
        <f t="shared" si="13"/>
        <v>0</v>
      </c>
      <c r="AN21" s="3">
        <f t="shared" si="14"/>
        <v>0</v>
      </c>
      <c r="AO21" s="3">
        <f t="shared" si="15"/>
        <v>-1152.539023148546</v>
      </c>
      <c r="AP21" s="3">
        <f t="shared" si="16"/>
        <v>-576.269511574273</v>
      </c>
    </row>
    <row r="22" spans="1:42">
      <c r="A22">
        <v>2028</v>
      </c>
      <c r="B22" s="3">
        <f t="shared" si="8"/>
        <v>26.683671596338133</v>
      </c>
      <c r="C22" s="3">
        <f t="shared" si="9"/>
        <v>26683.671596338132</v>
      </c>
      <c r="D22">
        <v>6</v>
      </c>
      <c r="E22" s="3">
        <f t="shared" si="17"/>
        <v>1601.0202957802881</v>
      </c>
      <c r="F22" s="3">
        <f t="shared" si="18"/>
        <v>28284.691892118419</v>
      </c>
      <c r="G22" s="3">
        <f t="shared" si="2"/>
        <v>0</v>
      </c>
      <c r="H22" s="3">
        <f t="shared" si="3"/>
        <v>-1122.5664976609974</v>
      </c>
      <c r="I22" s="3">
        <f t="shared" si="25"/>
        <v>852.94117647058829</v>
      </c>
      <c r="J22" s="3">
        <f t="shared" si="5"/>
        <v>28015.066570928007</v>
      </c>
      <c r="N22">
        <v>2028</v>
      </c>
      <c r="O22" s="3">
        <f t="shared" si="19"/>
        <v>28015.066570928007</v>
      </c>
      <c r="P22" s="3">
        <f t="shared" si="20"/>
        <v>28576.349819758507</v>
      </c>
      <c r="Q22" s="3">
        <f t="shared" si="21"/>
        <v>24380</v>
      </c>
      <c r="T22">
        <v>2028</v>
      </c>
      <c r="U22" s="3">
        <f>'Vehicle price'!X24</f>
        <v>23</v>
      </c>
      <c r="V22" s="20">
        <f>V21+(V24-V12)/12</f>
        <v>1.2499999999999991</v>
      </c>
      <c r="W22" s="3">
        <f t="shared" si="7"/>
        <v>33.354589495422644</v>
      </c>
      <c r="X22" s="3">
        <f>'Vehicle price'!T24</f>
        <v>26.683671596338133</v>
      </c>
      <c r="Y22" s="3">
        <f t="shared" si="12"/>
        <v>20.012753697253594</v>
      </c>
      <c r="Z22" s="20">
        <f>Z21+(Z24-Z12)/12</f>
        <v>0.74999999999999978</v>
      </c>
      <c r="AC22">
        <v>2028</v>
      </c>
      <c r="AD22" s="14">
        <v>0.85</v>
      </c>
      <c r="AG22">
        <v>2028</v>
      </c>
      <c r="AH22" s="3">
        <v>0</v>
      </c>
      <c r="AI22" s="3">
        <v>0</v>
      </c>
      <c r="AJ22" s="3">
        <v>-1500</v>
      </c>
      <c r="AK22" s="3">
        <v>-750</v>
      </c>
      <c r="AL22" s="20">
        <f t="shared" si="22"/>
        <v>150.22802406414729</v>
      </c>
      <c r="AM22" s="3">
        <f t="shared" si="13"/>
        <v>0</v>
      </c>
      <c r="AN22" s="3">
        <f t="shared" si="14"/>
        <v>0</v>
      </c>
      <c r="AO22" s="3">
        <f t="shared" si="15"/>
        <v>-1122.5664976609974</v>
      </c>
      <c r="AP22" s="3">
        <f t="shared" si="16"/>
        <v>-561.28324883049868</v>
      </c>
    </row>
    <row r="23" spans="1:42">
      <c r="A23">
        <v>2029</v>
      </c>
      <c r="B23" s="3">
        <f t="shared" si="8"/>
        <v>26.152566241906715</v>
      </c>
      <c r="C23" s="3">
        <f t="shared" si="9"/>
        <v>26152.566241906716</v>
      </c>
      <c r="D23">
        <v>6</v>
      </c>
      <c r="E23" s="3">
        <f t="shared" si="17"/>
        <v>1569.1539745144028</v>
      </c>
      <c r="F23" s="3">
        <f t="shared" si="18"/>
        <v>27721.720216421119</v>
      </c>
      <c r="G23" s="3">
        <f t="shared" si="2"/>
        <v>0</v>
      </c>
      <c r="H23" s="3">
        <f t="shared" si="3"/>
        <v>-1093.3734271559338</v>
      </c>
      <c r="I23" s="3">
        <f t="shared" si="25"/>
        <v>852.94117647058829</v>
      </c>
      <c r="J23" s="3">
        <f t="shared" si="5"/>
        <v>27481.287965735773</v>
      </c>
      <c r="N23">
        <v>2029</v>
      </c>
      <c r="O23" s="3">
        <f t="shared" si="19"/>
        <v>27481.287965735773</v>
      </c>
      <c r="P23" s="3">
        <f t="shared" si="20"/>
        <v>28027.974679313738</v>
      </c>
      <c r="Q23" s="3">
        <f t="shared" si="21"/>
        <v>24380</v>
      </c>
      <c r="T23">
        <v>2029</v>
      </c>
      <c r="U23" s="3">
        <f>'Vehicle price'!X25</f>
        <v>23</v>
      </c>
      <c r="V23" s="20">
        <f>V22+(V24-V12)/12</f>
        <v>1.274999999999999</v>
      </c>
      <c r="W23" s="3">
        <f t="shared" si="7"/>
        <v>33.344521958431038</v>
      </c>
      <c r="X23" s="3">
        <f>'Vehicle price'!T25</f>
        <v>26.152566241906715</v>
      </c>
      <c r="Y23" s="3">
        <f t="shared" si="12"/>
        <v>18.960610525382361</v>
      </c>
      <c r="Z23" s="20">
        <f>Z22+(Z24-Z12)/12</f>
        <v>0.72499999999999976</v>
      </c>
      <c r="AC23">
        <v>2029</v>
      </c>
      <c r="AD23" s="14">
        <v>0.85</v>
      </c>
      <c r="AG23">
        <v>2029</v>
      </c>
      <c r="AH23" s="3">
        <v>0</v>
      </c>
      <c r="AI23" s="3">
        <v>0</v>
      </c>
      <c r="AJ23" s="3">
        <v>-1500</v>
      </c>
      <c r="AK23" s="3">
        <v>-750</v>
      </c>
      <c r="AL23" s="20">
        <f t="shared" si="22"/>
        <v>154.23911230666005</v>
      </c>
      <c r="AM23" s="3">
        <f t="shared" si="13"/>
        <v>0</v>
      </c>
      <c r="AN23" s="3">
        <f t="shared" si="14"/>
        <v>0</v>
      </c>
      <c r="AO23" s="3">
        <f t="shared" si="15"/>
        <v>-1093.3734271559338</v>
      </c>
      <c r="AP23" s="3">
        <f t="shared" si="16"/>
        <v>-546.68671357796688</v>
      </c>
    </row>
    <row r="24" spans="1:42">
      <c r="A24">
        <v>2030</v>
      </c>
      <c r="B24" s="3">
        <f t="shared" si="8"/>
        <v>25.55507271817137</v>
      </c>
      <c r="C24" s="3">
        <f t="shared" si="9"/>
        <v>25555.07271817137</v>
      </c>
      <c r="D24">
        <v>6</v>
      </c>
      <c r="E24" s="3">
        <f t="shared" si="17"/>
        <v>1533.3043630902821</v>
      </c>
      <c r="F24" s="3">
        <f t="shared" si="18"/>
        <v>27088.377081261653</v>
      </c>
      <c r="G24" s="3">
        <f t="shared" si="2"/>
        <v>0</v>
      </c>
      <c r="H24" s="3">
        <f t="shared" si="3"/>
        <v>-1064.9395414005389</v>
      </c>
      <c r="I24" s="3">
        <f t="shared" si="25"/>
        <v>852.94117647058829</v>
      </c>
      <c r="J24" s="3">
        <f t="shared" si="5"/>
        <v>26876.378716331703</v>
      </c>
      <c r="N24">
        <v>2030</v>
      </c>
      <c r="O24" s="3">
        <f t="shared" si="19"/>
        <v>26876.378716331703</v>
      </c>
      <c r="P24" s="3">
        <f t="shared" si="20"/>
        <v>27408.84848703197</v>
      </c>
      <c r="Q24" s="3">
        <f t="shared" si="21"/>
        <v>24380</v>
      </c>
      <c r="T24">
        <v>2030</v>
      </c>
      <c r="U24" s="3">
        <f>'Vehicle price'!X26</f>
        <v>23</v>
      </c>
      <c r="V24">
        <v>1.3</v>
      </c>
      <c r="W24" s="3">
        <f t="shared" si="7"/>
        <v>33.221594533622785</v>
      </c>
      <c r="X24" s="3">
        <f>'Vehicle price'!T26</f>
        <v>25.55507271817137</v>
      </c>
      <c r="Y24" s="3">
        <f t="shared" si="12"/>
        <v>17.88855090271996</v>
      </c>
      <c r="Z24">
        <v>0.7</v>
      </c>
      <c r="AC24">
        <v>2030</v>
      </c>
      <c r="AD24" s="14">
        <v>0.85</v>
      </c>
      <c r="AG24">
        <v>2030</v>
      </c>
      <c r="AH24" s="3">
        <v>0</v>
      </c>
      <c r="AI24" s="3">
        <v>0</v>
      </c>
      <c r="AJ24" s="3">
        <v>-1500</v>
      </c>
      <c r="AK24" s="3">
        <v>-750</v>
      </c>
      <c r="AL24" s="20">
        <f t="shared" si="22"/>
        <v>158.35729660524791</v>
      </c>
      <c r="AM24" s="3">
        <f t="shared" si="13"/>
        <v>0</v>
      </c>
      <c r="AN24" s="3">
        <f t="shared" si="14"/>
        <v>0</v>
      </c>
      <c r="AO24" s="3">
        <f t="shared" si="15"/>
        <v>-1064.9395414005389</v>
      </c>
      <c r="AP24" s="3">
        <f t="shared" si="16"/>
        <v>-532.46977070026946</v>
      </c>
    </row>
    <row r="25" spans="1:42">
      <c r="E25" s="3"/>
    </row>
    <row r="26" spans="1:42">
      <c r="A26" t="s">
        <v>324</v>
      </c>
      <c r="B26" t="s">
        <v>803</v>
      </c>
      <c r="C26" t="s">
        <v>705</v>
      </c>
      <c r="D26" t="s">
        <v>498</v>
      </c>
      <c r="E26" t="s">
        <v>705</v>
      </c>
      <c r="F26" t="s">
        <v>705</v>
      </c>
      <c r="G26" t="s">
        <v>705</v>
      </c>
      <c r="H26" t="s">
        <v>705</v>
      </c>
      <c r="I26" t="s">
        <v>705</v>
      </c>
      <c r="J26" t="s">
        <v>705</v>
      </c>
    </row>
    <row r="27" spans="1:42">
      <c r="B27" t="s">
        <v>711</v>
      </c>
      <c r="C27" t="s">
        <v>711</v>
      </c>
      <c r="D27" t="s">
        <v>807</v>
      </c>
      <c r="E27" t="s">
        <v>808</v>
      </c>
      <c r="F27" t="s">
        <v>717</v>
      </c>
      <c r="G27" t="s">
        <v>809</v>
      </c>
      <c r="H27" t="s">
        <v>810</v>
      </c>
      <c r="I27" t="s">
        <v>811</v>
      </c>
      <c r="J27" t="s">
        <v>717</v>
      </c>
    </row>
    <row r="28" spans="1:42">
      <c r="A28">
        <v>2009</v>
      </c>
      <c r="B28" s="3">
        <f t="shared" ref="B28:B49" si="26">B3</f>
        <v>29.592572886961211</v>
      </c>
      <c r="C28" s="3">
        <f>B28*1000</f>
        <v>29592.57288696121</v>
      </c>
      <c r="D28">
        <v>6</v>
      </c>
      <c r="E28" s="3">
        <f t="shared" ref="E28:E37" si="27">(C28)*D28/100</f>
        <v>1775.5543732176727</v>
      </c>
      <c r="F28" s="3">
        <f t="shared" ref="F28:F37" si="28">C28+E28</f>
        <v>31368.127260178884</v>
      </c>
      <c r="G28" s="3">
        <f t="shared" ref="G28:G49" si="29">AN3</f>
        <v>-2856.9479307676306</v>
      </c>
      <c r="H28" s="3">
        <f t="shared" ref="H28:H49" si="30">AP3</f>
        <v>-857.08437923028919</v>
      </c>
      <c r="I28" s="3">
        <f t="shared" ref="I28:I35" si="31">I29</f>
        <v>852.94117647058829</v>
      </c>
      <c r="J28" s="3">
        <f t="shared" ref="J28:J49" si="32">F28+G28+H28+I28</f>
        <v>28507.036126651554</v>
      </c>
    </row>
    <row r="29" spans="1:42">
      <c r="A29">
        <v>2010</v>
      </c>
      <c r="B29" s="3">
        <f t="shared" si="26"/>
        <v>30</v>
      </c>
      <c r="C29" s="3">
        <f t="shared" ref="C29:C49" si="33">B29*1000</f>
        <v>30000</v>
      </c>
      <c r="D29">
        <v>6</v>
      </c>
      <c r="E29" s="3">
        <f t="shared" si="27"/>
        <v>1800</v>
      </c>
      <c r="F29" s="3">
        <f t="shared" si="28"/>
        <v>31800</v>
      </c>
      <c r="G29" s="3">
        <f t="shared" si="29"/>
        <v>-2810.682488952797</v>
      </c>
      <c r="H29" s="3">
        <f t="shared" si="30"/>
        <v>-843.20474668583904</v>
      </c>
      <c r="I29" s="3">
        <f t="shared" si="31"/>
        <v>852.94117647058829</v>
      </c>
      <c r="J29" s="3">
        <f t="shared" si="32"/>
        <v>28999.053940831953</v>
      </c>
    </row>
    <row r="30" spans="1:42">
      <c r="A30">
        <v>2011</v>
      </c>
      <c r="B30" s="3">
        <f t="shared" si="26"/>
        <v>30</v>
      </c>
      <c r="C30" s="3">
        <f t="shared" si="33"/>
        <v>30000</v>
      </c>
      <c r="D30">
        <v>6</v>
      </c>
      <c r="E30" s="3">
        <f t="shared" si="27"/>
        <v>1800</v>
      </c>
      <c r="F30" s="3">
        <f t="shared" si="28"/>
        <v>31800</v>
      </c>
      <c r="G30" s="3">
        <f t="shared" si="29"/>
        <v>-2725.3064720182379</v>
      </c>
      <c r="H30" s="3">
        <f t="shared" si="30"/>
        <v>-817.59194160547133</v>
      </c>
      <c r="I30" s="3">
        <f t="shared" si="31"/>
        <v>852.94117647058829</v>
      </c>
      <c r="J30" s="3">
        <f t="shared" si="32"/>
        <v>29110.042762846879</v>
      </c>
    </row>
    <row r="31" spans="1:42">
      <c r="A31">
        <v>2012</v>
      </c>
      <c r="B31" s="3">
        <f t="shared" si="26"/>
        <v>30.842462459493706</v>
      </c>
      <c r="C31" s="3">
        <f t="shared" si="33"/>
        <v>30842.462459493705</v>
      </c>
      <c r="D31">
        <v>6</v>
      </c>
      <c r="E31" s="3">
        <f t="shared" si="27"/>
        <v>1850.5477475696223</v>
      </c>
      <c r="F31" s="3">
        <f t="shared" si="28"/>
        <v>32693.010207063326</v>
      </c>
      <c r="G31" s="3">
        <f t="shared" si="29"/>
        <v>-2671.4790809500487</v>
      </c>
      <c r="H31" s="3">
        <f t="shared" si="30"/>
        <v>-801.44372428501458</v>
      </c>
      <c r="I31" s="3">
        <f t="shared" si="31"/>
        <v>852.94117647058829</v>
      </c>
      <c r="J31" s="3">
        <f t="shared" si="32"/>
        <v>30073.02857829885</v>
      </c>
    </row>
    <row r="32" spans="1:42">
      <c r="A32">
        <v>2013</v>
      </c>
      <c r="B32" s="3">
        <f t="shared" si="26"/>
        <v>31.143929334439989</v>
      </c>
      <c r="C32" s="3">
        <f t="shared" si="33"/>
        <v>31143.929334439988</v>
      </c>
      <c r="D32">
        <v>6</v>
      </c>
      <c r="E32" s="3">
        <f t="shared" si="27"/>
        <v>1868.6357600663991</v>
      </c>
      <c r="F32" s="3">
        <f t="shared" si="28"/>
        <v>33012.56509450639</v>
      </c>
      <c r="G32" s="3">
        <f t="shared" si="29"/>
        <v>-2634.2490055422336</v>
      </c>
      <c r="H32" s="3">
        <f t="shared" si="30"/>
        <v>-790.27470166267005</v>
      </c>
      <c r="I32" s="3">
        <f t="shared" si="31"/>
        <v>852.94117647058829</v>
      </c>
      <c r="J32" s="3">
        <f t="shared" si="32"/>
        <v>30440.982563772071</v>
      </c>
    </row>
    <row r="33" spans="1:23">
      <c r="A33">
        <v>2014</v>
      </c>
      <c r="B33" s="3">
        <f t="shared" si="26"/>
        <v>33.541755956678692</v>
      </c>
      <c r="C33" s="3">
        <f t="shared" si="33"/>
        <v>33541.755956678695</v>
      </c>
      <c r="D33">
        <v>6</v>
      </c>
      <c r="E33" s="3">
        <f t="shared" si="27"/>
        <v>2012.5053574007218</v>
      </c>
      <c r="F33" s="3">
        <f t="shared" si="28"/>
        <v>35554.26131407942</v>
      </c>
      <c r="G33" s="3">
        <f t="shared" si="29"/>
        <v>-2591.4912501854669</v>
      </c>
      <c r="H33" s="3">
        <f t="shared" si="30"/>
        <v>-777.44737505564012</v>
      </c>
      <c r="I33" s="3">
        <f t="shared" si="31"/>
        <v>852.94117647058829</v>
      </c>
      <c r="J33" s="3">
        <f t="shared" si="32"/>
        <v>33038.263865308909</v>
      </c>
      <c r="W33" s="167"/>
    </row>
    <row r="34" spans="1:23">
      <c r="A34">
        <v>2015</v>
      </c>
      <c r="B34" s="3">
        <f t="shared" si="26"/>
        <v>30</v>
      </c>
      <c r="C34" s="3">
        <f t="shared" si="33"/>
        <v>30000</v>
      </c>
      <c r="D34">
        <v>6</v>
      </c>
      <c r="E34" s="3">
        <f t="shared" si="27"/>
        <v>1800</v>
      </c>
      <c r="F34" s="3">
        <f t="shared" si="28"/>
        <v>31800</v>
      </c>
      <c r="G34" s="3">
        <f t="shared" si="29"/>
        <v>-2585.8821118807887</v>
      </c>
      <c r="H34" s="3">
        <f t="shared" si="30"/>
        <v>-775.76463356423653</v>
      </c>
      <c r="I34" s="3">
        <f t="shared" si="31"/>
        <v>852.94117647058829</v>
      </c>
      <c r="J34" s="3">
        <f t="shared" si="32"/>
        <v>29291.294431025563</v>
      </c>
    </row>
    <row r="35" spans="1:23">
      <c r="A35">
        <v>2016</v>
      </c>
      <c r="B35" s="3">
        <f t="shared" si="26"/>
        <v>30</v>
      </c>
      <c r="C35" s="3">
        <f t="shared" si="33"/>
        <v>30000</v>
      </c>
      <c r="D35">
        <v>6</v>
      </c>
      <c r="E35" s="3">
        <f t="shared" si="27"/>
        <v>1800</v>
      </c>
      <c r="F35" s="3">
        <f t="shared" si="28"/>
        <v>31800</v>
      </c>
      <c r="G35" s="3">
        <f t="shared" si="29"/>
        <v>-2553.25</v>
      </c>
      <c r="H35" s="3">
        <f t="shared" si="30"/>
        <v>-765.97500000000002</v>
      </c>
      <c r="I35" s="3">
        <f t="shared" si="31"/>
        <v>852.94117647058829</v>
      </c>
      <c r="J35" s="3">
        <f t="shared" si="32"/>
        <v>29333.716176470589</v>
      </c>
      <c r="W35" s="167"/>
    </row>
    <row r="36" spans="1:23">
      <c r="A36">
        <v>2017</v>
      </c>
      <c r="B36" s="3">
        <f t="shared" si="26"/>
        <v>30</v>
      </c>
      <c r="C36" s="3">
        <f t="shared" si="33"/>
        <v>30000</v>
      </c>
      <c r="D36">
        <v>6</v>
      </c>
      <c r="E36" s="3">
        <f t="shared" si="27"/>
        <v>1800</v>
      </c>
      <c r="F36" s="3">
        <f t="shared" si="28"/>
        <v>31800</v>
      </c>
      <c r="G36" s="3">
        <f t="shared" si="29"/>
        <v>-2500</v>
      </c>
      <c r="H36" s="3">
        <f t="shared" si="30"/>
        <v>-749.99999999999989</v>
      </c>
      <c r="I36" s="3">
        <f>I37</f>
        <v>852.94117647058829</v>
      </c>
      <c r="J36" s="3">
        <f t="shared" si="32"/>
        <v>29402.941176470587</v>
      </c>
      <c r="W36" s="167"/>
    </row>
    <row r="37" spans="1:23">
      <c r="A37">
        <v>2018</v>
      </c>
      <c r="B37" s="3">
        <f t="shared" si="26"/>
        <v>30.592100851060948</v>
      </c>
      <c r="C37" s="3">
        <f t="shared" si="33"/>
        <v>30592.10085106095</v>
      </c>
      <c r="D37">
        <v>6</v>
      </c>
      <c r="E37" s="3">
        <f t="shared" si="27"/>
        <v>1835.526051063657</v>
      </c>
      <c r="F37" s="3">
        <f t="shared" si="28"/>
        <v>32427.626902124608</v>
      </c>
      <c r="G37" s="3">
        <f t="shared" si="29"/>
        <v>-2500</v>
      </c>
      <c r="H37" s="3">
        <f t="shared" si="30"/>
        <v>-730.49576312457384</v>
      </c>
      <c r="I37" s="61">
        <f>Austria!I28/AD12*0.5</f>
        <v>852.94117647058829</v>
      </c>
      <c r="J37" s="3">
        <f t="shared" si="32"/>
        <v>30050.072315470621</v>
      </c>
      <c r="W37" s="105"/>
    </row>
    <row r="38" spans="1:23">
      <c r="A38">
        <v>2019</v>
      </c>
      <c r="B38" s="3">
        <f t="shared" si="26"/>
        <v>31.172994053473918</v>
      </c>
      <c r="C38" s="3">
        <f t="shared" si="33"/>
        <v>31172.994053473918</v>
      </c>
      <c r="D38">
        <v>6</v>
      </c>
      <c r="E38" s="3">
        <f t="shared" ref="E38:E49" si="34">(C38)*D38/100</f>
        <v>1870.3796432084353</v>
      </c>
      <c r="F38" s="3">
        <f t="shared" ref="F38:F49" si="35">C38+E38</f>
        <v>33043.373696682356</v>
      </c>
      <c r="G38" s="3">
        <f t="shared" si="29"/>
        <v>-1666.6666666666665</v>
      </c>
      <c r="H38" s="3">
        <f t="shared" si="30"/>
        <v>-711.49874659060458</v>
      </c>
      <c r="I38" s="3">
        <f>I37</f>
        <v>852.94117647058829</v>
      </c>
      <c r="J38" s="3">
        <f t="shared" si="32"/>
        <v>31518.149459895671</v>
      </c>
      <c r="W38" s="105"/>
    </row>
    <row r="39" spans="1:23">
      <c r="A39">
        <v>2020</v>
      </c>
      <c r="B39" s="3">
        <f t="shared" si="26"/>
        <v>30.985903123425071</v>
      </c>
      <c r="C39" s="3">
        <f t="shared" si="33"/>
        <v>30985.903123425072</v>
      </c>
      <c r="D39">
        <v>6</v>
      </c>
      <c r="E39" s="3">
        <f t="shared" si="34"/>
        <v>1859.1541874055044</v>
      </c>
      <c r="F39" s="3">
        <f t="shared" si="35"/>
        <v>32845.057310830576</v>
      </c>
      <c r="G39" s="3">
        <f t="shared" si="29"/>
        <v>-833.33333333333314</v>
      </c>
      <c r="H39" s="3">
        <f t="shared" si="30"/>
        <v>-692.99575980384202</v>
      </c>
      <c r="I39" s="3">
        <f t="shared" ref="I39:I49" si="36">I38</f>
        <v>852.94117647058829</v>
      </c>
      <c r="J39" s="3">
        <f t="shared" si="32"/>
        <v>32171.66939416399</v>
      </c>
      <c r="W39" s="105"/>
    </row>
    <row r="40" spans="1:23">
      <c r="A40">
        <v>2021</v>
      </c>
      <c r="B40" s="3">
        <f t="shared" si="26"/>
        <v>30.206708843097807</v>
      </c>
      <c r="C40" s="3">
        <f t="shared" si="33"/>
        <v>30206.708843097807</v>
      </c>
      <c r="D40">
        <v>6</v>
      </c>
      <c r="E40" s="3">
        <f t="shared" si="34"/>
        <v>1812.4025305858686</v>
      </c>
      <c r="F40" s="3">
        <f t="shared" si="35"/>
        <v>32019.111373683678</v>
      </c>
      <c r="G40" s="3">
        <f t="shared" si="29"/>
        <v>0</v>
      </c>
      <c r="H40" s="3">
        <f t="shared" si="30"/>
        <v>-674.9739552000018</v>
      </c>
      <c r="I40" s="3">
        <f t="shared" si="36"/>
        <v>852.94117647058829</v>
      </c>
      <c r="J40" s="3">
        <f t="shared" si="32"/>
        <v>32197.078594954262</v>
      </c>
      <c r="W40" s="105"/>
    </row>
    <row r="41" spans="1:23">
      <c r="A41">
        <v>2022</v>
      </c>
      <c r="B41" s="3">
        <f t="shared" si="26"/>
        <v>30.642454642697771</v>
      </c>
      <c r="C41" s="3">
        <f t="shared" si="33"/>
        <v>30642.454642697772</v>
      </c>
      <c r="D41">
        <v>6</v>
      </c>
      <c r="E41" s="3">
        <f t="shared" si="34"/>
        <v>1838.5472785618663</v>
      </c>
      <c r="F41" s="3">
        <f t="shared" si="35"/>
        <v>32481.001921259638</v>
      </c>
      <c r="G41" s="3">
        <f t="shared" si="29"/>
        <v>0</v>
      </c>
      <c r="H41" s="3">
        <f t="shared" si="30"/>
        <v>-657.4208193240496</v>
      </c>
      <c r="I41" s="3">
        <f t="shared" si="36"/>
        <v>852.94117647058829</v>
      </c>
      <c r="J41" s="3">
        <f t="shared" si="32"/>
        <v>32676.522278406177</v>
      </c>
      <c r="W41" s="105"/>
    </row>
    <row r="42" spans="1:23">
      <c r="A42">
        <v>2023</v>
      </c>
      <c r="B42" s="3">
        <f t="shared" si="26"/>
        <v>30.361546257811007</v>
      </c>
      <c r="C42" s="3">
        <f t="shared" si="33"/>
        <v>30361.546257811005</v>
      </c>
      <c r="D42">
        <v>6</v>
      </c>
      <c r="E42" s="3">
        <f t="shared" si="34"/>
        <v>1821.6927754686603</v>
      </c>
      <c r="F42" s="3">
        <f t="shared" si="35"/>
        <v>32183.239033279664</v>
      </c>
      <c r="G42" s="3">
        <f t="shared" si="29"/>
        <v>0</v>
      </c>
      <c r="H42" s="3">
        <f t="shared" si="30"/>
        <v>-640.32416414147224</v>
      </c>
      <c r="I42" s="3">
        <f t="shared" si="36"/>
        <v>852.94117647058829</v>
      </c>
      <c r="J42" s="3">
        <f t="shared" si="32"/>
        <v>32395.85604560878</v>
      </c>
      <c r="W42" s="105"/>
    </row>
    <row r="43" spans="1:23">
      <c r="A43">
        <v>2024</v>
      </c>
      <c r="B43" s="3">
        <f t="shared" si="26"/>
        <v>29.275640447464834</v>
      </c>
      <c r="C43" s="3">
        <f t="shared" si="33"/>
        <v>29275.640447464833</v>
      </c>
      <c r="D43">
        <v>6</v>
      </c>
      <c r="E43" s="3">
        <f t="shared" si="34"/>
        <v>1756.5384268478902</v>
      </c>
      <c r="F43" s="3">
        <f t="shared" si="35"/>
        <v>31032.178874312725</v>
      </c>
      <c r="G43" s="3">
        <f t="shared" si="29"/>
        <v>0</v>
      </c>
      <c r="H43" s="3">
        <f t="shared" si="30"/>
        <v>-623.67211857550615</v>
      </c>
      <c r="I43" s="3">
        <f t="shared" si="36"/>
        <v>852.94117647058829</v>
      </c>
      <c r="J43" s="3">
        <f t="shared" si="32"/>
        <v>31261.447932207808</v>
      </c>
      <c r="W43" s="105"/>
    </row>
    <row r="44" spans="1:23">
      <c r="A44">
        <v>2025</v>
      </c>
      <c r="B44" s="3">
        <f t="shared" si="26"/>
        <v>28.343375828936317</v>
      </c>
      <c r="C44" s="3">
        <f t="shared" si="33"/>
        <v>28343.375828936318</v>
      </c>
      <c r="D44">
        <v>6</v>
      </c>
      <c r="E44" s="3">
        <f t="shared" si="34"/>
        <v>1700.6025497361791</v>
      </c>
      <c r="F44" s="3">
        <f t="shared" si="35"/>
        <v>30043.978378672498</v>
      </c>
      <c r="G44" s="3">
        <f t="shared" si="29"/>
        <v>0</v>
      </c>
      <c r="H44" s="3">
        <f t="shared" si="30"/>
        <v>-607.45312026444537</v>
      </c>
      <c r="I44" s="3">
        <f t="shared" si="36"/>
        <v>852.94117647058829</v>
      </c>
      <c r="J44" s="3">
        <f t="shared" si="32"/>
        <v>30289.466434878639</v>
      </c>
      <c r="W44" s="105"/>
    </row>
    <row r="45" spans="1:23">
      <c r="A45">
        <v>2026</v>
      </c>
      <c r="B45" s="3">
        <f t="shared" si="26"/>
        <v>27.812270474504896</v>
      </c>
      <c r="C45" s="3">
        <f t="shared" si="33"/>
        <v>27812.270474504894</v>
      </c>
      <c r="D45">
        <v>6</v>
      </c>
      <c r="E45" s="3">
        <f t="shared" si="34"/>
        <v>1668.7362284702936</v>
      </c>
      <c r="F45" s="3">
        <f t="shared" si="35"/>
        <v>29481.006702975188</v>
      </c>
      <c r="G45" s="3">
        <f t="shared" si="29"/>
        <v>0</v>
      </c>
      <c r="H45" s="3">
        <f t="shared" si="30"/>
        <v>-591.65590753330616</v>
      </c>
      <c r="I45" s="3">
        <f t="shared" si="36"/>
        <v>852.94117647058829</v>
      </c>
      <c r="J45" s="3">
        <f t="shared" si="32"/>
        <v>29742.291971912469</v>
      </c>
      <c r="W45" s="105"/>
    </row>
    <row r="46" spans="1:23">
      <c r="A46">
        <v>2027</v>
      </c>
      <c r="B46" s="3">
        <f t="shared" si="26"/>
        <v>27.281165120073478</v>
      </c>
      <c r="C46" s="3">
        <f t="shared" si="33"/>
        <v>27281.165120073478</v>
      </c>
      <c r="D46">
        <v>6</v>
      </c>
      <c r="E46" s="3">
        <f t="shared" si="34"/>
        <v>1636.8699072044087</v>
      </c>
      <c r="F46" s="3">
        <f t="shared" si="35"/>
        <v>28918.035027277885</v>
      </c>
      <c r="G46" s="3">
        <f t="shared" si="29"/>
        <v>0</v>
      </c>
      <c r="H46" s="3">
        <f t="shared" si="30"/>
        <v>-576.269511574273</v>
      </c>
      <c r="I46" s="3">
        <f t="shared" si="36"/>
        <v>852.94117647058829</v>
      </c>
      <c r="J46" s="3">
        <f t="shared" si="32"/>
        <v>29194.706692174201</v>
      </c>
      <c r="W46" s="105"/>
    </row>
    <row r="47" spans="1:23">
      <c r="A47">
        <v>2028</v>
      </c>
      <c r="B47" s="3">
        <f t="shared" si="26"/>
        <v>26.683671596338133</v>
      </c>
      <c r="C47" s="3">
        <f t="shared" si="33"/>
        <v>26683.671596338132</v>
      </c>
      <c r="D47">
        <v>6</v>
      </c>
      <c r="E47" s="3">
        <f t="shared" si="34"/>
        <v>1601.0202957802881</v>
      </c>
      <c r="F47" s="3">
        <f t="shared" si="35"/>
        <v>28284.691892118419</v>
      </c>
      <c r="G47" s="3">
        <f t="shared" si="29"/>
        <v>0</v>
      </c>
      <c r="H47" s="3">
        <f t="shared" si="30"/>
        <v>-561.28324883049868</v>
      </c>
      <c r="I47" s="3">
        <f t="shared" si="36"/>
        <v>852.94117647058829</v>
      </c>
      <c r="J47" s="3">
        <f t="shared" si="32"/>
        <v>28576.349819758507</v>
      </c>
      <c r="W47" s="105"/>
    </row>
    <row r="48" spans="1:23">
      <c r="A48">
        <v>2029</v>
      </c>
      <c r="B48" s="3">
        <f t="shared" si="26"/>
        <v>26.152566241906715</v>
      </c>
      <c r="C48" s="3">
        <f t="shared" si="33"/>
        <v>26152.566241906716</v>
      </c>
      <c r="D48">
        <v>6</v>
      </c>
      <c r="E48" s="3">
        <f t="shared" si="34"/>
        <v>1569.1539745144028</v>
      </c>
      <c r="F48" s="3">
        <f t="shared" si="35"/>
        <v>27721.720216421119</v>
      </c>
      <c r="G48" s="3">
        <f t="shared" si="29"/>
        <v>0</v>
      </c>
      <c r="H48" s="3">
        <f t="shared" si="30"/>
        <v>-546.68671357796688</v>
      </c>
      <c r="I48" s="3">
        <f t="shared" si="36"/>
        <v>852.94117647058829</v>
      </c>
      <c r="J48" s="3">
        <f t="shared" si="32"/>
        <v>28027.974679313738</v>
      </c>
      <c r="W48" s="105"/>
    </row>
    <row r="49" spans="1:23">
      <c r="A49">
        <v>2030</v>
      </c>
      <c r="B49" s="3">
        <f t="shared" si="26"/>
        <v>25.55507271817137</v>
      </c>
      <c r="C49" s="3">
        <f t="shared" si="33"/>
        <v>25555.07271817137</v>
      </c>
      <c r="D49">
        <v>6</v>
      </c>
      <c r="E49" s="3">
        <f t="shared" si="34"/>
        <v>1533.3043630902821</v>
      </c>
      <c r="F49" s="3">
        <f t="shared" si="35"/>
        <v>27088.377081261653</v>
      </c>
      <c r="G49" s="3">
        <f t="shared" si="29"/>
        <v>0</v>
      </c>
      <c r="H49" s="3">
        <f t="shared" si="30"/>
        <v>-532.46977070026946</v>
      </c>
      <c r="I49" s="3">
        <f t="shared" si="36"/>
        <v>852.94117647058829</v>
      </c>
      <c r="J49" s="3">
        <f t="shared" si="32"/>
        <v>27408.84848703197</v>
      </c>
      <c r="W49" s="105"/>
    </row>
    <row r="50" spans="1:23">
      <c r="W50" s="167"/>
    </row>
    <row r="51" spans="1:23">
      <c r="A51" t="s">
        <v>716</v>
      </c>
      <c r="B51" t="s">
        <v>803</v>
      </c>
      <c r="C51" t="s">
        <v>705</v>
      </c>
      <c r="D51" t="s">
        <v>498</v>
      </c>
      <c r="E51" t="s">
        <v>705</v>
      </c>
      <c r="F51" t="s">
        <v>705</v>
      </c>
    </row>
    <row r="52" spans="1:23">
      <c r="B52" t="s">
        <v>724</v>
      </c>
      <c r="C52" t="s">
        <v>724</v>
      </c>
      <c r="D52" t="s">
        <v>807</v>
      </c>
      <c r="E52" t="s">
        <v>808</v>
      </c>
      <c r="F52" t="s">
        <v>725</v>
      </c>
    </row>
    <row r="53" spans="1:23">
      <c r="A53">
        <v>2009</v>
      </c>
      <c r="B53" s="3">
        <f t="shared" ref="B53:B74" si="37">U3</f>
        <v>23</v>
      </c>
      <c r="C53" s="3">
        <f>B53*1000</f>
        <v>23000</v>
      </c>
      <c r="D53">
        <v>6</v>
      </c>
      <c r="E53" s="3">
        <f t="shared" ref="E53:E74" si="38">(C53)*D53/100</f>
        <v>1380</v>
      </c>
      <c r="F53" s="3">
        <f t="shared" ref="F53:F74" si="39">C53+E53</f>
        <v>24380</v>
      </c>
    </row>
    <row r="54" spans="1:23">
      <c r="A54">
        <v>2010</v>
      </c>
      <c r="B54" s="3">
        <f t="shared" si="37"/>
        <v>23</v>
      </c>
      <c r="C54" s="3">
        <f t="shared" ref="C54:C74" si="40">B54*1000</f>
        <v>23000</v>
      </c>
      <c r="D54">
        <v>6</v>
      </c>
      <c r="E54" s="3">
        <f t="shared" si="38"/>
        <v>1380</v>
      </c>
      <c r="F54" s="3">
        <f t="shared" si="39"/>
        <v>24380</v>
      </c>
    </row>
    <row r="55" spans="1:23">
      <c r="A55">
        <v>2011</v>
      </c>
      <c r="B55" s="3">
        <f t="shared" si="37"/>
        <v>23</v>
      </c>
      <c r="C55" s="3">
        <f t="shared" si="40"/>
        <v>23000</v>
      </c>
      <c r="D55">
        <v>6</v>
      </c>
      <c r="E55" s="3">
        <f t="shared" si="38"/>
        <v>1380</v>
      </c>
      <c r="F55" s="3">
        <f t="shared" si="39"/>
        <v>24380</v>
      </c>
    </row>
    <row r="56" spans="1:23">
      <c r="A56">
        <v>2012</v>
      </c>
      <c r="B56" s="3">
        <f t="shared" si="37"/>
        <v>23</v>
      </c>
      <c r="C56" s="3">
        <f t="shared" si="40"/>
        <v>23000</v>
      </c>
      <c r="D56">
        <v>6</v>
      </c>
      <c r="E56" s="3">
        <f t="shared" si="38"/>
        <v>1380</v>
      </c>
      <c r="F56" s="3">
        <f t="shared" si="39"/>
        <v>24380</v>
      </c>
    </row>
    <row r="57" spans="1:23">
      <c r="A57">
        <v>2013</v>
      </c>
      <c r="B57" s="3">
        <f t="shared" si="37"/>
        <v>23</v>
      </c>
      <c r="C57" s="3">
        <f t="shared" si="40"/>
        <v>23000</v>
      </c>
      <c r="D57">
        <v>6</v>
      </c>
      <c r="E57" s="3">
        <f t="shared" si="38"/>
        <v>1380</v>
      </c>
      <c r="F57" s="3">
        <f t="shared" si="39"/>
        <v>24380</v>
      </c>
    </row>
    <row r="58" spans="1:23">
      <c r="A58">
        <v>2014</v>
      </c>
      <c r="B58" s="3">
        <f t="shared" si="37"/>
        <v>23</v>
      </c>
      <c r="C58" s="3">
        <f t="shared" si="40"/>
        <v>23000</v>
      </c>
      <c r="D58">
        <v>6</v>
      </c>
      <c r="E58" s="3">
        <f t="shared" si="38"/>
        <v>1380</v>
      </c>
      <c r="F58" s="3">
        <f t="shared" si="39"/>
        <v>24380</v>
      </c>
    </row>
    <row r="59" spans="1:23">
      <c r="A59">
        <v>2015</v>
      </c>
      <c r="B59" s="3">
        <f t="shared" si="37"/>
        <v>23</v>
      </c>
      <c r="C59" s="3">
        <f t="shared" si="40"/>
        <v>23000</v>
      </c>
      <c r="D59">
        <v>6</v>
      </c>
      <c r="E59" s="3">
        <f t="shared" si="38"/>
        <v>1380</v>
      </c>
      <c r="F59" s="3">
        <f t="shared" si="39"/>
        <v>24380</v>
      </c>
    </row>
    <row r="60" spans="1:23">
      <c r="A60">
        <v>2016</v>
      </c>
      <c r="B60" s="3">
        <f t="shared" si="37"/>
        <v>23</v>
      </c>
      <c r="C60" s="3">
        <f t="shared" si="40"/>
        <v>23000</v>
      </c>
      <c r="D60">
        <v>6</v>
      </c>
      <c r="E60" s="3">
        <f t="shared" si="38"/>
        <v>1380</v>
      </c>
      <c r="F60" s="3">
        <f t="shared" si="39"/>
        <v>24380</v>
      </c>
    </row>
    <row r="61" spans="1:23">
      <c r="A61">
        <v>2017</v>
      </c>
      <c r="B61" s="3">
        <f t="shared" si="37"/>
        <v>23</v>
      </c>
      <c r="C61" s="3">
        <f t="shared" si="40"/>
        <v>23000</v>
      </c>
      <c r="D61">
        <v>6</v>
      </c>
      <c r="E61" s="3">
        <f t="shared" si="38"/>
        <v>1380</v>
      </c>
      <c r="F61" s="3">
        <f t="shared" si="39"/>
        <v>24380</v>
      </c>
      <c r="M61" s="3"/>
    </row>
    <row r="62" spans="1:23">
      <c r="A62">
        <v>2018</v>
      </c>
      <c r="B62" s="3">
        <f t="shared" si="37"/>
        <v>23</v>
      </c>
      <c r="C62" s="3">
        <f t="shared" si="40"/>
        <v>23000</v>
      </c>
      <c r="D62">
        <v>6</v>
      </c>
      <c r="E62" s="3">
        <f t="shared" si="38"/>
        <v>1380</v>
      </c>
      <c r="F62" s="3">
        <f t="shared" si="39"/>
        <v>24380</v>
      </c>
    </row>
    <row r="63" spans="1:23">
      <c r="A63">
        <v>2019</v>
      </c>
      <c r="B63" s="3">
        <f t="shared" si="37"/>
        <v>23</v>
      </c>
      <c r="C63" s="3">
        <f t="shared" si="40"/>
        <v>23000</v>
      </c>
      <c r="D63">
        <v>6</v>
      </c>
      <c r="E63" s="3">
        <f t="shared" si="38"/>
        <v>1380</v>
      </c>
      <c r="F63" s="3">
        <f t="shared" si="39"/>
        <v>24380</v>
      </c>
    </row>
    <row r="64" spans="1:23">
      <c r="A64">
        <v>2020</v>
      </c>
      <c r="B64" s="3">
        <f t="shared" si="37"/>
        <v>23</v>
      </c>
      <c r="C64" s="3">
        <f t="shared" si="40"/>
        <v>23000</v>
      </c>
      <c r="D64">
        <v>6</v>
      </c>
      <c r="E64" s="3">
        <f t="shared" si="38"/>
        <v>1380</v>
      </c>
      <c r="F64" s="3">
        <f t="shared" si="39"/>
        <v>24380</v>
      </c>
    </row>
    <row r="65" spans="1:31">
      <c r="A65">
        <v>2021</v>
      </c>
      <c r="B65" s="3">
        <f t="shared" si="37"/>
        <v>23</v>
      </c>
      <c r="C65" s="3">
        <f t="shared" si="40"/>
        <v>23000</v>
      </c>
      <c r="D65">
        <v>6</v>
      </c>
      <c r="E65" s="3">
        <f t="shared" si="38"/>
        <v>1380</v>
      </c>
      <c r="F65" s="3">
        <f t="shared" si="39"/>
        <v>24380</v>
      </c>
    </row>
    <row r="66" spans="1:31">
      <c r="A66">
        <v>2022</v>
      </c>
      <c r="B66" s="3">
        <f t="shared" si="37"/>
        <v>23</v>
      </c>
      <c r="C66" s="3">
        <f t="shared" si="40"/>
        <v>23000</v>
      </c>
      <c r="D66">
        <v>6</v>
      </c>
      <c r="E66" s="3">
        <f t="shared" si="38"/>
        <v>1380</v>
      </c>
      <c r="F66" s="3">
        <f t="shared" si="39"/>
        <v>24380</v>
      </c>
    </row>
    <row r="67" spans="1:31">
      <c r="A67">
        <v>2023</v>
      </c>
      <c r="B67" s="3">
        <f t="shared" si="37"/>
        <v>23</v>
      </c>
      <c r="C67" s="3">
        <f t="shared" si="40"/>
        <v>23000</v>
      </c>
      <c r="D67">
        <v>6</v>
      </c>
      <c r="E67" s="3">
        <f t="shared" si="38"/>
        <v>1380</v>
      </c>
      <c r="F67" s="3">
        <f t="shared" si="39"/>
        <v>24380</v>
      </c>
    </row>
    <row r="68" spans="1:31">
      <c r="A68">
        <v>2024</v>
      </c>
      <c r="B68" s="3">
        <f t="shared" si="37"/>
        <v>23</v>
      </c>
      <c r="C68" s="3">
        <f t="shared" si="40"/>
        <v>23000</v>
      </c>
      <c r="D68">
        <v>6</v>
      </c>
      <c r="E68" s="3">
        <f t="shared" si="38"/>
        <v>1380</v>
      </c>
      <c r="F68" s="3">
        <f t="shared" si="39"/>
        <v>24380</v>
      </c>
    </row>
    <row r="69" spans="1:31">
      <c r="A69">
        <v>2025</v>
      </c>
      <c r="B69" s="3">
        <f t="shared" si="37"/>
        <v>23</v>
      </c>
      <c r="C69" s="3">
        <f t="shared" si="40"/>
        <v>23000</v>
      </c>
      <c r="D69">
        <v>6</v>
      </c>
      <c r="E69" s="3">
        <f t="shared" si="38"/>
        <v>1380</v>
      </c>
      <c r="F69" s="3">
        <f t="shared" si="39"/>
        <v>24380</v>
      </c>
    </row>
    <row r="70" spans="1:31">
      <c r="A70">
        <v>2026</v>
      </c>
      <c r="B70" s="3">
        <f t="shared" si="37"/>
        <v>23</v>
      </c>
      <c r="C70" s="3">
        <f t="shared" si="40"/>
        <v>23000</v>
      </c>
      <c r="D70">
        <v>6</v>
      </c>
      <c r="E70" s="3">
        <f t="shared" si="38"/>
        <v>1380</v>
      </c>
      <c r="F70" s="3">
        <f t="shared" si="39"/>
        <v>24380</v>
      </c>
    </row>
    <row r="71" spans="1:31">
      <c r="A71">
        <v>2027</v>
      </c>
      <c r="B71" s="3">
        <f t="shared" si="37"/>
        <v>23</v>
      </c>
      <c r="C71" s="3">
        <f t="shared" si="40"/>
        <v>23000</v>
      </c>
      <c r="D71">
        <v>6</v>
      </c>
      <c r="E71" s="3">
        <f t="shared" si="38"/>
        <v>1380</v>
      </c>
      <c r="F71" s="3">
        <f t="shared" si="39"/>
        <v>24380</v>
      </c>
    </row>
    <row r="72" spans="1:31">
      <c r="A72">
        <v>2028</v>
      </c>
      <c r="B72" s="3">
        <f t="shared" si="37"/>
        <v>23</v>
      </c>
      <c r="C72" s="3">
        <f t="shared" si="40"/>
        <v>23000</v>
      </c>
      <c r="D72">
        <v>6</v>
      </c>
      <c r="E72" s="3">
        <f t="shared" si="38"/>
        <v>1380</v>
      </c>
      <c r="F72" s="3">
        <f t="shared" si="39"/>
        <v>24380</v>
      </c>
    </row>
    <row r="73" spans="1:31">
      <c r="A73">
        <v>2029</v>
      </c>
      <c r="B73" s="3">
        <f t="shared" si="37"/>
        <v>23</v>
      </c>
      <c r="C73" s="3">
        <f t="shared" si="40"/>
        <v>23000</v>
      </c>
      <c r="D73">
        <v>6</v>
      </c>
      <c r="E73" s="3">
        <f t="shared" si="38"/>
        <v>1380</v>
      </c>
      <c r="F73" s="3">
        <f t="shared" si="39"/>
        <v>24380</v>
      </c>
    </row>
    <row r="74" spans="1:31">
      <c r="A74">
        <v>2030</v>
      </c>
      <c r="B74" s="3">
        <f t="shared" si="37"/>
        <v>23</v>
      </c>
      <c r="C74" s="3">
        <f t="shared" si="40"/>
        <v>23000</v>
      </c>
      <c r="D74">
        <v>6</v>
      </c>
      <c r="E74" s="3">
        <f t="shared" si="38"/>
        <v>1380</v>
      </c>
      <c r="F74" s="3">
        <f t="shared" si="39"/>
        <v>24380</v>
      </c>
    </row>
    <row r="80" spans="1:31">
      <c r="AB80" s="87" t="s">
        <v>1228</v>
      </c>
      <c r="AC80" s="87"/>
      <c r="AD80" s="87"/>
      <c r="AE80" s="87"/>
    </row>
    <row r="81" spans="1:36">
      <c r="AB81" s="87" t="s">
        <v>1167</v>
      </c>
      <c r="AC81" s="87" t="s">
        <v>1168</v>
      </c>
      <c r="AD81" s="87" t="s">
        <v>1169</v>
      </c>
      <c r="AE81" s="87" t="s">
        <v>1170</v>
      </c>
    </row>
    <row r="82" spans="1:36">
      <c r="B82" t="s">
        <v>980</v>
      </c>
      <c r="C82" t="s">
        <v>980</v>
      </c>
      <c r="D82" t="s">
        <v>980</v>
      </c>
      <c r="E82" t="s">
        <v>980</v>
      </c>
      <c r="F82" t="s">
        <v>980</v>
      </c>
      <c r="J82" t="s">
        <v>812</v>
      </c>
      <c r="K82" t="s">
        <v>812</v>
      </c>
      <c r="L82" t="s">
        <v>812</v>
      </c>
      <c r="M82" t="s">
        <v>812</v>
      </c>
      <c r="N82" t="s">
        <v>812</v>
      </c>
      <c r="W82" t="s">
        <v>988</v>
      </c>
      <c r="AA82" s="3">
        <v>2010</v>
      </c>
      <c r="AB82" s="13">
        <v>0.82559112411946844</v>
      </c>
      <c r="AC82" s="13">
        <f t="shared" ref="AC82:AE82" si="41">AB82</f>
        <v>0.82559112411946844</v>
      </c>
      <c r="AD82" s="13">
        <f t="shared" si="41"/>
        <v>0.82559112411946844</v>
      </c>
      <c r="AE82" s="13">
        <f t="shared" si="41"/>
        <v>0.82559112411946844</v>
      </c>
      <c r="AG82" s="13"/>
      <c r="AH82" s="13"/>
      <c r="AI82" s="13"/>
      <c r="AJ82" s="13"/>
    </row>
    <row r="83" spans="1:36">
      <c r="B83" t="s">
        <v>978</v>
      </c>
      <c r="C83" t="s">
        <v>979</v>
      </c>
      <c r="D83" t="s">
        <v>916</v>
      </c>
      <c r="E83" t="s">
        <v>981</v>
      </c>
      <c r="F83" t="s">
        <v>983</v>
      </c>
      <c r="J83" t="s">
        <v>725</v>
      </c>
      <c r="K83" t="s">
        <v>979</v>
      </c>
      <c r="L83" t="s">
        <v>916</v>
      </c>
      <c r="M83" t="s">
        <v>985</v>
      </c>
      <c r="N83" t="s">
        <v>983</v>
      </c>
      <c r="R83" t="s">
        <v>997</v>
      </c>
      <c r="S83" t="s">
        <v>984</v>
      </c>
      <c r="W83" t="s">
        <v>934</v>
      </c>
      <c r="X83" t="s">
        <v>986</v>
      </c>
      <c r="Y83" t="s">
        <v>987</v>
      </c>
      <c r="AA83" s="3">
        <v>2011</v>
      </c>
      <c r="AB83" s="13">
        <v>1.0142682253361208</v>
      </c>
      <c r="AC83" s="13">
        <f t="shared" ref="AC83:AE83" si="42">AB83</f>
        <v>1.0142682253361208</v>
      </c>
      <c r="AD83" s="13">
        <f t="shared" si="42"/>
        <v>1.0142682253361208</v>
      </c>
      <c r="AE83" s="13">
        <f t="shared" si="42"/>
        <v>1.0142682253361208</v>
      </c>
      <c r="AG83" s="13"/>
      <c r="AH83" s="13"/>
      <c r="AI83" s="13"/>
      <c r="AJ83" s="13"/>
    </row>
    <row r="84" spans="1:36">
      <c r="A84" s="3">
        <v>2012</v>
      </c>
      <c r="B84" s="3">
        <f t="shared" ref="B84:B102" si="43">MIN(J6,J31)</f>
        <v>23928.626692113739</v>
      </c>
      <c r="C84" s="3">
        <f>B84/5</f>
        <v>4785.7253384227479</v>
      </c>
      <c r="D84" s="3">
        <f>B84*0.13</f>
        <v>3110.721469974786</v>
      </c>
      <c r="E84" s="3">
        <f t="shared" ref="E84:E102" si="44">K6</f>
        <v>0</v>
      </c>
      <c r="F84" s="3">
        <f>C84+D84-E84</f>
        <v>7896.4468083975335</v>
      </c>
      <c r="G84" s="3"/>
      <c r="H84" s="3"/>
      <c r="I84" s="3">
        <v>2012</v>
      </c>
      <c r="J84" s="3">
        <f>F56</f>
        <v>24380</v>
      </c>
      <c r="K84" s="3">
        <f>J84/5</f>
        <v>4876</v>
      </c>
      <c r="L84" s="3">
        <f>J84*0.13</f>
        <v>3169.4</v>
      </c>
      <c r="M84" s="3">
        <f>Y84/100*X84*W84</f>
        <v>1559.7302997069373</v>
      </c>
      <c r="N84" s="3">
        <f t="shared" ref="N84:N102" si="45">SUM(K84:M84)</f>
        <v>9605.1302997069361</v>
      </c>
      <c r="O84" s="3"/>
      <c r="P84" s="3"/>
      <c r="Q84" s="3">
        <v>2012</v>
      </c>
      <c r="R84" s="13">
        <f>N84/F84</f>
        <v>1.2163863738678378</v>
      </c>
      <c r="S84" s="13">
        <f t="shared" ref="S84:S102" si="46">F84/N84</f>
        <v>0.82210720333887233</v>
      </c>
      <c r="W84" s="13">
        <f>AD84</f>
        <v>1.023532685214662</v>
      </c>
      <c r="X84" s="12">
        <f>'Country L per 100 km'!W7</f>
        <v>8.465941983951291</v>
      </c>
      <c r="Y84" s="3">
        <f>'Country distance travelled'!W7</f>
        <v>18000</v>
      </c>
      <c r="AA84" s="3">
        <v>2012</v>
      </c>
      <c r="AB84" s="13">
        <v>1.023532685214662</v>
      </c>
      <c r="AC84" s="13">
        <f t="shared" ref="AC84:AE84" si="47">AB84</f>
        <v>1.023532685214662</v>
      </c>
      <c r="AD84" s="13">
        <f t="shared" si="47"/>
        <v>1.023532685214662</v>
      </c>
      <c r="AE84" s="13">
        <f t="shared" si="47"/>
        <v>1.023532685214662</v>
      </c>
      <c r="AG84" s="13"/>
      <c r="AH84" s="13"/>
      <c r="AI84" s="13"/>
      <c r="AJ84" s="13"/>
    </row>
    <row r="85" spans="1:36">
      <c r="A85" s="3">
        <v>2013</v>
      </c>
      <c r="B85" s="3">
        <f t="shared" si="43"/>
        <v>24382.209851024934</v>
      </c>
      <c r="C85" s="3">
        <f t="shared" ref="C85:C102" si="48">B85/5</f>
        <v>4876.4419702049872</v>
      </c>
      <c r="D85" s="3">
        <f t="shared" ref="D85:D102" si="49">B85*0.13</f>
        <v>3169.6872806332417</v>
      </c>
      <c r="E85" s="3">
        <f t="shared" si="44"/>
        <v>0</v>
      </c>
      <c r="F85" s="3">
        <f t="shared" ref="F85:F102" si="50">C85+D85-E85</f>
        <v>8046.1292508382285</v>
      </c>
      <c r="G85" s="3"/>
      <c r="H85" s="3"/>
      <c r="I85" s="3">
        <v>2013</v>
      </c>
      <c r="J85" s="3">
        <f t="shared" ref="J85:J102" si="51">F57</f>
        <v>24380</v>
      </c>
      <c r="K85" s="3">
        <f t="shared" ref="K85:K102" si="52">J85/5</f>
        <v>4876</v>
      </c>
      <c r="L85" s="3">
        <f t="shared" ref="L85:L102" si="53">J85*0.13</f>
        <v>3169.4</v>
      </c>
      <c r="M85" s="3">
        <f t="shared" ref="M85:M102" si="54">Y85/100*X85*W85</f>
        <v>1475.6957559087371</v>
      </c>
      <c r="N85" s="3">
        <f t="shared" si="45"/>
        <v>9521.0957559087365</v>
      </c>
      <c r="O85" s="3"/>
      <c r="P85" s="3"/>
      <c r="Q85" s="3">
        <v>2013</v>
      </c>
      <c r="R85" s="13">
        <f t="shared" ref="R85:R102" si="55">N85/F85</f>
        <v>1.1833137971176451</v>
      </c>
      <c r="S85" s="13">
        <f t="shared" si="46"/>
        <v>0.84508437443713846</v>
      </c>
      <c r="W85" s="13">
        <f t="shared" ref="W85:W102" si="56">AD85</f>
        <v>0.97598925655339752</v>
      </c>
      <c r="X85" s="12">
        <f>'Country L per 100 km'!W8</f>
        <v>8.4</v>
      </c>
      <c r="Y85" s="3">
        <f>'Country distance travelled'!W8</f>
        <v>18000</v>
      </c>
      <c r="AA85" s="3">
        <v>2013</v>
      </c>
      <c r="AB85" s="13">
        <v>0.97598925655339752</v>
      </c>
      <c r="AC85" s="13">
        <f t="shared" ref="AC85:AE85" si="57">AB85</f>
        <v>0.97598925655339752</v>
      </c>
      <c r="AD85" s="13">
        <f t="shared" si="57"/>
        <v>0.97598925655339752</v>
      </c>
      <c r="AE85" s="13">
        <f t="shared" si="57"/>
        <v>0.97598925655339752</v>
      </c>
      <c r="AG85" s="13"/>
      <c r="AH85" s="13"/>
      <c r="AI85" s="13"/>
      <c r="AJ85" s="13"/>
    </row>
    <row r="86" spans="1:36">
      <c r="A86" s="3">
        <v>2014</v>
      </c>
      <c r="B86" s="3">
        <f t="shared" si="43"/>
        <v>27077.833989882325</v>
      </c>
      <c r="C86" s="3">
        <f t="shared" si="48"/>
        <v>5415.5667979764648</v>
      </c>
      <c r="D86" s="3">
        <f t="shared" si="49"/>
        <v>3520.1184186847022</v>
      </c>
      <c r="E86" s="3">
        <f t="shared" si="44"/>
        <v>0</v>
      </c>
      <c r="F86" s="3">
        <f t="shared" si="50"/>
        <v>8935.6852166611679</v>
      </c>
      <c r="G86" s="3"/>
      <c r="H86" s="3"/>
      <c r="I86" s="3">
        <v>2014</v>
      </c>
      <c r="J86" s="3">
        <f t="shared" si="51"/>
        <v>24380</v>
      </c>
      <c r="K86" s="3">
        <f t="shared" si="52"/>
        <v>4876</v>
      </c>
      <c r="L86" s="3">
        <f t="shared" si="53"/>
        <v>3169.4</v>
      </c>
      <c r="M86" s="3">
        <f t="shared" si="54"/>
        <v>1376.0634163613277</v>
      </c>
      <c r="N86" s="3">
        <f t="shared" si="45"/>
        <v>9421.4634163613264</v>
      </c>
      <c r="O86" s="3"/>
      <c r="P86" s="3"/>
      <c r="Q86" s="3">
        <v>2014</v>
      </c>
      <c r="R86" s="13">
        <f t="shared" si="55"/>
        <v>1.054363844285203</v>
      </c>
      <c r="S86" s="13">
        <f t="shared" si="46"/>
        <v>0.94843919906789054</v>
      </c>
      <c r="W86" s="13">
        <f t="shared" si="56"/>
        <v>0.92101599031591508</v>
      </c>
      <c r="X86" s="12">
        <f>'Country L per 100 km'!W9</f>
        <v>8.3003952569169961</v>
      </c>
      <c r="Y86" s="3">
        <f>'Country distance travelled'!W9</f>
        <v>18000</v>
      </c>
      <c r="AA86" s="3">
        <v>2014</v>
      </c>
      <c r="AB86" s="13">
        <v>0.92101599031591508</v>
      </c>
      <c r="AC86" s="13">
        <f t="shared" ref="AC86:AE86" si="58">AB86</f>
        <v>0.92101599031591508</v>
      </c>
      <c r="AD86" s="13">
        <f t="shared" si="58"/>
        <v>0.92101599031591508</v>
      </c>
      <c r="AE86" s="13">
        <f t="shared" si="58"/>
        <v>0.92101599031591508</v>
      </c>
      <c r="AG86" s="13"/>
      <c r="AH86" s="13"/>
      <c r="AI86" s="13"/>
      <c r="AJ86" s="13"/>
    </row>
    <row r="87" spans="1:36">
      <c r="A87" s="3">
        <v>2015</v>
      </c>
      <c r="B87" s="3">
        <f t="shared" si="43"/>
        <v>23343.765573699748</v>
      </c>
      <c r="C87" s="3">
        <f t="shared" si="48"/>
        <v>4668.7531147399495</v>
      </c>
      <c r="D87" s="3">
        <f t="shared" si="49"/>
        <v>3034.6895245809674</v>
      </c>
      <c r="E87" s="3">
        <f t="shared" si="44"/>
        <v>0</v>
      </c>
      <c r="F87" s="3">
        <f t="shared" si="50"/>
        <v>7703.4426393209169</v>
      </c>
      <c r="G87" s="3"/>
      <c r="H87" s="3"/>
      <c r="I87" s="3">
        <v>2015</v>
      </c>
      <c r="J87" s="3">
        <f t="shared" si="51"/>
        <v>24380</v>
      </c>
      <c r="K87" s="3">
        <f t="shared" si="52"/>
        <v>4876</v>
      </c>
      <c r="L87" s="3">
        <f t="shared" si="53"/>
        <v>3169.4</v>
      </c>
      <c r="M87" s="3">
        <f t="shared" si="54"/>
        <v>978.0379304850627</v>
      </c>
      <c r="N87" s="3">
        <f t="shared" si="45"/>
        <v>9023.4379304850627</v>
      </c>
      <c r="O87" s="3"/>
      <c r="P87" s="3"/>
      <c r="Q87" s="3">
        <v>2015</v>
      </c>
      <c r="R87" s="13">
        <f t="shared" si="55"/>
        <v>1.1713513493858516</v>
      </c>
      <c r="S87" s="13">
        <f t="shared" si="46"/>
        <v>0.8537148145381892</v>
      </c>
      <c r="W87" s="13">
        <f t="shared" si="56"/>
        <v>0.66181342850068992</v>
      </c>
      <c r="X87" s="12">
        <f>'Country L per 100 km'!W10</f>
        <v>8.2100843292947534</v>
      </c>
      <c r="Y87" s="3">
        <f>'Country distance travelled'!W10</f>
        <v>18000</v>
      </c>
      <c r="AA87" s="3">
        <v>2015</v>
      </c>
      <c r="AB87" s="13">
        <v>0.66181342850068992</v>
      </c>
      <c r="AC87" s="13">
        <f t="shared" ref="AC87:AE87" si="59">AB87</f>
        <v>0.66181342850068992</v>
      </c>
      <c r="AD87" s="13">
        <f t="shared" si="59"/>
        <v>0.66181342850068992</v>
      </c>
      <c r="AE87" s="13">
        <f t="shared" si="59"/>
        <v>0.66181342850068992</v>
      </c>
      <c r="AG87" s="13"/>
      <c r="AH87" s="13"/>
      <c r="AI87" s="13"/>
      <c r="AJ87" s="13"/>
    </row>
    <row r="88" spans="1:36">
      <c r="A88" s="3">
        <v>2016</v>
      </c>
      <c r="B88" s="3">
        <f t="shared" si="43"/>
        <v>23461.241176470587</v>
      </c>
      <c r="C88" s="3">
        <f t="shared" si="48"/>
        <v>4692.248235294117</v>
      </c>
      <c r="D88" s="3">
        <f t="shared" si="49"/>
        <v>3049.9613529411763</v>
      </c>
      <c r="E88" s="3">
        <f t="shared" si="44"/>
        <v>0</v>
      </c>
      <c r="F88" s="3">
        <f t="shared" si="50"/>
        <v>7742.2095882352933</v>
      </c>
      <c r="G88" s="3"/>
      <c r="H88" s="3"/>
      <c r="I88" s="3">
        <v>2016</v>
      </c>
      <c r="J88" s="3">
        <f t="shared" si="51"/>
        <v>24380</v>
      </c>
      <c r="K88" s="3">
        <f t="shared" si="52"/>
        <v>4876</v>
      </c>
      <c r="L88" s="3">
        <f t="shared" si="53"/>
        <v>3169.4</v>
      </c>
      <c r="M88" s="3">
        <f t="shared" si="54"/>
        <v>860.12246554290346</v>
      </c>
      <c r="N88" s="3">
        <f t="shared" si="45"/>
        <v>8905.5224655429029</v>
      </c>
      <c r="O88" s="3"/>
      <c r="P88" s="3"/>
      <c r="Q88" s="3">
        <v>2016</v>
      </c>
      <c r="R88" s="13">
        <f t="shared" si="55"/>
        <v>1.1502559268190475</v>
      </c>
      <c r="S88" s="13">
        <f t="shared" si="46"/>
        <v>0.86937174300455922</v>
      </c>
      <c r="W88" s="13">
        <f t="shared" si="56"/>
        <v>0.58784325833333351</v>
      </c>
      <c r="X88" s="12">
        <f>'Country L per 100 km'!W11</f>
        <v>8.1287963656383706</v>
      </c>
      <c r="Y88" s="3">
        <f>'Country distance travelled'!W11</f>
        <v>18000</v>
      </c>
      <c r="AA88" s="3">
        <v>2016</v>
      </c>
      <c r="AB88" s="13">
        <v>0.58784325833333351</v>
      </c>
      <c r="AC88" s="13">
        <f t="shared" ref="AC88:AE88" si="60">AB88</f>
        <v>0.58784325833333351</v>
      </c>
      <c r="AD88" s="13">
        <f t="shared" si="60"/>
        <v>0.58784325833333351</v>
      </c>
      <c r="AE88" s="13">
        <f t="shared" si="60"/>
        <v>0.58784325833333351</v>
      </c>
      <c r="AG88" s="13"/>
      <c r="AH88" s="13"/>
      <c r="AI88" s="13"/>
      <c r="AJ88" s="13"/>
    </row>
    <row r="89" spans="1:36">
      <c r="A89" s="3">
        <v>2017</v>
      </c>
      <c r="B89" s="3">
        <f t="shared" si="43"/>
        <v>23652.941176470587</v>
      </c>
      <c r="C89" s="3">
        <f t="shared" si="48"/>
        <v>4730.5882352941171</v>
      </c>
      <c r="D89" s="3">
        <f t="shared" si="49"/>
        <v>3074.8823529411766</v>
      </c>
      <c r="E89" s="3">
        <f t="shared" si="44"/>
        <v>0</v>
      </c>
      <c r="F89" s="3">
        <f t="shared" si="50"/>
        <v>7805.4705882352937</v>
      </c>
      <c r="G89" s="3"/>
      <c r="H89" s="3"/>
      <c r="I89" s="3">
        <v>2017</v>
      </c>
      <c r="J89" s="3">
        <f t="shared" si="51"/>
        <v>24380</v>
      </c>
      <c r="K89" s="3">
        <f t="shared" si="52"/>
        <v>4876</v>
      </c>
      <c r="L89" s="3">
        <f t="shared" si="53"/>
        <v>3169.4</v>
      </c>
      <c r="M89" s="3">
        <f t="shared" si="54"/>
        <v>925.23408930077903</v>
      </c>
      <c r="N89" s="3">
        <f t="shared" si="45"/>
        <v>8970.6340893007782</v>
      </c>
      <c r="O89" s="3"/>
      <c r="P89" s="3"/>
      <c r="Q89" s="3">
        <v>2017</v>
      </c>
      <c r="R89" s="13">
        <f>N89/F89</f>
        <v>1.1492752407294524</v>
      </c>
      <c r="S89" s="13">
        <f t="shared" si="46"/>
        <v>0.87011358511934311</v>
      </c>
      <c r="W89" s="13">
        <f t="shared" si="56"/>
        <v>0.6386666666666666</v>
      </c>
      <c r="X89" s="12">
        <f>'Country L per 100 km'!W12</f>
        <v>8.0483132333053167</v>
      </c>
      <c r="Y89" s="3">
        <f>'Country distance travelled'!W12</f>
        <v>18000</v>
      </c>
      <c r="AA89" s="3">
        <v>2017</v>
      </c>
      <c r="AB89" s="13">
        <v>0.6386666666666666</v>
      </c>
      <c r="AC89" s="13">
        <f t="shared" ref="AC89:AE89" si="61">AB89</f>
        <v>0.6386666666666666</v>
      </c>
      <c r="AD89" s="13">
        <f t="shared" si="61"/>
        <v>0.6386666666666666</v>
      </c>
      <c r="AE89" s="13">
        <f t="shared" si="61"/>
        <v>0.6386666666666666</v>
      </c>
      <c r="AG89" s="13"/>
      <c r="AH89" s="13"/>
      <c r="AI89" s="13"/>
      <c r="AJ89" s="13"/>
    </row>
    <row r="90" spans="1:36">
      <c r="A90" s="3">
        <v>2018</v>
      </c>
      <c r="B90" s="3">
        <f t="shared" si="43"/>
        <v>24319.576552346047</v>
      </c>
      <c r="C90" s="3">
        <f t="shared" si="48"/>
        <v>4863.9153104692095</v>
      </c>
      <c r="D90" s="3">
        <f t="shared" si="49"/>
        <v>3161.5449518049863</v>
      </c>
      <c r="E90" s="3">
        <f t="shared" si="44"/>
        <v>0</v>
      </c>
      <c r="F90" s="3">
        <f t="shared" si="50"/>
        <v>8025.4602622741959</v>
      </c>
      <c r="G90" s="3"/>
      <c r="H90" s="3"/>
      <c r="I90" s="3">
        <v>2018</v>
      </c>
      <c r="J90" s="3">
        <f t="shared" si="51"/>
        <v>24380</v>
      </c>
      <c r="K90" s="3">
        <f t="shared" si="52"/>
        <v>4876</v>
      </c>
      <c r="L90" s="3">
        <f t="shared" si="53"/>
        <v>3169.4</v>
      </c>
      <c r="M90" s="3">
        <f t="shared" si="54"/>
        <v>1005.8516381147431</v>
      </c>
      <c r="N90" s="3">
        <f t="shared" si="45"/>
        <v>9051.2516381147434</v>
      </c>
      <c r="O90" s="3"/>
      <c r="P90" s="3"/>
      <c r="Q90" s="3">
        <v>2018</v>
      </c>
      <c r="R90" s="13">
        <f t="shared" si="55"/>
        <v>1.1278171397424459</v>
      </c>
      <c r="S90" s="13">
        <f t="shared" si="46"/>
        <v>0.88666856067497357</v>
      </c>
      <c r="T90" s="3"/>
      <c r="U90" s="3"/>
      <c r="W90" s="13">
        <f t="shared" si="56"/>
        <v>0.70125815672771308</v>
      </c>
      <c r="X90" s="12">
        <f>'Country L per 100 km'!W13</f>
        <v>7.9686269636686315</v>
      </c>
      <c r="Y90" s="3">
        <f>'Country distance travelled'!W13</f>
        <v>18000</v>
      </c>
      <c r="AA90" s="3">
        <v>2018</v>
      </c>
      <c r="AB90" s="13">
        <v>0.70125815672771308</v>
      </c>
      <c r="AC90" s="13">
        <f>AB90</f>
        <v>0.70125815672771308</v>
      </c>
      <c r="AD90" s="13">
        <f t="shared" ref="AD90:AE90" si="62">AC90</f>
        <v>0.70125815672771308</v>
      </c>
      <c r="AE90" s="13">
        <f t="shared" si="62"/>
        <v>0.70125815672771308</v>
      </c>
      <c r="AG90" s="13"/>
      <c r="AH90" s="13"/>
      <c r="AI90" s="13"/>
      <c r="AJ90" s="13"/>
    </row>
    <row r="91" spans="1:36">
      <c r="A91" s="3">
        <v>2019</v>
      </c>
      <c r="B91" s="3">
        <f t="shared" si="43"/>
        <v>27473.317379971733</v>
      </c>
      <c r="C91" s="3">
        <f t="shared" si="48"/>
        <v>5494.6634759943463</v>
      </c>
      <c r="D91" s="3">
        <f t="shared" si="49"/>
        <v>3571.5312593963254</v>
      </c>
      <c r="E91" s="3">
        <f t="shared" si="44"/>
        <v>0</v>
      </c>
      <c r="F91" s="3">
        <f t="shared" si="50"/>
        <v>9066.1947353906726</v>
      </c>
      <c r="G91" s="3"/>
      <c r="H91" s="3"/>
      <c r="I91" s="3">
        <v>2019</v>
      </c>
      <c r="J91" s="3">
        <f t="shared" si="51"/>
        <v>24380</v>
      </c>
      <c r="K91" s="3">
        <f t="shared" si="52"/>
        <v>4876</v>
      </c>
      <c r="L91" s="3">
        <f t="shared" si="53"/>
        <v>3169.4</v>
      </c>
      <c r="M91" s="3">
        <f t="shared" si="54"/>
        <v>973.90564567906176</v>
      </c>
      <c r="N91" s="3">
        <f t="shared" si="45"/>
        <v>9019.3056456790619</v>
      </c>
      <c r="O91" s="3"/>
      <c r="P91" s="3"/>
      <c r="Q91" s="3">
        <v>2019</v>
      </c>
      <c r="R91" s="13">
        <f t="shared" si="55"/>
        <v>0.99482814002124009</v>
      </c>
      <c r="S91" s="13">
        <f t="shared" si="46"/>
        <v>1.0051987471711943</v>
      </c>
      <c r="T91" s="3"/>
      <c r="U91" s="3"/>
      <c r="W91" s="13">
        <f t="shared" si="56"/>
        <v>0.68577595796098922</v>
      </c>
      <c r="X91" s="12">
        <f>'Country L per 100 km'!W14</f>
        <v>7.8897296669986448</v>
      </c>
      <c r="Y91" s="3">
        <f>'Country distance travelled'!W14</f>
        <v>18000</v>
      </c>
      <c r="AA91" s="3">
        <v>2019</v>
      </c>
      <c r="AB91" s="13"/>
      <c r="AC91" s="13">
        <v>0.96435379770699314</v>
      </c>
      <c r="AD91" s="13">
        <v>0.68577595796098922</v>
      </c>
      <c r="AE91" s="13">
        <v>0.44312578546868747</v>
      </c>
      <c r="AG91" s="13"/>
      <c r="AH91" s="13"/>
      <c r="AI91" s="13"/>
      <c r="AJ91" s="13"/>
    </row>
    <row r="92" spans="1:36">
      <c r="A92" s="3">
        <v>2020</v>
      </c>
      <c r="B92" s="3">
        <f t="shared" si="43"/>
        <v>29812.00696769348</v>
      </c>
      <c r="C92" s="3">
        <f t="shared" si="48"/>
        <v>5962.4013935386956</v>
      </c>
      <c r="D92" s="3">
        <f t="shared" si="49"/>
        <v>3875.5609058001523</v>
      </c>
      <c r="E92" s="3">
        <f t="shared" si="44"/>
        <v>0</v>
      </c>
      <c r="F92" s="3">
        <f t="shared" si="50"/>
        <v>9837.9622993388475</v>
      </c>
      <c r="G92" s="3"/>
      <c r="H92" s="3"/>
      <c r="I92" s="3">
        <v>2020</v>
      </c>
      <c r="J92" s="3">
        <f t="shared" si="51"/>
        <v>24380</v>
      </c>
      <c r="K92" s="3">
        <f t="shared" si="52"/>
        <v>4876</v>
      </c>
      <c r="L92" s="3">
        <f t="shared" si="53"/>
        <v>3169.4</v>
      </c>
      <c r="M92" s="3">
        <f t="shared" si="54"/>
        <v>987.60637225867424</v>
      </c>
      <c r="N92" s="3">
        <f t="shared" si="45"/>
        <v>9033.0063722586747</v>
      </c>
      <c r="O92" s="3"/>
      <c r="P92" s="3"/>
      <c r="Q92" s="3">
        <v>2020</v>
      </c>
      <c r="R92" s="13">
        <f t="shared" si="55"/>
        <v>0.91817859201043395</v>
      </c>
      <c r="S92" s="13">
        <f t="shared" si="46"/>
        <v>1.0891127376542409</v>
      </c>
      <c r="T92" s="3"/>
      <c r="U92" s="3"/>
      <c r="W92" s="13">
        <f t="shared" si="56"/>
        <v>0.70237756205566781</v>
      </c>
      <c r="X92" s="12">
        <f>'Country L per 100 km'!W15</f>
        <v>7.811613531681826</v>
      </c>
      <c r="Y92" s="3">
        <f>'Country distance travelled'!W15</f>
        <v>18000</v>
      </c>
      <c r="AA92" s="3">
        <v>2020</v>
      </c>
      <c r="AB92" s="13"/>
      <c r="AC92" s="13">
        <v>1.1100763552929258</v>
      </c>
      <c r="AD92" s="13">
        <v>0.70237756205566781</v>
      </c>
      <c r="AE92" s="13">
        <v>0.45708290037915533</v>
      </c>
      <c r="AG92" s="13"/>
      <c r="AH92" s="13"/>
      <c r="AI92" s="13"/>
      <c r="AJ92" s="13"/>
    </row>
    <row r="93" spans="1:36">
      <c r="A93" s="3">
        <v>2021</v>
      </c>
      <c r="B93" s="3">
        <f t="shared" si="43"/>
        <v>31522.104639754263</v>
      </c>
      <c r="C93" s="3">
        <f t="shared" si="48"/>
        <v>6304.4209279508523</v>
      </c>
      <c r="D93" s="3">
        <f t="shared" si="49"/>
        <v>4097.8736031680546</v>
      </c>
      <c r="E93" s="3">
        <f t="shared" si="44"/>
        <v>0</v>
      </c>
      <c r="F93" s="3">
        <f t="shared" si="50"/>
        <v>10402.294531118907</v>
      </c>
      <c r="G93" s="3"/>
      <c r="H93" s="3"/>
      <c r="I93" s="3">
        <v>2021</v>
      </c>
      <c r="J93" s="3">
        <f t="shared" si="51"/>
        <v>24380</v>
      </c>
      <c r="K93" s="3">
        <f t="shared" si="52"/>
        <v>4876</v>
      </c>
      <c r="L93" s="3">
        <f t="shared" si="53"/>
        <v>3169.4</v>
      </c>
      <c r="M93" s="3">
        <f t="shared" si="54"/>
        <v>1072.6909750302825</v>
      </c>
      <c r="N93" s="3">
        <f t="shared" si="45"/>
        <v>9118.0909750302817</v>
      </c>
      <c r="O93" s="3"/>
      <c r="P93" s="3"/>
      <c r="Q93" s="3">
        <v>2021</v>
      </c>
      <c r="R93" s="13">
        <f t="shared" si="55"/>
        <v>0.87654612621793437</v>
      </c>
      <c r="S93" s="13">
        <f t="shared" si="46"/>
        <v>1.1408412747367176</v>
      </c>
      <c r="T93" s="3"/>
      <c r="U93" s="3"/>
      <c r="W93" s="13">
        <f t="shared" si="56"/>
        <v>0.77051792492928828</v>
      </c>
      <c r="X93" s="12">
        <f>'Country L per 100 km'!W16</f>
        <v>7.7342708234473525</v>
      </c>
      <c r="Y93" s="3">
        <f>'Country distance travelled'!W16</f>
        <v>18000</v>
      </c>
      <c r="AA93" s="3">
        <v>2021</v>
      </c>
      <c r="AB93" s="13"/>
      <c r="AC93" s="13">
        <v>1.2609624412853357</v>
      </c>
      <c r="AD93" s="13">
        <v>0.77051792492928828</v>
      </c>
      <c r="AE93" s="13">
        <v>0.47655471916975828</v>
      </c>
      <c r="AG93" s="13"/>
      <c r="AH93" s="13"/>
      <c r="AI93" s="13"/>
      <c r="AJ93" s="13"/>
    </row>
    <row r="94" spans="1:36">
      <c r="A94" s="3">
        <v>2022</v>
      </c>
      <c r="B94" s="3">
        <f t="shared" si="43"/>
        <v>32019.101459082125</v>
      </c>
      <c r="C94" s="3">
        <f t="shared" si="48"/>
        <v>6403.8202918164252</v>
      </c>
      <c r="D94" s="3">
        <f t="shared" si="49"/>
        <v>4162.4831896806763</v>
      </c>
      <c r="E94" s="3">
        <f t="shared" si="44"/>
        <v>0</v>
      </c>
      <c r="F94" s="3">
        <f t="shared" si="50"/>
        <v>10566.303481497102</v>
      </c>
      <c r="G94" s="3"/>
      <c r="H94" s="3"/>
      <c r="I94" s="3">
        <v>2022</v>
      </c>
      <c r="J94" s="3">
        <f t="shared" si="51"/>
        <v>24380</v>
      </c>
      <c r="K94" s="3">
        <f t="shared" si="52"/>
        <v>4876</v>
      </c>
      <c r="L94" s="3">
        <f t="shared" si="53"/>
        <v>3169.4</v>
      </c>
      <c r="M94" s="3">
        <f t="shared" si="54"/>
        <v>1132.6728643758752</v>
      </c>
      <c r="N94" s="3">
        <f t="shared" si="45"/>
        <v>9178.0728643758739</v>
      </c>
      <c r="O94" s="3"/>
      <c r="P94" s="3"/>
      <c r="Q94" s="3">
        <v>2022</v>
      </c>
      <c r="R94" s="13">
        <f t="shared" si="55"/>
        <v>0.86861719242191082</v>
      </c>
      <c r="S94" s="13">
        <f t="shared" si="46"/>
        <v>1.1512551314023187</v>
      </c>
      <c r="T94" s="3"/>
      <c r="U94" s="3"/>
      <c r="W94" s="13">
        <f t="shared" si="56"/>
        <v>0.82173917097471105</v>
      </c>
      <c r="X94" s="12">
        <f>'Country L per 100 km'!W17</f>
        <v>7.657693884601338</v>
      </c>
      <c r="Y94" s="3">
        <f>'Country distance travelled'!W17</f>
        <v>18000</v>
      </c>
      <c r="AA94" s="3">
        <v>2022</v>
      </c>
      <c r="AB94" s="13"/>
      <c r="AC94" s="13">
        <v>1.3346296337228736</v>
      </c>
      <c r="AD94" s="13">
        <v>0.82173917097471105</v>
      </c>
      <c r="AE94" s="13">
        <v>0.48733614683744159</v>
      </c>
      <c r="AG94" s="13"/>
      <c r="AH94" s="13"/>
      <c r="AI94" s="13"/>
      <c r="AJ94" s="13"/>
    </row>
    <row r="95" spans="1:36">
      <c r="A95" s="3">
        <v>2023</v>
      </c>
      <c r="B95" s="3">
        <f t="shared" si="43"/>
        <v>31755.531881467308</v>
      </c>
      <c r="C95" s="3">
        <f t="shared" si="48"/>
        <v>6351.1063762934618</v>
      </c>
      <c r="D95" s="3">
        <f t="shared" si="49"/>
        <v>4128.2191445907501</v>
      </c>
      <c r="E95" s="3">
        <f t="shared" si="44"/>
        <v>0</v>
      </c>
      <c r="F95" s="3">
        <f t="shared" si="50"/>
        <v>10479.325520884213</v>
      </c>
      <c r="G95" s="3"/>
      <c r="H95" s="3"/>
      <c r="I95" s="3">
        <v>2023</v>
      </c>
      <c r="J95" s="3">
        <f t="shared" si="51"/>
        <v>24380</v>
      </c>
      <c r="K95" s="3">
        <f t="shared" si="52"/>
        <v>4876</v>
      </c>
      <c r="L95" s="3">
        <f t="shared" si="53"/>
        <v>3169.4</v>
      </c>
      <c r="M95" s="3">
        <f t="shared" si="54"/>
        <v>1165.7028946453117</v>
      </c>
      <c r="N95" s="3">
        <f t="shared" si="45"/>
        <v>9211.1028946453116</v>
      </c>
      <c r="O95" s="3"/>
      <c r="P95" s="3"/>
      <c r="Q95" s="3">
        <v>2023</v>
      </c>
      <c r="R95" s="13">
        <f t="shared" si="55"/>
        <v>0.87897860184689702</v>
      </c>
      <c r="S95" s="13">
        <f t="shared" si="46"/>
        <v>1.1376841232526191</v>
      </c>
      <c r="T95" s="3"/>
      <c r="U95" s="3"/>
      <c r="W95" s="13">
        <f t="shared" si="56"/>
        <v>0.85415904095508421</v>
      </c>
      <c r="X95" s="12">
        <f>'Country L per 100 km'!W18</f>
        <v>7.5818751332686523</v>
      </c>
      <c r="Y95" s="3">
        <f>'Country distance travelled'!W18</f>
        <v>18000</v>
      </c>
      <c r="AA95" s="3">
        <v>2023</v>
      </c>
      <c r="AB95" s="13"/>
      <c r="AC95" s="13">
        <v>1.4023384329999868</v>
      </c>
      <c r="AD95" s="13">
        <v>0.85415904095508421</v>
      </c>
      <c r="AE95" s="13">
        <v>0.49243932721300893</v>
      </c>
      <c r="AG95" s="13"/>
      <c r="AH95" s="13"/>
      <c r="AI95" s="13"/>
      <c r="AJ95" s="13"/>
    </row>
    <row r="96" spans="1:36">
      <c r="A96" s="3">
        <v>2024</v>
      </c>
      <c r="B96" s="3">
        <f t="shared" si="43"/>
        <v>30637.775813632299</v>
      </c>
      <c r="C96" s="3">
        <f t="shared" si="48"/>
        <v>6127.5551627264595</v>
      </c>
      <c r="D96" s="3">
        <f t="shared" si="49"/>
        <v>3982.9108557721988</v>
      </c>
      <c r="E96" s="3">
        <f t="shared" si="44"/>
        <v>0</v>
      </c>
      <c r="F96" s="3">
        <f t="shared" si="50"/>
        <v>10110.466018498659</v>
      </c>
      <c r="G96" s="3"/>
      <c r="H96" s="3"/>
      <c r="I96" s="3">
        <v>2024</v>
      </c>
      <c r="J96" s="3">
        <f t="shared" si="51"/>
        <v>24380</v>
      </c>
      <c r="K96" s="3">
        <f t="shared" si="52"/>
        <v>4876</v>
      </c>
      <c r="L96" s="3">
        <f t="shared" si="53"/>
        <v>3169.4</v>
      </c>
      <c r="M96" s="3">
        <f t="shared" si="54"/>
        <v>1168.9444700527101</v>
      </c>
      <c r="N96" s="3">
        <f t="shared" si="45"/>
        <v>9214.3444700527107</v>
      </c>
      <c r="O96" s="3"/>
      <c r="P96" s="3"/>
      <c r="Q96" s="3">
        <v>2024</v>
      </c>
      <c r="R96" s="13">
        <f t="shared" si="55"/>
        <v>0.91136693928782753</v>
      </c>
      <c r="S96" s="13">
        <f t="shared" si="46"/>
        <v>1.0972528812395075</v>
      </c>
      <c r="T96" s="3"/>
      <c r="U96" s="3"/>
      <c r="W96" s="13">
        <f t="shared" si="56"/>
        <v>0.86509962099005722</v>
      </c>
      <c r="X96" s="12">
        <f>'Country L per 100 km'!W19</f>
        <v>7.5068070626422303</v>
      </c>
      <c r="Y96" s="3">
        <f>'Country distance travelled'!W19</f>
        <v>18000</v>
      </c>
      <c r="AA96" s="3">
        <v>2024</v>
      </c>
      <c r="AB96" s="13"/>
      <c r="AC96" s="13">
        <v>1.4508683549504091</v>
      </c>
      <c r="AD96" s="13">
        <v>0.86509962099005722</v>
      </c>
      <c r="AE96" s="13">
        <v>0.49470972729550033</v>
      </c>
      <c r="AG96" s="13"/>
      <c r="AH96" s="13"/>
      <c r="AI96" s="13"/>
      <c r="AJ96" s="13"/>
    </row>
    <row r="97" spans="1:36">
      <c r="A97" s="3">
        <v>2025</v>
      </c>
      <c r="B97" s="3">
        <f t="shared" si="43"/>
        <v>29682.013314614196</v>
      </c>
      <c r="C97" s="3">
        <f t="shared" si="48"/>
        <v>5936.4026629228392</v>
      </c>
      <c r="D97" s="3">
        <f t="shared" si="49"/>
        <v>3858.6617308998457</v>
      </c>
      <c r="E97" s="3">
        <f t="shared" si="44"/>
        <v>0</v>
      </c>
      <c r="F97" s="3">
        <f t="shared" si="50"/>
        <v>9795.0643938226858</v>
      </c>
      <c r="G97" s="3"/>
      <c r="H97" s="3"/>
      <c r="I97" s="3">
        <v>2025</v>
      </c>
      <c r="J97" s="3">
        <f t="shared" si="51"/>
        <v>24380</v>
      </c>
      <c r="K97" s="3">
        <f t="shared" si="52"/>
        <v>4876</v>
      </c>
      <c r="L97" s="3">
        <f t="shared" si="53"/>
        <v>3169.4</v>
      </c>
      <c r="M97" s="3">
        <f t="shared" si="54"/>
        <v>1205.3062447208601</v>
      </c>
      <c r="N97" s="3">
        <f t="shared" si="45"/>
        <v>9250.7062447208591</v>
      </c>
      <c r="O97" s="3"/>
      <c r="P97" s="3"/>
      <c r="Q97" s="3">
        <v>2025</v>
      </c>
      <c r="R97" s="13">
        <f t="shared" si="55"/>
        <v>0.9444252608032746</v>
      </c>
      <c r="S97" s="13">
        <f t="shared" si="46"/>
        <v>1.0588450367681363</v>
      </c>
      <c r="T97" s="3"/>
      <c r="U97" s="3"/>
      <c r="W97" s="13">
        <f t="shared" si="56"/>
        <v>0.90092994339784749</v>
      </c>
      <c r="X97" s="12">
        <f>'Country L per 100 km'!W20</f>
        <v>7.4324822402398318</v>
      </c>
      <c r="Y97" s="3">
        <f>'Country distance travelled'!W20</f>
        <v>18000</v>
      </c>
      <c r="AA97" s="3">
        <v>2025</v>
      </c>
      <c r="AB97" s="13"/>
      <c r="AC97" s="13">
        <v>1.5026886445013037</v>
      </c>
      <c r="AD97" s="13">
        <v>0.90092994339784749</v>
      </c>
      <c r="AE97" s="13">
        <v>0.50525587470432776</v>
      </c>
      <c r="AG97" s="13"/>
      <c r="AH97" s="13"/>
      <c r="AI97" s="13"/>
      <c r="AJ97" s="13"/>
    </row>
    <row r="98" spans="1:36">
      <c r="A98" s="3">
        <v>2026</v>
      </c>
      <c r="B98" s="3">
        <f t="shared" si="43"/>
        <v>29150.636064379163</v>
      </c>
      <c r="C98" s="3">
        <f t="shared" si="48"/>
        <v>5830.1272128758328</v>
      </c>
      <c r="D98" s="3">
        <f t="shared" si="49"/>
        <v>3789.5826883692912</v>
      </c>
      <c r="E98" s="3">
        <f t="shared" si="44"/>
        <v>0</v>
      </c>
      <c r="F98" s="3">
        <f t="shared" si="50"/>
        <v>9619.7099012451235</v>
      </c>
      <c r="G98" s="3"/>
      <c r="H98" s="3"/>
      <c r="I98" s="3">
        <v>2026</v>
      </c>
      <c r="J98" s="3">
        <f t="shared" si="51"/>
        <v>24380</v>
      </c>
      <c r="K98" s="3">
        <f t="shared" si="52"/>
        <v>4876</v>
      </c>
      <c r="L98" s="3">
        <f t="shared" si="53"/>
        <v>3169.4</v>
      </c>
      <c r="M98" s="3">
        <f t="shared" si="54"/>
        <v>1272.8266840239864</v>
      </c>
      <c r="N98" s="3">
        <f t="shared" si="45"/>
        <v>9318.2266840239863</v>
      </c>
      <c r="O98" s="3"/>
      <c r="P98" s="3"/>
      <c r="Q98" s="3">
        <v>2026</v>
      </c>
      <c r="R98" s="13">
        <f t="shared" si="55"/>
        <v>0.96865984314328279</v>
      </c>
      <c r="S98" s="13">
        <f t="shared" si="46"/>
        <v>1.0323541407012589</v>
      </c>
      <c r="T98" s="3"/>
      <c r="U98" s="3"/>
      <c r="W98" s="13">
        <f t="shared" si="56"/>
        <v>0.96091342278340164</v>
      </c>
      <c r="X98" s="12">
        <f>'Country L per 100 km'!W21</f>
        <v>7.3588933071681506</v>
      </c>
      <c r="Y98" s="3">
        <f>'Country distance travelled'!W21</f>
        <v>18000</v>
      </c>
      <c r="AA98" s="3">
        <v>2026</v>
      </c>
      <c r="AB98" s="13"/>
      <c r="AC98" s="13">
        <v>1.5577405556782125</v>
      </c>
      <c r="AD98" s="13">
        <v>0.96091342278340164</v>
      </c>
      <c r="AE98" s="13">
        <v>0.51647964035901306</v>
      </c>
      <c r="AG98" s="13"/>
      <c r="AH98" s="13"/>
      <c r="AI98" s="13"/>
      <c r="AJ98" s="13"/>
    </row>
    <row r="99" spans="1:36">
      <c r="A99" s="3">
        <v>2027</v>
      </c>
      <c r="B99" s="3">
        <f t="shared" si="43"/>
        <v>28618.437180599925</v>
      </c>
      <c r="C99" s="3">
        <f t="shared" si="48"/>
        <v>5723.6874361199853</v>
      </c>
      <c r="D99" s="3">
        <f t="shared" si="49"/>
        <v>3720.3968334779906</v>
      </c>
      <c r="E99" s="3">
        <f t="shared" si="44"/>
        <v>0</v>
      </c>
      <c r="F99" s="3">
        <f t="shared" si="50"/>
        <v>9444.0842695979754</v>
      </c>
      <c r="G99" s="3"/>
      <c r="H99" s="3"/>
      <c r="I99" s="3">
        <v>2027</v>
      </c>
      <c r="J99" s="3">
        <f t="shared" si="51"/>
        <v>24380</v>
      </c>
      <c r="K99" s="3">
        <f t="shared" si="52"/>
        <v>4876</v>
      </c>
      <c r="L99" s="3">
        <f t="shared" si="53"/>
        <v>3169.4</v>
      </c>
      <c r="M99" s="3">
        <f t="shared" si="54"/>
        <v>1305.7544100233633</v>
      </c>
      <c r="N99" s="3">
        <f t="shared" si="45"/>
        <v>9351.1544100233623</v>
      </c>
      <c r="O99" s="3"/>
      <c r="P99" s="3"/>
      <c r="Q99" s="3">
        <v>2027</v>
      </c>
      <c r="R99" s="13">
        <f t="shared" si="55"/>
        <v>0.99015999254964615</v>
      </c>
      <c r="S99" s="13">
        <f t="shared" si="46"/>
        <v>1.0099377954314392</v>
      </c>
      <c r="T99" s="3"/>
      <c r="U99" s="3"/>
      <c r="W99" s="13">
        <f t="shared" si="56"/>
        <v>0.99562974657175718</v>
      </c>
      <c r="X99" s="12">
        <f>'Country L per 100 km'!W22</f>
        <v>7.2860329773942096</v>
      </c>
      <c r="Y99" s="3">
        <f>'Country distance travelled'!W22</f>
        <v>18000</v>
      </c>
      <c r="AA99" s="3">
        <v>2027</v>
      </c>
      <c r="AB99" s="13"/>
      <c r="AC99" s="13">
        <v>1.6115596233110472</v>
      </c>
      <c r="AD99" s="13">
        <v>0.99562974657175718</v>
      </c>
      <c r="AE99" s="13">
        <v>0.52742898621298739</v>
      </c>
      <c r="AG99" s="13"/>
      <c r="AH99" s="13"/>
      <c r="AI99" s="13"/>
      <c r="AJ99" s="13"/>
    </row>
    <row r="100" spans="1:36">
      <c r="A100" s="3">
        <v>2028</v>
      </c>
      <c r="B100" s="3">
        <f t="shared" si="43"/>
        <v>28015.066570928007</v>
      </c>
      <c r="C100" s="3">
        <f t="shared" si="48"/>
        <v>5603.0133141856013</v>
      </c>
      <c r="D100" s="3">
        <f t="shared" si="49"/>
        <v>3641.9586542206412</v>
      </c>
      <c r="E100" s="3">
        <f t="shared" si="44"/>
        <v>0</v>
      </c>
      <c r="F100" s="3">
        <f t="shared" si="50"/>
        <v>9244.971968406242</v>
      </c>
      <c r="G100" s="3"/>
      <c r="H100" s="3"/>
      <c r="I100" s="3">
        <v>2028</v>
      </c>
      <c r="J100" s="3">
        <f t="shared" si="51"/>
        <v>24380</v>
      </c>
      <c r="K100" s="3">
        <f t="shared" si="52"/>
        <v>4876</v>
      </c>
      <c r="L100" s="3">
        <f t="shared" si="53"/>
        <v>3169.4</v>
      </c>
      <c r="M100" s="3">
        <f t="shared" si="54"/>
        <v>1329.9365918036822</v>
      </c>
      <c r="N100" s="3">
        <f t="shared" si="45"/>
        <v>9375.3365918036816</v>
      </c>
      <c r="O100" s="3"/>
      <c r="P100" s="3"/>
      <c r="Q100" s="3">
        <v>2028</v>
      </c>
      <c r="R100" s="13">
        <f t="shared" si="55"/>
        <v>1.0141011377690432</v>
      </c>
      <c r="S100" s="13">
        <f t="shared" si="46"/>
        <v>0.98609493940607851</v>
      </c>
      <c r="T100" s="3"/>
      <c r="U100" s="3"/>
      <c r="W100" s="13">
        <f t="shared" si="56"/>
        <v>1.0242091973088707</v>
      </c>
      <c r="X100" s="12">
        <f>'Country L per 100 km'!W23</f>
        <v>7.2138940370239695</v>
      </c>
      <c r="Y100" s="3">
        <f>'Country distance travelled'!W23</f>
        <v>18000</v>
      </c>
      <c r="AA100" s="3">
        <v>2028</v>
      </c>
      <c r="AB100" s="13"/>
      <c r="AC100" s="13">
        <v>1.6641339744982571</v>
      </c>
      <c r="AD100" s="13">
        <v>1.0242091973088707</v>
      </c>
      <c r="AE100" s="13">
        <v>0.53177771301842713</v>
      </c>
      <c r="AG100" s="13"/>
      <c r="AH100" s="13"/>
      <c r="AI100" s="13"/>
      <c r="AJ100" s="13"/>
    </row>
    <row r="101" spans="1:36">
      <c r="A101" s="3">
        <v>2029</v>
      </c>
      <c r="B101" s="3">
        <f t="shared" si="43"/>
        <v>27481.287965735773</v>
      </c>
      <c r="C101" s="3">
        <f t="shared" si="48"/>
        <v>5496.2575931471547</v>
      </c>
      <c r="D101" s="3">
        <f t="shared" si="49"/>
        <v>3572.5674355456508</v>
      </c>
      <c r="E101" s="3">
        <f t="shared" si="44"/>
        <v>0</v>
      </c>
      <c r="F101" s="3">
        <f t="shared" si="50"/>
        <v>9068.8250286928051</v>
      </c>
      <c r="G101" s="3"/>
      <c r="H101" s="3"/>
      <c r="I101" s="3">
        <v>2029</v>
      </c>
      <c r="J101" s="3">
        <f t="shared" si="51"/>
        <v>24380</v>
      </c>
      <c r="K101" s="3">
        <f t="shared" si="52"/>
        <v>4876</v>
      </c>
      <c r="L101" s="3">
        <f t="shared" si="53"/>
        <v>3169.4</v>
      </c>
      <c r="M101" s="3">
        <f t="shared" si="54"/>
        <v>1361.7036559645308</v>
      </c>
      <c r="N101" s="3">
        <f t="shared" si="45"/>
        <v>9407.1036559645308</v>
      </c>
      <c r="O101" s="3"/>
      <c r="P101" s="3"/>
      <c r="Q101" s="3">
        <v>2029</v>
      </c>
      <c r="R101" s="13">
        <f t="shared" si="55"/>
        <v>1.0373012629752418</v>
      </c>
      <c r="S101" s="13">
        <f t="shared" si="46"/>
        <v>0.96404008718908485</v>
      </c>
      <c r="T101" s="3"/>
      <c r="U101" s="3"/>
      <c r="W101" s="13">
        <f t="shared" si="56"/>
        <v>1.0591603473531603</v>
      </c>
      <c r="X101" s="12">
        <f>'Country L per 100 km'!W24</f>
        <v>7.1424693435880888</v>
      </c>
      <c r="Y101" s="3">
        <f>'Country distance travelled'!W24</f>
        <v>18000</v>
      </c>
      <c r="AA101" s="3">
        <v>2029</v>
      </c>
      <c r="AB101" s="13"/>
      <c r="AC101" s="13">
        <v>1.7251379144956396</v>
      </c>
      <c r="AD101" s="13">
        <v>1.0591603473531603</v>
      </c>
      <c r="AE101" s="13">
        <v>0.5359931781423497</v>
      </c>
      <c r="AG101" s="13"/>
      <c r="AH101" s="13"/>
      <c r="AI101" s="13"/>
      <c r="AJ101" s="13"/>
    </row>
    <row r="102" spans="1:36">
      <c r="A102" s="3">
        <v>2030</v>
      </c>
      <c r="B102" s="3">
        <f t="shared" si="43"/>
        <v>26876.378716331703</v>
      </c>
      <c r="C102" s="3">
        <f t="shared" si="48"/>
        <v>5375.2757432663402</v>
      </c>
      <c r="D102" s="3">
        <f t="shared" si="49"/>
        <v>3493.9292331231213</v>
      </c>
      <c r="E102" s="3">
        <f t="shared" si="44"/>
        <v>0</v>
      </c>
      <c r="F102" s="3">
        <f t="shared" si="50"/>
        <v>8869.2049763894611</v>
      </c>
      <c r="G102" s="3"/>
      <c r="H102" s="3"/>
      <c r="I102" s="3">
        <v>2030</v>
      </c>
      <c r="J102" s="3">
        <f t="shared" si="51"/>
        <v>24380</v>
      </c>
      <c r="K102" s="3">
        <f t="shared" si="52"/>
        <v>4876</v>
      </c>
      <c r="L102" s="3">
        <f t="shared" si="53"/>
        <v>3169.4</v>
      </c>
      <c r="M102" s="3">
        <f t="shared" si="54"/>
        <v>1372.4279074549061</v>
      </c>
      <c r="N102" s="3">
        <f t="shared" si="45"/>
        <v>9417.8279074549064</v>
      </c>
      <c r="O102" s="3"/>
      <c r="P102" s="3"/>
      <c r="Q102" s="3">
        <v>2030</v>
      </c>
      <c r="R102" s="13">
        <f t="shared" si="55"/>
        <v>1.0618570584991467</v>
      </c>
      <c r="S102" s="13">
        <f t="shared" si="46"/>
        <v>0.94174634146466307</v>
      </c>
      <c r="T102" s="3"/>
      <c r="U102" s="3"/>
      <c r="W102" s="13">
        <f t="shared" si="56"/>
        <v>1.0781769035708035</v>
      </c>
      <c r="X102" s="12">
        <f>'Country L per 100 km'!W25</f>
        <v>7.0717518253347409</v>
      </c>
      <c r="Y102" s="3">
        <f>'Country distance travelled'!W25</f>
        <v>18000</v>
      </c>
      <c r="AA102" s="3">
        <v>2030</v>
      </c>
      <c r="AB102" s="13"/>
      <c r="AC102" s="13">
        <v>1.7511127447963002</v>
      </c>
      <c r="AD102" s="13">
        <v>1.0781769035708035</v>
      </c>
      <c r="AE102" s="13">
        <v>0.54445270014579306</v>
      </c>
      <c r="AG102" s="13"/>
      <c r="AH102" s="13"/>
      <c r="AI102" s="13"/>
      <c r="AJ102" s="13"/>
    </row>
    <row r="103" spans="1:36">
      <c r="A103" s="3">
        <v>2031</v>
      </c>
      <c r="B103" s="3"/>
      <c r="C103" s="3"/>
      <c r="D103" s="3"/>
      <c r="E103" s="3"/>
      <c r="F103" s="3"/>
      <c r="G103" s="3"/>
      <c r="H103" s="3"/>
      <c r="I103" s="3">
        <v>2031</v>
      </c>
      <c r="J103" s="3"/>
      <c r="K103" s="3"/>
      <c r="L103" s="3"/>
      <c r="M103" s="3"/>
      <c r="N103" s="3"/>
      <c r="O103" s="3"/>
      <c r="P103" s="3"/>
      <c r="Q103" s="3">
        <v>2031</v>
      </c>
      <c r="R103" s="3"/>
      <c r="S103" s="3"/>
      <c r="T103" s="3"/>
      <c r="U103" s="3"/>
      <c r="W103" s="13">
        <f t="shared" ref="W103:W112" si="63">W102</f>
        <v>1.0781769035708035</v>
      </c>
      <c r="X103" s="12">
        <f>'Country L per 100 km'!W26</f>
        <v>7.0017344805294464</v>
      </c>
      <c r="Y103" s="3">
        <f>'Country distance travelled'!W26</f>
        <v>18000</v>
      </c>
      <c r="AA103" s="3">
        <v>2031</v>
      </c>
    </row>
    <row r="104" spans="1:36">
      <c r="A104" s="3">
        <v>2032</v>
      </c>
      <c r="B104" s="3"/>
      <c r="C104" s="3"/>
      <c r="D104" s="3"/>
      <c r="E104" s="3"/>
      <c r="F104" s="3"/>
      <c r="G104" s="3"/>
      <c r="H104" s="3"/>
      <c r="I104" s="3">
        <v>2032</v>
      </c>
      <c r="J104" s="3"/>
      <c r="K104" s="3"/>
      <c r="L104" s="3"/>
      <c r="M104" s="3"/>
      <c r="N104" s="3"/>
      <c r="O104" s="3"/>
      <c r="P104" s="3"/>
      <c r="Q104" s="3">
        <v>2032</v>
      </c>
      <c r="R104" s="3"/>
      <c r="S104" s="3"/>
      <c r="T104" s="3"/>
      <c r="U104" s="3"/>
      <c r="W104" s="13">
        <f t="shared" si="63"/>
        <v>1.0781769035708035</v>
      </c>
      <c r="X104" s="12">
        <f>'Country L per 100 km'!W27</f>
        <v>6.9324103767618279</v>
      </c>
      <c r="Y104" s="3">
        <f>'Country distance travelled'!W27</f>
        <v>18000</v>
      </c>
      <c r="AA104" s="3">
        <v>2032</v>
      </c>
    </row>
    <row r="105" spans="1:36">
      <c r="A105" s="3">
        <v>2033</v>
      </c>
      <c r="B105" s="3"/>
      <c r="C105" s="3"/>
      <c r="D105" s="3"/>
      <c r="E105" s="3"/>
      <c r="F105" s="3"/>
      <c r="G105" s="3"/>
      <c r="H105" s="3"/>
      <c r="I105" s="3">
        <v>2033</v>
      </c>
      <c r="J105" s="3"/>
      <c r="K105" s="3"/>
      <c r="L105" s="3"/>
      <c r="M105" s="3"/>
      <c r="N105" s="3"/>
      <c r="O105" s="3"/>
      <c r="P105" s="3"/>
      <c r="Q105" s="3">
        <v>2033</v>
      </c>
      <c r="R105" s="3"/>
      <c r="S105" s="3"/>
      <c r="T105" s="3"/>
      <c r="U105" s="3"/>
      <c r="W105" s="13">
        <f t="shared" si="63"/>
        <v>1.0781769035708035</v>
      </c>
      <c r="X105" s="12">
        <f>'Country L per 100 km'!W28</f>
        <v>6.8637726502592349</v>
      </c>
      <c r="Y105" s="3">
        <f>'Country distance travelled'!W28</f>
        <v>18000</v>
      </c>
      <c r="AA105" s="3">
        <v>2033</v>
      </c>
    </row>
    <row r="106" spans="1:36">
      <c r="A106" s="3">
        <v>2034</v>
      </c>
      <c r="B106" s="3"/>
      <c r="C106" s="3"/>
      <c r="D106" s="3"/>
      <c r="E106" s="3"/>
      <c r="F106" s="3"/>
      <c r="G106" s="3"/>
      <c r="H106" s="3"/>
      <c r="I106" s="3">
        <v>2034</v>
      </c>
      <c r="J106" s="3"/>
      <c r="K106" s="3"/>
      <c r="L106" s="3"/>
      <c r="M106" s="3"/>
      <c r="N106" s="3"/>
      <c r="O106" s="3"/>
      <c r="P106" s="3"/>
      <c r="Q106" s="3">
        <v>2034</v>
      </c>
      <c r="R106" s="3"/>
      <c r="S106" s="3"/>
      <c r="T106" s="3"/>
      <c r="U106" s="3"/>
      <c r="W106" s="13">
        <f t="shared" si="63"/>
        <v>1.0781769035708035</v>
      </c>
      <c r="X106" s="12">
        <f>'Country L per 100 km'!W29</f>
        <v>6.7958145052071632</v>
      </c>
      <c r="Y106" s="3">
        <f>'Country distance travelled'!W29</f>
        <v>18000</v>
      </c>
      <c r="AA106" s="3">
        <v>2034</v>
      </c>
    </row>
    <row r="107" spans="1:36">
      <c r="A107" s="3">
        <v>2035</v>
      </c>
      <c r="B107" s="3"/>
      <c r="C107" s="3"/>
      <c r="D107" s="3"/>
      <c r="E107" s="3"/>
      <c r="F107" s="3"/>
      <c r="G107" s="3"/>
      <c r="H107" s="3"/>
      <c r="I107" s="3">
        <v>2035</v>
      </c>
      <c r="J107" s="3"/>
      <c r="K107" s="3"/>
      <c r="L107" s="3"/>
      <c r="M107" s="3"/>
      <c r="N107" s="3"/>
      <c r="O107" s="3"/>
      <c r="P107" s="3"/>
      <c r="Q107" s="3">
        <v>2035</v>
      </c>
      <c r="R107" s="3"/>
      <c r="S107" s="3"/>
      <c r="T107" s="3"/>
      <c r="U107" s="3"/>
      <c r="W107" s="13">
        <f t="shared" si="63"/>
        <v>1.0781769035708035</v>
      </c>
      <c r="X107" s="12">
        <f>'Country L per 100 km'!W30</f>
        <v>6.7285292130763992</v>
      </c>
      <c r="Y107" s="3">
        <f>'Country distance travelled'!W30</f>
        <v>18000</v>
      </c>
      <c r="AA107" s="3">
        <v>2035</v>
      </c>
    </row>
    <row r="108" spans="1:36">
      <c r="A108" s="3">
        <v>2036</v>
      </c>
      <c r="B108" s="3"/>
      <c r="C108" s="3"/>
      <c r="D108" s="3"/>
      <c r="E108" s="3"/>
      <c r="F108" s="3"/>
      <c r="G108" s="3"/>
      <c r="H108" s="3"/>
      <c r="I108" s="3">
        <v>2036</v>
      </c>
      <c r="J108" s="3"/>
      <c r="K108" s="3"/>
      <c r="L108" s="3"/>
      <c r="M108" s="3"/>
      <c r="N108" s="3"/>
      <c r="O108" s="3"/>
      <c r="P108" s="3"/>
      <c r="Q108" s="3">
        <v>2036</v>
      </c>
      <c r="R108" s="3"/>
      <c r="S108" s="3"/>
      <c r="T108" s="3"/>
      <c r="U108" s="3"/>
      <c r="W108" s="13">
        <f t="shared" si="63"/>
        <v>1.0781769035708035</v>
      </c>
      <c r="X108" s="12">
        <f>'Country L per 100 km'!W31</f>
        <v>6.6619101119568311</v>
      </c>
      <c r="Y108" s="3">
        <f>'Country distance travelled'!W31</f>
        <v>18000</v>
      </c>
      <c r="AA108" s="3">
        <v>2036</v>
      </c>
    </row>
    <row r="109" spans="1:36">
      <c r="A109" s="3">
        <v>2037</v>
      </c>
      <c r="B109" s="3"/>
      <c r="C109" s="3"/>
      <c r="D109" s="3"/>
      <c r="E109" s="3"/>
      <c r="F109" s="3"/>
      <c r="G109" s="3"/>
      <c r="H109" s="3"/>
      <c r="I109" s="3">
        <v>2037</v>
      </c>
      <c r="J109" s="3"/>
      <c r="K109" s="3"/>
      <c r="L109" s="3"/>
      <c r="M109" s="3"/>
      <c r="N109" s="3"/>
      <c r="O109" s="3"/>
      <c r="P109" s="3"/>
      <c r="Q109" s="3">
        <v>2037</v>
      </c>
      <c r="R109" s="3"/>
      <c r="S109" s="3"/>
      <c r="T109" s="3"/>
      <c r="U109" s="3"/>
      <c r="W109" s="13">
        <f t="shared" si="63"/>
        <v>1.0781769035708035</v>
      </c>
      <c r="X109" s="12">
        <f>'Country L per 100 km'!W32</f>
        <v>6.595950605897853</v>
      </c>
      <c r="Y109" s="3">
        <f>'Country distance travelled'!W32</f>
        <v>18000</v>
      </c>
      <c r="AA109" s="3">
        <v>2037</v>
      </c>
    </row>
    <row r="110" spans="1:36">
      <c r="A110" s="3">
        <v>2038</v>
      </c>
      <c r="B110" s="3"/>
      <c r="C110" s="3"/>
      <c r="D110" s="3"/>
      <c r="E110" s="3"/>
      <c r="F110" s="3"/>
      <c r="G110" s="3"/>
      <c r="H110" s="3"/>
      <c r="I110" s="3">
        <v>2038</v>
      </c>
      <c r="J110" s="3"/>
      <c r="K110" s="3"/>
      <c r="L110" s="3"/>
      <c r="M110" s="3"/>
      <c r="N110" s="3"/>
      <c r="O110" s="3"/>
      <c r="P110" s="3"/>
      <c r="Q110" s="3">
        <v>2038</v>
      </c>
      <c r="R110" s="3"/>
      <c r="S110" s="3"/>
      <c r="T110" s="3"/>
      <c r="U110" s="3"/>
      <c r="W110" s="13">
        <f t="shared" si="63"/>
        <v>1.0781769035708035</v>
      </c>
      <c r="X110" s="12">
        <f>'Country L per 100 km'!W33</f>
        <v>6.5306441642552997</v>
      </c>
      <c r="Y110" s="3">
        <f>'Country distance travelled'!W33</f>
        <v>18000</v>
      </c>
      <c r="AA110" s="3">
        <v>2038</v>
      </c>
    </row>
    <row r="111" spans="1:36">
      <c r="A111" s="3">
        <v>2039</v>
      </c>
      <c r="B111" s="3"/>
      <c r="C111" s="3"/>
      <c r="D111" s="3"/>
      <c r="E111" s="3"/>
      <c r="F111" s="3"/>
      <c r="G111" s="3"/>
      <c r="H111" s="3"/>
      <c r="I111" s="3">
        <v>2039</v>
      </c>
      <c r="J111" s="3"/>
      <c r="K111" s="3"/>
      <c r="L111" s="3"/>
      <c r="M111" s="3"/>
      <c r="N111" s="3"/>
      <c r="O111" s="3"/>
      <c r="P111" s="3"/>
      <c r="Q111" s="3">
        <v>2039</v>
      </c>
      <c r="R111" s="3"/>
      <c r="S111" s="3"/>
      <c r="T111" s="3"/>
      <c r="U111" s="3"/>
      <c r="W111" s="13">
        <f t="shared" si="63"/>
        <v>1.0781769035708035</v>
      </c>
      <c r="X111" s="12">
        <f>'Country L per 100 km'!W34</f>
        <v>6.4659843210448509</v>
      </c>
      <c r="Y111" s="3">
        <f>'Country distance travelled'!W34</f>
        <v>18000</v>
      </c>
      <c r="AA111" s="3">
        <v>2039</v>
      </c>
    </row>
    <row r="112" spans="1:36">
      <c r="A112" s="3">
        <v>2040</v>
      </c>
      <c r="B112" s="3"/>
      <c r="C112" s="3"/>
      <c r="D112" s="3"/>
      <c r="E112" s="3"/>
      <c r="F112" s="3"/>
      <c r="G112" s="3"/>
      <c r="H112" s="3"/>
      <c r="I112" s="3">
        <v>2040</v>
      </c>
      <c r="J112" s="3"/>
      <c r="K112" s="3"/>
      <c r="L112" s="3"/>
      <c r="M112" s="3"/>
      <c r="N112" s="3"/>
      <c r="O112" s="3"/>
      <c r="P112" s="3"/>
      <c r="Q112" s="3">
        <v>2040</v>
      </c>
      <c r="R112" s="3"/>
      <c r="S112" s="3"/>
      <c r="T112" s="3"/>
      <c r="U112" s="3"/>
      <c r="W112" s="13">
        <f t="shared" si="63"/>
        <v>1.0781769035708035</v>
      </c>
      <c r="X112" s="12">
        <f>'Country L per 100 km'!W35</f>
        <v>6.4019646743018326</v>
      </c>
      <c r="Y112" s="3">
        <f>'Country distance travelled'!W35</f>
        <v>18000</v>
      </c>
      <c r="AA112" s="3">
        <v>2040</v>
      </c>
    </row>
    <row r="120" spans="16:29">
      <c r="Q120" s="87" t="s">
        <v>980</v>
      </c>
      <c r="R120" s="87" t="s">
        <v>980</v>
      </c>
      <c r="S120" s="87" t="s">
        <v>980</v>
      </c>
      <c r="T120" s="87" t="s">
        <v>980</v>
      </c>
      <c r="U120" s="87" t="s">
        <v>980</v>
      </c>
      <c r="W120" s="14" t="s">
        <v>812</v>
      </c>
      <c r="X120" s="14" t="s">
        <v>812</v>
      </c>
      <c r="Y120" s="14" t="s">
        <v>812</v>
      </c>
      <c r="Z120" s="14" t="s">
        <v>812</v>
      </c>
      <c r="AA120" s="14" t="s">
        <v>812</v>
      </c>
      <c r="AC120" s="248" t="s">
        <v>952</v>
      </c>
    </row>
    <row r="121" spans="16:29">
      <c r="Q121" s="87" t="s">
        <v>978</v>
      </c>
      <c r="R121" s="87" t="s">
        <v>979</v>
      </c>
      <c r="S121" s="87" t="s">
        <v>916</v>
      </c>
      <c r="T121" s="87" t="s">
        <v>981</v>
      </c>
      <c r="U121" s="87" t="s">
        <v>983</v>
      </c>
      <c r="W121" s="14" t="s">
        <v>725</v>
      </c>
      <c r="X121" s="14" t="s">
        <v>979</v>
      </c>
      <c r="Y121" s="14" t="s">
        <v>916</v>
      </c>
      <c r="Z121" s="14" t="s">
        <v>985</v>
      </c>
      <c r="AA121" s="14" t="s">
        <v>983</v>
      </c>
      <c r="AC121" s="248" t="s">
        <v>1204</v>
      </c>
    </row>
    <row r="122" spans="16:29">
      <c r="P122">
        <v>2012</v>
      </c>
      <c r="Q122" s="3">
        <f>B84</f>
        <v>23928.626692113739</v>
      </c>
      <c r="R122" s="3">
        <f t="shared" ref="R122:U137" si="64">C84</f>
        <v>4785.7253384227479</v>
      </c>
      <c r="S122" s="3">
        <f t="shared" si="64"/>
        <v>3110.721469974786</v>
      </c>
      <c r="T122" s="3">
        <f t="shared" si="64"/>
        <v>0</v>
      </c>
      <c r="U122" s="3">
        <f t="shared" si="64"/>
        <v>7896.4468083975335</v>
      </c>
      <c r="V122" s="3"/>
      <c r="W122" s="3">
        <f>J84</f>
        <v>24380</v>
      </c>
      <c r="X122" s="3">
        <f t="shared" ref="X122:AA137" si="65">K84</f>
        <v>4876</v>
      </c>
      <c r="Y122" s="3">
        <f t="shared" si="65"/>
        <v>3169.4</v>
      </c>
      <c r="Z122" s="3">
        <f t="shared" si="65"/>
        <v>1559.7302997069373</v>
      </c>
      <c r="AA122" s="3">
        <f t="shared" si="65"/>
        <v>9605.1302997069361</v>
      </c>
      <c r="AC122" s="13">
        <f>U122/AA122</f>
        <v>0.82210720333887233</v>
      </c>
    </row>
    <row r="123" spans="16:29">
      <c r="P123">
        <v>2013</v>
      </c>
      <c r="Q123" s="3">
        <f t="shared" ref="Q123:U138" si="66">B85</f>
        <v>24382.209851024934</v>
      </c>
      <c r="R123" s="3">
        <f t="shared" si="64"/>
        <v>4876.4419702049872</v>
      </c>
      <c r="S123" s="3">
        <f t="shared" si="64"/>
        <v>3169.6872806332417</v>
      </c>
      <c r="T123" s="3">
        <f t="shared" si="64"/>
        <v>0</v>
      </c>
      <c r="U123" s="3">
        <f t="shared" si="64"/>
        <v>8046.1292508382285</v>
      </c>
      <c r="V123" s="3"/>
      <c r="W123" s="3">
        <f t="shared" ref="W123:AA138" si="67">J85</f>
        <v>24380</v>
      </c>
      <c r="X123" s="3">
        <f t="shared" si="65"/>
        <v>4876</v>
      </c>
      <c r="Y123" s="3">
        <f t="shared" si="65"/>
        <v>3169.4</v>
      </c>
      <c r="Z123" s="3">
        <f t="shared" si="65"/>
        <v>1475.6957559087371</v>
      </c>
      <c r="AA123" s="3">
        <f t="shared" si="65"/>
        <v>9521.0957559087365</v>
      </c>
      <c r="AC123" s="13">
        <f t="shared" ref="AC123:AC140" si="68">U123/AA123</f>
        <v>0.84508437443713846</v>
      </c>
    </row>
    <row r="124" spans="16:29">
      <c r="P124">
        <v>2014</v>
      </c>
      <c r="Q124" s="3">
        <f t="shared" si="66"/>
        <v>27077.833989882325</v>
      </c>
      <c r="R124" s="3">
        <f t="shared" si="64"/>
        <v>5415.5667979764648</v>
      </c>
      <c r="S124" s="3">
        <f t="shared" si="64"/>
        <v>3520.1184186847022</v>
      </c>
      <c r="T124" s="3">
        <f t="shared" si="64"/>
        <v>0</v>
      </c>
      <c r="U124" s="3">
        <f t="shared" si="64"/>
        <v>8935.6852166611679</v>
      </c>
      <c r="V124" s="3"/>
      <c r="W124" s="3">
        <f t="shared" si="67"/>
        <v>24380</v>
      </c>
      <c r="X124" s="3">
        <f t="shared" si="65"/>
        <v>4876</v>
      </c>
      <c r="Y124" s="3">
        <f t="shared" si="65"/>
        <v>3169.4</v>
      </c>
      <c r="Z124" s="3">
        <f t="shared" si="65"/>
        <v>1376.0634163613277</v>
      </c>
      <c r="AA124" s="3">
        <f t="shared" si="65"/>
        <v>9421.4634163613264</v>
      </c>
      <c r="AC124" s="13">
        <f t="shared" si="68"/>
        <v>0.94843919906789054</v>
      </c>
    </row>
    <row r="125" spans="16:29">
      <c r="P125">
        <v>2015</v>
      </c>
      <c r="Q125" s="3">
        <f t="shared" si="66"/>
        <v>23343.765573699748</v>
      </c>
      <c r="R125" s="3">
        <f t="shared" si="64"/>
        <v>4668.7531147399495</v>
      </c>
      <c r="S125" s="3">
        <f t="shared" si="64"/>
        <v>3034.6895245809674</v>
      </c>
      <c r="T125" s="3">
        <f t="shared" si="64"/>
        <v>0</v>
      </c>
      <c r="U125" s="3">
        <f t="shared" si="64"/>
        <v>7703.4426393209169</v>
      </c>
      <c r="V125" s="3"/>
      <c r="W125" s="3">
        <f t="shared" si="67"/>
        <v>24380</v>
      </c>
      <c r="X125" s="3">
        <f t="shared" si="65"/>
        <v>4876</v>
      </c>
      <c r="Y125" s="3">
        <f t="shared" si="65"/>
        <v>3169.4</v>
      </c>
      <c r="Z125" s="3">
        <f t="shared" si="65"/>
        <v>978.0379304850627</v>
      </c>
      <c r="AA125" s="3">
        <f t="shared" si="65"/>
        <v>9023.4379304850627</v>
      </c>
      <c r="AC125" s="13">
        <f t="shared" si="68"/>
        <v>0.8537148145381892</v>
      </c>
    </row>
    <row r="126" spans="16:29">
      <c r="P126">
        <v>2016</v>
      </c>
      <c r="Q126" s="3">
        <f t="shared" si="66"/>
        <v>23461.241176470587</v>
      </c>
      <c r="R126" s="3">
        <f t="shared" si="64"/>
        <v>4692.248235294117</v>
      </c>
      <c r="S126" s="3">
        <f t="shared" si="64"/>
        <v>3049.9613529411763</v>
      </c>
      <c r="T126" s="3">
        <f t="shared" si="64"/>
        <v>0</v>
      </c>
      <c r="U126" s="3">
        <f t="shared" si="64"/>
        <v>7742.2095882352933</v>
      </c>
      <c r="V126" s="3"/>
      <c r="W126" s="3">
        <f t="shared" si="67"/>
        <v>24380</v>
      </c>
      <c r="X126" s="3">
        <f t="shared" si="65"/>
        <v>4876</v>
      </c>
      <c r="Y126" s="3">
        <f t="shared" si="65"/>
        <v>3169.4</v>
      </c>
      <c r="Z126" s="3">
        <f t="shared" si="65"/>
        <v>860.12246554290346</v>
      </c>
      <c r="AA126" s="3">
        <f t="shared" si="65"/>
        <v>8905.5224655429029</v>
      </c>
      <c r="AC126" s="13">
        <f t="shared" si="68"/>
        <v>0.86937174300455922</v>
      </c>
    </row>
    <row r="127" spans="16:29">
      <c r="P127">
        <v>2017</v>
      </c>
      <c r="Q127" s="3">
        <f t="shared" si="66"/>
        <v>23652.941176470587</v>
      </c>
      <c r="R127" s="3">
        <f t="shared" si="64"/>
        <v>4730.5882352941171</v>
      </c>
      <c r="S127" s="3">
        <f t="shared" si="64"/>
        <v>3074.8823529411766</v>
      </c>
      <c r="T127" s="3">
        <f t="shared" si="64"/>
        <v>0</v>
      </c>
      <c r="U127" s="3">
        <f t="shared" si="64"/>
        <v>7805.4705882352937</v>
      </c>
      <c r="V127" s="3"/>
      <c r="W127" s="3">
        <f t="shared" si="67"/>
        <v>24380</v>
      </c>
      <c r="X127" s="3">
        <f t="shared" si="65"/>
        <v>4876</v>
      </c>
      <c r="Y127" s="3">
        <f t="shared" si="65"/>
        <v>3169.4</v>
      </c>
      <c r="Z127" s="3">
        <f t="shared" si="65"/>
        <v>925.23408930077903</v>
      </c>
      <c r="AA127" s="3">
        <f t="shared" si="65"/>
        <v>8970.6340893007782</v>
      </c>
      <c r="AC127" s="13">
        <f t="shared" si="68"/>
        <v>0.87011358511934311</v>
      </c>
    </row>
    <row r="128" spans="16:29">
      <c r="P128">
        <v>2018</v>
      </c>
      <c r="Q128" s="3">
        <f t="shared" si="66"/>
        <v>24319.576552346047</v>
      </c>
      <c r="R128" s="3">
        <f t="shared" si="64"/>
        <v>4863.9153104692095</v>
      </c>
      <c r="S128" s="3">
        <f t="shared" si="64"/>
        <v>3161.5449518049863</v>
      </c>
      <c r="T128" s="3">
        <f t="shared" si="64"/>
        <v>0</v>
      </c>
      <c r="U128" s="3">
        <f t="shared" si="64"/>
        <v>8025.4602622741959</v>
      </c>
      <c r="V128" s="3"/>
      <c r="W128" s="3">
        <f t="shared" si="67"/>
        <v>24380</v>
      </c>
      <c r="X128" s="3">
        <f t="shared" si="65"/>
        <v>4876</v>
      </c>
      <c r="Y128" s="3">
        <f t="shared" si="65"/>
        <v>3169.4</v>
      </c>
      <c r="Z128" s="3">
        <f t="shared" si="65"/>
        <v>1005.8516381147431</v>
      </c>
      <c r="AA128" s="3">
        <f t="shared" si="65"/>
        <v>9051.2516381147434</v>
      </c>
      <c r="AC128" s="13">
        <f t="shared" si="68"/>
        <v>0.88666856067497357</v>
      </c>
    </row>
    <row r="129" spans="16:29">
      <c r="P129">
        <v>2019</v>
      </c>
      <c r="Q129" s="3">
        <f t="shared" si="66"/>
        <v>27473.317379971733</v>
      </c>
      <c r="R129" s="3">
        <f t="shared" si="64"/>
        <v>5494.6634759943463</v>
      </c>
      <c r="S129" s="3">
        <f t="shared" si="64"/>
        <v>3571.5312593963254</v>
      </c>
      <c r="T129" s="3">
        <f t="shared" si="64"/>
        <v>0</v>
      </c>
      <c r="U129" s="3">
        <f t="shared" si="64"/>
        <v>9066.1947353906726</v>
      </c>
      <c r="V129" s="3"/>
      <c r="W129" s="3">
        <f t="shared" si="67"/>
        <v>24380</v>
      </c>
      <c r="X129" s="3">
        <f t="shared" si="65"/>
        <v>4876</v>
      </c>
      <c r="Y129" s="3">
        <f t="shared" si="65"/>
        <v>3169.4</v>
      </c>
      <c r="Z129" s="3">
        <f t="shared" si="65"/>
        <v>973.90564567906176</v>
      </c>
      <c r="AA129" s="3">
        <f t="shared" si="65"/>
        <v>9019.3056456790619</v>
      </c>
      <c r="AC129" s="13">
        <f t="shared" si="68"/>
        <v>1.0051987471711943</v>
      </c>
    </row>
    <row r="130" spans="16:29">
      <c r="P130">
        <v>2020</v>
      </c>
      <c r="Q130" s="3">
        <f t="shared" si="66"/>
        <v>29812.00696769348</v>
      </c>
      <c r="R130" s="3">
        <f t="shared" si="64"/>
        <v>5962.4013935386956</v>
      </c>
      <c r="S130" s="3">
        <f t="shared" si="64"/>
        <v>3875.5609058001523</v>
      </c>
      <c r="T130" s="3">
        <f t="shared" si="64"/>
        <v>0</v>
      </c>
      <c r="U130" s="3">
        <f t="shared" si="64"/>
        <v>9837.9622993388475</v>
      </c>
      <c r="V130" s="3"/>
      <c r="W130" s="3">
        <f t="shared" si="67"/>
        <v>24380</v>
      </c>
      <c r="X130" s="3">
        <f t="shared" si="65"/>
        <v>4876</v>
      </c>
      <c r="Y130" s="3">
        <f t="shared" si="65"/>
        <v>3169.4</v>
      </c>
      <c r="Z130" s="3">
        <f t="shared" si="65"/>
        <v>987.60637225867424</v>
      </c>
      <c r="AA130" s="3">
        <f t="shared" si="65"/>
        <v>9033.0063722586747</v>
      </c>
      <c r="AC130" s="13">
        <f t="shared" si="68"/>
        <v>1.0891127376542409</v>
      </c>
    </row>
    <row r="131" spans="16:29">
      <c r="P131">
        <v>2021</v>
      </c>
      <c r="Q131" s="3">
        <f t="shared" si="66"/>
        <v>31522.104639754263</v>
      </c>
      <c r="R131" s="3">
        <f t="shared" si="64"/>
        <v>6304.4209279508523</v>
      </c>
      <c r="S131" s="3">
        <f t="shared" si="64"/>
        <v>4097.8736031680546</v>
      </c>
      <c r="T131" s="3">
        <f t="shared" si="64"/>
        <v>0</v>
      </c>
      <c r="U131" s="3">
        <f t="shared" si="64"/>
        <v>10402.294531118907</v>
      </c>
      <c r="V131" s="3"/>
      <c r="W131" s="3">
        <f t="shared" si="67"/>
        <v>24380</v>
      </c>
      <c r="X131" s="3">
        <f t="shared" si="65"/>
        <v>4876</v>
      </c>
      <c r="Y131" s="3">
        <f t="shared" si="65"/>
        <v>3169.4</v>
      </c>
      <c r="Z131" s="3">
        <f t="shared" si="65"/>
        <v>1072.6909750302825</v>
      </c>
      <c r="AA131" s="3">
        <f t="shared" si="65"/>
        <v>9118.0909750302817</v>
      </c>
      <c r="AC131" s="13">
        <f t="shared" si="68"/>
        <v>1.1408412747367176</v>
      </c>
    </row>
    <row r="132" spans="16:29">
      <c r="P132">
        <v>2022</v>
      </c>
      <c r="Q132" s="3">
        <f t="shared" si="66"/>
        <v>32019.101459082125</v>
      </c>
      <c r="R132" s="3">
        <f t="shared" si="64"/>
        <v>6403.8202918164252</v>
      </c>
      <c r="S132" s="3">
        <f t="shared" si="64"/>
        <v>4162.4831896806763</v>
      </c>
      <c r="T132" s="3">
        <f t="shared" si="64"/>
        <v>0</v>
      </c>
      <c r="U132" s="3">
        <f t="shared" si="64"/>
        <v>10566.303481497102</v>
      </c>
      <c r="V132" s="3"/>
      <c r="W132" s="3">
        <f t="shared" si="67"/>
        <v>24380</v>
      </c>
      <c r="X132" s="3">
        <f t="shared" si="65"/>
        <v>4876</v>
      </c>
      <c r="Y132" s="3">
        <f t="shared" si="65"/>
        <v>3169.4</v>
      </c>
      <c r="Z132" s="3">
        <f t="shared" si="65"/>
        <v>1132.6728643758752</v>
      </c>
      <c r="AA132" s="3">
        <f t="shared" si="65"/>
        <v>9178.0728643758739</v>
      </c>
      <c r="AC132" s="13">
        <f t="shared" si="68"/>
        <v>1.1512551314023187</v>
      </c>
    </row>
    <row r="133" spans="16:29">
      <c r="P133">
        <v>2023</v>
      </c>
      <c r="Q133" s="3">
        <f t="shared" si="66"/>
        <v>31755.531881467308</v>
      </c>
      <c r="R133" s="3">
        <f t="shared" si="64"/>
        <v>6351.1063762934618</v>
      </c>
      <c r="S133" s="3">
        <f t="shared" si="64"/>
        <v>4128.2191445907501</v>
      </c>
      <c r="T133" s="3">
        <f t="shared" si="64"/>
        <v>0</v>
      </c>
      <c r="U133" s="3">
        <f t="shared" si="64"/>
        <v>10479.325520884213</v>
      </c>
      <c r="V133" s="3"/>
      <c r="W133" s="3">
        <f t="shared" si="67"/>
        <v>24380</v>
      </c>
      <c r="X133" s="3">
        <f t="shared" si="65"/>
        <v>4876</v>
      </c>
      <c r="Y133" s="3">
        <f t="shared" si="65"/>
        <v>3169.4</v>
      </c>
      <c r="Z133" s="3">
        <f t="shared" si="65"/>
        <v>1165.7028946453117</v>
      </c>
      <c r="AA133" s="3">
        <f t="shared" si="65"/>
        <v>9211.1028946453116</v>
      </c>
      <c r="AC133" s="13">
        <f t="shared" si="68"/>
        <v>1.1376841232526191</v>
      </c>
    </row>
    <row r="134" spans="16:29">
      <c r="P134">
        <v>2024</v>
      </c>
      <c r="Q134" s="3">
        <f t="shared" si="66"/>
        <v>30637.775813632299</v>
      </c>
      <c r="R134" s="3">
        <f t="shared" si="64"/>
        <v>6127.5551627264595</v>
      </c>
      <c r="S134" s="3">
        <f t="shared" si="64"/>
        <v>3982.9108557721988</v>
      </c>
      <c r="T134" s="3">
        <f t="shared" si="64"/>
        <v>0</v>
      </c>
      <c r="U134" s="3">
        <f t="shared" si="64"/>
        <v>10110.466018498659</v>
      </c>
      <c r="V134" s="3"/>
      <c r="W134" s="3">
        <f t="shared" si="67"/>
        <v>24380</v>
      </c>
      <c r="X134" s="3">
        <f t="shared" si="65"/>
        <v>4876</v>
      </c>
      <c r="Y134" s="3">
        <f t="shared" si="65"/>
        <v>3169.4</v>
      </c>
      <c r="Z134" s="3">
        <f t="shared" si="65"/>
        <v>1168.9444700527101</v>
      </c>
      <c r="AA134" s="3">
        <f t="shared" si="65"/>
        <v>9214.3444700527107</v>
      </c>
      <c r="AC134" s="13">
        <f t="shared" si="68"/>
        <v>1.0972528812395075</v>
      </c>
    </row>
    <row r="135" spans="16:29">
      <c r="P135">
        <v>2025</v>
      </c>
      <c r="Q135" s="3">
        <f t="shared" si="66"/>
        <v>29682.013314614196</v>
      </c>
      <c r="R135" s="3">
        <f t="shared" si="64"/>
        <v>5936.4026629228392</v>
      </c>
      <c r="S135" s="3">
        <f t="shared" si="64"/>
        <v>3858.6617308998457</v>
      </c>
      <c r="T135" s="3">
        <f t="shared" si="64"/>
        <v>0</v>
      </c>
      <c r="U135" s="3">
        <f t="shared" si="64"/>
        <v>9795.0643938226858</v>
      </c>
      <c r="V135" s="3"/>
      <c r="W135" s="3">
        <f t="shared" si="67"/>
        <v>24380</v>
      </c>
      <c r="X135" s="3">
        <f t="shared" si="65"/>
        <v>4876</v>
      </c>
      <c r="Y135" s="3">
        <f t="shared" si="65"/>
        <v>3169.4</v>
      </c>
      <c r="Z135" s="3">
        <f t="shared" si="65"/>
        <v>1205.3062447208601</v>
      </c>
      <c r="AA135" s="3">
        <f t="shared" si="65"/>
        <v>9250.7062447208591</v>
      </c>
      <c r="AC135" s="13">
        <f t="shared" si="68"/>
        <v>1.0588450367681363</v>
      </c>
    </row>
    <row r="136" spans="16:29">
      <c r="P136">
        <v>2026</v>
      </c>
      <c r="Q136" s="3">
        <f t="shared" si="66"/>
        <v>29150.636064379163</v>
      </c>
      <c r="R136" s="3">
        <f t="shared" si="64"/>
        <v>5830.1272128758328</v>
      </c>
      <c r="S136" s="3">
        <f t="shared" si="64"/>
        <v>3789.5826883692912</v>
      </c>
      <c r="T136" s="3">
        <f t="shared" si="64"/>
        <v>0</v>
      </c>
      <c r="U136" s="3">
        <f t="shared" si="64"/>
        <v>9619.7099012451235</v>
      </c>
      <c r="V136" s="3"/>
      <c r="W136" s="3">
        <f t="shared" si="67"/>
        <v>24380</v>
      </c>
      <c r="X136" s="3">
        <f t="shared" si="65"/>
        <v>4876</v>
      </c>
      <c r="Y136" s="3">
        <f t="shared" si="65"/>
        <v>3169.4</v>
      </c>
      <c r="Z136" s="3">
        <f t="shared" si="65"/>
        <v>1272.8266840239864</v>
      </c>
      <c r="AA136" s="3">
        <f t="shared" si="65"/>
        <v>9318.2266840239863</v>
      </c>
      <c r="AC136" s="13">
        <f t="shared" si="68"/>
        <v>1.0323541407012589</v>
      </c>
    </row>
    <row r="137" spans="16:29">
      <c r="P137">
        <v>2027</v>
      </c>
      <c r="Q137" s="3">
        <f t="shared" si="66"/>
        <v>28618.437180599925</v>
      </c>
      <c r="R137" s="3">
        <f t="shared" si="64"/>
        <v>5723.6874361199853</v>
      </c>
      <c r="S137" s="3">
        <f t="shared" si="64"/>
        <v>3720.3968334779906</v>
      </c>
      <c r="T137" s="3">
        <f t="shared" si="64"/>
        <v>0</v>
      </c>
      <c r="U137" s="3">
        <f t="shared" si="64"/>
        <v>9444.0842695979754</v>
      </c>
      <c r="V137" s="3"/>
      <c r="W137" s="3">
        <f t="shared" si="67"/>
        <v>24380</v>
      </c>
      <c r="X137" s="3">
        <f t="shared" si="65"/>
        <v>4876</v>
      </c>
      <c r="Y137" s="3">
        <f t="shared" si="65"/>
        <v>3169.4</v>
      </c>
      <c r="Z137" s="3">
        <f t="shared" si="65"/>
        <v>1305.7544100233633</v>
      </c>
      <c r="AA137" s="3">
        <f t="shared" si="65"/>
        <v>9351.1544100233623</v>
      </c>
      <c r="AC137" s="13">
        <f t="shared" si="68"/>
        <v>1.0099377954314392</v>
      </c>
    </row>
    <row r="138" spans="16:29">
      <c r="P138">
        <v>2028</v>
      </c>
      <c r="Q138" s="3">
        <f t="shared" si="66"/>
        <v>28015.066570928007</v>
      </c>
      <c r="R138" s="3">
        <f t="shared" si="66"/>
        <v>5603.0133141856013</v>
      </c>
      <c r="S138" s="3">
        <f t="shared" si="66"/>
        <v>3641.9586542206412</v>
      </c>
      <c r="T138" s="3">
        <f t="shared" si="66"/>
        <v>0</v>
      </c>
      <c r="U138" s="3">
        <f t="shared" si="66"/>
        <v>9244.971968406242</v>
      </c>
      <c r="V138" s="3"/>
      <c r="W138" s="3">
        <f t="shared" si="67"/>
        <v>24380</v>
      </c>
      <c r="X138" s="3">
        <f t="shared" si="67"/>
        <v>4876</v>
      </c>
      <c r="Y138" s="3">
        <f t="shared" si="67"/>
        <v>3169.4</v>
      </c>
      <c r="Z138" s="3">
        <f t="shared" si="67"/>
        <v>1329.9365918036822</v>
      </c>
      <c r="AA138" s="3">
        <f t="shared" si="67"/>
        <v>9375.3365918036816</v>
      </c>
      <c r="AC138" s="13">
        <f t="shared" si="68"/>
        <v>0.98609493940607851</v>
      </c>
    </row>
    <row r="139" spans="16:29">
      <c r="P139">
        <v>2029</v>
      </c>
      <c r="Q139" s="3">
        <f t="shared" ref="Q139:U140" si="69">B101</f>
        <v>27481.287965735773</v>
      </c>
      <c r="R139" s="3">
        <f t="shared" si="69"/>
        <v>5496.2575931471547</v>
      </c>
      <c r="S139" s="3">
        <f t="shared" si="69"/>
        <v>3572.5674355456508</v>
      </c>
      <c r="T139" s="3">
        <f t="shared" si="69"/>
        <v>0</v>
      </c>
      <c r="U139" s="3">
        <f t="shared" si="69"/>
        <v>9068.8250286928051</v>
      </c>
      <c r="V139" s="3"/>
      <c r="W139" s="3">
        <f t="shared" ref="W139:AA140" si="70">J101</f>
        <v>24380</v>
      </c>
      <c r="X139" s="3">
        <f t="shared" si="70"/>
        <v>4876</v>
      </c>
      <c r="Y139" s="3">
        <f t="shared" si="70"/>
        <v>3169.4</v>
      </c>
      <c r="Z139" s="3">
        <f t="shared" si="70"/>
        <v>1361.7036559645308</v>
      </c>
      <c r="AA139" s="3">
        <f t="shared" si="70"/>
        <v>9407.1036559645308</v>
      </c>
      <c r="AC139" s="13">
        <f t="shared" si="68"/>
        <v>0.96404008718908485</v>
      </c>
    </row>
    <row r="140" spans="16:29">
      <c r="P140">
        <v>2030</v>
      </c>
      <c r="Q140" s="3">
        <f t="shared" si="69"/>
        <v>26876.378716331703</v>
      </c>
      <c r="R140" s="3">
        <f t="shared" si="69"/>
        <v>5375.2757432663402</v>
      </c>
      <c r="S140" s="3">
        <f t="shared" si="69"/>
        <v>3493.9292331231213</v>
      </c>
      <c r="T140" s="3">
        <f t="shared" si="69"/>
        <v>0</v>
      </c>
      <c r="U140" s="3">
        <f t="shared" si="69"/>
        <v>8869.2049763894611</v>
      </c>
      <c r="V140" s="3"/>
      <c r="W140" s="3">
        <f t="shared" si="70"/>
        <v>24380</v>
      </c>
      <c r="X140" s="3">
        <f t="shared" si="70"/>
        <v>4876</v>
      </c>
      <c r="Y140" s="3">
        <f t="shared" si="70"/>
        <v>3169.4</v>
      </c>
      <c r="Z140" s="3">
        <f t="shared" si="70"/>
        <v>1372.4279074549061</v>
      </c>
      <c r="AA140" s="3">
        <f t="shared" si="70"/>
        <v>9417.8279074549064</v>
      </c>
      <c r="AC140" s="13">
        <f t="shared" si="68"/>
        <v>0.94174634146466307</v>
      </c>
    </row>
  </sheetData>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3"/>
  <sheetViews>
    <sheetView workbookViewId="0">
      <selection activeCell="T43" sqref="T43"/>
    </sheetView>
  </sheetViews>
  <sheetFormatPr defaultRowHeight="15"/>
  <cols>
    <col min="2" max="2" width="12" customWidth="1"/>
    <col min="3" max="3" width="10.85546875" customWidth="1"/>
    <col min="6" max="6" width="10.28515625" customWidth="1"/>
    <col min="7" max="7" width="13" customWidth="1"/>
    <col min="8" max="8" width="17" customWidth="1"/>
    <col min="9" max="9" width="9.140625" customWidth="1"/>
  </cols>
  <sheetData>
    <row r="1" spans="1:13">
      <c r="B1" t="s">
        <v>521</v>
      </c>
      <c r="M1" s="114" t="s">
        <v>512</v>
      </c>
    </row>
    <row r="2" spans="1:13">
      <c r="C2" s="14" t="s">
        <v>523</v>
      </c>
      <c r="D2" s="14"/>
      <c r="E2" s="14"/>
      <c r="F2" s="14"/>
      <c r="M2" s="114"/>
    </row>
    <row r="3" spans="1:13">
      <c r="B3" t="s">
        <v>349</v>
      </c>
      <c r="C3" t="s">
        <v>495</v>
      </c>
      <c r="D3" t="s">
        <v>522</v>
      </c>
      <c r="E3" t="s">
        <v>492</v>
      </c>
      <c r="F3" t="s">
        <v>440</v>
      </c>
      <c r="G3" t="s">
        <v>527</v>
      </c>
      <c r="H3" t="s">
        <v>526</v>
      </c>
      <c r="M3" t="s">
        <v>513</v>
      </c>
    </row>
    <row r="4" spans="1:13">
      <c r="A4">
        <v>2005</v>
      </c>
      <c r="B4" s="50">
        <v>7660.4</v>
      </c>
      <c r="H4" s="3">
        <v>17444.8</v>
      </c>
    </row>
    <row r="5" spans="1:13">
      <c r="A5">
        <v>2006</v>
      </c>
      <c r="B5" s="71">
        <v>7761.3</v>
      </c>
      <c r="H5" s="3">
        <v>17048.3</v>
      </c>
    </row>
    <row r="6" spans="1:13">
      <c r="A6">
        <v>2007</v>
      </c>
      <c r="B6" s="71">
        <v>7562.1</v>
      </c>
      <c r="C6">
        <v>1950</v>
      </c>
      <c r="D6">
        <v>2750</v>
      </c>
      <c r="E6">
        <v>2700</v>
      </c>
      <c r="F6">
        <v>1100</v>
      </c>
      <c r="G6" s="3">
        <f t="shared" ref="G6:G11" si="0">H6-SUM(B6:F6)</f>
        <v>397.89999999999964</v>
      </c>
      <c r="H6" s="3">
        <v>16460</v>
      </c>
      <c r="I6" s="3"/>
    </row>
    <row r="7" spans="1:13">
      <c r="A7">
        <v>2008</v>
      </c>
      <c r="B7" s="71">
        <v>6769.2</v>
      </c>
      <c r="C7">
        <v>1150</v>
      </c>
      <c r="D7">
        <v>2450</v>
      </c>
      <c r="E7">
        <v>2000</v>
      </c>
      <c r="F7">
        <v>800</v>
      </c>
      <c r="G7" s="3">
        <f t="shared" si="0"/>
        <v>324.19999999999891</v>
      </c>
      <c r="H7" s="3">
        <v>13493.4</v>
      </c>
      <c r="I7" s="3"/>
    </row>
    <row r="8" spans="1:13">
      <c r="A8">
        <v>2009</v>
      </c>
      <c r="B8" s="71">
        <v>5401.5</v>
      </c>
      <c r="C8">
        <v>650</v>
      </c>
      <c r="D8">
        <v>2300</v>
      </c>
      <c r="E8">
        <v>1400</v>
      </c>
      <c r="F8">
        <v>550</v>
      </c>
      <c r="G8" s="3">
        <f t="shared" si="0"/>
        <v>300.5</v>
      </c>
      <c r="H8" s="3">
        <v>10602</v>
      </c>
      <c r="I8" s="3"/>
    </row>
    <row r="9" spans="1:13">
      <c r="A9">
        <v>2010</v>
      </c>
      <c r="B9" s="71">
        <v>6136.6</v>
      </c>
      <c r="C9">
        <v>800</v>
      </c>
      <c r="D9">
        <v>2850</v>
      </c>
      <c r="E9">
        <v>1600</v>
      </c>
      <c r="F9">
        <v>650</v>
      </c>
      <c r="G9" s="3">
        <f t="shared" si="0"/>
        <v>-264.26100000000042</v>
      </c>
      <c r="H9" s="3">
        <v>11772.339</v>
      </c>
      <c r="I9" s="3"/>
    </row>
    <row r="10" spans="1:13">
      <c r="A10">
        <v>2011</v>
      </c>
      <c r="B10" s="71">
        <v>6089.7079999999996</v>
      </c>
      <c r="C10">
        <v>1000</v>
      </c>
      <c r="D10">
        <v>3150</v>
      </c>
      <c r="E10">
        <v>1800</v>
      </c>
      <c r="F10">
        <v>700</v>
      </c>
      <c r="G10" s="3">
        <f t="shared" si="0"/>
        <v>301.20000000000073</v>
      </c>
      <c r="H10" s="3">
        <v>13040.907999999999</v>
      </c>
      <c r="I10" s="3"/>
    </row>
    <row r="11" spans="1:13">
      <c r="A11">
        <v>2012</v>
      </c>
      <c r="B11" s="71">
        <v>7244.4390000000003</v>
      </c>
      <c r="C11">
        <v>1000</v>
      </c>
      <c r="D11">
        <v>3450</v>
      </c>
      <c r="E11">
        <v>1950</v>
      </c>
      <c r="F11">
        <v>800</v>
      </c>
      <c r="G11" s="3">
        <f t="shared" si="0"/>
        <v>344.03600000000006</v>
      </c>
      <c r="H11" s="3">
        <v>14788.475</v>
      </c>
      <c r="I11" s="3"/>
    </row>
    <row r="12" spans="1:13">
      <c r="A12">
        <v>2013</v>
      </c>
      <c r="B12" s="71">
        <v>7585.3410000000003</v>
      </c>
      <c r="H12" s="3">
        <v>15883.442999999999</v>
      </c>
    </row>
    <row r="13" spans="1:13">
      <c r="A13">
        <v>2014</v>
      </c>
      <c r="B13" s="71">
        <v>7687.6189999999997</v>
      </c>
      <c r="H13" s="3">
        <v>16841.973000000002</v>
      </c>
    </row>
    <row r="14" spans="1:13">
      <c r="A14">
        <v>2015</v>
      </c>
      <c r="B14" s="71">
        <v>7523.6890000000003</v>
      </c>
      <c r="H14" s="3">
        <v>17834.599999999999</v>
      </c>
    </row>
    <row r="15" spans="1:13">
      <c r="A15">
        <v>2016</v>
      </c>
      <c r="B15" s="71">
        <v>6869.7719999999999</v>
      </c>
      <c r="H15" s="3">
        <v>17864.255000000001</v>
      </c>
    </row>
    <row r="16" spans="1:13">
      <c r="A16">
        <v>2017</v>
      </c>
      <c r="B16" s="71">
        <v>6073.5330000000004</v>
      </c>
      <c r="H16" s="3">
        <v>17529.759999999998</v>
      </c>
    </row>
    <row r="18" spans="1:21">
      <c r="B18" t="s">
        <v>521</v>
      </c>
    </row>
    <row r="20" spans="1:21">
      <c r="B20" s="129" t="s">
        <v>349</v>
      </c>
      <c r="C20" t="s">
        <v>495</v>
      </c>
      <c r="D20" t="s">
        <v>522</v>
      </c>
      <c r="E20" s="129" t="s">
        <v>524</v>
      </c>
      <c r="F20" s="129" t="s">
        <v>525</v>
      </c>
      <c r="G20" s="129" t="s">
        <v>526</v>
      </c>
      <c r="H20" s="101" t="s">
        <v>528</v>
      </c>
    </row>
    <row r="21" spans="1:21">
      <c r="A21">
        <v>2005</v>
      </c>
      <c r="B21" s="50">
        <v>7660.4</v>
      </c>
      <c r="C21">
        <v>3272</v>
      </c>
      <c r="D21" s="3">
        <f t="shared" ref="D21:D28" si="1">G21-B21-C21-F21</f>
        <v>2212.3999999999996</v>
      </c>
      <c r="E21" s="3">
        <f t="shared" ref="E21:E28" si="2">C21+D21</f>
        <v>5484.4</v>
      </c>
      <c r="F21" s="15">
        <v>4300</v>
      </c>
      <c r="G21" s="3">
        <v>17444.8</v>
      </c>
      <c r="H21" s="3">
        <f t="shared" ref="H21:H33" si="3">G21-F21</f>
        <v>13144.8</v>
      </c>
    </row>
    <row r="22" spans="1:21">
      <c r="A22">
        <v>2006</v>
      </c>
      <c r="B22" s="71">
        <v>7761.3</v>
      </c>
      <c r="C22">
        <v>3005</v>
      </c>
      <c r="D22" s="3">
        <f t="shared" si="1"/>
        <v>2232</v>
      </c>
      <c r="E22" s="3">
        <f t="shared" si="2"/>
        <v>5237</v>
      </c>
      <c r="F22" s="15">
        <f>(F21+F23)/2</f>
        <v>4050</v>
      </c>
      <c r="G22" s="3">
        <v>17048.3</v>
      </c>
      <c r="H22" s="3">
        <f t="shared" si="3"/>
        <v>12998.3</v>
      </c>
    </row>
    <row r="23" spans="1:21">
      <c r="A23">
        <v>2007</v>
      </c>
      <c r="B23" s="71">
        <v>7562.1</v>
      </c>
      <c r="C23">
        <v>3314</v>
      </c>
      <c r="D23" s="3">
        <f t="shared" si="1"/>
        <v>1783.8999999999996</v>
      </c>
      <c r="E23" s="3">
        <f t="shared" si="2"/>
        <v>5097.8999999999996</v>
      </c>
      <c r="F23">
        <f t="shared" ref="F23:F28" si="4">E6+F6</f>
        <v>3800</v>
      </c>
      <c r="G23" s="3">
        <v>16460</v>
      </c>
      <c r="H23" s="3">
        <f t="shared" si="3"/>
        <v>12660</v>
      </c>
    </row>
    <row r="24" spans="1:21">
      <c r="A24">
        <v>2008</v>
      </c>
      <c r="B24" s="71">
        <v>6769.2</v>
      </c>
      <c r="C24">
        <v>3072</v>
      </c>
      <c r="D24" s="3">
        <f t="shared" si="1"/>
        <v>852.19999999999982</v>
      </c>
      <c r="E24" s="3">
        <f t="shared" si="2"/>
        <v>3924.2</v>
      </c>
      <c r="F24">
        <f t="shared" si="4"/>
        <v>2800</v>
      </c>
      <c r="G24" s="3">
        <v>13493.4</v>
      </c>
      <c r="H24" s="3">
        <f t="shared" si="3"/>
        <v>10693.4</v>
      </c>
      <c r="U24">
        <v>3272</v>
      </c>
    </row>
    <row r="25" spans="1:21">
      <c r="A25">
        <v>2009</v>
      </c>
      <c r="B25" s="71">
        <v>5401.5</v>
      </c>
      <c r="C25">
        <v>1713</v>
      </c>
      <c r="D25" s="3">
        <f t="shared" si="1"/>
        <v>1537.5</v>
      </c>
      <c r="E25" s="3">
        <f t="shared" si="2"/>
        <v>3250.5</v>
      </c>
      <c r="F25">
        <f t="shared" si="4"/>
        <v>1950</v>
      </c>
      <c r="G25" s="3">
        <v>10602</v>
      </c>
      <c r="H25" s="3">
        <f t="shared" si="3"/>
        <v>8652</v>
      </c>
      <c r="U25">
        <v>3005</v>
      </c>
    </row>
    <row r="26" spans="1:21">
      <c r="A26">
        <v>2010</v>
      </c>
      <c r="B26" s="71">
        <v>6136.6</v>
      </c>
      <c r="C26">
        <v>2305</v>
      </c>
      <c r="D26" s="3">
        <f t="shared" si="1"/>
        <v>1080.7389999999996</v>
      </c>
      <c r="E26" s="3">
        <f t="shared" si="2"/>
        <v>3385.7389999999996</v>
      </c>
      <c r="F26">
        <f t="shared" si="4"/>
        <v>2250</v>
      </c>
      <c r="G26" s="3">
        <v>11772.339</v>
      </c>
      <c r="H26" s="3">
        <f t="shared" si="3"/>
        <v>9522.3389999999999</v>
      </c>
      <c r="U26">
        <v>3314</v>
      </c>
    </row>
    <row r="27" spans="1:21">
      <c r="A27">
        <v>2011</v>
      </c>
      <c r="B27" s="71">
        <v>6089.7079999999996</v>
      </c>
      <c r="C27">
        <v>3069</v>
      </c>
      <c r="D27" s="3">
        <f t="shared" si="1"/>
        <v>1382.1999999999998</v>
      </c>
      <c r="E27" s="3">
        <f t="shared" si="2"/>
        <v>4451.2</v>
      </c>
      <c r="F27">
        <f t="shared" si="4"/>
        <v>2500</v>
      </c>
      <c r="G27" s="3">
        <v>13040.907999999999</v>
      </c>
      <c r="H27" s="3">
        <f t="shared" si="3"/>
        <v>10540.907999999999</v>
      </c>
      <c r="U27">
        <v>3072</v>
      </c>
    </row>
    <row r="28" spans="1:21">
      <c r="A28">
        <v>2012</v>
      </c>
      <c r="B28" s="71">
        <v>7244.4390000000003</v>
      </c>
      <c r="C28">
        <v>2797</v>
      </c>
      <c r="D28" s="3">
        <f t="shared" si="1"/>
        <v>1997.0360000000001</v>
      </c>
      <c r="E28" s="3">
        <f t="shared" si="2"/>
        <v>4794.0360000000001</v>
      </c>
      <c r="F28">
        <f t="shared" si="4"/>
        <v>2750</v>
      </c>
      <c r="G28" s="3">
        <v>14788.475</v>
      </c>
      <c r="H28" s="3">
        <f t="shared" si="3"/>
        <v>12038.475</v>
      </c>
      <c r="U28">
        <v>1713</v>
      </c>
    </row>
    <row r="29" spans="1:21">
      <c r="A29">
        <v>2013</v>
      </c>
      <c r="B29" s="71">
        <v>7585.3410000000003</v>
      </c>
      <c r="E29">
        <v>4748</v>
      </c>
      <c r="F29" s="3">
        <f>G29-E29-B29</f>
        <v>3550.101999999999</v>
      </c>
      <c r="G29" s="3">
        <v>15883.442999999999</v>
      </c>
      <c r="H29" s="3">
        <f t="shared" si="3"/>
        <v>12333.341</v>
      </c>
      <c r="U29">
        <v>2305</v>
      </c>
    </row>
    <row r="30" spans="1:21">
      <c r="A30">
        <v>2014</v>
      </c>
      <c r="B30" s="71">
        <v>7687.6189999999997</v>
      </c>
      <c r="E30">
        <v>5315</v>
      </c>
      <c r="F30" s="3">
        <f>G30-E30-B30</f>
        <v>3839.3540000000021</v>
      </c>
      <c r="G30" s="3">
        <v>16841.973000000002</v>
      </c>
      <c r="H30" s="3">
        <f t="shared" si="3"/>
        <v>13002.618999999999</v>
      </c>
      <c r="U30">
        <v>3069</v>
      </c>
    </row>
    <row r="31" spans="1:21">
      <c r="A31">
        <v>2015</v>
      </c>
      <c r="B31" s="71">
        <v>7523.6890000000003</v>
      </c>
      <c r="E31">
        <v>6100</v>
      </c>
      <c r="F31" s="3">
        <f>G31-E31-B31</f>
        <v>4210.9109999999982</v>
      </c>
      <c r="G31" s="3">
        <v>17834.599999999999</v>
      </c>
      <c r="H31" s="3">
        <f t="shared" si="3"/>
        <v>13623.689</v>
      </c>
      <c r="U31">
        <v>2797</v>
      </c>
    </row>
    <row r="32" spans="1:21">
      <c r="A32">
        <v>2016</v>
      </c>
      <c r="B32" s="71">
        <v>6869.7719999999999</v>
      </c>
      <c r="E32" s="3">
        <v>6973.5</v>
      </c>
      <c r="F32" s="3">
        <f>G32-E32-B32</f>
        <v>4020.9830000000011</v>
      </c>
      <c r="G32" s="3">
        <v>17864.255000000001</v>
      </c>
      <c r="H32" s="3">
        <f t="shared" si="3"/>
        <v>13843.272000000001</v>
      </c>
    </row>
    <row r="33" spans="1:16">
      <c r="A33">
        <v>2017</v>
      </c>
      <c r="B33" s="71">
        <v>6073.5330000000004</v>
      </c>
      <c r="E33" s="3">
        <v>7326.4</v>
      </c>
      <c r="F33" s="3">
        <f>G33-E33-B33</f>
        <v>4129.8269999999984</v>
      </c>
      <c r="G33" s="3">
        <v>17529.759999999998</v>
      </c>
      <c r="H33" s="3">
        <f t="shared" si="3"/>
        <v>13399.933000000001</v>
      </c>
    </row>
    <row r="34" spans="1:16">
      <c r="E34" s="3"/>
      <c r="F34" s="3"/>
      <c r="M34" t="s">
        <v>514</v>
      </c>
    </row>
    <row r="36" spans="1:16">
      <c r="M36" t="s">
        <v>515</v>
      </c>
      <c r="P36" t="s">
        <v>515</v>
      </c>
    </row>
    <row r="37" spans="1:16">
      <c r="M37" t="s">
        <v>251</v>
      </c>
      <c r="N37" t="s">
        <v>516</v>
      </c>
      <c r="O37" t="s">
        <v>517</v>
      </c>
      <c r="P37" t="s">
        <v>251</v>
      </c>
    </row>
    <row r="38" spans="1:16">
      <c r="L38">
        <v>2012</v>
      </c>
      <c r="M38">
        <v>4254</v>
      </c>
      <c r="O38" s="3">
        <v>14788.475</v>
      </c>
    </row>
    <row r="39" spans="1:16">
      <c r="L39">
        <v>2013</v>
      </c>
      <c r="M39">
        <v>4748</v>
      </c>
      <c r="N39">
        <v>33.9</v>
      </c>
      <c r="O39" s="3">
        <v>15883.442999999999</v>
      </c>
      <c r="P39" s="3">
        <f>N39/100*O39</f>
        <v>5384.4871769999991</v>
      </c>
    </row>
    <row r="40" spans="1:16">
      <c r="L40">
        <v>2014</v>
      </c>
      <c r="M40">
        <v>5315</v>
      </c>
      <c r="N40">
        <v>35.4</v>
      </c>
      <c r="O40" s="3">
        <v>16841.973000000002</v>
      </c>
      <c r="P40" s="3">
        <f>N40/100*O40</f>
        <v>5962.0584420000005</v>
      </c>
    </row>
    <row r="41" spans="1:16">
      <c r="L41">
        <v>2015</v>
      </c>
      <c r="M41">
        <v>6100</v>
      </c>
      <c r="N41">
        <v>32</v>
      </c>
      <c r="O41" s="3">
        <v>17834.599999999999</v>
      </c>
      <c r="P41" s="3">
        <f>N41/100*O41</f>
        <v>5707.0719999999992</v>
      </c>
    </row>
    <row r="42" spans="1:16">
      <c r="L42">
        <v>2016</v>
      </c>
      <c r="N42">
        <v>42</v>
      </c>
      <c r="O42" s="3">
        <v>17864.255000000001</v>
      </c>
      <c r="P42" s="3">
        <f>N42/100*O42</f>
        <v>7502.9871000000003</v>
      </c>
    </row>
    <row r="43" spans="1:16">
      <c r="L43">
        <v>2017</v>
      </c>
      <c r="N43" s="12">
        <f>I76</f>
        <v>45.166247462245899</v>
      </c>
      <c r="O43" s="3">
        <v>17529.759999999998</v>
      </c>
      <c r="P43" s="3">
        <f>N43/100*O43</f>
        <v>7917.534781137796</v>
      </c>
    </row>
    <row r="50" spans="1:10">
      <c r="A50" t="s">
        <v>497</v>
      </c>
    </row>
    <row r="52" spans="1:10">
      <c r="C52" s="127" t="s">
        <v>508</v>
      </c>
      <c r="I52" s="108"/>
    </row>
    <row r="53" spans="1:10">
      <c r="B53" s="92"/>
      <c r="C53" s="128">
        <v>43160</v>
      </c>
      <c r="D53" s="92" t="s">
        <v>500</v>
      </c>
      <c r="E53" t="s">
        <v>499</v>
      </c>
      <c r="F53" t="s">
        <v>501</v>
      </c>
      <c r="I53" s="108" t="s">
        <v>498</v>
      </c>
    </row>
    <row r="54" spans="1:10">
      <c r="A54" t="s">
        <v>349</v>
      </c>
      <c r="C54" s="92">
        <v>555625</v>
      </c>
      <c r="D54" s="126"/>
      <c r="E54" s="92">
        <v>1374507</v>
      </c>
      <c r="F54">
        <v>-10.8</v>
      </c>
      <c r="I54" s="12">
        <f t="shared" ref="I54:I71" si="5">C54/C$73*100</f>
        <v>33.602374073874728</v>
      </c>
    </row>
    <row r="55" spans="1:10">
      <c r="B55" t="s">
        <v>488</v>
      </c>
      <c r="C55" s="92">
        <v>231529</v>
      </c>
      <c r="D55">
        <v>-13.4</v>
      </c>
      <c r="E55" s="92">
        <v>580263</v>
      </c>
      <c r="F55">
        <v>-14.5</v>
      </c>
      <c r="I55" s="12">
        <f t="shared" si="5"/>
        <v>14.002113056378207</v>
      </c>
    </row>
    <row r="56" spans="1:10">
      <c r="B56" t="s">
        <v>470</v>
      </c>
      <c r="C56" s="92">
        <v>238056</v>
      </c>
      <c r="D56">
        <v>-7.7</v>
      </c>
      <c r="E56" s="92">
        <v>579198</v>
      </c>
      <c r="F56">
        <v>-10.8</v>
      </c>
      <c r="I56" s="12">
        <f t="shared" si="5"/>
        <v>14.396844566983704</v>
      </c>
    </row>
    <row r="57" spans="1:10">
      <c r="B57" t="s">
        <v>489</v>
      </c>
      <c r="C57" s="92">
        <v>86029</v>
      </c>
      <c r="D57">
        <v>-0.9</v>
      </c>
      <c r="E57" s="92">
        <v>215006</v>
      </c>
      <c r="F57">
        <v>0.7</v>
      </c>
      <c r="I57" s="12">
        <f t="shared" si="5"/>
        <v>5.202751206661631</v>
      </c>
    </row>
    <row r="58" spans="1:10">
      <c r="B58" t="s">
        <v>472</v>
      </c>
      <c r="C58">
        <v>11</v>
      </c>
      <c r="D58">
        <v>-57.7</v>
      </c>
      <c r="E58">
        <v>40</v>
      </c>
      <c r="F58">
        <v>-64</v>
      </c>
      <c r="I58" s="12">
        <f t="shared" si="5"/>
        <v>6.6524385118132186E-4</v>
      </c>
    </row>
    <row r="59" spans="1:10">
      <c r="A59" s="14" t="s">
        <v>490</v>
      </c>
      <c r="B59" s="14" t="s">
        <v>491</v>
      </c>
      <c r="C59" s="92">
        <v>1097904</v>
      </c>
      <c r="D59">
        <v>16.3</v>
      </c>
      <c r="E59" s="92">
        <v>2736038</v>
      </c>
      <c r="F59">
        <v>9.8000000000000007</v>
      </c>
      <c r="I59" s="12">
        <f t="shared" si="5"/>
        <v>66.397625926125272</v>
      </c>
    </row>
    <row r="60" spans="1:10">
      <c r="B60" s="14" t="s">
        <v>492</v>
      </c>
      <c r="C60" s="92">
        <v>260949</v>
      </c>
      <c r="D60">
        <v>7.9</v>
      </c>
      <c r="E60" s="92">
        <v>653891</v>
      </c>
      <c r="F60">
        <v>2.8</v>
      </c>
      <c r="I60" s="12">
        <f t="shared" si="5"/>
        <v>15.781337974719525</v>
      </c>
    </row>
    <row r="61" spans="1:10">
      <c r="B61" s="14" t="s">
        <v>493</v>
      </c>
      <c r="C61" s="92">
        <v>572829</v>
      </c>
      <c r="D61">
        <v>27</v>
      </c>
      <c r="E61" s="92">
        <v>1415954</v>
      </c>
      <c r="F61">
        <v>18.2</v>
      </c>
      <c r="I61" s="12">
        <f t="shared" si="5"/>
        <v>34.64281545712231</v>
      </c>
    </row>
    <row r="62" spans="1:10">
      <c r="B62" s="14" t="s">
        <v>494</v>
      </c>
      <c r="C62" s="92">
        <v>48325</v>
      </c>
      <c r="D62">
        <v>5.2</v>
      </c>
      <c r="E62" s="92">
        <v>126145</v>
      </c>
      <c r="F62">
        <v>2.7</v>
      </c>
      <c r="I62" s="12">
        <f t="shared" si="5"/>
        <v>2.9225371916670349</v>
      </c>
    </row>
    <row r="63" spans="1:10">
      <c r="B63" s="14" t="s">
        <v>502</v>
      </c>
      <c r="C63" s="92">
        <v>6984</v>
      </c>
      <c r="D63">
        <v>0.8</v>
      </c>
      <c r="E63" s="92">
        <v>17799</v>
      </c>
      <c r="F63">
        <v>2.1</v>
      </c>
      <c r="I63" s="12">
        <f t="shared" si="5"/>
        <v>0.42236936878639564</v>
      </c>
    </row>
    <row r="64" spans="1:10">
      <c r="B64" s="14" t="s">
        <v>503</v>
      </c>
      <c r="C64" s="92">
        <v>34809</v>
      </c>
      <c r="D64">
        <v>0.1</v>
      </c>
      <c r="E64" s="92">
        <v>85662</v>
      </c>
      <c r="F64">
        <v>0.4</v>
      </c>
      <c r="I64" s="12">
        <f t="shared" si="5"/>
        <v>2.105133928706421</v>
      </c>
      <c r="J64" s="12">
        <f>I62+I63+I64+I60</f>
        <v>21.231378463879377</v>
      </c>
    </row>
    <row r="65" spans="1:10">
      <c r="B65" s="14" t="s">
        <v>504</v>
      </c>
      <c r="C65" s="92">
        <v>82140</v>
      </c>
      <c r="D65">
        <v>-7.4</v>
      </c>
      <c r="E65" s="92">
        <v>220338</v>
      </c>
      <c r="F65">
        <v>-6.6</v>
      </c>
      <c r="I65" s="12">
        <f t="shared" si="5"/>
        <v>4.9675572669121619</v>
      </c>
    </row>
    <row r="66" spans="1:10">
      <c r="B66" s="14" t="s">
        <v>505</v>
      </c>
      <c r="C66" s="92">
        <v>30820</v>
      </c>
      <c r="D66">
        <v>7.3</v>
      </c>
      <c r="E66" s="92">
        <v>78730</v>
      </c>
      <c r="F66">
        <v>-1.4</v>
      </c>
      <c r="I66" s="12">
        <f t="shared" si="5"/>
        <v>1.8638923175825766</v>
      </c>
    </row>
    <row r="67" spans="1:10">
      <c r="B67" s="14" t="s">
        <v>506</v>
      </c>
      <c r="C67" s="92">
        <v>35107</v>
      </c>
      <c r="D67">
        <v>45.6</v>
      </c>
      <c r="E67" s="92">
        <v>75328</v>
      </c>
      <c r="F67">
        <v>27.9</v>
      </c>
      <c r="I67" s="12">
        <f t="shared" si="5"/>
        <v>2.1231559894020609</v>
      </c>
    </row>
    <row r="68" spans="1:10">
      <c r="B68" s="14" t="s">
        <v>507</v>
      </c>
      <c r="C68" s="92">
        <v>25941</v>
      </c>
      <c r="D68">
        <v>19.2</v>
      </c>
      <c r="E68" s="92">
        <v>62191</v>
      </c>
      <c r="F68">
        <v>9.6999999999999993</v>
      </c>
      <c r="I68" s="12">
        <f t="shared" si="5"/>
        <v>1.5688264312267881</v>
      </c>
      <c r="J68" s="12"/>
    </row>
    <row r="69" spans="1:10">
      <c r="A69" t="s">
        <v>158</v>
      </c>
      <c r="B69" t="s">
        <v>496</v>
      </c>
      <c r="C69" s="92">
        <v>746837</v>
      </c>
      <c r="D69">
        <v>21.6</v>
      </c>
      <c r="E69" s="92">
        <v>1852541</v>
      </c>
      <c r="F69">
        <v>13.7</v>
      </c>
      <c r="I69" s="12">
        <f t="shared" si="5"/>
        <v>45.166247462245899</v>
      </c>
    </row>
    <row r="70" spans="1:10">
      <c r="A70" t="s">
        <v>158</v>
      </c>
      <c r="B70" t="s">
        <v>495</v>
      </c>
      <c r="C70" s="92">
        <v>174008</v>
      </c>
      <c r="D70">
        <v>6.6</v>
      </c>
      <c r="E70" s="92">
        <v>436587</v>
      </c>
      <c r="F70">
        <v>1.2</v>
      </c>
      <c r="I70" s="12">
        <f t="shared" si="5"/>
        <v>10.523432005123587</v>
      </c>
    </row>
    <row r="71" spans="1:10">
      <c r="A71" t="s">
        <v>158</v>
      </c>
      <c r="B71" t="s">
        <v>493</v>
      </c>
      <c r="C71" s="92">
        <v>572829</v>
      </c>
      <c r="D71">
        <v>27</v>
      </c>
      <c r="E71" s="92">
        <v>1415954</v>
      </c>
      <c r="F71">
        <v>18</v>
      </c>
      <c r="I71" s="12">
        <f t="shared" si="5"/>
        <v>34.64281545712231</v>
      </c>
    </row>
    <row r="73" spans="1:10">
      <c r="A73" t="s">
        <v>158</v>
      </c>
      <c r="C73" s="92">
        <f>C54+C59</f>
        <v>1653529</v>
      </c>
      <c r="D73" s="92"/>
      <c r="E73" s="92"/>
      <c r="H73" t="s">
        <v>374</v>
      </c>
      <c r="I73" s="12">
        <f>I54</f>
        <v>33.602374073874728</v>
      </c>
    </row>
    <row r="74" spans="1:10">
      <c r="H74" t="s">
        <v>509</v>
      </c>
      <c r="I74" s="12">
        <f>I54+I70</f>
        <v>44.125806078998316</v>
      </c>
    </row>
    <row r="75" spans="1:10">
      <c r="G75" t="s">
        <v>510</v>
      </c>
      <c r="I75" s="12">
        <f>I54+I70+I71</f>
        <v>78.768621536120634</v>
      </c>
    </row>
    <row r="76" spans="1:10">
      <c r="G76" t="s">
        <v>511</v>
      </c>
      <c r="I76" s="12">
        <f>I69</f>
        <v>45.166247462245899</v>
      </c>
    </row>
    <row r="92" spans="1:1">
      <c r="A92" t="s">
        <v>486</v>
      </c>
    </row>
    <row r="93" spans="1:1">
      <c r="A93" s="125" t="s">
        <v>487</v>
      </c>
    </row>
  </sheetData>
  <hyperlinks>
    <hyperlink ref="M1" r:id="rId1" location="cite_note-15" display="cite_note-15"/>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W61"/>
  <sheetViews>
    <sheetView zoomScale="75" zoomScaleNormal="75" workbookViewId="0">
      <pane xSplit="1" ySplit="3" topLeftCell="B4" activePane="bottomRight" state="frozen"/>
      <selection pane="topRight" activeCell="B1" sqref="B1"/>
      <selection pane="bottomLeft" activeCell="A4" sqref="A4"/>
      <selection pane="bottomRight" activeCell="Q52" sqref="Q52"/>
    </sheetView>
  </sheetViews>
  <sheetFormatPr defaultRowHeight="15"/>
  <cols>
    <col min="3" max="3" width="11" bestFit="1" customWidth="1"/>
    <col min="4" max="5" width="11" customWidth="1"/>
    <col min="15" max="15" width="14.7109375" customWidth="1"/>
    <col min="17" max="17" width="18" customWidth="1"/>
    <col min="18" max="18" width="14.5703125" style="33" customWidth="1"/>
    <col min="19" max="19" width="16.42578125" customWidth="1"/>
    <col min="20" max="22" width="15.42578125" customWidth="1"/>
  </cols>
  <sheetData>
    <row r="1" spans="1:23">
      <c r="C1" t="s">
        <v>1004</v>
      </c>
      <c r="D1" s="14" t="s">
        <v>1004</v>
      </c>
      <c r="I1" s="14" t="s">
        <v>940</v>
      </c>
      <c r="S1" s="13"/>
    </row>
    <row r="2" spans="1:23">
      <c r="B2" t="s">
        <v>1058</v>
      </c>
      <c r="C2" t="s">
        <v>498</v>
      </c>
      <c r="D2" s="14" t="s">
        <v>498</v>
      </c>
      <c r="E2" t="s">
        <v>498</v>
      </c>
      <c r="F2" t="s">
        <v>1058</v>
      </c>
      <c r="I2" s="225" t="s">
        <v>960</v>
      </c>
      <c r="Q2" t="s">
        <v>1071</v>
      </c>
    </row>
    <row r="3" spans="1:23">
      <c r="B3" t="s">
        <v>644</v>
      </c>
      <c r="C3" t="s">
        <v>1056</v>
      </c>
      <c r="D3" s="14" t="s">
        <v>170</v>
      </c>
      <c r="E3" t="s">
        <v>1055</v>
      </c>
      <c r="F3" t="s">
        <v>1057</v>
      </c>
      <c r="H3" t="s">
        <v>323</v>
      </c>
      <c r="I3" t="s">
        <v>170</v>
      </c>
      <c r="K3" t="s">
        <v>329</v>
      </c>
      <c r="L3" t="s">
        <v>745</v>
      </c>
      <c r="O3" t="s">
        <v>1067</v>
      </c>
      <c r="Q3" t="s">
        <v>1093</v>
      </c>
      <c r="R3" s="33" t="s">
        <v>1069</v>
      </c>
      <c r="S3" t="s">
        <v>1068</v>
      </c>
      <c r="T3" t="s">
        <v>1092</v>
      </c>
      <c r="U3" t="s">
        <v>1070</v>
      </c>
    </row>
    <row r="4" spans="1:23">
      <c r="A4">
        <v>2000</v>
      </c>
      <c r="N4">
        <v>2000</v>
      </c>
      <c r="O4" s="13">
        <f>'Norway EV uptake with subs'!H5</f>
        <v>1.2947720192725987E-3</v>
      </c>
      <c r="Q4" s="13"/>
      <c r="R4" s="72"/>
      <c r="W4">
        <v>2000</v>
      </c>
    </row>
    <row r="5" spans="1:23">
      <c r="A5">
        <v>2001</v>
      </c>
      <c r="N5">
        <v>2001</v>
      </c>
      <c r="O5" s="13">
        <f>'Norway EV uptake with subs'!H6</f>
        <v>2.5094145378495112E-3</v>
      </c>
      <c r="W5">
        <v>2001</v>
      </c>
    </row>
    <row r="6" spans="1:23">
      <c r="A6">
        <v>2002</v>
      </c>
      <c r="N6">
        <v>2002</v>
      </c>
      <c r="O6" s="13">
        <f>'Norway EV uptake with subs'!H7</f>
        <v>4.8634437857841203E-3</v>
      </c>
      <c r="Q6" s="13"/>
      <c r="R6" s="72"/>
      <c r="W6">
        <v>2002</v>
      </c>
    </row>
    <row r="7" spans="1:23">
      <c r="A7">
        <v>2003</v>
      </c>
      <c r="N7">
        <v>2003</v>
      </c>
      <c r="O7" s="13">
        <f>'Norway EV uptake with subs'!H8</f>
        <v>9.4254183688098226E-3</v>
      </c>
      <c r="Q7" s="13"/>
      <c r="R7" s="72"/>
      <c r="W7">
        <v>2003</v>
      </c>
    </row>
    <row r="8" spans="1:23">
      <c r="A8">
        <v>2004</v>
      </c>
      <c r="C8" s="84"/>
      <c r="N8">
        <v>2004</v>
      </c>
      <c r="O8" s="13">
        <f>'Norway EV uptake with subs'!H9</f>
        <v>1.8265382867910188E-2</v>
      </c>
      <c r="Q8" s="12"/>
      <c r="R8" s="72"/>
      <c r="S8" s="13"/>
      <c r="T8" s="84"/>
      <c r="U8" s="84">
        <f>AVERAGE(T9:T15)</f>
        <v>0.8571428571428571</v>
      </c>
      <c r="V8" s="84"/>
      <c r="W8">
        <v>2004</v>
      </c>
    </row>
    <row r="9" spans="1:23">
      <c r="A9">
        <v>2005</v>
      </c>
      <c r="B9" s="12">
        <f>'EV %sales'!Y3</f>
        <v>1.4690000000000001</v>
      </c>
      <c r="C9" s="84">
        <f t="shared" ref="C9:C14" si="0">B9/F9*100</f>
        <v>4.1633996954347852E-3</v>
      </c>
      <c r="D9" s="13">
        <f t="shared" ref="D9:D15" si="1">65*EXP(I9)/(1+EXP(I9))</f>
        <v>2.0827914516630151E-2</v>
      </c>
      <c r="E9" s="13"/>
      <c r="F9" s="3">
        <f>F10+F10-F11</f>
        <v>35283.664972420862</v>
      </c>
      <c r="I9">
        <f t="shared" ref="I9:I15" si="2">I$56+I$57*K9</f>
        <v>-8.0455279370353967</v>
      </c>
      <c r="K9">
        <v>-4</v>
      </c>
      <c r="L9">
        <v>0</v>
      </c>
      <c r="N9">
        <v>2005</v>
      </c>
      <c r="O9" s="13">
        <f>'Norway EV uptake with subs'!H10</f>
        <v>3.5391708155787099E-2</v>
      </c>
      <c r="Q9" s="12">
        <f>A10</f>
        <v>2006</v>
      </c>
      <c r="R9" s="72">
        <f t="shared" ref="R9:R27" si="3">Q9-A9</f>
        <v>1</v>
      </c>
      <c r="S9" s="13">
        <f>C10</f>
        <v>4.5329727620648788E-3</v>
      </c>
      <c r="T9" s="84">
        <f>R9-R8</f>
        <v>1</v>
      </c>
      <c r="U9" s="84">
        <f>AVERAGE(T10:T28)</f>
        <v>0.83029581440455569</v>
      </c>
      <c r="V9" s="84"/>
      <c r="W9">
        <v>2005</v>
      </c>
    </row>
    <row r="10" spans="1:23">
      <c r="A10">
        <v>2006</v>
      </c>
      <c r="B10" s="12">
        <f>'EV %sales'!Y4</f>
        <v>1.6996666666666669</v>
      </c>
      <c r="C10" s="84">
        <f t="shared" si="0"/>
        <v>4.5329727620648788E-3</v>
      </c>
      <c r="D10" s="13">
        <f t="shared" si="1"/>
        <v>3.0046929983012196E-2</v>
      </c>
      <c r="E10" s="13"/>
      <c r="F10" s="3">
        <f>F11+F11-F12</f>
        <v>37495.62937793669</v>
      </c>
      <c r="I10">
        <f t="shared" si="2"/>
        <v>-7.6789196894059168</v>
      </c>
      <c r="K10">
        <v>-3</v>
      </c>
      <c r="L10">
        <v>0</v>
      </c>
      <c r="N10">
        <v>2006</v>
      </c>
      <c r="O10" s="13">
        <f>'Norway EV uptake with subs'!H11</f>
        <v>6.8559392134657435E-2</v>
      </c>
      <c r="Q10" s="12">
        <f>A12+(O10-D12)/(D13/D12)</f>
        <v>2008.004187981144</v>
      </c>
      <c r="R10" s="72">
        <f t="shared" si="3"/>
        <v>2.004187981144014</v>
      </c>
      <c r="S10" s="13">
        <f>D12</f>
        <v>6.2519409142010068E-2</v>
      </c>
      <c r="T10" s="84">
        <f>R10-R9</f>
        <v>1.004187981144014</v>
      </c>
      <c r="U10" s="84">
        <f>U9</f>
        <v>0.83029581440455569</v>
      </c>
      <c r="V10" s="84"/>
      <c r="W10">
        <v>2006</v>
      </c>
    </row>
    <row r="11" spans="1:23">
      <c r="A11">
        <v>2007</v>
      </c>
      <c r="B11" s="12">
        <f>'EV %sales'!Y5</f>
        <v>1.9683333333333335</v>
      </c>
      <c r="C11" s="84">
        <f t="shared" si="0"/>
        <v>4.9570702875317615E-3</v>
      </c>
      <c r="D11" s="13">
        <f>65*EXP(I11)/(1+EXP(I11))</f>
        <v>4.3343816715103574E-2</v>
      </c>
      <c r="E11" s="13"/>
      <c r="F11" s="3">
        <f>F12+F12-F13</f>
        <v>39707.593783452518</v>
      </c>
      <c r="I11">
        <f t="shared" si="2"/>
        <v>-7.3123114417764361</v>
      </c>
      <c r="K11">
        <v>-2</v>
      </c>
      <c r="L11">
        <v>0</v>
      </c>
      <c r="N11">
        <v>2007</v>
      </c>
      <c r="O11" s="13">
        <f>'Norway EV uptake with subs'!H12</f>
        <v>0.13274697913279793</v>
      </c>
      <c r="Q11" s="12">
        <f>A14</f>
        <v>2010</v>
      </c>
      <c r="R11" s="72">
        <f t="shared" si="3"/>
        <v>3</v>
      </c>
      <c r="S11" s="13">
        <f>D14</f>
        <v>0.13001549147017241</v>
      </c>
      <c r="T11" s="84">
        <f t="shared" ref="T11:T27" si="4">R11-R10</f>
        <v>0.99581201885598603</v>
      </c>
      <c r="U11" s="84">
        <f>U10</f>
        <v>0.83029581440455569</v>
      </c>
      <c r="V11" s="84"/>
      <c r="W11">
        <v>2007</v>
      </c>
    </row>
    <row r="12" spans="1:23">
      <c r="A12">
        <v>2008</v>
      </c>
      <c r="B12" s="12">
        <f>'EV %sales'!Y6</f>
        <v>2.2050000000000001</v>
      </c>
      <c r="C12" s="84">
        <f t="shared" si="0"/>
        <v>5.2600745219215433E-3</v>
      </c>
      <c r="D12" s="13">
        <f t="shared" si="1"/>
        <v>6.2519409142010068E-2</v>
      </c>
      <c r="E12" s="13"/>
      <c r="F12" s="3">
        <f>F13+F13-F14</f>
        <v>41919.558188968345</v>
      </c>
      <c r="I12">
        <f t="shared" si="2"/>
        <v>-6.9457031941469562</v>
      </c>
      <c r="K12">
        <v>-1</v>
      </c>
      <c r="L12">
        <v>0</v>
      </c>
      <c r="N12">
        <v>2008</v>
      </c>
      <c r="O12" s="13">
        <f>'Norway EV uptake with subs'!H13</f>
        <v>0.2567914610014122</v>
      </c>
      <c r="Q12" s="12">
        <f>A15+(O12-D15)/(D16-D15)</f>
        <v>2011.839255903915</v>
      </c>
      <c r="R12" s="72">
        <f t="shared" si="3"/>
        <v>3.8392559039150456</v>
      </c>
      <c r="S12" s="13">
        <f>D16</f>
        <v>0.27007741817859471</v>
      </c>
      <c r="T12" s="84">
        <f t="shared" si="4"/>
        <v>0.83925590391504556</v>
      </c>
      <c r="U12" s="84">
        <f t="shared" ref="U12:U28" si="5">U11</f>
        <v>0.83029581440455569</v>
      </c>
      <c r="V12" s="84"/>
      <c r="W12">
        <v>2008</v>
      </c>
    </row>
    <row r="13" spans="1:23">
      <c r="A13">
        <v>2009</v>
      </c>
      <c r="B13" s="12">
        <f>'EV %sales'!Y7</f>
        <v>4.0134999999999996</v>
      </c>
      <c r="C13" s="84">
        <f t="shared" si="0"/>
        <v>9.0944063654437145E-3</v>
      </c>
      <c r="D13" s="13">
        <f t="shared" si="1"/>
        <v>9.0166635172873461E-2</v>
      </c>
      <c r="E13" s="13"/>
      <c r="F13" s="3">
        <f>'EV %sales'!BB50</f>
        <v>44131.522594484173</v>
      </c>
      <c r="I13">
        <f t="shared" si="2"/>
        <v>-6.5790949465174755</v>
      </c>
      <c r="K13">
        <v>0</v>
      </c>
      <c r="L13">
        <v>0</v>
      </c>
      <c r="N13">
        <v>2009</v>
      </c>
      <c r="O13" s="13">
        <f>'Norway EV uptake with subs'!H14</f>
        <v>0.49586237167526709</v>
      </c>
      <c r="Q13" s="12">
        <f>A17+0.5</f>
        <v>2013.5</v>
      </c>
      <c r="R13" s="72">
        <f t="shared" si="3"/>
        <v>4.5</v>
      </c>
      <c r="S13" s="13">
        <f>D18</f>
        <v>0.55972211714310749</v>
      </c>
      <c r="T13" s="84">
        <f t="shared" si="4"/>
        <v>0.66074409608495444</v>
      </c>
      <c r="U13" s="84">
        <f t="shared" si="5"/>
        <v>0.83029581440455569</v>
      </c>
      <c r="V13" s="84"/>
      <c r="W13">
        <v>2009</v>
      </c>
    </row>
    <row r="14" spans="1:23">
      <c r="A14">
        <v>2010</v>
      </c>
      <c r="B14" s="12">
        <f>'EV %sales'!Y8</f>
        <v>7.8619999999999983</v>
      </c>
      <c r="C14" s="84">
        <f t="shared" si="0"/>
        <v>1.6964627629336562E-2</v>
      </c>
      <c r="D14" s="13">
        <f t="shared" si="1"/>
        <v>0.13001549147017241</v>
      </c>
      <c r="E14" s="13"/>
      <c r="F14" s="3">
        <f>'EV %sales'!BB51</f>
        <v>46343.487000000001</v>
      </c>
      <c r="H14">
        <f>LN(C14/(65-C14))</f>
        <v>-8.2507510718928216</v>
      </c>
      <c r="I14">
        <f t="shared" si="2"/>
        <v>-6.2124866988879948</v>
      </c>
      <c r="K14">
        <v>1</v>
      </c>
      <c r="L14">
        <v>0</v>
      </c>
      <c r="N14">
        <v>2010</v>
      </c>
      <c r="O14" s="13">
        <f>'Norway EV uptake with subs'!H15</f>
        <v>0.95422607071705978</v>
      </c>
      <c r="Q14" s="12">
        <f>A19+(O14-D19)/(D20-D19)</f>
        <v>2015.4278135496465</v>
      </c>
      <c r="R14" s="72">
        <f t="shared" si="3"/>
        <v>5.4278135496465438</v>
      </c>
      <c r="S14" s="13">
        <f>D19</f>
        <v>0.80451745358244764</v>
      </c>
      <c r="T14" s="84">
        <f>R14-R13</f>
        <v>0.92781354964654383</v>
      </c>
      <c r="U14" s="84">
        <f t="shared" si="5"/>
        <v>0.83029581440455569</v>
      </c>
      <c r="V14" s="84"/>
      <c r="W14">
        <v>2010</v>
      </c>
    </row>
    <row r="15" spans="1:23">
      <c r="A15">
        <v>2011</v>
      </c>
      <c r="B15" s="3">
        <f>'EV %sales'!Y9</f>
        <v>49.589500000000001</v>
      </c>
      <c r="C15" s="84">
        <f t="shared" ref="C15:C20" si="6">B15/F15*100</f>
        <v>0.10234351891729328</v>
      </c>
      <c r="D15" s="13">
        <f t="shared" si="1"/>
        <v>0.18742457119529951</v>
      </c>
      <c r="E15" s="13">
        <f>'Bloomberg EV% sales'!E5</f>
        <v>0.11839474699267491</v>
      </c>
      <c r="F15" s="3">
        <f>'EV %sales'!BB52</f>
        <v>48453.972000000016</v>
      </c>
      <c r="H15">
        <f t="shared" ref="H15:H21" si="7">LN(C15/(65-C15))</f>
        <v>-6.4522318049899381</v>
      </c>
      <c r="I15">
        <f t="shared" si="2"/>
        <v>-5.8458784512585149</v>
      </c>
      <c r="K15">
        <v>2</v>
      </c>
      <c r="L15">
        <v>0</v>
      </c>
      <c r="N15">
        <v>2011</v>
      </c>
      <c r="O15" s="13">
        <f>'Norway EV uptake with subs'!H16</f>
        <v>1.8243074485334112</v>
      </c>
      <c r="Q15" s="12">
        <f>A21</f>
        <v>2017</v>
      </c>
      <c r="R15" s="72">
        <f>Q15-A15</f>
        <v>6</v>
      </c>
      <c r="S15" s="13">
        <f>D21</f>
        <v>1.6526887347117452</v>
      </c>
      <c r="T15" s="84">
        <f>R15-R14</f>
        <v>0.57218645035345617</v>
      </c>
      <c r="U15" s="84">
        <f t="shared" si="5"/>
        <v>0.83029581440455569</v>
      </c>
      <c r="V15" s="84"/>
      <c r="W15">
        <v>2011</v>
      </c>
    </row>
    <row r="16" spans="1:23">
      <c r="A16">
        <v>2012</v>
      </c>
      <c r="B16" s="3">
        <f>'EV %sales'!Y10</f>
        <v>121.72914285714286</v>
      </c>
      <c r="C16" s="84">
        <f t="shared" si="6"/>
        <v>0.23522435592921317</v>
      </c>
      <c r="D16" s="13">
        <f t="shared" ref="D16:D54" si="8">65*EXP(I16)/(1+EXP(I16))</f>
        <v>0.27007741817859471</v>
      </c>
      <c r="E16" s="13">
        <f>'Bloomberg EV% sales'!E6</f>
        <v>0.20339482987838917</v>
      </c>
      <c r="F16" s="3">
        <f>'EV %sales'!BB53</f>
        <v>51750.228999999985</v>
      </c>
      <c r="H16">
        <f t="shared" si="7"/>
        <v>-5.6179773840205085</v>
      </c>
      <c r="I16">
        <f t="shared" ref="I16:I54" si="9">I$56+I$57*K16</f>
        <v>-5.4792702036290342</v>
      </c>
      <c r="K16">
        <v>3</v>
      </c>
      <c r="L16">
        <v>0</v>
      </c>
      <c r="N16">
        <v>2012</v>
      </c>
      <c r="O16" s="13">
        <f>'Norway EV uptake with subs'!H17</f>
        <v>3.4450702320769109</v>
      </c>
      <c r="Q16" s="21">
        <f>Q15+(Q18-Q15)/3</f>
        <v>2018.888528244303</v>
      </c>
      <c r="R16" s="72">
        <f t="shared" si="3"/>
        <v>6.888528244302961</v>
      </c>
      <c r="S16" s="12">
        <f>D23</f>
        <v>3.34841299651052</v>
      </c>
      <c r="T16" s="84">
        <f t="shared" si="4"/>
        <v>0.88852824430296096</v>
      </c>
      <c r="U16" s="84">
        <f t="shared" si="5"/>
        <v>0.83029581440455569</v>
      </c>
      <c r="V16" s="84"/>
      <c r="W16">
        <v>2012</v>
      </c>
    </row>
    <row r="17" spans="1:23">
      <c r="A17">
        <v>2013</v>
      </c>
      <c r="B17" s="3">
        <f>'EV %sales'!Y11</f>
        <v>207.839</v>
      </c>
      <c r="C17" s="84">
        <f t="shared" si="6"/>
        <v>0.38403986642724675</v>
      </c>
      <c r="D17" s="13">
        <f t="shared" si="8"/>
        <v>0.38896081441691255</v>
      </c>
      <c r="E17" s="13">
        <f>'Bloomberg EV% sales'!E7</f>
        <v>0.34909135870790725</v>
      </c>
      <c r="F17" s="3">
        <f>'EV %sales'!BB54</f>
        <v>54119.120999999992</v>
      </c>
      <c r="H17">
        <f t="shared" si="7"/>
        <v>-5.1254703541275148</v>
      </c>
      <c r="I17" s="14">
        <f>I$56+I$57*K17</f>
        <v>-5.1126619559995534</v>
      </c>
      <c r="K17" s="14">
        <v>4</v>
      </c>
      <c r="L17" s="14">
        <v>0</v>
      </c>
      <c r="N17">
        <v>2013</v>
      </c>
      <c r="O17" s="13">
        <f>'Norway EV uptake with subs'!H18</f>
        <v>6.3607835641863382</v>
      </c>
      <c r="Q17" s="21">
        <f>Q16+(Q18-Q15)/3</f>
        <v>2020.7770564886059</v>
      </c>
      <c r="R17" s="72">
        <f t="shared" si="3"/>
        <v>7.7770564886059219</v>
      </c>
      <c r="S17" s="12">
        <f>D25</f>
        <v>6.6026704862246941</v>
      </c>
      <c r="T17" s="84">
        <f t="shared" si="4"/>
        <v>0.88852824430296096</v>
      </c>
      <c r="U17" s="84">
        <f t="shared" si="5"/>
        <v>0.83029581440455569</v>
      </c>
      <c r="V17" s="84"/>
      <c r="W17">
        <v>2013</v>
      </c>
    </row>
    <row r="18" spans="1:23">
      <c r="A18">
        <v>2014</v>
      </c>
      <c r="B18" s="3">
        <f>'EV %sales'!Y12</f>
        <v>329.34099999999995</v>
      </c>
      <c r="C18" s="84">
        <f t="shared" si="6"/>
        <v>0.57247293705754376</v>
      </c>
      <c r="D18" s="13">
        <f t="shared" si="8"/>
        <v>0.55972211714310749</v>
      </c>
      <c r="E18" s="13">
        <f>'Bloomberg EV% sales'!E8</f>
        <v>0.59819027181098239</v>
      </c>
      <c r="F18" s="3">
        <f>'EV %sales'!BB55</f>
        <v>57529.531735208526</v>
      </c>
      <c r="H18">
        <f t="shared" si="7"/>
        <v>-4.7233307968361888</v>
      </c>
      <c r="I18" s="14">
        <f t="shared" si="9"/>
        <v>-4.7460537083700736</v>
      </c>
      <c r="K18" s="14">
        <v>5</v>
      </c>
      <c r="L18" s="14">
        <v>0</v>
      </c>
      <c r="N18">
        <v>2014</v>
      </c>
      <c r="O18" s="13">
        <f>'Norway EV uptake with subs'!H19</f>
        <v>11.291522864493412</v>
      </c>
      <c r="Q18" s="12">
        <f>A26+(O18-D26)/(D27-D26)</f>
        <v>2022.6655847329091</v>
      </c>
      <c r="R18" s="72">
        <f t="shared" si="3"/>
        <v>8.6655847329091102</v>
      </c>
      <c r="S18" s="12">
        <f>D27</f>
        <v>12.384355469332712</v>
      </c>
      <c r="T18" s="84">
        <f t="shared" si="4"/>
        <v>0.88852824430318833</v>
      </c>
      <c r="U18" s="84">
        <f t="shared" si="5"/>
        <v>0.83029581440455569</v>
      </c>
      <c r="V18" s="84"/>
      <c r="W18">
        <v>2014</v>
      </c>
    </row>
    <row r="19" spans="1:23">
      <c r="A19">
        <v>2015</v>
      </c>
      <c r="B19" s="3">
        <f>'EV %sales'!Y13</f>
        <v>553.76499999999999</v>
      </c>
      <c r="C19" s="84">
        <f t="shared" si="6"/>
        <v>0.90247796151091464</v>
      </c>
      <c r="D19" s="13">
        <f t="shared" si="8"/>
        <v>0.80451745358244764</v>
      </c>
      <c r="E19" s="13">
        <f>'Bloomberg EV% sales'!E9</f>
        <v>1.0222266627320407</v>
      </c>
      <c r="F19" s="3">
        <f>'EV %sales'!BB56</f>
        <v>61360.501155385027</v>
      </c>
      <c r="H19">
        <f t="shared" si="7"/>
        <v>-4.2630167138852615</v>
      </c>
      <c r="I19" s="14">
        <f t="shared" si="9"/>
        <v>-4.3794454607405928</v>
      </c>
      <c r="K19" s="14">
        <v>6</v>
      </c>
      <c r="L19" s="14">
        <v>1</v>
      </c>
      <c r="N19">
        <v>2015</v>
      </c>
      <c r="O19" s="13">
        <f>'Norway EV uptake with subs'!H20</f>
        <v>18.81788217034801</v>
      </c>
      <c r="Q19" s="21">
        <f>Q18+(Q21-Q18)/3</f>
        <v>2024.4808858512811</v>
      </c>
      <c r="R19" s="72">
        <f t="shared" si="3"/>
        <v>9.480885851281073</v>
      </c>
      <c r="S19" s="12">
        <f>D29</f>
        <v>21.375651040598999</v>
      </c>
      <c r="T19" s="84">
        <f t="shared" si="4"/>
        <v>0.81530111837196273</v>
      </c>
      <c r="U19" s="84">
        <f t="shared" si="5"/>
        <v>0.83029581440455569</v>
      </c>
      <c r="V19" s="84"/>
      <c r="W19">
        <v>2015</v>
      </c>
    </row>
    <row r="20" spans="1:23">
      <c r="A20">
        <v>2016</v>
      </c>
      <c r="B20" s="3">
        <f>'EV %sales'!Y14</f>
        <v>752.62650000000008</v>
      </c>
      <c r="C20" s="84">
        <f t="shared" si="6"/>
        <v>1.1362386310898671</v>
      </c>
      <c r="D20" s="13">
        <f t="shared" si="8"/>
        <v>1.1544563866954389</v>
      </c>
      <c r="E20" s="13">
        <f>'Bloomberg EV% sales'!E10</f>
        <v>1.3011396948522056</v>
      </c>
      <c r="F20" s="3">
        <f>'EV %sales'!BB57</f>
        <v>66238.418533445685</v>
      </c>
      <c r="H20">
        <f t="shared" si="7"/>
        <v>-4.0290287249675529</v>
      </c>
      <c r="I20" s="14">
        <f t="shared" si="9"/>
        <v>-4.0128372131111121</v>
      </c>
      <c r="K20" s="14">
        <v>7</v>
      </c>
      <c r="L20" s="14">
        <v>0</v>
      </c>
      <c r="N20">
        <v>2016</v>
      </c>
      <c r="O20" s="13">
        <f>'Norway EV uptake with subs'!H21</f>
        <v>28.681875004731538</v>
      </c>
      <c r="Q20" s="21">
        <f>Q19+(Q21-Q18)/3</f>
        <v>2026.296186969653</v>
      </c>
      <c r="R20" s="72">
        <f t="shared" si="3"/>
        <v>10.296186969653036</v>
      </c>
      <c r="S20" s="12">
        <f>D30</f>
        <v>26.921024619852549</v>
      </c>
      <c r="T20" s="84">
        <f t="shared" si="4"/>
        <v>0.81530111837196273</v>
      </c>
      <c r="U20" s="84">
        <f t="shared" si="5"/>
        <v>0.83029581440455569</v>
      </c>
      <c r="V20" s="84"/>
      <c r="W20">
        <v>2016</v>
      </c>
    </row>
    <row r="21" spans="1:23">
      <c r="A21">
        <v>2017</v>
      </c>
      <c r="B21" s="3">
        <f>'EV %sales'!Y15</f>
        <v>1161.08</v>
      </c>
      <c r="C21" s="84">
        <f>B21/F21*100</f>
        <v>1.6633518305579627</v>
      </c>
      <c r="D21" s="13">
        <f t="shared" si="8"/>
        <v>1.6526887347117452</v>
      </c>
      <c r="E21" s="13">
        <f>'Bloomberg EV% sales'!E11</f>
        <v>1.6541860949663403</v>
      </c>
      <c r="F21" s="3">
        <f>'EV %sales'!BB58</f>
        <v>69803.632561039209</v>
      </c>
      <c r="H21">
        <f t="shared" si="7"/>
        <v>-3.6396293800308035</v>
      </c>
      <c r="I21" s="14">
        <f t="shared" si="9"/>
        <v>-3.6462289654816318</v>
      </c>
      <c r="K21" s="14">
        <v>8</v>
      </c>
      <c r="L21" s="14">
        <v>0</v>
      </c>
      <c r="N21">
        <v>2017</v>
      </c>
      <c r="O21" s="13">
        <f>'Norway EV uptake with subs'!H22</f>
        <v>39.314736357294422</v>
      </c>
      <c r="Q21" s="12">
        <f>A32+(O21-D32)/(D33-D32)</f>
        <v>2028.1114880880248</v>
      </c>
      <c r="R21" s="72">
        <f t="shared" si="3"/>
        <v>11.111488088024771</v>
      </c>
      <c r="S21" s="12">
        <f>D32</f>
        <v>38.702992269121204</v>
      </c>
      <c r="T21" s="84">
        <f t="shared" si="4"/>
        <v>0.81530111837173536</v>
      </c>
      <c r="U21" s="84">
        <f t="shared" si="5"/>
        <v>0.83029581440455569</v>
      </c>
      <c r="V21" s="84"/>
      <c r="W21">
        <v>2017</v>
      </c>
    </row>
    <row r="22" spans="1:23">
      <c r="A22">
        <v>2018</v>
      </c>
      <c r="B22" s="3">
        <f>F22*D22/100</f>
        <v>1678.2636134177935</v>
      </c>
      <c r="D22" s="13">
        <f t="shared" si="8"/>
        <v>2.3580033170782158</v>
      </c>
      <c r="E22" s="13">
        <f>'Bloomberg EV% sales'!E12</f>
        <v>2.0998688777309225</v>
      </c>
      <c r="F22" s="3">
        <f>F21*F$61</f>
        <v>71173.081109034116</v>
      </c>
      <c r="I22">
        <f t="shared" si="9"/>
        <v>-3.2796207178521515</v>
      </c>
      <c r="K22">
        <v>9</v>
      </c>
      <c r="L22">
        <v>0</v>
      </c>
      <c r="N22">
        <v>2018</v>
      </c>
      <c r="O22" s="13">
        <f>'Norway EV uptake with subs'!H23</f>
        <v>48.613157762113936</v>
      </c>
      <c r="Q22" s="21">
        <f>Q21+(Q25-Q21)/4</f>
        <v>2029.9247596327828</v>
      </c>
      <c r="R22" s="72">
        <f t="shared" si="3"/>
        <v>11.924759632782752</v>
      </c>
      <c r="S22" s="12">
        <f>D34</f>
        <v>49.005387010926725</v>
      </c>
      <c r="T22" s="84">
        <f t="shared" si="4"/>
        <v>0.81327154475798125</v>
      </c>
      <c r="U22" s="84">
        <f t="shared" si="5"/>
        <v>0.83029581440455569</v>
      </c>
      <c r="V22" s="84"/>
      <c r="W22">
        <v>2018</v>
      </c>
    </row>
    <row r="23" spans="1:23">
      <c r="A23">
        <v>2019</v>
      </c>
      <c r="B23" s="3">
        <f>F23*D23/100</f>
        <v>2429.9230972231339</v>
      </c>
      <c r="D23" s="13">
        <f t="shared" si="8"/>
        <v>3.34841299651052</v>
      </c>
      <c r="E23" s="13">
        <f>'Bloomberg EV% sales'!E13</f>
        <v>2.6605872985799923</v>
      </c>
      <c r="F23" s="3">
        <f t="shared" ref="F23:F43" si="10">F22*F$61</f>
        <v>72569.39630073795</v>
      </c>
      <c r="I23">
        <f t="shared" si="9"/>
        <v>-2.9130124702226707</v>
      </c>
      <c r="K23">
        <v>10</v>
      </c>
      <c r="L23">
        <v>0</v>
      </c>
      <c r="N23">
        <v>2019</v>
      </c>
      <c r="O23" s="13">
        <f>'Norway EV uptake with subs'!H24</f>
        <v>55.369953598215368</v>
      </c>
      <c r="Q23" s="21">
        <f>Q22+(Q25-Q21)/4</f>
        <v>2031.7380311775407</v>
      </c>
      <c r="R23" s="72">
        <f t="shared" si="3"/>
        <v>12.738031177540734</v>
      </c>
      <c r="S23" s="12">
        <f>D36</f>
        <v>56.190330401607504</v>
      </c>
      <c r="T23" s="84">
        <f t="shared" si="4"/>
        <v>0.81327154475798125</v>
      </c>
      <c r="U23" s="84">
        <f t="shared" si="5"/>
        <v>0.83029581440455569</v>
      </c>
      <c r="V23" s="84"/>
      <c r="W23">
        <v>2019</v>
      </c>
    </row>
    <row r="24" spans="1:23">
      <c r="A24">
        <v>2020</v>
      </c>
      <c r="B24" s="3">
        <f t="shared" ref="B24:B54" si="11">F24*D24/100</f>
        <v>3495.0255518977292</v>
      </c>
      <c r="D24" s="13">
        <f t="shared" si="8"/>
        <v>4.7234475988346576</v>
      </c>
      <c r="E24" s="13">
        <f>'Bloomberg EV% sales'!E14</f>
        <v>3.363026530871728</v>
      </c>
      <c r="F24" s="3">
        <f t="shared" si="10"/>
        <v>73993.105221702936</v>
      </c>
      <c r="I24">
        <f t="shared" si="9"/>
        <v>-2.54640422259319</v>
      </c>
      <c r="K24">
        <v>11</v>
      </c>
      <c r="L24">
        <v>0</v>
      </c>
      <c r="N24">
        <v>2020</v>
      </c>
      <c r="O24" s="13">
        <f>'Norway EV uptake with subs'!H25</f>
        <v>59.647470933153592</v>
      </c>
      <c r="Q24" s="21">
        <f>Q23+(Q25-Q21)/4</f>
        <v>2033.5513027222987</v>
      </c>
      <c r="R24" s="72">
        <f t="shared" si="3"/>
        <v>13.551302722298715</v>
      </c>
      <c r="S24" s="12">
        <f>D38</f>
        <v>60.447553162190509</v>
      </c>
      <c r="T24" s="84">
        <f t="shared" si="4"/>
        <v>0.81327154475798125</v>
      </c>
      <c r="U24" s="84">
        <f t="shared" si="5"/>
        <v>0.83029581440455569</v>
      </c>
      <c r="V24" s="84"/>
      <c r="W24">
        <v>2020</v>
      </c>
    </row>
    <row r="25" spans="1:23">
      <c r="A25">
        <v>2021</v>
      </c>
      <c r="B25" s="3">
        <f t="shared" si="11"/>
        <v>4981.3679312086324</v>
      </c>
      <c r="D25" s="13">
        <f t="shared" si="8"/>
        <v>6.6026704862246941</v>
      </c>
      <c r="E25" s="13">
        <f>'Bloomberg EV% sales'!E15</f>
        <v>4.23831268671566</v>
      </c>
      <c r="F25" s="3">
        <f t="shared" si="10"/>
        <v>75444.74529815439</v>
      </c>
      <c r="I25">
        <f t="shared" si="9"/>
        <v>-2.1797959749637101</v>
      </c>
      <c r="K25">
        <v>12</v>
      </c>
      <c r="L25">
        <v>0</v>
      </c>
      <c r="N25">
        <v>2021</v>
      </c>
      <c r="O25" s="13">
        <f>'Norway EV uptake with subs'!H26</f>
        <v>62.123681562857406</v>
      </c>
      <c r="Q25" s="12">
        <f>A39+(O25-D39)/(D40-D39)</f>
        <v>2035.3645742670569</v>
      </c>
      <c r="R25" s="72">
        <f t="shared" si="3"/>
        <v>14.364574267056923</v>
      </c>
      <c r="S25" s="12">
        <f>D40</f>
        <v>62.73058653479324</v>
      </c>
      <c r="T25" s="84">
        <f t="shared" si="4"/>
        <v>0.81327154475820862</v>
      </c>
      <c r="U25" s="84">
        <f t="shared" si="5"/>
        <v>0.83029581440455569</v>
      </c>
      <c r="V25" s="84"/>
      <c r="W25">
        <v>2021</v>
      </c>
    </row>
    <row r="26" spans="1:23">
      <c r="A26">
        <v>2022</v>
      </c>
      <c r="B26" s="3">
        <f t="shared" si="11"/>
        <v>7012.8280247461262</v>
      </c>
      <c r="D26" s="13">
        <f t="shared" si="8"/>
        <v>9.1164645792244201</v>
      </c>
      <c r="E26" s="13">
        <f>'Bloomberg EV% sales'!E16</f>
        <v>5.3217383017299937</v>
      </c>
      <c r="F26" s="3">
        <f t="shared" si="10"/>
        <v>76924.864499860094</v>
      </c>
      <c r="I26">
        <f t="shared" si="9"/>
        <v>-1.8131877273342294</v>
      </c>
      <c r="K26">
        <v>13</v>
      </c>
      <c r="L26">
        <v>0</v>
      </c>
      <c r="N26">
        <v>2022</v>
      </c>
      <c r="O26" s="13">
        <f>'Norway EV uptake with subs'!H27</f>
        <v>63.483462457791383</v>
      </c>
      <c r="Q26" s="21">
        <f>(Q25+Q27)/2</f>
        <v>2037.1822871335285</v>
      </c>
      <c r="R26" s="72">
        <f t="shared" si="3"/>
        <v>15.182287133528462</v>
      </c>
      <c r="S26" s="12">
        <f>D42</f>
        <v>63.889717815656091</v>
      </c>
      <c r="T26" s="84">
        <f t="shared" si="4"/>
        <v>0.81771286647153829</v>
      </c>
      <c r="U26" s="84">
        <f t="shared" si="5"/>
        <v>0.83029581440455569</v>
      </c>
      <c r="V26" s="84"/>
      <c r="W26">
        <v>2022</v>
      </c>
    </row>
    <row r="27" spans="1:23">
      <c r="A27">
        <v>2023</v>
      </c>
      <c r="B27" s="3">
        <f t="shared" si="11"/>
        <v>9713.5480372709771</v>
      </c>
      <c r="D27" s="13">
        <f t="shared" si="8"/>
        <v>12.384355469332712</v>
      </c>
      <c r="E27" s="13">
        <f>'Bloomberg EV% sales'!E17</f>
        <v>6.6517973958262981</v>
      </c>
      <c r="F27" s="3">
        <f t="shared" si="10"/>
        <v>78434.021546979682</v>
      </c>
      <c r="I27">
        <f t="shared" si="9"/>
        <v>-1.4465794797047486</v>
      </c>
      <c r="K27">
        <v>14</v>
      </c>
      <c r="L27">
        <v>0</v>
      </c>
      <c r="N27">
        <v>2023</v>
      </c>
      <c r="O27" s="13">
        <f>'Norway EV uptake with subs'!H28</f>
        <v>64.208595508841753</v>
      </c>
      <c r="Q27" s="12">
        <f>A43</f>
        <v>2039</v>
      </c>
      <c r="R27" s="72">
        <f t="shared" si="3"/>
        <v>16</v>
      </c>
      <c r="S27" s="12">
        <f>D43</f>
        <v>64.226428898413403</v>
      </c>
      <c r="T27" s="84">
        <f t="shared" si="4"/>
        <v>0.81771286647153829</v>
      </c>
      <c r="U27" s="84">
        <f t="shared" si="5"/>
        <v>0.83029581440455569</v>
      </c>
      <c r="V27" s="84"/>
      <c r="W27">
        <v>2023</v>
      </c>
    </row>
    <row r="28" spans="1:23">
      <c r="A28">
        <v>2024</v>
      </c>
      <c r="B28" s="3">
        <f t="shared" si="11"/>
        <v>13178.111590061797</v>
      </c>
      <c r="D28" s="13">
        <f t="shared" si="8"/>
        <v>16.478244949635386</v>
      </c>
      <c r="E28" s="13">
        <f>'Bloomberg EV% sales'!E18</f>
        <v>8.268221622396533</v>
      </c>
      <c r="F28" s="3">
        <f t="shared" si="10"/>
        <v>79972.78612097213</v>
      </c>
      <c r="I28">
        <f t="shared" si="9"/>
        <v>-1.0799712320752688</v>
      </c>
      <c r="K28">
        <v>15</v>
      </c>
      <c r="L28">
        <v>0</v>
      </c>
      <c r="N28">
        <v>2024</v>
      </c>
      <c r="O28" s="13">
        <f>'Norway EV uptake with subs'!H29</f>
        <v>64.589249257811147</v>
      </c>
      <c r="Q28" s="12">
        <f>A44+(O28-D44)/(D45-D44)</f>
        <v>2040.7756204736866</v>
      </c>
      <c r="R28" s="72">
        <f>Q28-A28</f>
        <v>16.775620473686558</v>
      </c>
      <c r="S28" s="12">
        <f>D44</f>
        <v>64.461886934023255</v>
      </c>
      <c r="T28" s="84">
        <f>R28-R27</f>
        <v>0.7756204736865584</v>
      </c>
      <c r="U28" s="84">
        <f t="shared" si="5"/>
        <v>0.83029581440455569</v>
      </c>
      <c r="V28" s="84"/>
      <c r="W28">
        <v>2024</v>
      </c>
    </row>
    <row r="29" spans="1:23">
      <c r="A29">
        <v>2025</v>
      </c>
      <c r="B29" s="3">
        <f t="shared" si="11"/>
        <v>17430.07759809979</v>
      </c>
      <c r="D29" s="13">
        <f t="shared" si="8"/>
        <v>21.375651040598999</v>
      </c>
      <c r="E29" s="13">
        <f>'Bloomberg EV% sales'!E19</f>
        <v>10.208720913931371</v>
      </c>
      <c r="F29" s="3">
        <f t="shared" si="10"/>
        <v>81541.739079640945</v>
      </c>
      <c r="I29">
        <f t="shared" si="9"/>
        <v>-0.71336298444578805</v>
      </c>
      <c r="K29">
        <v>16</v>
      </c>
      <c r="L29">
        <v>0</v>
      </c>
      <c r="N29">
        <v>2025</v>
      </c>
      <c r="O29" s="13">
        <f>'Norway EV uptake with subs'!H30</f>
        <v>64.78742039856111</v>
      </c>
      <c r="S29" s="12"/>
      <c r="T29" s="72"/>
      <c r="U29" s="72"/>
      <c r="V29" s="72"/>
      <c r="W29">
        <v>2025</v>
      </c>
    </row>
    <row r="30" spans="1:23">
      <c r="A30">
        <v>2026</v>
      </c>
      <c r="B30" s="3">
        <f t="shared" si="11"/>
        <v>22382.536328521142</v>
      </c>
      <c r="D30" s="13">
        <f t="shared" si="8"/>
        <v>26.921024619852549</v>
      </c>
      <c r="E30" s="13">
        <f>'Bloomberg EV% sales'!E20</f>
        <v>12.504263250870965</v>
      </c>
      <c r="F30" s="3">
        <f t="shared" si="10"/>
        <v>83141.472676398218</v>
      </c>
      <c r="I30">
        <f t="shared" si="9"/>
        <v>-0.34675473681630731</v>
      </c>
      <c r="K30">
        <v>17</v>
      </c>
      <c r="L30">
        <v>0</v>
      </c>
      <c r="N30">
        <v>2026</v>
      </c>
      <c r="O30" s="13">
        <f>'Norway EV uptake with subs'!H31</f>
        <v>64.890144344344137</v>
      </c>
      <c r="S30" s="12"/>
      <c r="T30" s="72"/>
      <c r="U30" s="72"/>
      <c r="V30" s="72"/>
      <c r="W30">
        <v>2026</v>
      </c>
    </row>
    <row r="31" spans="1:23">
      <c r="A31">
        <v>2027</v>
      </c>
      <c r="B31" s="3">
        <f t="shared" si="11"/>
        <v>27824.57597323948</v>
      </c>
      <c r="D31" s="13">
        <f t="shared" si="8"/>
        <v>32.822608954104034</v>
      </c>
      <c r="E31" s="13">
        <f>'Bloomberg EV% sales'!E21</f>
        <v>15.173041135108541</v>
      </c>
      <c r="F31" s="3">
        <f t="shared" si="10"/>
        <v>84772.590783830383</v>
      </c>
      <c r="I31">
        <f t="shared" si="9"/>
        <v>1.9853510813172548E-2</v>
      </c>
      <c r="K31">
        <v>18</v>
      </c>
      <c r="L31">
        <v>0</v>
      </c>
      <c r="N31">
        <v>2027</v>
      </c>
      <c r="O31" s="13">
        <f>'Norway EV uptake with subs'!H32</f>
        <v>64.943272893507597</v>
      </c>
      <c r="S31" s="12"/>
      <c r="T31" s="94"/>
      <c r="U31" s="94"/>
      <c r="V31" s="94"/>
      <c r="W31">
        <v>2027</v>
      </c>
    </row>
    <row r="32" spans="1:23">
      <c r="A32">
        <v>2028</v>
      </c>
      <c r="B32" s="3">
        <f t="shared" si="11"/>
        <v>33453.205819112271</v>
      </c>
      <c r="D32" s="13">
        <f t="shared" si="8"/>
        <v>38.702992269121204</v>
      </c>
      <c r="E32" s="13">
        <f>'Bloomberg EV% sales'!E22</f>
        <v>18.213789265329375</v>
      </c>
      <c r="F32" s="3">
        <f t="shared" si="10"/>
        <v>86435.709121649954</v>
      </c>
      <c r="I32">
        <f t="shared" si="9"/>
        <v>0.38646175844265329</v>
      </c>
      <c r="K32">
        <v>19</v>
      </c>
      <c r="L32">
        <v>0</v>
      </c>
      <c r="N32">
        <v>2028</v>
      </c>
      <c r="O32" s="13">
        <f>'Norway EV uptake with subs'!H33</f>
        <v>64.970718932031488</v>
      </c>
      <c r="S32" s="12"/>
      <c r="T32" s="72"/>
      <c r="U32" s="72"/>
      <c r="V32" s="72"/>
      <c r="W32">
        <v>2028</v>
      </c>
    </row>
    <row r="33" spans="1:23">
      <c r="A33">
        <v>2029</v>
      </c>
      <c r="B33" s="3">
        <f t="shared" si="11"/>
        <v>38945.354110679938</v>
      </c>
      <c r="D33" s="13">
        <f t="shared" si="8"/>
        <v>44.190072539410274</v>
      </c>
      <c r="E33" s="13">
        <f>'Bloomberg EV% sales'!E23</f>
        <v>21.599754061996634</v>
      </c>
      <c r="F33" s="3">
        <f t="shared" si="10"/>
        <v>88131.455489119398</v>
      </c>
      <c r="I33">
        <f t="shared" si="9"/>
        <v>0.75307000607213403</v>
      </c>
      <c r="K33">
        <v>20</v>
      </c>
      <c r="L33">
        <v>0</v>
      </c>
      <c r="N33">
        <v>2029</v>
      </c>
      <c r="O33" s="13">
        <f>'Norway EV uptake with subs'!H34</f>
        <v>64.984888958391409</v>
      </c>
      <c r="S33" s="12"/>
      <c r="T33" s="72"/>
      <c r="U33" s="72"/>
      <c r="V33" s="72"/>
      <c r="W33">
        <v>2029</v>
      </c>
    </row>
    <row r="34" spans="1:23">
      <c r="A34">
        <v>2030</v>
      </c>
      <c r="B34" s="3">
        <f t="shared" si="11"/>
        <v>44036.471094334876</v>
      </c>
      <c r="C34" s="3"/>
      <c r="D34" s="13">
        <f t="shared" si="8"/>
        <v>49.005387010926725</v>
      </c>
      <c r="E34" s="13">
        <f>'Bloomberg EV% sales'!E24</f>
        <v>25.275125845132223</v>
      </c>
      <c r="F34" s="3">
        <f t="shared" si="10"/>
        <v>89860.470002034825</v>
      </c>
      <c r="I34">
        <f t="shared" si="9"/>
        <v>1.1196782537016139</v>
      </c>
      <c r="K34">
        <v>21</v>
      </c>
      <c r="L34">
        <v>0</v>
      </c>
      <c r="N34">
        <v>2030</v>
      </c>
      <c r="O34" s="13">
        <f>'Norway EV uptake with subs'!H35</f>
        <v>64.992202487941555</v>
      </c>
      <c r="S34" s="12"/>
      <c r="T34" s="72"/>
      <c r="U34" s="72"/>
      <c r="V34" s="72"/>
      <c r="W34">
        <v>2030</v>
      </c>
    </row>
    <row r="35" spans="1:23">
      <c r="A35">
        <v>2031</v>
      </c>
      <c r="B35" s="3">
        <f t="shared" si="11"/>
        <v>48568.482123619404</v>
      </c>
      <c r="D35" s="13">
        <f t="shared" si="8"/>
        <v>53.008815756606822</v>
      </c>
      <c r="E35" s="13">
        <f>'Bloomberg EV% sales'!E25</f>
        <v>29.155759531720811</v>
      </c>
      <c r="F35" s="3">
        <f t="shared" si="10"/>
        <v>91623.405334358948</v>
      </c>
      <c r="I35">
        <f t="shared" si="9"/>
        <v>1.4862865013310955</v>
      </c>
      <c r="K35">
        <v>22</v>
      </c>
      <c r="L35">
        <v>0</v>
      </c>
      <c r="N35">
        <v>2031</v>
      </c>
      <c r="O35">
        <v>65</v>
      </c>
      <c r="S35" s="12"/>
      <c r="T35" s="94"/>
      <c r="U35" s="94"/>
      <c r="V35" s="94"/>
      <c r="W35">
        <v>2031</v>
      </c>
    </row>
    <row r="36" spans="1:23">
      <c r="A36">
        <v>2032</v>
      </c>
      <c r="B36" s="3">
        <f t="shared" si="11"/>
        <v>52493.527525650126</v>
      </c>
      <c r="D36" s="13">
        <f t="shared" si="8"/>
        <v>56.190330401607504</v>
      </c>
      <c r="E36" s="13">
        <f>'Bloomberg EV% sales'!E26</f>
        <v>33.135228387777133</v>
      </c>
      <c r="F36" s="3">
        <f t="shared" si="10"/>
        <v>93420.926964594561</v>
      </c>
      <c r="I36">
        <f t="shared" si="9"/>
        <v>1.8528947489605745</v>
      </c>
      <c r="K36">
        <v>23</v>
      </c>
      <c r="L36">
        <v>0</v>
      </c>
      <c r="N36">
        <v>2032</v>
      </c>
      <c r="O36">
        <v>65</v>
      </c>
      <c r="S36" s="12"/>
      <c r="T36" s="72"/>
      <c r="U36" s="72"/>
      <c r="V36" s="72"/>
      <c r="W36">
        <v>2032</v>
      </c>
    </row>
    <row r="37" spans="1:23">
      <c r="A37">
        <v>2033</v>
      </c>
      <c r="B37" s="3">
        <f t="shared" si="11"/>
        <v>55846.463774967451</v>
      </c>
      <c r="D37" s="13">
        <f t="shared" si="8"/>
        <v>58.629172308092471</v>
      </c>
      <c r="E37" s="13">
        <f>'Bloomberg EV% sales'!E27</f>
        <v>37.09573303397314</v>
      </c>
      <c r="F37" s="3">
        <f t="shared" si="10"/>
        <v>95253.713426991497</v>
      </c>
      <c r="I37">
        <f t="shared" si="9"/>
        <v>2.2195029965900552</v>
      </c>
      <c r="K37">
        <v>24</v>
      </c>
      <c r="L37">
        <v>0</v>
      </c>
      <c r="N37">
        <v>2033</v>
      </c>
      <c r="O37">
        <v>65</v>
      </c>
      <c r="S37" s="12"/>
      <c r="T37" s="72"/>
      <c r="U37" s="72"/>
      <c r="V37" s="72"/>
      <c r="W37">
        <v>2033</v>
      </c>
    </row>
    <row r="38" spans="1:23">
      <c r="A38">
        <v>2034</v>
      </c>
      <c r="B38" s="3">
        <f t="shared" si="11"/>
        <v>58708.148566174918</v>
      </c>
      <c r="D38" s="13">
        <f t="shared" si="8"/>
        <v>60.447553162190509</v>
      </c>
      <c r="E38" s="13">
        <f>'Bloomberg EV% sales'!E28</f>
        <v>40.9216886214029</v>
      </c>
      <c r="F38" s="3">
        <f t="shared" si="10"/>
        <v>97122.456567681918</v>
      </c>
      <c r="I38">
        <f t="shared" si="9"/>
        <v>2.586111244219536</v>
      </c>
      <c r="K38">
        <v>25</v>
      </c>
      <c r="L38">
        <v>0</v>
      </c>
      <c r="N38">
        <v>2034</v>
      </c>
      <c r="O38">
        <v>65</v>
      </c>
      <c r="S38" s="12"/>
      <c r="T38" s="94"/>
      <c r="U38" s="94"/>
      <c r="V38" s="94"/>
      <c r="W38">
        <v>2034</v>
      </c>
    </row>
    <row r="39" spans="1:23">
      <c r="A39">
        <v>2035</v>
      </c>
      <c r="B39" s="3">
        <f t="shared" si="11"/>
        <v>61174.928077977689</v>
      </c>
      <c r="D39" s="13">
        <f t="shared" si="8"/>
        <v>61.77547102644764</v>
      </c>
      <c r="E39" s="13">
        <f>'Bloomberg EV% sales'!E29</f>
        <v>44.512780434420719</v>
      </c>
      <c r="F39" s="3">
        <f t="shared" si="10"/>
        <v>99027.861805840643</v>
      </c>
      <c r="I39">
        <f t="shared" si="9"/>
        <v>2.9527194918490167</v>
      </c>
      <c r="K39">
        <v>26</v>
      </c>
      <c r="L39">
        <v>0</v>
      </c>
      <c r="N39">
        <v>2035</v>
      </c>
      <c r="O39">
        <v>65</v>
      </c>
      <c r="S39" s="12"/>
      <c r="T39" s="72"/>
      <c r="U39" s="72"/>
      <c r="V39" s="72"/>
      <c r="W39">
        <v>2035</v>
      </c>
    </row>
    <row r="40" spans="1:23">
      <c r="A40">
        <v>2036</v>
      </c>
      <c r="B40" s="3">
        <f t="shared" si="11"/>
        <v>63339.479969284388</v>
      </c>
      <c r="D40" s="13">
        <f t="shared" si="8"/>
        <v>62.73058653479324</v>
      </c>
      <c r="E40" s="13">
        <f>'Bloomberg EV% sales'!E30</f>
        <v>47.793487903824008</v>
      </c>
      <c r="F40" s="3">
        <f t="shared" si="10"/>
        <v>100970.64839996901</v>
      </c>
      <c r="I40">
        <f t="shared" si="9"/>
        <v>3.3193277394784975</v>
      </c>
      <c r="K40">
        <v>27</v>
      </c>
      <c r="L40">
        <v>0</v>
      </c>
      <c r="N40">
        <v>2036</v>
      </c>
      <c r="O40">
        <v>65</v>
      </c>
      <c r="S40" s="12"/>
      <c r="T40" s="72"/>
      <c r="U40" s="72"/>
      <c r="V40" s="72"/>
      <c r="W40">
        <v>2036</v>
      </c>
    </row>
    <row r="41" spans="1:23">
      <c r="A41">
        <v>2037</v>
      </c>
      <c r="B41" s="3">
        <f t="shared" si="11"/>
        <v>65281.655005588596</v>
      </c>
      <c r="D41" s="13">
        <f t="shared" si="8"/>
        <v>63.410075111560168</v>
      </c>
      <c r="E41" s="13">
        <f>'Bloomberg EV% sales'!E31</f>
        <v>50.717409097575548</v>
      </c>
      <c r="F41" s="3">
        <f t="shared" si="10"/>
        <v>102951.54971940292</v>
      </c>
      <c r="I41">
        <f t="shared" si="9"/>
        <v>3.6859359871079782</v>
      </c>
      <c r="K41">
        <v>28</v>
      </c>
      <c r="L41">
        <v>0</v>
      </c>
      <c r="N41">
        <v>2037</v>
      </c>
      <c r="O41">
        <v>65</v>
      </c>
      <c r="S41" s="12"/>
      <c r="T41" s="72"/>
      <c r="U41" s="72"/>
      <c r="V41" s="72"/>
      <c r="W41">
        <v>2037</v>
      </c>
    </row>
    <row r="42" spans="1:23">
      <c r="A42">
        <v>2038</v>
      </c>
      <c r="B42" s="3">
        <f t="shared" si="11"/>
        <v>67065.875996048751</v>
      </c>
      <c r="D42" s="13">
        <f t="shared" si="8"/>
        <v>63.889717815656091</v>
      </c>
      <c r="E42" s="13">
        <f>'Bloomberg EV% sales'!E32</f>
        <v>53.266448186970486</v>
      </c>
      <c r="F42" s="3">
        <f t="shared" si="10"/>
        <v>104971.31352114744</v>
      </c>
      <c r="I42">
        <f t="shared" si="9"/>
        <v>4.0525442347374572</v>
      </c>
      <c r="K42">
        <v>29</v>
      </c>
      <c r="L42">
        <v>0</v>
      </c>
      <c r="N42">
        <v>2038</v>
      </c>
      <c r="O42">
        <v>65</v>
      </c>
      <c r="S42" s="12"/>
      <c r="T42" s="94"/>
      <c r="U42" s="94"/>
      <c r="V42" s="94"/>
      <c r="W42">
        <v>2038</v>
      </c>
    </row>
    <row r="43" spans="1:23">
      <c r="A43">
        <v>2039</v>
      </c>
      <c r="B43" s="3">
        <f t="shared" si="11"/>
        <v>68741.997868599603</v>
      </c>
      <c r="D43" s="13">
        <f t="shared" si="8"/>
        <v>64.226428898413403</v>
      </c>
      <c r="E43" s="13">
        <f>'Bloomberg EV% sales'!E33</f>
        <v>55.446252217329544</v>
      </c>
      <c r="F43" s="3">
        <f t="shared" si="10"/>
        <v>107030.70223214255</v>
      </c>
      <c r="I43">
        <f t="shared" si="9"/>
        <v>4.4191524823669379</v>
      </c>
      <c r="K43">
        <v>30</v>
      </c>
      <c r="L43">
        <v>0</v>
      </c>
      <c r="N43">
        <v>2039</v>
      </c>
      <c r="O43">
        <v>65</v>
      </c>
      <c r="S43" s="12"/>
      <c r="T43" s="72"/>
      <c r="U43" s="72"/>
      <c r="V43" s="72"/>
      <c r="W43">
        <v>2039</v>
      </c>
    </row>
    <row r="44" spans="1:23">
      <c r="A44">
        <v>2040</v>
      </c>
      <c r="B44" s="3">
        <f t="shared" si="11"/>
        <v>70322.058473479919</v>
      </c>
      <c r="D44" s="13">
        <f t="shared" si="8"/>
        <v>64.461886934023255</v>
      </c>
      <c r="E44" s="13">
        <f>'Bloomberg EV% sales'!E34</f>
        <v>57.279794731623511</v>
      </c>
      <c r="F44">
        <v>109090.90909090909</v>
      </c>
      <c r="I44">
        <f t="shared" si="9"/>
        <v>4.7857607299964187</v>
      </c>
      <c r="K44">
        <v>31</v>
      </c>
      <c r="L44">
        <v>0</v>
      </c>
      <c r="N44">
        <v>2040</v>
      </c>
      <c r="O44">
        <v>65</v>
      </c>
      <c r="S44" s="12"/>
      <c r="T44" s="72"/>
      <c r="U44" s="72"/>
      <c r="V44" s="72"/>
      <c r="W44">
        <v>2040</v>
      </c>
    </row>
    <row r="45" spans="1:23">
      <c r="A45">
        <v>2041</v>
      </c>
      <c r="B45" s="3">
        <f t="shared" si="11"/>
        <v>71884.327105491291</v>
      </c>
      <c r="D45" s="13">
        <f t="shared" si="8"/>
        <v>64.626093950352441</v>
      </c>
      <c r="E45" s="13">
        <f>'Bloomberg EV% sales'!E35</f>
        <v>58.800789659404948</v>
      </c>
      <c r="F45" s="3">
        <f>F44*F$61</f>
        <v>111231.11844066397</v>
      </c>
      <c r="I45">
        <f t="shared" si="9"/>
        <v>5.1523689776258994</v>
      </c>
      <c r="K45">
        <v>32</v>
      </c>
      <c r="L45">
        <v>0</v>
      </c>
      <c r="N45">
        <v>2041</v>
      </c>
      <c r="O45">
        <v>65</v>
      </c>
      <c r="S45" s="12"/>
      <c r="T45" s="94"/>
      <c r="U45" s="94"/>
      <c r="V45" s="94"/>
      <c r="W45">
        <v>2041</v>
      </c>
    </row>
    <row r="46" spans="1:23">
      <c r="A46">
        <v>2042</v>
      </c>
      <c r="B46" s="3">
        <f t="shared" si="11"/>
        <v>73424.227915007446</v>
      </c>
      <c r="D46" s="13">
        <f t="shared" si="8"/>
        <v>64.740394441882728</v>
      </c>
      <c r="E46" s="13">
        <f>'Bloomberg EV% sales'!E36</f>
        <v>60.048032190220887</v>
      </c>
      <c r="F46" s="3">
        <f t="shared" ref="F46:F54" si="12">F45*F$61</f>
        <v>113413.31567097598</v>
      </c>
      <c r="I46">
        <f t="shared" si="9"/>
        <v>5.5189772252553801</v>
      </c>
      <c r="K46">
        <v>33</v>
      </c>
      <c r="L46">
        <v>0</v>
      </c>
      <c r="N46">
        <v>2042</v>
      </c>
      <c r="O46">
        <v>65</v>
      </c>
      <c r="S46" s="12"/>
      <c r="T46" s="72"/>
      <c r="U46" s="72"/>
      <c r="V46" s="72"/>
      <c r="W46">
        <v>2042</v>
      </c>
    </row>
    <row r="47" spans="1:23">
      <c r="A47">
        <v>2043</v>
      </c>
      <c r="B47" s="3">
        <f t="shared" si="11"/>
        <v>74956.590192003103</v>
      </c>
      <c r="D47" s="13">
        <f t="shared" si="8"/>
        <v>64.819851463695812</v>
      </c>
      <c r="E47" s="13">
        <f>'Bloomberg EV% sales'!E37</f>
        <v>61.061146683547925</v>
      </c>
      <c r="F47" s="3">
        <f t="shared" si="12"/>
        <v>115638.32452467845</v>
      </c>
      <c r="I47">
        <f t="shared" si="9"/>
        <v>5.8855854728848609</v>
      </c>
      <c r="K47">
        <v>34</v>
      </c>
      <c r="L47">
        <v>0</v>
      </c>
      <c r="N47">
        <v>2043</v>
      </c>
      <c r="O47">
        <v>65</v>
      </c>
      <c r="S47" s="12"/>
      <c r="T47" s="72"/>
      <c r="U47" s="72"/>
      <c r="V47" s="72"/>
      <c r="W47">
        <v>2043</v>
      </c>
    </row>
    <row r="48" spans="1:23">
      <c r="A48">
        <v>2044</v>
      </c>
      <c r="B48" s="3">
        <f t="shared" si="11"/>
        <v>76492.199086303444</v>
      </c>
      <c r="D48" s="13">
        <f t="shared" si="8"/>
        <v>64.87503615477651</v>
      </c>
      <c r="E48" s="13">
        <f>'Bloomberg EV% sales'!E38</f>
        <v>61.877767037998424</v>
      </c>
      <c r="F48" s="3">
        <f t="shared" si="12"/>
        <v>117906.98490527409</v>
      </c>
      <c r="I48">
        <f t="shared" si="9"/>
        <v>6.2521937205143416</v>
      </c>
      <c r="K48">
        <v>35</v>
      </c>
      <c r="L48">
        <v>0</v>
      </c>
      <c r="N48">
        <v>2044</v>
      </c>
      <c r="O48">
        <v>65</v>
      </c>
      <c r="S48" s="12"/>
      <c r="T48" s="72"/>
      <c r="U48" s="72"/>
      <c r="V48" s="72"/>
      <c r="W48">
        <v>2044</v>
      </c>
    </row>
    <row r="49" spans="1:23">
      <c r="A49">
        <v>2045</v>
      </c>
      <c r="B49" s="3">
        <f t="shared" si="11"/>
        <v>78038.915330117976</v>
      </c>
      <c r="D49" s="13">
        <f t="shared" si="8"/>
        <v>64.913338784551527</v>
      </c>
      <c r="E49" s="13">
        <f>'Bloomberg EV% sales'!E39</f>
        <v>62.531925350978604</v>
      </c>
      <c r="F49" s="3">
        <f t="shared" si="12"/>
        <v>120220.15319398444</v>
      </c>
      <c r="I49">
        <f t="shared" si="9"/>
        <v>6.6188019681438206</v>
      </c>
      <c r="K49">
        <v>36</v>
      </c>
      <c r="L49">
        <v>0</v>
      </c>
      <c r="N49">
        <v>2045</v>
      </c>
      <c r="O49">
        <v>65</v>
      </c>
      <c r="S49" s="12"/>
      <c r="T49" s="94"/>
      <c r="U49" s="94"/>
      <c r="V49" s="94"/>
      <c r="W49">
        <v>2045</v>
      </c>
    </row>
    <row r="50" spans="1:23">
      <c r="A50">
        <v>2046</v>
      </c>
      <c r="B50" s="3">
        <f t="shared" si="11"/>
        <v>79602.5017788439</v>
      </c>
      <c r="D50" s="13">
        <f t="shared" si="8"/>
        <v>64.939912160862633</v>
      </c>
      <c r="E50" s="13">
        <f>'Bloomberg EV% sales'!E40</f>
        <v>63.053338691246402</v>
      </c>
      <c r="F50" s="3">
        <f t="shared" si="12"/>
        <v>122578.70257301947</v>
      </c>
      <c r="I50">
        <f t="shared" si="9"/>
        <v>6.9854102157733013</v>
      </c>
      <c r="K50">
        <v>37</v>
      </c>
      <c r="L50">
        <v>0</v>
      </c>
      <c r="N50">
        <v>2046</v>
      </c>
      <c r="O50">
        <v>65</v>
      </c>
      <c r="S50" s="12"/>
      <c r="T50" s="72"/>
      <c r="U50" s="72"/>
      <c r="V50" s="72"/>
      <c r="W50">
        <v>2046</v>
      </c>
    </row>
    <row r="51" spans="1:23">
      <c r="A51">
        <v>2047</v>
      </c>
      <c r="B51" s="3">
        <f t="shared" si="11"/>
        <v>81187.225087890794</v>
      </c>
      <c r="D51" s="13">
        <f t="shared" si="8"/>
        <v>64.958342434599018</v>
      </c>
      <c r="E51" s="13">
        <f>'Bloomberg EV% sales'!E41</f>
        <v>63.467296573378974</v>
      </c>
      <c r="F51" s="3">
        <f t="shared" si="12"/>
        <v>124983.52335518913</v>
      </c>
      <c r="I51">
        <f t="shared" si="9"/>
        <v>7.3520184634027821</v>
      </c>
      <c r="K51">
        <v>38</v>
      </c>
      <c r="L51">
        <v>0</v>
      </c>
      <c r="N51">
        <v>2047</v>
      </c>
      <c r="O51">
        <v>65</v>
      </c>
      <c r="S51" s="12"/>
      <c r="T51" s="72"/>
      <c r="U51" s="72"/>
      <c r="V51" s="72"/>
      <c r="W51">
        <v>2047</v>
      </c>
    </row>
    <row r="52" spans="1:23">
      <c r="A52">
        <v>2048</v>
      </c>
      <c r="B52" s="3">
        <f t="shared" si="11"/>
        <v>82796.289643811251</v>
      </c>
      <c r="D52" s="13">
        <f t="shared" si="8"/>
        <v>64.971122248162814</v>
      </c>
      <c r="E52" s="13">
        <f>'Bloomberg EV% sales'!E42</f>
        <v>63.794908653994881</v>
      </c>
      <c r="F52" s="3">
        <f t="shared" si="12"/>
        <v>127435.52331998156</v>
      </c>
      <c r="I52">
        <f t="shared" si="9"/>
        <v>7.7186267110322628</v>
      </c>
      <c r="K52">
        <v>39</v>
      </c>
      <c r="L52">
        <v>0</v>
      </c>
      <c r="N52">
        <v>2048</v>
      </c>
      <c r="O52">
        <v>65</v>
      </c>
      <c r="S52" s="12"/>
      <c r="T52" s="94"/>
      <c r="U52" s="94"/>
      <c r="V52" s="94"/>
      <c r="W52">
        <v>2048</v>
      </c>
    </row>
    <row r="53" spans="1:23">
      <c r="A53">
        <v>2049</v>
      </c>
      <c r="B53" s="3">
        <f t="shared" si="11"/>
        <v>84432.148562271832</v>
      </c>
      <c r="D53" s="13">
        <f t="shared" si="8"/>
        <v>64.979982646276667</v>
      </c>
      <c r="E53" s="13">
        <f>'Bloomberg EV% sales'!E43</f>
        <v>64.053538627074005</v>
      </c>
      <c r="F53" s="3">
        <f t="shared" si="12"/>
        <v>129935.62805623459</v>
      </c>
      <c r="I53">
        <f t="shared" si="9"/>
        <v>8.0852349586617436</v>
      </c>
      <c r="K53">
        <v>40</v>
      </c>
      <c r="L53">
        <v>0</v>
      </c>
      <c r="N53">
        <v>2049</v>
      </c>
      <c r="O53">
        <v>65</v>
      </c>
      <c r="S53" s="12"/>
      <c r="T53" s="94"/>
      <c r="U53" s="94"/>
      <c r="V53" s="94"/>
      <c r="W53">
        <v>2049</v>
      </c>
    </row>
    <row r="54" spans="1:23">
      <c r="A54">
        <v>2050</v>
      </c>
      <c r="B54" s="3">
        <f t="shared" si="11"/>
        <v>86096.725640571996</v>
      </c>
      <c r="D54" s="13">
        <f t="shared" si="8"/>
        <v>64.986125038860663</v>
      </c>
      <c r="E54" s="13">
        <f>'Bloomberg EV% sales'!E44</f>
        <v>64.257309069447942</v>
      </c>
      <c r="F54" s="3">
        <f t="shared" si="12"/>
        <v>132484.78131153001</v>
      </c>
      <c r="I54">
        <f t="shared" si="9"/>
        <v>8.4518432062912243</v>
      </c>
      <c r="K54">
        <v>41</v>
      </c>
      <c r="L54">
        <v>0</v>
      </c>
      <c r="N54">
        <v>2050</v>
      </c>
      <c r="O54">
        <v>65</v>
      </c>
      <c r="S54" s="12"/>
      <c r="T54" s="94"/>
      <c r="U54" s="94"/>
      <c r="V54" s="94"/>
      <c r="W54">
        <v>2050</v>
      </c>
    </row>
    <row r="56" spans="1:23">
      <c r="H56" s="41" t="s">
        <v>159</v>
      </c>
      <c r="I56" s="41">
        <v>-6.5790949465174755</v>
      </c>
    </row>
    <row r="57" spans="1:23">
      <c r="H57" s="41" t="s">
        <v>233</v>
      </c>
      <c r="I57" s="41">
        <v>0.36660824762948047</v>
      </c>
      <c r="R57" s="33" t="s">
        <v>139</v>
      </c>
    </row>
    <row r="58" spans="1:23" ht="15.75" thickBot="1">
      <c r="H58" s="42" t="s">
        <v>234</v>
      </c>
      <c r="I58" s="42">
        <v>0.11642874685533075</v>
      </c>
    </row>
    <row r="61" spans="1:23">
      <c r="F61">
        <v>1.0196185857060864</v>
      </c>
    </row>
  </sheetData>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28515625" customWidth="1"/>
    <col min="2" max="7" width="13.42578125" customWidth="1"/>
  </cols>
  <sheetData>
    <row r="1" spans="1:7">
      <c r="A1" t="s">
        <v>148</v>
      </c>
    </row>
    <row r="2" spans="1:7" ht="15.75" thickBot="1"/>
    <row r="3" spans="1:7">
      <c r="A3" s="44" t="s">
        <v>149</v>
      </c>
      <c r="B3" s="44"/>
    </row>
    <row r="4" spans="1:7">
      <c r="A4" s="41" t="s">
        <v>150</v>
      </c>
      <c r="B4" s="41">
        <v>0.99328770715122749</v>
      </c>
    </row>
    <row r="5" spans="1:7">
      <c r="A5" s="41" t="s">
        <v>151</v>
      </c>
      <c r="B5" s="41">
        <v>0.9866204691777426</v>
      </c>
    </row>
    <row r="6" spans="1:7">
      <c r="A6" s="41" t="s">
        <v>152</v>
      </c>
      <c r="B6" s="41">
        <v>0.97770078196290433</v>
      </c>
    </row>
    <row r="7" spans="1:7">
      <c r="A7" s="41" t="s">
        <v>153</v>
      </c>
      <c r="B7" s="41">
        <v>0.12976842021386992</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2</v>
      </c>
      <c r="C12" s="41">
        <v>3.7253624006557962</v>
      </c>
      <c r="D12" s="41">
        <v>1.8626812003278981</v>
      </c>
      <c r="E12" s="41">
        <v>110.61155457743638</v>
      </c>
      <c r="F12" s="41">
        <v>1.5476092846853243E-3</v>
      </c>
    </row>
    <row r="13" spans="1:7">
      <c r="A13" s="41" t="s">
        <v>157</v>
      </c>
      <c r="B13" s="41">
        <v>3</v>
      </c>
      <c r="C13" s="41">
        <v>5.0519528654410562E-2</v>
      </c>
      <c r="D13" s="41">
        <v>1.6839842884803519E-2</v>
      </c>
      <c r="E13" s="41"/>
      <c r="F13" s="41"/>
    </row>
    <row r="14" spans="1:7" ht="15.75" thickBot="1">
      <c r="A14" s="42" t="s">
        <v>158</v>
      </c>
      <c r="B14" s="42">
        <v>5</v>
      </c>
      <c r="C14" s="42">
        <v>3.7758819293102066</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-8.8912664284954559</v>
      </c>
      <c r="C17" s="41">
        <v>0.18253446796017486</v>
      </c>
      <c r="D17" s="41">
        <v>-48.710068448197639</v>
      </c>
      <c r="E17" s="41">
        <v>1.9052675627879374E-5</v>
      </c>
      <c r="F17" s="41">
        <v>-9.4721725716422416</v>
      </c>
      <c r="G17" s="41">
        <v>-8.3103602853486702</v>
      </c>
    </row>
    <row r="18" spans="1:7">
      <c r="A18" s="41" t="s">
        <v>329</v>
      </c>
      <c r="B18" s="41">
        <v>0.44281864336179322</v>
      </c>
      <c r="C18" s="41">
        <v>3.1020585685548989E-2</v>
      </c>
      <c r="D18" s="41">
        <v>14.274992994993042</v>
      </c>
      <c r="E18" s="41">
        <v>7.4494346678913705E-4</v>
      </c>
      <c r="F18" s="41">
        <v>0.34409729505908115</v>
      </c>
      <c r="G18" s="41">
        <v>0.54153999166450528</v>
      </c>
    </row>
    <row r="19" spans="1:7" ht="15.75" thickBot="1">
      <c r="A19" s="42" t="s">
        <v>1355</v>
      </c>
      <c r="B19" s="42">
        <v>-0.46942751816880379</v>
      </c>
      <c r="C19" s="42">
        <v>0.11238274851418538</v>
      </c>
      <c r="D19" s="42">
        <v>-4.177042512085837</v>
      </c>
      <c r="E19" s="42">
        <v>2.4991965258843177E-2</v>
      </c>
      <c r="F19" s="42">
        <v>-0.82707958095540124</v>
      </c>
      <c r="G19" s="42">
        <v>-0.11177545538220629</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V59"/>
  <sheetViews>
    <sheetView zoomScale="75" zoomScaleNormal="75" workbookViewId="0">
      <pane xSplit="1" ySplit="3" topLeftCell="B4" activePane="bottomRight" state="frozen"/>
      <selection pane="topRight" activeCell="B1" sqref="B1"/>
      <selection pane="bottomLeft" activeCell="A4" sqref="A4"/>
      <selection pane="bottomRight" activeCell="C3" sqref="C3:C45"/>
    </sheetView>
  </sheetViews>
  <sheetFormatPr defaultRowHeight="15"/>
  <cols>
    <col min="2" max="2" width="12.5703125" customWidth="1"/>
    <col min="3" max="3" width="18.7109375" customWidth="1"/>
    <col min="4" max="12" width="12.5703125" customWidth="1"/>
    <col min="15" max="15" width="13.7109375" customWidth="1"/>
    <col min="20" max="20" width="11" customWidth="1"/>
  </cols>
  <sheetData>
    <row r="2" spans="1:22">
      <c r="B2" t="s">
        <v>648</v>
      </c>
      <c r="C2" t="s">
        <v>282</v>
      </c>
      <c r="O2" t="s">
        <v>960</v>
      </c>
    </row>
    <row r="3" spans="1:22">
      <c r="B3" s="14" t="s">
        <v>1299</v>
      </c>
      <c r="C3" s="14" t="s">
        <v>1321</v>
      </c>
      <c r="D3" t="s">
        <v>1164</v>
      </c>
      <c r="E3" s="87" t="s">
        <v>1137</v>
      </c>
      <c r="F3" s="87" t="s">
        <v>1136</v>
      </c>
      <c r="G3" t="s">
        <v>1163</v>
      </c>
      <c r="O3" s="14" t="s">
        <v>1298</v>
      </c>
      <c r="Q3" t="s">
        <v>1343</v>
      </c>
      <c r="R3" t="s">
        <v>1296</v>
      </c>
      <c r="S3" t="s">
        <v>943</v>
      </c>
      <c r="U3" t="s">
        <v>329</v>
      </c>
      <c r="V3" t="s">
        <v>1355</v>
      </c>
    </row>
    <row r="4" spans="1:22">
      <c r="A4">
        <v>2009</v>
      </c>
      <c r="B4" s="13">
        <f>'EV %sales'!X67</f>
        <v>0</v>
      </c>
      <c r="C4" s="20"/>
      <c r="D4" s="13"/>
      <c r="E4" s="13"/>
      <c r="F4" s="13"/>
      <c r="G4" s="13"/>
      <c r="H4" s="13"/>
      <c r="I4" s="13"/>
      <c r="J4" s="13"/>
      <c r="K4" s="13"/>
      <c r="L4" s="13"/>
      <c r="O4" s="13"/>
      <c r="P4" s="13"/>
    </row>
    <row r="5" spans="1:22">
      <c r="A5">
        <v>2010</v>
      </c>
      <c r="B5" s="13">
        <f>'EV %sales'!X68</f>
        <v>1.4700472362928204E-4</v>
      </c>
      <c r="C5" s="20"/>
      <c r="D5" s="13"/>
      <c r="E5" s="13"/>
      <c r="F5" s="13"/>
      <c r="G5" s="13"/>
      <c r="H5" s="13"/>
      <c r="I5" s="13"/>
      <c r="J5" s="13"/>
      <c r="K5" s="13"/>
      <c r="L5" s="13"/>
      <c r="O5" s="13">
        <f>65*EXP(S5)/(1+EXP(S5))</f>
        <v>1.3922142440185525E-2</v>
      </c>
      <c r="P5" s="13"/>
      <c r="Q5" s="33">
        <f t="shared" ref="Q5:Q12" si="0">LN(B5/(65-B5))</f>
        <v>-12.999430846451224</v>
      </c>
      <c r="R5" s="33">
        <f t="shared" ref="R5:R50" si="1">U$57+U$58*U5+U$59*V5</f>
        <v>-8.4484477851336628</v>
      </c>
      <c r="S5" s="33">
        <f t="shared" ref="S5:S50" si="2">U$57+U$58*U5</f>
        <v>-8.4484477851336628</v>
      </c>
      <c r="U5">
        <v>1</v>
      </c>
      <c r="V5">
        <v>0</v>
      </c>
    </row>
    <row r="6" spans="1:22">
      <c r="A6">
        <v>2011</v>
      </c>
      <c r="B6" s="13">
        <f>'EV %sales'!X69</f>
        <v>1.5641205443559392E-2</v>
      </c>
      <c r="C6" s="20"/>
      <c r="D6" s="13"/>
      <c r="E6" s="13"/>
      <c r="F6" s="13"/>
      <c r="G6" s="13"/>
      <c r="H6" s="13"/>
      <c r="I6" s="13"/>
      <c r="J6" s="13"/>
      <c r="K6" s="13"/>
      <c r="L6" s="13"/>
      <c r="O6" s="13">
        <f>65*EXP(S6)/(1+EXP(S6))</f>
        <v>2.1675441318295498E-2</v>
      </c>
      <c r="P6" s="13"/>
      <c r="Q6" s="33">
        <f t="shared" si="0"/>
        <v>-8.3319930794474164</v>
      </c>
      <c r="R6" s="33">
        <f t="shared" si="1"/>
        <v>-8.0056291417718697</v>
      </c>
      <c r="S6" s="33">
        <f t="shared" si="2"/>
        <v>-8.0056291417718697</v>
      </c>
      <c r="U6">
        <v>2</v>
      </c>
      <c r="V6">
        <v>0</v>
      </c>
    </row>
    <row r="7" spans="1:22">
      <c r="A7">
        <v>2012</v>
      </c>
      <c r="B7" s="13">
        <f>'EV %sales'!X70</f>
        <v>3.8608347201689146E-2</v>
      </c>
      <c r="C7" s="13">
        <f t="shared" ref="C7:C12" si="3">D7</f>
        <v>3.3744342442585909E-2</v>
      </c>
      <c r="D7" s="84">
        <f>65*EXP(E7)/(1+EXP(E7))</f>
        <v>3.3744342442585909E-2</v>
      </c>
      <c r="E7" s="84">
        <f>G7-SUM(F7:F$7)</f>
        <v>-7.5628104984100766</v>
      </c>
      <c r="F7" s="13">
        <v>0</v>
      </c>
      <c r="G7" s="13">
        <f>LN(O7/(65-O7))</f>
        <v>-7.5628104984100766</v>
      </c>
      <c r="H7" s="13"/>
      <c r="I7" s="13"/>
      <c r="J7" s="13"/>
      <c r="K7" s="13"/>
      <c r="L7" s="13"/>
      <c r="O7" s="13">
        <f>65*EXP(S7)/(1+EXP(S7))</f>
        <v>3.3744342442585909E-2</v>
      </c>
      <c r="P7" s="13"/>
      <c r="Q7" s="33">
        <f t="shared" si="0"/>
        <v>-7.4280798959918419</v>
      </c>
      <c r="R7" s="33">
        <f t="shared" si="1"/>
        <v>-7.5628104984100766</v>
      </c>
      <c r="S7" s="33">
        <f t="shared" si="2"/>
        <v>-7.5628104984100766</v>
      </c>
      <c r="U7">
        <v>3</v>
      </c>
      <c r="V7">
        <v>0</v>
      </c>
    </row>
    <row r="8" spans="1:22">
      <c r="A8">
        <v>2013</v>
      </c>
      <c r="B8" s="13">
        <f>'EV %sales'!X71</f>
        <v>2.9968337191406656E-2</v>
      </c>
      <c r="C8" s="13">
        <f t="shared" si="3"/>
        <v>5.2527783932434013E-2</v>
      </c>
      <c r="D8" s="84">
        <f t="shared" ref="D8:D49" si="4">65*EXP(E8)/(1+EXP(E8))</f>
        <v>5.2527783932434013E-2</v>
      </c>
      <c r="E8" s="84">
        <f>G8-SUM(F$7:F8)</f>
        <v>-7.1199918550482835</v>
      </c>
      <c r="F8" s="13">
        <v>0</v>
      </c>
      <c r="G8" s="13">
        <f t="shared" ref="G8:G50" si="5">LN(O8/(65-O8))</f>
        <v>-7.1199918550482835</v>
      </c>
      <c r="H8" s="13"/>
      <c r="I8" s="13"/>
      <c r="J8" s="13"/>
      <c r="K8" s="13"/>
      <c r="L8" s="13"/>
      <c r="O8" s="13">
        <f>65*EXP(S8)/(1+EXP(S8))</f>
        <v>5.2527783932434013E-2</v>
      </c>
      <c r="P8" s="13"/>
      <c r="Q8" s="33">
        <f t="shared" si="0"/>
        <v>-7.6815399938657007</v>
      </c>
      <c r="R8" s="33">
        <f t="shared" si="1"/>
        <v>-7.5894193732170869</v>
      </c>
      <c r="S8" s="33">
        <f t="shared" si="2"/>
        <v>-7.1199918550482835</v>
      </c>
      <c r="U8">
        <v>4</v>
      </c>
      <c r="V8">
        <v>1</v>
      </c>
    </row>
    <row r="9" spans="1:22">
      <c r="A9">
        <v>2014</v>
      </c>
      <c r="B9" s="13">
        <f>'EV %sales'!X72</f>
        <v>7.6596943297003478E-2</v>
      </c>
      <c r="C9" s="13">
        <f t="shared" si="3"/>
        <v>8.175367776141565E-2</v>
      </c>
      <c r="D9" s="84">
        <f t="shared" si="4"/>
        <v>8.175367776141565E-2</v>
      </c>
      <c r="E9" s="84">
        <f>G9-SUM(F$7:F9)</f>
        <v>-6.6771732116864904</v>
      </c>
      <c r="F9" s="13">
        <v>0</v>
      </c>
      <c r="G9" s="13">
        <f t="shared" si="5"/>
        <v>-6.6771732116864904</v>
      </c>
      <c r="H9" s="13"/>
      <c r="I9" s="13"/>
      <c r="J9" s="13"/>
      <c r="K9" s="13"/>
      <c r="L9" s="13"/>
      <c r="O9" s="13">
        <f>65*EXP(S9)/(1+EXP(S9))</f>
        <v>8.175367776141565E-2</v>
      </c>
      <c r="P9" s="13"/>
      <c r="Q9" s="33">
        <f t="shared" si="0"/>
        <v>-6.742406268277704</v>
      </c>
      <c r="R9" s="33">
        <f t="shared" si="1"/>
        <v>-6.6771732116864904</v>
      </c>
      <c r="S9" s="33">
        <f t="shared" si="2"/>
        <v>-6.6771732116864904</v>
      </c>
      <c r="U9">
        <v>5</v>
      </c>
      <c r="V9">
        <v>0</v>
      </c>
    </row>
    <row r="10" spans="1:22">
      <c r="A10">
        <v>2015</v>
      </c>
      <c r="B10" s="13">
        <f>'EV %sales'!X73</f>
        <v>0.11503318836033208</v>
      </c>
      <c r="C10" s="13">
        <f t="shared" si="3"/>
        <v>0.12720869508644847</v>
      </c>
      <c r="D10" s="84">
        <f t="shared" si="4"/>
        <v>0.12720869508644847</v>
      </c>
      <c r="E10" s="84">
        <f>G10-SUM(F$7:F10)</f>
        <v>-6.2343545683246964</v>
      </c>
      <c r="F10" s="13">
        <v>0</v>
      </c>
      <c r="G10" s="13">
        <f t="shared" si="5"/>
        <v>-6.2343545683246964</v>
      </c>
      <c r="H10" s="13"/>
      <c r="I10" s="13"/>
      <c r="J10" s="13"/>
      <c r="K10" s="13"/>
      <c r="L10" s="13"/>
      <c r="O10" s="13">
        <f t="shared" ref="O10:O35" si="6">65*EXP(R10)/(1+EXP(R10))</f>
        <v>0.12720869508644847</v>
      </c>
      <c r="P10" s="13"/>
      <c r="Q10" s="33">
        <f t="shared" si="0"/>
        <v>-6.3351505585105325</v>
      </c>
      <c r="R10" s="33">
        <f t="shared" si="1"/>
        <v>-6.2343545683246964</v>
      </c>
      <c r="S10" s="33">
        <f t="shared" si="2"/>
        <v>-6.2343545683246964</v>
      </c>
      <c r="U10">
        <v>6</v>
      </c>
      <c r="V10">
        <v>0</v>
      </c>
    </row>
    <row r="11" spans="1:22">
      <c r="A11">
        <v>2016</v>
      </c>
      <c r="B11" s="13">
        <f>'EV %sales'!X74</f>
        <v>0.13580340082546269</v>
      </c>
      <c r="C11" s="13">
        <f t="shared" si="3"/>
        <v>0.12387481770399303</v>
      </c>
      <c r="D11" s="84">
        <f t="shared" si="4"/>
        <v>0.12387481770399303</v>
      </c>
      <c r="E11" s="84">
        <f>G11-SUM(F$7:F11)</f>
        <v>-6.2609634431317067</v>
      </c>
      <c r="F11" s="13">
        <v>0</v>
      </c>
      <c r="G11" s="13">
        <f t="shared" si="5"/>
        <v>-6.2609634431317067</v>
      </c>
      <c r="H11" s="13"/>
      <c r="I11" s="13"/>
      <c r="J11" s="13"/>
      <c r="K11" s="13"/>
      <c r="L11" s="13"/>
      <c r="O11" s="13">
        <f t="shared" si="6"/>
        <v>0.12387481770399303</v>
      </c>
      <c r="P11" s="13"/>
      <c r="Q11" s="33">
        <f t="shared" si="0"/>
        <v>-6.1688428224830902</v>
      </c>
      <c r="R11" s="33">
        <f t="shared" si="1"/>
        <v>-6.2609634431317067</v>
      </c>
      <c r="S11" s="33">
        <f t="shared" si="2"/>
        <v>-5.7915359249629033</v>
      </c>
      <c r="U11">
        <v>7</v>
      </c>
      <c r="V11">
        <v>1</v>
      </c>
    </row>
    <row r="12" spans="1:22">
      <c r="A12">
        <v>2017</v>
      </c>
      <c r="B12" s="13">
        <f>'EV %sales'!X75</f>
        <v>0.31729448102144603</v>
      </c>
      <c r="C12" s="13">
        <f t="shared" si="3"/>
        <v>0.30756372069793464</v>
      </c>
      <c r="D12" s="84">
        <f>65*EXP(E12)/(1+EXP(E12))</f>
        <v>0.30756372069793464</v>
      </c>
      <c r="E12" s="84">
        <f>G12-SUM(F$7:F12)</f>
        <v>-5.3487172816011102</v>
      </c>
      <c r="F12" s="13">
        <v>0</v>
      </c>
      <c r="G12" s="13">
        <f t="shared" si="5"/>
        <v>-5.3487172816011102</v>
      </c>
      <c r="H12" s="13"/>
      <c r="I12" s="13"/>
      <c r="J12" s="13"/>
      <c r="K12" s="13"/>
      <c r="L12" s="13"/>
      <c r="O12" s="13">
        <f t="shared" si="6"/>
        <v>0.30756372069793464</v>
      </c>
      <c r="P12" s="13"/>
      <c r="Q12" s="33">
        <f t="shared" si="0"/>
        <v>-5.3174188372422897</v>
      </c>
      <c r="R12" s="33">
        <f t="shared" si="1"/>
        <v>-5.3487172816011102</v>
      </c>
      <c r="S12" s="33">
        <f t="shared" si="2"/>
        <v>-5.3487172816011102</v>
      </c>
      <c r="U12">
        <v>8</v>
      </c>
      <c r="V12">
        <v>0</v>
      </c>
    </row>
    <row r="13" spans="1:22">
      <c r="A13">
        <v>2018</v>
      </c>
      <c r="B13" s="13"/>
      <c r="C13" s="13">
        <f>AVERAGE(D11:D15)</f>
        <v>0.53770724711563977</v>
      </c>
      <c r="D13" s="84">
        <f t="shared" si="4"/>
        <v>0.47764529154494301</v>
      </c>
      <c r="E13" s="84">
        <f>G13-SUM(F$7:F13)</f>
        <v>-4.905898638239317</v>
      </c>
      <c r="F13" s="13">
        <v>0</v>
      </c>
      <c r="G13" s="13">
        <f t="shared" si="5"/>
        <v>-4.905898638239317</v>
      </c>
      <c r="H13" s="13"/>
      <c r="I13" s="13"/>
      <c r="J13" s="13"/>
      <c r="K13" s="13"/>
      <c r="L13" s="13"/>
      <c r="O13" s="13">
        <f t="shared" si="6"/>
        <v>0.47764529154494301</v>
      </c>
      <c r="P13" s="13"/>
      <c r="R13" s="33">
        <f t="shared" si="1"/>
        <v>-4.905898638239317</v>
      </c>
      <c r="S13" s="33">
        <f t="shared" si="2"/>
        <v>-4.905898638239317</v>
      </c>
      <c r="U13">
        <v>9</v>
      </c>
      <c r="V13">
        <v>0</v>
      </c>
    </row>
    <row r="14" spans="1:22">
      <c r="A14">
        <v>2019</v>
      </c>
      <c r="B14" s="13"/>
      <c r="C14" s="13">
        <f>AVERAGE(D12:D16)</f>
        <v>0.80231503714945585</v>
      </c>
      <c r="D14" s="84">
        <f>65*EXP(E14)/(1+EXP(E14))</f>
        <v>0.74070443711545286</v>
      </c>
      <c r="E14" s="84">
        <f>G14-SUM(F$7:F14)</f>
        <v>-4.4630799948775239</v>
      </c>
      <c r="F14" s="13">
        <v>0</v>
      </c>
      <c r="G14" s="13">
        <f t="shared" si="5"/>
        <v>-4.4630799948775239</v>
      </c>
      <c r="H14" s="13"/>
      <c r="I14" s="13"/>
      <c r="J14" s="13"/>
      <c r="K14" s="13"/>
      <c r="L14" s="13"/>
      <c r="O14" s="13">
        <f t="shared" si="6"/>
        <v>0.74070443711545286</v>
      </c>
      <c r="P14" s="13"/>
      <c r="R14" s="33">
        <f t="shared" si="1"/>
        <v>-4.4630799948775239</v>
      </c>
      <c r="S14" s="33">
        <f t="shared" si="2"/>
        <v>-4.4630799948775239</v>
      </c>
      <c r="U14">
        <v>10</v>
      </c>
      <c r="V14">
        <v>0</v>
      </c>
    </row>
    <row r="15" spans="1:22">
      <c r="A15">
        <v>2020</v>
      </c>
      <c r="B15" s="13"/>
      <c r="C15" s="13">
        <f>AVERAGE(D13:D17)</f>
        <v>1.1409432358500173</v>
      </c>
      <c r="D15" s="84">
        <f>65*EXP(E15)/(1+EXP(E15))</f>
        <v>1.0387479685158754</v>
      </c>
      <c r="E15" s="84">
        <f>G15-SUM(F$7:F15)</f>
        <v>-4.1202613515157305</v>
      </c>
      <c r="F15" s="231">
        <v>0.1</v>
      </c>
      <c r="G15" s="13">
        <f t="shared" si="5"/>
        <v>-4.0202613515157308</v>
      </c>
      <c r="H15" s="13"/>
      <c r="I15" s="13"/>
      <c r="J15" s="13"/>
      <c r="K15" s="13"/>
      <c r="L15" s="13"/>
      <c r="O15" s="13">
        <f t="shared" si="6"/>
        <v>1.1460678396135278</v>
      </c>
      <c r="P15" s="13"/>
      <c r="R15" s="33">
        <f t="shared" si="1"/>
        <v>-4.0202613515157308</v>
      </c>
      <c r="S15" s="33">
        <f t="shared" si="2"/>
        <v>-4.0202613515157308</v>
      </c>
      <c r="U15">
        <v>11</v>
      </c>
      <c r="V15">
        <v>0</v>
      </c>
    </row>
    <row r="16" spans="1:22">
      <c r="A16">
        <v>2021</v>
      </c>
      <c r="B16" s="13"/>
      <c r="C16" s="13">
        <f>AVERAGE(D13:D19)</f>
        <v>1.7397763277109062</v>
      </c>
      <c r="D16" s="84">
        <f t="shared" si="4"/>
        <v>1.446913767873073</v>
      </c>
      <c r="E16" s="84">
        <f>G16-SUM(F$7:F16)</f>
        <v>-3.7824427081539369</v>
      </c>
      <c r="F16" s="20">
        <f>F15+(F35-F15)/20</f>
        <v>0.10500000000000001</v>
      </c>
      <c r="G16" s="13">
        <f t="shared" si="5"/>
        <v>-3.5774427081539368</v>
      </c>
      <c r="H16" s="13"/>
      <c r="I16" s="13"/>
      <c r="J16" s="13"/>
      <c r="K16" s="13"/>
      <c r="L16" s="13"/>
      <c r="O16" s="13">
        <f t="shared" si="6"/>
        <v>1.7671726185362033</v>
      </c>
      <c r="P16" s="13"/>
      <c r="R16" s="33">
        <f t="shared" si="1"/>
        <v>-3.5774427081539368</v>
      </c>
      <c r="S16" s="33">
        <f t="shared" si="2"/>
        <v>-3.5774427081539368</v>
      </c>
      <c r="U16">
        <v>12</v>
      </c>
      <c r="V16">
        <v>0</v>
      </c>
    </row>
    <row r="17" spans="1:22">
      <c r="A17">
        <v>2022</v>
      </c>
      <c r="B17" s="13"/>
      <c r="C17" s="13">
        <f t="shared" ref="C17:C50" si="7">AVERAGE(D14:D20)</f>
        <v>2.3882958574109643</v>
      </c>
      <c r="D17" s="84">
        <f t="shared" si="4"/>
        <v>2.0007047142007415</v>
      </c>
      <c r="E17" s="84">
        <f>G17-SUM(F$7:F17)</f>
        <v>-3.4496240647921441</v>
      </c>
      <c r="F17" s="20">
        <f>F16+(F35-F15)/20</f>
        <v>0.11000000000000001</v>
      </c>
      <c r="G17" s="13">
        <f t="shared" si="5"/>
        <v>-3.1346240647921442</v>
      </c>
      <c r="H17" s="13"/>
      <c r="I17" s="13"/>
      <c r="J17" s="13"/>
      <c r="K17" s="13"/>
      <c r="L17" s="13"/>
      <c r="O17" s="13">
        <f t="shared" si="6"/>
        <v>2.7105926994601921</v>
      </c>
      <c r="P17" s="13"/>
      <c r="R17" s="33">
        <f t="shared" si="1"/>
        <v>-3.1346240647921437</v>
      </c>
      <c r="S17" s="33">
        <f t="shared" si="2"/>
        <v>-3.1346240647921437</v>
      </c>
      <c r="U17">
        <v>13</v>
      </c>
      <c r="V17">
        <v>0</v>
      </c>
    </row>
    <row r="18" spans="1:22">
      <c r="A18">
        <v>2023</v>
      </c>
      <c r="B18" s="13"/>
      <c r="C18" s="13">
        <f>AVERAGE(D15:D21)</f>
        <v>3.235463946736632</v>
      </c>
      <c r="D18" s="84">
        <f t="shared" si="4"/>
        <v>2.7440861654149638</v>
      </c>
      <c r="E18" s="84">
        <f>G18-SUM(F$7:F18)</f>
        <v>-3.1218054214303512</v>
      </c>
      <c r="F18" s="20">
        <f>F17+(F35-F15)/20</f>
        <v>0.11500000000000002</v>
      </c>
      <c r="G18" s="13">
        <f t="shared" si="5"/>
        <v>-2.6918054214303511</v>
      </c>
      <c r="H18" s="13"/>
      <c r="I18" s="13"/>
      <c r="J18" s="13"/>
      <c r="K18" s="13"/>
      <c r="L18" s="13"/>
      <c r="O18" s="13">
        <f t="shared" si="6"/>
        <v>4.1248112477580197</v>
      </c>
      <c r="P18" s="13"/>
      <c r="R18" s="33">
        <f t="shared" si="1"/>
        <v>-2.6918054214303506</v>
      </c>
      <c r="S18" s="33">
        <f t="shared" si="2"/>
        <v>-2.6918054214303506</v>
      </c>
      <c r="U18">
        <v>14</v>
      </c>
      <c r="V18">
        <v>0</v>
      </c>
    </row>
    <row r="19" spans="1:22">
      <c r="A19">
        <v>2024</v>
      </c>
      <c r="B19" s="13"/>
      <c r="C19" s="13">
        <f t="shared" si="7"/>
        <v>4.3373109947000348</v>
      </c>
      <c r="D19" s="84">
        <f t="shared" si="4"/>
        <v>3.7296319493112922</v>
      </c>
      <c r="E19" s="84">
        <f>G19-SUM(F$7:F19)</f>
        <v>-2.7989867780685573</v>
      </c>
      <c r="F19" s="20">
        <f>F18+(F35-F15)/20</f>
        <v>0.12000000000000002</v>
      </c>
      <c r="G19" s="13">
        <f t="shared" si="5"/>
        <v>-2.2489867780685575</v>
      </c>
      <c r="H19" s="13"/>
      <c r="I19" s="13"/>
      <c r="J19" s="13"/>
      <c r="K19" s="13"/>
      <c r="L19" s="13"/>
      <c r="O19" s="13">
        <f t="shared" si="6"/>
        <v>6.2033984467536163</v>
      </c>
      <c r="P19" s="13"/>
      <c r="R19" s="33">
        <f t="shared" si="1"/>
        <v>-2.2489867780685575</v>
      </c>
      <c r="S19" s="33">
        <f t="shared" si="2"/>
        <v>-2.2489867780685575</v>
      </c>
      <c r="U19">
        <v>15</v>
      </c>
      <c r="V19">
        <v>0</v>
      </c>
    </row>
    <row r="20" spans="1:22">
      <c r="A20" s="14">
        <v>2025</v>
      </c>
      <c r="B20" s="13"/>
      <c r="C20" s="20">
        <f t="shared" si="7"/>
        <v>5.7460928041321813</v>
      </c>
      <c r="D20" s="84">
        <f t="shared" si="4"/>
        <v>5.0172819994453501</v>
      </c>
      <c r="E20" s="84">
        <f>G20-SUM(F$7:F20)</f>
        <v>-2.4811681347067642</v>
      </c>
      <c r="F20" s="20">
        <f>F19+(F35-F15)/20</f>
        <v>0.12500000000000003</v>
      </c>
      <c r="G20" s="13">
        <f t="shared" si="5"/>
        <v>-1.8061681347067644</v>
      </c>
      <c r="H20" s="13"/>
      <c r="I20" s="13"/>
      <c r="J20" s="13"/>
      <c r="K20" s="13"/>
      <c r="L20" s="13"/>
      <c r="O20" s="13">
        <f t="shared" si="6"/>
        <v>9.1716221571704377</v>
      </c>
      <c r="P20" s="13"/>
      <c r="R20" s="33">
        <f t="shared" si="1"/>
        <v>-1.8061681347067644</v>
      </c>
      <c r="S20" s="33">
        <f t="shared" si="2"/>
        <v>-1.8061681347067644</v>
      </c>
      <c r="U20">
        <v>16</v>
      </c>
      <c r="V20">
        <v>0</v>
      </c>
    </row>
    <row r="21" spans="1:22">
      <c r="A21">
        <v>2026</v>
      </c>
      <c r="B21" s="13"/>
      <c r="C21" s="13">
        <f t="shared" si="7"/>
        <v>7.5123484183964866</v>
      </c>
      <c r="D21" s="84">
        <f t="shared" si="4"/>
        <v>6.6708810623951278</v>
      </c>
      <c r="E21" s="84">
        <f>G21-SUM(F$7:F21)</f>
        <v>-2.1683494913449715</v>
      </c>
      <c r="F21" s="20">
        <f>F20+(F35-F15)/20</f>
        <v>0.13000000000000003</v>
      </c>
      <c r="G21" s="13">
        <f t="shared" si="5"/>
        <v>-1.3633494913449713</v>
      </c>
      <c r="H21" s="13"/>
      <c r="I21" s="13"/>
      <c r="J21" s="13"/>
      <c r="K21" s="13"/>
      <c r="L21" s="13"/>
      <c r="O21" s="13">
        <f t="shared" si="6"/>
        <v>13.240269993680185</v>
      </c>
      <c r="P21" s="13"/>
      <c r="R21" s="33">
        <f t="shared" si="1"/>
        <v>-1.3633494913449713</v>
      </c>
      <c r="S21" s="33">
        <f t="shared" si="2"/>
        <v>-1.3633494913449713</v>
      </c>
      <c r="U21">
        <v>17</v>
      </c>
      <c r="V21">
        <v>0</v>
      </c>
    </row>
    <row r="22" spans="1:22">
      <c r="A22">
        <v>2027</v>
      </c>
      <c r="B22" s="13"/>
      <c r="C22" s="13">
        <f t="shared" si="7"/>
        <v>9.6782153372011557</v>
      </c>
      <c r="D22" s="84">
        <f t="shared" si="4"/>
        <v>8.7516773042596938</v>
      </c>
      <c r="E22" s="84">
        <f>G22-SUM(F$7:F22)</f>
        <v>-1.8605308479831784</v>
      </c>
      <c r="F22" s="20">
        <f>F21+(F35-F15)/20</f>
        <v>0.13500000000000004</v>
      </c>
      <c r="G22" s="13">
        <f t="shared" si="5"/>
        <v>-0.9205308479831783</v>
      </c>
      <c r="H22" s="13"/>
      <c r="I22" s="13"/>
      <c r="J22" s="13"/>
      <c r="K22" s="13"/>
      <c r="L22" s="13"/>
      <c r="O22" s="13">
        <f t="shared" si="6"/>
        <v>18.515233276278042</v>
      </c>
      <c r="P22" s="13"/>
      <c r="R22" s="33">
        <f t="shared" si="1"/>
        <v>-0.92053084798317819</v>
      </c>
      <c r="S22" s="33">
        <f t="shared" si="2"/>
        <v>-0.92053084798317819</v>
      </c>
      <c r="U22">
        <v>18</v>
      </c>
      <c r="V22">
        <v>0</v>
      </c>
    </row>
    <row r="23" spans="1:22">
      <c r="A23">
        <v>2028</v>
      </c>
      <c r="B23" s="13"/>
      <c r="C23" s="13">
        <f t="shared" si="7"/>
        <v>12.269378694505548</v>
      </c>
      <c r="D23" s="84">
        <f t="shared" si="4"/>
        <v>11.308386433898102</v>
      </c>
      <c r="E23" s="84">
        <f>G23-SUM(F$7:F23)</f>
        <v>-1.5577122046213849</v>
      </c>
      <c r="F23" s="20">
        <f>F22+(F35-F15)/20</f>
        <v>0.14000000000000004</v>
      </c>
      <c r="G23" s="13">
        <f t="shared" si="5"/>
        <v>-0.47771220462138492</v>
      </c>
      <c r="H23" s="13"/>
      <c r="I23" s="13"/>
      <c r="J23" s="13"/>
      <c r="K23" s="13"/>
      <c r="L23" s="13"/>
      <c r="O23" s="13">
        <f t="shared" si="6"/>
        <v>24.881512508231992</v>
      </c>
      <c r="P23" s="13"/>
      <c r="R23" s="33">
        <f t="shared" si="1"/>
        <v>-0.47771220462138508</v>
      </c>
      <c r="S23" s="33">
        <f t="shared" si="2"/>
        <v>-0.47771220462138508</v>
      </c>
      <c r="U23">
        <v>19</v>
      </c>
      <c r="V23">
        <v>0</v>
      </c>
    </row>
    <row r="24" spans="1:22">
      <c r="A24">
        <v>2029</v>
      </c>
      <c r="B24" s="13"/>
      <c r="C24" s="13">
        <f t="shared" si="7"/>
        <v>15.287046255962554</v>
      </c>
      <c r="D24" s="84">
        <f t="shared" si="4"/>
        <v>14.364494014050878</v>
      </c>
      <c r="E24" s="84">
        <f>G24-SUM(F$7:F24)</f>
        <v>-1.2598935612595921</v>
      </c>
      <c r="F24" s="20">
        <f>F23+(F35-F15)/20</f>
        <v>0.14500000000000005</v>
      </c>
      <c r="G24" s="13">
        <f t="shared" si="5"/>
        <v>-3.489356125959199E-2</v>
      </c>
      <c r="H24" s="13"/>
      <c r="I24" s="13"/>
      <c r="J24" s="13"/>
      <c r="K24" s="13"/>
      <c r="L24" s="13"/>
      <c r="O24" s="13">
        <f t="shared" si="6"/>
        <v>31.933037154333675</v>
      </c>
      <c r="P24" s="13"/>
      <c r="R24" s="33">
        <f t="shared" si="1"/>
        <v>-3.4893561259591976E-2</v>
      </c>
      <c r="S24" s="33">
        <f t="shared" si="2"/>
        <v>-3.4893561259591976E-2</v>
      </c>
      <c r="U24">
        <v>20</v>
      </c>
      <c r="V24">
        <v>0</v>
      </c>
    </row>
    <row r="25" spans="1:22">
      <c r="A25" s="14">
        <v>2030</v>
      </c>
      <c r="B25" s="13"/>
      <c r="C25" s="20">
        <f t="shared" si="7"/>
        <v>18.701877305538918</v>
      </c>
      <c r="D25" s="84">
        <f t="shared" si="4"/>
        <v>17.905154597047645</v>
      </c>
      <c r="E25" s="84">
        <f>G25-SUM(F$7:F25)</f>
        <v>-0.96707491789779909</v>
      </c>
      <c r="F25" s="20">
        <f>F24+(F35-F15)/20</f>
        <v>0.15000000000000005</v>
      </c>
      <c r="G25" s="13">
        <f t="shared" si="5"/>
        <v>0.40792508210220113</v>
      </c>
      <c r="H25" s="13"/>
      <c r="I25" s="13"/>
      <c r="J25" s="13"/>
      <c r="K25" s="13"/>
      <c r="L25" s="13"/>
      <c r="O25" s="13">
        <f t="shared" si="6"/>
        <v>39.038366136989417</v>
      </c>
      <c r="P25" s="13"/>
      <c r="R25" s="33">
        <f t="shared" si="1"/>
        <v>0.40792508210220113</v>
      </c>
      <c r="S25" s="33">
        <f t="shared" si="2"/>
        <v>0.40792508210220113</v>
      </c>
      <c r="U25">
        <v>21</v>
      </c>
      <c r="V25">
        <v>0</v>
      </c>
    </row>
    <row r="26" spans="1:22">
      <c r="A26">
        <v>2031</v>
      </c>
      <c r="C26" s="13">
        <f t="shared" si="7"/>
        <v>22.451750711328952</v>
      </c>
      <c r="D26" s="84">
        <f>65*EXP(E26)/(1+EXP(E26))</f>
        <v>21.867775450442039</v>
      </c>
      <c r="E26" s="84">
        <f>G26-SUM(F$7:F26)</f>
        <v>-0.67925627453600568</v>
      </c>
      <c r="F26" s="20">
        <f>F25+(F35-F15)/20</f>
        <v>0.15500000000000005</v>
      </c>
      <c r="G26" s="13">
        <f t="shared" si="5"/>
        <v>0.85074372546399457</v>
      </c>
      <c r="O26" s="13">
        <f t="shared" si="6"/>
        <v>45.547003618162918</v>
      </c>
      <c r="P26" s="13"/>
      <c r="R26" s="33">
        <f t="shared" si="1"/>
        <v>0.85074372546399424</v>
      </c>
      <c r="S26" s="33">
        <f t="shared" si="2"/>
        <v>0.85074372546399424</v>
      </c>
      <c r="U26">
        <v>22</v>
      </c>
      <c r="V26">
        <v>0</v>
      </c>
    </row>
    <row r="27" spans="1:22">
      <c r="A27">
        <v>2032</v>
      </c>
      <c r="C27" s="13">
        <f t="shared" si="7"/>
        <v>26.444523671266914</v>
      </c>
      <c r="D27" s="84">
        <f t="shared" si="4"/>
        <v>26.140954929644391</v>
      </c>
      <c r="E27" s="84">
        <f>G27-SUM(F$7:F27)</f>
        <v>-0.39643763117421327</v>
      </c>
      <c r="F27" s="20">
        <f>F26+(F35-F15)/20</f>
        <v>0.16000000000000006</v>
      </c>
      <c r="G27" s="13">
        <f t="shared" si="5"/>
        <v>1.2935623688257871</v>
      </c>
      <c r="O27" s="13">
        <f t="shared" si="6"/>
        <v>51.008720535160165</v>
      </c>
      <c r="P27" s="13"/>
      <c r="R27" s="33">
        <f t="shared" si="1"/>
        <v>1.2935623688257873</v>
      </c>
      <c r="S27" s="33">
        <f t="shared" si="2"/>
        <v>1.2935623688257873</v>
      </c>
      <c r="U27">
        <v>23</v>
      </c>
      <c r="V27">
        <v>0</v>
      </c>
    </row>
    <row r="28" spans="1:22">
      <c r="A28">
        <v>2033</v>
      </c>
      <c r="C28" s="13">
        <f t="shared" si="7"/>
        <v>30.5657574927612</v>
      </c>
      <c r="D28" s="84">
        <f t="shared" si="4"/>
        <v>30.574698409429679</v>
      </c>
      <c r="E28" s="84">
        <f>G28-SUM(F$7:F28)</f>
        <v>-0.1186189878124182</v>
      </c>
      <c r="F28" s="20">
        <f>F27+(F35-F15)/20</f>
        <v>0.16500000000000006</v>
      </c>
      <c r="G28" s="13">
        <f t="shared" si="5"/>
        <v>1.7363810121875822</v>
      </c>
      <c r="O28" s="13">
        <f t="shared" si="6"/>
        <v>55.264742203913279</v>
      </c>
      <c r="P28" s="13"/>
      <c r="R28" s="33">
        <f t="shared" si="1"/>
        <v>1.7363810121875822</v>
      </c>
      <c r="S28" s="33">
        <f t="shared" si="2"/>
        <v>1.7363810121875822</v>
      </c>
      <c r="U28">
        <v>24</v>
      </c>
      <c r="V28">
        <v>0</v>
      </c>
    </row>
    <row r="29" spans="1:22">
      <c r="A29">
        <v>2034</v>
      </c>
      <c r="C29" s="13">
        <f t="shared" si="7"/>
        <v>34.690210331963065</v>
      </c>
      <c r="D29" s="84">
        <f t="shared" si="4"/>
        <v>35.000791144789929</v>
      </c>
      <c r="E29" s="84">
        <f>G29-SUM(F$7:F29)</f>
        <v>0.15419965554937498</v>
      </c>
      <c r="F29" s="20">
        <f>F28+(F35-F15)/20</f>
        <v>0.17000000000000007</v>
      </c>
      <c r="G29" s="13">
        <f t="shared" si="5"/>
        <v>2.1791996555493753</v>
      </c>
      <c r="O29" s="13">
        <f t="shared" si="6"/>
        <v>58.393791321865343</v>
      </c>
      <c r="P29" s="13"/>
      <c r="R29" s="33">
        <f t="shared" si="1"/>
        <v>2.1791996555493753</v>
      </c>
      <c r="S29" s="33">
        <f t="shared" si="2"/>
        <v>2.1791996555493753</v>
      </c>
      <c r="U29">
        <v>25</v>
      </c>
      <c r="V29">
        <v>0</v>
      </c>
    </row>
    <row r="30" spans="1:22">
      <c r="A30">
        <v>2035</v>
      </c>
      <c r="C30" s="13">
        <f t="shared" si="7"/>
        <v>38.695058871007866</v>
      </c>
      <c r="D30" s="84">
        <f t="shared" si="4"/>
        <v>39.257797153463834</v>
      </c>
      <c r="E30" s="84">
        <f>G30-SUM(F$7:F30)</f>
        <v>0.42201829891116649</v>
      </c>
      <c r="F30" s="20">
        <f>F29+(F35-F15)/20</f>
        <v>0.17500000000000007</v>
      </c>
      <c r="G30" s="13">
        <f t="shared" si="5"/>
        <v>2.6220182989111671</v>
      </c>
      <c r="O30" s="13">
        <f t="shared" si="6"/>
        <v>60.597242333125578</v>
      </c>
      <c r="P30" s="13"/>
      <c r="R30" s="33">
        <f t="shared" si="1"/>
        <v>2.6220182989111684</v>
      </c>
      <c r="S30" s="33">
        <f t="shared" si="2"/>
        <v>2.6220182989111684</v>
      </c>
      <c r="U30">
        <v>26</v>
      </c>
      <c r="V30">
        <v>0</v>
      </c>
    </row>
    <row r="31" spans="1:22">
      <c r="A31">
        <v>2036</v>
      </c>
      <c r="C31" s="13">
        <f t="shared" si="7"/>
        <v>42.472445808493127</v>
      </c>
      <c r="D31" s="84">
        <f t="shared" si="4"/>
        <v>43.213130764510872</v>
      </c>
      <c r="E31" s="84">
        <f>G31-SUM(F$7:F31)</f>
        <v>0.68483694227296033</v>
      </c>
      <c r="F31" s="20">
        <f>F30+(F35-F15)/20</f>
        <v>0.18000000000000008</v>
      </c>
      <c r="G31" s="13">
        <f t="shared" si="5"/>
        <v>3.0648369422729611</v>
      </c>
      <c r="O31" s="13">
        <f t="shared" si="6"/>
        <v>62.102220364826763</v>
      </c>
      <c r="P31" s="13"/>
      <c r="R31" s="33">
        <f t="shared" si="1"/>
        <v>3.0648369422729616</v>
      </c>
      <c r="S31" s="33">
        <f t="shared" si="2"/>
        <v>3.0648369422729616</v>
      </c>
      <c r="U31">
        <v>27</v>
      </c>
      <c r="V31">
        <v>0</v>
      </c>
    </row>
    <row r="32" spans="1:22">
      <c r="A32">
        <v>2037</v>
      </c>
      <c r="C32" s="13">
        <f t="shared" si="7"/>
        <v>45.939101265020064</v>
      </c>
      <c r="D32" s="84">
        <f t="shared" si="4"/>
        <v>46.776324471460711</v>
      </c>
      <c r="E32" s="84">
        <f>G32-SUM(F$7:F32)</f>
        <v>0.94265558563475693</v>
      </c>
      <c r="F32" s="20">
        <f>F31+(F35-F15)/20</f>
        <v>0.18500000000000008</v>
      </c>
      <c r="G32" s="13">
        <f t="shared" si="5"/>
        <v>3.5076555856347578</v>
      </c>
      <c r="O32" s="13">
        <f t="shared" si="6"/>
        <v>63.1088126931933</v>
      </c>
      <c r="P32" s="13"/>
      <c r="R32" s="33">
        <f t="shared" si="1"/>
        <v>3.5076555856347547</v>
      </c>
      <c r="S32" s="33">
        <f t="shared" si="2"/>
        <v>3.5076555856347547</v>
      </c>
      <c r="U32">
        <v>28</v>
      </c>
      <c r="V32">
        <v>0</v>
      </c>
    </row>
    <row r="33" spans="1:22">
      <c r="A33">
        <v>2038</v>
      </c>
      <c r="C33" s="13">
        <f t="shared" si="7"/>
        <v>49.04663284859231</v>
      </c>
      <c r="D33" s="84">
        <f t="shared" si="4"/>
        <v>49.901715223755673</v>
      </c>
      <c r="E33" s="84">
        <f>G33-SUM(F$7:F33)</f>
        <v>1.1954742289965457</v>
      </c>
      <c r="F33" s="20">
        <f>F32+(F35-F15)/20</f>
        <v>0.19000000000000009</v>
      </c>
      <c r="G33" s="13">
        <f t="shared" si="5"/>
        <v>3.9504742289965464</v>
      </c>
      <c r="O33" s="13">
        <f t="shared" si="6"/>
        <v>63.77265865505985</v>
      </c>
      <c r="P33" s="13"/>
      <c r="R33" s="33">
        <f t="shared" si="1"/>
        <v>3.9504742289965478</v>
      </c>
      <c r="S33" s="33">
        <f t="shared" si="2"/>
        <v>3.9504742289965478</v>
      </c>
      <c r="U33">
        <v>29</v>
      </c>
      <c r="V33">
        <v>0</v>
      </c>
    </row>
    <row r="34" spans="1:22">
      <c r="A34">
        <v>2039</v>
      </c>
      <c r="C34" s="13">
        <f t="shared" si="7"/>
        <v>51.774010485656405</v>
      </c>
      <c r="D34" s="84">
        <f t="shared" si="4"/>
        <v>52.582663492041149</v>
      </c>
      <c r="E34" s="84">
        <f>G34-SUM(F$7:F34)</f>
        <v>1.4432928723583363</v>
      </c>
      <c r="F34" s="20">
        <f>F33+(F35-F15)/20</f>
        <v>0.19500000000000009</v>
      </c>
      <c r="G34" s="13">
        <f t="shared" si="5"/>
        <v>4.3932928723583373</v>
      </c>
      <c r="O34" s="13">
        <f t="shared" si="6"/>
        <v>64.206411174684547</v>
      </c>
      <c r="P34" s="13"/>
      <c r="R34" s="33">
        <f t="shared" si="1"/>
        <v>4.3932928723583409</v>
      </c>
      <c r="S34" s="33">
        <f t="shared" si="2"/>
        <v>4.3932928723583409</v>
      </c>
      <c r="U34">
        <v>30</v>
      </c>
      <c r="V34">
        <v>0</v>
      </c>
    </row>
    <row r="35" spans="1:22">
      <c r="A35">
        <v>2040</v>
      </c>
      <c r="C35" s="13">
        <f t="shared" si="7"/>
        <v>54.124354992857789</v>
      </c>
      <c r="D35" s="84">
        <f>65*EXP(E35)/(1+EXP(E35))</f>
        <v>54.841286605118306</v>
      </c>
      <c r="E35" s="84">
        <f>G35-SUM(F$7:F35)</f>
        <v>1.6861115157201372</v>
      </c>
      <c r="F35" s="89">
        <v>0.2</v>
      </c>
      <c r="G35" s="13">
        <f t="shared" si="5"/>
        <v>4.8361115157201384</v>
      </c>
      <c r="O35" s="13">
        <f t="shared" si="6"/>
        <v>64.488102447689897</v>
      </c>
      <c r="P35" s="13"/>
      <c r="R35" s="33">
        <f t="shared" si="1"/>
        <v>4.836111515720134</v>
      </c>
      <c r="S35" s="33">
        <f t="shared" si="2"/>
        <v>4.836111515720134</v>
      </c>
      <c r="U35">
        <v>31</v>
      </c>
      <c r="V35">
        <v>0</v>
      </c>
    </row>
    <row r="36" spans="1:22">
      <c r="A36">
        <v>2041</v>
      </c>
      <c r="C36" s="13">
        <f t="shared" si="7"/>
        <v>56.119195802829772</v>
      </c>
      <c r="D36" s="84">
        <f t="shared" si="4"/>
        <v>56.753512229795646</v>
      </c>
      <c r="E36" s="84">
        <f>G36-SUM(F$7:F36)</f>
        <v>1.9289301590819186</v>
      </c>
      <c r="F36" s="89">
        <f>F35</f>
        <v>0.2</v>
      </c>
      <c r="G36" s="13">
        <f t="shared" si="5"/>
        <v>5.27893015908192</v>
      </c>
      <c r="O36" s="13">
        <f t="shared" ref="O36:O50" si="8">65*EXP(R36)/(1+EXP(R36))</f>
        <v>64.670318361099916</v>
      </c>
      <c r="P36" s="13"/>
      <c r="R36" s="33">
        <f t="shared" si="1"/>
        <v>5.2789301590819271</v>
      </c>
      <c r="S36" s="33">
        <f t="shared" si="2"/>
        <v>5.2789301590819271</v>
      </c>
      <c r="U36">
        <v>32</v>
      </c>
      <c r="V36">
        <v>0</v>
      </c>
    </row>
    <row r="37" spans="1:22">
      <c r="A37">
        <v>2042</v>
      </c>
      <c r="C37" s="13">
        <f t="shared" si="7"/>
        <v>57.791904511216536</v>
      </c>
      <c r="D37" s="84">
        <f t="shared" si="4"/>
        <v>58.349440612912503</v>
      </c>
      <c r="E37" s="84">
        <f>G37-SUM(F$7:F37)</f>
        <v>2.1717488024437221</v>
      </c>
      <c r="F37" s="89">
        <f t="shared" ref="F37:F50" si="9">F36</f>
        <v>0.2</v>
      </c>
      <c r="G37" s="13">
        <f t="shared" si="5"/>
        <v>5.7217488024437237</v>
      </c>
      <c r="O37" s="13">
        <f t="shared" si="8"/>
        <v>64.787885735303334</v>
      </c>
      <c r="P37" s="13"/>
      <c r="R37" s="33">
        <f t="shared" si="1"/>
        <v>5.7217488024437202</v>
      </c>
      <c r="S37" s="33">
        <f t="shared" si="2"/>
        <v>5.7217488024437202</v>
      </c>
      <c r="U37">
        <v>33</v>
      </c>
      <c r="V37">
        <v>0</v>
      </c>
    </row>
    <row r="38" spans="1:22">
      <c r="A38">
        <v>2043</v>
      </c>
      <c r="C38" s="13">
        <f t="shared" si="7"/>
        <v>59.181687041037826</v>
      </c>
      <c r="D38" s="84">
        <f t="shared" si="4"/>
        <v>59.665542314920586</v>
      </c>
      <c r="E38" s="84">
        <f>G38-SUM(F$7:F38)</f>
        <v>2.4145674458055826</v>
      </c>
      <c r="F38" s="89">
        <f t="shared" si="9"/>
        <v>0.2</v>
      </c>
      <c r="G38" s="13">
        <f t="shared" si="5"/>
        <v>6.1645674458055844</v>
      </c>
      <c r="O38" s="13">
        <f t="shared" si="8"/>
        <v>64.863615966401042</v>
      </c>
      <c r="P38" s="13"/>
      <c r="R38" s="33">
        <f t="shared" si="1"/>
        <v>6.1645674458055133</v>
      </c>
      <c r="S38" s="33">
        <f t="shared" si="2"/>
        <v>6.1645674458055133</v>
      </c>
      <c r="U38">
        <v>34</v>
      </c>
      <c r="V38">
        <v>0</v>
      </c>
    </row>
    <row r="39" spans="1:22">
      <c r="A39">
        <v>2044</v>
      </c>
      <c r="C39" s="13">
        <f t="shared" si="7"/>
        <v>60.328909368396388</v>
      </c>
      <c r="D39" s="84">
        <f t="shared" si="4"/>
        <v>60.740210141264576</v>
      </c>
      <c r="E39" s="84">
        <f>G39-SUM(F$7:F39)</f>
        <v>2.6573860891673586</v>
      </c>
      <c r="F39" s="89">
        <f t="shared" si="9"/>
        <v>0.2</v>
      </c>
      <c r="G39" s="13">
        <f t="shared" si="5"/>
        <v>6.6073860891673606</v>
      </c>
      <c r="O39" s="13">
        <f t="shared" si="8"/>
        <v>64.912345143880017</v>
      </c>
      <c r="P39" s="13"/>
      <c r="R39" s="33">
        <f t="shared" si="1"/>
        <v>6.6073860891673064</v>
      </c>
      <c r="S39" s="33">
        <f t="shared" si="2"/>
        <v>6.6073860891673064</v>
      </c>
      <c r="U39">
        <v>35</v>
      </c>
      <c r="V39">
        <v>0</v>
      </c>
    </row>
    <row r="40" spans="1:22">
      <c r="A40">
        <v>2045</v>
      </c>
      <c r="C40" s="13">
        <f t="shared" si="7"/>
        <v>61.266804393390196</v>
      </c>
      <c r="D40" s="84">
        <f t="shared" si="4"/>
        <v>61.610676182462953</v>
      </c>
      <c r="E40" s="84">
        <f>G40-SUM(F$7:F40)</f>
        <v>2.9002047325291773</v>
      </c>
      <c r="F40" s="89">
        <f t="shared" si="9"/>
        <v>0.2</v>
      </c>
      <c r="G40" s="13">
        <f t="shared" si="5"/>
        <v>7.0502047325291795</v>
      </c>
      <c r="O40" s="13">
        <f t="shared" si="8"/>
        <v>64.943678803247096</v>
      </c>
      <c r="P40" s="13"/>
      <c r="R40" s="33">
        <f t="shared" si="1"/>
        <v>7.0502047325290995</v>
      </c>
      <c r="S40" s="33">
        <f t="shared" si="2"/>
        <v>7.0502047325290995</v>
      </c>
      <c r="U40">
        <v>36</v>
      </c>
      <c r="V40">
        <v>0</v>
      </c>
    </row>
    <row r="41" spans="1:22">
      <c r="A41">
        <v>2046</v>
      </c>
      <c r="C41" s="13">
        <f t="shared" si="7"/>
        <v>62.027431587602983</v>
      </c>
      <c r="D41" s="84">
        <f t="shared" si="4"/>
        <v>62.311141200790196</v>
      </c>
      <c r="E41" s="84">
        <f>G41-SUM(F$7:F41)</f>
        <v>3.143023375891036</v>
      </c>
      <c r="F41" s="89">
        <f t="shared" si="9"/>
        <v>0.2</v>
      </c>
      <c r="G41" s="13">
        <f t="shared" si="5"/>
        <v>7.4930233758910383</v>
      </c>
      <c r="O41" s="13">
        <f t="shared" si="8"/>
        <v>64.963817977787613</v>
      </c>
      <c r="P41" s="13"/>
      <c r="R41" s="33">
        <f t="shared" si="1"/>
        <v>7.4930233758908926</v>
      </c>
      <c r="S41" s="33">
        <f t="shared" si="2"/>
        <v>7.4930233758908926</v>
      </c>
      <c r="U41">
        <v>37</v>
      </c>
      <c r="V41">
        <v>0</v>
      </c>
    </row>
    <row r="42" spans="1:22">
      <c r="A42">
        <v>2047</v>
      </c>
      <c r="C42" s="13">
        <f t="shared" si="7"/>
        <v>62.640231103336525</v>
      </c>
      <c r="D42" s="84">
        <f t="shared" si="4"/>
        <v>62.871842896628223</v>
      </c>
      <c r="E42" s="84">
        <f>G42-SUM(F$7:F42)</f>
        <v>3.3858420192527605</v>
      </c>
      <c r="F42" s="89">
        <f t="shared" si="9"/>
        <v>0.2</v>
      </c>
      <c r="G42" s="13">
        <f t="shared" si="5"/>
        <v>7.935842019252763</v>
      </c>
      <c r="O42" s="13">
        <f t="shared" si="8"/>
        <v>64.976758420301763</v>
      </c>
      <c r="P42" s="13"/>
      <c r="R42" s="33">
        <f t="shared" si="1"/>
        <v>7.9358420192526857</v>
      </c>
      <c r="S42" s="33">
        <f t="shared" si="2"/>
        <v>7.9358420192526857</v>
      </c>
      <c r="U42">
        <v>38</v>
      </c>
      <c r="V42">
        <v>0</v>
      </c>
    </row>
    <row r="43" spans="1:22">
      <c r="A43">
        <v>2048</v>
      </c>
      <c r="C43" s="13">
        <f t="shared" si="7"/>
        <v>63.131279137563055</v>
      </c>
      <c r="D43" s="84">
        <f t="shared" si="4"/>
        <v>63.318777404752332</v>
      </c>
      <c r="E43" s="84">
        <f>G43-SUM(F$7:F43)</f>
        <v>3.6286606626153075</v>
      </c>
      <c r="F43" s="89">
        <f t="shared" si="9"/>
        <v>0.2</v>
      </c>
      <c r="G43" s="13">
        <f t="shared" si="5"/>
        <v>8.3786606626153102</v>
      </c>
      <c r="O43" s="13">
        <f t="shared" si="8"/>
        <v>64.985071797707363</v>
      </c>
      <c r="P43" s="13"/>
      <c r="R43" s="33">
        <f t="shared" si="1"/>
        <v>8.3786606626144788</v>
      </c>
      <c r="S43" s="33">
        <f t="shared" si="2"/>
        <v>8.3786606626144788</v>
      </c>
      <c r="U43">
        <v>39</v>
      </c>
      <c r="V43">
        <v>0</v>
      </c>
    </row>
    <row r="44" spans="1:22">
      <c r="A44">
        <v>2049</v>
      </c>
      <c r="C44" s="13">
        <f t="shared" si="7"/>
        <v>63.523052740152814</v>
      </c>
      <c r="D44" s="84">
        <f t="shared" si="4"/>
        <v>63.673830972402065</v>
      </c>
      <c r="E44" s="84">
        <f>G44-SUM(F$7:F44)</f>
        <v>3.871479305976866</v>
      </c>
      <c r="F44" s="89">
        <f t="shared" si="9"/>
        <v>0.2</v>
      </c>
      <c r="G44" s="13">
        <f t="shared" si="5"/>
        <v>8.8214793059768688</v>
      </c>
      <c r="O44" s="13">
        <f t="shared" si="8"/>
        <v>64.990411967331198</v>
      </c>
      <c r="P44" s="13"/>
      <c r="R44" s="33">
        <f t="shared" si="1"/>
        <v>8.8214793059762719</v>
      </c>
      <c r="S44" s="33">
        <f t="shared" si="2"/>
        <v>8.8214793059762719</v>
      </c>
      <c r="U44">
        <v>40</v>
      </c>
      <c r="V44">
        <v>0</v>
      </c>
    </row>
    <row r="45" spans="1:22">
      <c r="A45">
        <v>2050</v>
      </c>
      <c r="C45" s="13">
        <f t="shared" si="7"/>
        <v>63.834527550878875</v>
      </c>
      <c r="D45" s="84">
        <f t="shared" si="4"/>
        <v>63.955138925055316</v>
      </c>
      <c r="E45" s="84">
        <f>G45-SUM(F$7:F45)</f>
        <v>4.1142979493378879</v>
      </c>
      <c r="F45" s="89">
        <f t="shared" si="9"/>
        <v>0.2</v>
      </c>
      <c r="G45" s="13">
        <f t="shared" si="5"/>
        <v>9.264297949337891</v>
      </c>
      <c r="O45" s="13">
        <f t="shared" si="8"/>
        <v>64.993842013502658</v>
      </c>
      <c r="P45" s="13"/>
      <c r="R45" s="33">
        <f t="shared" si="1"/>
        <v>9.2642979493380651</v>
      </c>
      <c r="S45" s="33">
        <f t="shared" si="2"/>
        <v>9.2642979493380651</v>
      </c>
      <c r="U45">
        <v>41</v>
      </c>
      <c r="V45">
        <v>0</v>
      </c>
    </row>
    <row r="46" spans="1:22">
      <c r="A46">
        <v>2051</v>
      </c>
      <c r="C46" s="20">
        <f t="shared" si="7"/>
        <v>64.08146772293999</v>
      </c>
      <c r="D46" s="84">
        <f t="shared" si="4"/>
        <v>64.177546380850302</v>
      </c>
      <c r="E46" s="84">
        <f>G46-SUM(F$7:F46)</f>
        <v>4.3571165926985032</v>
      </c>
      <c r="F46" s="89">
        <f t="shared" si="9"/>
        <v>0.2</v>
      </c>
      <c r="G46" s="13">
        <f t="shared" si="5"/>
        <v>9.7071165926985064</v>
      </c>
      <c r="O46" s="13">
        <f t="shared" si="8"/>
        <v>64.996045061270792</v>
      </c>
      <c r="P46" s="13"/>
      <c r="R46" s="33">
        <f t="shared" si="1"/>
        <v>9.7071165926998582</v>
      </c>
      <c r="S46" s="33">
        <f t="shared" si="2"/>
        <v>9.7071165926998582</v>
      </c>
      <c r="U46">
        <v>42</v>
      </c>
      <c r="V46">
        <v>0</v>
      </c>
    </row>
    <row r="47" spans="1:22">
      <c r="A47">
        <v>2052</v>
      </c>
      <c r="C47" s="20">
        <f t="shared" si="7"/>
        <v>64.276806840839583</v>
      </c>
      <c r="D47" s="84">
        <f t="shared" si="4"/>
        <v>64.353091400591254</v>
      </c>
      <c r="E47" s="84">
        <f>G47-SUM(F$7:F47)</f>
        <v>4.5999352360637848</v>
      </c>
      <c r="F47" s="89">
        <f t="shared" si="9"/>
        <v>0.2</v>
      </c>
      <c r="G47" s="13">
        <f t="shared" si="5"/>
        <v>10.149935236063788</v>
      </c>
      <c r="O47" s="13">
        <f t="shared" si="8"/>
        <v>64.997459989448984</v>
      </c>
      <c r="P47" s="13"/>
      <c r="R47" s="33">
        <f t="shared" si="1"/>
        <v>10.149935236061651</v>
      </c>
      <c r="S47" s="33">
        <f t="shared" si="2"/>
        <v>10.149935236061651</v>
      </c>
      <c r="U47">
        <v>43</v>
      </c>
      <c r="V47">
        <v>0</v>
      </c>
    </row>
    <row r="48" spans="1:22">
      <c r="A48">
        <v>2053</v>
      </c>
      <c r="C48" s="20">
        <f t="shared" si="7"/>
        <v>64.377302818912497</v>
      </c>
      <c r="D48" s="84">
        <f t="shared" si="4"/>
        <v>64.491464875872609</v>
      </c>
      <c r="E48" s="84">
        <f>G48-SUM(F$7:F48)</f>
        <v>4.8427538794219895</v>
      </c>
      <c r="F48" s="89">
        <f t="shared" si="9"/>
        <v>0.2</v>
      </c>
      <c r="G48" s="13">
        <f t="shared" si="5"/>
        <v>10.592753879421993</v>
      </c>
      <c r="O48" s="13">
        <f t="shared" si="8"/>
        <v>64.99836872230037</v>
      </c>
      <c r="P48" s="13"/>
      <c r="R48" s="33">
        <f t="shared" si="1"/>
        <v>10.592753879423444</v>
      </c>
      <c r="S48" s="33">
        <f t="shared" si="2"/>
        <v>10.592753879423444</v>
      </c>
      <c r="U48">
        <v>44</v>
      </c>
      <c r="V48">
        <v>0</v>
      </c>
    </row>
    <row r="49" spans="1:22">
      <c r="A49">
        <v>2054</v>
      </c>
      <c r="C49" s="20">
        <f t="shared" si="7"/>
        <v>64.461735597683941</v>
      </c>
      <c r="D49" s="84">
        <f t="shared" si="4"/>
        <v>64.600424101056021</v>
      </c>
      <c r="E49" s="84">
        <f>G49-SUM(F$7:F49)</f>
        <v>5.0855725227784818</v>
      </c>
      <c r="F49" s="89">
        <f t="shared" si="9"/>
        <v>0.2</v>
      </c>
      <c r="G49" s="13">
        <f t="shared" si="5"/>
        <v>11.035572522778486</v>
      </c>
      <c r="O49" s="13">
        <f t="shared" si="8"/>
        <v>64.998952345445275</v>
      </c>
      <c r="P49" s="13"/>
      <c r="R49" s="33">
        <f t="shared" si="1"/>
        <v>11.035572522785237</v>
      </c>
      <c r="S49" s="33">
        <f t="shared" si="2"/>
        <v>11.035572522785237</v>
      </c>
      <c r="U49">
        <v>45</v>
      </c>
      <c r="V49">
        <v>0</v>
      </c>
    </row>
    <row r="50" spans="1:22">
      <c r="A50">
        <v>2055</v>
      </c>
      <c r="C50" s="20">
        <f t="shared" si="7"/>
        <v>64.532782901892332</v>
      </c>
      <c r="D50" s="84">
        <f>65*EXP(E50)/(1+EXP(E50))</f>
        <v>64.686151230049447</v>
      </c>
      <c r="E50" s="84">
        <f>G50-SUM(F$7:F50)</f>
        <v>5.3283911661458045</v>
      </c>
      <c r="F50" s="89">
        <f t="shared" si="9"/>
        <v>0.2</v>
      </c>
      <c r="G50" s="13">
        <f t="shared" si="5"/>
        <v>11.478391166145808</v>
      </c>
      <c r="O50" s="13">
        <f t="shared" si="8"/>
        <v>64.999327167569092</v>
      </c>
      <c r="P50" s="13"/>
      <c r="R50" s="33">
        <f t="shared" si="1"/>
        <v>11.478391166147031</v>
      </c>
      <c r="S50" s="33">
        <f t="shared" si="2"/>
        <v>11.478391166147031</v>
      </c>
      <c r="U50">
        <v>46</v>
      </c>
      <c r="V50">
        <v>0</v>
      </c>
    </row>
    <row r="57" spans="1:22">
      <c r="T57" s="41" t="s">
        <v>159</v>
      </c>
      <c r="U57" s="41">
        <v>-8.8912664284954559</v>
      </c>
    </row>
    <row r="58" spans="1:22">
      <c r="T58" t="s">
        <v>329</v>
      </c>
      <c r="U58" s="41">
        <v>0.44281864336179322</v>
      </c>
    </row>
    <row r="59" spans="1:22" ht="15.75" thickBot="1">
      <c r="T59" t="s">
        <v>1355</v>
      </c>
      <c r="U59" s="42">
        <v>-0.46942751816880379</v>
      </c>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Y74"/>
  <sheetViews>
    <sheetView zoomScale="75" zoomScaleNormal="75" workbookViewId="0">
      <pane xSplit="1" ySplit="3" topLeftCell="B16" activePane="bottomRight" state="frozen"/>
      <selection pane="topRight" activeCell="B1" sqref="B1"/>
      <selection pane="bottomLeft" activeCell="A4" sqref="A4"/>
      <selection pane="bottomRight" activeCell="AH25" sqref="AH25"/>
    </sheetView>
  </sheetViews>
  <sheetFormatPr defaultRowHeight="15"/>
  <cols>
    <col min="1" max="1" width="9.28515625" customWidth="1"/>
    <col min="4" max="4" width="9.140625" style="13"/>
    <col min="16" max="17" width="12.5703125" customWidth="1"/>
    <col min="21" max="21" width="11.42578125" customWidth="1"/>
    <col min="53" max="53" width="10.42578125" style="166" customWidth="1"/>
    <col min="57" max="57" width="13.7109375" customWidth="1"/>
  </cols>
  <sheetData>
    <row r="1" spans="1:77">
      <c r="A1" t="s">
        <v>820</v>
      </c>
      <c r="BA1" t="s">
        <v>820</v>
      </c>
      <c r="BD1" s="13"/>
      <c r="BY1" s="166"/>
    </row>
    <row r="2" spans="1:77">
      <c r="B2" s="13"/>
      <c r="C2" s="13"/>
      <c r="E2" s="13"/>
      <c r="G2" s="13"/>
      <c r="H2" s="13"/>
      <c r="I2" s="13"/>
      <c r="J2" s="13"/>
      <c r="L2" s="13"/>
      <c r="M2" s="13"/>
      <c r="N2" s="13"/>
      <c r="O2" s="13"/>
      <c r="P2" s="13"/>
      <c r="Q2" s="13"/>
      <c r="R2" s="13"/>
      <c r="S2" s="13"/>
      <c r="T2" s="13"/>
      <c r="U2" s="13"/>
      <c r="V2" s="13"/>
      <c r="W2" s="13"/>
      <c r="BA2"/>
      <c r="BB2" t="s">
        <v>255</v>
      </c>
      <c r="BC2" t="s">
        <v>539</v>
      </c>
      <c r="BD2" s="13" t="s">
        <v>540</v>
      </c>
      <c r="BE2" t="s">
        <v>238</v>
      </c>
      <c r="BF2" t="s">
        <v>239</v>
      </c>
      <c r="BG2" t="s">
        <v>541</v>
      </c>
      <c r="BH2" t="s">
        <v>542</v>
      </c>
      <c r="BI2" t="s">
        <v>240</v>
      </c>
      <c r="BJ2" t="s">
        <v>241</v>
      </c>
      <c r="BK2" t="s">
        <v>242</v>
      </c>
      <c r="BL2" t="s">
        <v>544</v>
      </c>
      <c r="BM2" t="s">
        <v>538</v>
      </c>
      <c r="BN2" t="s">
        <v>243</v>
      </c>
      <c r="BO2" t="s">
        <v>244</v>
      </c>
      <c r="BP2" t="s">
        <v>245</v>
      </c>
      <c r="BQ2" t="s">
        <v>331</v>
      </c>
      <c r="BR2" t="s">
        <v>246</v>
      </c>
      <c r="BS2" t="s">
        <v>545</v>
      </c>
      <c r="BT2" t="s">
        <v>247</v>
      </c>
      <c r="BU2" t="s">
        <v>546</v>
      </c>
      <c r="BV2" t="s">
        <v>248</v>
      </c>
      <c r="BW2" t="s">
        <v>249</v>
      </c>
      <c r="BY2" s="166"/>
    </row>
    <row r="3" spans="1:77">
      <c r="B3" s="12" t="s">
        <v>255</v>
      </c>
      <c r="C3" s="12" t="s">
        <v>539</v>
      </c>
      <c r="D3" s="13" t="s">
        <v>540</v>
      </c>
      <c r="E3" s="12" t="s">
        <v>238</v>
      </c>
      <c r="F3" t="s">
        <v>239</v>
      </c>
      <c r="G3" s="12" t="s">
        <v>541</v>
      </c>
      <c r="H3" s="12" t="s">
        <v>682</v>
      </c>
      <c r="I3" s="12" t="s">
        <v>240</v>
      </c>
      <c r="J3" s="12" t="s">
        <v>241</v>
      </c>
      <c r="K3" s="12" t="s">
        <v>242</v>
      </c>
      <c r="L3" s="12" t="s">
        <v>544</v>
      </c>
      <c r="M3" s="83" t="s">
        <v>538</v>
      </c>
      <c r="N3" s="12" t="s">
        <v>243</v>
      </c>
      <c r="O3" s="12" t="s">
        <v>244</v>
      </c>
      <c r="P3" s="12" t="s">
        <v>245</v>
      </c>
      <c r="Q3" s="12" t="s">
        <v>684</v>
      </c>
      <c r="R3" s="12" t="s">
        <v>246</v>
      </c>
      <c r="S3" s="12" t="s">
        <v>545</v>
      </c>
      <c r="T3" s="12" t="s">
        <v>685</v>
      </c>
      <c r="U3" s="12" t="s">
        <v>546</v>
      </c>
      <c r="V3" t="s">
        <v>248</v>
      </c>
      <c r="W3" s="12" t="s">
        <v>249</v>
      </c>
      <c r="BA3"/>
      <c r="BB3" s="12" t="s">
        <v>255</v>
      </c>
      <c r="BC3" s="12" t="s">
        <v>539</v>
      </c>
      <c r="BD3" s="13" t="s">
        <v>540</v>
      </c>
      <c r="BE3" s="12" t="s">
        <v>238</v>
      </c>
      <c r="BF3" t="s">
        <v>239</v>
      </c>
      <c r="BG3" s="12" t="s">
        <v>541</v>
      </c>
      <c r="BH3" s="12" t="s">
        <v>682</v>
      </c>
      <c r="BI3" s="12" t="s">
        <v>240</v>
      </c>
      <c r="BJ3" s="12" t="s">
        <v>241</v>
      </c>
      <c r="BK3" s="12" t="s">
        <v>544</v>
      </c>
      <c r="BL3" s="13" t="s">
        <v>683</v>
      </c>
      <c r="BM3" s="83" t="s">
        <v>538</v>
      </c>
      <c r="BN3" s="12" t="s">
        <v>243</v>
      </c>
      <c r="BO3" s="12" t="s">
        <v>244</v>
      </c>
      <c r="BP3" s="12" t="s">
        <v>245</v>
      </c>
      <c r="BQ3" s="12" t="s">
        <v>684</v>
      </c>
      <c r="BR3" s="12" t="s">
        <v>246</v>
      </c>
      <c r="BS3" s="12" t="s">
        <v>545</v>
      </c>
      <c r="BT3" s="12" t="s">
        <v>685</v>
      </c>
      <c r="BU3" s="12" t="s">
        <v>546</v>
      </c>
      <c r="BV3" t="s">
        <v>248</v>
      </c>
      <c r="BW3" s="12" t="s">
        <v>249</v>
      </c>
    </row>
    <row r="4" spans="1:77">
      <c r="A4">
        <v>1965</v>
      </c>
      <c r="B4" s="13">
        <v>8.6905460951262476</v>
      </c>
      <c r="C4" s="13">
        <v>21.564862052796013</v>
      </c>
      <c r="D4" s="13">
        <v>17.68685431514076</v>
      </c>
      <c r="E4" s="13">
        <v>14.439039085899688</v>
      </c>
      <c r="G4" s="13">
        <v>10.777856577253695</v>
      </c>
      <c r="H4" s="13">
        <v>10.496444317513292</v>
      </c>
      <c r="I4" s="13">
        <v>12.51844242847776</v>
      </c>
      <c r="J4" s="13">
        <v>28.194976846799833</v>
      </c>
      <c r="K4" s="13">
        <v>3.4842846884494669</v>
      </c>
      <c r="L4" s="13">
        <v>7.2005867340468352</v>
      </c>
      <c r="M4" s="13">
        <v>5.271275810690657</v>
      </c>
      <c r="N4" s="13">
        <v>25.237167537062856</v>
      </c>
      <c r="O4" s="13">
        <v>3.021998955151608</v>
      </c>
      <c r="P4" s="13">
        <v>19.80943053113025</v>
      </c>
      <c r="Q4" s="13">
        <v>5.6928196141407383</v>
      </c>
      <c r="R4" s="13">
        <v>10.951457248938663</v>
      </c>
      <c r="S4" s="13">
        <v>4.0122598719610858</v>
      </c>
      <c r="T4" s="13">
        <v>11.010400120880865</v>
      </c>
      <c r="U4" s="13">
        <v>28.164078448404684</v>
      </c>
      <c r="V4" s="13">
        <v>7.7559487282150537</v>
      </c>
      <c r="W4" s="13">
        <v>14.444279282050514</v>
      </c>
      <c r="BA4">
        <v>1965</v>
      </c>
      <c r="BB4" s="13">
        <v>8.6905460951262476</v>
      </c>
      <c r="BC4" s="13">
        <v>21.564862052796013</v>
      </c>
      <c r="BD4" s="13">
        <v>17.68685431514076</v>
      </c>
      <c r="BE4" s="13">
        <v>14.439039085899688</v>
      </c>
      <c r="BG4" s="13">
        <v>10.777856577253695</v>
      </c>
      <c r="BH4" s="13">
        <v>10.496444317513292</v>
      </c>
      <c r="BI4" s="13">
        <v>12.51844242847776</v>
      </c>
      <c r="BJ4" s="13">
        <v>28.194976846799833</v>
      </c>
      <c r="BK4" s="13">
        <v>7.2005867340468352</v>
      </c>
      <c r="BL4">
        <v>8.721621575793917E-4</v>
      </c>
      <c r="BM4" s="13">
        <v>5.271275810690657</v>
      </c>
      <c r="BN4" s="13">
        <v>25.237167537062856</v>
      </c>
      <c r="BO4" s="13">
        <v>3.021998955151608</v>
      </c>
      <c r="BP4" s="13">
        <v>19.80943053113025</v>
      </c>
      <c r="BQ4" s="13">
        <v>5.6928196141407383</v>
      </c>
      <c r="BR4" s="13">
        <v>10.951457248938663</v>
      </c>
      <c r="BS4" s="13">
        <v>4.0122598719610858</v>
      </c>
      <c r="BT4" s="13">
        <v>11.010400120880865</v>
      </c>
      <c r="BU4" s="13">
        <v>28.164078448404684</v>
      </c>
      <c r="BV4" s="13">
        <v>7.7559487282150537</v>
      </c>
      <c r="BW4" s="13">
        <v>14.444279282050514</v>
      </c>
    </row>
    <row r="5" spans="1:77">
      <c r="A5">
        <v>1966</v>
      </c>
      <c r="B5" s="13">
        <v>8.9841456253669989</v>
      </c>
      <c r="C5" s="13">
        <v>22.007981366877896</v>
      </c>
      <c r="D5" s="13">
        <v>18.425165695113382</v>
      </c>
      <c r="E5" s="13">
        <v>14.989983580294338</v>
      </c>
      <c r="G5" s="13">
        <v>11.365249760633228</v>
      </c>
      <c r="H5" s="13">
        <v>10.903040777498635</v>
      </c>
      <c r="I5" s="13">
        <v>12.844169671593843</v>
      </c>
      <c r="J5" s="13">
        <v>29.191121731883843</v>
      </c>
      <c r="K5" s="13">
        <v>3.8609641141995366</v>
      </c>
      <c r="L5" s="13">
        <v>7.5597608941774439</v>
      </c>
      <c r="M5" s="13">
        <v>5.3949710944495015</v>
      </c>
      <c r="N5" s="13">
        <v>26.509329239934679</v>
      </c>
      <c r="O5" s="13">
        <v>3.3623180432871553</v>
      </c>
      <c r="P5" s="13">
        <v>20.950877849631027</v>
      </c>
      <c r="Q5" s="13">
        <v>5.8496840631162668</v>
      </c>
      <c r="R5" s="13">
        <v>11.307444332641511</v>
      </c>
      <c r="S5" s="13">
        <v>4.2626394925973923</v>
      </c>
      <c r="T5" s="13">
        <v>11.715595659175058</v>
      </c>
      <c r="U5" s="13">
        <v>29.509189483925589</v>
      </c>
      <c r="V5" s="13">
        <v>8.0591766957641209</v>
      </c>
      <c r="W5" s="13">
        <v>14.856972975823387</v>
      </c>
      <c r="BA5">
        <v>1966</v>
      </c>
      <c r="BB5" s="13">
        <v>8.9841456253669989</v>
      </c>
      <c r="BC5" s="13">
        <v>22.007981366877896</v>
      </c>
      <c r="BD5" s="13">
        <v>18.425165695113382</v>
      </c>
      <c r="BE5" s="13">
        <v>14.989983580294338</v>
      </c>
      <c r="BG5" s="13">
        <v>11.365249760633228</v>
      </c>
      <c r="BH5" s="13">
        <v>10.903040777498635</v>
      </c>
      <c r="BI5" s="13">
        <v>12.844169671593843</v>
      </c>
      <c r="BJ5" s="13">
        <v>29.191121731883843</v>
      </c>
      <c r="BK5" s="13">
        <v>7.5597608941774439</v>
      </c>
      <c r="BL5">
        <v>9.7668955510476704E-4</v>
      </c>
      <c r="BM5" s="13">
        <v>5.3949710944495015</v>
      </c>
      <c r="BN5" s="13">
        <v>26.509329239934679</v>
      </c>
      <c r="BO5" s="13">
        <v>3.3623180432871553</v>
      </c>
      <c r="BP5" s="13">
        <v>20.950877849631027</v>
      </c>
      <c r="BQ5" s="13">
        <v>5.8496840631162668</v>
      </c>
      <c r="BR5" s="13">
        <v>11.307444332641511</v>
      </c>
      <c r="BS5" s="13">
        <v>4.2626394925973923</v>
      </c>
      <c r="BT5" s="13">
        <v>11.715595659175058</v>
      </c>
      <c r="BU5" s="13">
        <v>29.509189483925589</v>
      </c>
      <c r="BV5" s="13">
        <v>8.0591766957641209</v>
      </c>
      <c r="BW5" s="13">
        <v>14.856972975823387</v>
      </c>
    </row>
    <row r="6" spans="1:77">
      <c r="A6">
        <v>1967</v>
      </c>
      <c r="B6" s="13">
        <v>9.2190252495595999</v>
      </c>
      <c r="C6" s="13">
        <v>22.88272577979297</v>
      </c>
      <c r="D6" s="13">
        <v>18.928227809835406</v>
      </c>
      <c r="E6" s="13">
        <v>15.526617797276758</v>
      </c>
      <c r="G6" s="13">
        <v>12.239821072801133</v>
      </c>
      <c r="H6" s="13">
        <v>11.489382214792395</v>
      </c>
      <c r="I6" s="13">
        <v>13.202751273859947</v>
      </c>
      <c r="J6" s="13">
        <v>29.71540858183813</v>
      </c>
      <c r="K6" s="13">
        <v>4.3649472348113489</v>
      </c>
      <c r="L6" s="13">
        <v>7.790658568461601</v>
      </c>
      <c r="M6" s="13">
        <v>5.5963833306590463</v>
      </c>
      <c r="N6" s="13">
        <v>27.567010917334336</v>
      </c>
      <c r="O6" s="13">
        <v>3.7282202869570544</v>
      </c>
      <c r="P6" s="13">
        <v>21.674800026741462</v>
      </c>
      <c r="Q6" s="13">
        <v>6.2039948055688088</v>
      </c>
      <c r="R6" s="13">
        <v>11.825243756402854</v>
      </c>
      <c r="S6" s="13">
        <v>4.5350918929564639</v>
      </c>
      <c r="T6" s="13">
        <v>12.218114461123402</v>
      </c>
      <c r="U6" s="13">
        <v>30.691091541135776</v>
      </c>
      <c r="V6" s="13">
        <v>8.2592148905897211</v>
      </c>
      <c r="W6" s="13">
        <v>15.315521524459911</v>
      </c>
      <c r="BA6">
        <v>1967</v>
      </c>
      <c r="BB6" s="13">
        <v>9.2190252495595999</v>
      </c>
      <c r="BC6" s="13">
        <v>22.88272577979297</v>
      </c>
      <c r="BD6" s="13">
        <v>18.928227809835406</v>
      </c>
      <c r="BE6" s="13">
        <v>15.526617797276758</v>
      </c>
      <c r="BG6" s="13">
        <v>12.239821072801133</v>
      </c>
      <c r="BH6" s="13">
        <v>11.489382214792395</v>
      </c>
      <c r="BI6" s="13">
        <v>13.202751273859947</v>
      </c>
      <c r="BJ6" s="13">
        <v>29.71540858183813</v>
      </c>
      <c r="BK6" s="13">
        <v>7.790658568461601</v>
      </c>
      <c r="BL6">
        <v>1.0937444129636106E-3</v>
      </c>
      <c r="BM6" s="13">
        <v>5.5963833306590463</v>
      </c>
      <c r="BN6" s="13">
        <v>27.567010917334336</v>
      </c>
      <c r="BO6" s="13">
        <v>3.7282202869570544</v>
      </c>
      <c r="BP6" s="13">
        <v>21.674800026741462</v>
      </c>
      <c r="BQ6" s="13">
        <v>6.2039948055688088</v>
      </c>
      <c r="BR6" s="13">
        <v>11.825243756402854</v>
      </c>
      <c r="BS6" s="13">
        <v>4.5350918929564639</v>
      </c>
      <c r="BT6" s="13">
        <v>12.218114461123402</v>
      </c>
      <c r="BU6" s="13">
        <v>30.691091541135776</v>
      </c>
      <c r="BV6" s="13">
        <v>8.2592148905897211</v>
      </c>
      <c r="BW6" s="13">
        <v>15.315521524459911</v>
      </c>
    </row>
    <row r="7" spans="1:77">
      <c r="A7">
        <v>1968</v>
      </c>
      <c r="B7" s="13">
        <v>9.5713446858485032</v>
      </c>
      <c r="C7" s="13">
        <v>23.515402484751704</v>
      </c>
      <c r="D7" s="13">
        <v>19.439565366415597</v>
      </c>
      <c r="E7" s="13">
        <v>16.156268728809724</v>
      </c>
      <c r="G7" s="13">
        <v>13.219641638144269</v>
      </c>
      <c r="H7" s="13">
        <v>12.545447968333336</v>
      </c>
      <c r="I7" s="13">
        <v>13.802577613513851</v>
      </c>
      <c r="J7" s="13">
        <v>30.152314234216892</v>
      </c>
      <c r="K7" s="13">
        <v>4.4957387021027087</v>
      </c>
      <c r="L7" s="13">
        <v>8.038659774351574</v>
      </c>
      <c r="M7" s="13">
        <v>5.6678667184352207</v>
      </c>
      <c r="N7" s="13">
        <v>29.038933822378414</v>
      </c>
      <c r="O7" s="13">
        <v>4.129817465471552</v>
      </c>
      <c r="P7" s="13">
        <v>22.481274685648458</v>
      </c>
      <c r="Q7" s="13">
        <v>6.4715065326687276</v>
      </c>
      <c r="R7" s="13">
        <v>12.233010798796391</v>
      </c>
      <c r="S7" s="13">
        <v>4.7597769891207742</v>
      </c>
      <c r="T7" s="13">
        <v>12.455527575564963</v>
      </c>
      <c r="U7" s="13">
        <v>31.42639515740753</v>
      </c>
      <c r="V7" s="13">
        <v>8.6471852330718555</v>
      </c>
      <c r="W7" s="13">
        <v>15.957489492551044</v>
      </c>
      <c r="BA7">
        <v>1968</v>
      </c>
      <c r="BB7" s="13">
        <v>9.5713446858485032</v>
      </c>
      <c r="BC7" s="13">
        <v>23.515402484751704</v>
      </c>
      <c r="BD7" s="13">
        <v>19.439565366415597</v>
      </c>
      <c r="BE7" s="13">
        <v>16.156268728809724</v>
      </c>
      <c r="BG7" s="13">
        <v>13.219641638144269</v>
      </c>
      <c r="BH7" s="13">
        <v>12.545447968333336</v>
      </c>
      <c r="BI7" s="13">
        <v>13.802577613513851</v>
      </c>
      <c r="BJ7" s="13">
        <v>30.152314234216892</v>
      </c>
      <c r="BK7" s="13">
        <v>8.038659774351574</v>
      </c>
      <c r="BL7">
        <v>1.2248281295081439E-3</v>
      </c>
      <c r="BM7" s="13">
        <v>5.6678667184352207</v>
      </c>
      <c r="BN7" s="13">
        <v>29.038933822378414</v>
      </c>
      <c r="BO7" s="13">
        <v>4.129817465471552</v>
      </c>
      <c r="BP7" s="13">
        <v>22.481274685648458</v>
      </c>
      <c r="BQ7" s="13">
        <v>6.4715065326687276</v>
      </c>
      <c r="BR7" s="13">
        <v>12.233010798796391</v>
      </c>
      <c r="BS7" s="13">
        <v>4.7597769891207742</v>
      </c>
      <c r="BT7" s="13">
        <v>12.455527575564963</v>
      </c>
      <c r="BU7" s="13">
        <v>31.42639515740753</v>
      </c>
      <c r="BV7" s="13">
        <v>8.6471852330718555</v>
      </c>
      <c r="BW7" s="13">
        <v>15.957489492551044</v>
      </c>
    </row>
    <row r="8" spans="1:77">
      <c r="A8">
        <v>1969</v>
      </c>
      <c r="B8" s="13">
        <v>9.8062243100411042</v>
      </c>
      <c r="C8" s="13">
        <v>24.239771413200042</v>
      </c>
      <c r="D8" s="13">
        <v>20.169325095105609</v>
      </c>
      <c r="E8" s="13">
        <v>16.89324645907293</v>
      </c>
      <c r="G8" s="13">
        <v>13.680733616930011</v>
      </c>
      <c r="H8" s="13">
        <v>12.822150619631856</v>
      </c>
      <c r="I8" s="13">
        <v>14.637077867356718</v>
      </c>
      <c r="J8" s="13">
        <v>30.729029708973055</v>
      </c>
      <c r="K8" s="13">
        <v>4.5215762808648945</v>
      </c>
      <c r="L8" s="13">
        <v>8.4149374659169727</v>
      </c>
      <c r="M8" s="13">
        <v>5.8184763335255099</v>
      </c>
      <c r="N8" s="13">
        <v>30.563425287583058</v>
      </c>
      <c r="O8" s="13">
        <v>4.6414836782466296</v>
      </c>
      <c r="P8" s="13">
        <v>24.149788131765938</v>
      </c>
      <c r="Q8" s="13">
        <v>6.7902438904484708</v>
      </c>
      <c r="R8" s="13">
        <v>12.595470382550733</v>
      </c>
      <c r="S8" s="13">
        <v>4.862604545718626</v>
      </c>
      <c r="T8" s="13">
        <v>12.790829506012242</v>
      </c>
      <c r="U8" s="13">
        <v>32.208606932266044</v>
      </c>
      <c r="V8" s="13">
        <v>9.1181686175904542</v>
      </c>
      <c r="W8" s="13">
        <v>16.828731734960446</v>
      </c>
      <c r="AZ8" s="12"/>
      <c r="BA8">
        <v>1969</v>
      </c>
      <c r="BB8" s="13">
        <v>9.8062243100411042</v>
      </c>
      <c r="BC8" s="13">
        <v>24.239771413200042</v>
      </c>
      <c r="BD8" s="13">
        <v>20.169325095105609</v>
      </c>
      <c r="BE8" s="13">
        <v>16.89324645907293</v>
      </c>
      <c r="BG8" s="13">
        <v>13.680733616930011</v>
      </c>
      <c r="BH8" s="13">
        <v>12.822150619631856</v>
      </c>
      <c r="BI8" s="13">
        <v>14.637077867356718</v>
      </c>
      <c r="BJ8" s="13">
        <v>30.729029708973055</v>
      </c>
      <c r="BK8" s="13">
        <v>8.4149374659169727</v>
      </c>
      <c r="BL8">
        <v>1.3716220435535434E-3</v>
      </c>
      <c r="BM8" s="13">
        <v>5.8184763335255099</v>
      </c>
      <c r="BN8" s="13">
        <v>30.563425287583058</v>
      </c>
      <c r="BO8" s="13">
        <v>4.6414836782466296</v>
      </c>
      <c r="BP8" s="13">
        <v>24.149788131765938</v>
      </c>
      <c r="BQ8" s="13">
        <v>6.7902438904484708</v>
      </c>
      <c r="BR8" s="13">
        <v>12.595470382550733</v>
      </c>
      <c r="BS8" s="13">
        <v>4.862604545718626</v>
      </c>
      <c r="BT8" s="13">
        <v>12.790829506012242</v>
      </c>
      <c r="BU8" s="13">
        <v>32.208606932266044</v>
      </c>
      <c r="BV8" s="13">
        <v>9.1181686175904542</v>
      </c>
      <c r="BW8" s="13">
        <v>16.828731734960446</v>
      </c>
    </row>
    <row r="9" spans="1:77">
      <c r="A9">
        <v>1970</v>
      </c>
      <c r="B9" s="13">
        <v>10.099823840281855</v>
      </c>
      <c r="C9" s="13">
        <v>25.299734439897019</v>
      </c>
      <c r="D9" s="13">
        <v>20.957637115650286</v>
      </c>
      <c r="E9" s="13">
        <v>17.458501242892094</v>
      </c>
      <c r="G9" s="13">
        <v>14.572011112477206</v>
      </c>
      <c r="H9" s="13">
        <v>13.173534220515508</v>
      </c>
      <c r="I9" s="13">
        <v>15.412791179070972</v>
      </c>
      <c r="J9" s="13">
        <v>31.789254061733036</v>
      </c>
      <c r="K9" s="13">
        <v>4.7519613580220073</v>
      </c>
      <c r="L9" s="13">
        <v>9.0392163632013087</v>
      </c>
      <c r="M9" s="13">
        <v>6.1075568568993246</v>
      </c>
      <c r="N9" s="13">
        <v>32.65579065881743</v>
      </c>
      <c r="O9" s="13">
        <v>5.3818161059714731</v>
      </c>
      <c r="P9" s="13">
        <v>25.03582429699204</v>
      </c>
      <c r="Q9" s="13">
        <v>7.2327765788377567</v>
      </c>
      <c r="R9" s="13">
        <v>13.935275758083419</v>
      </c>
      <c r="S9" s="13">
        <v>5.1412876088884882</v>
      </c>
      <c r="T9" s="13">
        <v>13.688280918590053</v>
      </c>
      <c r="U9" s="13">
        <v>33.373268548506438</v>
      </c>
      <c r="V9" s="13">
        <v>9.6986830229840102</v>
      </c>
      <c r="W9" s="13">
        <v>17.791683687097141</v>
      </c>
      <c r="BA9">
        <v>1970</v>
      </c>
      <c r="BB9" s="13">
        <v>10.099823840281855</v>
      </c>
      <c r="BC9" s="13">
        <v>25.299734439897019</v>
      </c>
      <c r="BD9" s="13">
        <v>20.957637115650286</v>
      </c>
      <c r="BE9" s="13">
        <v>17.458501242892094</v>
      </c>
      <c r="BG9" s="13">
        <v>14.572011112477206</v>
      </c>
      <c r="BH9" s="13">
        <v>13.173534220515508</v>
      </c>
      <c r="BI9" s="13">
        <v>15.412791179070972</v>
      </c>
      <c r="BJ9" s="13">
        <v>31.789254061733036</v>
      </c>
      <c r="BK9" s="13">
        <v>9.0392163632013087</v>
      </c>
      <c r="BL9">
        <v>1.5360089999872015E-3</v>
      </c>
      <c r="BM9" s="13">
        <v>6.1075568568993246</v>
      </c>
      <c r="BN9" s="13">
        <v>32.65579065881743</v>
      </c>
      <c r="BO9" s="13">
        <v>5.3818161059714731</v>
      </c>
      <c r="BP9" s="13">
        <v>25.03582429699204</v>
      </c>
      <c r="BQ9" s="13">
        <v>7.2327765788377567</v>
      </c>
      <c r="BR9" s="13">
        <v>13.935275758083419</v>
      </c>
      <c r="BS9" s="13">
        <v>5.1412876088884882</v>
      </c>
      <c r="BT9" s="13">
        <v>13.688280918590053</v>
      </c>
      <c r="BU9" s="13">
        <v>33.373268548506438</v>
      </c>
      <c r="BV9" s="13">
        <v>9.6986830229840102</v>
      </c>
      <c r="BW9" s="13">
        <v>17.791683687097141</v>
      </c>
    </row>
    <row r="10" spans="1:77">
      <c r="A10">
        <v>1971</v>
      </c>
      <c r="B10" s="13">
        <v>10.569583088667057</v>
      </c>
      <c r="C10" s="13">
        <v>26.489900233254009</v>
      </c>
      <c r="D10" s="13">
        <v>21.867958909544065</v>
      </c>
      <c r="E10" s="13">
        <v>17.930739385541305</v>
      </c>
      <c r="G10" s="13">
        <v>15.427370241205947</v>
      </c>
      <c r="H10" s="13">
        <v>14.026620811889305</v>
      </c>
      <c r="I10" s="13">
        <v>16.244698740752092</v>
      </c>
      <c r="J10" s="13">
        <v>33.45532091979495</v>
      </c>
      <c r="K10" s="13">
        <v>4.8983743042508303</v>
      </c>
      <c r="L10" s="13">
        <v>9.7810820391853461</v>
      </c>
      <c r="M10" s="13">
        <v>6.4002106433176067</v>
      </c>
      <c r="N10" s="13">
        <v>34.705142355770775</v>
      </c>
      <c r="O10" s="13">
        <v>6.1089914909436311</v>
      </c>
      <c r="P10" s="13">
        <v>26.907924875791053</v>
      </c>
      <c r="Q10" s="13">
        <v>7.9840863089081333</v>
      </c>
      <c r="R10" s="13">
        <v>14.802589762819075</v>
      </c>
      <c r="S10" s="13">
        <v>5.5647693511003782</v>
      </c>
      <c r="T10" s="13">
        <v>14.700603483002364</v>
      </c>
      <c r="U10" s="13">
        <v>35.566967245123259</v>
      </c>
      <c r="V10" s="13">
        <v>10.614708116612015</v>
      </c>
      <c r="W10" s="13">
        <v>18.571216219779235</v>
      </c>
      <c r="AZ10" s="12"/>
      <c r="BA10">
        <v>1971</v>
      </c>
      <c r="BB10" s="13">
        <v>10.569583088667057</v>
      </c>
      <c r="BC10" s="13">
        <v>26.489900233254009</v>
      </c>
      <c r="BD10" s="13">
        <v>21.867958909544065</v>
      </c>
      <c r="BE10" s="13">
        <v>17.930739385541305</v>
      </c>
      <c r="BG10" s="13">
        <v>15.427370241205947</v>
      </c>
      <c r="BH10" s="13">
        <v>14.026620811889305</v>
      </c>
      <c r="BI10" s="13">
        <v>16.244698740752092</v>
      </c>
      <c r="BJ10" s="13">
        <v>33.45532091979495</v>
      </c>
      <c r="BK10" s="13">
        <v>9.7810820391853461</v>
      </c>
      <c r="BL10">
        <v>1.7200974999856677E-3</v>
      </c>
      <c r="BM10" s="13">
        <v>6.4002106433176067</v>
      </c>
      <c r="BN10" s="13">
        <v>34.705142355770775</v>
      </c>
      <c r="BO10" s="13">
        <v>6.1089914909436311</v>
      </c>
      <c r="BP10" s="13">
        <v>26.907924875791053</v>
      </c>
      <c r="BQ10" s="13">
        <v>7.9840863089081333</v>
      </c>
      <c r="BR10" s="13">
        <v>14.802589762819075</v>
      </c>
      <c r="BS10" s="13">
        <v>5.5647693511003782</v>
      </c>
      <c r="BT10" s="13">
        <v>14.700603483002364</v>
      </c>
      <c r="BU10" s="13">
        <v>35.566967245123259</v>
      </c>
      <c r="BV10" s="13">
        <v>10.614708116612015</v>
      </c>
      <c r="BW10" s="13">
        <v>18.571216219779235</v>
      </c>
    </row>
    <row r="11" spans="1:77">
      <c r="A11">
        <v>1972</v>
      </c>
      <c r="B11" s="13">
        <v>11.332941867293012</v>
      </c>
      <c r="C11" s="13">
        <v>28.173370743836632</v>
      </c>
      <c r="D11" s="13">
        <v>23.059419780518514</v>
      </c>
      <c r="E11" s="13">
        <v>18.825129866006524</v>
      </c>
      <c r="G11" s="13">
        <v>16.439767963682321</v>
      </c>
      <c r="H11" s="13">
        <v>14.961142600020725</v>
      </c>
      <c r="I11" s="13">
        <v>17.229615475191839</v>
      </c>
      <c r="J11" s="13">
        <v>35.290324529946737</v>
      </c>
      <c r="K11" s="13">
        <v>5.2148846439327228</v>
      </c>
      <c r="L11" s="13">
        <v>10.657638025239748</v>
      </c>
      <c r="M11" s="13">
        <v>6.7681909462614707</v>
      </c>
      <c r="N11" s="13">
        <v>36.428270720408818</v>
      </c>
      <c r="O11" s="13">
        <v>6.8230702845217346</v>
      </c>
      <c r="P11" s="13">
        <v>29.007495899840777</v>
      </c>
      <c r="Q11" s="13">
        <v>8.5376079227816106</v>
      </c>
      <c r="R11" s="13">
        <v>15.877023454603796</v>
      </c>
      <c r="S11" s="13">
        <v>6.0251032096545201</v>
      </c>
      <c r="T11" s="13">
        <v>15.583726066579899</v>
      </c>
      <c r="U11" s="13">
        <v>37.935727974987813</v>
      </c>
      <c r="V11" s="13">
        <v>11.365283786922037</v>
      </c>
      <c r="W11" s="13">
        <v>19.167329333006716</v>
      </c>
      <c r="AZ11" s="12"/>
      <c r="BA11">
        <v>1972</v>
      </c>
      <c r="BB11" s="13">
        <v>11.332941867293012</v>
      </c>
      <c r="BC11" s="13">
        <v>28.173370743836632</v>
      </c>
      <c r="BD11" s="13">
        <v>23.059419780518514</v>
      </c>
      <c r="BE11" s="13">
        <v>18.825129866006524</v>
      </c>
      <c r="BG11" s="13">
        <v>16.439767963682321</v>
      </c>
      <c r="BH11" s="13">
        <v>14.961142600020725</v>
      </c>
      <c r="BI11" s="13">
        <v>17.229615475191839</v>
      </c>
      <c r="BJ11" s="13">
        <v>35.290324529946737</v>
      </c>
      <c r="BK11" s="13">
        <v>10.657638025239748</v>
      </c>
      <c r="BL11">
        <v>1.9414904999838229E-3</v>
      </c>
      <c r="BM11" s="13">
        <v>6.7681909462614707</v>
      </c>
      <c r="BN11" s="13">
        <v>36.428270720408818</v>
      </c>
      <c r="BO11" s="13">
        <v>6.8230702845217346</v>
      </c>
      <c r="BP11" s="13">
        <v>29.007495899840777</v>
      </c>
      <c r="BQ11" s="13">
        <v>8.5376079227816106</v>
      </c>
      <c r="BR11" s="13">
        <v>15.877023454603796</v>
      </c>
      <c r="BS11" s="13">
        <v>6.0251032096545201</v>
      </c>
      <c r="BT11" s="13">
        <v>15.583726066579899</v>
      </c>
      <c r="BU11" s="13">
        <v>37.935727974987813</v>
      </c>
      <c r="BV11" s="13">
        <v>11.365283786922037</v>
      </c>
      <c r="BW11" s="13">
        <v>19.167329333006716</v>
      </c>
    </row>
    <row r="12" spans="1:77">
      <c r="A12">
        <v>1973</v>
      </c>
      <c r="B12" s="13">
        <v>11.978860833822665</v>
      </c>
      <c r="C12" s="13">
        <v>30.29513011498527</v>
      </c>
      <c r="D12" s="13">
        <v>24.663266531440566</v>
      </c>
      <c r="E12" s="13">
        <v>20.234689137664663</v>
      </c>
      <c r="G12" s="13">
        <v>17.969223528041066</v>
      </c>
      <c r="H12" s="13">
        <v>16.570135688711431</v>
      </c>
      <c r="I12" s="13">
        <v>18.501263958065383</v>
      </c>
      <c r="J12" s="13">
        <v>37.771948620570477</v>
      </c>
      <c r="K12" s="13">
        <v>6.0976685846572574</v>
      </c>
      <c r="L12" s="13">
        <v>11.574814898494543</v>
      </c>
      <c r="M12" s="13">
        <v>7.4990621674226512</v>
      </c>
      <c r="N12" s="13">
        <v>40.660809567352892</v>
      </c>
      <c r="O12" s="13">
        <v>7.0428431523844539</v>
      </c>
      <c r="P12" s="13">
        <v>31.334537266442517</v>
      </c>
      <c r="Q12" s="13">
        <v>9.2348458462247223</v>
      </c>
      <c r="R12" s="13">
        <v>17.055017145805074</v>
      </c>
      <c r="S12" s="13">
        <v>6.7129717703014684</v>
      </c>
      <c r="T12" s="13">
        <v>16.630640160383695</v>
      </c>
      <c r="U12" s="13">
        <v>41.256877668082076</v>
      </c>
      <c r="V12" s="13">
        <v>12.410440284692253</v>
      </c>
      <c r="W12" s="13">
        <v>20.359555559461679</v>
      </c>
      <c r="BA12">
        <v>1973</v>
      </c>
      <c r="BB12" s="13">
        <v>11.978860833822665</v>
      </c>
      <c r="BC12" s="13">
        <v>30.29513011498527</v>
      </c>
      <c r="BD12" s="13">
        <v>24.663266531440566</v>
      </c>
      <c r="BE12" s="13">
        <v>20.234689137664663</v>
      </c>
      <c r="BG12" s="13">
        <v>17.969223528041066</v>
      </c>
      <c r="BH12" s="13">
        <v>16.570135688711431</v>
      </c>
      <c r="BI12" s="13">
        <v>18.501263958065383</v>
      </c>
      <c r="BJ12" s="13">
        <v>37.771948620570477</v>
      </c>
      <c r="BK12" s="13">
        <v>11.574814898494543</v>
      </c>
      <c r="BL12">
        <v>2.3305583333139142E-3</v>
      </c>
      <c r="BM12" s="13">
        <v>7.4990621674226512</v>
      </c>
      <c r="BN12" s="13">
        <v>40.660809567352892</v>
      </c>
      <c r="BO12" s="13">
        <v>7.0428431523844539</v>
      </c>
      <c r="BP12" s="13">
        <v>31.334537266442517</v>
      </c>
      <c r="BQ12" s="13">
        <v>9.2348458462247223</v>
      </c>
      <c r="BR12" s="13">
        <v>17.055017145805074</v>
      </c>
      <c r="BS12" s="13">
        <v>6.7129717703014684</v>
      </c>
      <c r="BT12" s="13">
        <v>16.630640160383695</v>
      </c>
      <c r="BU12" s="13">
        <v>41.256877668082076</v>
      </c>
      <c r="BV12" s="13">
        <v>12.410440284692253</v>
      </c>
      <c r="BW12" s="13">
        <v>20.359555559461679</v>
      </c>
    </row>
    <row r="13" spans="1:77">
      <c r="A13">
        <v>1974</v>
      </c>
      <c r="B13" s="13">
        <v>13.564298297122724</v>
      </c>
      <c r="C13" s="13">
        <v>33.179769087712224</v>
      </c>
      <c r="D13" s="13">
        <v>27.790048332703414</v>
      </c>
      <c r="E13" s="13">
        <v>22.45993230110518</v>
      </c>
      <c r="G13" s="13">
        <v>20.714058360396397</v>
      </c>
      <c r="H13" s="13">
        <v>19.376518492480788</v>
      </c>
      <c r="I13" s="13">
        <v>21.026560679746389</v>
      </c>
      <c r="J13" s="13">
        <v>40.410858615143624</v>
      </c>
      <c r="K13" s="13">
        <v>7.8417051504736079</v>
      </c>
      <c r="L13" s="13">
        <v>12.896062701767931</v>
      </c>
      <c r="M13" s="13">
        <v>8.9358652308578463</v>
      </c>
      <c r="N13" s="13">
        <v>50.087827159738694</v>
      </c>
      <c r="O13" s="13">
        <v>8.7545498378262767</v>
      </c>
      <c r="P13" s="13">
        <v>34.339963400687417</v>
      </c>
      <c r="Q13" s="13">
        <v>10.260781810665211</v>
      </c>
      <c r="R13" s="13">
        <v>18.660195280277957</v>
      </c>
      <c r="S13" s="13">
        <v>7.7655912531774662</v>
      </c>
      <c r="T13" s="13">
        <v>18.279023312514084</v>
      </c>
      <c r="U13" s="13">
        <v>45.286608125965977</v>
      </c>
      <c r="V13" s="13">
        <v>14.40157008292425</v>
      </c>
      <c r="W13" s="13">
        <v>22.606443447780649</v>
      </c>
      <c r="AZ13" s="12"/>
      <c r="BA13">
        <v>1974</v>
      </c>
      <c r="BB13" s="13">
        <v>13.564298297122724</v>
      </c>
      <c r="BC13" s="13">
        <v>33.179769087712224</v>
      </c>
      <c r="BD13" s="13">
        <v>27.790048332703414</v>
      </c>
      <c r="BE13" s="13">
        <v>22.45993230110518</v>
      </c>
      <c r="BG13" s="13">
        <v>20.714058360396397</v>
      </c>
      <c r="BH13" s="13">
        <v>19.376518492480788</v>
      </c>
      <c r="BI13" s="13">
        <v>21.026560679746389</v>
      </c>
      <c r="BJ13" s="13">
        <v>40.410858615143624</v>
      </c>
      <c r="BK13" s="13">
        <v>12.896062701767931</v>
      </c>
      <c r="BL13">
        <v>3.2551637499728769E-3</v>
      </c>
      <c r="BM13" s="13">
        <v>8.9358652308578463</v>
      </c>
      <c r="BN13" s="13">
        <v>50.087827159738694</v>
      </c>
      <c r="BO13" s="13">
        <v>8.7545498378262767</v>
      </c>
      <c r="BP13" s="13">
        <v>34.339963400687417</v>
      </c>
      <c r="BQ13" s="13">
        <v>10.260781810665211</v>
      </c>
      <c r="BR13" s="13">
        <v>18.660195280277957</v>
      </c>
      <c r="BS13" s="13">
        <v>7.7655912531774662</v>
      </c>
      <c r="BT13" s="13">
        <v>18.279023312514084</v>
      </c>
      <c r="BU13" s="13">
        <v>45.286608125965977</v>
      </c>
      <c r="BV13" s="13">
        <v>14.40157008292425</v>
      </c>
      <c r="BW13" s="13">
        <v>22.606443447780649</v>
      </c>
    </row>
    <row r="14" spans="1:77">
      <c r="A14">
        <v>1975</v>
      </c>
      <c r="B14" s="13">
        <v>15.795654726952435</v>
      </c>
      <c r="C14" s="13">
        <v>35.981885195580695</v>
      </c>
      <c r="D14" s="13">
        <v>31.338337283919653</v>
      </c>
      <c r="E14" s="13">
        <v>24.856898950150494</v>
      </c>
      <c r="G14" s="13">
        <v>22.703770850230804</v>
      </c>
      <c r="H14" s="13">
        <v>22.827745769598661</v>
      </c>
      <c r="I14" s="13">
        <v>23.483709842189075</v>
      </c>
      <c r="J14" s="13">
        <v>42.799276139783558</v>
      </c>
      <c r="K14" s="13">
        <v>8.2917096470275062</v>
      </c>
      <c r="L14" s="13">
        <v>15.085314725442556</v>
      </c>
      <c r="M14" s="13">
        <v>10.450539066814406</v>
      </c>
      <c r="N14" s="13">
        <v>55.968213200032757</v>
      </c>
      <c r="O14" s="13">
        <v>10.965008888208612</v>
      </c>
      <c r="P14" s="13">
        <v>37.848642293159976</v>
      </c>
      <c r="Q14" s="13">
        <v>11.767572489170494</v>
      </c>
      <c r="R14" s="13">
        <v>20.841424692999738</v>
      </c>
      <c r="S14" s="13">
        <v>9.0821144585432769</v>
      </c>
      <c r="T14" s="13">
        <v>20.066689492069521</v>
      </c>
      <c r="U14" s="13">
        <v>48.319268408532928</v>
      </c>
      <c r="V14" s="13">
        <v>17.887799917450963</v>
      </c>
      <c r="W14" s="13">
        <v>24.681375630360922</v>
      </c>
      <c r="AZ14" s="12"/>
      <c r="BA14">
        <v>1975</v>
      </c>
      <c r="BB14" s="13">
        <v>15.795654726952435</v>
      </c>
      <c r="BC14" s="13">
        <v>35.981885195580695</v>
      </c>
      <c r="BD14" s="13">
        <v>31.338337283919653</v>
      </c>
      <c r="BE14" s="13">
        <v>24.856898950150494</v>
      </c>
      <c r="BG14" s="13">
        <v>22.703770850230804</v>
      </c>
      <c r="BH14" s="13">
        <v>22.827745769598661</v>
      </c>
      <c r="BI14" s="13">
        <v>23.483709842189075</v>
      </c>
      <c r="BJ14" s="13">
        <v>42.799276139783558</v>
      </c>
      <c r="BK14" s="13">
        <v>15.085314725442556</v>
      </c>
      <c r="BL14">
        <v>4.5347522499622145E-3</v>
      </c>
      <c r="BM14" s="13">
        <v>10.450539066814406</v>
      </c>
      <c r="BN14" s="13">
        <v>55.968213200032757</v>
      </c>
      <c r="BO14" s="13">
        <v>10.965008888208612</v>
      </c>
      <c r="BP14" s="13">
        <v>37.848642293159976</v>
      </c>
      <c r="BQ14" s="13">
        <v>11.767572489170494</v>
      </c>
      <c r="BR14" s="13">
        <v>20.841424692999738</v>
      </c>
      <c r="BS14" s="13">
        <v>9.0821144585432769</v>
      </c>
      <c r="BT14" s="13">
        <v>20.066689492069521</v>
      </c>
      <c r="BU14" s="13">
        <v>48.319268408532928</v>
      </c>
      <c r="BV14" s="13">
        <v>17.887799917450963</v>
      </c>
      <c r="BW14" s="13">
        <v>24.681375630360922</v>
      </c>
    </row>
    <row r="15" spans="1:77">
      <c r="A15">
        <v>1976</v>
      </c>
      <c r="B15" s="13">
        <v>17.850851438637697</v>
      </c>
      <c r="C15" s="13">
        <v>38.615287469382288</v>
      </c>
      <c r="D15" s="13">
        <v>34.180287619149425</v>
      </c>
      <c r="E15" s="13">
        <v>26.731541392464582</v>
      </c>
      <c r="G15" s="13">
        <v>24.749449169224565</v>
      </c>
      <c r="H15" s="13">
        <v>26.101860862094888</v>
      </c>
      <c r="I15" s="13">
        <v>25.744132689189293</v>
      </c>
      <c r="J15" s="13">
        <v>44.616803468111208</v>
      </c>
      <c r="K15" s="13">
        <v>7.6586889676931422</v>
      </c>
      <c r="L15" s="13">
        <v>17.786563589690982</v>
      </c>
      <c r="M15" s="13">
        <v>12.186809393291364</v>
      </c>
      <c r="N15" s="13">
        <v>61.237974751605392</v>
      </c>
      <c r="O15" s="13">
        <v>12.6456497920319</v>
      </c>
      <c r="P15" s="13">
        <v>41.190922288361641</v>
      </c>
      <c r="Q15" s="13">
        <v>13.757103025584811</v>
      </c>
      <c r="R15" s="13">
        <v>22.75080973210644</v>
      </c>
      <c r="S15" s="13">
        <v>10.682826233324178</v>
      </c>
      <c r="T15" s="13">
        <v>22.123368644828609</v>
      </c>
      <c r="U15" s="13">
        <v>49.148172895071525</v>
      </c>
      <c r="V15" s="13">
        <v>20.849933722341238</v>
      </c>
      <c r="W15" s="13">
        <v>26.106697369039445</v>
      </c>
      <c r="AZ15" s="12"/>
      <c r="BA15">
        <v>1976</v>
      </c>
      <c r="BB15" s="13">
        <v>17.850851438637697</v>
      </c>
      <c r="BC15" s="13">
        <v>38.615287469382288</v>
      </c>
      <c r="BD15" s="13">
        <v>34.180287619149425</v>
      </c>
      <c r="BE15" s="13">
        <v>26.731541392464582</v>
      </c>
      <c r="BG15" s="13">
        <v>24.749449169224565</v>
      </c>
      <c r="BH15" s="13">
        <v>26.101860862094888</v>
      </c>
      <c r="BI15" s="13">
        <v>25.744132689189293</v>
      </c>
      <c r="BJ15" s="13">
        <v>44.616803468111208</v>
      </c>
      <c r="BK15" s="13">
        <v>17.786563589690982</v>
      </c>
      <c r="BL15">
        <v>5.9547630832837159E-3</v>
      </c>
      <c r="BM15" s="13">
        <v>12.186809393291364</v>
      </c>
      <c r="BN15" s="13">
        <v>61.237974751605392</v>
      </c>
      <c r="BO15" s="13">
        <v>12.6456497920319</v>
      </c>
      <c r="BP15" s="13">
        <v>41.190922288361641</v>
      </c>
      <c r="BQ15" s="13">
        <v>13.757103025584811</v>
      </c>
      <c r="BR15" s="13">
        <v>22.75080973210644</v>
      </c>
      <c r="BS15" s="13">
        <v>10.682826233324178</v>
      </c>
      <c r="BT15" s="13">
        <v>22.123368644828609</v>
      </c>
      <c r="BU15" s="13">
        <v>49.148172895071525</v>
      </c>
      <c r="BV15" s="13">
        <v>20.849933722341238</v>
      </c>
      <c r="BW15" s="13">
        <v>26.106697369039445</v>
      </c>
    </row>
    <row r="16" spans="1:77">
      <c r="A16">
        <v>1977</v>
      </c>
      <c r="B16" s="13">
        <v>20.317087492660011</v>
      </c>
      <c r="C16" s="13">
        <v>40.737046916203717</v>
      </c>
      <c r="D16" s="13">
        <v>36.60571980319564</v>
      </c>
      <c r="E16" s="13">
        <v>28.863768089286754</v>
      </c>
      <c r="G16" s="13">
        <v>27.452643406165276</v>
      </c>
      <c r="H16" s="13">
        <v>29.180144670074753</v>
      </c>
      <c r="I16" s="13">
        <v>28.188423784078676</v>
      </c>
      <c r="J16" s="13">
        <v>46.282870312008349</v>
      </c>
      <c r="K16" s="13">
        <v>8.296015910172315</v>
      </c>
      <c r="L16" s="13">
        <v>20.18280856693405</v>
      </c>
      <c r="M16" s="13">
        <v>14.274414717085932</v>
      </c>
      <c r="N16" s="13">
        <v>66.223336842842414</v>
      </c>
      <c r="O16" s="13">
        <v>13.922439320889048</v>
      </c>
      <c r="P16" s="13">
        <v>43.826851330723876</v>
      </c>
      <c r="Q16" s="13">
        <v>15.735864193531619</v>
      </c>
      <c r="R16" s="13">
        <v>24.822007276329934</v>
      </c>
      <c r="S16" s="13">
        <v>13.304183475870381</v>
      </c>
      <c r="T16" s="13">
        <v>24.654680238432608</v>
      </c>
      <c r="U16" s="13">
        <v>49.785134198755109</v>
      </c>
      <c r="V16" s="13">
        <v>24.152619518781137</v>
      </c>
      <c r="W16" s="13">
        <v>27.795684523183983</v>
      </c>
      <c r="AZ16" s="12"/>
      <c r="BA16">
        <v>1977</v>
      </c>
      <c r="BB16" s="13">
        <v>20.317087492660011</v>
      </c>
      <c r="BC16" s="13">
        <v>40.737046916203717</v>
      </c>
      <c r="BD16" s="13">
        <v>36.60571980319564</v>
      </c>
      <c r="BE16" s="13">
        <v>28.863768089286754</v>
      </c>
      <c r="BG16" s="13">
        <v>27.452643406165276</v>
      </c>
      <c r="BH16" s="13">
        <v>29.180144670074753</v>
      </c>
      <c r="BI16" s="13">
        <v>28.188423784078676</v>
      </c>
      <c r="BJ16" s="13">
        <v>46.282870312008349</v>
      </c>
      <c r="BK16" s="13">
        <v>20.18280856693405</v>
      </c>
      <c r="BL16">
        <v>8.0158642499332054E-3</v>
      </c>
      <c r="BM16" s="13">
        <v>14.274414717085932</v>
      </c>
      <c r="BN16" s="13">
        <v>66.223336842842414</v>
      </c>
      <c r="BO16" s="13">
        <v>13.922439320889048</v>
      </c>
      <c r="BP16" s="13">
        <v>43.826851330723876</v>
      </c>
      <c r="BQ16" s="13">
        <v>15.735864193531619</v>
      </c>
      <c r="BR16" s="13">
        <v>24.822007276329934</v>
      </c>
      <c r="BS16" s="13">
        <v>13.304183475870381</v>
      </c>
      <c r="BT16" s="13">
        <v>24.654680238432608</v>
      </c>
      <c r="BU16" s="13">
        <v>49.785134198755109</v>
      </c>
      <c r="BV16" s="13">
        <v>24.152619518781137</v>
      </c>
      <c r="BW16" s="13">
        <v>27.795684523183983</v>
      </c>
    </row>
    <row r="17" spans="1:75">
      <c r="A17">
        <v>1978</v>
      </c>
      <c r="B17" s="13">
        <v>22.25484439224897</v>
      </c>
      <c r="C17" s="13">
        <v>42.193120146279909</v>
      </c>
      <c r="D17" s="13">
        <v>38.242213282431315</v>
      </c>
      <c r="E17" s="13">
        <v>31.453922684981737</v>
      </c>
      <c r="G17" s="13">
        <v>30.256560319419076</v>
      </c>
      <c r="H17" s="13">
        <v>31.456006283400232</v>
      </c>
      <c r="I17" s="13">
        <v>30.796010557394908</v>
      </c>
      <c r="J17" s="13">
        <v>47.541158541722588</v>
      </c>
      <c r="K17" s="13">
        <v>8.5048696717722159</v>
      </c>
      <c r="L17" s="13">
        <v>21.73913278780616</v>
      </c>
      <c r="M17" s="13">
        <v>16.000765287853248</v>
      </c>
      <c r="N17" s="13">
        <v>68.992053101537337</v>
      </c>
      <c r="O17" s="13">
        <v>15.9356630295197</v>
      </c>
      <c r="P17" s="13">
        <v>45.629018908007964</v>
      </c>
      <c r="Q17" s="13">
        <v>17.61733853169542</v>
      </c>
      <c r="R17" s="13">
        <v>26.847897349379895</v>
      </c>
      <c r="S17" s="13">
        <v>15.934911473420216</v>
      </c>
      <c r="T17" s="13">
        <v>27.118980616619773</v>
      </c>
      <c r="U17" s="13">
        <v>50.297318183027144</v>
      </c>
      <c r="V17" s="13">
        <v>26.148384041759154</v>
      </c>
      <c r="W17" s="13">
        <v>29.916471560627922</v>
      </c>
      <c r="AZ17" s="12"/>
      <c r="BA17">
        <v>1978</v>
      </c>
      <c r="BB17" s="13">
        <v>22.25484439224897</v>
      </c>
      <c r="BC17" s="13">
        <v>42.193120146279909</v>
      </c>
      <c r="BD17" s="13">
        <v>38.242213282431315</v>
      </c>
      <c r="BE17" s="13">
        <v>31.453922684981737</v>
      </c>
      <c r="BG17" s="13">
        <v>30.256560319419076</v>
      </c>
      <c r="BH17" s="13">
        <v>31.456006283400232</v>
      </c>
      <c r="BI17" s="13">
        <v>30.796010557394908</v>
      </c>
      <c r="BJ17" s="13">
        <v>47.541158541722588</v>
      </c>
      <c r="BK17" s="13">
        <v>21.73913278780616</v>
      </c>
      <c r="BL17">
        <v>1.2068169416566105E-2</v>
      </c>
      <c r="BM17" s="13">
        <v>16.000765287853248</v>
      </c>
      <c r="BN17" s="13">
        <v>68.992053101537337</v>
      </c>
      <c r="BO17" s="13">
        <v>15.9356630295197</v>
      </c>
      <c r="BP17" s="13">
        <v>45.629018908007964</v>
      </c>
      <c r="BQ17" s="13">
        <v>17.61733853169542</v>
      </c>
      <c r="BR17" s="13">
        <v>26.847897349379895</v>
      </c>
      <c r="BS17" s="13">
        <v>15.934911473420216</v>
      </c>
      <c r="BT17" s="13">
        <v>27.118980616619773</v>
      </c>
      <c r="BU17" s="13">
        <v>50.297318183027144</v>
      </c>
      <c r="BV17" s="13">
        <v>26.148384041759154</v>
      </c>
      <c r="BW17" s="13">
        <v>29.916471560627922</v>
      </c>
    </row>
    <row r="18" spans="1:75">
      <c r="A18">
        <v>1979</v>
      </c>
      <c r="B18" s="13">
        <v>24.075161479741631</v>
      </c>
      <c r="C18" s="13">
        <v>43.757390414170295</v>
      </c>
      <c r="D18" s="13">
        <v>39.951289917482327</v>
      </c>
      <c r="E18" s="13">
        <v>34.330282318353042</v>
      </c>
      <c r="G18" s="13">
        <v>33.164534972826615</v>
      </c>
      <c r="H18" s="13">
        <v>33.804812117378901</v>
      </c>
      <c r="I18" s="13">
        <v>34.074781731813296</v>
      </c>
      <c r="J18" s="13">
        <v>49.463543287570559</v>
      </c>
      <c r="K18" s="13">
        <v>9.0366931677065185</v>
      </c>
      <c r="L18" s="13">
        <v>24.629448318042535</v>
      </c>
      <c r="M18" s="13">
        <v>18.368651339588443</v>
      </c>
      <c r="N18" s="13">
        <v>71.560016658837611</v>
      </c>
      <c r="O18" s="13">
        <v>18.85563265116744</v>
      </c>
      <c r="P18" s="13">
        <v>47.545116473851188</v>
      </c>
      <c r="Q18" s="13">
        <v>20.030843441183563</v>
      </c>
      <c r="R18" s="13">
        <v>28.116505872084616</v>
      </c>
      <c r="S18" s="13">
        <v>18.430355260454213</v>
      </c>
      <c r="T18" s="13">
        <v>29.074201084459538</v>
      </c>
      <c r="U18" s="13">
        <v>52.13198529189124</v>
      </c>
      <c r="V18" s="13">
        <v>29.657834494317374</v>
      </c>
      <c r="W18" s="13">
        <v>33.282982155201061</v>
      </c>
      <c r="AZ18" s="12"/>
      <c r="BA18">
        <v>1979</v>
      </c>
      <c r="BB18" s="13">
        <v>24.075161479741631</v>
      </c>
      <c r="BC18" s="13">
        <v>43.757390414170295</v>
      </c>
      <c r="BD18" s="13">
        <v>39.951289917482327</v>
      </c>
      <c r="BE18" s="13">
        <v>34.330282318353042</v>
      </c>
      <c r="BG18" s="13">
        <v>33.164534972826615</v>
      </c>
      <c r="BH18" s="13">
        <v>33.804812117378901</v>
      </c>
      <c r="BI18" s="13">
        <v>34.074781731813296</v>
      </c>
      <c r="BJ18" s="13">
        <v>49.463543287570559</v>
      </c>
      <c r="BK18" s="13">
        <v>24.629448318042535</v>
      </c>
      <c r="BL18">
        <v>2.1518888166487355E-2</v>
      </c>
      <c r="BM18" s="13">
        <v>18.368651339588443</v>
      </c>
      <c r="BN18" s="13">
        <v>71.560016658837611</v>
      </c>
      <c r="BO18" s="13">
        <v>18.85563265116744</v>
      </c>
      <c r="BP18" s="13">
        <v>47.545116473851188</v>
      </c>
      <c r="BQ18" s="13">
        <v>20.030843441183563</v>
      </c>
      <c r="BR18" s="13">
        <v>28.116505872084616</v>
      </c>
      <c r="BS18" s="13">
        <v>18.430355260454213</v>
      </c>
      <c r="BT18" s="13">
        <v>29.074201084459538</v>
      </c>
      <c r="BU18" s="13">
        <v>52.13198529189124</v>
      </c>
      <c r="BV18" s="13">
        <v>29.657834494317374</v>
      </c>
      <c r="BW18" s="13">
        <v>33.282982155201061</v>
      </c>
    </row>
    <row r="19" spans="1:75">
      <c r="A19">
        <v>1980</v>
      </c>
      <c r="B19" s="13">
        <v>26.541397533763945</v>
      </c>
      <c r="C19" s="13">
        <v>46.526497228080508</v>
      </c>
      <c r="D19" s="13">
        <v>42.607527335096982</v>
      </c>
      <c r="E19" s="13">
        <v>37.807672141000126</v>
      </c>
      <c r="G19" s="13">
        <v>37.245537127744846</v>
      </c>
      <c r="H19" s="13">
        <v>37.724351624102937</v>
      </c>
      <c r="I19" s="13">
        <v>38.696201264015862</v>
      </c>
      <c r="J19" s="13">
        <v>52.154881882796083</v>
      </c>
      <c r="K19" s="13">
        <v>10.06373692294884</v>
      </c>
      <c r="L19" s="13">
        <v>29.100791661162241</v>
      </c>
      <c r="M19" s="13">
        <v>22.23785528446663</v>
      </c>
      <c r="N19" s="13">
        <v>77.147636724009459</v>
      </c>
      <c r="O19" s="13">
        <v>24.266746686868871</v>
      </c>
      <c r="P19" s="13">
        <v>50.641944813719576</v>
      </c>
      <c r="Q19" s="13">
        <v>23.466245264069816</v>
      </c>
      <c r="R19" s="13">
        <v>31.184466526823002</v>
      </c>
      <c r="S19" s="13">
        <v>21.298470558766365</v>
      </c>
      <c r="T19" s="13">
        <v>33.059204122539036</v>
      </c>
      <c r="U19" s="13">
        <v>54.228993878937715</v>
      </c>
      <c r="V19" s="13">
        <v>34.986140279082285</v>
      </c>
      <c r="W19" s="13">
        <v>37.776757931838986</v>
      </c>
      <c r="AZ19" s="12"/>
      <c r="BA19">
        <v>1980</v>
      </c>
      <c r="BB19" s="13">
        <v>26.541397533763945</v>
      </c>
      <c r="BC19" s="13">
        <v>46.526497228080508</v>
      </c>
      <c r="BD19" s="13">
        <v>42.607527335096982</v>
      </c>
      <c r="BE19" s="13">
        <v>37.807672141000126</v>
      </c>
      <c r="BG19" s="13">
        <v>37.245537127744846</v>
      </c>
      <c r="BH19" s="13">
        <v>37.724351624102937</v>
      </c>
      <c r="BI19" s="13">
        <v>38.696201264015862</v>
      </c>
      <c r="BJ19" s="13">
        <v>52.154881882796083</v>
      </c>
      <c r="BK19" s="13">
        <v>29.100791661162241</v>
      </c>
      <c r="BL19">
        <v>4.9713500416252394E-2</v>
      </c>
      <c r="BM19" s="13">
        <v>22.23785528446663</v>
      </c>
      <c r="BN19" s="13">
        <v>77.147636724009459</v>
      </c>
      <c r="BO19" s="13">
        <v>24.266746686868871</v>
      </c>
      <c r="BP19" s="13">
        <v>50.641944813719576</v>
      </c>
      <c r="BQ19" s="13">
        <v>23.466245264069816</v>
      </c>
      <c r="BR19" s="13">
        <v>31.184466526823002</v>
      </c>
      <c r="BS19" s="13">
        <v>21.298470558766365</v>
      </c>
      <c r="BT19" s="13">
        <v>33.059204122539036</v>
      </c>
      <c r="BU19" s="13">
        <v>54.228993878937715</v>
      </c>
      <c r="BV19" s="13">
        <v>34.986140279082285</v>
      </c>
      <c r="BW19" s="13">
        <v>37.776757931838986</v>
      </c>
    </row>
    <row r="20" spans="1:75">
      <c r="A20">
        <v>1981</v>
      </c>
      <c r="B20" s="13">
        <v>29.007633587786259</v>
      </c>
      <c r="C20" s="13">
        <v>49.691714840900637</v>
      </c>
      <c r="D20" s="13">
        <v>45.85741094360295</v>
      </c>
      <c r="E20" s="13">
        <v>42.522897560504312</v>
      </c>
      <c r="G20" s="13">
        <v>41.628364739161377</v>
      </c>
      <c r="H20" s="13">
        <v>41.989372507844955</v>
      </c>
      <c r="I20" s="13">
        <v>43.848368285111988</v>
      </c>
      <c r="J20" s="13">
        <v>55.463713804254816</v>
      </c>
      <c r="K20" s="13">
        <v>11.38360657121537</v>
      </c>
      <c r="L20" s="13">
        <v>35.029644360328298</v>
      </c>
      <c r="M20" s="13">
        <v>26.233842214098289</v>
      </c>
      <c r="N20" s="13">
        <v>80.936846279542394</v>
      </c>
      <c r="O20" s="13">
        <v>29.448097505835705</v>
      </c>
      <c r="P20" s="13">
        <v>54.054670025354774</v>
      </c>
      <c r="Q20" s="13">
        <v>27.073042360525243</v>
      </c>
      <c r="R20" s="13">
        <v>35.443366541751054</v>
      </c>
      <c r="S20" s="13">
        <v>24.397259585008239</v>
      </c>
      <c r="T20" s="13">
        <v>37.060670354008685</v>
      </c>
      <c r="U20" s="13">
        <v>57.748623691561797</v>
      </c>
      <c r="V20" s="13">
        <v>39.141311212695825</v>
      </c>
      <c r="W20" s="13">
        <v>41.697348022681282</v>
      </c>
      <c r="AZ20" s="12"/>
      <c r="BA20">
        <v>1981</v>
      </c>
      <c r="BB20" s="13">
        <v>29.007633587786259</v>
      </c>
      <c r="BC20" s="13">
        <v>49.691714840900637</v>
      </c>
      <c r="BD20" s="13">
        <v>45.85741094360295</v>
      </c>
      <c r="BE20" s="13">
        <v>42.522897560504312</v>
      </c>
      <c r="BG20" s="13">
        <v>41.628364739161377</v>
      </c>
      <c r="BH20" s="13">
        <v>41.989372507844955</v>
      </c>
      <c r="BI20" s="13">
        <v>43.848368285111988</v>
      </c>
      <c r="BJ20" s="13">
        <v>55.463713804254816</v>
      </c>
      <c r="BK20" s="13">
        <v>35.029644360328298</v>
      </c>
      <c r="BL20" s="84">
        <v>0.10777892091576859</v>
      </c>
      <c r="BM20" s="13">
        <v>26.233842214098289</v>
      </c>
      <c r="BN20" s="13">
        <v>80.936846279542394</v>
      </c>
      <c r="BO20" s="13">
        <v>29.448097505835705</v>
      </c>
      <c r="BP20" s="13">
        <v>54.054670025354774</v>
      </c>
      <c r="BQ20" s="13">
        <v>27.073042360525243</v>
      </c>
      <c r="BR20" s="13">
        <v>35.443366541751054</v>
      </c>
      <c r="BS20" s="13">
        <v>24.397259585008239</v>
      </c>
      <c r="BT20" s="13">
        <v>37.060670354008685</v>
      </c>
      <c r="BU20" s="13">
        <v>57.748623691561797</v>
      </c>
      <c r="BV20" s="13">
        <v>39.141311212695825</v>
      </c>
      <c r="BW20" s="13">
        <v>41.697348022681282</v>
      </c>
    </row>
    <row r="21" spans="1:75">
      <c r="A21">
        <v>1982</v>
      </c>
      <c r="B21" s="13">
        <v>32.061068702290072</v>
      </c>
      <c r="C21" s="13">
        <v>52.392969379497849</v>
      </c>
      <c r="D21" s="13">
        <v>49.859180379727825</v>
      </c>
      <c r="E21" s="13">
        <v>47.102175641925747</v>
      </c>
      <c r="G21" s="13">
        <v>45.841496603355374</v>
      </c>
      <c r="H21" s="13">
        <v>46.014024470161139</v>
      </c>
      <c r="I21" s="13">
        <v>49.100736310470467</v>
      </c>
      <c r="J21" s="13">
        <v>58.370592558044159</v>
      </c>
      <c r="K21" s="13">
        <v>12.281462432812015</v>
      </c>
      <c r="L21" s="13">
        <v>41.032607958033473</v>
      </c>
      <c r="M21" s="13">
        <v>30.557286969734765</v>
      </c>
      <c r="N21" s="13">
        <v>83.153492016496415</v>
      </c>
      <c r="O21" s="13">
        <v>31.56566484741019</v>
      </c>
      <c r="P21" s="13">
        <v>57.249892381943319</v>
      </c>
      <c r="Q21" s="13">
        <v>31.449045001249225</v>
      </c>
      <c r="R21" s="13">
        <v>39.45631057798461</v>
      </c>
      <c r="S21" s="13">
        <v>27.914122114461218</v>
      </c>
      <c r="T21" s="13">
        <v>40.243879892954652</v>
      </c>
      <c r="U21" s="13">
        <v>61.014366687429543</v>
      </c>
      <c r="V21" s="13">
        <v>42.507021680170958</v>
      </c>
      <c r="W21" s="13">
        <v>44.265219895045824</v>
      </c>
      <c r="AZ21" s="12"/>
      <c r="BA21">
        <v>1982</v>
      </c>
      <c r="BB21" s="13">
        <v>32.061068702290072</v>
      </c>
      <c r="BC21" s="13">
        <v>52.392969379497849</v>
      </c>
      <c r="BD21" s="13">
        <v>49.859180379727825</v>
      </c>
      <c r="BE21" s="13">
        <v>47.102175641925747</v>
      </c>
      <c r="BG21" s="13">
        <v>45.841496603355374</v>
      </c>
      <c r="BH21" s="13">
        <v>46.014024470161139</v>
      </c>
      <c r="BI21" s="13">
        <v>49.100736310470467</v>
      </c>
      <c r="BJ21" s="13">
        <v>58.370592558044159</v>
      </c>
      <c r="BK21" s="13">
        <v>41.032607958033473</v>
      </c>
      <c r="BL21" s="84">
        <v>0.23750640074802087</v>
      </c>
      <c r="BM21" s="13">
        <v>30.557286969734765</v>
      </c>
      <c r="BN21" s="13">
        <v>83.153492016496415</v>
      </c>
      <c r="BO21" s="13">
        <v>31.56566484741019</v>
      </c>
      <c r="BP21" s="13">
        <v>57.249892381943319</v>
      </c>
      <c r="BQ21" s="13">
        <v>31.449045001249225</v>
      </c>
      <c r="BR21" s="13">
        <v>39.45631057798461</v>
      </c>
      <c r="BS21" s="13">
        <v>27.914122114461218</v>
      </c>
      <c r="BT21" s="13">
        <v>40.243879892954652</v>
      </c>
      <c r="BU21" s="13">
        <v>61.014366687429543</v>
      </c>
      <c r="BV21" s="13">
        <v>42.507021680170958</v>
      </c>
      <c r="BW21" s="13">
        <v>44.265219895045824</v>
      </c>
    </row>
    <row r="22" spans="1:75">
      <c r="A22">
        <v>1983</v>
      </c>
      <c r="B22" s="13">
        <v>35.760422783323541</v>
      </c>
      <c r="C22" s="13">
        <v>54.142458123338152</v>
      </c>
      <c r="D22" s="13">
        <v>53.679196329619096</v>
      </c>
      <c r="E22" s="13">
        <v>49.864053160604627</v>
      </c>
      <c r="G22" s="13">
        <v>49.008332165742388</v>
      </c>
      <c r="H22" s="13">
        <v>49.863691658146024</v>
      </c>
      <c r="I22" s="13">
        <v>53.74544403011285</v>
      </c>
      <c r="J22" s="13">
        <v>60.292977241527808</v>
      </c>
      <c r="K22" s="13">
        <v>13.739132501260979</v>
      </c>
      <c r="L22" s="13">
        <v>45.331028043806818</v>
      </c>
      <c r="M22" s="13">
        <v>35.032887507315237</v>
      </c>
      <c r="N22" s="13">
        <v>84.726055933045743</v>
      </c>
      <c r="O22" s="13">
        <v>32.645402504433889</v>
      </c>
      <c r="P22" s="13">
        <v>58.819020904803502</v>
      </c>
      <c r="Q22" s="13">
        <v>33.75774266708423</v>
      </c>
      <c r="R22" s="13">
        <v>42.776699183024562</v>
      </c>
      <c r="S22" s="13">
        <v>31.31240967197342</v>
      </c>
      <c r="T22" s="13">
        <v>43.8147278070713</v>
      </c>
      <c r="U22" s="13">
        <v>62.814217287468693</v>
      </c>
      <c r="V22" s="13">
        <v>44.466298680615516</v>
      </c>
      <c r="W22" s="13">
        <v>45.663792968387206</v>
      </c>
      <c r="AZ22" s="12"/>
      <c r="BA22">
        <v>1983</v>
      </c>
      <c r="BB22" s="13">
        <v>35.760422783323541</v>
      </c>
      <c r="BC22" s="13">
        <v>54.142458123338152</v>
      </c>
      <c r="BD22" s="13">
        <v>53.679196329619096</v>
      </c>
      <c r="BE22" s="13">
        <v>49.864053160604627</v>
      </c>
      <c r="BG22" s="13">
        <v>49.008332165742388</v>
      </c>
      <c r="BH22" s="13">
        <v>49.863691658146024</v>
      </c>
      <c r="BI22" s="13">
        <v>53.74544403011285</v>
      </c>
      <c r="BJ22" s="13">
        <v>60.292977241527808</v>
      </c>
      <c r="BK22" s="13">
        <v>45.331028043806818</v>
      </c>
      <c r="BL22" s="84">
        <v>0.58415047516179919</v>
      </c>
      <c r="BM22" s="13">
        <v>35.032887507315237</v>
      </c>
      <c r="BN22" s="13">
        <v>84.726055933045743</v>
      </c>
      <c r="BO22" s="13">
        <v>32.645402504433889</v>
      </c>
      <c r="BP22" s="13">
        <v>58.819020904803502</v>
      </c>
      <c r="BQ22" s="13">
        <v>33.75774266708423</v>
      </c>
      <c r="BR22" s="13">
        <v>42.776699183024562</v>
      </c>
      <c r="BS22" s="13">
        <v>31.31240967197342</v>
      </c>
      <c r="BT22" s="13">
        <v>43.8147278070713</v>
      </c>
      <c r="BU22" s="13">
        <v>62.814217287468693</v>
      </c>
      <c r="BV22" s="13">
        <v>44.466298680615516</v>
      </c>
      <c r="BW22" s="13">
        <v>45.663792968387206</v>
      </c>
    </row>
    <row r="23" spans="1:75">
      <c r="A23">
        <v>1984</v>
      </c>
      <c r="B23" s="13">
        <v>38.167938931297705</v>
      </c>
      <c r="C23" s="13">
        <v>57.208647856108648</v>
      </c>
      <c r="D23" s="13">
        <v>57.083410719443769</v>
      </c>
      <c r="E23" s="13">
        <v>52.01058995097064</v>
      </c>
      <c r="G23" s="13">
        <v>52.091339504125116</v>
      </c>
      <c r="H23" s="13">
        <v>53.38788685071831</v>
      </c>
      <c r="I23" s="13">
        <v>57.869763526458968</v>
      </c>
      <c r="J23" s="13">
        <v>61.743503879215176</v>
      </c>
      <c r="K23" s="13">
        <v>14.882445361068102</v>
      </c>
      <c r="L23" s="13">
        <v>49.234190030217867</v>
      </c>
      <c r="M23" s="13">
        <v>38.814509046003629</v>
      </c>
      <c r="N23" s="13">
        <v>86.633207256197338</v>
      </c>
      <c r="O23" s="13">
        <v>33.387744919861639</v>
      </c>
      <c r="P23" s="13">
        <v>60.761012050224444</v>
      </c>
      <c r="Q23" s="13">
        <v>35.841017361426665</v>
      </c>
      <c r="R23" s="13">
        <v>45.47572838380286</v>
      </c>
      <c r="S23" s="13">
        <v>34.844534026478136</v>
      </c>
      <c r="T23" s="13">
        <v>47.339290981660682</v>
      </c>
      <c r="U23" s="13">
        <v>64.65557021287222</v>
      </c>
      <c r="V23" s="13">
        <v>46.672143695220647</v>
      </c>
      <c r="W23" s="13">
        <v>47.65847915495609</v>
      </c>
      <c r="AZ23" s="12"/>
      <c r="BA23">
        <v>1984</v>
      </c>
      <c r="BB23" s="13">
        <v>38.167938931297705</v>
      </c>
      <c r="BC23" s="13">
        <v>57.208647856108648</v>
      </c>
      <c r="BD23" s="13">
        <v>57.083410719443769</v>
      </c>
      <c r="BE23" s="13">
        <v>52.01058995097064</v>
      </c>
      <c r="BG23" s="13">
        <v>52.091339504125116</v>
      </c>
      <c r="BH23" s="13">
        <v>53.38788685071831</v>
      </c>
      <c r="BI23" s="13">
        <v>57.869763526458968</v>
      </c>
      <c r="BJ23" s="13">
        <v>61.743503879215176</v>
      </c>
      <c r="BK23" s="13">
        <v>49.234190030217867</v>
      </c>
      <c r="BL23" s="84">
        <v>2.7642916044769654</v>
      </c>
      <c r="BM23" s="13">
        <v>38.814509046003629</v>
      </c>
      <c r="BN23" s="13">
        <v>86.633207256197338</v>
      </c>
      <c r="BO23" s="13">
        <v>33.387744919861639</v>
      </c>
      <c r="BP23" s="13">
        <v>60.761012050224444</v>
      </c>
      <c r="BQ23" s="13">
        <v>35.841017361426665</v>
      </c>
      <c r="BR23" s="13">
        <v>45.47572838380286</v>
      </c>
      <c r="BS23" s="13">
        <v>34.844534026478136</v>
      </c>
      <c r="BT23" s="13">
        <v>47.339290981660682</v>
      </c>
      <c r="BU23" s="13">
        <v>64.65557021287222</v>
      </c>
      <c r="BV23" s="13">
        <v>46.672143695220647</v>
      </c>
      <c r="BW23" s="13">
        <v>47.65847915495609</v>
      </c>
    </row>
    <row r="24" spans="1:75">
      <c r="A24">
        <v>1985</v>
      </c>
      <c r="B24" s="13">
        <v>39.812096300645919</v>
      </c>
      <c r="C24" s="13">
        <v>59.033323972430495</v>
      </c>
      <c r="D24" s="13">
        <v>59.86264786216455</v>
      </c>
      <c r="E24" s="13">
        <v>54.071265648110987</v>
      </c>
      <c r="G24" s="13">
        <v>54.528560967520789</v>
      </c>
      <c r="H24" s="13">
        <v>56.161720179148212</v>
      </c>
      <c r="I24" s="13">
        <v>61.244206728752687</v>
      </c>
      <c r="J24" s="13">
        <v>63.019268531723796</v>
      </c>
      <c r="K24" s="13">
        <v>15.709247881193585</v>
      </c>
      <c r="L24" s="13">
        <v>51.926877795520319</v>
      </c>
      <c r="M24" s="13">
        <v>42.38777003176309</v>
      </c>
      <c r="N24" s="13">
        <v>88.406524033826258</v>
      </c>
      <c r="O24" s="13">
        <v>34.208786293960451</v>
      </c>
      <c r="P24" s="13">
        <v>62.133352369459239</v>
      </c>
      <c r="Q24" s="13">
        <v>41.366863558752399</v>
      </c>
      <c r="R24" s="13">
        <v>48.045307585449898</v>
      </c>
      <c r="S24" s="13">
        <v>37.915889449756399</v>
      </c>
      <c r="T24" s="13">
        <v>50.82941571375185</v>
      </c>
      <c r="U24" s="13">
        <v>66.876750258188039</v>
      </c>
      <c r="V24" s="13">
        <v>49.505793427203656</v>
      </c>
      <c r="W24" s="13">
        <v>49.339823833290041</v>
      </c>
      <c r="AZ24" s="12"/>
      <c r="BA24">
        <v>1985</v>
      </c>
      <c r="BB24" s="13">
        <v>39.812096300645919</v>
      </c>
      <c r="BC24" s="13">
        <v>59.033323972430495</v>
      </c>
      <c r="BD24" s="13">
        <v>59.86264786216455</v>
      </c>
      <c r="BE24" s="13">
        <v>54.071265648110987</v>
      </c>
      <c r="BG24" s="13">
        <v>54.528560967520789</v>
      </c>
      <c r="BH24" s="13">
        <v>56.161720179148212</v>
      </c>
      <c r="BI24" s="13">
        <v>61.244206728752687</v>
      </c>
      <c r="BJ24" s="13">
        <v>63.019268531723796</v>
      </c>
      <c r="BK24" s="13">
        <v>51.926877795520319</v>
      </c>
      <c r="BL24" s="13">
        <v>11.183886593490142</v>
      </c>
      <c r="BM24" s="13">
        <v>42.38777003176309</v>
      </c>
      <c r="BN24" s="13">
        <v>88.406524033826258</v>
      </c>
      <c r="BO24" s="13">
        <v>34.208786293960451</v>
      </c>
      <c r="BP24" s="13">
        <v>62.133352369459239</v>
      </c>
      <c r="BQ24" s="13">
        <v>41.366863558752399</v>
      </c>
      <c r="BR24" s="13">
        <v>48.045307585449898</v>
      </c>
      <c r="BS24" s="13">
        <v>37.915889449756399</v>
      </c>
      <c r="BT24" s="13">
        <v>50.82941571375185</v>
      </c>
      <c r="BU24" s="13">
        <v>66.876750258188039</v>
      </c>
      <c r="BV24" s="13">
        <v>49.505793427203656</v>
      </c>
      <c r="BW24" s="13">
        <v>49.339823833290041</v>
      </c>
    </row>
    <row r="25" spans="1:75">
      <c r="A25">
        <v>1986</v>
      </c>
      <c r="B25" s="13">
        <v>43.159130945390487</v>
      </c>
      <c r="C25" s="13">
        <v>60.040105434785353</v>
      </c>
      <c r="D25" s="13">
        <v>60.637492615924529</v>
      </c>
      <c r="E25" s="13">
        <v>56.339439529540762</v>
      </c>
      <c r="G25" s="13">
        <v>56.534223408315214</v>
      </c>
      <c r="H25" s="13">
        <v>57.809268046745267</v>
      </c>
      <c r="I25" s="13">
        <v>62.798907452497886</v>
      </c>
      <c r="J25" s="13">
        <v>62.937712838565425</v>
      </c>
      <c r="K25" s="13">
        <v>17.080792686687463</v>
      </c>
      <c r="L25" s="13">
        <v>53.878458625428806</v>
      </c>
      <c r="M25" s="13">
        <v>44.856240470181625</v>
      </c>
      <c r="N25" s="13">
        <v>88.950229549432265</v>
      </c>
      <c r="O25" s="13">
        <v>35.149521075287105</v>
      </c>
      <c r="P25" s="13">
        <v>62.185138791351989</v>
      </c>
      <c r="Q25" s="13">
        <v>46.832832708224586</v>
      </c>
      <c r="R25" s="13">
        <v>51.501618308357315</v>
      </c>
      <c r="S25" s="13">
        <v>41.250568798169908</v>
      </c>
      <c r="T25" s="13">
        <v>52.982504016912237</v>
      </c>
      <c r="U25" s="13">
        <v>67.378531798638491</v>
      </c>
      <c r="V25" s="13">
        <v>51.202661428583504</v>
      </c>
      <c r="W25" s="13">
        <v>50.298954547521411</v>
      </c>
      <c r="AZ25" s="12"/>
      <c r="BA25">
        <v>1986</v>
      </c>
      <c r="BB25" s="13">
        <v>43.159130945390487</v>
      </c>
      <c r="BC25" s="13">
        <v>60.040105434785353</v>
      </c>
      <c r="BD25" s="13">
        <v>60.637492615924529</v>
      </c>
      <c r="BE25" s="13">
        <v>56.339439529540762</v>
      </c>
      <c r="BG25" s="13">
        <v>56.534223408315214</v>
      </c>
      <c r="BH25" s="13">
        <v>57.809268046745267</v>
      </c>
      <c r="BI25" s="13">
        <v>62.798907452497886</v>
      </c>
      <c r="BJ25" s="13">
        <v>62.937712838565425</v>
      </c>
      <c r="BK25" s="13">
        <v>53.878458625428806</v>
      </c>
      <c r="BL25" s="13">
        <v>16.567064006528614</v>
      </c>
      <c r="BM25" s="13">
        <v>44.856240470181625</v>
      </c>
      <c r="BN25" s="13">
        <v>88.950229549432265</v>
      </c>
      <c r="BO25" s="13">
        <v>35.149521075287105</v>
      </c>
      <c r="BP25" s="13">
        <v>62.185138791351989</v>
      </c>
      <c r="BQ25" s="13">
        <v>46.832832708224586</v>
      </c>
      <c r="BR25" s="13">
        <v>51.501618308357315</v>
      </c>
      <c r="BS25" s="13">
        <v>41.250568798169908</v>
      </c>
      <c r="BT25" s="13">
        <v>52.982504016912237</v>
      </c>
      <c r="BU25" s="13">
        <v>67.378531798638491</v>
      </c>
      <c r="BV25" s="13">
        <v>51.202661428583504</v>
      </c>
      <c r="BW25" s="13">
        <v>50.298954547521411</v>
      </c>
    </row>
    <row r="26" spans="1:75">
      <c r="A26">
        <v>1987</v>
      </c>
      <c r="B26" s="13">
        <v>47.210804462712858</v>
      </c>
      <c r="C26" s="13">
        <v>60.881840694933601</v>
      </c>
      <c r="D26" s="13">
        <v>61.579423298721778</v>
      </c>
      <c r="E26" s="13">
        <v>58.793646925436647</v>
      </c>
      <c r="G26" s="13">
        <v>58.806893535907143</v>
      </c>
      <c r="H26" s="13">
        <v>60.186978850010277</v>
      </c>
      <c r="I26" s="13">
        <v>64.864299463724947</v>
      </c>
      <c r="J26" s="13">
        <v>63.094998840339748</v>
      </c>
      <c r="K26" s="13">
        <v>18.583678517510805</v>
      </c>
      <c r="L26" s="13">
        <v>55.583003877977298</v>
      </c>
      <c r="M26" s="13">
        <v>46.985693597024081</v>
      </c>
      <c r="N26" s="13">
        <v>89.05897067135507</v>
      </c>
      <c r="O26" s="13">
        <v>36.221461959711704</v>
      </c>
      <c r="P26" s="13">
        <v>61.755311443102975</v>
      </c>
      <c r="Q26" s="13">
        <v>54.20632970502232</v>
      </c>
      <c r="R26" s="13">
        <v>55.99352765527027</v>
      </c>
      <c r="S26" s="13">
        <v>43.415408548834378</v>
      </c>
      <c r="T26" s="13">
        <v>55.201713815238463</v>
      </c>
      <c r="U26" s="13">
        <v>68.348980075637044</v>
      </c>
      <c r="V26" s="13">
        <v>53.32701786507306</v>
      </c>
      <c r="W26" s="13">
        <v>52.098757600919789</v>
      </c>
      <c r="AZ26" s="12"/>
      <c r="BA26">
        <v>1987</v>
      </c>
      <c r="BB26" s="13">
        <v>47.210804462712858</v>
      </c>
      <c r="BC26" s="13">
        <v>60.881840694933601</v>
      </c>
      <c r="BD26" s="13">
        <v>61.579423298721778</v>
      </c>
      <c r="BE26" s="13">
        <v>58.793646925436647</v>
      </c>
      <c r="BG26" s="13">
        <v>58.806893535907143</v>
      </c>
      <c r="BH26" s="13">
        <v>60.186978850010277</v>
      </c>
      <c r="BI26" s="13">
        <v>64.864299463724947</v>
      </c>
      <c r="BJ26" s="13">
        <v>63.094998840339748</v>
      </c>
      <c r="BK26" s="13">
        <v>55.583003877977298</v>
      </c>
      <c r="BL26" s="13">
        <v>19.856058745667866</v>
      </c>
      <c r="BM26" s="13">
        <v>46.985693597024081</v>
      </c>
      <c r="BN26" s="13">
        <v>89.05897067135507</v>
      </c>
      <c r="BO26" s="13">
        <v>36.221461959711704</v>
      </c>
      <c r="BP26" s="13">
        <v>61.755311443102975</v>
      </c>
      <c r="BQ26" s="13">
        <v>54.20632970502232</v>
      </c>
      <c r="BR26" s="13">
        <v>55.99352765527027</v>
      </c>
      <c r="BS26" s="13">
        <v>43.415408548834378</v>
      </c>
      <c r="BT26" s="13">
        <v>55.201713815238463</v>
      </c>
      <c r="BU26" s="13">
        <v>68.348980075637044</v>
      </c>
      <c r="BV26" s="13">
        <v>53.32701786507306</v>
      </c>
      <c r="BW26" s="13">
        <v>52.098757600919789</v>
      </c>
    </row>
    <row r="27" spans="1:75">
      <c r="A27">
        <v>1988</v>
      </c>
      <c r="B27" s="13">
        <v>50.675278919553726</v>
      </c>
      <c r="C27" s="13">
        <v>62.048166293494582</v>
      </c>
      <c r="D27" s="13">
        <v>62.294320992389025</v>
      </c>
      <c r="E27" s="13">
        <v>61.161992600727046</v>
      </c>
      <c r="G27" s="13">
        <v>61.473865547066808</v>
      </c>
      <c r="H27" s="13">
        <v>63.248047667176188</v>
      </c>
      <c r="I27" s="13">
        <v>66.616165490572143</v>
      </c>
      <c r="J27" s="13">
        <v>63.898905470514272</v>
      </c>
      <c r="K27" s="13">
        <v>20.327715083258649</v>
      </c>
      <c r="L27" s="13">
        <v>56.768774442097467</v>
      </c>
      <c r="M27" s="13">
        <v>49.362346973538614</v>
      </c>
      <c r="N27" s="13">
        <v>89.636135053525948</v>
      </c>
      <c r="O27" s="13">
        <v>38.809884215029278</v>
      </c>
      <c r="P27" s="13">
        <v>62.211031984908331</v>
      </c>
      <c r="Q27" s="13">
        <v>57.662122533984842</v>
      </c>
      <c r="R27" s="13">
        <v>59.734628257919326</v>
      </c>
      <c r="S27" s="13">
        <v>45.515527779482319</v>
      </c>
      <c r="T27" s="13">
        <v>58.417157891245154</v>
      </c>
      <c r="U27" s="13">
        <v>69.628815411043149</v>
      </c>
      <c r="V27" s="13">
        <v>55.456067590395563</v>
      </c>
      <c r="W27" s="13">
        <v>54.234829589984898</v>
      </c>
      <c r="AZ27" s="12"/>
      <c r="BA27">
        <v>1988</v>
      </c>
      <c r="BB27" s="13">
        <v>50.675278919553726</v>
      </c>
      <c r="BC27" s="13">
        <v>62.048166293494582</v>
      </c>
      <c r="BD27" s="13">
        <v>62.294320992389025</v>
      </c>
      <c r="BE27" s="13">
        <v>61.161992600727046</v>
      </c>
      <c r="BG27" s="13">
        <v>61.473865547066808</v>
      </c>
      <c r="BH27" s="13">
        <v>63.248047667176188</v>
      </c>
      <c r="BI27" s="13">
        <v>66.616165490572143</v>
      </c>
      <c r="BJ27" s="13">
        <v>63.898905470514272</v>
      </c>
      <c r="BK27" s="13">
        <v>56.768774442097467</v>
      </c>
      <c r="BL27" s="13">
        <v>23.084322784807632</v>
      </c>
      <c r="BM27" s="13">
        <v>49.362346973538614</v>
      </c>
      <c r="BN27" s="13">
        <v>89.636135053525948</v>
      </c>
      <c r="BO27" s="13">
        <v>38.809884215029278</v>
      </c>
      <c r="BP27" s="13">
        <v>62.211031984908331</v>
      </c>
      <c r="BQ27" s="13">
        <v>57.662122533984842</v>
      </c>
      <c r="BR27" s="13">
        <v>59.734628257919326</v>
      </c>
      <c r="BS27" s="13">
        <v>45.515527779482319</v>
      </c>
      <c r="BT27" s="13">
        <v>58.417157891245154</v>
      </c>
      <c r="BU27" s="13">
        <v>69.628815411043149</v>
      </c>
      <c r="BV27" s="13">
        <v>55.456067590395563</v>
      </c>
      <c r="BW27" s="13">
        <v>54.234829589984898</v>
      </c>
    </row>
    <row r="28" spans="1:75">
      <c r="A28">
        <v>1989</v>
      </c>
      <c r="B28" s="13">
        <v>54.374633000587188</v>
      </c>
      <c r="C28" s="13">
        <v>63.641778511048557</v>
      </c>
      <c r="D28" s="13">
        <v>64.229838561612681</v>
      </c>
      <c r="E28" s="13">
        <v>64.210075119615254</v>
      </c>
      <c r="G28" s="13">
        <v>64.407845325975359</v>
      </c>
      <c r="H28" s="13">
        <v>67.417935159110684</v>
      </c>
      <c r="I28" s="13">
        <v>68.946600140252144</v>
      </c>
      <c r="J28" s="13">
        <v>65.675654793432372</v>
      </c>
      <c r="K28" s="13">
        <v>20.990919006839498</v>
      </c>
      <c r="L28" s="13">
        <v>59.090909108279888</v>
      </c>
      <c r="M28" s="13">
        <v>52.452349433456561</v>
      </c>
      <c r="N28" s="13">
        <v>91.68548690561606</v>
      </c>
      <c r="O28" s="13">
        <v>41.02210971110069</v>
      </c>
      <c r="P28" s="13">
        <v>62.884255510746534</v>
      </c>
      <c r="Q28" s="13">
        <v>60.958084268436387</v>
      </c>
      <c r="R28" s="13">
        <v>62.446602482641325</v>
      </c>
      <c r="S28" s="13">
        <v>48.606685718688084</v>
      </c>
      <c r="T28" s="13">
        <v>62.181136605533865</v>
      </c>
      <c r="U28" s="13">
        <v>71.825788357334233</v>
      </c>
      <c r="V28" s="13">
        <v>58.360631813706746</v>
      </c>
      <c r="W28" s="13">
        <v>56.833271365591884</v>
      </c>
      <c r="AZ28" s="12"/>
      <c r="BA28">
        <v>1989</v>
      </c>
      <c r="BB28" s="13">
        <v>54.374633000587188</v>
      </c>
      <c r="BC28" s="13">
        <v>63.641778511048557</v>
      </c>
      <c r="BD28" s="13">
        <v>64.229838561612681</v>
      </c>
      <c r="BE28" s="13">
        <v>64.210075119615254</v>
      </c>
      <c r="BG28" s="13">
        <v>64.407845325975359</v>
      </c>
      <c r="BH28" s="13">
        <v>67.417935159110684</v>
      </c>
      <c r="BI28" s="13">
        <v>68.946600140252144</v>
      </c>
      <c r="BJ28" s="13">
        <v>65.675654793432372</v>
      </c>
      <c r="BK28" s="13">
        <v>59.090909108279888</v>
      </c>
      <c r="BL28" s="13">
        <v>27.758770123935346</v>
      </c>
      <c r="BM28" s="13">
        <v>52.452349433456561</v>
      </c>
      <c r="BN28" s="13">
        <v>91.68548690561606</v>
      </c>
      <c r="BO28" s="13">
        <v>41.02210971110069</v>
      </c>
      <c r="BP28" s="13">
        <v>62.884255510746534</v>
      </c>
      <c r="BQ28" s="13">
        <v>60.958084268436387</v>
      </c>
      <c r="BR28" s="13">
        <v>62.446602482641325</v>
      </c>
      <c r="BS28" s="13">
        <v>48.606685718688084</v>
      </c>
      <c r="BT28" s="13">
        <v>62.181136605533865</v>
      </c>
      <c r="BU28" s="13">
        <v>71.825788357334233</v>
      </c>
      <c r="BV28" s="13">
        <v>58.360631813706746</v>
      </c>
      <c r="BW28" s="13">
        <v>56.833271365591884</v>
      </c>
    </row>
    <row r="29" spans="1:75">
      <c r="A29">
        <v>1990</v>
      </c>
      <c r="B29" s="13">
        <v>58.719906048150314</v>
      </c>
      <c r="C29" s="13">
        <v>65.717691864602472</v>
      </c>
      <c r="D29" s="13">
        <v>66.444682507716635</v>
      </c>
      <c r="E29" s="13">
        <v>67.279622992391182</v>
      </c>
      <c r="G29" s="13">
        <v>66.109242968106329</v>
      </c>
      <c r="H29" s="13">
        <v>71.563842206660638</v>
      </c>
      <c r="I29" s="13">
        <v>71.17452471946622</v>
      </c>
      <c r="J29" s="13">
        <v>67.446579122240834</v>
      </c>
      <c r="K29" s="13">
        <v>22.874063374184864</v>
      </c>
      <c r="L29" s="13">
        <v>61.067193927042666</v>
      </c>
      <c r="M29" s="13">
        <v>55.838992023165076</v>
      </c>
      <c r="N29" s="13">
        <v>94.496026657188978</v>
      </c>
      <c r="O29" s="13">
        <v>44.538962251225762</v>
      </c>
      <c r="P29" s="13">
        <v>64.427491107967654</v>
      </c>
      <c r="Q29" s="13">
        <v>64.675575853115575</v>
      </c>
      <c r="R29" s="13">
        <v>65.022654099517425</v>
      </c>
      <c r="S29" s="13">
        <v>51.873940126730865</v>
      </c>
      <c r="T29" s="13">
        <v>68.627175222314833</v>
      </c>
      <c r="U29" s="13">
        <v>75.707240313264776</v>
      </c>
      <c r="V29" s="13">
        <v>62.429933666873673</v>
      </c>
      <c r="W29" s="13">
        <v>59.913189117267208</v>
      </c>
      <c r="AZ29" s="12"/>
      <c r="BA29">
        <v>1990</v>
      </c>
      <c r="BB29" s="13">
        <v>58.719906048150314</v>
      </c>
      <c r="BC29" s="13">
        <v>65.717691864602472</v>
      </c>
      <c r="BD29" s="13">
        <v>66.444682507716635</v>
      </c>
      <c r="BE29" s="13">
        <v>67.279622992391182</v>
      </c>
      <c r="BG29" s="13">
        <v>66.109242968106329</v>
      </c>
      <c r="BH29" s="13">
        <v>71.563842206660638</v>
      </c>
      <c r="BI29" s="13">
        <v>71.17452471946622</v>
      </c>
      <c r="BJ29" s="13">
        <v>67.446579122240834</v>
      </c>
      <c r="BK29" s="13">
        <v>61.067193927042666</v>
      </c>
      <c r="BL29" s="13">
        <v>32.525878974728947</v>
      </c>
      <c r="BM29" s="13">
        <v>55.838992023165076</v>
      </c>
      <c r="BN29" s="13">
        <v>94.496026657188978</v>
      </c>
      <c r="BO29" s="13">
        <v>44.538962251225762</v>
      </c>
      <c r="BP29" s="13">
        <v>64.427491107967654</v>
      </c>
      <c r="BQ29" s="13">
        <v>64.675575853115575</v>
      </c>
      <c r="BR29" s="13">
        <v>65.022654099517425</v>
      </c>
      <c r="BS29" s="13">
        <v>51.873940126730865</v>
      </c>
      <c r="BT29" s="13">
        <v>68.627175222314833</v>
      </c>
      <c r="BU29" s="13">
        <v>75.707240313264776</v>
      </c>
      <c r="BV29" s="13">
        <v>62.429933666873673</v>
      </c>
      <c r="BW29" s="13">
        <v>59.913189117267208</v>
      </c>
    </row>
    <row r="30" spans="1:75">
      <c r="A30">
        <v>1991</v>
      </c>
      <c r="B30" s="13">
        <v>61.832061068702281</v>
      </c>
      <c r="C30" s="13">
        <v>67.910971199491598</v>
      </c>
      <c r="D30" s="13">
        <v>68.581085693302327</v>
      </c>
      <c r="E30" s="13">
        <v>71.064683081655843</v>
      </c>
      <c r="G30" s="13">
        <v>67.692660484334212</v>
      </c>
      <c r="H30" s="13">
        <v>74.648397668028451</v>
      </c>
      <c r="I30" s="13">
        <v>73.465372883170602</v>
      </c>
      <c r="J30" s="13">
        <v>70.147872620144625</v>
      </c>
      <c r="K30" s="13">
        <v>26.046752254966862</v>
      </c>
      <c r="L30" s="13">
        <v>62.99407152390021</v>
      </c>
      <c r="M30" s="13">
        <v>59.328929024612897</v>
      </c>
      <c r="N30" s="13">
        <v>97.582601403747134</v>
      </c>
      <c r="O30" s="13">
        <v>48.696250366457051</v>
      </c>
      <c r="P30" s="13">
        <v>66.462242064964229</v>
      </c>
      <c r="Q30" s="13">
        <v>66.358692392361306</v>
      </c>
      <c r="R30" s="13">
        <v>67.249191032067074</v>
      </c>
      <c r="S30" s="13">
        <v>54.952250744082946</v>
      </c>
      <c r="T30" s="13">
        <v>75.108756628970653</v>
      </c>
      <c r="U30" s="13">
        <v>80.143358297416341</v>
      </c>
      <c r="V30" s="13">
        <v>67.132561440932093</v>
      </c>
      <c r="W30" s="13">
        <v>62.439027372673394</v>
      </c>
      <c r="AZ30" s="12"/>
      <c r="BA30">
        <v>1991</v>
      </c>
      <c r="BB30" s="13">
        <v>61.832061068702281</v>
      </c>
      <c r="BC30" s="13">
        <v>67.910971199491598</v>
      </c>
      <c r="BD30" s="13">
        <v>68.581085693302327</v>
      </c>
      <c r="BE30" s="13">
        <v>71.064683081655843</v>
      </c>
      <c r="BG30" s="13">
        <v>67.692660484334212</v>
      </c>
      <c r="BH30" s="13">
        <v>74.648397668028451</v>
      </c>
      <c r="BI30" s="13">
        <v>73.465372883170602</v>
      </c>
      <c r="BJ30" s="13">
        <v>70.147872620144625</v>
      </c>
      <c r="BK30" s="13">
        <v>62.99407152390021</v>
      </c>
      <c r="BL30" s="13">
        <v>38.707731640510772</v>
      </c>
      <c r="BM30" s="13">
        <v>59.328929024612897</v>
      </c>
      <c r="BN30" s="13">
        <v>97.582601403747134</v>
      </c>
      <c r="BO30" s="13">
        <v>48.696250366457051</v>
      </c>
      <c r="BP30" s="13">
        <v>66.462242064964229</v>
      </c>
      <c r="BQ30" s="13">
        <v>66.358692392361306</v>
      </c>
      <c r="BR30" s="13">
        <v>67.249191032067074</v>
      </c>
      <c r="BS30" s="13">
        <v>54.952250744082946</v>
      </c>
      <c r="BT30" s="13">
        <v>75.108756628970653</v>
      </c>
      <c r="BU30" s="13">
        <v>80.143358297416341</v>
      </c>
      <c r="BV30" s="13">
        <v>67.132561440932093</v>
      </c>
      <c r="BW30" s="13">
        <v>62.439027372673394</v>
      </c>
    </row>
    <row r="31" spans="1:75">
      <c r="A31">
        <v>1992</v>
      </c>
      <c r="B31" s="13">
        <v>63.006459189665286</v>
      </c>
      <c r="C31" s="13">
        <v>70.641567447637229</v>
      </c>
      <c r="D31" s="13">
        <v>70.246204278258006</v>
      </c>
      <c r="E31" s="13">
        <v>72.123641375601011</v>
      </c>
      <c r="G31" s="13">
        <v>69.111527079003253</v>
      </c>
      <c r="H31" s="13">
        <v>76.827625510282672</v>
      </c>
      <c r="I31" s="13">
        <v>75.233384669747153</v>
      </c>
      <c r="J31" s="13">
        <v>73.752308818134566</v>
      </c>
      <c r="K31" s="13">
        <v>29.117096331277658</v>
      </c>
      <c r="L31" s="13">
        <v>64.920949302250435</v>
      </c>
      <c r="M31" s="13">
        <v>62.455912438312659</v>
      </c>
      <c r="N31" s="13">
        <v>99.255541908996747</v>
      </c>
      <c r="O31" s="13">
        <v>51.721415806335024</v>
      </c>
      <c r="P31" s="13">
        <v>68.578121375518435</v>
      </c>
      <c r="Q31" s="13">
        <v>67.03193915113647</v>
      </c>
      <c r="R31" s="13">
        <v>68.828479104167059</v>
      </c>
      <c r="S31" s="13">
        <v>58.20791387461388</v>
      </c>
      <c r="T31" s="13">
        <v>76.892114160479238</v>
      </c>
      <c r="U31" s="13">
        <v>83.378772119191282</v>
      </c>
      <c r="V31" s="13">
        <v>69.993448441692522</v>
      </c>
      <c r="W31" s="13">
        <v>64.338182611609682</v>
      </c>
      <c r="AZ31" s="12"/>
      <c r="BA31">
        <v>1992</v>
      </c>
      <c r="BB31" s="13">
        <v>63.006459189665286</v>
      </c>
      <c r="BC31" s="13">
        <v>70.641567447637229</v>
      </c>
      <c r="BD31" s="13">
        <v>70.246204278258006</v>
      </c>
      <c r="BE31" s="13">
        <v>72.123641375601011</v>
      </c>
      <c r="BG31" s="13">
        <v>69.111527079003253</v>
      </c>
      <c r="BH31" s="13">
        <v>76.827625510282672</v>
      </c>
      <c r="BI31" s="13">
        <v>75.233384669747153</v>
      </c>
      <c r="BJ31" s="13">
        <v>73.752308818134566</v>
      </c>
      <c r="BK31" s="13">
        <v>64.920949302250435</v>
      </c>
      <c r="BL31" s="13">
        <v>43.33253938380556</v>
      </c>
      <c r="BM31" s="13">
        <v>62.455912438312659</v>
      </c>
      <c r="BN31" s="13">
        <v>99.255541908996747</v>
      </c>
      <c r="BO31" s="13">
        <v>51.721415806335024</v>
      </c>
      <c r="BP31" s="13">
        <v>68.578121375518435</v>
      </c>
      <c r="BQ31" s="13">
        <v>67.03193915113647</v>
      </c>
      <c r="BR31" s="13">
        <v>68.828479104167059</v>
      </c>
      <c r="BS31" s="13">
        <v>58.20791387461388</v>
      </c>
      <c r="BT31" s="13">
        <v>76.892114160479238</v>
      </c>
      <c r="BU31" s="13">
        <v>83.378772119191282</v>
      </c>
      <c r="BV31" s="13">
        <v>69.993448441692522</v>
      </c>
      <c r="BW31" s="13">
        <v>64.338182611609682</v>
      </c>
    </row>
    <row r="32" spans="1:75">
      <c r="A32">
        <v>1993</v>
      </c>
      <c r="B32" s="13">
        <v>63.652378156194942</v>
      </c>
      <c r="C32" s="13">
        <v>73.207118004381073</v>
      </c>
      <c r="D32" s="13">
        <v>72.181083992911454</v>
      </c>
      <c r="E32" s="13">
        <v>73.468804264932643</v>
      </c>
      <c r="F32">
        <v>51.05</v>
      </c>
      <c r="G32" s="13">
        <v>69.980854715749743</v>
      </c>
      <c r="H32" s="13">
        <v>78.510652961628708</v>
      </c>
      <c r="I32" s="13">
        <v>76.795013815677109</v>
      </c>
      <c r="J32" s="13">
        <v>76.987059269589849</v>
      </c>
      <c r="K32" s="13">
        <v>30.969537257707668</v>
      </c>
      <c r="L32" s="13">
        <v>65.859684156038213</v>
      </c>
      <c r="M32" s="13">
        <v>65.345580124988047</v>
      </c>
      <c r="N32" s="13">
        <v>100.51861135967174</v>
      </c>
      <c r="O32" s="13">
        <v>54.204702695876485</v>
      </c>
      <c r="P32" s="13">
        <v>70.350304844042725</v>
      </c>
      <c r="Q32" s="13">
        <v>67.895451294475322</v>
      </c>
      <c r="R32" s="13">
        <v>70.401294510726586</v>
      </c>
      <c r="S32" s="13">
        <v>60.867475369242982</v>
      </c>
      <c r="T32" s="13">
        <v>80.527706341344185</v>
      </c>
      <c r="U32" s="13">
        <v>86.124127417407124</v>
      </c>
      <c r="V32" s="13">
        <v>71.747834226883541</v>
      </c>
      <c r="W32" s="13">
        <v>66.248801564261839</v>
      </c>
      <c r="AZ32" s="12"/>
      <c r="BA32">
        <v>1993</v>
      </c>
      <c r="BB32" s="13">
        <v>63.652378156194942</v>
      </c>
      <c r="BC32" s="13">
        <v>73.207118004381073</v>
      </c>
      <c r="BD32" s="13">
        <v>72.181083992911454</v>
      </c>
      <c r="BE32" s="13">
        <v>73.468804264932643</v>
      </c>
      <c r="BG32" s="13">
        <v>69.980854715749743</v>
      </c>
      <c r="BH32" s="13">
        <v>78.510652961628708</v>
      </c>
      <c r="BI32" s="13">
        <v>76.795013815677109</v>
      </c>
      <c r="BJ32" s="13">
        <v>76.987059269589849</v>
      </c>
      <c r="BK32" s="13">
        <v>65.859684156038213</v>
      </c>
      <c r="BL32" s="13">
        <v>48.074827300432709</v>
      </c>
      <c r="BM32" s="13">
        <v>65.345580124988047</v>
      </c>
      <c r="BN32" s="13">
        <v>100.51861135967174</v>
      </c>
      <c r="BO32" s="13">
        <v>54.204702695876485</v>
      </c>
      <c r="BP32" s="13">
        <v>70.350304844042725</v>
      </c>
      <c r="BQ32" s="13">
        <v>67.895451294475322</v>
      </c>
      <c r="BR32" s="13">
        <v>70.401294510726586</v>
      </c>
      <c r="BS32" s="13">
        <v>60.867475369242982</v>
      </c>
      <c r="BT32" s="13">
        <v>80.527706341344185</v>
      </c>
      <c r="BU32" s="13">
        <v>86.124127417407124</v>
      </c>
      <c r="BV32" s="13">
        <v>71.747834226883541</v>
      </c>
      <c r="BW32" s="13">
        <v>66.248801564261839</v>
      </c>
    </row>
    <row r="33" spans="1:75">
      <c r="A33">
        <v>1994</v>
      </c>
      <c r="B33" s="13">
        <v>64.826776277157961</v>
      </c>
      <c r="C33" s="13">
        <v>75.369222152020726</v>
      </c>
      <c r="D33" s="13">
        <v>73.897221746330729</v>
      </c>
      <c r="E33" s="13">
        <v>73.590441347868989</v>
      </c>
      <c r="F33">
        <v>63.43</v>
      </c>
      <c r="G33" s="13">
        <v>71.374883139007139</v>
      </c>
      <c r="H33" s="13">
        <v>79.365286955294764</v>
      </c>
      <c r="I33" s="13">
        <v>78.074586926926543</v>
      </c>
      <c r="J33" s="13">
        <v>79.112752042564864</v>
      </c>
      <c r="K33" s="13">
        <v>34.131991656977959</v>
      </c>
      <c r="L33" s="13">
        <v>67.41600842495798</v>
      </c>
      <c r="M33" s="13">
        <v>67.993279132180163</v>
      </c>
      <c r="N33" s="13">
        <v>101.21288154713685</v>
      </c>
      <c r="O33" s="13">
        <v>57.60107017219417</v>
      </c>
      <c r="P33" s="13">
        <v>72.321187628830899</v>
      </c>
      <c r="Q33" s="13">
        <v>69.080482206460786</v>
      </c>
      <c r="R33" s="13">
        <v>71.385113176789062</v>
      </c>
      <c r="S33" s="13">
        <v>63.739454239837137</v>
      </c>
      <c r="T33" s="13">
        <v>82.265605372425142</v>
      </c>
      <c r="U33" s="13">
        <v>86.858011432424917</v>
      </c>
      <c r="V33" s="13">
        <v>73.167357952279019</v>
      </c>
      <c r="W33" s="13">
        <v>67.968358621648804</v>
      </c>
      <c r="AZ33" s="12"/>
      <c r="BA33">
        <v>1994</v>
      </c>
      <c r="BB33" s="13">
        <v>64.826776277157961</v>
      </c>
      <c r="BC33" s="13">
        <v>75.369222152020726</v>
      </c>
      <c r="BD33" s="13">
        <v>73.897221746330729</v>
      </c>
      <c r="BE33" s="13">
        <v>73.590441347868989</v>
      </c>
      <c r="BG33" s="13">
        <v>71.374883139007139</v>
      </c>
      <c r="BH33" s="13">
        <v>79.365286955294764</v>
      </c>
      <c r="BI33" s="13">
        <v>78.074586926926543</v>
      </c>
      <c r="BJ33" s="13">
        <v>79.112752042564864</v>
      </c>
      <c r="BK33" s="13">
        <v>67.41600842495798</v>
      </c>
      <c r="BL33" s="13">
        <v>54.012068247049889</v>
      </c>
      <c r="BM33" s="13">
        <v>67.993279132180163</v>
      </c>
      <c r="BN33" s="13">
        <v>101.21288154713685</v>
      </c>
      <c r="BO33" s="13">
        <v>57.60107017219417</v>
      </c>
      <c r="BP33" s="13">
        <v>72.321187628830899</v>
      </c>
      <c r="BQ33" s="13">
        <v>69.080482206460786</v>
      </c>
      <c r="BR33" s="13">
        <v>71.385113176789062</v>
      </c>
      <c r="BS33" s="13">
        <v>63.739454239837137</v>
      </c>
      <c r="BT33" s="13">
        <v>82.265605372425142</v>
      </c>
      <c r="BU33" s="13">
        <v>86.858011432424917</v>
      </c>
      <c r="BV33" s="13">
        <v>73.167357952279019</v>
      </c>
      <c r="BW33" s="13">
        <v>67.968358621648804</v>
      </c>
    </row>
    <row r="34" spans="1:75">
      <c r="A34">
        <v>1995</v>
      </c>
      <c r="B34" s="13">
        <v>66.881972988843216</v>
      </c>
      <c r="C34" s="13">
        <v>77.060028148859189</v>
      </c>
      <c r="D34" s="13">
        <v>74.982004141650378</v>
      </c>
      <c r="E34" s="13">
        <v>75.171723315375459</v>
      </c>
      <c r="F34">
        <v>74.08</v>
      </c>
      <c r="G34" s="13">
        <v>72.862053772835651</v>
      </c>
      <c r="H34" s="13">
        <v>79.993253835918921</v>
      </c>
      <c r="I34" s="13">
        <v>79.471110186271957</v>
      </c>
      <c r="J34" s="13">
        <v>80.499074068324973</v>
      </c>
      <c r="K34" s="13">
        <v>37.621949425892538</v>
      </c>
      <c r="L34" s="13">
        <v>69.120554107814527</v>
      </c>
      <c r="M34" s="13">
        <v>71.553014906320527</v>
      </c>
      <c r="N34" s="13">
        <v>101.08741107548218</v>
      </c>
      <c r="O34" s="13">
        <v>60.182060652501953</v>
      </c>
      <c r="P34" s="13">
        <v>73.712083173546105</v>
      </c>
      <c r="Q34" s="13">
        <v>71.674413555828892</v>
      </c>
      <c r="R34" s="13">
        <v>73.132686421660978</v>
      </c>
      <c r="S34" s="13">
        <v>66.718511401676807</v>
      </c>
      <c r="T34" s="13">
        <v>84.285348560070176</v>
      </c>
      <c r="U34" s="13">
        <v>88.421288002246499</v>
      </c>
      <c r="V34" s="13">
        <v>75.111013695949495</v>
      </c>
      <c r="W34" s="13">
        <v>69.875156336395719</v>
      </c>
      <c r="AZ34" s="12"/>
      <c r="BA34">
        <v>1995</v>
      </c>
      <c r="BB34" s="13">
        <v>66.881972988843216</v>
      </c>
      <c r="BC34" s="13">
        <v>77.060028148859189</v>
      </c>
      <c r="BD34" s="13">
        <v>74.982004141650378</v>
      </c>
      <c r="BE34" s="13">
        <v>75.171723315375459</v>
      </c>
      <c r="BG34" s="13">
        <v>72.862053772835651</v>
      </c>
      <c r="BH34" s="13">
        <v>79.993253835918921</v>
      </c>
      <c r="BI34" s="13">
        <v>79.471110186271957</v>
      </c>
      <c r="BJ34" s="13">
        <v>80.499074068324973</v>
      </c>
      <c r="BK34" s="13">
        <v>69.120554107814527</v>
      </c>
      <c r="BL34" s="13">
        <v>59.436511192004687</v>
      </c>
      <c r="BM34" s="13">
        <v>71.553014906320527</v>
      </c>
      <c r="BN34" s="13">
        <v>101.08741107548218</v>
      </c>
      <c r="BO34" s="13">
        <v>60.182060652501953</v>
      </c>
      <c r="BP34" s="13">
        <v>73.712083173546105</v>
      </c>
      <c r="BQ34" s="13">
        <v>71.674413555828892</v>
      </c>
      <c r="BR34" s="13">
        <v>73.132686421660978</v>
      </c>
      <c r="BS34" s="13">
        <v>66.718511401676807</v>
      </c>
      <c r="BT34" s="13">
        <v>84.285348560070176</v>
      </c>
      <c r="BU34" s="13">
        <v>88.421288002246499</v>
      </c>
      <c r="BV34" s="13">
        <v>75.111013695949495</v>
      </c>
      <c r="BW34" s="13">
        <v>69.875156336395719</v>
      </c>
    </row>
    <row r="35" spans="1:75">
      <c r="A35">
        <v>1996</v>
      </c>
      <c r="B35" s="13">
        <v>69.700528479154428</v>
      </c>
      <c r="C35" s="13">
        <v>78.494095237102144</v>
      </c>
      <c r="D35" s="13">
        <v>76.536856473413053</v>
      </c>
      <c r="E35" s="13">
        <v>76.352318533277654</v>
      </c>
      <c r="F35">
        <v>80.239999999999995</v>
      </c>
      <c r="G35" s="13">
        <v>74.411319622207458</v>
      </c>
      <c r="H35" s="13">
        <v>80.496569869182693</v>
      </c>
      <c r="I35" s="13">
        <v>81.060257419956145</v>
      </c>
      <c r="J35" s="13">
        <v>81.608131546514286</v>
      </c>
      <c r="K35" s="13">
        <v>40.999327910776017</v>
      </c>
      <c r="L35" s="13">
        <v>70.306324816795041</v>
      </c>
      <c r="M35" s="13">
        <v>74.420129903013802</v>
      </c>
      <c r="N35" s="13">
        <v>101.22124625881261</v>
      </c>
      <c r="O35" s="13">
        <v>63.145826131555104</v>
      </c>
      <c r="P35" s="13">
        <v>75.171003043408575</v>
      </c>
      <c r="Q35" s="13">
        <v>73.31268566089237</v>
      </c>
      <c r="R35" s="13">
        <v>74.045307752863152</v>
      </c>
      <c r="S35" s="13">
        <v>69.092918474399582</v>
      </c>
      <c r="T35" s="13">
        <v>84.734700724555452</v>
      </c>
      <c r="U35" s="13">
        <v>89.138969908449994</v>
      </c>
      <c r="V35" s="13">
        <v>76.974593807869837</v>
      </c>
      <c r="W35" s="13">
        <v>71.92716109154415</v>
      </c>
      <c r="AZ35" s="12"/>
      <c r="BA35">
        <v>1996</v>
      </c>
      <c r="BB35" s="13">
        <v>69.700528479154428</v>
      </c>
      <c r="BC35" s="13">
        <v>78.494095237102144</v>
      </c>
      <c r="BD35" s="13">
        <v>76.536856473413053</v>
      </c>
      <c r="BE35" s="13">
        <v>76.352318533277654</v>
      </c>
      <c r="BG35" s="13">
        <v>74.411319622207458</v>
      </c>
      <c r="BH35" s="13">
        <v>80.496569869182693</v>
      </c>
      <c r="BI35" s="13">
        <v>81.060257419956145</v>
      </c>
      <c r="BJ35" s="13">
        <v>81.608131546514286</v>
      </c>
      <c r="BK35" s="13">
        <v>70.306324816795041</v>
      </c>
      <c r="BL35" s="13">
        <v>66.138943452782158</v>
      </c>
      <c r="BM35" s="13">
        <v>74.420129903013802</v>
      </c>
      <c r="BN35" s="13">
        <v>101.22124625881261</v>
      </c>
      <c r="BO35" s="13">
        <v>63.145826131555104</v>
      </c>
      <c r="BP35" s="13">
        <v>75.171003043408575</v>
      </c>
      <c r="BQ35" s="13">
        <v>73.31268566089237</v>
      </c>
      <c r="BR35" s="13">
        <v>74.045307752863152</v>
      </c>
      <c r="BS35" s="13">
        <v>69.092918474399582</v>
      </c>
      <c r="BT35" s="13">
        <v>84.734700724555452</v>
      </c>
      <c r="BU35" s="13">
        <v>89.138969908449994</v>
      </c>
      <c r="BV35" s="13">
        <v>76.974593807869837</v>
      </c>
      <c r="BW35" s="13">
        <v>71.92716109154415</v>
      </c>
    </row>
    <row r="36" spans="1:75">
      <c r="A36">
        <v>1997</v>
      </c>
      <c r="B36" s="13">
        <v>70.640046975924832</v>
      </c>
      <c r="C36" s="13">
        <v>79.519214776902501</v>
      </c>
      <c r="D36" s="13">
        <v>77.782907876911366</v>
      </c>
      <c r="E36" s="13">
        <v>77.59015453771012</v>
      </c>
      <c r="F36">
        <v>82.47</v>
      </c>
      <c r="G36" s="13">
        <v>76.035098883267793</v>
      </c>
      <c r="H36" s="13">
        <v>81.456537347917532</v>
      </c>
      <c r="I36" s="13">
        <v>82.023376489696503</v>
      </c>
      <c r="J36" s="13">
        <v>83.179296179520136</v>
      </c>
      <c r="K36" s="13">
        <v>43.936623744799455</v>
      </c>
      <c r="L36" s="13">
        <v>71.302701833719169</v>
      </c>
      <c r="M36" s="13">
        <v>75.940612042270061</v>
      </c>
      <c r="N36" s="13">
        <v>103.01129237606412</v>
      </c>
      <c r="O36" s="13">
        <v>65.949147826628078</v>
      </c>
      <c r="P36" s="13">
        <v>76.80685261204836</v>
      </c>
      <c r="Q36" s="13">
        <v>74.183017941842508</v>
      </c>
      <c r="R36" s="13">
        <v>75.95469263074699</v>
      </c>
      <c r="S36" s="13">
        <v>70.454793790006406</v>
      </c>
      <c r="T36" s="13">
        <v>85.292602721800094</v>
      </c>
      <c r="U36" s="13">
        <v>89.602665125019669</v>
      </c>
      <c r="V36" s="13">
        <v>78.343160519493111</v>
      </c>
      <c r="W36" s="13">
        <v>73.608505769878093</v>
      </c>
      <c r="BA36">
        <v>1997</v>
      </c>
      <c r="BB36" s="13">
        <v>70.640046975924832</v>
      </c>
      <c r="BC36" s="13">
        <v>79.519214776902501</v>
      </c>
      <c r="BD36" s="13">
        <v>77.782907876911366</v>
      </c>
      <c r="BE36" s="13">
        <v>77.59015453771012</v>
      </c>
      <c r="BG36" s="13">
        <v>76.035098883267793</v>
      </c>
      <c r="BH36" s="13">
        <v>81.456537347917532</v>
      </c>
      <c r="BI36" s="13">
        <v>82.023376489696503</v>
      </c>
      <c r="BJ36" s="13">
        <v>83.179296179520136</v>
      </c>
      <c r="BK36" s="13">
        <v>71.302701833719169</v>
      </c>
      <c r="BL36" s="13">
        <v>72.092209769399204</v>
      </c>
      <c r="BM36" s="13">
        <v>75.940612042270061</v>
      </c>
      <c r="BN36" s="13">
        <v>103.01129237606412</v>
      </c>
      <c r="BO36" s="13">
        <v>65.949147826628078</v>
      </c>
      <c r="BP36" s="13">
        <v>76.80685261204836</v>
      </c>
      <c r="BQ36" s="13">
        <v>74.183017941842508</v>
      </c>
      <c r="BR36" s="13">
        <v>75.95469263074699</v>
      </c>
      <c r="BS36" s="13">
        <v>70.454793790006406</v>
      </c>
      <c r="BT36" s="13">
        <v>85.292602721800094</v>
      </c>
      <c r="BU36" s="13">
        <v>89.602665125019669</v>
      </c>
      <c r="BV36" s="13">
        <v>78.343160519493111</v>
      </c>
      <c r="BW36" s="13">
        <v>73.608505769878093</v>
      </c>
    </row>
    <row r="37" spans="1:75">
      <c r="A37">
        <v>1998</v>
      </c>
      <c r="B37" s="13">
        <v>70.640046975924832</v>
      </c>
      <c r="C37" s="13">
        <v>80.252753212359337</v>
      </c>
      <c r="D37" s="13">
        <v>78.52027693162178</v>
      </c>
      <c r="E37" s="13">
        <v>78.362907862566843</v>
      </c>
      <c r="F37">
        <v>81.84</v>
      </c>
      <c r="G37" s="13">
        <v>77.43844144615781</v>
      </c>
      <c r="H37" s="13">
        <v>82.596497965705808</v>
      </c>
      <c r="I37" s="13">
        <v>82.546212766935298</v>
      </c>
      <c r="J37" s="13">
        <v>84.011089141315338</v>
      </c>
      <c r="K37" s="13">
        <v>49.74980852930549</v>
      </c>
      <c r="L37" s="13">
        <v>73.040185394219705</v>
      </c>
      <c r="M37" s="13">
        <v>77.425317835435038</v>
      </c>
      <c r="N37" s="13">
        <v>103.69719780486959</v>
      </c>
      <c r="O37" s="13">
        <v>70.903782658953261</v>
      </c>
      <c r="P37" s="13">
        <v>78.331823484056585</v>
      </c>
      <c r="Q37" s="13">
        <v>75.121611158049873</v>
      </c>
      <c r="R37" s="13">
        <v>77.676375118187437</v>
      </c>
      <c r="S37" s="13">
        <v>71.747167208934627</v>
      </c>
      <c r="T37" s="13">
        <v>85.064758289249085</v>
      </c>
      <c r="U37" s="13">
        <v>89.618750272893323</v>
      </c>
      <c r="V37" s="13">
        <v>79.58797379934586</v>
      </c>
      <c r="W37" s="13">
        <v>74.74723466565878</v>
      </c>
      <c r="BA37">
        <v>1998</v>
      </c>
      <c r="BB37" s="13">
        <v>70.640046975924832</v>
      </c>
      <c r="BC37" s="13">
        <v>80.252753212359337</v>
      </c>
      <c r="BD37" s="13">
        <v>78.52027693162178</v>
      </c>
      <c r="BE37" s="13">
        <v>78.362907862566843</v>
      </c>
      <c r="BG37" s="13">
        <v>77.43844144615781</v>
      </c>
      <c r="BH37" s="13">
        <v>82.596497965705808</v>
      </c>
      <c r="BI37" s="13">
        <v>82.546212766935298</v>
      </c>
      <c r="BJ37" s="13">
        <v>84.011089141315338</v>
      </c>
      <c r="BK37" s="13">
        <v>73.040185394219705</v>
      </c>
      <c r="BL37" s="13">
        <v>76.010308881866536</v>
      </c>
      <c r="BM37" s="13">
        <v>77.425317835435038</v>
      </c>
      <c r="BN37" s="13">
        <v>103.69719780486959</v>
      </c>
      <c r="BO37" s="13">
        <v>70.903782658953261</v>
      </c>
      <c r="BP37" s="13">
        <v>78.331823484056585</v>
      </c>
      <c r="BQ37" s="13">
        <v>75.121611158049873</v>
      </c>
      <c r="BR37" s="13">
        <v>77.676375118187437</v>
      </c>
      <c r="BS37" s="13">
        <v>71.747167208934627</v>
      </c>
      <c r="BT37" s="13">
        <v>85.064758289249085</v>
      </c>
      <c r="BU37" s="13">
        <v>89.618750272893323</v>
      </c>
      <c r="BV37" s="13">
        <v>79.58797379934586</v>
      </c>
      <c r="BW37" s="13">
        <v>74.74723466565878</v>
      </c>
    </row>
    <row r="38" spans="1:75">
      <c r="A38">
        <v>1999</v>
      </c>
      <c r="B38" s="13">
        <v>71.520845566647083</v>
      </c>
      <c r="C38" s="13">
        <v>80.709380544015971</v>
      </c>
      <c r="D38" s="13">
        <v>79.400575608329873</v>
      </c>
      <c r="E38" s="13">
        <v>79.722381284217036</v>
      </c>
      <c r="F38">
        <v>80.69</v>
      </c>
      <c r="G38" s="13">
        <v>79.372694964677876</v>
      </c>
      <c r="H38" s="13">
        <v>83.556465025767494</v>
      </c>
      <c r="I38" s="13">
        <v>82.993375341946887</v>
      </c>
      <c r="J38" s="13">
        <v>84.473196337691604</v>
      </c>
      <c r="K38" s="13">
        <v>52.073035547406739</v>
      </c>
      <c r="L38" s="13">
        <v>74.234190834503508</v>
      </c>
      <c r="M38" s="13">
        <v>78.713255478994014</v>
      </c>
      <c r="N38" s="13">
        <v>103.35424504003504</v>
      </c>
      <c r="O38" s="13">
        <v>71.480503604245129</v>
      </c>
      <c r="P38" s="13">
        <v>80.049660739336048</v>
      </c>
      <c r="Q38" s="13">
        <v>75.035772472479181</v>
      </c>
      <c r="R38" s="13">
        <v>79.488672919856171</v>
      </c>
      <c r="S38" s="13">
        <v>73.404774299187892</v>
      </c>
      <c r="T38" s="13">
        <v>85.457907016390493</v>
      </c>
      <c r="U38" s="13">
        <v>90.341479160950328</v>
      </c>
      <c r="V38" s="13">
        <v>80.6507971726205</v>
      </c>
      <c r="W38" s="13">
        <v>76.386545727034331</v>
      </c>
      <c r="AZ38" s="12"/>
      <c r="BA38">
        <v>1999</v>
      </c>
      <c r="BB38" s="13">
        <v>71.520845566647083</v>
      </c>
      <c r="BC38" s="13">
        <v>80.709380544015971</v>
      </c>
      <c r="BD38" s="13">
        <v>79.400575608329873</v>
      </c>
      <c r="BE38" s="13">
        <v>79.722381284217036</v>
      </c>
      <c r="BG38" s="13">
        <v>79.372694964677876</v>
      </c>
      <c r="BH38" s="13">
        <v>83.556465025767494</v>
      </c>
      <c r="BI38" s="13">
        <v>82.993375341946887</v>
      </c>
      <c r="BJ38" s="13">
        <v>84.473196337691604</v>
      </c>
      <c r="BK38" s="13">
        <v>74.234190834503508</v>
      </c>
      <c r="BL38" s="13">
        <v>79.962844735166925</v>
      </c>
      <c r="BM38" s="13">
        <v>78.713255478994014</v>
      </c>
      <c r="BN38" s="13">
        <v>103.35424504003504</v>
      </c>
      <c r="BO38" s="13">
        <v>71.480503604245129</v>
      </c>
      <c r="BP38" s="13">
        <v>80.049660739336048</v>
      </c>
      <c r="BQ38" s="13">
        <v>75.035772472479181</v>
      </c>
      <c r="BR38" s="13">
        <v>79.488672919856171</v>
      </c>
      <c r="BS38" s="13">
        <v>73.404774299187892</v>
      </c>
      <c r="BT38" s="13">
        <v>85.457907016390493</v>
      </c>
      <c r="BU38" s="13">
        <v>90.341479160950328</v>
      </c>
      <c r="BV38" s="13">
        <v>80.6507971726205</v>
      </c>
      <c r="BW38" s="13">
        <v>76.386545727034331</v>
      </c>
    </row>
    <row r="39" spans="1:75">
      <c r="A39">
        <v>2000</v>
      </c>
      <c r="B39" s="13">
        <v>73.223722842043443</v>
      </c>
      <c r="C39" s="13">
        <v>82.601908981390821</v>
      </c>
      <c r="D39" s="13">
        <v>81.421377425976317</v>
      </c>
      <c r="E39" s="13">
        <v>81.890383609812545</v>
      </c>
      <c r="F39">
        <v>80.97</v>
      </c>
      <c r="G39" s="13">
        <v>81.677104161867518</v>
      </c>
      <c r="H39" s="13">
        <v>86.098332906057777</v>
      </c>
      <c r="I39" s="13">
        <v>84.3967775502379</v>
      </c>
      <c r="J39" s="13">
        <v>85.674675503841854</v>
      </c>
      <c r="K39" s="13">
        <v>54.160869519688795</v>
      </c>
      <c r="L39" s="13">
        <v>78.35968546764974</v>
      </c>
      <c r="M39" s="13">
        <v>80.71075153056124</v>
      </c>
      <c r="N39" s="13">
        <v>102.61815135256464</v>
      </c>
      <c r="O39" s="13">
        <v>73.100775768008745</v>
      </c>
      <c r="P39" s="13">
        <v>81.904144012799591</v>
      </c>
      <c r="Q39" s="13">
        <v>76.998132755984372</v>
      </c>
      <c r="R39" s="13">
        <v>81.941747418460523</v>
      </c>
      <c r="S39" s="13">
        <v>75.925139703562152</v>
      </c>
      <c r="T39" s="13">
        <v>86.226296488938132</v>
      </c>
      <c r="U39" s="13">
        <v>91.749477312702695</v>
      </c>
      <c r="V39" s="13">
        <v>81.284123203673161</v>
      </c>
      <c r="W39" s="13">
        <v>78.958238837304165</v>
      </c>
      <c r="AZ39" s="12"/>
      <c r="BA39">
        <v>2000</v>
      </c>
      <c r="BB39" s="13">
        <v>73.223722842043443</v>
      </c>
      <c r="BC39" s="13">
        <v>82.601908981390821</v>
      </c>
      <c r="BD39" s="13">
        <v>81.421377425976317</v>
      </c>
      <c r="BE39" s="13">
        <v>81.890383609812545</v>
      </c>
      <c r="BG39" s="13">
        <v>81.677104161867518</v>
      </c>
      <c r="BH39" s="13">
        <v>86.098332906057777</v>
      </c>
      <c r="BI39" s="13">
        <v>84.3967775502379</v>
      </c>
      <c r="BJ39" s="13">
        <v>85.674675503841854</v>
      </c>
      <c r="BK39" s="13">
        <v>78.35968546764974</v>
      </c>
      <c r="BL39" s="13">
        <v>80.862299774326118</v>
      </c>
      <c r="BM39" s="13">
        <v>80.71075153056124</v>
      </c>
      <c r="BN39" s="13">
        <v>102.61815135256464</v>
      </c>
      <c r="BO39" s="13">
        <v>73.100775768008745</v>
      </c>
      <c r="BP39" s="13">
        <v>81.904144012799591</v>
      </c>
      <c r="BQ39" s="13">
        <v>76.998132755984372</v>
      </c>
      <c r="BR39" s="13">
        <v>81.941747418460523</v>
      </c>
      <c r="BS39" s="13">
        <v>75.925139703562152</v>
      </c>
      <c r="BT39" s="13">
        <v>86.226296488938132</v>
      </c>
      <c r="BU39" s="13">
        <v>91.749477312702695</v>
      </c>
      <c r="BV39" s="13">
        <v>81.284123203673161</v>
      </c>
      <c r="BW39" s="13">
        <v>78.958238837304165</v>
      </c>
    </row>
    <row r="40" spans="1:75">
      <c r="A40">
        <v>2001</v>
      </c>
      <c r="B40" s="13">
        <v>77.627715795654723</v>
      </c>
      <c r="C40" s="13">
        <v>84.790859569397682</v>
      </c>
      <c r="D40" s="13">
        <v>83.433383526190937</v>
      </c>
      <c r="E40" s="13">
        <v>83.958214064420645</v>
      </c>
      <c r="F40">
        <v>81.55</v>
      </c>
      <c r="G40" s="13">
        <v>83.596516109671413</v>
      </c>
      <c r="H40" s="13">
        <v>88.318327622024057</v>
      </c>
      <c r="I40" s="13">
        <v>85.77266276799287</v>
      </c>
      <c r="J40" s="13">
        <v>87.338261801944199</v>
      </c>
      <c r="K40" s="13">
        <v>56.156593169662983</v>
      </c>
      <c r="L40" s="13">
        <v>82.180502163858634</v>
      </c>
      <c r="M40" s="13">
        <v>82.958679940534921</v>
      </c>
      <c r="N40" s="13">
        <v>101.84023413784254</v>
      </c>
      <c r="O40" s="13">
        <v>76.072352274296364</v>
      </c>
      <c r="P40" s="13">
        <v>85.313270503577627</v>
      </c>
      <c r="Q40" s="13">
        <v>79.019965895498885</v>
      </c>
      <c r="R40" s="13">
        <v>84.414239677880715</v>
      </c>
      <c r="S40" s="13">
        <v>78.65072542393672</v>
      </c>
      <c r="T40" s="13">
        <v>88.300864967417468</v>
      </c>
      <c r="U40" s="13">
        <v>92.656897167475492</v>
      </c>
      <c r="V40" s="13">
        <v>82.288709618141212</v>
      </c>
      <c r="W40" s="13">
        <v>81.182199298191293</v>
      </c>
      <c r="AZ40" s="12"/>
      <c r="BA40">
        <v>2001</v>
      </c>
      <c r="BB40" s="13">
        <v>77.627715795654723</v>
      </c>
      <c r="BC40" s="13">
        <v>84.790859569397682</v>
      </c>
      <c r="BD40" s="13">
        <v>83.433383526190937</v>
      </c>
      <c r="BE40" s="13">
        <v>83.958214064420645</v>
      </c>
      <c r="BG40" s="13">
        <v>83.596516109671413</v>
      </c>
      <c r="BH40" s="13">
        <v>88.318327622024057</v>
      </c>
      <c r="BI40" s="13">
        <v>85.77266276799287</v>
      </c>
      <c r="BJ40" s="13">
        <v>87.338261801944199</v>
      </c>
      <c r="BK40" s="13">
        <v>82.180502163858634</v>
      </c>
      <c r="BL40" s="13">
        <v>81.751784967652057</v>
      </c>
      <c r="BM40" s="13">
        <v>82.958679940534921</v>
      </c>
      <c r="BN40" s="13">
        <v>101.84023413784254</v>
      </c>
      <c r="BO40" s="13">
        <v>76.072352274296364</v>
      </c>
      <c r="BP40" s="13">
        <v>85.313270503577627</v>
      </c>
      <c r="BQ40" s="13">
        <v>79.019965895498885</v>
      </c>
      <c r="BR40" s="13">
        <v>84.414239677880715</v>
      </c>
      <c r="BS40" s="13">
        <v>78.65072542393672</v>
      </c>
      <c r="BT40" s="13">
        <v>88.300864967417468</v>
      </c>
      <c r="BU40" s="13">
        <v>92.656897167475492</v>
      </c>
      <c r="BV40" s="13">
        <v>82.288709618141212</v>
      </c>
      <c r="BW40" s="13">
        <v>81.182199298191293</v>
      </c>
    </row>
    <row r="41" spans="1:75">
      <c r="A41">
        <v>2002</v>
      </c>
      <c r="B41" s="13">
        <v>79.859072225484425</v>
      </c>
      <c r="C41" s="13">
        <v>86.325878526789623</v>
      </c>
      <c r="D41" s="13">
        <v>84.804039665766737</v>
      </c>
      <c r="E41" s="13">
        <v>85.854321333358683</v>
      </c>
      <c r="F41">
        <v>80.959999999999994</v>
      </c>
      <c r="G41" s="13">
        <v>85.624830919517777</v>
      </c>
      <c r="H41" s="13">
        <v>89.706003732470094</v>
      </c>
      <c r="I41" s="13">
        <v>87.416844944678914</v>
      </c>
      <c r="J41" s="13">
        <v>88.632161556270262</v>
      </c>
      <c r="K41" s="13">
        <v>58.623102911661611</v>
      </c>
      <c r="L41" s="13">
        <v>85.993084121036048</v>
      </c>
      <c r="M41" s="13">
        <v>85.003876868844912</v>
      </c>
      <c r="N41" s="13">
        <v>100.92848174117982</v>
      </c>
      <c r="O41" s="13">
        <v>78.173988696831429</v>
      </c>
      <c r="P41" s="13">
        <v>88.117249821360843</v>
      </c>
      <c r="Q41" s="13">
        <v>81.135402290690351</v>
      </c>
      <c r="R41" s="13">
        <v>85.501618329721751</v>
      </c>
      <c r="S41" s="13">
        <v>81.062427223930086</v>
      </c>
      <c r="T41" s="13">
        <v>90.206823243583472</v>
      </c>
      <c r="U41" s="13">
        <v>93.252398783353584</v>
      </c>
      <c r="V41" s="13">
        <v>83.32241380526753</v>
      </c>
      <c r="W41" s="13">
        <v>82.477598948089508</v>
      </c>
      <c r="AZ41" s="12"/>
      <c r="BA41">
        <v>2002</v>
      </c>
      <c r="BB41" s="13">
        <v>79.859072225484425</v>
      </c>
      <c r="BC41" s="13">
        <v>86.325878526789623</v>
      </c>
      <c r="BD41" s="13">
        <v>84.804039665766737</v>
      </c>
      <c r="BE41" s="13">
        <v>85.854321333358683</v>
      </c>
      <c r="BG41" s="13">
        <v>85.624830919517777</v>
      </c>
      <c r="BH41" s="13">
        <v>89.706003732470094</v>
      </c>
      <c r="BI41" s="13">
        <v>87.416844944678914</v>
      </c>
      <c r="BJ41" s="13">
        <v>88.632161556270262</v>
      </c>
      <c r="BK41" s="13">
        <v>85.993084121036048</v>
      </c>
      <c r="BL41" s="13">
        <v>86.401367390946632</v>
      </c>
      <c r="BM41" s="13">
        <v>85.003876868844912</v>
      </c>
      <c r="BN41" s="13">
        <v>100.92848174117982</v>
      </c>
      <c r="BO41" s="13">
        <v>78.173988696831429</v>
      </c>
      <c r="BP41" s="13">
        <v>88.117249821360843</v>
      </c>
      <c r="BQ41" s="13">
        <v>81.135402290690351</v>
      </c>
      <c r="BR41" s="13">
        <v>85.501618329721751</v>
      </c>
      <c r="BS41" s="13">
        <v>81.062427223930086</v>
      </c>
      <c r="BT41" s="13">
        <v>90.206823243583472</v>
      </c>
      <c r="BU41" s="13">
        <v>93.252398783353584</v>
      </c>
      <c r="BV41" s="13">
        <v>83.32241380526753</v>
      </c>
      <c r="BW41" s="13">
        <v>82.477598948089508</v>
      </c>
    </row>
    <row r="42" spans="1:75">
      <c r="A42">
        <v>2003</v>
      </c>
      <c r="B42" s="13">
        <v>82.325308279506743</v>
      </c>
      <c r="C42" s="13">
        <v>87.496072426194658</v>
      </c>
      <c r="D42" s="13">
        <v>86.152707141944902</v>
      </c>
      <c r="E42" s="13">
        <v>88.222666875561814</v>
      </c>
      <c r="F42">
        <v>81.87</v>
      </c>
      <c r="G42" s="13">
        <v>87.414920759687405</v>
      </c>
      <c r="H42" s="13">
        <v>90.49311874603022</v>
      </c>
      <c r="I42" s="13">
        <v>89.26053089302745</v>
      </c>
      <c r="J42" s="13">
        <v>89.556376079863128</v>
      </c>
      <c r="K42" s="13">
        <v>60.854219607795535</v>
      </c>
      <c r="L42" s="13">
        <v>88.990449601919622</v>
      </c>
      <c r="M42" s="13">
        <v>87.27565563045215</v>
      </c>
      <c r="N42" s="13">
        <v>100.67754073381468</v>
      </c>
      <c r="O42" s="13">
        <v>80.921619908911723</v>
      </c>
      <c r="P42" s="13">
        <v>89.978761089564514</v>
      </c>
      <c r="Q42" s="13">
        <v>82.558173232763338</v>
      </c>
      <c r="R42" s="13">
        <v>87.618122824807131</v>
      </c>
      <c r="S42" s="13">
        <v>83.526022200293539</v>
      </c>
      <c r="T42" s="13">
        <v>91.943895445714688</v>
      </c>
      <c r="U42" s="13">
        <v>93.847641340609172</v>
      </c>
      <c r="V42" s="13">
        <v>84.458033313950565</v>
      </c>
      <c r="W42" s="13">
        <v>84.372932949120482</v>
      </c>
      <c r="AZ42" s="12"/>
      <c r="BA42">
        <v>2003</v>
      </c>
      <c r="BB42" s="13">
        <v>82.325308279506743</v>
      </c>
      <c r="BC42" s="13">
        <v>87.496072426194658</v>
      </c>
      <c r="BD42" s="13">
        <v>86.152707141944902</v>
      </c>
      <c r="BE42" s="13">
        <v>88.222666875561814</v>
      </c>
      <c r="BG42" s="13">
        <v>87.414920759687405</v>
      </c>
      <c r="BH42" s="13">
        <v>90.49311874603022</v>
      </c>
      <c r="BI42" s="13">
        <v>89.26053089302745</v>
      </c>
      <c r="BJ42" s="13">
        <v>89.556376079863128</v>
      </c>
      <c r="BK42" s="13">
        <v>88.990449601919622</v>
      </c>
      <c r="BL42" s="13">
        <v>87.020577316774805</v>
      </c>
      <c r="BM42" s="13">
        <v>87.27565563045215</v>
      </c>
      <c r="BN42" s="13">
        <v>100.67754073381468</v>
      </c>
      <c r="BO42" s="13">
        <v>80.921619908911723</v>
      </c>
      <c r="BP42" s="13">
        <v>89.978761089564514</v>
      </c>
      <c r="BQ42" s="13">
        <v>82.558173232763338</v>
      </c>
      <c r="BR42" s="13">
        <v>87.618122824807131</v>
      </c>
      <c r="BS42" s="13">
        <v>83.526022200293539</v>
      </c>
      <c r="BT42" s="13">
        <v>91.943895445714688</v>
      </c>
      <c r="BU42" s="13">
        <v>93.847641340609172</v>
      </c>
      <c r="BV42" s="13">
        <v>84.458033313950565</v>
      </c>
      <c r="BW42" s="13">
        <v>84.372932949120482</v>
      </c>
    </row>
    <row r="43" spans="1:75">
      <c r="A43">
        <v>2004</v>
      </c>
      <c r="B43" s="13">
        <v>84.263065179095705</v>
      </c>
      <c r="C43" s="13">
        <v>89.299547595768459</v>
      </c>
      <c r="D43" s="13">
        <v>87.945554454366558</v>
      </c>
      <c r="E43" s="13">
        <v>89.861190296148209</v>
      </c>
      <c r="F43" s="13">
        <v>85</v>
      </c>
      <c r="G43" s="13">
        <v>88.429078075119037</v>
      </c>
      <c r="H43" s="13">
        <v>90.662452546593826</v>
      </c>
      <c r="I43" s="13">
        <v>91.166131651929973</v>
      </c>
      <c r="J43" s="13">
        <v>91.035119319364938</v>
      </c>
      <c r="K43" s="13">
        <v>63.146743185564112</v>
      </c>
      <c r="L43" s="13">
        <v>90.95026491579479</v>
      </c>
      <c r="M43" s="13">
        <v>89.201598942485376</v>
      </c>
      <c r="N43" s="13">
        <v>100.66917603296615</v>
      </c>
      <c r="O43" s="13">
        <v>83.82428974407118</v>
      </c>
      <c r="P43" s="13">
        <v>91.093013077517142</v>
      </c>
      <c r="Q43" s="13">
        <v>84.448960969644972</v>
      </c>
      <c r="R43" s="13">
        <v>88.02588985803898</v>
      </c>
      <c r="S43" s="13">
        <v>86.064518338677743</v>
      </c>
      <c r="T43" s="13">
        <v>92.287452821549351</v>
      </c>
      <c r="U43" s="13">
        <v>94.601111675496654</v>
      </c>
      <c r="V43" s="13">
        <v>85.593652651568618</v>
      </c>
      <c r="W43" s="13">
        <v>86.623642075344748</v>
      </c>
      <c r="AZ43" s="12"/>
      <c r="BA43">
        <v>2004</v>
      </c>
      <c r="BB43" s="13">
        <v>84.263065179095705</v>
      </c>
      <c r="BC43" s="13">
        <v>89.299547595768459</v>
      </c>
      <c r="BD43" s="13">
        <v>87.945554454366558</v>
      </c>
      <c r="BE43" s="13">
        <v>89.861190296148209</v>
      </c>
      <c r="BG43" s="13">
        <v>88.429078075119037</v>
      </c>
      <c r="BH43" s="13">
        <v>90.662452546593826</v>
      </c>
      <c r="BI43" s="13">
        <v>91.166131651929973</v>
      </c>
      <c r="BJ43" s="13">
        <v>91.035119319364938</v>
      </c>
      <c r="BK43" s="13">
        <v>90.95026491579479</v>
      </c>
      <c r="BL43" s="13">
        <v>86.660571272611151</v>
      </c>
      <c r="BM43" s="13">
        <v>89.201598942485376</v>
      </c>
      <c r="BN43" s="13">
        <v>100.66917603296615</v>
      </c>
      <c r="BO43" s="13">
        <v>83.82428974407118</v>
      </c>
      <c r="BP43" s="13">
        <v>91.093013077517142</v>
      </c>
      <c r="BQ43" s="13">
        <v>84.448960969644972</v>
      </c>
      <c r="BR43" s="13">
        <v>88.02588985803898</v>
      </c>
      <c r="BS43" s="13">
        <v>86.064518338677743</v>
      </c>
      <c r="BT43" s="13">
        <v>92.287452821549351</v>
      </c>
      <c r="BU43" s="13">
        <v>94.601111675496654</v>
      </c>
      <c r="BV43" s="13">
        <v>85.593652651568618</v>
      </c>
      <c r="BW43" s="13">
        <v>86.623642075344748</v>
      </c>
    </row>
    <row r="44" spans="1:75">
      <c r="A44">
        <v>2005</v>
      </c>
      <c r="B44" s="13">
        <v>86.318261890780974</v>
      </c>
      <c r="C44" s="13">
        <v>91.35266742837085</v>
      </c>
      <c r="D44" s="13">
        <v>90.406871736136651</v>
      </c>
      <c r="E44" s="13">
        <v>91.850314471172396</v>
      </c>
      <c r="F44">
        <v>86.51</v>
      </c>
      <c r="G44" s="13">
        <v>90.028587660795694</v>
      </c>
      <c r="H44" s="13">
        <v>91.228069477245697</v>
      </c>
      <c r="I44" s="13">
        <v>92.748399181283759</v>
      </c>
      <c r="J44" s="13">
        <v>92.421441261461538</v>
      </c>
      <c r="K44" s="13">
        <v>65.828177013190597</v>
      </c>
      <c r="L44" s="13">
        <v>93.140646521338709</v>
      </c>
      <c r="M44" s="13">
        <v>90.972512934194611</v>
      </c>
      <c r="N44" s="13">
        <v>100.39314085027623</v>
      </c>
      <c r="O44" s="13">
        <v>86.132644711529196</v>
      </c>
      <c r="P44" s="13">
        <v>92.617983901775361</v>
      </c>
      <c r="Q44" s="13">
        <v>87.0136936485749</v>
      </c>
      <c r="R44" s="13">
        <v>89.36569583695335</v>
      </c>
      <c r="S44" s="13">
        <v>88.964165361511206</v>
      </c>
      <c r="T44" s="13">
        <v>92.705672702087853</v>
      </c>
      <c r="U44" s="13">
        <v>95.709809270011078</v>
      </c>
      <c r="V44" s="13">
        <v>87.348038359998966</v>
      </c>
      <c r="W44" s="13">
        <v>89.539246597092017</v>
      </c>
      <c r="AZ44" s="12"/>
      <c r="BA44">
        <v>2005</v>
      </c>
      <c r="BB44" s="13">
        <v>86.318261890780974</v>
      </c>
      <c r="BC44" s="13">
        <v>91.35266742837085</v>
      </c>
      <c r="BD44" s="13">
        <v>90.406871736136651</v>
      </c>
      <c r="BE44" s="13">
        <v>91.850314471172396</v>
      </c>
      <c r="BG44" s="13">
        <v>90.028587660795694</v>
      </c>
      <c r="BH44" s="13">
        <v>91.228069477245697</v>
      </c>
      <c r="BI44" s="13">
        <v>92.748399181283759</v>
      </c>
      <c r="BJ44" s="13">
        <v>92.421441261461538</v>
      </c>
      <c r="BK44" s="13">
        <v>93.140646521338709</v>
      </c>
      <c r="BL44" s="13">
        <v>87.812589569268198</v>
      </c>
      <c r="BM44" s="13">
        <v>90.972512934194611</v>
      </c>
      <c r="BN44" s="13">
        <v>100.39314085027623</v>
      </c>
      <c r="BO44" s="13">
        <v>86.132644711529196</v>
      </c>
      <c r="BP44" s="13">
        <v>92.617983901775361</v>
      </c>
      <c r="BQ44" s="13">
        <v>87.0136936485749</v>
      </c>
      <c r="BR44" s="13">
        <v>89.36569583695335</v>
      </c>
      <c r="BS44" s="13">
        <v>88.964165361511206</v>
      </c>
      <c r="BT44" s="13">
        <v>92.705672702087853</v>
      </c>
      <c r="BU44" s="13">
        <v>95.709809270011078</v>
      </c>
      <c r="BV44" s="13">
        <v>87.348038359998966</v>
      </c>
      <c r="BW44" s="13">
        <v>89.539246597092017</v>
      </c>
    </row>
    <row r="45" spans="1:75">
      <c r="A45">
        <v>2006</v>
      </c>
      <c r="B45" s="13">
        <v>89.078097475044032</v>
      </c>
      <c r="C45" s="13">
        <v>92.669559065104522</v>
      </c>
      <c r="D45" s="13">
        <v>92.026005468876519</v>
      </c>
      <c r="E45" s="13">
        <v>93.689180729463885</v>
      </c>
      <c r="F45">
        <v>87.94</v>
      </c>
      <c r="G45" s="13">
        <v>91.730193688453724</v>
      </c>
      <c r="H45" s="13">
        <v>92.657309536482785</v>
      </c>
      <c r="I45" s="13">
        <v>94.310028092882817</v>
      </c>
      <c r="J45" s="13">
        <v>93.900184321644929</v>
      </c>
      <c r="K45" s="13">
        <v>69.873662369148491</v>
      </c>
      <c r="L45" s="13">
        <v>96.81324182368887</v>
      </c>
      <c r="M45" s="13">
        <v>92.874605352803314</v>
      </c>
      <c r="N45" s="13">
        <v>100.63571718235968</v>
      </c>
      <c r="O45" s="13">
        <v>88.027562895182839</v>
      </c>
      <c r="P45" s="13">
        <v>93.699440569343949</v>
      </c>
      <c r="Q45" s="13">
        <v>89.942055975171797</v>
      </c>
      <c r="R45" s="13">
        <v>91.44983791241485</v>
      </c>
      <c r="S45" s="13">
        <v>92.091738849386246</v>
      </c>
      <c r="T45" s="13">
        <v>93.966669168032567</v>
      </c>
      <c r="U45" s="13">
        <v>96.723859484717309</v>
      </c>
      <c r="V45" s="13">
        <v>89.386329292580285</v>
      </c>
      <c r="W45" s="13">
        <v>92.424281215596821</v>
      </c>
      <c r="AZ45" s="12"/>
      <c r="BA45">
        <v>2006</v>
      </c>
      <c r="BB45" s="13">
        <v>89.078097475044032</v>
      </c>
      <c r="BC45" s="13">
        <v>92.669559065104522</v>
      </c>
      <c r="BD45" s="13">
        <v>92.026005468876519</v>
      </c>
      <c r="BE45" s="13">
        <v>93.689180729463885</v>
      </c>
      <c r="BG45" s="13">
        <v>91.730193688453724</v>
      </c>
      <c r="BH45" s="13">
        <v>92.657309536482785</v>
      </c>
      <c r="BI45" s="13">
        <v>94.310028092882817</v>
      </c>
      <c r="BJ45" s="13">
        <v>93.900184321644929</v>
      </c>
      <c r="BK45" s="13">
        <v>96.81324182368887</v>
      </c>
      <c r="BL45" s="13">
        <v>89.663018849252808</v>
      </c>
      <c r="BM45" s="13">
        <v>92.874605352803314</v>
      </c>
      <c r="BN45" s="13">
        <v>100.63571718235968</v>
      </c>
      <c r="BO45" s="13">
        <v>88.027562895182839</v>
      </c>
      <c r="BP45" s="13">
        <v>93.699440569343949</v>
      </c>
      <c r="BQ45" s="13">
        <v>89.942055975171797</v>
      </c>
      <c r="BR45" s="13">
        <v>91.44983791241485</v>
      </c>
      <c r="BS45" s="13">
        <v>92.091738849386246</v>
      </c>
      <c r="BT45" s="13">
        <v>93.966669168032567</v>
      </c>
      <c r="BU45" s="13">
        <v>96.723859484717309</v>
      </c>
      <c r="BV45" s="13">
        <v>89.386329292580285</v>
      </c>
      <c r="BW45" s="13">
        <v>92.424281215596821</v>
      </c>
    </row>
    <row r="46" spans="1:75">
      <c r="A46">
        <v>2007</v>
      </c>
      <c r="B46" s="13">
        <v>91.661773341162643</v>
      </c>
      <c r="C46" s="13">
        <v>94.679150348384397</v>
      </c>
      <c r="D46" s="13">
        <v>93.703776667322288</v>
      </c>
      <c r="E46" s="13">
        <v>95.692615179913815</v>
      </c>
      <c r="F46">
        <v>92.17</v>
      </c>
      <c r="G46" s="13">
        <v>93.302477644633868</v>
      </c>
      <c r="H46" s="13">
        <v>94.983625103530017</v>
      </c>
      <c r="I46" s="13">
        <v>95.713431100325693</v>
      </c>
      <c r="J46" s="13">
        <v>96.025877914281466</v>
      </c>
      <c r="K46" s="13">
        <v>74.324612388374277</v>
      </c>
      <c r="L46" s="13">
        <v>101.57279378087343</v>
      </c>
      <c r="M46" s="13">
        <v>94.573967299293585</v>
      </c>
      <c r="N46" s="13">
        <v>100.69427009187862</v>
      </c>
      <c r="O46" s="13">
        <v>90.267011383780783</v>
      </c>
      <c r="P46" s="13">
        <v>95.211918199126188</v>
      </c>
      <c r="Q46" s="13">
        <v>92.079207842281917</v>
      </c>
      <c r="R46" s="13">
        <v>92.116504578751062</v>
      </c>
      <c r="S46" s="13">
        <v>94.657708466377073</v>
      </c>
      <c r="T46" s="13">
        <v>96.045370693700349</v>
      </c>
      <c r="U46" s="13">
        <v>97.432216186034339</v>
      </c>
      <c r="V46" s="13">
        <v>91.461018174539618</v>
      </c>
      <c r="W46" s="13">
        <v>95.074004003892881</v>
      </c>
      <c r="AZ46" s="12"/>
      <c r="BA46">
        <v>2007</v>
      </c>
      <c r="BB46" s="13">
        <v>91.661773341162643</v>
      </c>
      <c r="BC46" s="13">
        <v>94.679150348384397</v>
      </c>
      <c r="BD46" s="13">
        <v>93.703776667322288</v>
      </c>
      <c r="BE46" s="13">
        <v>95.692615179913815</v>
      </c>
      <c r="BG46" s="13">
        <v>93.302477644633868</v>
      </c>
      <c r="BH46" s="13">
        <v>94.983625103530017</v>
      </c>
      <c r="BI46" s="13">
        <v>95.713431100325693</v>
      </c>
      <c r="BJ46" s="13">
        <v>96.025877914281466</v>
      </c>
      <c r="BK46" s="13">
        <v>101.57279378087343</v>
      </c>
      <c r="BL46" s="13">
        <v>90.103862092582446</v>
      </c>
      <c r="BM46" s="13">
        <v>94.573967299293585</v>
      </c>
      <c r="BN46" s="13">
        <v>100.69427009187862</v>
      </c>
      <c r="BO46" s="13">
        <v>90.267011383780783</v>
      </c>
      <c r="BP46" s="13">
        <v>95.211918199126188</v>
      </c>
      <c r="BQ46" s="13">
        <v>92.079207842281917</v>
      </c>
      <c r="BR46" s="13">
        <v>92.116504578751062</v>
      </c>
      <c r="BS46" s="13">
        <v>94.657708466377073</v>
      </c>
      <c r="BT46" s="13">
        <v>96.045370693700349</v>
      </c>
      <c r="BU46" s="13">
        <v>97.432216186034339</v>
      </c>
      <c r="BV46" s="13">
        <v>91.461018174539618</v>
      </c>
      <c r="BW46" s="13">
        <v>95.074004003892881</v>
      </c>
    </row>
    <row r="47" spans="1:75">
      <c r="A47">
        <v>2008</v>
      </c>
      <c r="B47" s="13">
        <v>94.773928361714624</v>
      </c>
      <c r="C47" s="13">
        <v>97.723985430804774</v>
      </c>
      <c r="D47" s="13">
        <v>97.910298498338719</v>
      </c>
      <c r="E47" s="13">
        <v>97.960789486664908</v>
      </c>
      <c r="F47">
        <v>97.63</v>
      </c>
      <c r="G47" s="13">
        <v>96.474272046543788</v>
      </c>
      <c r="H47" s="13">
        <v>98.845613708099492</v>
      </c>
      <c r="I47" s="13">
        <v>98.40672569507241</v>
      </c>
      <c r="J47" s="13">
        <v>98.521257271477268</v>
      </c>
      <c r="K47" s="13">
        <v>80.532067587765781</v>
      </c>
      <c r="L47" s="13">
        <v>105.69005307114877</v>
      </c>
      <c r="M47" s="13">
        <v>97.740146731688228</v>
      </c>
      <c r="N47" s="13">
        <v>102.08281084733649</v>
      </c>
      <c r="O47" s="13">
        <v>94.48751049327764</v>
      </c>
      <c r="P47" s="13">
        <v>97.579410151106558</v>
      </c>
      <c r="Q47" s="13">
        <v>95.724572116401475</v>
      </c>
      <c r="R47" s="13">
        <v>95.585760448759203</v>
      </c>
      <c r="S47" s="13">
        <v>98.515489054386777</v>
      </c>
      <c r="T47" s="13">
        <v>99.346497146674466</v>
      </c>
      <c r="U47" s="13">
        <v>99.79597338978212</v>
      </c>
      <c r="V47" s="13">
        <v>94.765961151666431</v>
      </c>
      <c r="W47" s="13">
        <v>98.70291900542334</v>
      </c>
      <c r="AZ47" s="12"/>
      <c r="BA47">
        <v>2008</v>
      </c>
      <c r="BB47" s="13">
        <v>94.773928361714624</v>
      </c>
      <c r="BC47" s="13">
        <v>97.723985430804774</v>
      </c>
      <c r="BD47" s="13">
        <v>97.910298498338719</v>
      </c>
      <c r="BE47" s="13">
        <v>97.960789486664908</v>
      </c>
      <c r="BG47" s="13">
        <v>96.474272046543788</v>
      </c>
      <c r="BH47" s="13">
        <v>98.845613708099492</v>
      </c>
      <c r="BI47" s="13">
        <v>98.40672569507241</v>
      </c>
      <c r="BJ47" s="13">
        <v>98.521257271477268</v>
      </c>
      <c r="BK47" s="13">
        <v>105.69005307114877</v>
      </c>
      <c r="BL47" s="13">
        <v>94.243304642547926</v>
      </c>
      <c r="BM47" s="13">
        <v>97.740146731688228</v>
      </c>
      <c r="BN47" s="13">
        <v>102.08281084733649</v>
      </c>
      <c r="BO47" s="13">
        <v>94.48751049327764</v>
      </c>
      <c r="BP47" s="13">
        <v>97.579410151106558</v>
      </c>
      <c r="BQ47" s="13">
        <v>95.724572116401475</v>
      </c>
      <c r="BR47" s="13">
        <v>95.585760448759203</v>
      </c>
      <c r="BS47" s="13">
        <v>98.515489054386777</v>
      </c>
      <c r="BT47" s="13">
        <v>99.346497146674466</v>
      </c>
      <c r="BU47" s="13">
        <v>99.79597338978212</v>
      </c>
      <c r="BV47" s="13">
        <v>94.765961151666431</v>
      </c>
      <c r="BW47" s="13">
        <v>98.70291900542334</v>
      </c>
    </row>
    <row r="48" spans="1:75">
      <c r="A48">
        <v>2009</v>
      </c>
      <c r="B48" s="13">
        <v>97.70992366412213</v>
      </c>
      <c r="C48" s="13">
        <v>98.218771155095567</v>
      </c>
      <c r="D48" s="13">
        <v>97.858257539584869</v>
      </c>
      <c r="E48" s="13">
        <v>98.254149528195356</v>
      </c>
      <c r="F48">
        <v>96.92</v>
      </c>
      <c r="G48" s="13">
        <v>97.753879778172987</v>
      </c>
      <c r="H48" s="13">
        <v>98.845613708099492</v>
      </c>
      <c r="I48" s="13">
        <v>98.493406442625087</v>
      </c>
      <c r="J48" s="13">
        <v>98.890943018593617</v>
      </c>
      <c r="K48" s="13">
        <v>89.291855556309812</v>
      </c>
      <c r="L48" s="13">
        <v>100.95520422139421</v>
      </c>
      <c r="M48" s="13">
        <v>98.497406307198688</v>
      </c>
      <c r="N48" s="13">
        <v>100.70263491143076</v>
      </c>
      <c r="O48" s="13">
        <v>97.157622658681021</v>
      </c>
      <c r="P48" s="13">
        <v>98.740512431465078</v>
      </c>
      <c r="Q48" s="13">
        <v>97.749774769856458</v>
      </c>
      <c r="R48" s="13">
        <v>97.656957631470334</v>
      </c>
      <c r="S48" s="13">
        <v>98.231771144963389</v>
      </c>
      <c r="T48" s="13">
        <v>98.855267860804034</v>
      </c>
      <c r="U48" s="13">
        <v>99.316477089901994</v>
      </c>
      <c r="V48" s="13">
        <v>96.818810779581781</v>
      </c>
      <c r="W48" s="13">
        <v>98.380597588110902</v>
      </c>
      <c r="AZ48" s="12"/>
      <c r="BA48">
        <v>2009</v>
      </c>
      <c r="BB48" s="13">
        <v>97.70992366412213</v>
      </c>
      <c r="BC48" s="13">
        <v>98.218771155095567</v>
      </c>
      <c r="BD48" s="13">
        <v>97.858257539584869</v>
      </c>
      <c r="BE48" s="13">
        <v>98.254149528195356</v>
      </c>
      <c r="BG48" s="13">
        <v>97.753879778172987</v>
      </c>
      <c r="BH48" s="13">
        <v>98.845613708099492</v>
      </c>
      <c r="BI48" s="13">
        <v>98.493406442625087</v>
      </c>
      <c r="BJ48" s="13">
        <v>98.890943018593617</v>
      </c>
      <c r="BK48" s="13">
        <v>100.95520422139421</v>
      </c>
      <c r="BL48" s="13">
        <v>97.376894681688526</v>
      </c>
      <c r="BM48" s="13">
        <v>98.497406307198688</v>
      </c>
      <c r="BN48" s="13">
        <v>100.70263491143076</v>
      </c>
      <c r="BO48" s="13">
        <v>97.157622658681021</v>
      </c>
      <c r="BP48" s="13">
        <v>98.740512431465078</v>
      </c>
      <c r="BQ48" s="13">
        <v>97.749774769856458</v>
      </c>
      <c r="BR48" s="13">
        <v>97.656957631470334</v>
      </c>
      <c r="BS48" s="13">
        <v>98.231771144963389</v>
      </c>
      <c r="BT48" s="13">
        <v>98.855267860804034</v>
      </c>
      <c r="BU48" s="13">
        <v>99.316477089901994</v>
      </c>
      <c r="BV48" s="13">
        <v>96.818810779581781</v>
      </c>
      <c r="BW48" s="13">
        <v>98.380597588110902</v>
      </c>
    </row>
    <row r="49" spans="1:75">
      <c r="A49">
        <v>2010</v>
      </c>
      <c r="B49" s="3">
        <v>100</v>
      </c>
      <c r="C49" s="3">
        <v>100</v>
      </c>
      <c r="D49" s="3">
        <v>99.99999925494194</v>
      </c>
      <c r="E49" s="3">
        <v>100</v>
      </c>
      <c r="F49">
        <v>100</v>
      </c>
      <c r="G49" s="3">
        <v>100</v>
      </c>
      <c r="H49" s="3">
        <v>100</v>
      </c>
      <c r="I49" s="3">
        <v>100</v>
      </c>
      <c r="J49" s="3">
        <v>100</v>
      </c>
      <c r="K49" s="3">
        <v>100</v>
      </c>
      <c r="L49" s="3">
        <v>100</v>
      </c>
      <c r="M49" s="3">
        <v>100</v>
      </c>
      <c r="N49" s="3">
        <v>100</v>
      </c>
      <c r="O49" s="3">
        <v>100</v>
      </c>
      <c r="P49" s="3">
        <v>100</v>
      </c>
      <c r="Q49" s="3">
        <v>100</v>
      </c>
      <c r="R49" s="3">
        <v>100</v>
      </c>
      <c r="S49" s="3">
        <v>100</v>
      </c>
      <c r="T49" s="3">
        <v>100</v>
      </c>
      <c r="U49" s="3">
        <v>100</v>
      </c>
      <c r="V49" s="3">
        <v>100</v>
      </c>
      <c r="W49" s="3">
        <v>99.999998509883881</v>
      </c>
      <c r="AZ49" s="12"/>
      <c r="BA49">
        <v>2010</v>
      </c>
      <c r="BB49" s="3">
        <v>100</v>
      </c>
      <c r="BC49" s="3">
        <v>100</v>
      </c>
      <c r="BD49" s="3">
        <v>99.99999925494194</v>
      </c>
      <c r="BE49" s="3">
        <v>100</v>
      </c>
      <c r="BG49" s="3">
        <v>100</v>
      </c>
      <c r="BH49" s="3">
        <v>100</v>
      </c>
      <c r="BI49" s="3">
        <v>100</v>
      </c>
      <c r="BJ49" s="3">
        <v>100</v>
      </c>
      <c r="BK49" s="3">
        <v>100</v>
      </c>
      <c r="BL49" s="3">
        <v>100</v>
      </c>
      <c r="BM49" s="3">
        <v>100</v>
      </c>
      <c r="BN49" s="3">
        <v>100</v>
      </c>
      <c r="BO49" s="3">
        <v>100</v>
      </c>
      <c r="BP49" s="3">
        <v>100</v>
      </c>
      <c r="BQ49" s="3">
        <v>100</v>
      </c>
      <c r="BR49" s="3">
        <v>100</v>
      </c>
      <c r="BS49" s="3">
        <v>100</v>
      </c>
      <c r="BT49" s="3">
        <v>100</v>
      </c>
      <c r="BU49" s="3">
        <v>100</v>
      </c>
      <c r="BV49" s="3">
        <v>100</v>
      </c>
      <c r="BW49" s="3">
        <v>99.999998509883881</v>
      </c>
    </row>
    <row r="50" spans="1:75">
      <c r="A50">
        <v>2011</v>
      </c>
      <c r="B50" s="13">
        <v>103.21282196044922</v>
      </c>
      <c r="C50" s="13">
        <v>103.26694488525391</v>
      </c>
      <c r="D50" s="13">
        <v>103.51917627340862</v>
      </c>
      <c r="E50" s="13">
        <v>102.91212463378906</v>
      </c>
      <c r="F50">
        <v>105.55</v>
      </c>
      <c r="G50" s="13">
        <v>102.75868225097656</v>
      </c>
      <c r="H50" s="13">
        <v>103.41680908203125</v>
      </c>
      <c r="I50" s="13">
        <v>102.11748504638672</v>
      </c>
      <c r="J50" s="13">
        <v>102.07516479492188</v>
      </c>
      <c r="K50" s="13">
        <v>108.857845297</v>
      </c>
      <c r="L50" s="13">
        <v>102.57887268066406</v>
      </c>
      <c r="M50" s="13">
        <v>102.74143981933594</v>
      </c>
      <c r="N50" s="13">
        <v>99.732368469238281</v>
      </c>
      <c r="O50" s="13">
        <v>104.02584838867188</v>
      </c>
      <c r="P50" s="13">
        <v>102.341064453125</v>
      </c>
      <c r="Q50" s="13">
        <v>103.99966430664063</v>
      </c>
      <c r="R50" s="13">
        <v>101.30096435546875</v>
      </c>
      <c r="S50" s="13">
        <v>103.19624328613281</v>
      </c>
      <c r="T50" s="13">
        <v>102.96112060546875</v>
      </c>
      <c r="U50" s="13">
        <v>100.23133087158203</v>
      </c>
      <c r="V50" s="13">
        <v>104.48423767089844</v>
      </c>
      <c r="W50" s="13">
        <v>103.13271097869961</v>
      </c>
      <c r="BA50">
        <v>2011</v>
      </c>
      <c r="BB50" s="13">
        <v>103.21282196044922</v>
      </c>
      <c r="BC50" s="13">
        <v>103.26694488525391</v>
      </c>
      <c r="BD50" s="13">
        <v>103.51917627340862</v>
      </c>
      <c r="BE50" s="13">
        <v>102.91212463378906</v>
      </c>
      <c r="BG50" s="13">
        <v>102.75868225097656</v>
      </c>
      <c r="BH50" s="13">
        <v>103.41680908203125</v>
      </c>
      <c r="BI50" s="13">
        <v>102.11748504638672</v>
      </c>
      <c r="BJ50" s="13">
        <v>102.07516479492188</v>
      </c>
      <c r="BK50" s="13">
        <v>102.57887268066406</v>
      </c>
      <c r="BL50" s="13">
        <v>103.45919799804688</v>
      </c>
      <c r="BM50" s="13">
        <v>102.74143981933594</v>
      </c>
      <c r="BN50" s="13">
        <v>99.732368469238281</v>
      </c>
      <c r="BO50" s="13">
        <v>104.02584838867188</v>
      </c>
      <c r="BP50" s="13">
        <v>102.341064453125</v>
      </c>
      <c r="BQ50" s="13">
        <v>103.99966430664063</v>
      </c>
      <c r="BR50" s="13">
        <v>101.30096435546875</v>
      </c>
      <c r="BS50" s="13">
        <v>103.19624328613281</v>
      </c>
      <c r="BT50" s="13">
        <v>102.96112060546875</v>
      </c>
      <c r="BU50" s="13">
        <v>100.23133087158203</v>
      </c>
      <c r="BV50" s="13">
        <v>104.48423767089844</v>
      </c>
      <c r="BW50" s="13">
        <v>103.13271097869961</v>
      </c>
    </row>
    <row r="51" spans="1:75">
      <c r="A51">
        <v>2012</v>
      </c>
      <c r="B51" s="13">
        <v>105.1121826171875</v>
      </c>
      <c r="C51" s="13">
        <v>105.83381652832031</v>
      </c>
      <c r="D51" s="13">
        <v>106.43959352364726</v>
      </c>
      <c r="E51" s="13">
        <v>104.47194671630859</v>
      </c>
      <c r="F51">
        <v>108.32</v>
      </c>
      <c r="G51" s="13">
        <v>105.22274780273438</v>
      </c>
      <c r="H51" s="13">
        <v>106.32109832763672</v>
      </c>
      <c r="I51" s="13">
        <v>104.11458587646484</v>
      </c>
      <c r="J51" s="13">
        <v>104.12535095214844</v>
      </c>
      <c r="K51" s="13">
        <v>118.99517292705816</v>
      </c>
      <c r="L51" s="13">
        <v>104.31531524658203</v>
      </c>
      <c r="M51" s="13">
        <v>105.86618041992188</v>
      </c>
      <c r="N51" s="13">
        <v>99.680564880371094</v>
      </c>
      <c r="O51" s="13">
        <v>106.30112457275391</v>
      </c>
      <c r="P51" s="13">
        <v>104.85411071777344</v>
      </c>
      <c r="Q51" s="13">
        <v>105.11068725585938</v>
      </c>
      <c r="R51" s="13">
        <v>102.01941680908203</v>
      </c>
      <c r="S51" s="13">
        <v>105.72032928466797</v>
      </c>
      <c r="T51" s="13">
        <v>103.87586975097656</v>
      </c>
      <c r="U51" s="13">
        <v>99.537200927734375</v>
      </c>
      <c r="V51" s="13">
        <v>107.43247985839844</v>
      </c>
      <c r="W51" s="13">
        <v>105.21072267093371</v>
      </c>
      <c r="BA51">
        <v>2012</v>
      </c>
      <c r="BB51" s="13">
        <v>105.1121826171875</v>
      </c>
      <c r="BC51" s="13">
        <v>105.83381652832031</v>
      </c>
      <c r="BD51" s="13">
        <v>106.43959352364726</v>
      </c>
      <c r="BE51" s="13">
        <v>104.47194671630859</v>
      </c>
      <c r="BG51" s="13">
        <v>105.22274780273438</v>
      </c>
      <c r="BH51" s="13">
        <v>106.32109832763672</v>
      </c>
      <c r="BI51" s="13">
        <v>104.11458587646484</v>
      </c>
      <c r="BJ51" s="13">
        <v>104.12535095214844</v>
      </c>
      <c r="BK51" s="13">
        <v>104.31531524658203</v>
      </c>
      <c r="BL51" s="13">
        <v>105.22587585449219</v>
      </c>
      <c r="BM51" s="13">
        <v>105.86618041992188</v>
      </c>
      <c r="BN51" s="13">
        <v>99.680564880371094</v>
      </c>
      <c r="BO51" s="13">
        <v>106.30112457275391</v>
      </c>
      <c r="BP51" s="13">
        <v>104.85411071777344</v>
      </c>
      <c r="BQ51" s="13">
        <v>105.11068725585938</v>
      </c>
      <c r="BR51" s="13">
        <v>102.01941680908203</v>
      </c>
      <c r="BS51" s="13">
        <v>105.72032928466797</v>
      </c>
      <c r="BT51" s="13">
        <v>103.87586975097656</v>
      </c>
      <c r="BU51" s="13">
        <v>99.537200927734375</v>
      </c>
      <c r="BV51" s="13">
        <v>107.43247985839844</v>
      </c>
      <c r="BW51" s="13">
        <v>105.21072267093371</v>
      </c>
    </row>
    <row r="52" spans="1:75">
      <c r="A52">
        <v>2013</v>
      </c>
      <c r="B52" s="13">
        <v>107.69465637207031</v>
      </c>
      <c r="C52" s="13">
        <v>107.95066070556641</v>
      </c>
      <c r="D52" s="13">
        <v>107.69401601706502</v>
      </c>
      <c r="E52" s="13">
        <v>105.45220184326172</v>
      </c>
      <c r="F52">
        <v>111.16</v>
      </c>
      <c r="G52" s="13">
        <v>106.05303192138672</v>
      </c>
      <c r="H52" s="13">
        <v>107.89282989501953</v>
      </c>
      <c r="I52" s="13">
        <v>105.01372528076172</v>
      </c>
      <c r="J52" s="13">
        <v>105.69213104248047</v>
      </c>
      <c r="K52" s="13">
        <v>131.97474194605937</v>
      </c>
      <c r="L52" s="13">
        <v>104.83968353271484</v>
      </c>
      <c r="M52" s="13">
        <v>107.15773773193359</v>
      </c>
      <c r="N52" s="13">
        <v>100.02590179443359</v>
      </c>
      <c r="O52" s="13">
        <v>107.68450164794922</v>
      </c>
      <c r="P52" s="13">
        <v>107.48267364501953</v>
      </c>
      <c r="Q52" s="13">
        <v>106.31058502197266</v>
      </c>
      <c r="R52" s="13">
        <v>104.19417572021484</v>
      </c>
      <c r="S52" s="13">
        <v>107.20954132080078</v>
      </c>
      <c r="T52" s="13">
        <v>103.82978057861328</v>
      </c>
      <c r="U52" s="13">
        <v>99.320884704589844</v>
      </c>
      <c r="V52" s="13">
        <v>110.17689514160156</v>
      </c>
      <c r="W52" s="13">
        <v>106.69767516878358</v>
      </c>
      <c r="BA52">
        <v>2013</v>
      </c>
      <c r="BB52" s="13">
        <v>107.69465637207031</v>
      </c>
      <c r="BC52" s="13">
        <v>107.95066070556641</v>
      </c>
      <c r="BD52" s="13">
        <v>107.69401601706502</v>
      </c>
      <c r="BE52" s="13">
        <v>105.45220184326172</v>
      </c>
      <c r="BG52" s="13">
        <v>106.05303192138672</v>
      </c>
      <c r="BH52" s="13">
        <v>107.89282989501953</v>
      </c>
      <c r="BI52" s="13">
        <v>105.01372528076172</v>
      </c>
      <c r="BJ52" s="13">
        <v>105.69213104248047</v>
      </c>
      <c r="BK52" s="13">
        <v>104.83968353271484</v>
      </c>
      <c r="BL52" s="13">
        <v>106.83148956298828</v>
      </c>
      <c r="BM52" s="13">
        <v>107.15773773193359</v>
      </c>
      <c r="BN52" s="13">
        <v>100.02590179443359</v>
      </c>
      <c r="BO52" s="13">
        <v>107.68450164794922</v>
      </c>
      <c r="BP52" s="13">
        <v>107.48267364501953</v>
      </c>
      <c r="BQ52" s="13">
        <v>106.31058502197266</v>
      </c>
      <c r="BR52" s="13">
        <v>104.19417572021484</v>
      </c>
      <c r="BS52" s="13">
        <v>107.20954132080078</v>
      </c>
      <c r="BT52" s="13">
        <v>103.82978057861328</v>
      </c>
      <c r="BU52" s="13">
        <v>99.320884704589844</v>
      </c>
      <c r="BV52" s="13">
        <v>110.17689514160156</v>
      </c>
      <c r="BW52" s="13">
        <v>106.69767516878358</v>
      </c>
    </row>
    <row r="53" spans="1:75">
      <c r="A53">
        <v>2014</v>
      </c>
      <c r="B53" s="13">
        <v>110.31600189208984</v>
      </c>
      <c r="C53" s="13">
        <v>109.68414306640625</v>
      </c>
      <c r="D53" s="13">
        <v>108.09323022286429</v>
      </c>
      <c r="E53" s="13">
        <v>107.46279144287109</v>
      </c>
      <c r="F53">
        <v>113.29</v>
      </c>
      <c r="G53" s="13">
        <v>106.65119171142578</v>
      </c>
      <c r="H53" s="13">
        <v>109.01621246337891</v>
      </c>
      <c r="I53" s="13">
        <v>105.546875</v>
      </c>
      <c r="J53" s="13">
        <v>106.65055847167969</v>
      </c>
      <c r="K53" s="13">
        <v>140.75040261104445</v>
      </c>
      <c r="L53" s="13">
        <v>105.04598999023438</v>
      </c>
      <c r="M53" s="13">
        <v>107.41604614257813</v>
      </c>
      <c r="N53" s="13">
        <v>102.78856658935547</v>
      </c>
      <c r="O53" s="13">
        <v>109.05716705322266</v>
      </c>
      <c r="P53" s="13">
        <v>108.53173828125</v>
      </c>
      <c r="Q53" s="13">
        <v>107.5882568359375</v>
      </c>
      <c r="R53" s="13">
        <v>106.30420684814453</v>
      </c>
      <c r="S53" s="13">
        <v>107.05191040039063</v>
      </c>
      <c r="T53" s="13">
        <v>103.64338684082031</v>
      </c>
      <c r="U53" s="13">
        <v>99.3077392578125</v>
      </c>
      <c r="V53" s="13">
        <v>111.78569030761719</v>
      </c>
      <c r="W53" s="13">
        <v>108.45811062912946</v>
      </c>
      <c r="BA53">
        <v>2014</v>
      </c>
      <c r="BB53" s="13">
        <v>110.31600189208984</v>
      </c>
      <c r="BC53" s="13">
        <v>109.68414306640625</v>
      </c>
      <c r="BD53" s="13">
        <v>108.09323022286429</v>
      </c>
      <c r="BE53" s="13">
        <v>107.46279144287109</v>
      </c>
      <c r="BG53" s="13">
        <v>106.65119171142578</v>
      </c>
      <c r="BH53" s="13">
        <v>109.01621246337891</v>
      </c>
      <c r="BI53" s="13">
        <v>105.546875</v>
      </c>
      <c r="BJ53" s="13">
        <v>106.65055847167969</v>
      </c>
      <c r="BK53" s="13">
        <v>105.04598999023438</v>
      </c>
      <c r="BL53" s="13">
        <v>107.33995819091797</v>
      </c>
      <c r="BM53" s="13">
        <v>107.41604614257813</v>
      </c>
      <c r="BN53" s="13">
        <v>102.78856658935547</v>
      </c>
      <c r="BO53" s="13">
        <v>109.05716705322266</v>
      </c>
      <c r="BP53" s="13">
        <v>108.53173828125</v>
      </c>
      <c r="BQ53" s="13">
        <v>107.5882568359375</v>
      </c>
      <c r="BR53" s="13">
        <v>106.30420684814453</v>
      </c>
      <c r="BS53" s="13">
        <v>107.05191040039063</v>
      </c>
      <c r="BT53" s="13">
        <v>103.64338684082031</v>
      </c>
      <c r="BU53" s="13">
        <v>99.3077392578125</v>
      </c>
      <c r="BV53" s="13">
        <v>111.78569030761719</v>
      </c>
      <c r="BW53" s="13">
        <v>108.45811062912946</v>
      </c>
    </row>
    <row r="54" spans="1:75">
      <c r="A54">
        <v>2015</v>
      </c>
      <c r="B54" s="13">
        <v>111.99044799804688</v>
      </c>
      <c r="C54" s="13">
        <v>110.66753387451172</v>
      </c>
      <c r="D54" s="13">
        <v>108.69010630369141</v>
      </c>
      <c r="E54" s="13">
        <v>108.67200469970703</v>
      </c>
      <c r="F54">
        <v>114.92</v>
      </c>
      <c r="G54" s="13">
        <v>107.13329315185547</v>
      </c>
      <c r="H54" s="13">
        <v>108.79036712646484</v>
      </c>
      <c r="I54" s="13">
        <v>105.58678436279297</v>
      </c>
      <c r="J54" s="13">
        <v>106.90055847167969</v>
      </c>
      <c r="K54" s="13">
        <v>147.65698748526896</v>
      </c>
      <c r="L54" s="13">
        <v>104.73652648925781</v>
      </c>
      <c r="M54" s="13">
        <v>107.45771026611328</v>
      </c>
      <c r="N54" s="13">
        <v>103.60009765625</v>
      </c>
      <c r="O54" s="13">
        <v>109.82733917236328</v>
      </c>
      <c r="P54" s="13">
        <v>109.18320465087891</v>
      </c>
      <c r="Q54" s="13">
        <v>107.95767211914063</v>
      </c>
      <c r="R54" s="13">
        <v>108.61489105224609</v>
      </c>
      <c r="S54" s="13">
        <v>106.51537322998047</v>
      </c>
      <c r="T54" s="13">
        <v>103.59481811523438</v>
      </c>
      <c r="U54" s="13">
        <v>98.171791076660156</v>
      </c>
      <c r="V54" s="13">
        <v>111.84160614013672</v>
      </c>
      <c r="W54" s="13">
        <v>108.69337137051741</v>
      </c>
      <c r="BA54">
        <v>2015</v>
      </c>
      <c r="BB54" s="13">
        <v>111.99044799804688</v>
      </c>
      <c r="BC54" s="13">
        <v>110.66753387451172</v>
      </c>
      <c r="BD54" s="13">
        <v>108.69010630369141</v>
      </c>
      <c r="BE54" s="13">
        <v>108.67200469970703</v>
      </c>
      <c r="BG54" s="13">
        <v>107.13329315185547</v>
      </c>
      <c r="BH54" s="13">
        <v>108.79036712646484</v>
      </c>
      <c r="BI54" s="13">
        <v>105.58678436279297</v>
      </c>
      <c r="BJ54" s="13">
        <v>106.90055847167969</v>
      </c>
      <c r="BK54" s="13">
        <v>104.73652648925781</v>
      </c>
      <c r="BL54" s="13">
        <v>106.66036987304688</v>
      </c>
      <c r="BM54" s="13">
        <v>107.45771026611328</v>
      </c>
      <c r="BN54" s="13">
        <v>103.60009765625</v>
      </c>
      <c r="BO54" s="13">
        <v>109.82733917236328</v>
      </c>
      <c r="BP54" s="13">
        <v>109.18320465087891</v>
      </c>
      <c r="BQ54" s="13">
        <v>107.95767211914063</v>
      </c>
      <c r="BR54" s="13">
        <v>108.61489105224609</v>
      </c>
      <c r="BS54" s="13">
        <v>106.51537322998047</v>
      </c>
      <c r="BT54" s="13">
        <v>103.59481811523438</v>
      </c>
      <c r="BU54" s="13">
        <v>98.171791076660156</v>
      </c>
      <c r="BV54" s="13">
        <v>111.84160614013672</v>
      </c>
      <c r="BW54" s="13">
        <v>108.69337137051741</v>
      </c>
    </row>
    <row r="55" spans="1:75">
      <c r="A55">
        <v>2016</v>
      </c>
      <c r="B55" s="13">
        <v>113.47606658935547</v>
      </c>
      <c r="C55" s="13">
        <v>111.65423583984375</v>
      </c>
      <c r="D55" s="13">
        <v>110.64230965151904</v>
      </c>
      <c r="E55" s="13">
        <v>110.22467803955078</v>
      </c>
      <c r="F55">
        <v>117.22</v>
      </c>
      <c r="G55" s="13">
        <v>107.401123046875</v>
      </c>
      <c r="H55" s="13">
        <v>109.17871856689453</v>
      </c>
      <c r="I55" s="13">
        <v>105.78035736083984</v>
      </c>
      <c r="J55" s="13">
        <v>107.41728210449219</v>
      </c>
      <c r="K55" s="13">
        <v>154.95337961064408</v>
      </c>
      <c r="L55" s="13">
        <v>104.73652648925781</v>
      </c>
      <c r="M55" s="13">
        <v>107.32518005371094</v>
      </c>
      <c r="N55" s="13">
        <v>103.47923278808594</v>
      </c>
      <c r="O55" s="13">
        <v>110.89450836181641</v>
      </c>
      <c r="P55" s="13">
        <v>109.52896881103516</v>
      </c>
      <c r="Q55" s="13">
        <v>108.69094848632813</v>
      </c>
      <c r="R55" s="13">
        <v>112.47071838378906</v>
      </c>
      <c r="S55" s="13">
        <v>103.19615173339844</v>
      </c>
      <c r="T55" s="13">
        <v>104.61454010009766</v>
      </c>
      <c r="U55" s="13">
        <v>97.745109558105469</v>
      </c>
      <c r="V55" s="13">
        <v>112.55919647216797</v>
      </c>
      <c r="W55" s="13">
        <v>110.08253978538585</v>
      </c>
      <c r="BA55">
        <v>2016</v>
      </c>
      <c r="BB55" s="13">
        <v>113.47606658935547</v>
      </c>
      <c r="BC55" s="13">
        <v>111.65423583984375</v>
      </c>
      <c r="BD55" s="13">
        <v>110.64230965151904</v>
      </c>
      <c r="BE55" s="13">
        <v>110.22467803955078</v>
      </c>
      <c r="BG55" s="13">
        <v>107.401123046875</v>
      </c>
      <c r="BH55" s="13">
        <v>109.17871856689453</v>
      </c>
      <c r="BI55" s="13">
        <v>105.78035736083984</v>
      </c>
      <c r="BJ55" s="13">
        <v>107.41728210449219</v>
      </c>
      <c r="BK55" s="13">
        <v>104.73652648925781</v>
      </c>
      <c r="BL55" s="13">
        <v>106.07913970947266</v>
      </c>
      <c r="BM55" s="13">
        <v>107.32518005371094</v>
      </c>
      <c r="BN55" s="13">
        <v>103.47923278808594</v>
      </c>
      <c r="BO55" s="13">
        <v>110.89450836181641</v>
      </c>
      <c r="BP55" s="13">
        <v>109.52896881103516</v>
      </c>
      <c r="BQ55" s="13">
        <v>108.69094848632813</v>
      </c>
      <c r="BR55" s="13">
        <v>112.47071838378906</v>
      </c>
      <c r="BS55" s="13">
        <v>103.19615173339844</v>
      </c>
      <c r="BT55" s="13">
        <v>104.61454010009766</v>
      </c>
      <c r="BU55" s="13">
        <v>97.745109558105469</v>
      </c>
      <c r="BV55" s="13">
        <v>112.55919647216797</v>
      </c>
      <c r="BW55" s="13">
        <v>110.08253978538585</v>
      </c>
    </row>
    <row r="56" spans="1:75">
      <c r="A56">
        <v>2017</v>
      </c>
      <c r="B56" s="13">
        <v>115.69</v>
      </c>
      <c r="C56" s="13">
        <v>113.97664394531249</v>
      </c>
      <c r="D56" s="13">
        <v>112.39045814401305</v>
      </c>
      <c r="E56" s="13">
        <v>112.53939627838133</v>
      </c>
      <c r="F56">
        <v>119.09</v>
      </c>
      <c r="G56" s="13">
        <v>108.63623596191407</v>
      </c>
      <c r="H56" s="13">
        <v>109.99755895614625</v>
      </c>
      <c r="I56" s="13">
        <v>106.86989504165649</v>
      </c>
      <c r="J56" s="13">
        <v>109.28634281311037</v>
      </c>
      <c r="K56" s="13">
        <v>158.81171876294911</v>
      </c>
      <c r="L56" s="13">
        <v>105.0926306793213</v>
      </c>
      <c r="M56" s="13">
        <v>108.64527976837158</v>
      </c>
      <c r="N56" s="13">
        <v>103.96558518218994</v>
      </c>
      <c r="O56" s="13">
        <v>113.05695127487184</v>
      </c>
      <c r="P56" s="13">
        <v>111.05142147750854</v>
      </c>
      <c r="Q56" s="13">
        <v>110.43000366210937</v>
      </c>
      <c r="R56" s="13">
        <v>114.58516788940429</v>
      </c>
      <c r="S56" s="13">
        <v>105.21879630737305</v>
      </c>
      <c r="T56" s="13">
        <v>106.48714036788941</v>
      </c>
      <c r="U56" s="13">
        <v>98.263158638763443</v>
      </c>
      <c r="V56" s="13">
        <v>115.44071190185548</v>
      </c>
      <c r="W56" s="13">
        <v>112.42729788281457</v>
      </c>
      <c r="BA56">
        <v>2017</v>
      </c>
      <c r="BB56" s="13">
        <v>115.69</v>
      </c>
      <c r="BC56" s="13">
        <v>113.97664394531249</v>
      </c>
      <c r="BD56" s="13">
        <v>112.39045814401305</v>
      </c>
      <c r="BE56" s="13">
        <v>112.53939627838133</v>
      </c>
      <c r="BG56" s="13">
        <v>108.63623596191407</v>
      </c>
      <c r="BH56" s="13">
        <v>109.99755895614625</v>
      </c>
      <c r="BI56" s="13">
        <v>106.86989504165649</v>
      </c>
      <c r="BJ56" s="13">
        <v>109.28634281311037</v>
      </c>
      <c r="BK56" s="13">
        <v>105.0926306793213</v>
      </c>
      <c r="BL56" s="13">
        <v>106.33372964477539</v>
      </c>
      <c r="BM56" s="13">
        <v>108.64527976837158</v>
      </c>
      <c r="BN56" s="13">
        <v>103.96558518218994</v>
      </c>
      <c r="BO56" s="13">
        <v>113.05695127487184</v>
      </c>
      <c r="BP56" s="13">
        <v>111.05142147750854</v>
      </c>
      <c r="BQ56" s="13">
        <v>110.43000366210937</v>
      </c>
      <c r="BR56" s="13">
        <v>114.58516788940429</v>
      </c>
      <c r="BS56" s="13">
        <v>105.21879630737305</v>
      </c>
      <c r="BT56" s="13">
        <v>106.48714036788941</v>
      </c>
      <c r="BU56" s="13">
        <v>98.263158638763443</v>
      </c>
      <c r="BV56" s="13">
        <v>115.44071190185548</v>
      </c>
      <c r="BW56" s="13">
        <v>112.42729788281457</v>
      </c>
    </row>
    <row r="57" spans="1:75">
      <c r="A57" s="174">
        <v>2018</v>
      </c>
      <c r="B57" s="20">
        <f>B56*B56/B55</f>
        <v>117.94712755099577</v>
      </c>
      <c r="C57" s="233">
        <f>C56*(100+C59)/100</f>
        <v>116.15359784466794</v>
      </c>
      <c r="D57" s="233">
        <f t="shared" ref="D57:R57" si="0">D56*(100+D59)/100</f>
        <v>114.41348639060529</v>
      </c>
      <c r="E57" s="233">
        <f t="shared" si="0"/>
        <v>115.11654845315627</v>
      </c>
      <c r="F57" s="233">
        <f t="shared" si="0"/>
        <v>121.4718</v>
      </c>
      <c r="G57" s="233">
        <f t="shared" si="0"/>
        <v>109.55964396759033</v>
      </c>
      <c r="H57" s="233">
        <f t="shared" si="0"/>
        <v>111.02053625443841</v>
      </c>
      <c r="I57" s="233">
        <f t="shared" si="0"/>
        <v>108.78286616290215</v>
      </c>
      <c r="J57" s="233">
        <f t="shared" si="0"/>
        <v>111.25349698374636</v>
      </c>
      <c r="K57" s="233">
        <f t="shared" si="0"/>
        <v>166.00588962291073</v>
      </c>
      <c r="L57" s="233">
        <f t="shared" si="0"/>
        <v>105.46045488669891</v>
      </c>
      <c r="M57" s="233">
        <f t="shared" si="0"/>
        <v>109.74259709403213</v>
      </c>
      <c r="N57" s="233">
        <f t="shared" si="0"/>
        <v>104.96365479993896</v>
      </c>
      <c r="O57" s="233">
        <f t="shared" si="0"/>
        <v>114.65105428784753</v>
      </c>
      <c r="P57" s="233">
        <f t="shared" si="0"/>
        <v>112.79492879470541</v>
      </c>
      <c r="Q57" s="20">
        <f>Q56*Q56/Q55</f>
        <v>112.19688372070313</v>
      </c>
      <c r="R57" s="233">
        <f t="shared" si="0"/>
        <v>117.40396301948364</v>
      </c>
      <c r="S57" s="233">
        <f>S56*(100+S59)/100</f>
        <v>106.8917751686603</v>
      </c>
      <c r="T57" s="233">
        <f>T56*(100+T59)/100</f>
        <v>108.43585503662177</v>
      </c>
      <c r="U57" s="233">
        <f>U56*(100+U59)/100</f>
        <v>99.186832329967814</v>
      </c>
      <c r="V57" s="233">
        <f>V56*(100+V59)/100</f>
        <v>118.17665677392947</v>
      </c>
      <c r="W57" s="233">
        <f>W56*(100+W59)/100</f>
        <v>115.42910673628572</v>
      </c>
      <c r="BA57"/>
      <c r="BD57" s="13"/>
    </row>
    <row r="58" spans="1:75">
      <c r="BA58" s="95">
        <v>20.170000000000002</v>
      </c>
      <c r="BC58" s="13">
        <v>2.08</v>
      </c>
      <c r="BD58" s="13">
        <v>1.58</v>
      </c>
      <c r="BE58" s="13">
        <v>2.1</v>
      </c>
      <c r="BG58" s="13">
        <v>1.1499999999999999</v>
      </c>
      <c r="BH58" s="13">
        <v>0.75</v>
      </c>
      <c r="BI58" s="13">
        <v>1.03</v>
      </c>
      <c r="BJ58" s="13">
        <v>1.74</v>
      </c>
      <c r="BK58" s="13">
        <v>0.34</v>
      </c>
      <c r="BL58" s="13">
        <v>0.24</v>
      </c>
      <c r="BM58" s="13">
        <v>1.23</v>
      </c>
      <c r="BN58" s="13">
        <v>0.47</v>
      </c>
      <c r="BO58" s="13">
        <v>1.95</v>
      </c>
      <c r="BP58" s="13">
        <v>1.39</v>
      </c>
      <c r="BQ58" s="13">
        <v>1.6</v>
      </c>
      <c r="BR58" s="13">
        <v>1.88</v>
      </c>
      <c r="BS58" s="13">
        <v>1.96</v>
      </c>
      <c r="BT58" s="13">
        <v>1.79</v>
      </c>
      <c r="BU58" s="13">
        <v>0.53</v>
      </c>
      <c r="BV58" s="13">
        <v>2.56</v>
      </c>
      <c r="BW58" s="13">
        <v>2.13</v>
      </c>
    </row>
    <row r="59" spans="1:75">
      <c r="A59" s="238" t="s">
        <v>1175</v>
      </c>
      <c r="B59" s="13">
        <f>(B56/B55-1)*100</f>
        <v>1.9510135283911989</v>
      </c>
      <c r="C59" s="13">
        <v>1.91</v>
      </c>
      <c r="D59" s="13">
        <v>1.8</v>
      </c>
      <c r="E59" s="13">
        <v>2.29</v>
      </c>
      <c r="F59" s="13">
        <v>2</v>
      </c>
      <c r="G59" s="13">
        <v>0.85</v>
      </c>
      <c r="H59" s="13">
        <v>0.93</v>
      </c>
      <c r="I59" s="13">
        <v>1.79</v>
      </c>
      <c r="J59" s="13">
        <v>1.8</v>
      </c>
      <c r="K59" s="13">
        <v>4.53</v>
      </c>
      <c r="L59" s="13">
        <v>0.35</v>
      </c>
      <c r="M59" s="13">
        <v>1.01</v>
      </c>
      <c r="N59" s="13">
        <v>0.96</v>
      </c>
      <c r="O59" s="13">
        <v>1.41</v>
      </c>
      <c r="P59" s="13">
        <v>1.57</v>
      </c>
      <c r="Q59" s="13">
        <f>(Q56/Q55-1)*100</f>
        <v>1.6000000000000014</v>
      </c>
      <c r="R59" s="13">
        <v>2.46</v>
      </c>
      <c r="S59" s="13">
        <v>1.59</v>
      </c>
      <c r="T59" s="13">
        <v>1.83</v>
      </c>
      <c r="U59" s="13">
        <v>0.94</v>
      </c>
      <c r="V59" s="13">
        <v>2.37</v>
      </c>
      <c r="W59" s="13">
        <v>2.67</v>
      </c>
      <c r="BA59" s="12"/>
    </row>
    <row r="60" spans="1:75">
      <c r="BF60" s="12"/>
    </row>
    <row r="61" spans="1:75">
      <c r="BF61" s="12"/>
    </row>
    <row r="62" spans="1:75">
      <c r="BF62" s="12"/>
    </row>
    <row r="71" spans="9:19">
      <c r="I71" s="12" t="s">
        <v>821</v>
      </c>
      <c r="J71" s="12" t="s">
        <v>822</v>
      </c>
    </row>
    <row r="73" spans="9:19">
      <c r="I73" s="12" t="s">
        <v>1176</v>
      </c>
      <c r="J73" s="237" t="s">
        <v>823</v>
      </c>
      <c r="K73" s="174"/>
      <c r="L73" s="174"/>
      <c r="M73" s="174"/>
      <c r="N73" s="174"/>
      <c r="O73" s="174"/>
      <c r="P73" s="174"/>
      <c r="Q73" s="174"/>
      <c r="R73" s="174"/>
      <c r="S73" s="174"/>
    </row>
    <row r="74" spans="9:19">
      <c r="I74" s="12" t="s">
        <v>249</v>
      </c>
      <c r="J74" t="s">
        <v>824</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N15" sqref="N15"/>
    </sheetView>
  </sheetViews>
  <sheetFormatPr defaultRowHeight="15"/>
  <cols>
    <col min="2" max="2" width="12.85546875" customWidth="1"/>
    <col min="3" max="3" width="22.42578125" customWidth="1"/>
    <col min="6" max="6" width="16.5703125" customWidth="1"/>
    <col min="7" max="7" width="31" customWidth="1"/>
    <col min="8" max="8" width="18.5703125" customWidth="1"/>
  </cols>
  <sheetData>
    <row r="1" spans="1:8" s="22" customFormat="1" ht="15.75">
      <c r="B1" s="22" t="s">
        <v>300</v>
      </c>
      <c r="C1" s="22" t="s">
        <v>299</v>
      </c>
      <c r="F1" s="269" t="s">
        <v>1398</v>
      </c>
      <c r="G1" s="270" t="s">
        <v>1399</v>
      </c>
      <c r="H1" s="269" t="s">
        <v>1400</v>
      </c>
    </row>
    <row r="2" spans="1:8">
      <c r="A2" t="s">
        <v>240</v>
      </c>
      <c r="B2">
        <v>2040</v>
      </c>
      <c r="C2" s="95">
        <v>1</v>
      </c>
      <c r="F2" t="s">
        <v>539</v>
      </c>
      <c r="G2" t="s">
        <v>1415</v>
      </c>
      <c r="H2" s="266" t="s">
        <v>1406</v>
      </c>
    </row>
    <row r="3" spans="1:8">
      <c r="A3" t="s">
        <v>298</v>
      </c>
      <c r="B3">
        <v>2040</v>
      </c>
      <c r="C3" s="95">
        <v>1</v>
      </c>
      <c r="F3" t="s">
        <v>298</v>
      </c>
      <c r="G3" t="s">
        <v>1416</v>
      </c>
      <c r="H3" s="266" t="s">
        <v>1407</v>
      </c>
    </row>
    <row r="4" spans="1:8">
      <c r="A4" t="s">
        <v>239</v>
      </c>
      <c r="B4">
        <v>2025</v>
      </c>
      <c r="C4" s="95">
        <v>0.2</v>
      </c>
      <c r="F4" t="s">
        <v>239</v>
      </c>
      <c r="G4" t="s">
        <v>1416</v>
      </c>
      <c r="H4" s="266" t="s">
        <v>1408</v>
      </c>
    </row>
    <row r="5" spans="1:8">
      <c r="A5" t="s">
        <v>95</v>
      </c>
      <c r="B5">
        <v>2019</v>
      </c>
      <c r="C5" t="s">
        <v>301</v>
      </c>
      <c r="F5" t="s">
        <v>541</v>
      </c>
      <c r="G5" t="s">
        <v>1403</v>
      </c>
      <c r="H5" s="267">
        <v>2008</v>
      </c>
    </row>
    <row r="6" spans="1:8">
      <c r="A6" t="s">
        <v>611</v>
      </c>
      <c r="B6">
        <v>2030</v>
      </c>
      <c r="C6" s="95">
        <v>1</v>
      </c>
      <c r="F6" t="s">
        <v>240</v>
      </c>
      <c r="G6" t="s">
        <v>1416</v>
      </c>
      <c r="H6" s="268" t="s">
        <v>1407</v>
      </c>
    </row>
    <row r="7" spans="1:8">
      <c r="F7" t="s">
        <v>241</v>
      </c>
      <c r="G7" t="s">
        <v>1404</v>
      </c>
      <c r="H7" s="268" t="s">
        <v>1409</v>
      </c>
    </row>
    <row r="8" spans="1:8">
      <c r="A8" t="s">
        <v>630</v>
      </c>
      <c r="F8" t="s">
        <v>242</v>
      </c>
      <c r="G8" t="s">
        <v>1417</v>
      </c>
      <c r="H8" s="268" t="s">
        <v>1410</v>
      </c>
    </row>
    <row r="9" spans="1:8">
      <c r="F9" t="s">
        <v>544</v>
      </c>
      <c r="G9" t="s">
        <v>1417</v>
      </c>
      <c r="H9" s="268" t="s">
        <v>1407</v>
      </c>
    </row>
    <row r="10" spans="1:8">
      <c r="F10" t="s">
        <v>683</v>
      </c>
      <c r="G10" t="s">
        <v>1417</v>
      </c>
      <c r="H10" s="268" t="s">
        <v>1411</v>
      </c>
    </row>
    <row r="11" spans="1:8">
      <c r="F11" t="s">
        <v>245</v>
      </c>
      <c r="G11" t="s">
        <v>1417</v>
      </c>
      <c r="H11" s="268" t="s">
        <v>1412</v>
      </c>
    </row>
    <row r="12" spans="1:8">
      <c r="F12" t="s">
        <v>1401</v>
      </c>
      <c r="G12" t="s">
        <v>1417</v>
      </c>
      <c r="H12" s="268" t="s">
        <v>1408</v>
      </c>
    </row>
    <row r="13" spans="1:8">
      <c r="F13" t="s">
        <v>244</v>
      </c>
      <c r="G13" t="s">
        <v>1405</v>
      </c>
      <c r="H13" s="268" t="s">
        <v>1413</v>
      </c>
    </row>
    <row r="14" spans="1:8">
      <c r="F14" t="s">
        <v>1402</v>
      </c>
      <c r="G14" t="s">
        <v>1416</v>
      </c>
      <c r="H14" s="268" t="s">
        <v>1414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4"/>
  <sheetViews>
    <sheetView topLeftCell="A2" workbookViewId="0">
      <selection activeCell="X44" sqref="X44"/>
    </sheetView>
  </sheetViews>
  <sheetFormatPr defaultRowHeight="15"/>
  <sheetData>
    <row r="1" spans="1:74">
      <c r="B1" t="s">
        <v>590</v>
      </c>
      <c r="G1" t="s">
        <v>591</v>
      </c>
      <c r="L1" t="s">
        <v>592</v>
      </c>
      <c r="Q1" t="s">
        <v>593</v>
      </c>
      <c r="V1" t="s">
        <v>599</v>
      </c>
      <c r="AA1" t="s">
        <v>600</v>
      </c>
      <c r="AF1" t="s">
        <v>594</v>
      </c>
      <c r="AK1" t="s">
        <v>595</v>
      </c>
      <c r="AP1" t="s">
        <v>598</v>
      </c>
      <c r="AU1" t="s">
        <v>601</v>
      </c>
      <c r="AZ1" t="s">
        <v>602</v>
      </c>
      <c r="BE1" t="s">
        <v>596</v>
      </c>
      <c r="BJ1" t="s">
        <v>603</v>
      </c>
      <c r="BO1" t="s">
        <v>597</v>
      </c>
      <c r="BT1" t="s">
        <v>604</v>
      </c>
    </row>
    <row r="2" spans="1:74">
      <c r="B2" t="s">
        <v>564</v>
      </c>
      <c r="C2" t="s">
        <v>565</v>
      </c>
      <c r="D2" t="s">
        <v>571</v>
      </c>
      <c r="G2" t="s">
        <v>564</v>
      </c>
      <c r="H2" t="s">
        <v>565</v>
      </c>
      <c r="I2" t="s">
        <v>571</v>
      </c>
      <c r="L2" t="s">
        <v>564</v>
      </c>
      <c r="M2" t="s">
        <v>565</v>
      </c>
      <c r="N2" t="s">
        <v>571</v>
      </c>
      <c r="Q2" t="s">
        <v>564</v>
      </c>
      <c r="R2" t="s">
        <v>565</v>
      </c>
      <c r="S2" t="s">
        <v>571</v>
      </c>
      <c r="V2" t="s">
        <v>564</v>
      </c>
      <c r="W2" t="s">
        <v>565</v>
      </c>
      <c r="X2" t="s">
        <v>571</v>
      </c>
      <c r="AA2" t="s">
        <v>564</v>
      </c>
      <c r="AB2" t="s">
        <v>565</v>
      </c>
      <c r="AC2" t="s">
        <v>571</v>
      </c>
      <c r="AF2" t="s">
        <v>564</v>
      </c>
      <c r="AG2" t="s">
        <v>565</v>
      </c>
      <c r="AH2" t="s">
        <v>571</v>
      </c>
      <c r="AK2" t="s">
        <v>564</v>
      </c>
      <c r="AL2" t="s">
        <v>565</v>
      </c>
      <c r="AM2" t="s">
        <v>571</v>
      </c>
      <c r="AP2" t="s">
        <v>564</v>
      </c>
      <c r="AQ2" t="s">
        <v>565</v>
      </c>
      <c r="AR2" t="s">
        <v>571</v>
      </c>
      <c r="AU2" t="s">
        <v>564</v>
      </c>
      <c r="AV2" t="s">
        <v>565</v>
      </c>
      <c r="AW2" t="s">
        <v>571</v>
      </c>
      <c r="AZ2" t="s">
        <v>564</v>
      </c>
      <c r="BA2" t="s">
        <v>565</v>
      </c>
      <c r="BB2" t="s">
        <v>571</v>
      </c>
      <c r="BE2" t="s">
        <v>564</v>
      </c>
      <c r="BF2" t="s">
        <v>565</v>
      </c>
      <c r="BG2" t="s">
        <v>571</v>
      </c>
      <c r="BJ2" t="s">
        <v>564</v>
      </c>
      <c r="BK2" t="s">
        <v>565</v>
      </c>
      <c r="BL2" t="s">
        <v>571</v>
      </c>
      <c r="BO2" t="s">
        <v>564</v>
      </c>
      <c r="BP2" t="s">
        <v>565</v>
      </c>
      <c r="BQ2" t="s">
        <v>571</v>
      </c>
      <c r="BT2" t="s">
        <v>564</v>
      </c>
      <c r="BU2" t="s">
        <v>565</v>
      </c>
      <c r="BV2" t="s">
        <v>571</v>
      </c>
    </row>
    <row r="3" spans="1:74">
      <c r="A3">
        <v>2009</v>
      </c>
      <c r="B3" s="13">
        <v>0.01</v>
      </c>
      <c r="C3" s="13"/>
      <c r="D3" s="13">
        <f t="shared" ref="D3:D11" si="0">B3+C3</f>
        <v>0.01</v>
      </c>
      <c r="F3" s="3">
        <v>2009</v>
      </c>
      <c r="G3" s="13"/>
      <c r="H3" s="13"/>
      <c r="I3" s="13">
        <f t="shared" ref="I3:I11" si="1">G3+H3</f>
        <v>0</v>
      </c>
      <c r="J3" s="13"/>
      <c r="K3" s="3">
        <v>2009</v>
      </c>
      <c r="L3" s="13">
        <v>0.02</v>
      </c>
      <c r="M3" s="13"/>
      <c r="N3" s="13">
        <f t="shared" ref="N3:N11" si="2">L3+M3</f>
        <v>0.02</v>
      </c>
      <c r="P3" s="3">
        <v>2009</v>
      </c>
      <c r="Q3" s="13"/>
      <c r="R3" s="13"/>
      <c r="S3" s="13">
        <f t="shared" ref="S3:S11" si="3">Q3+R3</f>
        <v>0</v>
      </c>
      <c r="T3" s="13"/>
      <c r="U3" s="3">
        <v>2009</v>
      </c>
      <c r="V3" s="13"/>
      <c r="W3" s="13"/>
      <c r="X3" s="13">
        <f t="shared" ref="X3:X11" si="4">V3+W3</f>
        <v>0</v>
      </c>
      <c r="Z3" s="3">
        <v>2009</v>
      </c>
      <c r="AA3" s="13"/>
      <c r="AB3" s="13"/>
      <c r="AC3" s="13">
        <f t="shared" ref="AC3:AC11" si="5">AA3+AB3</f>
        <v>0</v>
      </c>
      <c r="AD3" s="13"/>
      <c r="AE3" s="3">
        <v>2009</v>
      </c>
      <c r="AF3" s="13"/>
      <c r="AG3" s="13"/>
      <c r="AH3" s="13">
        <f t="shared" ref="AH3:AH11" si="6">AF3+AG3</f>
        <v>0</v>
      </c>
      <c r="AJ3" s="3">
        <v>2009</v>
      </c>
      <c r="AK3" s="13"/>
      <c r="AL3" s="13"/>
      <c r="AM3" s="13">
        <f t="shared" ref="AM3:AM11" si="7">AK3+AL3</f>
        <v>0</v>
      </c>
      <c r="AN3" s="13"/>
      <c r="AO3" s="3">
        <v>2009</v>
      </c>
      <c r="AP3" s="13"/>
      <c r="AQ3" s="13"/>
      <c r="AR3" s="13">
        <f t="shared" ref="AR3:AR11" si="8">AP3+AQ3</f>
        <v>0</v>
      </c>
      <c r="AS3" s="13"/>
      <c r="AT3" s="3">
        <v>2009</v>
      </c>
      <c r="AU3" s="13"/>
      <c r="AV3" s="13"/>
      <c r="AW3" s="13">
        <f t="shared" ref="AW3:AW11" si="9">AU3+AV3</f>
        <v>0</v>
      </c>
      <c r="AY3" s="3">
        <v>2009</v>
      </c>
      <c r="AZ3" s="13"/>
      <c r="BA3" s="13"/>
      <c r="BB3" s="13">
        <f t="shared" ref="BB3:BB11" si="10">AZ3+BA3</f>
        <v>0</v>
      </c>
      <c r="BC3" s="13"/>
      <c r="BD3" s="3">
        <v>2009</v>
      </c>
      <c r="BE3" s="13"/>
      <c r="BF3" s="13"/>
      <c r="BG3" s="13">
        <f t="shared" ref="BG3:BG11" si="11">BE3+BF3</f>
        <v>0</v>
      </c>
      <c r="BH3" s="13"/>
      <c r="BI3" s="3">
        <v>2009</v>
      </c>
      <c r="BJ3" s="13"/>
      <c r="BK3" s="13"/>
      <c r="BL3" s="13">
        <f t="shared" ref="BL3:BL11" si="12">BJ3+BK3</f>
        <v>0</v>
      </c>
      <c r="BN3" s="3">
        <v>2009</v>
      </c>
      <c r="BO3" s="13">
        <v>0.01</v>
      </c>
      <c r="BP3" s="13"/>
      <c r="BQ3" s="13">
        <f t="shared" ref="BQ3:BQ11" si="13">BO3+BP3</f>
        <v>0.01</v>
      </c>
      <c r="BR3" s="13"/>
      <c r="BS3" s="3">
        <v>2009</v>
      </c>
      <c r="BT3" s="13">
        <v>0.01</v>
      </c>
      <c r="BU3" s="13"/>
      <c r="BV3" s="13">
        <f t="shared" ref="BV3:BV11" si="14">BT3+BU3</f>
        <v>0.01</v>
      </c>
    </row>
    <row r="4" spans="1:74">
      <c r="A4">
        <v>2010</v>
      </c>
      <c r="B4" s="13">
        <v>0.03</v>
      </c>
      <c r="C4" s="13"/>
      <c r="D4" s="13">
        <f t="shared" si="0"/>
        <v>0.03</v>
      </c>
      <c r="F4" s="3">
        <v>2010</v>
      </c>
      <c r="G4" s="13">
        <v>0.01</v>
      </c>
      <c r="H4" s="13"/>
      <c r="I4" s="13">
        <f t="shared" si="1"/>
        <v>0.01</v>
      </c>
      <c r="J4" s="13"/>
      <c r="K4" s="3">
        <v>2010</v>
      </c>
      <c r="L4" s="13">
        <v>0.01</v>
      </c>
      <c r="M4" s="13"/>
      <c r="N4" s="13">
        <f t="shared" si="2"/>
        <v>0.01</v>
      </c>
      <c r="P4" s="3">
        <v>2010</v>
      </c>
      <c r="Q4" s="13"/>
      <c r="R4" s="13"/>
      <c r="S4" s="13">
        <f t="shared" si="3"/>
        <v>0</v>
      </c>
      <c r="T4" s="13"/>
      <c r="U4" s="3">
        <v>2010</v>
      </c>
      <c r="V4" s="13">
        <v>0.01</v>
      </c>
      <c r="W4" s="13"/>
      <c r="X4" s="13">
        <f t="shared" si="4"/>
        <v>0.01</v>
      </c>
      <c r="Z4" s="3">
        <v>2010</v>
      </c>
      <c r="AA4" s="13"/>
      <c r="AB4" s="13"/>
      <c r="AC4" s="13">
        <f t="shared" si="5"/>
        <v>0</v>
      </c>
      <c r="AD4" s="13"/>
      <c r="AE4" s="3">
        <v>2010</v>
      </c>
      <c r="AF4" s="13"/>
      <c r="AG4" s="13"/>
      <c r="AH4" s="13">
        <f t="shared" si="6"/>
        <v>0</v>
      </c>
      <c r="AJ4" s="3">
        <v>2010</v>
      </c>
      <c r="AK4" s="13">
        <v>0.02</v>
      </c>
      <c r="AL4" s="13"/>
      <c r="AM4" s="13">
        <f t="shared" si="7"/>
        <v>0.02</v>
      </c>
      <c r="AN4" s="13"/>
      <c r="AO4" s="3">
        <v>2010</v>
      </c>
      <c r="AP4" s="13">
        <v>3.0000000000000001E-3</v>
      </c>
      <c r="AQ4" s="13"/>
      <c r="AR4" s="13">
        <f t="shared" si="8"/>
        <v>3.0000000000000001E-3</v>
      </c>
      <c r="AS4" s="13"/>
      <c r="AT4" s="3">
        <v>2010</v>
      </c>
      <c r="AU4" s="13"/>
      <c r="AV4" s="13"/>
      <c r="AW4" s="13">
        <f t="shared" si="9"/>
        <v>0</v>
      </c>
      <c r="AY4" s="3">
        <v>2010</v>
      </c>
      <c r="AZ4" s="13">
        <v>0.31</v>
      </c>
      <c r="BA4" s="13"/>
      <c r="BB4" s="13">
        <f t="shared" si="10"/>
        <v>0.31</v>
      </c>
      <c r="BC4" s="13"/>
      <c r="BD4" s="3">
        <v>2010</v>
      </c>
      <c r="BE4" s="13">
        <v>0.01</v>
      </c>
      <c r="BF4" s="13"/>
      <c r="BG4" s="13">
        <f t="shared" si="11"/>
        <v>0.01</v>
      </c>
      <c r="BH4" s="13"/>
      <c r="BI4" s="3">
        <v>2010</v>
      </c>
      <c r="BJ4" s="13">
        <v>0.02</v>
      </c>
      <c r="BK4" s="13"/>
      <c r="BL4" s="13">
        <f t="shared" si="12"/>
        <v>0.02</v>
      </c>
      <c r="BN4" s="3">
        <v>2010</v>
      </c>
      <c r="BO4" s="13">
        <v>0.04</v>
      </c>
      <c r="BP4" s="13"/>
      <c r="BQ4" s="13">
        <f t="shared" si="13"/>
        <v>0.04</v>
      </c>
      <c r="BR4" s="13"/>
      <c r="BS4" s="3">
        <v>2010</v>
      </c>
      <c r="BT4" s="20">
        <f>(BT3+BT5)/2</f>
        <v>3.4999999999999996E-2</v>
      </c>
      <c r="BU4" s="13"/>
      <c r="BV4" s="13">
        <f t="shared" si="14"/>
        <v>3.4999999999999996E-2</v>
      </c>
    </row>
    <row r="5" spans="1:74">
      <c r="A5">
        <v>2011</v>
      </c>
      <c r="B5" s="13">
        <v>0.18</v>
      </c>
      <c r="C5" s="13"/>
      <c r="D5" s="13">
        <f t="shared" si="0"/>
        <v>0.18</v>
      </c>
      <c r="F5" s="3">
        <v>2011</v>
      </c>
      <c r="G5" s="13">
        <v>0.05</v>
      </c>
      <c r="H5" s="13"/>
      <c r="I5" s="13">
        <f t="shared" si="1"/>
        <v>0.05</v>
      </c>
      <c r="J5" s="13"/>
      <c r="K5" s="3">
        <v>2011</v>
      </c>
      <c r="L5" s="13">
        <v>0.24</v>
      </c>
      <c r="M5" s="13"/>
      <c r="N5" s="13">
        <f t="shared" si="2"/>
        <v>0.24</v>
      </c>
      <c r="P5" s="3">
        <v>2011</v>
      </c>
      <c r="Q5" s="13">
        <v>0.02</v>
      </c>
      <c r="R5" s="13"/>
      <c r="S5" s="13">
        <f t="shared" si="3"/>
        <v>0.02</v>
      </c>
      <c r="T5" s="13"/>
      <c r="U5" s="3">
        <v>2011</v>
      </c>
      <c r="V5" s="13">
        <v>0.12</v>
      </c>
      <c r="W5" s="13"/>
      <c r="X5" s="13">
        <f t="shared" si="4"/>
        <v>0.12</v>
      </c>
      <c r="Z5" s="3">
        <v>2011</v>
      </c>
      <c r="AA5" s="13">
        <v>0.06</v>
      </c>
      <c r="AB5" s="13">
        <v>0.01</v>
      </c>
      <c r="AC5" s="13">
        <f t="shared" si="5"/>
        <v>6.9999999999999993E-2</v>
      </c>
      <c r="AD5" s="13"/>
      <c r="AE5" s="3">
        <v>2011</v>
      </c>
      <c r="AF5" s="13">
        <v>0.02</v>
      </c>
      <c r="AG5" s="13"/>
      <c r="AH5" s="13">
        <f t="shared" si="6"/>
        <v>0.02</v>
      </c>
      <c r="AJ5" s="3">
        <v>2011</v>
      </c>
      <c r="AK5" s="13">
        <v>0.05</v>
      </c>
      <c r="AL5" s="13"/>
      <c r="AM5" s="13">
        <f t="shared" si="7"/>
        <v>0.05</v>
      </c>
      <c r="AN5" s="13"/>
      <c r="AO5" s="3">
        <v>2011</v>
      </c>
      <c r="AP5" s="13">
        <v>0.01</v>
      </c>
      <c r="AQ5" s="13"/>
      <c r="AR5" s="13">
        <f t="shared" si="8"/>
        <v>0.01</v>
      </c>
      <c r="AS5" s="13"/>
      <c r="AT5" s="3">
        <v>2011</v>
      </c>
      <c r="AU5" s="13">
        <v>0.15</v>
      </c>
      <c r="AV5" s="13"/>
      <c r="AW5" s="13">
        <f t="shared" si="9"/>
        <v>0.15</v>
      </c>
      <c r="AY5" s="3">
        <v>2011</v>
      </c>
      <c r="AZ5" s="13">
        <v>1.45</v>
      </c>
      <c r="BA5" s="13"/>
      <c r="BB5" s="13">
        <f t="shared" si="10"/>
        <v>1.45</v>
      </c>
      <c r="BC5" s="13"/>
      <c r="BD5" s="3">
        <v>2011</v>
      </c>
      <c r="BE5" s="13">
        <v>7.0000000000000007E-2</v>
      </c>
      <c r="BF5" s="13"/>
      <c r="BG5" s="13">
        <f t="shared" si="11"/>
        <v>7.0000000000000007E-2</v>
      </c>
      <c r="BH5" s="13"/>
      <c r="BI5" s="3">
        <v>2011</v>
      </c>
      <c r="BJ5" s="13">
        <v>0.06</v>
      </c>
      <c r="BK5" s="13"/>
      <c r="BL5" s="13">
        <f t="shared" si="12"/>
        <v>0.06</v>
      </c>
      <c r="BN5" s="3">
        <v>2011</v>
      </c>
      <c r="BO5" s="13">
        <v>0.13</v>
      </c>
      <c r="BP5" s="13">
        <v>0.01</v>
      </c>
      <c r="BQ5" s="13">
        <f t="shared" si="13"/>
        <v>0.14000000000000001</v>
      </c>
      <c r="BR5" s="13"/>
      <c r="BS5" s="3">
        <v>2011</v>
      </c>
      <c r="BT5" s="13">
        <v>0.06</v>
      </c>
      <c r="BU5" s="13"/>
      <c r="BV5" s="13">
        <f t="shared" si="14"/>
        <v>0.06</v>
      </c>
    </row>
    <row r="6" spans="1:74">
      <c r="A6">
        <v>2012</v>
      </c>
      <c r="B6" s="13">
        <v>0.13</v>
      </c>
      <c r="C6" s="13">
        <v>0.08</v>
      </c>
      <c r="D6" s="13">
        <f t="shared" si="0"/>
        <v>0.21000000000000002</v>
      </c>
      <c r="F6" s="3">
        <v>2012</v>
      </c>
      <c r="G6" s="13">
        <v>0.12</v>
      </c>
      <c r="H6" s="13">
        <v>7.0000000000000007E-2</v>
      </c>
      <c r="I6" s="13">
        <f t="shared" si="1"/>
        <v>0.19</v>
      </c>
      <c r="J6" s="13"/>
      <c r="K6" s="3">
        <v>2012</v>
      </c>
      <c r="L6" s="13">
        <v>0.28000000000000003</v>
      </c>
      <c r="M6" s="13">
        <v>0.02</v>
      </c>
      <c r="N6" s="13">
        <f t="shared" si="2"/>
        <v>0.30000000000000004</v>
      </c>
      <c r="P6" s="3">
        <v>2012</v>
      </c>
      <c r="Q6" s="13">
        <v>0.05</v>
      </c>
      <c r="R6" s="13">
        <v>0.12</v>
      </c>
      <c r="S6" s="13">
        <f t="shared" si="3"/>
        <v>0.16999999999999998</v>
      </c>
      <c r="T6" s="13"/>
      <c r="U6" s="3">
        <v>2012</v>
      </c>
      <c r="V6" s="13">
        <v>0.3</v>
      </c>
      <c r="W6" s="13">
        <v>0.04</v>
      </c>
      <c r="X6" s="13">
        <f t="shared" si="4"/>
        <v>0.33999999999999997</v>
      </c>
      <c r="Z6" s="3">
        <v>2012</v>
      </c>
      <c r="AA6" s="13">
        <v>0.08</v>
      </c>
      <c r="AB6" s="13">
        <v>0.04</v>
      </c>
      <c r="AC6" s="13">
        <f t="shared" si="5"/>
        <v>0.12</v>
      </c>
      <c r="AD6" s="13"/>
      <c r="AE6" s="3">
        <v>2012</v>
      </c>
      <c r="AF6" s="13">
        <v>0.02</v>
      </c>
      <c r="AG6" s="13">
        <v>0.03</v>
      </c>
      <c r="AH6" s="13">
        <f t="shared" si="6"/>
        <v>0.05</v>
      </c>
      <c r="AJ6" s="3">
        <v>2012</v>
      </c>
      <c r="AK6" s="13">
        <v>0.17</v>
      </c>
      <c r="AL6" s="13"/>
      <c r="AM6" s="13">
        <f t="shared" si="7"/>
        <v>0.17</v>
      </c>
      <c r="AN6" s="13"/>
      <c r="AO6" s="3">
        <v>2012</v>
      </c>
      <c r="AP6" s="13">
        <v>0.04</v>
      </c>
      <c r="AQ6" s="13">
        <v>0.01</v>
      </c>
      <c r="AR6" s="13">
        <f t="shared" si="8"/>
        <v>0.05</v>
      </c>
      <c r="AS6" s="13"/>
      <c r="AT6" s="3">
        <v>2012</v>
      </c>
      <c r="AU6" s="13">
        <v>0.16</v>
      </c>
      <c r="AV6" s="13">
        <v>0.86</v>
      </c>
      <c r="AW6" s="13">
        <f t="shared" si="9"/>
        <v>1.02</v>
      </c>
      <c r="AY6" s="3">
        <v>2012</v>
      </c>
      <c r="AZ6" s="13">
        <v>3.1</v>
      </c>
      <c r="BA6" s="13">
        <v>0.25</v>
      </c>
      <c r="BB6" s="13">
        <f t="shared" si="10"/>
        <v>3.35</v>
      </c>
      <c r="BC6" s="13"/>
      <c r="BD6" s="3">
        <v>2012</v>
      </c>
      <c r="BE6" s="13">
        <v>0.06</v>
      </c>
      <c r="BF6" s="13">
        <v>0.02</v>
      </c>
      <c r="BG6" s="13">
        <f t="shared" si="11"/>
        <v>0.08</v>
      </c>
      <c r="BH6" s="13"/>
      <c r="BI6" s="3">
        <v>2012</v>
      </c>
      <c r="BJ6" s="13">
        <v>0.1</v>
      </c>
      <c r="BK6" s="13">
        <v>0.23</v>
      </c>
      <c r="BL6" s="13">
        <f t="shared" si="12"/>
        <v>0.33</v>
      </c>
      <c r="BN6" s="3">
        <v>2012</v>
      </c>
      <c r="BO6" s="13">
        <v>0.14000000000000001</v>
      </c>
      <c r="BP6" s="13">
        <v>0.12</v>
      </c>
      <c r="BQ6" s="13">
        <f t="shared" si="13"/>
        <v>0.26</v>
      </c>
      <c r="BR6" s="13"/>
      <c r="BS6" s="3">
        <v>2012</v>
      </c>
      <c r="BT6" s="13">
        <v>7.0000000000000007E-2</v>
      </c>
      <c r="BU6" s="13">
        <v>0.05</v>
      </c>
      <c r="BV6" s="13">
        <f t="shared" si="14"/>
        <v>0.12000000000000001</v>
      </c>
    </row>
    <row r="7" spans="1:74">
      <c r="A7">
        <v>2013</v>
      </c>
      <c r="B7" s="13">
        <v>0.2</v>
      </c>
      <c r="C7" s="13">
        <v>0.06</v>
      </c>
      <c r="D7" s="13">
        <f t="shared" si="0"/>
        <v>0.26</v>
      </c>
      <c r="F7" s="3">
        <v>2013</v>
      </c>
      <c r="G7" s="13">
        <v>0.1</v>
      </c>
      <c r="H7" s="13">
        <v>7.0000000000000007E-2</v>
      </c>
      <c r="I7" s="13">
        <f t="shared" si="1"/>
        <v>0.17</v>
      </c>
      <c r="J7" s="13"/>
      <c r="K7" s="3">
        <v>2013</v>
      </c>
      <c r="L7" s="13">
        <v>0.27</v>
      </c>
      <c r="M7" s="13">
        <v>0.01</v>
      </c>
      <c r="N7" s="13">
        <f t="shared" si="2"/>
        <v>0.28000000000000003</v>
      </c>
      <c r="P7" s="3">
        <v>2013</v>
      </c>
      <c r="Q7" s="13">
        <v>0.05</v>
      </c>
      <c r="R7" s="13">
        <v>0.16</v>
      </c>
      <c r="S7" s="13">
        <f t="shared" si="3"/>
        <v>0.21000000000000002</v>
      </c>
      <c r="T7" s="13"/>
      <c r="U7" s="3">
        <v>2013</v>
      </c>
      <c r="V7" s="13">
        <v>0.49</v>
      </c>
      <c r="W7" s="13">
        <v>0.05</v>
      </c>
      <c r="X7" s="13">
        <f t="shared" si="4"/>
        <v>0.54</v>
      </c>
      <c r="Z7" s="3">
        <v>2013</v>
      </c>
      <c r="AA7" s="13">
        <v>0.19</v>
      </c>
      <c r="AB7" s="13">
        <v>0.06</v>
      </c>
      <c r="AC7" s="13">
        <f t="shared" si="5"/>
        <v>0.25</v>
      </c>
      <c r="AD7" s="13"/>
      <c r="AE7" s="3">
        <v>2013</v>
      </c>
      <c r="AF7" s="13">
        <v>0.02</v>
      </c>
      <c r="AG7" s="13">
        <v>0.02</v>
      </c>
      <c r="AH7" s="13">
        <f t="shared" si="6"/>
        <v>0.04</v>
      </c>
      <c r="AJ7" s="3">
        <v>2013</v>
      </c>
      <c r="AK7" s="13">
        <v>0.06</v>
      </c>
      <c r="AL7" s="13"/>
      <c r="AM7" s="13">
        <f t="shared" si="7"/>
        <v>0.06</v>
      </c>
      <c r="AN7" s="13"/>
      <c r="AO7" s="3">
        <v>2013</v>
      </c>
      <c r="AP7" s="13">
        <v>0.06</v>
      </c>
      <c r="AQ7" s="13">
        <v>0.02</v>
      </c>
      <c r="AR7" s="13">
        <f t="shared" si="8"/>
        <v>0.08</v>
      </c>
      <c r="AS7" s="13"/>
      <c r="AT7" s="3">
        <v>2013</v>
      </c>
      <c r="AU7" s="13">
        <v>0.59</v>
      </c>
      <c r="AV7" s="13">
        <v>4.84</v>
      </c>
      <c r="AW7" s="13">
        <f t="shared" si="9"/>
        <v>5.43</v>
      </c>
      <c r="AY7" s="3">
        <v>2013</v>
      </c>
      <c r="AZ7" s="13">
        <v>5.79</v>
      </c>
      <c r="BA7" s="13">
        <v>0.23</v>
      </c>
      <c r="BB7" s="13">
        <f t="shared" si="10"/>
        <v>6.0200000000000005</v>
      </c>
      <c r="BC7" s="13"/>
      <c r="BD7" s="3">
        <v>2013</v>
      </c>
      <c r="BE7" s="13">
        <v>0.13</v>
      </c>
      <c r="BF7" s="13">
        <v>0.01</v>
      </c>
      <c r="BG7" s="13">
        <f t="shared" si="11"/>
        <v>0.14000000000000001</v>
      </c>
      <c r="BH7" s="13"/>
      <c r="BI7" s="3">
        <v>2013</v>
      </c>
      <c r="BJ7" s="13">
        <v>0.16</v>
      </c>
      <c r="BK7" s="13">
        <v>0.41</v>
      </c>
      <c r="BL7" s="13">
        <f t="shared" si="12"/>
        <v>0.56999999999999995</v>
      </c>
      <c r="BN7" s="3">
        <v>2013</v>
      </c>
      <c r="BO7" s="13">
        <v>0.37</v>
      </c>
      <c r="BP7" s="13">
        <v>7.0000000000000007E-2</v>
      </c>
      <c r="BQ7" s="13">
        <f t="shared" si="13"/>
        <v>0.44</v>
      </c>
      <c r="BR7" s="13"/>
      <c r="BS7" s="3">
        <v>2013</v>
      </c>
      <c r="BT7" s="13">
        <v>0.11</v>
      </c>
      <c r="BU7" s="13">
        <v>0.04</v>
      </c>
      <c r="BV7" s="13">
        <f t="shared" si="14"/>
        <v>0.15</v>
      </c>
    </row>
    <row r="8" spans="1:74">
      <c r="A8">
        <v>2014</v>
      </c>
      <c r="B8" s="13">
        <v>0.42</v>
      </c>
      <c r="C8" s="13">
        <v>0.14000000000000001</v>
      </c>
      <c r="D8" s="13">
        <f t="shared" si="0"/>
        <v>0.56000000000000005</v>
      </c>
      <c r="F8" s="3">
        <v>2014</v>
      </c>
      <c r="G8" s="13">
        <v>0.24</v>
      </c>
      <c r="H8" s="13">
        <v>0.18</v>
      </c>
      <c r="I8" s="13">
        <f t="shared" si="1"/>
        <v>0.42</v>
      </c>
      <c r="J8" s="13"/>
      <c r="K8" s="3">
        <v>2014</v>
      </c>
      <c r="L8" s="13">
        <v>0.81</v>
      </c>
      <c r="M8" s="13">
        <v>0.05</v>
      </c>
      <c r="N8" s="13">
        <f t="shared" si="2"/>
        <v>0.8600000000000001</v>
      </c>
      <c r="P8" s="3">
        <v>2014</v>
      </c>
      <c r="Q8" s="13">
        <v>0.17</v>
      </c>
      <c r="R8" s="13">
        <v>0.27</v>
      </c>
      <c r="S8" s="13">
        <f t="shared" si="3"/>
        <v>0.44000000000000006</v>
      </c>
      <c r="T8" s="13"/>
      <c r="U8" s="3">
        <v>2014</v>
      </c>
      <c r="V8" s="13">
        <v>0.59</v>
      </c>
      <c r="W8" s="13">
        <v>0.12</v>
      </c>
      <c r="X8" s="13">
        <f t="shared" si="4"/>
        <v>0.71</v>
      </c>
      <c r="Z8" s="3">
        <v>2014</v>
      </c>
      <c r="AA8" s="13">
        <v>0.28000000000000003</v>
      </c>
      <c r="AB8" s="13">
        <v>0.14000000000000001</v>
      </c>
      <c r="AC8" s="13">
        <f t="shared" si="5"/>
        <v>0.42000000000000004</v>
      </c>
      <c r="AD8" s="13"/>
      <c r="AE8" s="3">
        <v>2014</v>
      </c>
      <c r="AF8" s="13">
        <v>0.04</v>
      </c>
      <c r="AG8" s="13">
        <v>0.02</v>
      </c>
      <c r="AH8" s="13">
        <f t="shared" si="6"/>
        <v>0.06</v>
      </c>
      <c r="AJ8" s="3">
        <v>2014</v>
      </c>
      <c r="AK8" s="13">
        <v>0.23</v>
      </c>
      <c r="AL8" s="13">
        <v>0.04</v>
      </c>
      <c r="AM8" s="13">
        <f t="shared" si="7"/>
        <v>0.27</v>
      </c>
      <c r="AN8" s="13"/>
      <c r="AO8" s="3">
        <v>2014</v>
      </c>
      <c r="AP8" s="13">
        <v>0.08</v>
      </c>
      <c r="AQ8" s="13">
        <v>0.03</v>
      </c>
      <c r="AR8" s="13">
        <f t="shared" si="8"/>
        <v>0.11</v>
      </c>
      <c r="AS8" s="13"/>
      <c r="AT8" s="3">
        <v>2014</v>
      </c>
      <c r="AU8" s="13">
        <v>0.74</v>
      </c>
      <c r="AV8" s="13">
        <v>3.21</v>
      </c>
      <c r="AW8" s="13">
        <f t="shared" si="9"/>
        <v>3.95</v>
      </c>
      <c r="AY8" s="3">
        <v>2014</v>
      </c>
      <c r="AZ8" s="13">
        <v>12.55</v>
      </c>
      <c r="BA8" s="13">
        <v>1.17</v>
      </c>
      <c r="BB8" s="13">
        <f t="shared" si="10"/>
        <v>13.72</v>
      </c>
      <c r="BC8" s="13"/>
      <c r="BD8" s="3">
        <v>2014</v>
      </c>
      <c r="BE8" s="13">
        <v>0.12</v>
      </c>
      <c r="BF8" s="13">
        <v>0.05</v>
      </c>
      <c r="BG8" s="13">
        <f t="shared" si="11"/>
        <v>0.16999999999999998</v>
      </c>
      <c r="BH8" s="13"/>
      <c r="BI8" s="3">
        <v>2014</v>
      </c>
      <c r="BJ8" s="13">
        <v>0.4</v>
      </c>
      <c r="BK8" s="13">
        <v>1.1399999999999999</v>
      </c>
      <c r="BL8" s="13">
        <f t="shared" si="12"/>
        <v>1.54</v>
      </c>
      <c r="BN8" s="3">
        <v>2014</v>
      </c>
      <c r="BO8" s="13">
        <v>0.43</v>
      </c>
      <c r="BP8" s="13">
        <v>0.28000000000000003</v>
      </c>
      <c r="BQ8" s="13">
        <f t="shared" si="13"/>
        <v>0.71</v>
      </c>
      <c r="BR8" s="13"/>
      <c r="BS8" s="3">
        <v>2014</v>
      </c>
      <c r="BT8" s="13">
        <v>0.27</v>
      </c>
      <c r="BU8" s="13">
        <v>0.32</v>
      </c>
      <c r="BV8" s="13">
        <f t="shared" si="14"/>
        <v>0.59000000000000008</v>
      </c>
    </row>
    <row r="9" spans="1:74">
      <c r="A9">
        <v>2015</v>
      </c>
      <c r="B9" s="13">
        <v>0.54</v>
      </c>
      <c r="C9" s="13">
        <v>0.36</v>
      </c>
      <c r="D9" s="13">
        <f t="shared" si="0"/>
        <v>0.9</v>
      </c>
      <c r="F9" s="3">
        <v>2015</v>
      </c>
      <c r="G9" s="13">
        <v>0.27</v>
      </c>
      <c r="H9" s="13">
        <v>0.49</v>
      </c>
      <c r="I9" s="13">
        <f t="shared" si="1"/>
        <v>0.76</v>
      </c>
      <c r="J9" s="13"/>
      <c r="K9" s="3">
        <v>2015</v>
      </c>
      <c r="L9" s="13">
        <v>2.1800000000000002</v>
      </c>
      <c r="M9" s="13">
        <v>0.21</v>
      </c>
      <c r="N9" s="13">
        <f t="shared" si="2"/>
        <v>2.39</v>
      </c>
      <c r="P9" s="3">
        <v>2015</v>
      </c>
      <c r="Q9" s="13">
        <v>0.22</v>
      </c>
      <c r="R9" s="13">
        <v>0.38</v>
      </c>
      <c r="S9" s="13">
        <f t="shared" si="3"/>
        <v>0.6</v>
      </c>
      <c r="T9" s="13"/>
      <c r="U9" s="3">
        <v>2015</v>
      </c>
      <c r="V9" s="13">
        <v>0.9</v>
      </c>
      <c r="W9" s="13">
        <v>0.28999999999999998</v>
      </c>
      <c r="X9" s="13">
        <f t="shared" si="4"/>
        <v>1.19</v>
      </c>
      <c r="Z9" s="3">
        <v>2015</v>
      </c>
      <c r="AA9" s="13">
        <v>0.38</v>
      </c>
      <c r="AB9" s="13">
        <v>0.35</v>
      </c>
      <c r="AC9" s="13">
        <f t="shared" si="5"/>
        <v>0.73</v>
      </c>
      <c r="AD9" s="13"/>
      <c r="AE9" s="3">
        <v>2015</v>
      </c>
      <c r="AF9" s="13">
        <v>0.22</v>
      </c>
      <c r="AG9" s="13">
        <v>0.08</v>
      </c>
      <c r="AH9" s="13">
        <f t="shared" si="6"/>
        <v>0.3</v>
      </c>
      <c r="AJ9" s="3">
        <v>2015</v>
      </c>
      <c r="AK9" s="13">
        <v>0.37</v>
      </c>
      <c r="AL9" s="13">
        <v>0.08</v>
      </c>
      <c r="AM9" s="13">
        <f t="shared" si="7"/>
        <v>0.45</v>
      </c>
      <c r="AN9" s="13"/>
      <c r="AO9" s="3">
        <v>2015</v>
      </c>
      <c r="AP9" s="13">
        <v>0.09</v>
      </c>
      <c r="AQ9" s="13">
        <v>0.06</v>
      </c>
      <c r="AR9" s="13">
        <f t="shared" si="8"/>
        <v>0.15</v>
      </c>
      <c r="AS9" s="13"/>
      <c r="AT9" s="3">
        <v>2015</v>
      </c>
      <c r="AU9" s="13">
        <v>0.71</v>
      </c>
      <c r="AV9" s="13">
        <v>9.19</v>
      </c>
      <c r="AW9" s="13">
        <f t="shared" si="9"/>
        <v>9.8999999999999986</v>
      </c>
      <c r="AY9" s="3">
        <v>2015</v>
      </c>
      <c r="AZ9" s="13">
        <v>17.12</v>
      </c>
      <c r="BA9" s="13">
        <v>5.19</v>
      </c>
      <c r="BB9" s="13">
        <f t="shared" si="10"/>
        <v>22.310000000000002</v>
      </c>
      <c r="BC9" s="13"/>
      <c r="BD9" s="3">
        <v>2015</v>
      </c>
      <c r="BE9" s="13">
        <v>0.14000000000000001</v>
      </c>
      <c r="BF9" s="13">
        <v>0.08</v>
      </c>
      <c r="BG9" s="13">
        <f t="shared" si="11"/>
        <v>0.22000000000000003</v>
      </c>
      <c r="BH9" s="13"/>
      <c r="BI9" s="3">
        <v>2015</v>
      </c>
      <c r="BJ9" s="13">
        <v>0.86</v>
      </c>
      <c r="BK9" s="13">
        <v>1.66</v>
      </c>
      <c r="BL9" s="13">
        <f t="shared" si="12"/>
        <v>2.52</v>
      </c>
      <c r="BN9" s="3">
        <v>2015</v>
      </c>
      <c r="BO9" s="13">
        <v>0.95</v>
      </c>
      <c r="BP9" s="13">
        <v>0.79</v>
      </c>
      <c r="BQ9" s="13">
        <f t="shared" si="13"/>
        <v>1.74</v>
      </c>
      <c r="BR9" s="13"/>
      <c r="BS9" s="3">
        <v>2015</v>
      </c>
      <c r="BT9" s="13">
        <v>0.38</v>
      </c>
      <c r="BU9" s="13">
        <v>0.71</v>
      </c>
      <c r="BV9" s="13">
        <f t="shared" si="14"/>
        <v>1.0899999999999999</v>
      </c>
    </row>
    <row r="10" spans="1:74">
      <c r="A10">
        <v>2016</v>
      </c>
      <c r="B10" s="13">
        <v>1.1599999999999999</v>
      </c>
      <c r="C10" s="13">
        <v>0.38</v>
      </c>
      <c r="D10" s="13">
        <f t="shared" si="0"/>
        <v>1.54</v>
      </c>
      <c r="F10" s="3">
        <v>2016</v>
      </c>
      <c r="G10" s="13">
        <v>0.38</v>
      </c>
      <c r="H10" s="13">
        <v>1.36</v>
      </c>
      <c r="I10" s="13">
        <f t="shared" si="1"/>
        <v>1.7400000000000002</v>
      </c>
      <c r="J10" s="13"/>
      <c r="K10" s="3">
        <v>2016</v>
      </c>
      <c r="L10" s="13">
        <v>0.55000000000000004</v>
      </c>
      <c r="M10" s="13">
        <v>0.08</v>
      </c>
      <c r="N10" s="13">
        <f t="shared" si="2"/>
        <v>0.63</v>
      </c>
      <c r="P10" s="3">
        <v>2016</v>
      </c>
      <c r="Q10" s="13">
        <v>0.19</v>
      </c>
      <c r="R10" s="13">
        <v>1.01</v>
      </c>
      <c r="S10" s="13">
        <f t="shared" si="3"/>
        <v>1.2</v>
      </c>
      <c r="T10" s="13"/>
      <c r="U10" s="3">
        <v>2016</v>
      </c>
      <c r="V10" s="13">
        <v>1.08</v>
      </c>
      <c r="W10" s="13">
        <v>0.37</v>
      </c>
      <c r="X10" s="13">
        <f t="shared" si="4"/>
        <v>1.4500000000000002</v>
      </c>
      <c r="Z10" s="3">
        <v>2016</v>
      </c>
      <c r="AA10" s="13">
        <v>0.34</v>
      </c>
      <c r="AB10" s="13">
        <v>0.4</v>
      </c>
      <c r="AC10" s="13">
        <f t="shared" si="5"/>
        <v>0.74</v>
      </c>
      <c r="AD10" s="13"/>
      <c r="AE10" s="3">
        <v>2016</v>
      </c>
      <c r="AF10" s="13">
        <v>0.21</v>
      </c>
      <c r="AG10" s="13">
        <v>0.11</v>
      </c>
      <c r="AH10" s="13">
        <f t="shared" si="6"/>
        <v>0.32</v>
      </c>
      <c r="AJ10" s="3">
        <v>2016</v>
      </c>
      <c r="AK10" s="13">
        <v>0.27</v>
      </c>
      <c r="AL10" s="13">
        <v>0.19</v>
      </c>
      <c r="AM10" s="13">
        <f t="shared" si="7"/>
        <v>0.46</v>
      </c>
      <c r="AN10" s="13"/>
      <c r="AO10" s="3">
        <v>2016</v>
      </c>
      <c r="AP10" s="13">
        <v>0.08</v>
      </c>
      <c r="AQ10" s="13">
        <v>0.08</v>
      </c>
      <c r="AR10" s="13">
        <f t="shared" si="8"/>
        <v>0.16</v>
      </c>
      <c r="AS10" s="13"/>
      <c r="AT10" s="3">
        <v>2016</v>
      </c>
      <c r="AU10" s="13">
        <v>1.05</v>
      </c>
      <c r="AV10" s="13">
        <v>4.92</v>
      </c>
      <c r="AW10" s="13">
        <f t="shared" si="9"/>
        <v>5.97</v>
      </c>
      <c r="AY10" s="3">
        <v>2016</v>
      </c>
      <c r="AZ10" s="13">
        <v>15.67</v>
      </c>
      <c r="BA10" s="13">
        <v>13.37</v>
      </c>
      <c r="BB10" s="13">
        <f t="shared" si="10"/>
        <v>29.04</v>
      </c>
      <c r="BC10" s="13"/>
      <c r="BD10" s="3">
        <v>2016</v>
      </c>
      <c r="BE10" s="13">
        <v>0.18</v>
      </c>
      <c r="BF10" s="13">
        <v>0.14000000000000001</v>
      </c>
      <c r="BG10" s="13">
        <f t="shared" si="11"/>
        <v>0.32</v>
      </c>
      <c r="BH10" s="13"/>
      <c r="BI10" s="3">
        <v>2016</v>
      </c>
      <c r="BJ10" s="13">
        <v>0.79</v>
      </c>
      <c r="BK10" s="13">
        <v>2.81</v>
      </c>
      <c r="BL10" s="13">
        <f t="shared" si="12"/>
        <v>3.6</v>
      </c>
      <c r="BN10" s="3">
        <v>2016</v>
      </c>
      <c r="BO10" s="13">
        <v>1.03</v>
      </c>
      <c r="BP10" s="13">
        <v>0.68</v>
      </c>
      <c r="BQ10" s="13">
        <f t="shared" si="13"/>
        <v>1.71</v>
      </c>
      <c r="BR10" s="13"/>
      <c r="BS10" s="3">
        <v>2016</v>
      </c>
      <c r="BT10" s="13">
        <v>0.38</v>
      </c>
      <c r="BU10" s="13">
        <v>1.07</v>
      </c>
      <c r="BV10" s="13">
        <f t="shared" si="14"/>
        <v>1.4500000000000002</v>
      </c>
    </row>
    <row r="11" spans="1:74">
      <c r="A11">
        <v>2017</v>
      </c>
      <c r="B11" s="13">
        <v>1.54</v>
      </c>
      <c r="C11" s="13">
        <v>0.52</v>
      </c>
      <c r="D11" s="13">
        <f t="shared" si="0"/>
        <v>2.06</v>
      </c>
      <c r="F11" s="3">
        <v>2017</v>
      </c>
      <c r="G11" s="13">
        <v>0.49</v>
      </c>
      <c r="H11" s="13">
        <v>2.19</v>
      </c>
      <c r="I11" s="13">
        <f t="shared" si="1"/>
        <v>2.6799999999999997</v>
      </c>
      <c r="J11" s="13"/>
      <c r="K11" s="3">
        <v>2017</v>
      </c>
      <c r="L11" s="13">
        <v>0.32</v>
      </c>
      <c r="M11" s="13">
        <v>0.25</v>
      </c>
      <c r="N11" s="13">
        <f t="shared" si="2"/>
        <v>0.57000000000000006</v>
      </c>
      <c r="P11" s="3">
        <v>2017</v>
      </c>
      <c r="Q11" s="13">
        <v>0.42</v>
      </c>
      <c r="R11" s="13">
        <v>2.15</v>
      </c>
      <c r="S11" s="13">
        <f t="shared" si="3"/>
        <v>2.57</v>
      </c>
      <c r="T11" s="13"/>
      <c r="U11" s="3">
        <v>2017</v>
      </c>
      <c r="V11" s="13">
        <v>1.2</v>
      </c>
      <c r="W11" s="13">
        <v>0.55000000000000004</v>
      </c>
      <c r="X11" s="13">
        <f t="shared" si="4"/>
        <v>1.75</v>
      </c>
      <c r="Z11" s="3">
        <v>2017</v>
      </c>
      <c r="AA11" s="13">
        <v>0.71</v>
      </c>
      <c r="AB11" s="13">
        <v>0.85</v>
      </c>
      <c r="AC11" s="13">
        <f t="shared" si="5"/>
        <v>1.56</v>
      </c>
      <c r="AD11" s="13"/>
      <c r="AE11" s="3">
        <v>2017</v>
      </c>
      <c r="AF11" s="13">
        <v>0.65</v>
      </c>
      <c r="AG11" s="13">
        <v>0.33</v>
      </c>
      <c r="AH11" s="13">
        <f t="shared" si="6"/>
        <v>0.98</v>
      </c>
      <c r="AJ11" s="3">
        <v>2017</v>
      </c>
      <c r="AK11" s="13">
        <v>0.47</v>
      </c>
      <c r="AL11" s="13">
        <v>0.25</v>
      </c>
      <c r="AM11" s="13">
        <f t="shared" si="7"/>
        <v>0.72</v>
      </c>
      <c r="AN11" s="13"/>
      <c r="AO11" s="3">
        <v>2017</v>
      </c>
      <c r="AP11" s="13">
        <v>0.1</v>
      </c>
      <c r="AQ11" s="13">
        <v>0.15</v>
      </c>
      <c r="AR11" s="13">
        <f t="shared" si="8"/>
        <v>0.25</v>
      </c>
      <c r="AS11" s="13"/>
      <c r="AT11" s="3">
        <v>2017</v>
      </c>
      <c r="AU11" s="13">
        <v>1.92</v>
      </c>
      <c r="AV11" s="13">
        <v>0.28000000000000003</v>
      </c>
      <c r="AW11" s="13">
        <f t="shared" si="9"/>
        <v>2.2000000000000002</v>
      </c>
      <c r="AY11" s="3">
        <v>2017</v>
      </c>
      <c r="AZ11" s="13">
        <v>20.82</v>
      </c>
      <c r="BA11" s="13">
        <v>18.37</v>
      </c>
      <c r="BB11" s="13">
        <f t="shared" si="10"/>
        <v>39.19</v>
      </c>
      <c r="BC11" s="13"/>
      <c r="BD11" s="3">
        <v>2017</v>
      </c>
      <c r="BE11" s="13">
        <v>0.32</v>
      </c>
      <c r="BF11" s="13">
        <v>0.28999999999999998</v>
      </c>
      <c r="BG11" s="13">
        <f t="shared" si="11"/>
        <v>0.61</v>
      </c>
      <c r="BH11" s="13"/>
      <c r="BI11" s="3">
        <v>2017</v>
      </c>
      <c r="BJ11" s="13">
        <v>1.1100000000000001</v>
      </c>
      <c r="BK11" s="13">
        <v>4.17</v>
      </c>
      <c r="BL11" s="13">
        <f t="shared" si="12"/>
        <v>5.28</v>
      </c>
      <c r="BN11" s="3">
        <v>2017</v>
      </c>
      <c r="BO11" s="13">
        <v>1.49</v>
      </c>
      <c r="BP11" s="13">
        <v>1.06</v>
      </c>
      <c r="BQ11" s="13">
        <f t="shared" si="13"/>
        <v>2.5499999999999998</v>
      </c>
      <c r="BR11" s="13"/>
      <c r="BS11" s="3">
        <v>2017</v>
      </c>
      <c r="BT11" s="13">
        <v>0.54</v>
      </c>
      <c r="BU11" s="13">
        <v>1.36</v>
      </c>
      <c r="BV11" s="13">
        <f t="shared" si="14"/>
        <v>1.9000000000000001</v>
      </c>
    </row>
    <row r="13" spans="1:74">
      <c r="B13" t="s">
        <v>5</v>
      </c>
      <c r="C13" t="s">
        <v>324</v>
      </c>
      <c r="D13" t="s">
        <v>158</v>
      </c>
      <c r="G13" t="s">
        <v>5</v>
      </c>
      <c r="H13" t="s">
        <v>324</v>
      </c>
      <c r="I13" t="s">
        <v>158</v>
      </c>
      <c r="L13" t="s">
        <v>5</v>
      </c>
      <c r="M13" t="s">
        <v>324</v>
      </c>
      <c r="N13" t="s">
        <v>158</v>
      </c>
      <c r="Q13" t="s">
        <v>5</v>
      </c>
      <c r="R13" t="s">
        <v>324</v>
      </c>
      <c r="S13" t="s">
        <v>158</v>
      </c>
      <c r="V13" t="s">
        <v>5</v>
      </c>
      <c r="W13" t="s">
        <v>324</v>
      </c>
      <c r="X13" t="s">
        <v>158</v>
      </c>
      <c r="AA13" t="s">
        <v>5</v>
      </c>
      <c r="AB13" t="s">
        <v>324</v>
      </c>
      <c r="AC13" t="s">
        <v>158</v>
      </c>
      <c r="AF13" t="s">
        <v>5</v>
      </c>
      <c r="AG13" t="s">
        <v>324</v>
      </c>
      <c r="AH13" t="s">
        <v>158</v>
      </c>
      <c r="AK13" t="s">
        <v>5</v>
      </c>
      <c r="AL13" t="s">
        <v>324</v>
      </c>
      <c r="AM13" t="s">
        <v>158</v>
      </c>
      <c r="AP13" t="s">
        <v>5</v>
      </c>
      <c r="AQ13" t="s">
        <v>324</v>
      </c>
      <c r="AR13" t="s">
        <v>158</v>
      </c>
      <c r="AU13" t="s">
        <v>5</v>
      </c>
      <c r="AV13" t="s">
        <v>324</v>
      </c>
      <c r="AW13" t="s">
        <v>158</v>
      </c>
      <c r="AZ13" t="s">
        <v>5</v>
      </c>
      <c r="BA13" t="s">
        <v>324</v>
      </c>
      <c r="BB13" t="s">
        <v>158</v>
      </c>
      <c r="BE13" t="s">
        <v>5</v>
      </c>
      <c r="BF13" t="s">
        <v>324</v>
      </c>
      <c r="BG13" t="s">
        <v>158</v>
      </c>
      <c r="BJ13" t="s">
        <v>5</v>
      </c>
      <c r="BK13" t="s">
        <v>324</v>
      </c>
      <c r="BL13" t="s">
        <v>158</v>
      </c>
      <c r="BO13" t="s">
        <v>5</v>
      </c>
      <c r="BP13" t="s">
        <v>324</v>
      </c>
      <c r="BQ13" t="s">
        <v>158</v>
      </c>
      <c r="BT13" t="s">
        <v>5</v>
      </c>
      <c r="BU13" t="s">
        <v>324</v>
      </c>
      <c r="BV13" t="s">
        <v>158</v>
      </c>
    </row>
    <row r="14" spans="1:74">
      <c r="A14">
        <v>2009</v>
      </c>
      <c r="B14" s="3"/>
      <c r="C14" s="3"/>
      <c r="D14" s="3">
        <f t="shared" ref="D14:D22" si="15">B14+C14</f>
        <v>0</v>
      </c>
      <c r="F14">
        <v>2009</v>
      </c>
      <c r="G14" s="3"/>
      <c r="H14" s="3"/>
      <c r="I14" s="3">
        <f t="shared" ref="I14:I22" si="16">G14+H14</f>
        <v>0</v>
      </c>
      <c r="K14">
        <v>2009</v>
      </c>
      <c r="L14" s="3">
        <v>31</v>
      </c>
      <c r="M14" s="3"/>
      <c r="N14" s="3">
        <f t="shared" ref="N14:N22" si="17">L14+M14</f>
        <v>31</v>
      </c>
      <c r="P14">
        <v>2009</v>
      </c>
      <c r="Q14" s="3"/>
      <c r="R14" s="3"/>
      <c r="S14" s="3">
        <f t="shared" ref="S14:S22" si="18">Q14+R14</f>
        <v>0</v>
      </c>
      <c r="U14">
        <v>2009</v>
      </c>
      <c r="V14" s="3"/>
      <c r="W14" s="3"/>
      <c r="X14" s="3">
        <f t="shared" ref="X14:X22" si="19">V14+W14</f>
        <v>0</v>
      </c>
      <c r="Z14">
        <v>2009</v>
      </c>
      <c r="AA14" s="3"/>
      <c r="AB14" s="3"/>
      <c r="AC14" s="3">
        <f t="shared" ref="AC14:AC22" si="20">AA14+AB14</f>
        <v>0</v>
      </c>
      <c r="AD14" s="3"/>
      <c r="AE14">
        <v>2009</v>
      </c>
      <c r="AF14" s="3"/>
      <c r="AG14" s="3"/>
      <c r="AH14" s="3">
        <f t="shared" ref="AH14:AH22" si="21">AF14+AG14</f>
        <v>0</v>
      </c>
      <c r="AJ14">
        <v>2009</v>
      </c>
      <c r="AK14" s="3"/>
      <c r="AL14" s="3"/>
      <c r="AM14" s="3">
        <f t="shared" ref="AM14:AM22" si="22">AK14+AL14</f>
        <v>0</v>
      </c>
      <c r="AO14">
        <v>2009</v>
      </c>
      <c r="AP14" s="3"/>
      <c r="AQ14" s="3"/>
      <c r="AR14" s="3">
        <f t="shared" ref="AR14:AR22" si="23">AP14+AQ14</f>
        <v>0</v>
      </c>
      <c r="AT14">
        <v>2009</v>
      </c>
      <c r="AU14" s="3"/>
      <c r="AV14" s="3"/>
      <c r="AW14" s="3">
        <f t="shared" ref="AW14:AW22" si="24">AU14+AV14</f>
        <v>0</v>
      </c>
      <c r="AY14">
        <v>2009</v>
      </c>
      <c r="AZ14" s="3"/>
      <c r="BA14" s="3"/>
      <c r="BB14" s="3">
        <f t="shared" ref="BB14:BB22" si="25">AZ14+BA14</f>
        <v>0</v>
      </c>
      <c r="BD14">
        <v>2009</v>
      </c>
      <c r="BE14" s="3"/>
      <c r="BF14" s="3"/>
      <c r="BG14" s="3">
        <f t="shared" ref="BG14:BG22" si="26">BE14+BF14</f>
        <v>0</v>
      </c>
      <c r="BH14" s="3"/>
      <c r="BI14">
        <v>2009</v>
      </c>
      <c r="BJ14" s="3"/>
      <c r="BK14" s="3"/>
      <c r="BL14" s="3">
        <f t="shared" ref="BL14:BL22" si="27">BJ14+BK14</f>
        <v>0</v>
      </c>
      <c r="BN14">
        <v>2009</v>
      </c>
      <c r="BO14" s="3"/>
      <c r="BP14" s="3"/>
      <c r="BQ14" s="3">
        <f t="shared" ref="BQ14:BQ22" si="28">BO14+BP14</f>
        <v>0</v>
      </c>
      <c r="BS14">
        <v>2009</v>
      </c>
      <c r="BT14" s="3">
        <v>199.49900000000002</v>
      </c>
      <c r="BU14" s="3"/>
      <c r="BV14" s="3">
        <f t="shared" ref="BV14:BV22" si="29">BT14+BU14</f>
        <v>199.49900000000002</v>
      </c>
    </row>
    <row r="15" spans="1:74">
      <c r="A15">
        <v>2010</v>
      </c>
      <c r="B15" s="3">
        <v>112</v>
      </c>
      <c r="C15" s="3"/>
      <c r="D15" s="3">
        <f t="shared" si="15"/>
        <v>112</v>
      </c>
      <c r="F15">
        <v>2010</v>
      </c>
      <c r="G15" s="3"/>
      <c r="H15" s="3"/>
      <c r="I15" s="3">
        <f t="shared" si="16"/>
        <v>0</v>
      </c>
      <c r="K15">
        <v>2010</v>
      </c>
      <c r="L15" s="3">
        <v>15</v>
      </c>
      <c r="M15" s="3"/>
      <c r="N15" s="3">
        <f t="shared" si="17"/>
        <v>15</v>
      </c>
      <c r="P15">
        <v>2010</v>
      </c>
      <c r="Q15" s="3"/>
      <c r="R15" s="3"/>
      <c r="S15" s="3">
        <f t="shared" si="18"/>
        <v>0</v>
      </c>
      <c r="U15">
        <v>2010</v>
      </c>
      <c r="V15" s="3">
        <v>184</v>
      </c>
      <c r="W15" s="3"/>
      <c r="X15" s="3">
        <f t="shared" si="19"/>
        <v>184</v>
      </c>
      <c r="Z15">
        <v>2010</v>
      </c>
      <c r="AA15" s="3"/>
      <c r="AB15" s="3"/>
      <c r="AC15" s="3">
        <f t="shared" si="20"/>
        <v>0</v>
      </c>
      <c r="AD15" s="3"/>
      <c r="AE15">
        <v>2010</v>
      </c>
      <c r="AF15" s="3"/>
      <c r="AG15" s="3"/>
      <c r="AH15" s="3">
        <f t="shared" si="21"/>
        <v>0</v>
      </c>
      <c r="AJ15">
        <v>2010</v>
      </c>
      <c r="AK15" s="3">
        <v>18</v>
      </c>
      <c r="AL15" s="3"/>
      <c r="AM15" s="3">
        <f t="shared" si="22"/>
        <v>18</v>
      </c>
      <c r="AO15">
        <v>2010</v>
      </c>
      <c r="AP15" s="3">
        <v>40</v>
      </c>
      <c r="AQ15" s="3"/>
      <c r="AR15" s="3">
        <f t="shared" si="23"/>
        <v>40</v>
      </c>
      <c r="AT15">
        <v>2010</v>
      </c>
      <c r="AU15" s="3"/>
      <c r="AV15" s="3"/>
      <c r="AW15" s="3">
        <f t="shared" si="24"/>
        <v>0</v>
      </c>
      <c r="AY15">
        <v>2010</v>
      </c>
      <c r="AZ15" s="3">
        <v>425</v>
      </c>
      <c r="BA15" s="3"/>
      <c r="BB15" s="3">
        <f t="shared" si="25"/>
        <v>425</v>
      </c>
      <c r="BD15">
        <v>2010</v>
      </c>
      <c r="BE15" s="3">
        <v>73</v>
      </c>
      <c r="BF15" s="3"/>
      <c r="BG15" s="3">
        <f t="shared" si="26"/>
        <v>73</v>
      </c>
      <c r="BH15" s="3"/>
      <c r="BI15">
        <v>2010</v>
      </c>
      <c r="BJ15" s="3">
        <v>60</v>
      </c>
      <c r="BK15" s="3"/>
      <c r="BL15" s="3">
        <f t="shared" si="27"/>
        <v>60</v>
      </c>
      <c r="BN15">
        <v>2010</v>
      </c>
      <c r="BO15" s="3">
        <v>123</v>
      </c>
      <c r="BP15" s="3"/>
      <c r="BQ15" s="3">
        <f t="shared" si="28"/>
        <v>123</v>
      </c>
      <c r="BS15">
        <v>2010</v>
      </c>
      <c r="BT15" s="15">
        <f>(BT14+BT16)/2</f>
        <v>636.24950000000001</v>
      </c>
      <c r="BU15" s="3"/>
      <c r="BV15" s="3">
        <f t="shared" si="29"/>
        <v>636.24950000000001</v>
      </c>
    </row>
    <row r="16" spans="1:74">
      <c r="A16">
        <v>2011</v>
      </c>
      <c r="B16" s="3">
        <v>631</v>
      </c>
      <c r="C16" s="3"/>
      <c r="D16" s="3">
        <f t="shared" si="15"/>
        <v>631</v>
      </c>
      <c r="F16">
        <v>2011</v>
      </c>
      <c r="G16" s="3">
        <v>288</v>
      </c>
      <c r="H16" s="3"/>
      <c r="I16" s="3">
        <f t="shared" si="16"/>
        <v>288</v>
      </c>
      <c r="K16">
        <v>2011</v>
      </c>
      <c r="L16" s="3">
        <v>415</v>
      </c>
      <c r="M16" s="3"/>
      <c r="N16" s="3">
        <f t="shared" si="17"/>
        <v>415</v>
      </c>
      <c r="P16">
        <v>2011</v>
      </c>
      <c r="Q16" s="3">
        <v>29</v>
      </c>
      <c r="R16" s="3"/>
      <c r="S16" s="3">
        <f t="shared" si="18"/>
        <v>29</v>
      </c>
      <c r="U16">
        <v>2011</v>
      </c>
      <c r="V16" s="3">
        <v>2630</v>
      </c>
      <c r="W16" s="3"/>
      <c r="X16" s="3">
        <f t="shared" si="19"/>
        <v>2630</v>
      </c>
      <c r="Z16">
        <v>2011</v>
      </c>
      <c r="AA16" s="3">
        <v>1828</v>
      </c>
      <c r="AB16" s="3"/>
      <c r="AC16" s="3">
        <f t="shared" si="20"/>
        <v>1828</v>
      </c>
      <c r="AD16" s="3"/>
      <c r="AE16">
        <v>2011</v>
      </c>
      <c r="AF16" s="3">
        <v>9</v>
      </c>
      <c r="AG16" s="3"/>
      <c r="AH16" s="3">
        <f t="shared" si="21"/>
        <v>9</v>
      </c>
      <c r="AJ16">
        <v>2011</v>
      </c>
      <c r="AK16" s="3">
        <v>46</v>
      </c>
      <c r="AL16" s="3"/>
      <c r="AM16" s="3">
        <f t="shared" si="22"/>
        <v>46</v>
      </c>
      <c r="AO16">
        <v>2011</v>
      </c>
      <c r="AP16" s="3">
        <v>117</v>
      </c>
      <c r="AQ16" s="3"/>
      <c r="AR16" s="3">
        <f t="shared" si="23"/>
        <v>117</v>
      </c>
      <c r="AT16">
        <v>2011</v>
      </c>
      <c r="AU16" s="3">
        <v>849</v>
      </c>
      <c r="AV16" s="3"/>
      <c r="AW16" s="3">
        <f t="shared" si="24"/>
        <v>849</v>
      </c>
      <c r="AY16">
        <v>2011</v>
      </c>
      <c r="AZ16" s="3">
        <v>2010</v>
      </c>
      <c r="BA16" s="3"/>
      <c r="BB16" s="3">
        <f t="shared" si="25"/>
        <v>2010</v>
      </c>
      <c r="BD16">
        <v>2011</v>
      </c>
      <c r="BE16" s="3">
        <v>568</v>
      </c>
      <c r="BF16" s="3">
        <v>8</v>
      </c>
      <c r="BG16" s="3">
        <f t="shared" si="26"/>
        <v>576</v>
      </c>
      <c r="BH16" s="3"/>
      <c r="BI16">
        <v>2011</v>
      </c>
      <c r="BJ16" s="3">
        <v>183</v>
      </c>
      <c r="BK16" s="3"/>
      <c r="BL16" s="3">
        <f t="shared" si="27"/>
        <v>183</v>
      </c>
      <c r="BN16">
        <v>2011</v>
      </c>
      <c r="BO16" s="3">
        <v>398</v>
      </c>
      <c r="BP16" s="3">
        <v>38</v>
      </c>
      <c r="BQ16" s="3">
        <f t="shared" si="28"/>
        <v>436</v>
      </c>
      <c r="BS16">
        <v>2011</v>
      </c>
      <c r="BT16" s="3">
        <v>1073</v>
      </c>
      <c r="BU16" s="3">
        <v>7</v>
      </c>
      <c r="BV16" s="3">
        <f t="shared" si="29"/>
        <v>1080</v>
      </c>
    </row>
    <row r="17" spans="1:74">
      <c r="A17">
        <v>2012</v>
      </c>
      <c r="B17" s="3">
        <v>427</v>
      </c>
      <c r="C17" s="3">
        <v>267</v>
      </c>
      <c r="D17" s="3">
        <f t="shared" si="15"/>
        <v>694</v>
      </c>
      <c r="F17">
        <v>2012</v>
      </c>
      <c r="G17" s="3">
        <v>585</v>
      </c>
      <c r="H17" s="3">
        <v>326</v>
      </c>
      <c r="I17" s="3">
        <f t="shared" si="16"/>
        <v>911</v>
      </c>
      <c r="K17">
        <v>2012</v>
      </c>
      <c r="L17" s="3">
        <v>471</v>
      </c>
      <c r="M17" s="3">
        <v>33</v>
      </c>
      <c r="N17" s="3">
        <f t="shared" si="17"/>
        <v>504</v>
      </c>
      <c r="P17">
        <v>2012</v>
      </c>
      <c r="Q17" s="3">
        <v>51</v>
      </c>
      <c r="R17" s="3">
        <v>128</v>
      </c>
      <c r="S17" s="3">
        <f t="shared" si="18"/>
        <v>179</v>
      </c>
      <c r="U17">
        <v>2012</v>
      </c>
      <c r="V17" s="3">
        <v>5663</v>
      </c>
      <c r="W17" s="3">
        <v>668</v>
      </c>
      <c r="X17" s="3">
        <f t="shared" si="19"/>
        <v>6331</v>
      </c>
      <c r="Z17">
        <v>2012</v>
      </c>
      <c r="AA17" s="3">
        <v>2555</v>
      </c>
      <c r="AB17" s="3">
        <v>1232</v>
      </c>
      <c r="AC17" s="3">
        <f t="shared" si="20"/>
        <v>3787</v>
      </c>
      <c r="AD17" s="3"/>
      <c r="AE17">
        <v>2012</v>
      </c>
      <c r="AF17" s="3">
        <v>8</v>
      </c>
      <c r="AG17" s="3">
        <v>17</v>
      </c>
      <c r="AH17" s="3">
        <f t="shared" si="21"/>
        <v>25</v>
      </c>
      <c r="AJ17">
        <v>2012</v>
      </c>
      <c r="AK17" s="3">
        <v>139</v>
      </c>
      <c r="AL17" s="3"/>
      <c r="AM17" s="3">
        <f t="shared" si="22"/>
        <v>139</v>
      </c>
      <c r="AO17">
        <v>2012</v>
      </c>
      <c r="AP17" s="3">
        <v>507</v>
      </c>
      <c r="AQ17" s="3">
        <v>145</v>
      </c>
      <c r="AR17" s="3">
        <f t="shared" si="23"/>
        <v>652</v>
      </c>
      <c r="AT17">
        <v>2012</v>
      </c>
      <c r="AU17" s="3">
        <v>828</v>
      </c>
      <c r="AV17" s="3">
        <v>4326</v>
      </c>
      <c r="AW17" s="3">
        <f t="shared" si="24"/>
        <v>5154</v>
      </c>
      <c r="AY17">
        <v>2012</v>
      </c>
      <c r="AZ17" s="3">
        <v>4273</v>
      </c>
      <c r="BA17" s="3">
        <v>340</v>
      </c>
      <c r="BB17" s="3">
        <f t="shared" si="25"/>
        <v>4613</v>
      </c>
      <c r="BD17">
        <v>2012</v>
      </c>
      <c r="BE17" s="3">
        <v>443</v>
      </c>
      <c r="BF17" s="3">
        <v>109</v>
      </c>
      <c r="BG17" s="3">
        <f t="shared" si="26"/>
        <v>552</v>
      </c>
      <c r="BH17" s="3"/>
      <c r="BI17">
        <v>2012</v>
      </c>
      <c r="BJ17" s="15">
        <v>300</v>
      </c>
      <c r="BK17" s="3">
        <v>657</v>
      </c>
      <c r="BL17" s="3">
        <f t="shared" si="27"/>
        <v>957</v>
      </c>
      <c r="BN17">
        <v>2012</v>
      </c>
      <c r="BO17" s="3">
        <v>463</v>
      </c>
      <c r="BP17" s="3">
        <v>394</v>
      </c>
      <c r="BQ17" s="3">
        <f t="shared" si="28"/>
        <v>857</v>
      </c>
      <c r="BS17">
        <v>2012</v>
      </c>
      <c r="BT17" s="3">
        <v>1416</v>
      </c>
      <c r="BU17" s="3">
        <v>989</v>
      </c>
      <c r="BV17" s="3">
        <f t="shared" si="29"/>
        <v>2405</v>
      </c>
    </row>
    <row r="18" spans="1:74">
      <c r="A18">
        <v>2013</v>
      </c>
      <c r="B18" s="3">
        <v>654</v>
      </c>
      <c r="C18" s="3">
        <v>184</v>
      </c>
      <c r="D18" s="3">
        <f t="shared" si="15"/>
        <v>838</v>
      </c>
      <c r="F18">
        <v>2013</v>
      </c>
      <c r="G18" s="3">
        <v>494</v>
      </c>
      <c r="H18" s="3">
        <v>319</v>
      </c>
      <c r="I18" s="3">
        <f t="shared" si="16"/>
        <v>813</v>
      </c>
      <c r="K18">
        <v>2013</v>
      </c>
      <c r="L18" s="3">
        <v>497</v>
      </c>
      <c r="M18" s="3">
        <v>11</v>
      </c>
      <c r="N18" s="3">
        <f t="shared" si="17"/>
        <v>508</v>
      </c>
      <c r="P18">
        <v>2013</v>
      </c>
      <c r="Q18" s="3">
        <v>50</v>
      </c>
      <c r="R18" s="3">
        <v>168</v>
      </c>
      <c r="S18" s="3">
        <f t="shared" si="18"/>
        <v>218</v>
      </c>
      <c r="U18">
        <v>2013</v>
      </c>
      <c r="V18" s="3">
        <v>8779</v>
      </c>
      <c r="W18" s="3">
        <v>863</v>
      </c>
      <c r="X18" s="3">
        <f t="shared" si="19"/>
        <v>9642</v>
      </c>
      <c r="Z18">
        <v>2013</v>
      </c>
      <c r="AA18" s="3">
        <v>5464</v>
      </c>
      <c r="AB18" s="3">
        <v>1656</v>
      </c>
      <c r="AC18" s="3">
        <f t="shared" si="20"/>
        <v>7120</v>
      </c>
      <c r="AD18" s="3"/>
      <c r="AE18">
        <v>2013</v>
      </c>
      <c r="AF18" s="3">
        <v>11</v>
      </c>
      <c r="AG18" s="3">
        <v>13</v>
      </c>
      <c r="AH18" s="3">
        <f t="shared" si="21"/>
        <v>24</v>
      </c>
      <c r="AJ18">
        <v>2013</v>
      </c>
      <c r="AK18" s="3">
        <v>47</v>
      </c>
      <c r="AL18" s="3"/>
      <c r="AM18" s="3">
        <f t="shared" si="22"/>
        <v>47</v>
      </c>
      <c r="AO18">
        <v>2013</v>
      </c>
      <c r="AP18" s="3">
        <v>836</v>
      </c>
      <c r="AQ18" s="3">
        <v>218</v>
      </c>
      <c r="AR18" s="3">
        <f t="shared" si="23"/>
        <v>1054</v>
      </c>
      <c r="AT18">
        <v>2013</v>
      </c>
      <c r="AU18" s="3">
        <v>2441</v>
      </c>
      <c r="AV18" s="3">
        <v>20164</v>
      </c>
      <c r="AW18" s="3">
        <f t="shared" si="24"/>
        <v>22605</v>
      </c>
      <c r="AY18">
        <v>2013</v>
      </c>
      <c r="AZ18" s="3">
        <v>8232</v>
      </c>
      <c r="BA18" s="3">
        <v>324</v>
      </c>
      <c r="BB18" s="3">
        <f t="shared" si="25"/>
        <v>8556</v>
      </c>
      <c r="BD18">
        <v>2013</v>
      </c>
      <c r="BE18" s="3">
        <v>921</v>
      </c>
      <c r="BF18" s="3">
        <v>87</v>
      </c>
      <c r="BG18" s="3">
        <f t="shared" si="26"/>
        <v>1008</v>
      </c>
      <c r="BH18" s="3"/>
      <c r="BI18">
        <v>2013</v>
      </c>
      <c r="BJ18" s="3">
        <v>444</v>
      </c>
      <c r="BK18" s="3">
        <v>1112</v>
      </c>
      <c r="BL18" s="3">
        <f t="shared" si="27"/>
        <v>1556</v>
      </c>
      <c r="BN18">
        <v>2013</v>
      </c>
      <c r="BO18" s="3">
        <v>1127</v>
      </c>
      <c r="BP18" s="3">
        <v>218</v>
      </c>
      <c r="BQ18" s="3">
        <f t="shared" si="28"/>
        <v>1345</v>
      </c>
      <c r="BS18">
        <v>2013</v>
      </c>
      <c r="BT18" s="3">
        <v>2552</v>
      </c>
      <c r="BU18" s="3">
        <v>956</v>
      </c>
      <c r="BV18" s="3">
        <f t="shared" si="29"/>
        <v>3508</v>
      </c>
    </row>
    <row r="19" spans="1:74">
      <c r="A19">
        <v>2014</v>
      </c>
      <c r="B19" s="3">
        <v>1271</v>
      </c>
      <c r="C19" s="3">
        <v>434</v>
      </c>
      <c r="D19" s="3">
        <f t="shared" si="15"/>
        <v>1705</v>
      </c>
      <c r="F19">
        <v>2014</v>
      </c>
      <c r="G19" s="3">
        <v>1169</v>
      </c>
      <c r="H19" s="3">
        <v>852</v>
      </c>
      <c r="I19" s="3">
        <f t="shared" si="16"/>
        <v>2021</v>
      </c>
      <c r="K19">
        <v>2014</v>
      </c>
      <c r="L19" s="3">
        <v>1533</v>
      </c>
      <c r="M19" s="3">
        <v>100</v>
      </c>
      <c r="N19" s="3">
        <f t="shared" si="17"/>
        <v>1633</v>
      </c>
      <c r="P19">
        <v>2014</v>
      </c>
      <c r="Q19" s="3">
        <v>185</v>
      </c>
      <c r="R19" s="3">
        <v>291</v>
      </c>
      <c r="S19" s="3">
        <f t="shared" si="18"/>
        <v>476</v>
      </c>
      <c r="U19">
        <v>2014</v>
      </c>
      <c r="V19" s="3">
        <v>10561</v>
      </c>
      <c r="W19" s="3">
        <v>2070</v>
      </c>
      <c r="X19" s="3">
        <f t="shared" si="19"/>
        <v>12631</v>
      </c>
      <c r="Z19">
        <v>2014</v>
      </c>
      <c r="AA19" s="3">
        <v>8390</v>
      </c>
      <c r="AB19" s="3">
        <v>4401</v>
      </c>
      <c r="AC19" s="3">
        <f t="shared" si="20"/>
        <v>12791</v>
      </c>
      <c r="AD19" s="3"/>
      <c r="AE19">
        <v>2014</v>
      </c>
      <c r="AF19" s="3">
        <v>28</v>
      </c>
      <c r="AG19" s="3">
        <v>13</v>
      </c>
      <c r="AH19" s="3">
        <f t="shared" si="21"/>
        <v>41</v>
      </c>
      <c r="AJ19">
        <v>2014</v>
      </c>
      <c r="AK19" s="3">
        <v>222</v>
      </c>
      <c r="AL19" s="3">
        <v>35</v>
      </c>
      <c r="AM19" s="3">
        <f t="shared" si="22"/>
        <v>257</v>
      </c>
      <c r="AO19">
        <v>2014</v>
      </c>
      <c r="AP19" s="3">
        <v>1075</v>
      </c>
      <c r="AQ19" s="3">
        <v>446</v>
      </c>
      <c r="AR19" s="3">
        <f t="shared" si="23"/>
        <v>1521</v>
      </c>
      <c r="AT19">
        <v>2014</v>
      </c>
      <c r="AU19" s="3">
        <v>2853</v>
      </c>
      <c r="AV19" s="3">
        <v>12466</v>
      </c>
      <c r="AW19" s="3">
        <f t="shared" si="24"/>
        <v>15319</v>
      </c>
      <c r="AY19">
        <v>2014</v>
      </c>
      <c r="AZ19" s="3">
        <v>18098</v>
      </c>
      <c r="BA19" s="3">
        <v>1680</v>
      </c>
      <c r="BB19" s="3">
        <f t="shared" si="25"/>
        <v>19778</v>
      </c>
      <c r="BD19">
        <v>2014</v>
      </c>
      <c r="BE19" s="3">
        <v>1035</v>
      </c>
      <c r="BF19" s="3">
        <v>417</v>
      </c>
      <c r="BG19" s="3">
        <f t="shared" si="26"/>
        <v>1452</v>
      </c>
      <c r="BH19" s="3"/>
      <c r="BI19">
        <v>2014</v>
      </c>
      <c r="BJ19" s="3">
        <v>1203</v>
      </c>
      <c r="BK19" s="3">
        <v>3472</v>
      </c>
      <c r="BL19" s="3">
        <f t="shared" si="27"/>
        <v>4675</v>
      </c>
      <c r="BN19">
        <v>2014</v>
      </c>
      <c r="BO19" s="3">
        <v>1292</v>
      </c>
      <c r="BP19" s="3">
        <v>837</v>
      </c>
      <c r="BQ19" s="3">
        <f t="shared" si="28"/>
        <v>2129</v>
      </c>
      <c r="BS19">
        <v>2014</v>
      </c>
      <c r="BT19" s="3">
        <v>6688</v>
      </c>
      <c r="BU19" s="3">
        <v>7914</v>
      </c>
      <c r="BV19" s="3">
        <f t="shared" si="29"/>
        <v>14602</v>
      </c>
    </row>
    <row r="20" spans="1:74">
      <c r="A20">
        <v>2015</v>
      </c>
      <c r="B20" s="3">
        <v>1677</v>
      </c>
      <c r="C20" s="3">
        <v>1101</v>
      </c>
      <c r="D20" s="3">
        <f t="shared" si="15"/>
        <v>2778</v>
      </c>
      <c r="F20">
        <v>2015</v>
      </c>
      <c r="G20" s="3">
        <v>1358</v>
      </c>
      <c r="H20" s="3">
        <v>2451</v>
      </c>
      <c r="I20" s="3">
        <f t="shared" si="16"/>
        <v>3809</v>
      </c>
      <c r="K20">
        <v>2015</v>
      </c>
      <c r="L20" s="3">
        <v>4524</v>
      </c>
      <c r="M20" s="3">
        <v>444</v>
      </c>
      <c r="N20" s="3">
        <f t="shared" si="17"/>
        <v>4968</v>
      </c>
      <c r="P20">
        <v>2015</v>
      </c>
      <c r="Q20" s="3">
        <v>242</v>
      </c>
      <c r="R20" s="3">
        <v>415</v>
      </c>
      <c r="S20" s="3">
        <f t="shared" si="18"/>
        <v>657</v>
      </c>
      <c r="U20">
        <v>2015</v>
      </c>
      <c r="V20" s="3">
        <v>17268</v>
      </c>
      <c r="W20" s="3">
        <v>5518</v>
      </c>
      <c r="X20" s="3">
        <f t="shared" si="19"/>
        <v>22786</v>
      </c>
      <c r="Z20">
        <v>2015</v>
      </c>
      <c r="AA20" s="3">
        <v>12097</v>
      </c>
      <c r="AB20" s="3">
        <v>11111</v>
      </c>
      <c r="AC20" s="3">
        <f t="shared" si="20"/>
        <v>23208</v>
      </c>
      <c r="AD20" s="3"/>
      <c r="AE20">
        <v>2015</v>
      </c>
      <c r="AF20" s="3">
        <v>166</v>
      </c>
      <c r="AG20" s="3">
        <v>59</v>
      </c>
      <c r="AH20" s="3">
        <f t="shared" si="21"/>
        <v>225</v>
      </c>
      <c r="AJ20">
        <v>2015</v>
      </c>
      <c r="AK20" s="3">
        <v>460</v>
      </c>
      <c r="AL20" s="3">
        <v>99</v>
      </c>
      <c r="AM20" s="3">
        <f t="shared" si="22"/>
        <v>559</v>
      </c>
      <c r="AO20">
        <v>2015</v>
      </c>
      <c r="AP20" s="3">
        <v>1451</v>
      </c>
      <c r="AQ20" s="3">
        <v>891</v>
      </c>
      <c r="AR20" s="3">
        <f t="shared" si="23"/>
        <v>2342</v>
      </c>
      <c r="AT20">
        <v>2015</v>
      </c>
      <c r="AU20" s="3">
        <v>3168</v>
      </c>
      <c r="AV20" s="3">
        <v>41280</v>
      </c>
      <c r="AW20" s="3">
        <f t="shared" si="24"/>
        <v>44448</v>
      </c>
      <c r="AY20">
        <v>2015</v>
      </c>
      <c r="AZ20" s="3">
        <v>25792</v>
      </c>
      <c r="BA20" s="3">
        <v>7819</v>
      </c>
      <c r="BB20" s="3">
        <f t="shared" si="25"/>
        <v>33611</v>
      </c>
      <c r="BD20">
        <v>2015</v>
      </c>
      <c r="BE20" s="3">
        <v>1422</v>
      </c>
      <c r="BF20" s="3">
        <v>869</v>
      </c>
      <c r="BG20" s="3">
        <f t="shared" si="26"/>
        <v>2291</v>
      </c>
      <c r="BH20" s="3"/>
      <c r="BI20">
        <v>2015</v>
      </c>
      <c r="BJ20" s="3">
        <v>2978</v>
      </c>
      <c r="BK20" s="3">
        <v>5712</v>
      </c>
      <c r="BL20" s="3">
        <f t="shared" si="27"/>
        <v>8690</v>
      </c>
      <c r="BN20">
        <v>2015</v>
      </c>
      <c r="BO20" s="3">
        <v>3065</v>
      </c>
      <c r="BP20" s="3">
        <v>2558</v>
      </c>
      <c r="BQ20" s="3">
        <f t="shared" si="28"/>
        <v>5623</v>
      </c>
      <c r="BS20">
        <v>2015</v>
      </c>
      <c r="BT20" s="3">
        <v>9936</v>
      </c>
      <c r="BU20" s="3">
        <v>18737</v>
      </c>
      <c r="BV20" s="3">
        <f t="shared" si="29"/>
        <v>28673</v>
      </c>
    </row>
    <row r="21" spans="1:74">
      <c r="A21">
        <v>2016</v>
      </c>
      <c r="B21" s="3">
        <v>3826</v>
      </c>
      <c r="C21" s="3">
        <v>1237</v>
      </c>
      <c r="D21" s="3">
        <f t="shared" si="15"/>
        <v>5063</v>
      </c>
      <c r="F21">
        <v>2016</v>
      </c>
      <c r="G21" s="3">
        <v>2052</v>
      </c>
      <c r="H21" s="3">
        <v>7338</v>
      </c>
      <c r="I21" s="3">
        <f t="shared" si="16"/>
        <v>9390</v>
      </c>
      <c r="K21">
        <v>2016</v>
      </c>
      <c r="L21" s="3">
        <v>1223</v>
      </c>
      <c r="M21" s="3">
        <v>179</v>
      </c>
      <c r="N21" s="3">
        <f t="shared" si="17"/>
        <v>1402</v>
      </c>
      <c r="P21">
        <v>2016</v>
      </c>
      <c r="Q21" s="3">
        <v>225</v>
      </c>
      <c r="R21" s="3">
        <v>1207</v>
      </c>
      <c r="S21" s="3">
        <f t="shared" si="18"/>
        <v>1432</v>
      </c>
      <c r="U21">
        <v>2016</v>
      </c>
      <c r="V21" s="3">
        <v>21776</v>
      </c>
      <c r="W21" s="3">
        <v>7429</v>
      </c>
      <c r="X21" s="3">
        <f t="shared" si="19"/>
        <v>29205</v>
      </c>
      <c r="Z21">
        <v>2016</v>
      </c>
      <c r="AA21" s="3">
        <v>11243</v>
      </c>
      <c r="AB21" s="3">
        <v>13383</v>
      </c>
      <c r="AC21" s="3">
        <f t="shared" si="20"/>
        <v>24626</v>
      </c>
      <c r="AD21" s="3"/>
      <c r="AE21">
        <v>2016</v>
      </c>
      <c r="AF21" s="3">
        <v>201</v>
      </c>
      <c r="AG21" s="3">
        <v>109</v>
      </c>
      <c r="AH21" s="3">
        <f t="shared" si="21"/>
        <v>310</v>
      </c>
      <c r="AJ21">
        <v>2016</v>
      </c>
      <c r="AK21" s="3">
        <v>392</v>
      </c>
      <c r="AL21" s="3">
        <v>281</v>
      </c>
      <c r="AM21" s="3">
        <f t="shared" si="22"/>
        <v>673</v>
      </c>
      <c r="AO21">
        <v>2016</v>
      </c>
      <c r="AP21" s="3">
        <v>1379</v>
      </c>
      <c r="AQ21" s="3">
        <v>1452</v>
      </c>
      <c r="AR21" s="3">
        <f t="shared" si="23"/>
        <v>2831</v>
      </c>
      <c r="AT21">
        <v>2016</v>
      </c>
      <c r="AU21" s="3">
        <v>4029</v>
      </c>
      <c r="AV21" s="3">
        <v>18846</v>
      </c>
      <c r="AW21" s="3">
        <f t="shared" si="24"/>
        <v>22875</v>
      </c>
      <c r="AY21">
        <v>2016</v>
      </c>
      <c r="AZ21" s="3">
        <v>24224</v>
      </c>
      <c r="BA21" s="3">
        <v>20664</v>
      </c>
      <c r="BB21" s="3">
        <f t="shared" si="25"/>
        <v>44888</v>
      </c>
      <c r="BD21">
        <v>2016</v>
      </c>
      <c r="BE21" s="3">
        <v>2021</v>
      </c>
      <c r="BF21" s="3">
        <v>1641</v>
      </c>
      <c r="BG21" s="3">
        <f t="shared" si="26"/>
        <v>3662</v>
      </c>
      <c r="BH21" s="3"/>
      <c r="BI21">
        <v>2016</v>
      </c>
      <c r="BJ21" s="3">
        <v>2943</v>
      </c>
      <c r="BK21" s="3">
        <v>10470</v>
      </c>
      <c r="BL21" s="3">
        <f t="shared" si="27"/>
        <v>13413</v>
      </c>
      <c r="BN21">
        <v>2016</v>
      </c>
      <c r="BO21" s="3">
        <v>3276</v>
      </c>
      <c r="BP21" s="3">
        <v>2160</v>
      </c>
      <c r="BQ21" s="3">
        <f t="shared" si="28"/>
        <v>5436</v>
      </c>
      <c r="BS21">
        <v>2016</v>
      </c>
      <c r="BT21" s="3">
        <v>10246</v>
      </c>
      <c r="BU21" s="3">
        <v>28798</v>
      </c>
      <c r="BV21" s="3">
        <f t="shared" si="29"/>
        <v>39044</v>
      </c>
    </row>
    <row r="22" spans="1:74">
      <c r="A22">
        <v>2017</v>
      </c>
      <c r="B22" s="3">
        <v>5433</v>
      </c>
      <c r="C22" s="3">
        <v>1832</v>
      </c>
      <c r="D22" s="3">
        <f t="shared" si="15"/>
        <v>7265</v>
      </c>
      <c r="F22">
        <v>2017</v>
      </c>
      <c r="G22" s="3">
        <v>2703</v>
      </c>
      <c r="H22" s="3">
        <v>11951</v>
      </c>
      <c r="I22" s="3">
        <f t="shared" si="16"/>
        <v>14654</v>
      </c>
      <c r="K22">
        <v>2017</v>
      </c>
      <c r="L22" s="3">
        <v>706</v>
      </c>
      <c r="M22" s="3">
        <v>563</v>
      </c>
      <c r="N22" s="3">
        <f t="shared" si="17"/>
        <v>1269</v>
      </c>
      <c r="P22">
        <v>2017</v>
      </c>
      <c r="Q22" s="3">
        <v>502</v>
      </c>
      <c r="R22" s="3">
        <v>2553</v>
      </c>
      <c r="S22" s="3">
        <f t="shared" si="18"/>
        <v>3055</v>
      </c>
      <c r="U22">
        <v>2017</v>
      </c>
      <c r="V22" s="3">
        <v>25274</v>
      </c>
      <c r="W22" s="3">
        <v>11614</v>
      </c>
      <c r="X22" s="3">
        <f t="shared" si="19"/>
        <v>36888</v>
      </c>
      <c r="Z22">
        <v>2017</v>
      </c>
      <c r="AA22" s="3">
        <v>24437</v>
      </c>
      <c r="AB22" s="3">
        <v>29124</v>
      </c>
      <c r="AC22" s="3">
        <f t="shared" si="20"/>
        <v>53561</v>
      </c>
      <c r="AD22" s="3"/>
      <c r="AE22">
        <v>2017</v>
      </c>
      <c r="AF22" s="3">
        <v>753</v>
      </c>
      <c r="AG22" s="3">
        <v>389</v>
      </c>
      <c r="AH22" s="3">
        <f t="shared" si="21"/>
        <v>1142</v>
      </c>
      <c r="AJ22">
        <v>2017</v>
      </c>
      <c r="AK22" s="3">
        <v>622</v>
      </c>
      <c r="AL22" s="3">
        <v>323</v>
      </c>
      <c r="AM22" s="3">
        <f t="shared" si="22"/>
        <v>945</v>
      </c>
      <c r="AO22">
        <v>2017</v>
      </c>
      <c r="AP22" s="3">
        <v>1964</v>
      </c>
      <c r="AQ22" s="3">
        <v>2863</v>
      </c>
      <c r="AR22" s="3">
        <f t="shared" si="23"/>
        <v>4827</v>
      </c>
      <c r="AT22">
        <v>2017</v>
      </c>
      <c r="AU22" s="3">
        <v>8007</v>
      </c>
      <c r="AV22" s="3">
        <v>1183</v>
      </c>
      <c r="AW22" s="3">
        <f t="shared" si="24"/>
        <v>9190</v>
      </c>
      <c r="AY22">
        <v>2017</v>
      </c>
      <c r="AZ22" s="3">
        <v>33025</v>
      </c>
      <c r="BA22" s="3">
        <v>29145</v>
      </c>
      <c r="BB22" s="3">
        <f t="shared" si="25"/>
        <v>62170</v>
      </c>
      <c r="BD22">
        <v>2017</v>
      </c>
      <c r="BE22" s="3">
        <v>3920</v>
      </c>
      <c r="BF22" s="3">
        <v>3528</v>
      </c>
      <c r="BG22" s="3">
        <f t="shared" si="26"/>
        <v>7448</v>
      </c>
      <c r="BH22" s="3"/>
      <c r="BI22">
        <v>2017</v>
      </c>
      <c r="BJ22" s="3">
        <v>4217</v>
      </c>
      <c r="BK22" s="3">
        <v>15814</v>
      </c>
      <c r="BL22" s="3">
        <f t="shared" si="27"/>
        <v>20031</v>
      </c>
      <c r="BN22">
        <v>2017</v>
      </c>
      <c r="BO22" s="3">
        <v>4691</v>
      </c>
      <c r="BP22" s="3">
        <v>3338</v>
      </c>
      <c r="BQ22" s="3">
        <f t="shared" si="28"/>
        <v>8029</v>
      </c>
      <c r="BS22">
        <v>2017</v>
      </c>
      <c r="BT22" s="3">
        <v>13678</v>
      </c>
      <c r="BU22" s="3">
        <v>34660</v>
      </c>
      <c r="BV22" s="3">
        <f t="shared" si="29"/>
        <v>48338</v>
      </c>
    </row>
    <row r="24" spans="1:74">
      <c r="B24" t="s">
        <v>566</v>
      </c>
      <c r="C24" t="s">
        <v>567</v>
      </c>
      <c r="D24" t="s">
        <v>158</v>
      </c>
      <c r="G24" t="s">
        <v>566</v>
      </c>
      <c r="H24" t="s">
        <v>567</v>
      </c>
      <c r="I24" t="s">
        <v>158</v>
      </c>
      <c r="L24" t="s">
        <v>566</v>
      </c>
      <c r="M24" t="s">
        <v>567</v>
      </c>
      <c r="N24" t="s">
        <v>158</v>
      </c>
      <c r="Q24" t="s">
        <v>566</v>
      </c>
      <c r="R24" t="s">
        <v>567</v>
      </c>
      <c r="S24" t="s">
        <v>158</v>
      </c>
      <c r="V24" t="s">
        <v>566</v>
      </c>
      <c r="W24" t="s">
        <v>567</v>
      </c>
      <c r="X24" t="s">
        <v>158</v>
      </c>
      <c r="AA24" t="s">
        <v>566</v>
      </c>
      <c r="AB24" t="s">
        <v>567</v>
      </c>
      <c r="AC24" t="s">
        <v>158</v>
      </c>
      <c r="AF24" t="s">
        <v>566</v>
      </c>
      <c r="AG24" t="s">
        <v>567</v>
      </c>
      <c r="AH24" t="s">
        <v>158</v>
      </c>
      <c r="AK24" t="s">
        <v>566</v>
      </c>
      <c r="AL24" t="s">
        <v>567</v>
      </c>
      <c r="AM24" t="s">
        <v>158</v>
      </c>
      <c r="AP24" t="s">
        <v>566</v>
      </c>
      <c r="AQ24" t="s">
        <v>567</v>
      </c>
      <c r="AR24" t="s">
        <v>158</v>
      </c>
      <c r="AU24" t="s">
        <v>566</v>
      </c>
      <c r="AV24" t="s">
        <v>567</v>
      </c>
      <c r="AW24" t="s">
        <v>158</v>
      </c>
      <c r="AZ24" t="s">
        <v>566</v>
      </c>
      <c r="BA24" t="s">
        <v>567</v>
      </c>
      <c r="BB24" t="s">
        <v>158</v>
      </c>
      <c r="BE24" t="s">
        <v>566</v>
      </c>
      <c r="BF24" t="s">
        <v>567</v>
      </c>
      <c r="BG24" t="s">
        <v>158</v>
      </c>
      <c r="BJ24" t="s">
        <v>566</v>
      </c>
      <c r="BK24" t="s">
        <v>567</v>
      </c>
      <c r="BL24" t="s">
        <v>158</v>
      </c>
      <c r="BO24" t="s">
        <v>566</v>
      </c>
      <c r="BP24" t="s">
        <v>567</v>
      </c>
      <c r="BQ24" t="s">
        <v>158</v>
      </c>
      <c r="BT24" t="s">
        <v>566</v>
      </c>
      <c r="BU24" t="s">
        <v>567</v>
      </c>
      <c r="BV24" t="s">
        <v>158</v>
      </c>
    </row>
    <row r="25" spans="1:74">
      <c r="A25">
        <v>2009</v>
      </c>
      <c r="D25">
        <f t="shared" ref="D25:D33" si="30">B25+C25</f>
        <v>0</v>
      </c>
      <c r="F25">
        <v>2009</v>
      </c>
      <c r="I25">
        <f t="shared" ref="I25:I33" si="31">G25+H25</f>
        <v>0</v>
      </c>
      <c r="K25">
        <v>2009</v>
      </c>
      <c r="N25">
        <f t="shared" ref="N25:N33" si="32">L25+M25</f>
        <v>0</v>
      </c>
      <c r="P25">
        <v>2009</v>
      </c>
      <c r="S25">
        <f t="shared" ref="S25:S33" si="33">Q25+R25</f>
        <v>0</v>
      </c>
      <c r="U25">
        <v>2009</v>
      </c>
      <c r="X25">
        <f t="shared" ref="X25:X33" si="34">V25+W25</f>
        <v>0</v>
      </c>
      <c r="Z25">
        <v>2009</v>
      </c>
      <c r="AC25">
        <f t="shared" ref="AC25:AC33" si="35">AA25+AB25</f>
        <v>0</v>
      </c>
      <c r="AE25">
        <v>2009</v>
      </c>
      <c r="AH25">
        <f t="shared" ref="AH25:AH33" si="36">AF25+AG25</f>
        <v>0</v>
      </c>
      <c r="AJ25">
        <v>2009</v>
      </c>
      <c r="AM25">
        <f t="shared" ref="AM25:AM33" si="37">AK25+AL25</f>
        <v>0</v>
      </c>
      <c r="AO25">
        <v>2009</v>
      </c>
      <c r="AR25">
        <f t="shared" ref="AR25:AR33" si="38">AP25+AQ25</f>
        <v>0</v>
      </c>
      <c r="AT25">
        <v>2009</v>
      </c>
      <c r="AW25">
        <f t="shared" ref="AW25:AW33" si="39">AU25+AV25</f>
        <v>0</v>
      </c>
      <c r="AY25">
        <v>2009</v>
      </c>
      <c r="BB25">
        <f t="shared" ref="BB25:BB33" si="40">AZ25+BA25</f>
        <v>0</v>
      </c>
      <c r="BD25">
        <v>2009</v>
      </c>
      <c r="BG25">
        <f t="shared" ref="BG25:BG33" si="41">BE25+BF25</f>
        <v>0</v>
      </c>
      <c r="BI25">
        <v>2009</v>
      </c>
      <c r="BL25">
        <f t="shared" ref="BL25:BL33" si="42">BJ25+BK25</f>
        <v>0</v>
      </c>
      <c r="BN25">
        <v>2009</v>
      </c>
      <c r="BQ25">
        <f t="shared" ref="BQ25:BQ33" si="43">BO25+BP25</f>
        <v>0</v>
      </c>
      <c r="BS25">
        <v>2009</v>
      </c>
      <c r="BV25">
        <f t="shared" ref="BV25:BV33" si="44">BT25+BU25</f>
        <v>0</v>
      </c>
    </row>
    <row r="26" spans="1:74">
      <c r="A26">
        <v>2010</v>
      </c>
      <c r="D26">
        <f t="shared" si="30"/>
        <v>0</v>
      </c>
      <c r="F26">
        <v>2010</v>
      </c>
      <c r="I26">
        <f t="shared" si="31"/>
        <v>0</v>
      </c>
      <c r="K26">
        <v>2010</v>
      </c>
      <c r="N26">
        <f t="shared" si="32"/>
        <v>0</v>
      </c>
      <c r="P26">
        <v>2010</v>
      </c>
      <c r="S26">
        <f t="shared" si="33"/>
        <v>0</v>
      </c>
      <c r="U26">
        <v>2010</v>
      </c>
      <c r="X26">
        <f t="shared" si="34"/>
        <v>0</v>
      </c>
      <c r="Z26">
        <v>2010</v>
      </c>
      <c r="AC26">
        <f t="shared" si="35"/>
        <v>0</v>
      </c>
      <c r="AE26">
        <v>2010</v>
      </c>
      <c r="AH26">
        <f t="shared" si="36"/>
        <v>0</v>
      </c>
      <c r="AJ26">
        <v>2010</v>
      </c>
      <c r="AM26">
        <f t="shared" si="37"/>
        <v>0</v>
      </c>
      <c r="AO26">
        <v>2010</v>
      </c>
      <c r="AR26">
        <f t="shared" si="38"/>
        <v>0</v>
      </c>
      <c r="AT26">
        <v>2010</v>
      </c>
      <c r="AU26">
        <v>400</v>
      </c>
      <c r="AW26">
        <f t="shared" si="39"/>
        <v>400</v>
      </c>
      <c r="AY26">
        <v>2010</v>
      </c>
      <c r="AZ26">
        <v>2800</v>
      </c>
      <c r="BB26">
        <f t="shared" si="40"/>
        <v>2800</v>
      </c>
      <c r="BD26">
        <v>2010</v>
      </c>
      <c r="BG26">
        <f t="shared" si="41"/>
        <v>0</v>
      </c>
      <c r="BI26">
        <v>2010</v>
      </c>
      <c r="BL26">
        <f t="shared" si="42"/>
        <v>0</v>
      </c>
      <c r="BN26">
        <v>2010</v>
      </c>
      <c r="BQ26">
        <f t="shared" si="43"/>
        <v>0</v>
      </c>
      <c r="BS26">
        <v>2010</v>
      </c>
      <c r="BV26">
        <f t="shared" si="44"/>
        <v>0</v>
      </c>
    </row>
    <row r="27" spans="1:74">
      <c r="A27">
        <v>2011</v>
      </c>
      <c r="D27">
        <f t="shared" si="30"/>
        <v>0</v>
      </c>
      <c r="F27">
        <v>2011</v>
      </c>
      <c r="I27">
        <f t="shared" si="31"/>
        <v>0</v>
      </c>
      <c r="K27">
        <v>2011</v>
      </c>
      <c r="N27">
        <f t="shared" si="32"/>
        <v>0</v>
      </c>
      <c r="P27">
        <v>2011</v>
      </c>
      <c r="S27">
        <f t="shared" si="33"/>
        <v>0</v>
      </c>
      <c r="U27">
        <v>2011</v>
      </c>
      <c r="X27">
        <f t="shared" si="34"/>
        <v>0</v>
      </c>
      <c r="Z27">
        <v>2011</v>
      </c>
      <c r="AC27">
        <f t="shared" si="35"/>
        <v>0</v>
      </c>
      <c r="AE27">
        <v>2011</v>
      </c>
      <c r="AH27">
        <f t="shared" si="36"/>
        <v>0</v>
      </c>
      <c r="AJ27">
        <v>2011</v>
      </c>
      <c r="AK27">
        <v>49</v>
      </c>
      <c r="AL27">
        <v>6</v>
      </c>
      <c r="AM27">
        <f t="shared" si="37"/>
        <v>55</v>
      </c>
      <c r="AO27">
        <v>2011</v>
      </c>
      <c r="AR27">
        <f t="shared" si="38"/>
        <v>0</v>
      </c>
      <c r="AT27">
        <v>2011</v>
      </c>
      <c r="AU27">
        <v>1250</v>
      </c>
      <c r="AW27">
        <f t="shared" si="39"/>
        <v>1250</v>
      </c>
      <c r="AY27">
        <v>2011</v>
      </c>
      <c r="AZ27">
        <v>3105</v>
      </c>
      <c r="BA27">
        <v>18</v>
      </c>
      <c r="BB27">
        <f t="shared" si="40"/>
        <v>3123</v>
      </c>
      <c r="BD27">
        <v>2011</v>
      </c>
      <c r="BG27">
        <f t="shared" si="41"/>
        <v>0</v>
      </c>
      <c r="BI27">
        <v>2011</v>
      </c>
      <c r="BL27">
        <f t="shared" si="42"/>
        <v>0</v>
      </c>
      <c r="BN27">
        <v>2011</v>
      </c>
      <c r="BQ27">
        <f t="shared" si="43"/>
        <v>0</v>
      </c>
      <c r="BS27">
        <v>2011</v>
      </c>
      <c r="BV27">
        <f t="shared" si="44"/>
        <v>0</v>
      </c>
    </row>
    <row r="28" spans="1:74">
      <c r="A28">
        <v>2012</v>
      </c>
      <c r="B28">
        <v>1060</v>
      </c>
      <c r="D28">
        <f t="shared" si="30"/>
        <v>1060</v>
      </c>
      <c r="F28">
        <v>2012</v>
      </c>
      <c r="I28">
        <f t="shared" si="31"/>
        <v>0</v>
      </c>
      <c r="K28">
        <v>2012</v>
      </c>
      <c r="L28">
        <v>449</v>
      </c>
      <c r="N28">
        <f t="shared" si="32"/>
        <v>449</v>
      </c>
      <c r="P28">
        <v>2012</v>
      </c>
      <c r="S28">
        <f t="shared" si="33"/>
        <v>0</v>
      </c>
      <c r="U28">
        <v>2012</v>
      </c>
      <c r="V28">
        <v>800</v>
      </c>
      <c r="X28">
        <f t="shared" si="34"/>
        <v>800</v>
      </c>
      <c r="Z28">
        <v>2012</v>
      </c>
      <c r="AA28">
        <v>1500</v>
      </c>
      <c r="AB28">
        <v>18</v>
      </c>
      <c r="AC28">
        <f t="shared" si="35"/>
        <v>1518</v>
      </c>
      <c r="AE28">
        <v>2012</v>
      </c>
      <c r="AH28">
        <f t="shared" si="36"/>
        <v>0</v>
      </c>
      <c r="AJ28">
        <v>2012</v>
      </c>
      <c r="AK28">
        <v>231</v>
      </c>
      <c r="AL28">
        <v>15</v>
      </c>
      <c r="AM28">
        <f t="shared" si="37"/>
        <v>246</v>
      </c>
      <c r="AO28">
        <v>2012</v>
      </c>
      <c r="AP28">
        <v>1350</v>
      </c>
      <c r="AQ28">
        <v>1</v>
      </c>
      <c r="AR28">
        <f t="shared" si="38"/>
        <v>1351</v>
      </c>
      <c r="AT28">
        <v>2012</v>
      </c>
      <c r="AU28">
        <v>2782</v>
      </c>
      <c r="AV28">
        <v>21</v>
      </c>
      <c r="AW28">
        <f t="shared" si="39"/>
        <v>2803</v>
      </c>
      <c r="AY28">
        <v>2012</v>
      </c>
      <c r="AZ28">
        <v>3688</v>
      </c>
      <c r="BA28" s="15">
        <f>(BA27+BA29)/2</f>
        <v>81</v>
      </c>
      <c r="BB28">
        <f t="shared" si="40"/>
        <v>3769</v>
      </c>
      <c r="BD28">
        <v>2012</v>
      </c>
      <c r="BE28">
        <v>400</v>
      </c>
      <c r="BF28">
        <v>6</v>
      </c>
      <c r="BG28">
        <f t="shared" si="41"/>
        <v>406</v>
      </c>
      <c r="BI28">
        <v>2012</v>
      </c>
      <c r="BL28">
        <f t="shared" si="42"/>
        <v>0</v>
      </c>
      <c r="BN28">
        <v>2012</v>
      </c>
      <c r="BO28">
        <v>400</v>
      </c>
      <c r="BP28">
        <v>4</v>
      </c>
      <c r="BQ28">
        <f t="shared" si="43"/>
        <v>404</v>
      </c>
      <c r="BS28">
        <v>2012</v>
      </c>
      <c r="BV28">
        <f t="shared" si="44"/>
        <v>0</v>
      </c>
    </row>
    <row r="29" spans="1:74">
      <c r="A29">
        <v>2013</v>
      </c>
      <c r="B29">
        <v>1160</v>
      </c>
      <c r="D29">
        <f t="shared" si="30"/>
        <v>1160</v>
      </c>
      <c r="F29">
        <v>2013</v>
      </c>
      <c r="G29">
        <v>331</v>
      </c>
      <c r="H29">
        <v>47</v>
      </c>
      <c r="I29">
        <f t="shared" si="31"/>
        <v>378</v>
      </c>
      <c r="K29">
        <v>2013</v>
      </c>
      <c r="L29">
        <v>496</v>
      </c>
      <c r="M29">
        <v>56</v>
      </c>
      <c r="N29">
        <f t="shared" si="32"/>
        <v>552</v>
      </c>
      <c r="P29">
        <v>2013</v>
      </c>
      <c r="Q29">
        <v>250</v>
      </c>
      <c r="R29">
        <v>17</v>
      </c>
      <c r="S29">
        <f t="shared" si="33"/>
        <v>267</v>
      </c>
      <c r="U29">
        <v>2013</v>
      </c>
      <c r="V29">
        <v>1700</v>
      </c>
      <c r="W29">
        <v>102</v>
      </c>
      <c r="X29">
        <f t="shared" si="34"/>
        <v>1802</v>
      </c>
      <c r="Z29">
        <v>2013</v>
      </c>
      <c r="AA29">
        <v>2400</v>
      </c>
      <c r="AB29" s="15">
        <f>(AB28+AB30)/2</f>
        <v>176.5</v>
      </c>
      <c r="AC29" s="3">
        <f t="shared" si="35"/>
        <v>2576.5</v>
      </c>
      <c r="AE29">
        <v>2013</v>
      </c>
      <c r="AF29">
        <v>60</v>
      </c>
      <c r="AG29">
        <v>3</v>
      </c>
      <c r="AH29">
        <f t="shared" si="36"/>
        <v>63</v>
      </c>
      <c r="AJ29">
        <v>2013</v>
      </c>
      <c r="AK29">
        <v>497</v>
      </c>
      <c r="AL29">
        <v>54</v>
      </c>
      <c r="AM29">
        <f t="shared" si="37"/>
        <v>551</v>
      </c>
      <c r="AO29">
        <v>2013</v>
      </c>
      <c r="AP29">
        <v>1350</v>
      </c>
      <c r="AQ29">
        <v>6</v>
      </c>
      <c r="AR29">
        <f t="shared" si="38"/>
        <v>1356</v>
      </c>
      <c r="AT29">
        <v>2013</v>
      </c>
      <c r="AU29">
        <v>5770</v>
      </c>
      <c r="AV29">
        <v>108</v>
      </c>
      <c r="AW29">
        <f t="shared" si="39"/>
        <v>5878</v>
      </c>
      <c r="AY29">
        <v>2013</v>
      </c>
      <c r="AZ29">
        <v>4511</v>
      </c>
      <c r="BA29">
        <v>144</v>
      </c>
      <c r="BB29">
        <f t="shared" si="40"/>
        <v>4655</v>
      </c>
      <c r="BD29">
        <v>2013</v>
      </c>
      <c r="BE29">
        <v>800</v>
      </c>
      <c r="BF29">
        <v>91</v>
      </c>
      <c r="BG29">
        <f t="shared" si="41"/>
        <v>891</v>
      </c>
      <c r="BI29">
        <v>2013</v>
      </c>
      <c r="BL29">
        <f t="shared" si="42"/>
        <v>0</v>
      </c>
      <c r="BN29">
        <v>2013</v>
      </c>
      <c r="BO29">
        <v>600</v>
      </c>
      <c r="BP29">
        <v>4</v>
      </c>
      <c r="BQ29">
        <f t="shared" si="43"/>
        <v>604</v>
      </c>
      <c r="BS29">
        <v>2013</v>
      </c>
      <c r="BV29">
        <f t="shared" si="44"/>
        <v>0</v>
      </c>
    </row>
    <row r="30" spans="1:74">
      <c r="A30">
        <v>2014</v>
      </c>
      <c r="B30">
        <v>1327</v>
      </c>
      <c r="C30">
        <v>66</v>
      </c>
      <c r="D30">
        <f t="shared" si="30"/>
        <v>1393</v>
      </c>
      <c r="F30">
        <v>2014</v>
      </c>
      <c r="G30">
        <v>559</v>
      </c>
      <c r="H30">
        <v>55</v>
      </c>
      <c r="I30">
        <f t="shared" si="31"/>
        <v>614</v>
      </c>
      <c r="K30">
        <v>2014</v>
      </c>
      <c r="L30">
        <v>813</v>
      </c>
      <c r="M30">
        <v>141</v>
      </c>
      <c r="N30">
        <f t="shared" si="32"/>
        <v>954</v>
      </c>
      <c r="P30">
        <v>2014</v>
      </c>
      <c r="Q30">
        <v>357</v>
      </c>
      <c r="R30">
        <v>48</v>
      </c>
      <c r="S30">
        <f t="shared" si="33"/>
        <v>405</v>
      </c>
      <c r="U30">
        <v>2014</v>
      </c>
      <c r="V30">
        <v>1700</v>
      </c>
      <c r="W30">
        <v>134</v>
      </c>
      <c r="X30">
        <f t="shared" si="34"/>
        <v>1834</v>
      </c>
      <c r="Z30">
        <v>2014</v>
      </c>
      <c r="AA30">
        <v>2606</v>
      </c>
      <c r="AB30">
        <v>335</v>
      </c>
      <c r="AC30">
        <f t="shared" si="35"/>
        <v>2941</v>
      </c>
      <c r="AE30">
        <v>2014</v>
      </c>
      <c r="AF30">
        <v>120</v>
      </c>
      <c r="AG30">
        <v>3</v>
      </c>
      <c r="AH30">
        <f t="shared" si="36"/>
        <v>123</v>
      </c>
      <c r="AJ30">
        <v>2014</v>
      </c>
      <c r="AK30">
        <v>666</v>
      </c>
      <c r="AL30">
        <v>98</v>
      </c>
      <c r="AM30">
        <f t="shared" si="37"/>
        <v>764</v>
      </c>
      <c r="AO30">
        <v>2014</v>
      </c>
      <c r="AP30">
        <v>1350</v>
      </c>
      <c r="AQ30">
        <v>13</v>
      </c>
      <c r="AR30">
        <f t="shared" si="38"/>
        <v>1363</v>
      </c>
      <c r="AT30">
        <v>2014</v>
      </c>
      <c r="AU30">
        <v>11860</v>
      </c>
      <c r="AV30">
        <v>108</v>
      </c>
      <c r="AW30">
        <f t="shared" si="39"/>
        <v>11968</v>
      </c>
      <c r="AY30">
        <v>2014</v>
      </c>
      <c r="AZ30">
        <v>5185</v>
      </c>
      <c r="BA30">
        <v>249</v>
      </c>
      <c r="BB30">
        <f t="shared" si="40"/>
        <v>5434</v>
      </c>
      <c r="BD30">
        <v>2014</v>
      </c>
      <c r="BE30">
        <v>800</v>
      </c>
      <c r="BF30">
        <v>118</v>
      </c>
      <c r="BG30">
        <f t="shared" si="41"/>
        <v>918</v>
      </c>
      <c r="BI30">
        <v>2014</v>
      </c>
      <c r="BL30">
        <f t="shared" si="42"/>
        <v>0</v>
      </c>
      <c r="BN30">
        <v>2014</v>
      </c>
      <c r="BO30">
        <v>1300</v>
      </c>
      <c r="BP30">
        <v>99</v>
      </c>
      <c r="BQ30">
        <f t="shared" si="43"/>
        <v>1399</v>
      </c>
      <c r="BS30">
        <v>2014</v>
      </c>
      <c r="BV30">
        <f t="shared" si="44"/>
        <v>0</v>
      </c>
    </row>
    <row r="31" spans="1:74">
      <c r="A31">
        <v>2015</v>
      </c>
      <c r="B31">
        <v>1327</v>
      </c>
      <c r="C31">
        <v>320</v>
      </c>
      <c r="D31">
        <f t="shared" si="30"/>
        <v>1647</v>
      </c>
      <c r="F31">
        <v>2015</v>
      </c>
      <c r="G31">
        <v>1335</v>
      </c>
      <c r="H31">
        <v>102</v>
      </c>
      <c r="I31">
        <f t="shared" si="31"/>
        <v>1437</v>
      </c>
      <c r="K31">
        <v>2015</v>
      </c>
      <c r="L31">
        <v>1043</v>
      </c>
      <c r="M31">
        <v>349</v>
      </c>
      <c r="N31">
        <f t="shared" si="32"/>
        <v>1392</v>
      </c>
      <c r="P31">
        <v>2015</v>
      </c>
      <c r="Q31">
        <v>706</v>
      </c>
      <c r="R31">
        <v>182</v>
      </c>
      <c r="S31">
        <f t="shared" si="33"/>
        <v>888</v>
      </c>
      <c r="U31">
        <v>2015</v>
      </c>
      <c r="V31">
        <v>9865</v>
      </c>
      <c r="W31">
        <v>800</v>
      </c>
      <c r="X31">
        <f t="shared" si="34"/>
        <v>10665</v>
      </c>
      <c r="Z31">
        <v>2015</v>
      </c>
      <c r="AA31">
        <v>4587</v>
      </c>
      <c r="AB31">
        <v>984</v>
      </c>
      <c r="AC31">
        <f t="shared" si="35"/>
        <v>5571</v>
      </c>
      <c r="AE31">
        <v>2015</v>
      </c>
      <c r="AF31">
        <v>158</v>
      </c>
      <c r="AG31">
        <v>22</v>
      </c>
      <c r="AH31">
        <f t="shared" si="36"/>
        <v>180</v>
      </c>
      <c r="AJ31">
        <v>2015</v>
      </c>
      <c r="AK31">
        <v>715</v>
      </c>
      <c r="AL31">
        <v>123</v>
      </c>
      <c r="AM31">
        <f t="shared" si="37"/>
        <v>838</v>
      </c>
      <c r="AO31">
        <v>2015</v>
      </c>
      <c r="AP31">
        <v>1679</v>
      </c>
      <c r="AQ31">
        <v>70</v>
      </c>
      <c r="AR31">
        <f t="shared" si="38"/>
        <v>1749</v>
      </c>
      <c r="AT31">
        <v>2015</v>
      </c>
      <c r="AU31">
        <v>17786</v>
      </c>
      <c r="AV31">
        <v>353</v>
      </c>
      <c r="AW31">
        <f t="shared" si="39"/>
        <v>18139</v>
      </c>
      <c r="AY31">
        <v>2015</v>
      </c>
      <c r="AZ31">
        <v>5185</v>
      </c>
      <c r="BA31">
        <v>802</v>
      </c>
      <c r="BB31">
        <f t="shared" si="40"/>
        <v>5987</v>
      </c>
      <c r="BD31">
        <v>2015</v>
      </c>
      <c r="BE31">
        <v>1378</v>
      </c>
      <c r="BF31">
        <v>285</v>
      </c>
      <c r="BG31">
        <f t="shared" si="41"/>
        <v>1663</v>
      </c>
      <c r="BI31">
        <v>2015</v>
      </c>
      <c r="BL31">
        <f t="shared" si="42"/>
        <v>0</v>
      </c>
      <c r="BN31">
        <v>2015</v>
      </c>
      <c r="BO31">
        <v>3399</v>
      </c>
      <c r="BP31">
        <v>410</v>
      </c>
      <c r="BQ31">
        <f t="shared" si="43"/>
        <v>3809</v>
      </c>
      <c r="BS31">
        <v>2015</v>
      </c>
      <c r="BV31">
        <f t="shared" si="44"/>
        <v>0</v>
      </c>
    </row>
    <row r="32" spans="1:74">
      <c r="A32">
        <v>2016</v>
      </c>
      <c r="B32">
        <v>2062</v>
      </c>
      <c r="C32">
        <v>414</v>
      </c>
      <c r="D32">
        <f t="shared" si="30"/>
        <v>2476</v>
      </c>
      <c r="F32">
        <v>2016</v>
      </c>
      <c r="G32">
        <v>1335</v>
      </c>
      <c r="H32">
        <v>137</v>
      </c>
      <c r="I32">
        <f t="shared" si="31"/>
        <v>1472</v>
      </c>
      <c r="K32">
        <v>2016</v>
      </c>
      <c r="L32">
        <v>1675</v>
      </c>
      <c r="M32">
        <v>421</v>
      </c>
      <c r="N32">
        <f t="shared" si="32"/>
        <v>2096</v>
      </c>
      <c r="P32">
        <v>2016</v>
      </c>
      <c r="Q32">
        <v>706</v>
      </c>
      <c r="R32">
        <v>205</v>
      </c>
      <c r="S32">
        <f t="shared" si="33"/>
        <v>911</v>
      </c>
      <c r="U32">
        <v>2016</v>
      </c>
      <c r="V32">
        <v>14250</v>
      </c>
      <c r="W32">
        <v>1593</v>
      </c>
      <c r="X32">
        <f t="shared" si="34"/>
        <v>15843</v>
      </c>
      <c r="Z32">
        <v>2016</v>
      </c>
      <c r="AA32">
        <v>16266</v>
      </c>
      <c r="AB32">
        <v>1687</v>
      </c>
      <c r="AC32">
        <f t="shared" si="35"/>
        <v>17953</v>
      </c>
      <c r="AE32">
        <v>2016</v>
      </c>
      <c r="AF32">
        <v>163</v>
      </c>
      <c r="AG32">
        <v>42</v>
      </c>
      <c r="AH32">
        <f t="shared" si="36"/>
        <v>205</v>
      </c>
      <c r="AJ32">
        <v>2016</v>
      </c>
      <c r="AK32">
        <v>837</v>
      </c>
      <c r="AL32">
        <v>156</v>
      </c>
      <c r="AM32">
        <f t="shared" si="37"/>
        <v>993</v>
      </c>
      <c r="AO32">
        <v>2016</v>
      </c>
      <c r="AP32">
        <v>1796</v>
      </c>
      <c r="AQ32">
        <v>203</v>
      </c>
      <c r="AR32">
        <f t="shared" si="38"/>
        <v>1999</v>
      </c>
      <c r="AT32">
        <v>2016</v>
      </c>
      <c r="AU32">
        <v>26088</v>
      </c>
      <c r="AV32">
        <v>612</v>
      </c>
      <c r="AW32">
        <f t="shared" si="39"/>
        <v>26700</v>
      </c>
      <c r="AY32">
        <v>2016</v>
      </c>
      <c r="AZ32">
        <v>7040</v>
      </c>
      <c r="BA32">
        <v>1117</v>
      </c>
      <c r="BB32">
        <f t="shared" si="40"/>
        <v>8157</v>
      </c>
      <c r="BD32">
        <v>2016</v>
      </c>
      <c r="BE32">
        <v>3312</v>
      </c>
      <c r="BF32">
        <v>362</v>
      </c>
      <c r="BG32">
        <f t="shared" si="41"/>
        <v>3674</v>
      </c>
      <c r="BI32">
        <v>2016</v>
      </c>
      <c r="BL32">
        <f t="shared" si="42"/>
        <v>0</v>
      </c>
      <c r="BN32">
        <v>2016</v>
      </c>
      <c r="BO32">
        <v>3399</v>
      </c>
      <c r="BP32">
        <v>480</v>
      </c>
      <c r="BQ32">
        <f t="shared" si="43"/>
        <v>3879</v>
      </c>
      <c r="BS32">
        <v>2016</v>
      </c>
      <c r="BV32">
        <f t="shared" si="44"/>
        <v>0</v>
      </c>
    </row>
    <row r="33" spans="1:74">
      <c r="A33">
        <v>2017</v>
      </c>
      <c r="B33">
        <v>3178</v>
      </c>
      <c r="C33">
        <v>528</v>
      </c>
      <c r="D33">
        <f t="shared" si="30"/>
        <v>3706</v>
      </c>
      <c r="F33">
        <v>2017</v>
      </c>
      <c r="G33">
        <v>1485</v>
      </c>
      <c r="H33">
        <v>280</v>
      </c>
      <c r="I33">
        <f t="shared" si="31"/>
        <v>1765</v>
      </c>
      <c r="K33">
        <v>2017</v>
      </c>
      <c r="L33">
        <v>2114</v>
      </c>
      <c r="M33">
        <v>467</v>
      </c>
      <c r="N33">
        <f t="shared" si="32"/>
        <v>2581</v>
      </c>
      <c r="P33">
        <v>2017</v>
      </c>
      <c r="Q33">
        <v>706</v>
      </c>
      <c r="R33">
        <v>241</v>
      </c>
      <c r="S33">
        <f t="shared" si="33"/>
        <v>947</v>
      </c>
      <c r="U33">
        <v>2017</v>
      </c>
      <c r="V33">
        <v>14407</v>
      </c>
      <c r="W33">
        <v>1904</v>
      </c>
      <c r="X33">
        <f t="shared" si="34"/>
        <v>16311</v>
      </c>
      <c r="Z33">
        <v>2017</v>
      </c>
      <c r="AA33">
        <v>22213</v>
      </c>
      <c r="AB33">
        <v>3027</v>
      </c>
      <c r="AC33">
        <f t="shared" si="35"/>
        <v>25240</v>
      </c>
      <c r="AE33">
        <v>2017</v>
      </c>
      <c r="AF33">
        <v>206</v>
      </c>
      <c r="AG33">
        <v>66</v>
      </c>
      <c r="AH33">
        <f t="shared" si="36"/>
        <v>272</v>
      </c>
      <c r="AJ33">
        <v>2017</v>
      </c>
      <c r="AK33">
        <v>837</v>
      </c>
      <c r="AL33">
        <v>172</v>
      </c>
      <c r="AM33">
        <f t="shared" si="37"/>
        <v>1009</v>
      </c>
      <c r="AO33">
        <v>2017</v>
      </c>
      <c r="AP33">
        <v>2298</v>
      </c>
      <c r="AQ33">
        <v>443</v>
      </c>
      <c r="AR33">
        <f t="shared" si="38"/>
        <v>2741</v>
      </c>
      <c r="AT33">
        <v>2017</v>
      </c>
      <c r="AU33">
        <v>32120</v>
      </c>
      <c r="AV33">
        <v>755</v>
      </c>
      <c r="AW33">
        <f t="shared" si="39"/>
        <v>32875</v>
      </c>
      <c r="AY33">
        <v>2017</v>
      </c>
      <c r="AZ33">
        <v>8292</v>
      </c>
      <c r="BA33">
        <v>2041</v>
      </c>
      <c r="BB33">
        <f t="shared" si="40"/>
        <v>10333</v>
      </c>
      <c r="BD33">
        <v>2017</v>
      </c>
      <c r="BE33">
        <v>4312</v>
      </c>
      <c r="BF33">
        <v>662</v>
      </c>
      <c r="BG33">
        <f t="shared" si="41"/>
        <v>4974</v>
      </c>
      <c r="BI33">
        <v>2017</v>
      </c>
      <c r="BL33">
        <f t="shared" si="42"/>
        <v>0</v>
      </c>
      <c r="BN33">
        <v>2017</v>
      </c>
      <c r="BO33">
        <v>3460</v>
      </c>
      <c r="BP33">
        <v>569</v>
      </c>
      <c r="BQ33">
        <f t="shared" si="43"/>
        <v>4029</v>
      </c>
      <c r="BS33">
        <v>2017</v>
      </c>
      <c r="BV33">
        <f t="shared" si="44"/>
        <v>0</v>
      </c>
    </row>
    <row r="35" spans="1:74">
      <c r="B35" t="s">
        <v>568</v>
      </c>
      <c r="C35" t="s">
        <v>569</v>
      </c>
      <c r="D35" t="s">
        <v>570</v>
      </c>
      <c r="G35" t="s">
        <v>568</v>
      </c>
      <c r="H35" t="s">
        <v>569</v>
      </c>
      <c r="I35" t="s">
        <v>570</v>
      </c>
      <c r="L35" t="s">
        <v>568</v>
      </c>
      <c r="M35" t="s">
        <v>569</v>
      </c>
      <c r="N35" t="s">
        <v>570</v>
      </c>
      <c r="Q35" t="s">
        <v>568</v>
      </c>
      <c r="R35" t="s">
        <v>569</v>
      </c>
      <c r="S35" t="s">
        <v>570</v>
      </c>
      <c r="V35" t="s">
        <v>568</v>
      </c>
      <c r="W35" t="s">
        <v>569</v>
      </c>
      <c r="X35" t="s">
        <v>570</v>
      </c>
      <c r="AA35" t="s">
        <v>568</v>
      </c>
      <c r="AB35" t="s">
        <v>569</v>
      </c>
      <c r="AC35" t="s">
        <v>570</v>
      </c>
      <c r="AF35" t="s">
        <v>568</v>
      </c>
      <c r="AG35" t="s">
        <v>569</v>
      </c>
      <c r="AH35" t="s">
        <v>570</v>
      </c>
      <c r="AK35" t="s">
        <v>568</v>
      </c>
      <c r="AL35" t="s">
        <v>569</v>
      </c>
      <c r="AM35" t="s">
        <v>570</v>
      </c>
      <c r="AP35" t="s">
        <v>568</v>
      </c>
      <c r="AQ35" t="s">
        <v>569</v>
      </c>
      <c r="AR35" t="s">
        <v>570</v>
      </c>
      <c r="AU35" t="s">
        <v>568</v>
      </c>
      <c r="AV35" t="s">
        <v>569</v>
      </c>
      <c r="AW35" t="s">
        <v>570</v>
      </c>
      <c r="AZ35" t="s">
        <v>568</v>
      </c>
      <c r="BA35" t="s">
        <v>569</v>
      </c>
      <c r="BB35" t="s">
        <v>570</v>
      </c>
      <c r="BE35" t="s">
        <v>568</v>
      </c>
      <c r="BF35" t="s">
        <v>569</v>
      </c>
      <c r="BG35" t="s">
        <v>570</v>
      </c>
      <c r="BJ35" t="s">
        <v>568</v>
      </c>
      <c r="BK35" t="s">
        <v>569</v>
      </c>
      <c r="BL35" t="s">
        <v>570</v>
      </c>
      <c r="BO35" t="s">
        <v>568</v>
      </c>
      <c r="BP35" t="s">
        <v>569</v>
      </c>
      <c r="BQ35" t="s">
        <v>570</v>
      </c>
      <c r="BT35" t="s">
        <v>568</v>
      </c>
      <c r="BU35" t="s">
        <v>569</v>
      </c>
      <c r="BV35" t="s">
        <v>570</v>
      </c>
    </row>
    <row r="36" spans="1:74">
      <c r="A36">
        <v>2009</v>
      </c>
      <c r="B36" s="84">
        <f>B14/B3*100</f>
        <v>0</v>
      </c>
      <c r="C36" s="84" t="e">
        <f>C14/C3*100</f>
        <v>#DIV/0!</v>
      </c>
      <c r="D36" s="84">
        <f t="shared" ref="D36:D43" si="45">D14/D3*100/1000</f>
        <v>0</v>
      </c>
      <c r="F36">
        <v>2009</v>
      </c>
      <c r="G36" s="84" t="e">
        <f t="shared" ref="G36:I44" si="46">G14/G3*100/1000</f>
        <v>#DIV/0!</v>
      </c>
      <c r="H36" s="84" t="e">
        <f t="shared" si="46"/>
        <v>#DIV/0!</v>
      </c>
      <c r="I36" s="84" t="e">
        <f t="shared" si="46"/>
        <v>#DIV/0!</v>
      </c>
      <c r="K36">
        <v>2009</v>
      </c>
      <c r="L36" s="84">
        <f t="shared" ref="L36:N44" si="47">L14/L3*100/1000</f>
        <v>155</v>
      </c>
      <c r="M36" s="84" t="e">
        <f t="shared" si="47"/>
        <v>#DIV/0!</v>
      </c>
      <c r="N36" s="84">
        <f t="shared" si="47"/>
        <v>155</v>
      </c>
      <c r="P36">
        <v>2009</v>
      </c>
      <c r="Q36" s="84" t="e">
        <f t="shared" ref="Q36:S44" si="48">Q14/Q3*100/1000</f>
        <v>#DIV/0!</v>
      </c>
      <c r="R36" s="84" t="e">
        <f t="shared" si="48"/>
        <v>#DIV/0!</v>
      </c>
      <c r="S36" s="84" t="e">
        <f t="shared" si="48"/>
        <v>#DIV/0!</v>
      </c>
      <c r="U36">
        <v>2009</v>
      </c>
      <c r="V36" s="84" t="e">
        <f t="shared" ref="V36:X44" si="49">V14/V3*100/1000</f>
        <v>#DIV/0!</v>
      </c>
      <c r="W36" s="84" t="e">
        <f t="shared" si="49"/>
        <v>#DIV/0!</v>
      </c>
      <c r="X36" s="84" t="e">
        <f t="shared" si="49"/>
        <v>#DIV/0!</v>
      </c>
      <c r="Z36">
        <v>2009</v>
      </c>
      <c r="AA36" s="84" t="e">
        <f t="shared" ref="AA36:AC44" si="50">AA14/AA3*100/1000</f>
        <v>#DIV/0!</v>
      </c>
      <c r="AB36" s="84" t="e">
        <f t="shared" si="50"/>
        <v>#DIV/0!</v>
      </c>
      <c r="AC36" s="84" t="e">
        <f t="shared" si="50"/>
        <v>#DIV/0!</v>
      </c>
      <c r="AD36" s="84"/>
      <c r="AE36">
        <v>2009</v>
      </c>
      <c r="AF36" s="84" t="e">
        <f t="shared" ref="AF36:AH44" si="51">AF14/AF3*100/1000</f>
        <v>#DIV/0!</v>
      </c>
      <c r="AG36" s="84" t="e">
        <f t="shared" si="51"/>
        <v>#DIV/0!</v>
      </c>
      <c r="AH36" s="84" t="e">
        <f t="shared" si="51"/>
        <v>#DIV/0!</v>
      </c>
      <c r="AJ36">
        <v>2009</v>
      </c>
      <c r="AK36" s="84" t="e">
        <f t="shared" ref="AK36:AM44" si="52">AK14/AK3*100/1000</f>
        <v>#DIV/0!</v>
      </c>
      <c r="AL36" s="84" t="e">
        <f t="shared" si="52"/>
        <v>#DIV/0!</v>
      </c>
      <c r="AM36" s="84" t="e">
        <f t="shared" si="52"/>
        <v>#DIV/0!</v>
      </c>
      <c r="AO36">
        <v>2009</v>
      </c>
      <c r="AP36" s="84" t="e">
        <f t="shared" ref="AP36:AR44" si="53">AP14/AP3*100/1000</f>
        <v>#DIV/0!</v>
      </c>
      <c r="AQ36" s="84" t="e">
        <f t="shared" si="53"/>
        <v>#DIV/0!</v>
      </c>
      <c r="AR36" s="84" t="e">
        <f t="shared" si="53"/>
        <v>#DIV/0!</v>
      </c>
      <c r="AT36">
        <v>2009</v>
      </c>
      <c r="AU36" s="84" t="e">
        <f t="shared" ref="AU36:AW44" si="54">AU14/AU3*100/1000</f>
        <v>#DIV/0!</v>
      </c>
      <c r="AV36" s="84" t="e">
        <f t="shared" si="54"/>
        <v>#DIV/0!</v>
      </c>
      <c r="AW36" s="84" t="e">
        <f t="shared" si="54"/>
        <v>#DIV/0!</v>
      </c>
      <c r="AY36">
        <v>2009</v>
      </c>
      <c r="AZ36" s="84" t="e">
        <f t="shared" ref="AZ36:BB44" si="55">AZ14/AZ3*100/1000</f>
        <v>#DIV/0!</v>
      </c>
      <c r="BA36" s="84" t="e">
        <f t="shared" si="55"/>
        <v>#DIV/0!</v>
      </c>
      <c r="BB36" s="84" t="e">
        <f t="shared" si="55"/>
        <v>#DIV/0!</v>
      </c>
      <c r="BD36">
        <v>2009</v>
      </c>
      <c r="BE36" s="84" t="e">
        <f t="shared" ref="BE36:BG44" si="56">BE14/BE3*100/1000</f>
        <v>#DIV/0!</v>
      </c>
      <c r="BF36" s="84" t="e">
        <f t="shared" si="56"/>
        <v>#DIV/0!</v>
      </c>
      <c r="BG36" s="84" t="e">
        <f t="shared" si="56"/>
        <v>#DIV/0!</v>
      </c>
      <c r="BH36" s="84"/>
      <c r="BI36">
        <v>2009</v>
      </c>
      <c r="BJ36" s="84" t="e">
        <f t="shared" ref="BJ36:BL44" si="57">BJ14/BJ3*100/1000</f>
        <v>#DIV/0!</v>
      </c>
      <c r="BK36" s="84" t="e">
        <f t="shared" si="57"/>
        <v>#DIV/0!</v>
      </c>
      <c r="BL36" s="84" t="e">
        <f t="shared" si="57"/>
        <v>#DIV/0!</v>
      </c>
      <c r="BN36">
        <v>2009</v>
      </c>
      <c r="BO36" s="84">
        <f t="shared" ref="BO36:BQ44" si="58">BO14/BO3*100/1000</f>
        <v>0</v>
      </c>
      <c r="BP36" s="84" t="e">
        <f t="shared" si="58"/>
        <v>#DIV/0!</v>
      </c>
      <c r="BQ36" s="84">
        <f t="shared" si="58"/>
        <v>0</v>
      </c>
      <c r="BS36">
        <v>2009</v>
      </c>
      <c r="BT36" s="84">
        <f t="shared" ref="BT36:BV44" si="59">BT14/BT3*100/1000</f>
        <v>1994.9900000000002</v>
      </c>
      <c r="BU36" s="84" t="e">
        <f t="shared" si="59"/>
        <v>#DIV/0!</v>
      </c>
      <c r="BV36" s="84">
        <f t="shared" si="59"/>
        <v>1994.9900000000002</v>
      </c>
    </row>
    <row r="37" spans="1:74">
      <c r="A37">
        <v>2010</v>
      </c>
      <c r="B37" s="84">
        <f t="shared" ref="B37:C44" si="60">B15/B4*100/1000</f>
        <v>373.33333333333337</v>
      </c>
      <c r="C37" s="84" t="e">
        <f t="shared" si="60"/>
        <v>#DIV/0!</v>
      </c>
      <c r="D37" s="84">
        <f t="shared" si="45"/>
        <v>373.33333333333337</v>
      </c>
      <c r="F37">
        <v>2010</v>
      </c>
      <c r="G37" s="84">
        <f t="shared" si="46"/>
        <v>0</v>
      </c>
      <c r="H37" s="84" t="e">
        <f t="shared" si="46"/>
        <v>#DIV/0!</v>
      </c>
      <c r="I37" s="84">
        <f t="shared" si="46"/>
        <v>0</v>
      </c>
      <c r="K37">
        <v>2010</v>
      </c>
      <c r="L37" s="84">
        <f t="shared" si="47"/>
        <v>150</v>
      </c>
      <c r="M37" s="84" t="e">
        <f t="shared" si="47"/>
        <v>#DIV/0!</v>
      </c>
      <c r="N37" s="84">
        <f t="shared" si="47"/>
        <v>150</v>
      </c>
      <c r="P37">
        <v>2010</v>
      </c>
      <c r="Q37" s="84" t="e">
        <f t="shared" si="48"/>
        <v>#DIV/0!</v>
      </c>
      <c r="R37" s="84" t="e">
        <f t="shared" si="48"/>
        <v>#DIV/0!</v>
      </c>
      <c r="S37" s="84" t="e">
        <f t="shared" si="48"/>
        <v>#DIV/0!</v>
      </c>
      <c r="U37">
        <v>2010</v>
      </c>
      <c r="V37" s="84">
        <f t="shared" si="49"/>
        <v>1840</v>
      </c>
      <c r="W37" s="84" t="e">
        <f t="shared" si="49"/>
        <v>#DIV/0!</v>
      </c>
      <c r="X37" s="84">
        <f t="shared" si="49"/>
        <v>1840</v>
      </c>
      <c r="Z37">
        <v>2010</v>
      </c>
      <c r="AA37" s="84" t="e">
        <f t="shared" si="50"/>
        <v>#DIV/0!</v>
      </c>
      <c r="AB37" s="84" t="e">
        <f t="shared" si="50"/>
        <v>#DIV/0!</v>
      </c>
      <c r="AC37" s="84" t="e">
        <f t="shared" si="50"/>
        <v>#DIV/0!</v>
      </c>
      <c r="AD37" s="84"/>
      <c r="AE37">
        <v>2010</v>
      </c>
      <c r="AF37" s="84" t="e">
        <f t="shared" si="51"/>
        <v>#DIV/0!</v>
      </c>
      <c r="AG37" s="84" t="e">
        <f t="shared" si="51"/>
        <v>#DIV/0!</v>
      </c>
      <c r="AH37" s="84" t="e">
        <f t="shared" si="51"/>
        <v>#DIV/0!</v>
      </c>
      <c r="AI37">
        <v>61.323999999999998</v>
      </c>
      <c r="AJ37">
        <v>2010</v>
      </c>
      <c r="AK37" s="84">
        <f t="shared" si="52"/>
        <v>90</v>
      </c>
      <c r="AL37" s="84" t="e">
        <f t="shared" si="52"/>
        <v>#DIV/0!</v>
      </c>
      <c r="AM37" s="84">
        <f t="shared" si="52"/>
        <v>90</v>
      </c>
      <c r="AO37">
        <v>2010</v>
      </c>
      <c r="AP37" s="84">
        <f t="shared" si="53"/>
        <v>1333.3333333333335</v>
      </c>
      <c r="AQ37" s="84" t="e">
        <f t="shared" si="53"/>
        <v>#DIV/0!</v>
      </c>
      <c r="AR37" s="84">
        <f t="shared" si="53"/>
        <v>1333.3333333333335</v>
      </c>
      <c r="AT37">
        <v>2010</v>
      </c>
      <c r="AU37" s="84" t="e">
        <f t="shared" si="54"/>
        <v>#DIV/0!</v>
      </c>
      <c r="AV37" s="84" t="e">
        <f t="shared" si="54"/>
        <v>#DIV/0!</v>
      </c>
      <c r="AW37" s="84" t="e">
        <f t="shared" si="54"/>
        <v>#DIV/0!</v>
      </c>
      <c r="AY37">
        <v>2010</v>
      </c>
      <c r="AZ37" s="84">
        <f t="shared" si="55"/>
        <v>137.09677419354838</v>
      </c>
      <c r="BA37" s="84" t="e">
        <f t="shared" si="55"/>
        <v>#DIV/0!</v>
      </c>
      <c r="BB37" s="84">
        <f t="shared" si="55"/>
        <v>137.09677419354838</v>
      </c>
      <c r="BD37">
        <v>2010</v>
      </c>
      <c r="BE37" s="84">
        <f t="shared" si="56"/>
        <v>730</v>
      </c>
      <c r="BF37" s="84" t="e">
        <f t="shared" si="56"/>
        <v>#DIV/0!</v>
      </c>
      <c r="BG37" s="84">
        <f t="shared" si="56"/>
        <v>730</v>
      </c>
      <c r="BH37" s="84"/>
      <c r="BI37">
        <v>2010</v>
      </c>
      <c r="BJ37" s="84">
        <f t="shared" si="57"/>
        <v>300</v>
      </c>
      <c r="BK37" s="84" t="e">
        <f t="shared" si="57"/>
        <v>#DIV/0!</v>
      </c>
      <c r="BL37" s="84">
        <f t="shared" si="57"/>
        <v>300</v>
      </c>
      <c r="BN37">
        <v>2010</v>
      </c>
      <c r="BO37" s="84">
        <f t="shared" si="58"/>
        <v>307.5</v>
      </c>
      <c r="BP37" s="84" t="e">
        <f t="shared" si="58"/>
        <v>#DIV/0!</v>
      </c>
      <c r="BQ37" s="84">
        <f t="shared" si="58"/>
        <v>307.5</v>
      </c>
      <c r="BS37">
        <v>2010</v>
      </c>
      <c r="BT37" s="84">
        <f t="shared" si="59"/>
        <v>1817.8557142857146</v>
      </c>
      <c r="BU37" s="84" t="e">
        <f t="shared" si="59"/>
        <v>#DIV/0!</v>
      </c>
      <c r="BV37" s="84">
        <f t="shared" si="59"/>
        <v>1817.8557142857146</v>
      </c>
    </row>
    <row r="38" spans="1:74">
      <c r="A38">
        <v>2011</v>
      </c>
      <c r="B38" s="84">
        <f t="shared" si="60"/>
        <v>350.55555555555554</v>
      </c>
      <c r="C38" s="84" t="e">
        <f t="shared" si="60"/>
        <v>#DIV/0!</v>
      </c>
      <c r="D38" s="84">
        <f t="shared" si="45"/>
        <v>350.55555555555554</v>
      </c>
      <c r="F38">
        <v>2011</v>
      </c>
      <c r="G38" s="84">
        <f t="shared" si="46"/>
        <v>576</v>
      </c>
      <c r="H38" s="84" t="e">
        <f t="shared" si="46"/>
        <v>#DIV/0!</v>
      </c>
      <c r="I38" s="84">
        <f t="shared" si="46"/>
        <v>576</v>
      </c>
      <c r="K38">
        <v>2011</v>
      </c>
      <c r="L38" s="84">
        <f t="shared" si="47"/>
        <v>172.91666666666669</v>
      </c>
      <c r="M38" s="84" t="e">
        <f t="shared" si="47"/>
        <v>#DIV/0!</v>
      </c>
      <c r="N38" s="84">
        <f t="shared" si="47"/>
        <v>172.91666666666669</v>
      </c>
      <c r="P38">
        <v>2011</v>
      </c>
      <c r="Q38" s="84">
        <f t="shared" si="48"/>
        <v>145</v>
      </c>
      <c r="R38" s="84" t="e">
        <f t="shared" si="48"/>
        <v>#DIV/0!</v>
      </c>
      <c r="S38" s="84">
        <f t="shared" si="48"/>
        <v>145</v>
      </c>
      <c r="U38">
        <v>2011</v>
      </c>
      <c r="V38" s="84">
        <f t="shared" si="49"/>
        <v>2191.666666666667</v>
      </c>
      <c r="W38" s="84" t="e">
        <f t="shared" si="49"/>
        <v>#DIV/0!</v>
      </c>
      <c r="X38" s="84">
        <f t="shared" si="49"/>
        <v>2191.666666666667</v>
      </c>
      <c r="Z38">
        <v>2011</v>
      </c>
      <c r="AA38" s="84">
        <f t="shared" si="50"/>
        <v>3046.666666666667</v>
      </c>
      <c r="AB38" s="84">
        <f t="shared" si="50"/>
        <v>0</v>
      </c>
      <c r="AC38" s="84">
        <f t="shared" si="50"/>
        <v>2611.428571428572</v>
      </c>
      <c r="AD38" s="84"/>
      <c r="AE38">
        <v>2011</v>
      </c>
      <c r="AF38" s="84">
        <f t="shared" si="51"/>
        <v>45</v>
      </c>
      <c r="AG38" s="84" t="e">
        <f t="shared" si="51"/>
        <v>#DIV/0!</v>
      </c>
      <c r="AH38" s="84">
        <f t="shared" si="51"/>
        <v>45</v>
      </c>
      <c r="AI38">
        <v>76.328000000000003</v>
      </c>
      <c r="AJ38">
        <v>2011</v>
      </c>
      <c r="AK38" s="84">
        <f t="shared" si="52"/>
        <v>92</v>
      </c>
      <c r="AL38" s="84" t="e">
        <f t="shared" si="52"/>
        <v>#DIV/0!</v>
      </c>
      <c r="AM38" s="84">
        <f t="shared" si="52"/>
        <v>92</v>
      </c>
      <c r="AO38">
        <v>2011</v>
      </c>
      <c r="AP38" s="84">
        <f t="shared" si="53"/>
        <v>1170</v>
      </c>
      <c r="AQ38" s="84" t="e">
        <f t="shared" si="53"/>
        <v>#DIV/0!</v>
      </c>
      <c r="AR38" s="84">
        <f t="shared" si="53"/>
        <v>1170</v>
      </c>
      <c r="AT38">
        <v>2011</v>
      </c>
      <c r="AU38" s="84">
        <f t="shared" si="54"/>
        <v>566</v>
      </c>
      <c r="AV38" s="84" t="e">
        <f t="shared" si="54"/>
        <v>#DIV/0!</v>
      </c>
      <c r="AW38" s="84">
        <f t="shared" si="54"/>
        <v>566</v>
      </c>
      <c r="AY38">
        <v>2011</v>
      </c>
      <c r="AZ38" s="84">
        <f t="shared" si="55"/>
        <v>138.62068965517241</v>
      </c>
      <c r="BA38" s="84" t="e">
        <f t="shared" si="55"/>
        <v>#DIV/0!</v>
      </c>
      <c r="BB38" s="84">
        <f t="shared" si="55"/>
        <v>138.62068965517241</v>
      </c>
      <c r="BD38">
        <v>2011</v>
      </c>
      <c r="BE38" s="84">
        <f t="shared" si="56"/>
        <v>811.42857142857133</v>
      </c>
      <c r="BF38" s="84" t="e">
        <f t="shared" si="56"/>
        <v>#DIV/0!</v>
      </c>
      <c r="BG38" s="84">
        <f t="shared" si="56"/>
        <v>822.85714285714278</v>
      </c>
      <c r="BH38" s="84"/>
      <c r="BI38">
        <v>2011</v>
      </c>
      <c r="BJ38" s="84">
        <f t="shared" si="57"/>
        <v>305</v>
      </c>
      <c r="BK38" s="84" t="e">
        <f t="shared" si="57"/>
        <v>#DIV/0!</v>
      </c>
      <c r="BL38" s="84">
        <f t="shared" si="57"/>
        <v>305</v>
      </c>
      <c r="BN38">
        <v>2011</v>
      </c>
      <c r="BO38" s="84">
        <f t="shared" si="58"/>
        <v>306.15384615384613</v>
      </c>
      <c r="BP38" s="84">
        <f t="shared" si="58"/>
        <v>380</v>
      </c>
      <c r="BQ38" s="84">
        <f t="shared" si="58"/>
        <v>311.42857142857139</v>
      </c>
      <c r="BS38">
        <v>2011</v>
      </c>
      <c r="BT38" s="84">
        <f t="shared" si="59"/>
        <v>1788.3333333333335</v>
      </c>
      <c r="BU38" s="84" t="e">
        <f t="shared" si="59"/>
        <v>#DIV/0!</v>
      </c>
      <c r="BV38" s="84">
        <f t="shared" si="59"/>
        <v>1800</v>
      </c>
    </row>
    <row r="39" spans="1:74">
      <c r="A39">
        <v>2012</v>
      </c>
      <c r="B39" s="84">
        <f t="shared" si="60"/>
        <v>328.46153846153845</v>
      </c>
      <c r="C39" s="84">
        <f t="shared" si="60"/>
        <v>333.75</v>
      </c>
      <c r="D39" s="84">
        <f t="shared" si="45"/>
        <v>330.47619047619048</v>
      </c>
      <c r="F39">
        <v>2012</v>
      </c>
      <c r="G39" s="84">
        <f t="shared" si="46"/>
        <v>487.5</v>
      </c>
      <c r="H39" s="84">
        <f t="shared" si="46"/>
        <v>465.71428571428567</v>
      </c>
      <c r="I39" s="84">
        <f t="shared" si="46"/>
        <v>479.47368421052636</v>
      </c>
      <c r="K39">
        <v>2012</v>
      </c>
      <c r="L39" s="84">
        <f t="shared" si="47"/>
        <v>168.21428571428569</v>
      </c>
      <c r="M39" s="84">
        <f t="shared" si="47"/>
        <v>165</v>
      </c>
      <c r="N39" s="84">
        <f t="shared" si="47"/>
        <v>167.99999999999997</v>
      </c>
      <c r="P39">
        <v>2012</v>
      </c>
      <c r="Q39" s="84">
        <f t="shared" si="48"/>
        <v>102</v>
      </c>
      <c r="R39" s="84">
        <f t="shared" si="48"/>
        <v>106.66666666666667</v>
      </c>
      <c r="S39" s="84">
        <f t="shared" si="48"/>
        <v>105.29411764705883</v>
      </c>
      <c r="U39">
        <v>2012</v>
      </c>
      <c r="V39" s="84">
        <f t="shared" si="49"/>
        <v>1887.6666666666667</v>
      </c>
      <c r="W39" s="84">
        <f t="shared" si="49"/>
        <v>1670</v>
      </c>
      <c r="X39" s="84">
        <f t="shared" si="49"/>
        <v>1862.0588235294117</v>
      </c>
      <c r="Z39">
        <v>2012</v>
      </c>
      <c r="AA39" s="84">
        <f t="shared" si="50"/>
        <v>3193.75</v>
      </c>
      <c r="AB39" s="84">
        <f t="shared" si="50"/>
        <v>3080</v>
      </c>
      <c r="AC39" s="84">
        <f t="shared" si="50"/>
        <v>3155.8333333333335</v>
      </c>
      <c r="AD39" s="84"/>
      <c r="AE39">
        <v>2012</v>
      </c>
      <c r="AF39" s="84">
        <f t="shared" si="51"/>
        <v>40</v>
      </c>
      <c r="AG39" s="84">
        <f t="shared" si="51"/>
        <v>56.666666666666671</v>
      </c>
      <c r="AH39" s="84">
        <f t="shared" si="51"/>
        <v>50</v>
      </c>
      <c r="AI39">
        <v>106.67100000000001</v>
      </c>
      <c r="AJ39">
        <v>2012</v>
      </c>
      <c r="AK39" s="84">
        <f t="shared" si="52"/>
        <v>81.764705882352942</v>
      </c>
      <c r="AL39" s="84" t="e">
        <f t="shared" si="52"/>
        <v>#DIV/0!</v>
      </c>
      <c r="AM39" s="84">
        <f t="shared" si="52"/>
        <v>81.764705882352942</v>
      </c>
      <c r="AO39">
        <v>2012</v>
      </c>
      <c r="AP39" s="84">
        <f t="shared" si="53"/>
        <v>1267.5</v>
      </c>
      <c r="AQ39" s="84">
        <f t="shared" si="53"/>
        <v>1450</v>
      </c>
      <c r="AR39" s="84">
        <f t="shared" si="53"/>
        <v>1304</v>
      </c>
      <c r="AT39">
        <v>2012</v>
      </c>
      <c r="AU39" s="84">
        <f t="shared" si="54"/>
        <v>517.5</v>
      </c>
      <c r="AV39" s="84">
        <f t="shared" si="54"/>
        <v>503.02325581395354</v>
      </c>
      <c r="AW39" s="84">
        <f t="shared" si="54"/>
        <v>505.29411764705884</v>
      </c>
      <c r="AY39">
        <v>2012</v>
      </c>
      <c r="AZ39" s="84">
        <f t="shared" si="55"/>
        <v>137.83870967741933</v>
      </c>
      <c r="BA39" s="84">
        <f t="shared" si="55"/>
        <v>136</v>
      </c>
      <c r="BB39" s="84">
        <f t="shared" si="55"/>
        <v>137.70149253731344</v>
      </c>
      <c r="BD39">
        <v>2012</v>
      </c>
      <c r="BE39" s="84">
        <f t="shared" si="56"/>
        <v>738.33333333333337</v>
      </c>
      <c r="BF39" s="84">
        <f t="shared" si="56"/>
        <v>545</v>
      </c>
      <c r="BG39" s="84">
        <f t="shared" si="56"/>
        <v>690</v>
      </c>
      <c r="BH39" s="84"/>
      <c r="BI39">
        <v>2012</v>
      </c>
      <c r="BJ39" s="84">
        <f t="shared" si="57"/>
        <v>300</v>
      </c>
      <c r="BK39" s="84">
        <f t="shared" si="57"/>
        <v>285.65217391304344</v>
      </c>
      <c r="BL39" s="84">
        <f t="shared" si="57"/>
        <v>290</v>
      </c>
      <c r="BN39">
        <v>2012</v>
      </c>
      <c r="BO39" s="84">
        <f t="shared" si="58"/>
        <v>330.71428571428567</v>
      </c>
      <c r="BP39" s="84">
        <f t="shared" si="58"/>
        <v>328.33333333333337</v>
      </c>
      <c r="BQ39" s="84">
        <f t="shared" si="58"/>
        <v>329.61538461538464</v>
      </c>
      <c r="BS39">
        <v>2012</v>
      </c>
      <c r="BT39" s="84">
        <f t="shared" si="59"/>
        <v>2022.8571428571427</v>
      </c>
      <c r="BU39" s="84">
        <f t="shared" si="59"/>
        <v>1978</v>
      </c>
      <c r="BV39" s="84">
        <f t="shared" si="59"/>
        <v>2004.1666666666665</v>
      </c>
    </row>
    <row r="40" spans="1:74">
      <c r="A40">
        <v>2013</v>
      </c>
      <c r="B40" s="84">
        <f t="shared" si="60"/>
        <v>327</v>
      </c>
      <c r="C40" s="84">
        <f t="shared" si="60"/>
        <v>306.66666666666669</v>
      </c>
      <c r="D40" s="84">
        <f t="shared" si="45"/>
        <v>322.30769230769232</v>
      </c>
      <c r="F40">
        <v>2013</v>
      </c>
      <c r="G40" s="84">
        <f t="shared" si="46"/>
        <v>494</v>
      </c>
      <c r="H40" s="84">
        <f t="shared" si="46"/>
        <v>455.71428571428567</v>
      </c>
      <c r="I40" s="84">
        <f t="shared" si="46"/>
        <v>478.23529411764707</v>
      </c>
      <c r="K40">
        <v>2013</v>
      </c>
      <c r="L40" s="84">
        <f t="shared" si="47"/>
        <v>184.07407407407408</v>
      </c>
      <c r="M40" s="84">
        <f t="shared" si="47"/>
        <v>110</v>
      </c>
      <c r="N40" s="84">
        <f t="shared" si="47"/>
        <v>181.42857142857142</v>
      </c>
      <c r="P40">
        <v>2013</v>
      </c>
      <c r="Q40" s="84">
        <f t="shared" si="48"/>
        <v>100</v>
      </c>
      <c r="R40" s="84">
        <f t="shared" si="48"/>
        <v>105</v>
      </c>
      <c r="S40" s="84">
        <f t="shared" si="48"/>
        <v>103.8095238095238</v>
      </c>
      <c r="U40">
        <v>2013</v>
      </c>
      <c r="V40" s="84">
        <f t="shared" si="49"/>
        <v>1791.6326530612243</v>
      </c>
      <c r="W40" s="84">
        <f t="shared" si="49"/>
        <v>1726</v>
      </c>
      <c r="X40" s="84">
        <f t="shared" si="49"/>
        <v>1785.5555555555554</v>
      </c>
      <c r="Z40">
        <v>2013</v>
      </c>
      <c r="AA40" s="84">
        <f t="shared" si="50"/>
        <v>2875.7894736842104</v>
      </c>
      <c r="AB40" s="84">
        <f t="shared" si="50"/>
        <v>2760</v>
      </c>
      <c r="AC40" s="84">
        <f t="shared" si="50"/>
        <v>2848</v>
      </c>
      <c r="AD40" s="84"/>
      <c r="AE40">
        <v>2013</v>
      </c>
      <c r="AF40" s="84">
        <f t="shared" si="51"/>
        <v>55</v>
      </c>
      <c r="AG40" s="84">
        <f t="shared" si="51"/>
        <v>65</v>
      </c>
      <c r="AH40" s="84">
        <f t="shared" si="51"/>
        <v>60</v>
      </c>
      <c r="AI40">
        <v>126.937</v>
      </c>
      <c r="AJ40">
        <v>2013</v>
      </c>
      <c r="AK40" s="84">
        <f t="shared" si="52"/>
        <v>78.333333333333343</v>
      </c>
      <c r="AL40" s="84" t="e">
        <f t="shared" si="52"/>
        <v>#DIV/0!</v>
      </c>
      <c r="AM40" s="84">
        <f t="shared" si="52"/>
        <v>78.333333333333343</v>
      </c>
      <c r="AO40">
        <v>2013</v>
      </c>
      <c r="AP40" s="84">
        <f t="shared" si="53"/>
        <v>1393.3333333333335</v>
      </c>
      <c r="AQ40" s="84">
        <f t="shared" si="53"/>
        <v>1090</v>
      </c>
      <c r="AR40" s="84">
        <f t="shared" si="53"/>
        <v>1317.5</v>
      </c>
      <c r="AT40">
        <v>2013</v>
      </c>
      <c r="AU40" s="84">
        <f t="shared" si="54"/>
        <v>413.72881355932202</v>
      </c>
      <c r="AV40" s="84">
        <f t="shared" si="54"/>
        <v>416.61157024793391</v>
      </c>
      <c r="AW40" s="84">
        <f t="shared" si="54"/>
        <v>416.29834254143657</v>
      </c>
      <c r="AY40">
        <v>2013</v>
      </c>
      <c r="AZ40" s="84">
        <f t="shared" si="55"/>
        <v>142.1761658031088</v>
      </c>
      <c r="BA40" s="84">
        <f t="shared" si="55"/>
        <v>140.86956521739128</v>
      </c>
      <c r="BB40" s="84">
        <f t="shared" si="55"/>
        <v>142.12624584717605</v>
      </c>
      <c r="BD40">
        <v>2013</v>
      </c>
      <c r="BE40" s="84">
        <f t="shared" si="56"/>
        <v>708.46153846153845</v>
      </c>
      <c r="BF40" s="84">
        <f t="shared" si="56"/>
        <v>870</v>
      </c>
      <c r="BG40" s="84">
        <f t="shared" si="56"/>
        <v>719.99999999999989</v>
      </c>
      <c r="BH40" s="84"/>
      <c r="BI40">
        <v>2013</v>
      </c>
      <c r="BJ40" s="84">
        <f t="shared" si="57"/>
        <v>277.5</v>
      </c>
      <c r="BK40" s="84">
        <f t="shared" si="57"/>
        <v>271.21951219512198</v>
      </c>
      <c r="BL40" s="84">
        <f t="shared" si="57"/>
        <v>272.98245614035091</v>
      </c>
      <c r="BN40">
        <v>2013</v>
      </c>
      <c r="BO40" s="84">
        <f t="shared" si="58"/>
        <v>304.59459459459458</v>
      </c>
      <c r="BP40" s="84">
        <f t="shared" si="58"/>
        <v>311.42857142857139</v>
      </c>
      <c r="BQ40" s="84">
        <f t="shared" si="58"/>
        <v>305.68181818181819</v>
      </c>
      <c r="BS40">
        <v>2013</v>
      </c>
      <c r="BT40" s="84">
        <f t="shared" si="59"/>
        <v>2320</v>
      </c>
      <c r="BU40" s="84">
        <f t="shared" si="59"/>
        <v>2390</v>
      </c>
      <c r="BV40" s="84">
        <f t="shared" si="59"/>
        <v>2338.666666666667</v>
      </c>
    </row>
    <row r="41" spans="1:74">
      <c r="A41">
        <v>2014</v>
      </c>
      <c r="B41" s="84">
        <f t="shared" si="60"/>
        <v>302.61904761904765</v>
      </c>
      <c r="C41" s="84">
        <f t="shared" si="60"/>
        <v>309.99999999999994</v>
      </c>
      <c r="D41" s="84">
        <f t="shared" si="45"/>
        <v>304.46428571428567</v>
      </c>
      <c r="F41">
        <v>2014</v>
      </c>
      <c r="G41" s="84">
        <f t="shared" si="46"/>
        <v>487.08333333333337</v>
      </c>
      <c r="H41" s="84">
        <f t="shared" si="46"/>
        <v>473.33333333333337</v>
      </c>
      <c r="I41" s="84">
        <f t="shared" si="46"/>
        <v>481.1904761904762</v>
      </c>
      <c r="K41">
        <v>2014</v>
      </c>
      <c r="L41" s="84">
        <f t="shared" si="47"/>
        <v>189.25925925925924</v>
      </c>
      <c r="M41" s="84">
        <f t="shared" si="47"/>
        <v>200</v>
      </c>
      <c r="N41" s="84">
        <f t="shared" si="47"/>
        <v>189.88372093023256</v>
      </c>
      <c r="P41">
        <v>2014</v>
      </c>
      <c r="Q41" s="84">
        <f t="shared" si="48"/>
        <v>108.82352941176471</v>
      </c>
      <c r="R41" s="84">
        <f t="shared" si="48"/>
        <v>107.77777777777777</v>
      </c>
      <c r="S41" s="84">
        <f t="shared" si="48"/>
        <v>108.18181818181817</v>
      </c>
      <c r="U41">
        <v>2014</v>
      </c>
      <c r="V41" s="84">
        <f t="shared" si="49"/>
        <v>1790</v>
      </c>
      <c r="W41" s="84">
        <f t="shared" si="49"/>
        <v>1725</v>
      </c>
      <c r="X41" s="84">
        <f t="shared" si="49"/>
        <v>1779.0140845070423</v>
      </c>
      <c r="Z41">
        <v>2014</v>
      </c>
      <c r="AA41" s="84">
        <f t="shared" si="50"/>
        <v>2996.4285714285711</v>
      </c>
      <c r="AB41" s="84">
        <f t="shared" si="50"/>
        <v>3143.571428571428</v>
      </c>
      <c r="AC41" s="84">
        <f t="shared" si="50"/>
        <v>3045.4761904761904</v>
      </c>
      <c r="AD41" s="84"/>
      <c r="AE41">
        <v>2014</v>
      </c>
      <c r="AF41" s="84">
        <f t="shared" si="51"/>
        <v>70</v>
      </c>
      <c r="AG41" s="84">
        <f t="shared" si="51"/>
        <v>65</v>
      </c>
      <c r="AH41" s="84">
        <f t="shared" si="51"/>
        <v>68.333333333333343</v>
      </c>
      <c r="AI41">
        <v>164.42</v>
      </c>
      <c r="AJ41">
        <v>2014</v>
      </c>
      <c r="AK41" s="84">
        <f t="shared" si="52"/>
        <v>96.521739130434767</v>
      </c>
      <c r="AL41" s="84">
        <f t="shared" si="52"/>
        <v>87.5</v>
      </c>
      <c r="AM41" s="84">
        <f t="shared" si="52"/>
        <v>95.185185185185162</v>
      </c>
      <c r="AO41">
        <v>2014</v>
      </c>
      <c r="AP41" s="84">
        <f t="shared" si="53"/>
        <v>1343.75</v>
      </c>
      <c r="AQ41" s="84">
        <f t="shared" si="53"/>
        <v>1486.6666666666667</v>
      </c>
      <c r="AR41" s="84">
        <f t="shared" si="53"/>
        <v>1382.7272727272727</v>
      </c>
      <c r="AT41">
        <v>2014</v>
      </c>
      <c r="AU41" s="84">
        <f t="shared" si="54"/>
        <v>385.54054054054052</v>
      </c>
      <c r="AV41" s="84">
        <f t="shared" si="54"/>
        <v>388.34890965732086</v>
      </c>
      <c r="AW41" s="84">
        <f t="shared" si="54"/>
        <v>387.82278481012656</v>
      </c>
      <c r="AY41">
        <v>2014</v>
      </c>
      <c r="AZ41" s="84">
        <f t="shared" si="55"/>
        <v>144.20717131474103</v>
      </c>
      <c r="BA41" s="84">
        <f t="shared" si="55"/>
        <v>143.58974358974359</v>
      </c>
      <c r="BB41" s="84">
        <f t="shared" si="55"/>
        <v>144.15451895043731</v>
      </c>
      <c r="BD41">
        <v>2014</v>
      </c>
      <c r="BE41" s="84">
        <f t="shared" si="56"/>
        <v>862.5</v>
      </c>
      <c r="BF41" s="84">
        <f t="shared" si="56"/>
        <v>834</v>
      </c>
      <c r="BG41" s="84">
        <f t="shared" si="56"/>
        <v>854.11764705882365</v>
      </c>
      <c r="BH41" s="84"/>
      <c r="BI41">
        <v>2014</v>
      </c>
      <c r="BJ41" s="84">
        <f t="shared" si="57"/>
        <v>300.75</v>
      </c>
      <c r="BK41" s="84">
        <f t="shared" si="57"/>
        <v>304.56140350877195</v>
      </c>
      <c r="BL41" s="84">
        <f t="shared" si="57"/>
        <v>303.57142857142856</v>
      </c>
      <c r="BN41">
        <v>2014</v>
      </c>
      <c r="BO41" s="84">
        <f t="shared" si="58"/>
        <v>300.46511627906972</v>
      </c>
      <c r="BP41" s="84">
        <f t="shared" si="58"/>
        <v>298.92857142857144</v>
      </c>
      <c r="BQ41" s="84">
        <f t="shared" si="58"/>
        <v>299.85915492957747</v>
      </c>
      <c r="BS41">
        <v>2014</v>
      </c>
      <c r="BT41" s="84">
        <f t="shared" si="59"/>
        <v>2477.037037037037</v>
      </c>
      <c r="BU41" s="84">
        <f t="shared" si="59"/>
        <v>2473.125</v>
      </c>
      <c r="BV41" s="84">
        <f t="shared" si="59"/>
        <v>2474.9152542372876</v>
      </c>
    </row>
    <row r="42" spans="1:74">
      <c r="A42">
        <v>2015</v>
      </c>
      <c r="B42" s="84">
        <f t="shared" si="60"/>
        <v>310.55555555555549</v>
      </c>
      <c r="C42" s="84">
        <f t="shared" si="60"/>
        <v>305.83333333333337</v>
      </c>
      <c r="D42" s="84">
        <f t="shared" si="45"/>
        <v>308.66666666666663</v>
      </c>
      <c r="F42">
        <v>2015</v>
      </c>
      <c r="G42" s="84">
        <f t="shared" si="46"/>
        <v>502.96296296296299</v>
      </c>
      <c r="H42" s="84">
        <f t="shared" si="46"/>
        <v>500.20408163265313</v>
      </c>
      <c r="I42" s="84">
        <f t="shared" si="46"/>
        <v>501.18421052631572</v>
      </c>
      <c r="K42">
        <v>2015</v>
      </c>
      <c r="L42" s="84">
        <f t="shared" si="47"/>
        <v>207.52293577981649</v>
      </c>
      <c r="M42" s="84">
        <f t="shared" si="47"/>
        <v>211.42857142857142</v>
      </c>
      <c r="N42" s="84">
        <f t="shared" si="47"/>
        <v>207.86610878661085</v>
      </c>
      <c r="P42">
        <v>2015</v>
      </c>
      <c r="Q42" s="84">
        <f t="shared" si="48"/>
        <v>110</v>
      </c>
      <c r="R42" s="84">
        <f t="shared" si="48"/>
        <v>109.21052631578948</v>
      </c>
      <c r="S42" s="84">
        <f t="shared" si="48"/>
        <v>109.5</v>
      </c>
      <c r="U42">
        <v>2015</v>
      </c>
      <c r="V42" s="84">
        <f t="shared" si="49"/>
        <v>1918.6666666666667</v>
      </c>
      <c r="W42" s="84">
        <f t="shared" si="49"/>
        <v>1902.7586206896553</v>
      </c>
      <c r="X42" s="84">
        <f t="shared" si="49"/>
        <v>1914.7899159663866</v>
      </c>
      <c r="Z42">
        <v>2015</v>
      </c>
      <c r="AA42" s="84">
        <f t="shared" si="50"/>
        <v>3183.4210526315787</v>
      </c>
      <c r="AB42" s="84">
        <f t="shared" si="50"/>
        <v>3174.5714285714284</v>
      </c>
      <c r="AC42" s="84">
        <f t="shared" si="50"/>
        <v>3179.1780821917805</v>
      </c>
      <c r="AD42" s="84"/>
      <c r="AE42">
        <v>2015</v>
      </c>
      <c r="AF42" s="84">
        <f t="shared" si="51"/>
        <v>75.454545454545453</v>
      </c>
      <c r="AG42" s="84">
        <f t="shared" si="51"/>
        <v>73.75</v>
      </c>
      <c r="AH42" s="84">
        <f t="shared" si="51"/>
        <v>75</v>
      </c>
      <c r="AJ42">
        <v>2015</v>
      </c>
      <c r="AK42" s="84">
        <f t="shared" si="52"/>
        <v>124.32432432432434</v>
      </c>
      <c r="AL42" s="84">
        <f t="shared" si="52"/>
        <v>123.75</v>
      </c>
      <c r="AM42" s="84">
        <f t="shared" si="52"/>
        <v>124.22222222222221</v>
      </c>
      <c r="AO42">
        <v>2015</v>
      </c>
      <c r="AP42" s="84">
        <f t="shared" si="53"/>
        <v>1612.2222222222222</v>
      </c>
      <c r="AQ42" s="84">
        <f t="shared" si="53"/>
        <v>1485</v>
      </c>
      <c r="AR42" s="84">
        <f t="shared" si="53"/>
        <v>1561.3333333333335</v>
      </c>
      <c r="AT42">
        <v>2015</v>
      </c>
      <c r="AU42" s="84">
        <f t="shared" si="54"/>
        <v>446.19718309859149</v>
      </c>
      <c r="AV42" s="84">
        <f t="shared" si="54"/>
        <v>449.18389553862897</v>
      </c>
      <c r="AW42" s="84">
        <f t="shared" si="54"/>
        <v>448.969696969697</v>
      </c>
      <c r="AY42">
        <v>2015</v>
      </c>
      <c r="AZ42" s="84">
        <f t="shared" si="55"/>
        <v>150.65420560747665</v>
      </c>
      <c r="BA42" s="84">
        <f t="shared" si="55"/>
        <v>150.65510597302506</v>
      </c>
      <c r="BB42" s="84">
        <f t="shared" si="55"/>
        <v>150.65441506051098</v>
      </c>
      <c r="BD42">
        <v>2015</v>
      </c>
      <c r="BE42" s="84">
        <f t="shared" si="56"/>
        <v>1015.7142857142857</v>
      </c>
      <c r="BF42" s="84">
        <f t="shared" si="56"/>
        <v>1086.25</v>
      </c>
      <c r="BG42" s="84">
        <f t="shared" si="56"/>
        <v>1041.3636363636363</v>
      </c>
      <c r="BH42" s="84"/>
      <c r="BI42">
        <v>2015</v>
      </c>
      <c r="BJ42" s="84">
        <f t="shared" si="57"/>
        <v>346.27906976744191</v>
      </c>
      <c r="BK42" s="84">
        <f t="shared" si="57"/>
        <v>344.09638554216866</v>
      </c>
      <c r="BL42" s="84">
        <f t="shared" si="57"/>
        <v>344.84126984126982</v>
      </c>
      <c r="BN42">
        <v>2015</v>
      </c>
      <c r="BO42" s="84">
        <f t="shared" si="58"/>
        <v>322.63157894736844</v>
      </c>
      <c r="BP42" s="84">
        <f t="shared" si="58"/>
        <v>323.79746835443041</v>
      </c>
      <c r="BQ42" s="84">
        <f t="shared" si="58"/>
        <v>323.16091954022988</v>
      </c>
      <c r="BS42">
        <v>2015</v>
      </c>
      <c r="BT42" s="84">
        <f t="shared" si="59"/>
        <v>2614.7368421052629</v>
      </c>
      <c r="BU42" s="84">
        <f t="shared" si="59"/>
        <v>2639.0140845070423</v>
      </c>
      <c r="BV42" s="84">
        <f t="shared" si="59"/>
        <v>2630.5504587155965</v>
      </c>
    </row>
    <row r="43" spans="1:74">
      <c r="A43">
        <v>2016</v>
      </c>
      <c r="B43" s="84">
        <f t="shared" si="60"/>
        <v>329.82758620689657</v>
      </c>
      <c r="C43" s="84">
        <f t="shared" si="60"/>
        <v>325.52631578947364</v>
      </c>
      <c r="D43" s="84">
        <f t="shared" si="45"/>
        <v>328.76623376623371</v>
      </c>
      <c r="F43">
        <v>2016</v>
      </c>
      <c r="G43" s="84">
        <f t="shared" si="46"/>
        <v>540</v>
      </c>
      <c r="H43" s="84">
        <f t="shared" si="46"/>
        <v>539.55882352941171</v>
      </c>
      <c r="I43" s="84">
        <f t="shared" si="46"/>
        <v>539.65517241379303</v>
      </c>
      <c r="K43">
        <v>2016</v>
      </c>
      <c r="L43" s="84">
        <f t="shared" si="47"/>
        <v>222.36363636363635</v>
      </c>
      <c r="M43" s="84">
        <f t="shared" si="47"/>
        <v>223.75</v>
      </c>
      <c r="N43" s="84">
        <f t="shared" si="47"/>
        <v>222.53968253968253</v>
      </c>
      <c r="P43">
        <v>2016</v>
      </c>
      <c r="Q43" s="84">
        <f t="shared" si="48"/>
        <v>118.42105263157893</v>
      </c>
      <c r="R43" s="84">
        <f t="shared" si="48"/>
        <v>119.5049504950495</v>
      </c>
      <c r="S43" s="84">
        <f t="shared" si="48"/>
        <v>119.33333333333334</v>
      </c>
      <c r="U43">
        <v>2016</v>
      </c>
      <c r="V43" s="84">
        <f t="shared" si="49"/>
        <v>2016.2962962962958</v>
      </c>
      <c r="W43" s="84">
        <f t="shared" si="49"/>
        <v>2007.8378378378382</v>
      </c>
      <c r="X43" s="84">
        <f t="shared" si="49"/>
        <v>2014.1379310344826</v>
      </c>
      <c r="Z43">
        <v>2016</v>
      </c>
      <c r="AA43" s="84">
        <f t="shared" si="50"/>
        <v>3306.7647058823522</v>
      </c>
      <c r="AB43" s="84">
        <f t="shared" si="50"/>
        <v>3345.75</v>
      </c>
      <c r="AC43" s="84">
        <f t="shared" si="50"/>
        <v>3327.8378378378379</v>
      </c>
      <c r="AD43" s="84"/>
      <c r="AE43">
        <v>2016</v>
      </c>
      <c r="AF43" s="84">
        <f t="shared" si="51"/>
        <v>95.714285714285722</v>
      </c>
      <c r="AG43" s="84">
        <f t="shared" si="51"/>
        <v>99.090909090909093</v>
      </c>
      <c r="AH43" s="84">
        <f t="shared" si="51"/>
        <v>96.875</v>
      </c>
      <c r="AJ43">
        <v>2016</v>
      </c>
      <c r="AK43" s="84">
        <f t="shared" si="52"/>
        <v>145.18518518518516</v>
      </c>
      <c r="AL43" s="84">
        <f t="shared" si="52"/>
        <v>147.89473684210529</v>
      </c>
      <c r="AM43" s="84">
        <f t="shared" si="52"/>
        <v>146.30434782608694</v>
      </c>
      <c r="AO43">
        <v>2016</v>
      </c>
      <c r="AP43" s="84">
        <f t="shared" si="53"/>
        <v>1723.75</v>
      </c>
      <c r="AQ43" s="84">
        <f t="shared" si="53"/>
        <v>1815</v>
      </c>
      <c r="AR43" s="84">
        <f t="shared" si="53"/>
        <v>1769.375</v>
      </c>
      <c r="AT43">
        <v>2016</v>
      </c>
      <c r="AU43" s="84">
        <f t="shared" si="54"/>
        <v>383.71428571428567</v>
      </c>
      <c r="AV43" s="84">
        <f t="shared" si="54"/>
        <v>383.04878048780489</v>
      </c>
      <c r="AW43" s="84">
        <f t="shared" si="54"/>
        <v>383.16582914572859</v>
      </c>
      <c r="AY43">
        <v>2016</v>
      </c>
      <c r="AZ43" s="84">
        <f t="shared" si="55"/>
        <v>154.58838544990428</v>
      </c>
      <c r="BA43" s="84">
        <f t="shared" si="55"/>
        <v>154.55497382198953</v>
      </c>
      <c r="BB43" s="84">
        <f t="shared" si="55"/>
        <v>154.57300275482095</v>
      </c>
      <c r="BD43">
        <v>2016</v>
      </c>
      <c r="BE43" s="84">
        <f t="shared" si="56"/>
        <v>1122.7777777777778</v>
      </c>
      <c r="BF43" s="84">
        <f t="shared" si="56"/>
        <v>1172.1428571428571</v>
      </c>
      <c r="BG43" s="84">
        <f t="shared" si="56"/>
        <v>1144.375</v>
      </c>
      <c r="BH43" s="84"/>
      <c r="BI43">
        <v>2016</v>
      </c>
      <c r="BJ43" s="84">
        <f t="shared" si="57"/>
        <v>372.53164556962025</v>
      </c>
      <c r="BK43" s="84">
        <f t="shared" si="57"/>
        <v>372.59786476868328</v>
      </c>
      <c r="BL43" s="84">
        <f t="shared" si="57"/>
        <v>372.58333333333331</v>
      </c>
      <c r="BN43">
        <v>2016</v>
      </c>
      <c r="BO43" s="84">
        <f t="shared" si="58"/>
        <v>318.05825242718447</v>
      </c>
      <c r="BP43" s="84">
        <f t="shared" si="58"/>
        <v>317.64705882352939</v>
      </c>
      <c r="BQ43" s="84">
        <f t="shared" si="58"/>
        <v>317.8947368421052</v>
      </c>
      <c r="BS43">
        <v>2016</v>
      </c>
      <c r="BT43" s="84">
        <f t="shared" si="59"/>
        <v>2696.3157894736846</v>
      </c>
      <c r="BU43" s="84">
        <f t="shared" si="59"/>
        <v>2691.4018691588785</v>
      </c>
      <c r="BV43" s="84">
        <f t="shared" si="59"/>
        <v>2692.689655172413</v>
      </c>
    </row>
    <row r="44" spans="1:74">
      <c r="A44">
        <v>2017</v>
      </c>
      <c r="B44" s="84">
        <f t="shared" si="60"/>
        <v>352.79220779220776</v>
      </c>
      <c r="C44" s="84">
        <f t="shared" si="60"/>
        <v>352.30769230769232</v>
      </c>
      <c r="D44" s="84">
        <f>D22/D11*100/1000</f>
        <v>352.66990291262141</v>
      </c>
      <c r="F44">
        <v>2017</v>
      </c>
      <c r="G44" s="84">
        <f t="shared" si="46"/>
        <v>551.63265306122446</v>
      </c>
      <c r="H44" s="84">
        <f t="shared" si="46"/>
        <v>545.70776255707756</v>
      </c>
      <c r="I44" s="84">
        <f t="shared" si="46"/>
        <v>546.79104477611941</v>
      </c>
      <c r="K44">
        <v>2017</v>
      </c>
      <c r="L44" s="84">
        <f t="shared" si="47"/>
        <v>220.625</v>
      </c>
      <c r="M44" s="84">
        <f t="shared" si="47"/>
        <v>225.2</v>
      </c>
      <c r="N44" s="84">
        <f t="shared" si="47"/>
        <v>222.63157894736844</v>
      </c>
      <c r="P44">
        <v>2017</v>
      </c>
      <c r="Q44" s="84">
        <f t="shared" si="48"/>
        <v>119.52380952380952</v>
      </c>
      <c r="R44" s="84">
        <f t="shared" si="48"/>
        <v>118.74418604651163</v>
      </c>
      <c r="S44" s="84">
        <f t="shared" si="48"/>
        <v>118.8715953307393</v>
      </c>
      <c r="U44">
        <v>2017</v>
      </c>
      <c r="V44" s="84">
        <f t="shared" si="49"/>
        <v>2106.166666666667</v>
      </c>
      <c r="W44" s="84">
        <f>W22/W11*100/1000</f>
        <v>2111.636363636364</v>
      </c>
      <c r="X44" s="84">
        <f t="shared" si="49"/>
        <v>2107.8857142857141</v>
      </c>
      <c r="Z44">
        <v>2017</v>
      </c>
      <c r="AA44" s="84">
        <f t="shared" si="50"/>
        <v>3441.8309859154929</v>
      </c>
      <c r="AB44" s="84">
        <f t="shared" si="50"/>
        <v>3426.3529411764707</v>
      </c>
      <c r="AC44" s="84">
        <f t="shared" si="50"/>
        <v>3433.397435897436</v>
      </c>
      <c r="AD44" s="84"/>
      <c r="AE44">
        <v>2017</v>
      </c>
      <c r="AF44" s="84">
        <f t="shared" si="51"/>
        <v>115.84615384615383</v>
      </c>
      <c r="AG44" s="84">
        <f t="shared" si="51"/>
        <v>117.87878787878788</v>
      </c>
      <c r="AH44" s="84">
        <f t="shared" si="51"/>
        <v>116.53061224489795</v>
      </c>
      <c r="AJ44">
        <v>2017</v>
      </c>
      <c r="AK44" s="84">
        <f t="shared" si="52"/>
        <v>132.34042553191492</v>
      </c>
      <c r="AL44" s="84">
        <f t="shared" si="52"/>
        <v>129.19999999999999</v>
      </c>
      <c r="AM44" s="84">
        <f t="shared" si="52"/>
        <v>131.25</v>
      </c>
      <c r="AO44">
        <v>2017</v>
      </c>
      <c r="AP44" s="84">
        <f t="shared" si="53"/>
        <v>1964</v>
      </c>
      <c r="AQ44" s="84">
        <f t="shared" si="53"/>
        <v>1908.6666666666667</v>
      </c>
      <c r="AR44" s="84">
        <f t="shared" si="53"/>
        <v>1930.8</v>
      </c>
      <c r="AT44">
        <v>2017</v>
      </c>
      <c r="AU44" s="84">
        <f t="shared" si="54"/>
        <v>417.03125</v>
      </c>
      <c r="AV44" s="84">
        <f t="shared" si="54"/>
        <v>422.5</v>
      </c>
      <c r="AW44" s="84">
        <f t="shared" si="54"/>
        <v>417.72727272727269</v>
      </c>
      <c r="AY44">
        <v>2017</v>
      </c>
      <c r="AZ44" s="84">
        <f t="shared" si="55"/>
        <v>158.62151777137368</v>
      </c>
      <c r="BA44" s="84">
        <f t="shared" si="55"/>
        <v>158.65541643984756</v>
      </c>
      <c r="BB44" s="84">
        <f t="shared" si="55"/>
        <v>158.63740750191374</v>
      </c>
      <c r="BD44">
        <v>2017</v>
      </c>
      <c r="BE44" s="84">
        <f t="shared" si="56"/>
        <v>1225</v>
      </c>
      <c r="BF44" s="84">
        <f t="shared" si="56"/>
        <v>1216.5517241379312</v>
      </c>
      <c r="BG44" s="84">
        <f t="shared" si="56"/>
        <v>1220.9836065573772</v>
      </c>
      <c r="BH44" s="84"/>
      <c r="BI44">
        <v>2017</v>
      </c>
      <c r="BJ44" s="84">
        <f t="shared" si="57"/>
        <v>379.90990990990986</v>
      </c>
      <c r="BK44" s="84">
        <f t="shared" si="57"/>
        <v>379.23261390887296</v>
      </c>
      <c r="BL44" s="84">
        <f t="shared" si="57"/>
        <v>379.375</v>
      </c>
      <c r="BN44">
        <v>2017</v>
      </c>
      <c r="BO44" s="84">
        <f t="shared" si="58"/>
        <v>314.83221476510067</v>
      </c>
      <c r="BP44" s="84">
        <f t="shared" si="58"/>
        <v>314.90566037735852</v>
      </c>
      <c r="BQ44" s="84">
        <f t="shared" si="58"/>
        <v>314.86274509803928</v>
      </c>
      <c r="BS44">
        <v>2017</v>
      </c>
      <c r="BT44" s="84">
        <f t="shared" si="59"/>
        <v>2532.9629629629626</v>
      </c>
      <c r="BU44" s="84">
        <f t="shared" si="59"/>
        <v>2548.5294117647054</v>
      </c>
      <c r="BV44" s="84">
        <f t="shared" si="59"/>
        <v>2544.105263157895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61"/>
  <sheetViews>
    <sheetView workbookViewId="0">
      <selection activeCell="K51" sqref="K51"/>
    </sheetView>
  </sheetViews>
  <sheetFormatPr defaultRowHeight="15"/>
  <sheetData>
    <row r="1" spans="1:90">
      <c r="B1" t="s">
        <v>572</v>
      </c>
      <c r="G1" t="s">
        <v>573</v>
      </c>
      <c r="L1" t="s">
        <v>574</v>
      </c>
      <c r="Q1" t="s">
        <v>575</v>
      </c>
      <c r="V1" t="s">
        <v>576</v>
      </c>
      <c r="AA1" t="s">
        <v>577</v>
      </c>
      <c r="AF1" t="s">
        <v>578</v>
      </c>
      <c r="AK1" t="s">
        <v>579</v>
      </c>
      <c r="AP1" t="s">
        <v>580</v>
      </c>
      <c r="AU1" t="s">
        <v>581</v>
      </c>
      <c r="AZ1" t="s">
        <v>582</v>
      </c>
      <c r="BE1" t="s">
        <v>583</v>
      </c>
      <c r="BJ1" t="s">
        <v>584</v>
      </c>
      <c r="BO1" t="s">
        <v>585</v>
      </c>
      <c r="BT1" t="s">
        <v>586</v>
      </c>
      <c r="BY1" t="s">
        <v>587</v>
      </c>
      <c r="CD1" t="s">
        <v>588</v>
      </c>
      <c r="CI1" t="s">
        <v>589</v>
      </c>
    </row>
    <row r="2" spans="1:90">
      <c r="B2" t="s">
        <v>564</v>
      </c>
      <c r="C2" t="s">
        <v>565</v>
      </c>
      <c r="D2" t="s">
        <v>571</v>
      </c>
      <c r="G2" t="s">
        <v>564</v>
      </c>
      <c r="H2" t="s">
        <v>565</v>
      </c>
      <c r="I2" t="s">
        <v>571</v>
      </c>
      <c r="L2" t="s">
        <v>564</v>
      </c>
      <c r="M2" t="s">
        <v>565</v>
      </c>
      <c r="N2" t="s">
        <v>571</v>
      </c>
      <c r="Q2" t="s">
        <v>564</v>
      </c>
      <c r="R2" t="s">
        <v>565</v>
      </c>
      <c r="S2" t="s">
        <v>571</v>
      </c>
      <c r="V2" t="s">
        <v>564</v>
      </c>
      <c r="W2" t="s">
        <v>565</v>
      </c>
      <c r="X2" t="s">
        <v>571</v>
      </c>
      <c r="AA2" t="s">
        <v>564</v>
      </c>
      <c r="AB2" t="s">
        <v>565</v>
      </c>
      <c r="AC2" t="s">
        <v>571</v>
      </c>
      <c r="AF2" t="s">
        <v>564</v>
      </c>
      <c r="AG2" t="s">
        <v>565</v>
      </c>
      <c r="AH2" t="s">
        <v>571</v>
      </c>
      <c r="AK2" t="s">
        <v>564</v>
      </c>
      <c r="AL2" t="s">
        <v>565</v>
      </c>
      <c r="AM2" t="s">
        <v>571</v>
      </c>
      <c r="AP2" t="s">
        <v>564</v>
      </c>
      <c r="AQ2" t="s">
        <v>565</v>
      </c>
      <c r="AR2" t="s">
        <v>571</v>
      </c>
      <c r="AU2" t="s">
        <v>564</v>
      </c>
      <c r="AV2" t="s">
        <v>565</v>
      </c>
      <c r="AW2" t="s">
        <v>571</v>
      </c>
      <c r="AZ2" t="s">
        <v>564</v>
      </c>
      <c r="BA2" t="s">
        <v>565</v>
      </c>
      <c r="BB2" t="s">
        <v>571</v>
      </c>
      <c r="BE2" t="s">
        <v>564</v>
      </c>
      <c r="BF2" t="s">
        <v>565</v>
      </c>
      <c r="BG2" t="s">
        <v>571</v>
      </c>
      <c r="BJ2" t="s">
        <v>564</v>
      </c>
      <c r="BK2" t="s">
        <v>565</v>
      </c>
      <c r="BL2" t="s">
        <v>571</v>
      </c>
      <c r="BO2" t="s">
        <v>564</v>
      </c>
      <c r="BP2" t="s">
        <v>565</v>
      </c>
      <c r="BQ2" t="s">
        <v>571</v>
      </c>
      <c r="BT2" t="s">
        <v>564</v>
      </c>
      <c r="BU2" t="s">
        <v>565</v>
      </c>
      <c r="BV2" t="s">
        <v>571</v>
      </c>
      <c r="BY2" t="s">
        <v>564</v>
      </c>
      <c r="BZ2" t="s">
        <v>565</v>
      </c>
      <c r="CA2" t="s">
        <v>571</v>
      </c>
      <c r="CD2" t="s">
        <v>564</v>
      </c>
      <c r="CE2" t="s">
        <v>565</v>
      </c>
      <c r="CF2" t="s">
        <v>571</v>
      </c>
      <c r="CI2" t="s">
        <v>564</v>
      </c>
      <c r="CJ2" t="s">
        <v>565</v>
      </c>
      <c r="CK2" t="s">
        <v>571</v>
      </c>
    </row>
    <row r="3" spans="1:90">
      <c r="A3">
        <v>2009</v>
      </c>
      <c r="B3" s="13">
        <v>0</v>
      </c>
      <c r="C3" s="13">
        <v>0</v>
      </c>
      <c r="D3" s="13">
        <f t="shared" ref="D3:D10" si="0">B3+C3</f>
        <v>0</v>
      </c>
      <c r="E3" s="13"/>
      <c r="F3" s="3">
        <v>2009</v>
      </c>
      <c r="G3" s="13"/>
      <c r="H3" s="13"/>
      <c r="I3" s="13">
        <f t="shared" ref="I3:I10" si="1">G3+H3</f>
        <v>0</v>
      </c>
      <c r="J3" s="13"/>
      <c r="K3" s="3">
        <v>2009</v>
      </c>
      <c r="L3" s="13"/>
      <c r="M3" s="13"/>
      <c r="N3" s="13">
        <f t="shared" ref="N3:N10" si="2">L3+M3</f>
        <v>0</v>
      </c>
      <c r="O3" s="13"/>
      <c r="P3" s="3">
        <v>2009</v>
      </c>
      <c r="Q3" s="13"/>
      <c r="R3" s="13"/>
      <c r="S3" s="13">
        <f t="shared" ref="S3:S10" si="3">Q3+R3</f>
        <v>0</v>
      </c>
      <c r="T3" s="13"/>
      <c r="U3" s="3">
        <v>2009</v>
      </c>
      <c r="V3" s="13"/>
      <c r="W3" s="13"/>
      <c r="X3" s="13">
        <f t="shared" ref="X3:X10" si="4">V3+W3</f>
        <v>0</v>
      </c>
      <c r="Z3">
        <v>2009</v>
      </c>
      <c r="AA3" s="13"/>
      <c r="AB3" s="13"/>
      <c r="AC3" s="13">
        <f t="shared" ref="AC3:AC10" si="5">AA3+AB3</f>
        <v>0</v>
      </c>
      <c r="AD3" s="13"/>
      <c r="AE3" s="3">
        <v>2009</v>
      </c>
      <c r="AF3" s="13"/>
      <c r="AG3" s="13"/>
      <c r="AH3" s="13">
        <f t="shared" ref="AH3:AH10" si="6">AF3+AG3</f>
        <v>0</v>
      </c>
      <c r="AI3" s="13"/>
      <c r="AJ3" s="3">
        <v>2009</v>
      </c>
      <c r="AK3" s="13"/>
      <c r="AL3" s="13"/>
      <c r="AM3" s="13">
        <f t="shared" ref="AM3:AM10" si="7">AK3+AL3</f>
        <v>0</v>
      </c>
      <c r="AN3" s="13"/>
      <c r="AO3" s="3">
        <v>2009</v>
      </c>
      <c r="AP3" s="13"/>
      <c r="AQ3" s="13"/>
      <c r="AR3" s="13">
        <f t="shared" ref="AR3:AR10" si="8">AP3+AQ3</f>
        <v>0</v>
      </c>
      <c r="AS3" s="13"/>
      <c r="AT3" s="3">
        <v>2009</v>
      </c>
      <c r="AU3" s="13"/>
      <c r="AV3" s="13"/>
      <c r="AW3" s="13">
        <f t="shared" ref="AW3:AW10" si="9">AU3+AV3</f>
        <v>0</v>
      </c>
      <c r="AY3">
        <v>2009</v>
      </c>
      <c r="AZ3" s="13"/>
      <c r="BA3" s="13"/>
      <c r="BB3" s="13">
        <f t="shared" ref="BB3:BB10" si="10">AZ3+BA3</f>
        <v>0</v>
      </c>
      <c r="BC3" s="13"/>
      <c r="BD3" s="3">
        <v>2009</v>
      </c>
      <c r="BE3" s="13"/>
      <c r="BF3" s="13"/>
      <c r="BG3" s="13">
        <f t="shared" ref="BG3:BG10" si="11">BE3+BF3</f>
        <v>0</v>
      </c>
      <c r="BH3" s="13"/>
      <c r="BI3" s="3">
        <v>2009</v>
      </c>
      <c r="BJ3" s="13"/>
      <c r="BK3" s="13"/>
      <c r="BL3" s="13">
        <f t="shared" ref="BL3:BL10" si="12">BJ3+BK3</f>
        <v>0</v>
      </c>
      <c r="BM3" s="13"/>
      <c r="BN3" s="3">
        <v>2009</v>
      </c>
      <c r="BO3" s="13"/>
      <c r="BP3" s="13"/>
      <c r="BQ3" s="13">
        <f t="shared" ref="BQ3:BQ10" si="13">BO3+BP3</f>
        <v>0</v>
      </c>
      <c r="BR3" s="13"/>
      <c r="BS3" s="3">
        <v>2009</v>
      </c>
      <c r="BT3" s="13"/>
      <c r="BU3" s="13"/>
      <c r="BV3" s="13">
        <f t="shared" ref="BV3:BV10" si="14">BT3+BU3</f>
        <v>0</v>
      </c>
      <c r="BX3">
        <v>2009</v>
      </c>
      <c r="BY3" s="13"/>
      <c r="BZ3" s="13"/>
      <c r="CA3" s="13">
        <f t="shared" ref="CA3:CA10" si="15">BY3+BZ3</f>
        <v>0</v>
      </c>
      <c r="CB3" s="13"/>
      <c r="CC3" s="3">
        <v>2009</v>
      </c>
      <c r="CD3" s="13"/>
      <c r="CE3" s="13"/>
      <c r="CF3" s="13">
        <f t="shared" ref="CF3:CF10" si="16">CD3+CE3</f>
        <v>0</v>
      </c>
      <c r="CG3" s="13"/>
      <c r="CH3" s="3">
        <v>2009</v>
      </c>
      <c r="CI3" s="13"/>
      <c r="CJ3" s="13"/>
      <c r="CK3" s="13">
        <f t="shared" ref="CK3:CK10" si="17">CI3+CJ3</f>
        <v>0</v>
      </c>
      <c r="CL3" s="13"/>
    </row>
    <row r="4" spans="1:90">
      <c r="A4">
        <v>2010</v>
      </c>
      <c r="B4" s="13">
        <v>0</v>
      </c>
      <c r="C4" s="13">
        <v>0</v>
      </c>
      <c r="D4" s="13">
        <f t="shared" si="0"/>
        <v>0</v>
      </c>
      <c r="E4" s="13"/>
      <c r="F4" s="3">
        <v>2010</v>
      </c>
      <c r="G4" s="13"/>
      <c r="H4" s="13"/>
      <c r="I4" s="13">
        <f t="shared" si="1"/>
        <v>0</v>
      </c>
      <c r="J4" s="13"/>
      <c r="K4" s="3">
        <v>2010</v>
      </c>
      <c r="L4" s="13"/>
      <c r="M4" s="13"/>
      <c r="N4" s="13">
        <f t="shared" si="2"/>
        <v>0</v>
      </c>
      <c r="O4" s="13"/>
      <c r="P4" s="3">
        <v>2010</v>
      </c>
      <c r="Q4" s="13"/>
      <c r="R4" s="13"/>
      <c r="S4" s="13">
        <f t="shared" si="3"/>
        <v>0</v>
      </c>
      <c r="T4" s="13"/>
      <c r="U4" s="3">
        <v>2010</v>
      </c>
      <c r="V4" s="13"/>
      <c r="W4" s="13"/>
      <c r="X4" s="13">
        <f t="shared" si="4"/>
        <v>0</v>
      </c>
      <c r="Z4">
        <v>2010</v>
      </c>
      <c r="AA4" s="13"/>
      <c r="AB4" s="13"/>
      <c r="AC4" s="13">
        <f t="shared" si="5"/>
        <v>0</v>
      </c>
      <c r="AD4" s="13"/>
      <c r="AE4" s="3">
        <v>2010</v>
      </c>
      <c r="AF4" s="13"/>
      <c r="AG4" s="13"/>
      <c r="AH4" s="13">
        <f t="shared" si="6"/>
        <v>0</v>
      </c>
      <c r="AI4" s="13"/>
      <c r="AJ4" s="3">
        <v>2010</v>
      </c>
      <c r="AK4" s="13"/>
      <c r="AL4" s="13"/>
      <c r="AM4" s="13">
        <f t="shared" si="7"/>
        <v>0</v>
      </c>
      <c r="AN4" s="13"/>
      <c r="AO4" s="3">
        <v>2010</v>
      </c>
      <c r="AP4" s="13"/>
      <c r="AQ4" s="13"/>
      <c r="AR4" s="13">
        <f t="shared" si="8"/>
        <v>0</v>
      </c>
      <c r="AS4" s="13"/>
      <c r="AT4" s="3">
        <v>2010</v>
      </c>
      <c r="AU4" s="13"/>
      <c r="AV4" s="13"/>
      <c r="AW4" s="13">
        <f t="shared" si="9"/>
        <v>0</v>
      </c>
      <c r="AY4">
        <v>2010</v>
      </c>
      <c r="AZ4" s="13"/>
      <c r="BA4" s="13"/>
      <c r="BB4" s="13">
        <f t="shared" si="10"/>
        <v>0</v>
      </c>
      <c r="BC4" s="13"/>
      <c r="BD4" s="3">
        <v>2010</v>
      </c>
      <c r="BE4" s="13"/>
      <c r="BF4" s="13"/>
      <c r="BG4" s="13">
        <f t="shared" si="11"/>
        <v>0</v>
      </c>
      <c r="BH4" s="13"/>
      <c r="BI4" s="3">
        <v>2010</v>
      </c>
      <c r="BJ4" s="13"/>
      <c r="BK4" s="13"/>
      <c r="BL4" s="13">
        <f t="shared" si="12"/>
        <v>0</v>
      </c>
      <c r="BM4" s="13"/>
      <c r="BN4" s="3">
        <v>2010</v>
      </c>
      <c r="BO4" s="13">
        <v>0.01</v>
      </c>
      <c r="BP4" s="13"/>
      <c r="BQ4" s="13">
        <f t="shared" si="13"/>
        <v>0.01</v>
      </c>
      <c r="BR4" s="13"/>
      <c r="BS4" s="3">
        <v>2010</v>
      </c>
      <c r="BT4" s="13"/>
      <c r="BU4" s="13"/>
      <c r="BV4" s="13">
        <f t="shared" si="14"/>
        <v>0</v>
      </c>
      <c r="BX4">
        <v>2010</v>
      </c>
      <c r="BY4" s="13"/>
      <c r="BZ4" s="13"/>
      <c r="CA4" s="13">
        <f t="shared" si="15"/>
        <v>0</v>
      </c>
      <c r="CB4" s="13"/>
      <c r="CC4" s="3">
        <v>2010</v>
      </c>
      <c r="CD4" s="13"/>
      <c r="CE4" s="13"/>
      <c r="CF4" s="13">
        <f t="shared" si="16"/>
        <v>0</v>
      </c>
      <c r="CG4" s="13"/>
      <c r="CH4" s="3">
        <v>2010</v>
      </c>
      <c r="CI4" s="13"/>
      <c r="CJ4" s="13"/>
      <c r="CK4" s="13">
        <f t="shared" si="17"/>
        <v>0</v>
      </c>
      <c r="CL4" s="13"/>
    </row>
    <row r="5" spans="1:90">
      <c r="A5">
        <v>2011</v>
      </c>
      <c r="B5" s="13">
        <v>0</v>
      </c>
      <c r="C5" s="13">
        <v>0</v>
      </c>
      <c r="D5" s="13">
        <f t="shared" si="0"/>
        <v>0</v>
      </c>
      <c r="E5" s="13"/>
      <c r="F5" s="3">
        <v>2011</v>
      </c>
      <c r="G5" s="13"/>
      <c r="H5" s="13"/>
      <c r="I5" s="13">
        <f t="shared" si="1"/>
        <v>0</v>
      </c>
      <c r="J5" s="13"/>
      <c r="K5" s="3">
        <v>2011</v>
      </c>
      <c r="L5" s="13"/>
      <c r="M5" s="13"/>
      <c r="N5" s="13">
        <f t="shared" si="2"/>
        <v>0</v>
      </c>
      <c r="O5" s="13"/>
      <c r="P5" s="3">
        <v>2011</v>
      </c>
      <c r="Q5" s="13">
        <v>0.03</v>
      </c>
      <c r="R5" s="13"/>
      <c r="S5" s="13">
        <f t="shared" si="3"/>
        <v>0.03</v>
      </c>
      <c r="T5" s="13"/>
      <c r="U5" s="3">
        <v>2011</v>
      </c>
      <c r="V5" s="13">
        <v>0.33</v>
      </c>
      <c r="W5" s="13"/>
      <c r="X5" s="13">
        <f t="shared" si="4"/>
        <v>0.33</v>
      </c>
      <c r="Z5">
        <v>2011</v>
      </c>
      <c r="AA5" s="13"/>
      <c r="AB5" s="13"/>
      <c r="AC5" s="13">
        <f t="shared" si="5"/>
        <v>0</v>
      </c>
      <c r="AD5" s="13"/>
      <c r="AE5" s="3">
        <v>2011</v>
      </c>
      <c r="AF5" s="13"/>
      <c r="AG5" s="13"/>
      <c r="AH5" s="13">
        <f t="shared" si="6"/>
        <v>0</v>
      </c>
      <c r="AI5" s="13"/>
      <c r="AJ5" s="3">
        <v>2011</v>
      </c>
      <c r="AK5" s="13"/>
      <c r="AL5" s="13"/>
      <c r="AM5" s="13">
        <f t="shared" si="7"/>
        <v>0</v>
      </c>
      <c r="AN5" s="13"/>
      <c r="AO5" s="3">
        <v>2011</v>
      </c>
      <c r="AP5" s="13"/>
      <c r="AQ5" s="13"/>
      <c r="AR5" s="13">
        <f t="shared" si="8"/>
        <v>0</v>
      </c>
      <c r="AS5" s="13"/>
      <c r="AT5" s="3">
        <v>2011</v>
      </c>
      <c r="AU5" s="13"/>
      <c r="AV5" s="13"/>
      <c r="AW5" s="13">
        <f t="shared" si="9"/>
        <v>0</v>
      </c>
      <c r="AY5">
        <v>2011</v>
      </c>
      <c r="AZ5" s="13">
        <v>0.06</v>
      </c>
      <c r="BA5" s="13"/>
      <c r="BB5" s="13">
        <f t="shared" si="10"/>
        <v>0.06</v>
      </c>
      <c r="BC5" s="13"/>
      <c r="BD5" s="3">
        <v>2011</v>
      </c>
      <c r="BE5" s="13"/>
      <c r="BF5" s="13"/>
      <c r="BG5" s="13">
        <f t="shared" si="11"/>
        <v>0</v>
      </c>
      <c r="BH5" s="13"/>
      <c r="BI5" s="3">
        <v>2011</v>
      </c>
      <c r="BJ5" s="13">
        <v>0.01</v>
      </c>
      <c r="BK5" s="13"/>
      <c r="BL5" s="13">
        <f t="shared" si="12"/>
        <v>0.01</v>
      </c>
      <c r="BM5" s="13"/>
      <c r="BN5" s="3">
        <v>2011</v>
      </c>
      <c r="BO5" s="13">
        <v>0.13</v>
      </c>
      <c r="BP5" s="13"/>
      <c r="BQ5" s="13">
        <f t="shared" si="13"/>
        <v>0.13</v>
      </c>
      <c r="BR5" s="13"/>
      <c r="BS5" s="3">
        <v>2011</v>
      </c>
      <c r="BT5" s="13">
        <v>0.01</v>
      </c>
      <c r="BU5" s="13"/>
      <c r="BV5" s="13">
        <f t="shared" si="14"/>
        <v>0.01</v>
      </c>
      <c r="BX5">
        <v>2011</v>
      </c>
      <c r="BY5" s="13">
        <v>0.04</v>
      </c>
      <c r="BZ5" s="13">
        <v>0.02</v>
      </c>
      <c r="CA5" s="13">
        <f t="shared" si="15"/>
        <v>0.06</v>
      </c>
      <c r="CB5" s="13"/>
      <c r="CC5" s="3">
        <v>2011</v>
      </c>
      <c r="CD5" s="13">
        <v>0.02</v>
      </c>
      <c r="CE5" s="13"/>
      <c r="CF5" s="13">
        <f t="shared" si="16"/>
        <v>0.02</v>
      </c>
      <c r="CG5" s="13"/>
      <c r="CH5" s="3">
        <v>2011</v>
      </c>
      <c r="CI5" s="13"/>
      <c r="CJ5" s="13"/>
      <c r="CK5" s="13">
        <f t="shared" si="17"/>
        <v>0</v>
      </c>
      <c r="CL5" s="13"/>
    </row>
    <row r="6" spans="1:90">
      <c r="A6">
        <v>2012</v>
      </c>
      <c r="B6" s="13">
        <v>0</v>
      </c>
      <c r="C6" s="13">
        <v>2E-3</v>
      </c>
      <c r="D6" s="13">
        <f t="shared" si="0"/>
        <v>2E-3</v>
      </c>
      <c r="E6" s="13"/>
      <c r="F6" s="3">
        <v>2012</v>
      </c>
      <c r="G6" s="13"/>
      <c r="H6" s="13"/>
      <c r="I6" s="13">
        <f t="shared" si="1"/>
        <v>0</v>
      </c>
      <c r="J6" s="13"/>
      <c r="K6" s="3">
        <v>2012</v>
      </c>
      <c r="L6" s="13"/>
      <c r="M6" s="13"/>
      <c r="N6" s="13">
        <f t="shared" si="2"/>
        <v>0</v>
      </c>
      <c r="O6" s="13"/>
      <c r="P6" s="3">
        <v>2012</v>
      </c>
      <c r="Q6" s="13">
        <v>0.05</v>
      </c>
      <c r="R6" s="13">
        <v>0.01</v>
      </c>
      <c r="S6" s="13">
        <f t="shared" si="3"/>
        <v>6.0000000000000005E-2</v>
      </c>
      <c r="T6" s="13"/>
      <c r="U6" s="3">
        <v>2012</v>
      </c>
      <c r="V6" s="13">
        <v>2.61</v>
      </c>
      <c r="W6" s="13">
        <v>0.03</v>
      </c>
      <c r="X6" s="13">
        <f t="shared" si="4"/>
        <v>2.6399999999999997</v>
      </c>
      <c r="Z6">
        <v>2012</v>
      </c>
      <c r="AA6" s="13"/>
      <c r="AB6" s="13"/>
      <c r="AC6" s="13">
        <f t="shared" si="5"/>
        <v>0</v>
      </c>
      <c r="AD6" s="13"/>
      <c r="AE6" s="3">
        <v>2012</v>
      </c>
      <c r="AF6" s="13">
        <v>0.21</v>
      </c>
      <c r="AG6" s="13">
        <v>0.15</v>
      </c>
      <c r="AH6" s="13">
        <f t="shared" si="6"/>
        <v>0.36</v>
      </c>
      <c r="AI6" s="13"/>
      <c r="AJ6" s="3">
        <v>2012</v>
      </c>
      <c r="AK6" s="13">
        <v>0.06</v>
      </c>
      <c r="AL6" s="13">
        <v>0.03</v>
      </c>
      <c r="AM6" s="13">
        <f t="shared" si="7"/>
        <v>0.09</v>
      </c>
      <c r="AN6" s="13"/>
      <c r="AO6" s="3">
        <v>2012</v>
      </c>
      <c r="AP6" s="13"/>
      <c r="AQ6" s="13"/>
      <c r="AR6" s="13">
        <f t="shared" si="8"/>
        <v>0</v>
      </c>
      <c r="AS6" s="13"/>
      <c r="AT6" s="3">
        <v>2012</v>
      </c>
      <c r="AU6" s="13"/>
      <c r="AV6" s="13"/>
      <c r="AW6" s="13">
        <f t="shared" si="9"/>
        <v>0</v>
      </c>
      <c r="AY6">
        <v>2012</v>
      </c>
      <c r="AZ6" s="13">
        <v>0.12</v>
      </c>
      <c r="BA6" s="13">
        <v>0.06</v>
      </c>
      <c r="BB6" s="13">
        <f t="shared" si="10"/>
        <v>0.18</v>
      </c>
      <c r="BC6" s="13"/>
      <c r="BD6" s="3">
        <v>2012</v>
      </c>
      <c r="BE6" s="13"/>
      <c r="BF6" s="13"/>
      <c r="BG6" s="13">
        <f t="shared" si="11"/>
        <v>0</v>
      </c>
      <c r="BH6" s="13"/>
      <c r="BI6" s="3">
        <v>2012</v>
      </c>
      <c r="BJ6" s="13">
        <v>0.01</v>
      </c>
      <c r="BK6" s="13"/>
      <c r="BL6" s="13">
        <f t="shared" si="12"/>
        <v>0.01</v>
      </c>
      <c r="BM6" s="13"/>
      <c r="BN6" s="3">
        <v>2012</v>
      </c>
      <c r="BO6" s="13">
        <v>7.0000000000000007E-2</v>
      </c>
      <c r="BP6" s="13">
        <v>0.03</v>
      </c>
      <c r="BQ6" s="13">
        <f t="shared" si="13"/>
        <v>0.1</v>
      </c>
      <c r="BR6" s="13"/>
      <c r="BS6" s="3">
        <v>2012</v>
      </c>
      <c r="BT6" s="13">
        <v>0</v>
      </c>
      <c r="BU6" s="13">
        <v>0.01</v>
      </c>
      <c r="BV6" s="13">
        <f t="shared" si="14"/>
        <v>0.01</v>
      </c>
      <c r="BX6">
        <v>2012</v>
      </c>
      <c r="BY6" s="13">
        <v>0</v>
      </c>
      <c r="BZ6" s="13">
        <v>0</v>
      </c>
      <c r="CA6" s="13">
        <f t="shared" si="15"/>
        <v>0</v>
      </c>
      <c r="CB6" s="13"/>
      <c r="CC6" s="3">
        <v>2012</v>
      </c>
      <c r="CD6" s="13">
        <v>0.03</v>
      </c>
      <c r="CE6" s="13">
        <v>0.02</v>
      </c>
      <c r="CF6" s="13">
        <f t="shared" si="16"/>
        <v>0.05</v>
      </c>
      <c r="CG6" s="13"/>
      <c r="CH6" s="3">
        <v>2012</v>
      </c>
      <c r="CI6" s="13">
        <v>0.01</v>
      </c>
      <c r="CJ6" s="13"/>
      <c r="CK6" s="13">
        <f t="shared" si="17"/>
        <v>0.01</v>
      </c>
      <c r="CL6" s="13"/>
    </row>
    <row r="7" spans="1:90">
      <c r="A7">
        <v>2013</v>
      </c>
      <c r="B7" s="13">
        <v>0</v>
      </c>
      <c r="C7" s="13">
        <v>0</v>
      </c>
      <c r="D7" s="13">
        <f t="shared" si="0"/>
        <v>0</v>
      </c>
      <c r="E7" s="13"/>
      <c r="F7" s="3">
        <v>2013</v>
      </c>
      <c r="G7" s="13"/>
      <c r="H7" s="13"/>
      <c r="I7" s="13">
        <f t="shared" si="1"/>
        <v>0</v>
      </c>
      <c r="J7" s="13"/>
      <c r="K7" s="3">
        <v>2013</v>
      </c>
      <c r="L7" s="13"/>
      <c r="M7" s="13"/>
      <c r="N7" s="13">
        <f t="shared" si="2"/>
        <v>0</v>
      </c>
      <c r="O7" s="13"/>
      <c r="P7" s="3">
        <v>2013</v>
      </c>
      <c r="Q7" s="13">
        <v>0.02</v>
      </c>
      <c r="R7" s="13">
        <v>0.01</v>
      </c>
      <c r="S7" s="13">
        <f t="shared" si="3"/>
        <v>0.03</v>
      </c>
      <c r="T7" s="13"/>
      <c r="U7" s="3">
        <v>2013</v>
      </c>
      <c r="V7" s="13">
        <v>0.74</v>
      </c>
      <c r="W7" s="13">
        <v>0.03</v>
      </c>
      <c r="X7" s="13">
        <f t="shared" si="4"/>
        <v>0.77</v>
      </c>
      <c r="Z7">
        <v>2013</v>
      </c>
      <c r="AA7" s="13"/>
      <c r="AB7" s="13"/>
      <c r="AC7" s="13">
        <f t="shared" si="5"/>
        <v>0</v>
      </c>
      <c r="AD7" s="13"/>
      <c r="AE7" s="3">
        <v>2013</v>
      </c>
      <c r="AF7" s="13">
        <v>1.1000000000000001</v>
      </c>
      <c r="AG7" s="13">
        <v>0.33</v>
      </c>
      <c r="AH7" s="13">
        <f t="shared" si="6"/>
        <v>1.4300000000000002</v>
      </c>
      <c r="AI7" s="13"/>
      <c r="AJ7" s="3">
        <v>2013</v>
      </c>
      <c r="AK7" s="13">
        <v>0.03</v>
      </c>
      <c r="AL7" s="13">
        <v>0.05</v>
      </c>
      <c r="AM7" s="13">
        <f t="shared" si="7"/>
        <v>0.08</v>
      </c>
      <c r="AN7" s="13"/>
      <c r="AO7" s="3">
        <v>2013</v>
      </c>
      <c r="AP7" s="13"/>
      <c r="AQ7" s="13"/>
      <c r="AR7" s="13">
        <f t="shared" si="8"/>
        <v>0</v>
      </c>
      <c r="AS7" s="13"/>
      <c r="AT7" s="3">
        <v>2013</v>
      </c>
      <c r="AU7" s="13">
        <v>0.02</v>
      </c>
      <c r="AV7" s="13">
        <v>0.03</v>
      </c>
      <c r="AW7" s="13">
        <f t="shared" si="9"/>
        <v>0.05</v>
      </c>
      <c r="AY7">
        <v>2013</v>
      </c>
      <c r="AZ7" s="13">
        <v>0.31</v>
      </c>
      <c r="BA7" s="13">
        <v>0.06</v>
      </c>
      <c r="BB7" s="13">
        <f t="shared" si="10"/>
        <v>0.37</v>
      </c>
      <c r="BC7" s="13"/>
      <c r="BD7" s="3">
        <v>2013</v>
      </c>
      <c r="BE7" s="13"/>
      <c r="BF7" s="13"/>
      <c r="BG7" s="13">
        <f t="shared" si="11"/>
        <v>0</v>
      </c>
      <c r="BH7" s="13"/>
      <c r="BI7" s="3">
        <v>2013</v>
      </c>
      <c r="BJ7" s="13">
        <v>0.01</v>
      </c>
      <c r="BK7" s="13"/>
      <c r="BL7" s="13">
        <f t="shared" si="12"/>
        <v>0.01</v>
      </c>
      <c r="BM7" s="13"/>
      <c r="BN7" s="3">
        <v>2013</v>
      </c>
      <c r="BO7" s="13">
        <v>0.16</v>
      </c>
      <c r="BP7" s="13">
        <v>0.04</v>
      </c>
      <c r="BQ7" s="13">
        <f t="shared" si="13"/>
        <v>0.2</v>
      </c>
      <c r="BR7" s="13"/>
      <c r="BS7" s="3">
        <v>2013</v>
      </c>
      <c r="BT7" s="13">
        <v>0.06</v>
      </c>
      <c r="BU7" s="13">
        <v>0</v>
      </c>
      <c r="BV7" s="13">
        <f t="shared" si="14"/>
        <v>0.06</v>
      </c>
      <c r="BX7">
        <v>2013</v>
      </c>
      <c r="BY7" s="13">
        <v>0.02</v>
      </c>
      <c r="BZ7" s="13">
        <v>0.02</v>
      </c>
      <c r="CA7" s="13">
        <f t="shared" si="15"/>
        <v>0.04</v>
      </c>
      <c r="CB7" s="13"/>
      <c r="CC7" s="3">
        <v>2013</v>
      </c>
      <c r="CD7" s="13">
        <v>0.01</v>
      </c>
      <c r="CE7" s="13">
        <v>0.03</v>
      </c>
      <c r="CF7" s="13">
        <f t="shared" si="16"/>
        <v>0.04</v>
      </c>
      <c r="CG7" s="13"/>
      <c r="CH7" s="3">
        <v>2013</v>
      </c>
      <c r="CI7" s="13">
        <v>0</v>
      </c>
      <c r="CJ7" s="13"/>
      <c r="CK7" s="13">
        <f t="shared" si="17"/>
        <v>0</v>
      </c>
      <c r="CL7" s="13"/>
    </row>
    <row r="8" spans="1:90">
      <c r="A8">
        <v>2014</v>
      </c>
      <c r="B8" s="13">
        <v>1E-3</v>
      </c>
      <c r="C8" s="13">
        <v>1E-3</v>
      </c>
      <c r="D8" s="13">
        <f t="shared" si="0"/>
        <v>2E-3</v>
      </c>
      <c r="E8" s="13"/>
      <c r="F8" s="3">
        <v>2014</v>
      </c>
      <c r="G8" s="13">
        <v>0.11</v>
      </c>
      <c r="H8" s="13">
        <v>0.01</v>
      </c>
      <c r="I8" s="13">
        <f t="shared" si="1"/>
        <v>0.12</v>
      </c>
      <c r="J8" s="13"/>
      <c r="K8" s="3">
        <v>2014</v>
      </c>
      <c r="L8" s="13"/>
      <c r="M8" s="13">
        <v>0.04</v>
      </c>
      <c r="N8" s="13">
        <f t="shared" si="2"/>
        <v>0.04</v>
      </c>
      <c r="O8" s="13"/>
      <c r="P8" s="3">
        <v>2014</v>
      </c>
      <c r="Q8" s="13">
        <v>0.1</v>
      </c>
      <c r="R8" s="13">
        <v>0.03</v>
      </c>
      <c r="S8" s="13">
        <f t="shared" si="3"/>
        <v>0.13</v>
      </c>
      <c r="T8" s="13"/>
      <c r="U8" s="3">
        <v>2014</v>
      </c>
      <c r="V8" s="13">
        <v>1.58</v>
      </c>
      <c r="W8" s="13">
        <v>0.12</v>
      </c>
      <c r="X8" s="13">
        <f t="shared" si="4"/>
        <v>1.7000000000000002</v>
      </c>
      <c r="Z8">
        <v>2014</v>
      </c>
      <c r="AA8" s="13">
        <v>0.06</v>
      </c>
      <c r="AB8" s="13">
        <v>0.02</v>
      </c>
      <c r="AC8" s="13">
        <f t="shared" si="5"/>
        <v>0.08</v>
      </c>
      <c r="AD8" s="13"/>
      <c r="AE8" s="3">
        <v>2014</v>
      </c>
      <c r="AF8" s="13">
        <v>2.16</v>
      </c>
      <c r="AG8" s="13">
        <v>0.28999999999999998</v>
      </c>
      <c r="AH8" s="13">
        <f t="shared" si="6"/>
        <v>2.4500000000000002</v>
      </c>
      <c r="AI8" s="13"/>
      <c r="AJ8" s="3">
        <v>2014</v>
      </c>
      <c r="AK8" s="13">
        <v>1.38</v>
      </c>
      <c r="AL8" s="13">
        <v>0.02</v>
      </c>
      <c r="AM8" s="13">
        <f t="shared" si="7"/>
        <v>1.4</v>
      </c>
      <c r="AN8" s="13"/>
      <c r="AO8" s="3">
        <v>2014</v>
      </c>
      <c r="AP8" s="13"/>
      <c r="AQ8" s="13"/>
      <c r="AR8" s="13">
        <f t="shared" si="8"/>
        <v>0</v>
      </c>
      <c r="AS8" s="13"/>
      <c r="AT8" s="3">
        <v>2014</v>
      </c>
      <c r="AU8" s="13">
        <v>0.03</v>
      </c>
      <c r="AV8" s="13">
        <v>7.0000000000000007E-2</v>
      </c>
      <c r="AW8" s="13">
        <f t="shared" si="9"/>
        <v>0.1</v>
      </c>
      <c r="AY8">
        <v>2014</v>
      </c>
      <c r="AZ8" s="13">
        <v>0.6</v>
      </c>
      <c r="BA8" s="13">
        <v>0.21</v>
      </c>
      <c r="BB8" s="13">
        <f t="shared" si="10"/>
        <v>0.80999999999999994</v>
      </c>
      <c r="BC8" s="13"/>
      <c r="BD8" s="3">
        <v>2014</v>
      </c>
      <c r="BE8" s="13"/>
      <c r="BF8" s="13"/>
      <c r="BG8" s="13">
        <f t="shared" si="11"/>
        <v>0</v>
      </c>
      <c r="BH8" s="13"/>
      <c r="BI8" s="3">
        <v>2014</v>
      </c>
      <c r="BJ8" s="13">
        <v>0.02</v>
      </c>
      <c r="BK8" s="13">
        <v>0.03</v>
      </c>
      <c r="BL8" s="13">
        <f t="shared" si="12"/>
        <v>0.05</v>
      </c>
      <c r="BM8" s="13"/>
      <c r="BN8" s="3">
        <v>2014</v>
      </c>
      <c r="BO8" s="13">
        <v>0.14000000000000001</v>
      </c>
      <c r="BP8" s="13">
        <v>7.0000000000000007E-2</v>
      </c>
      <c r="BQ8" s="13">
        <f t="shared" si="13"/>
        <v>0.21000000000000002</v>
      </c>
      <c r="BR8" s="13"/>
      <c r="BS8" s="3">
        <v>2014</v>
      </c>
      <c r="BT8" s="13">
        <v>0.02</v>
      </c>
      <c r="BU8" s="13">
        <v>0.02</v>
      </c>
      <c r="BV8" s="13">
        <f t="shared" si="14"/>
        <v>0.04</v>
      </c>
      <c r="BX8">
        <v>2014</v>
      </c>
      <c r="BY8" s="13">
        <v>0.1</v>
      </c>
      <c r="BZ8" s="13">
        <v>7.0000000000000007E-2</v>
      </c>
      <c r="CA8" s="13">
        <f t="shared" si="15"/>
        <v>0.17</v>
      </c>
      <c r="CB8" s="13"/>
      <c r="CC8" s="3">
        <v>2014</v>
      </c>
      <c r="CD8" s="13">
        <v>7.0000000000000007E-2</v>
      </c>
      <c r="CE8" s="13">
        <v>0.02</v>
      </c>
      <c r="CF8" s="13">
        <f t="shared" si="16"/>
        <v>9.0000000000000011E-2</v>
      </c>
      <c r="CG8" s="13"/>
      <c r="CH8" s="3">
        <v>2014</v>
      </c>
      <c r="CI8" s="13">
        <v>0</v>
      </c>
      <c r="CJ8" s="13"/>
      <c r="CK8" s="13">
        <f t="shared" si="17"/>
        <v>0</v>
      </c>
      <c r="CL8" s="13"/>
    </row>
    <row r="9" spans="1:90">
      <c r="A9">
        <v>2015</v>
      </c>
      <c r="B9" s="13">
        <v>4.0000000000000001E-3</v>
      </c>
      <c r="C9" s="13">
        <v>2E-3</v>
      </c>
      <c r="D9" s="13">
        <f t="shared" si="0"/>
        <v>6.0000000000000001E-3</v>
      </c>
      <c r="E9" s="13"/>
      <c r="F9" s="3">
        <v>2015</v>
      </c>
      <c r="G9" s="13">
        <v>0.23</v>
      </c>
      <c r="H9" s="13">
        <v>0.12</v>
      </c>
      <c r="I9" s="13">
        <f t="shared" si="1"/>
        <v>0.35</v>
      </c>
      <c r="J9" s="13"/>
      <c r="K9" s="3">
        <v>2015</v>
      </c>
      <c r="L9" s="13">
        <v>0.04</v>
      </c>
      <c r="M9" s="13">
        <v>0.25</v>
      </c>
      <c r="N9" s="13">
        <f t="shared" si="2"/>
        <v>0.28999999999999998</v>
      </c>
      <c r="O9" s="13"/>
      <c r="P9" s="3">
        <v>2015</v>
      </c>
      <c r="Q9" s="13">
        <v>0.14000000000000001</v>
      </c>
      <c r="R9" s="13">
        <v>0.06</v>
      </c>
      <c r="S9" s="13">
        <f t="shared" si="3"/>
        <v>0.2</v>
      </c>
      <c r="T9" s="13"/>
      <c r="U9" s="3">
        <v>2015</v>
      </c>
      <c r="V9" s="13">
        <v>0.19</v>
      </c>
      <c r="W9" s="13">
        <v>0.06</v>
      </c>
      <c r="X9" s="13">
        <f t="shared" si="4"/>
        <v>0.25</v>
      </c>
      <c r="Z9">
        <v>2015</v>
      </c>
      <c r="AA9" s="13">
        <v>0.05</v>
      </c>
      <c r="AB9" s="13">
        <v>0.03</v>
      </c>
      <c r="AC9" s="13">
        <f t="shared" si="5"/>
        <v>0.08</v>
      </c>
      <c r="AD9" s="13"/>
      <c r="AE9" s="3">
        <v>2015</v>
      </c>
      <c r="AF9" s="13">
        <v>2.77</v>
      </c>
      <c r="AG9" s="13">
        <v>1.21</v>
      </c>
      <c r="AH9" s="13">
        <f t="shared" si="6"/>
        <v>3.98</v>
      </c>
      <c r="AI9" s="13"/>
      <c r="AJ9" s="3">
        <v>2015</v>
      </c>
      <c r="AK9" s="13">
        <v>0.15</v>
      </c>
      <c r="AL9" s="13">
        <v>7.0000000000000007E-2</v>
      </c>
      <c r="AM9" s="13">
        <f t="shared" si="7"/>
        <v>0.22</v>
      </c>
      <c r="AN9" s="13"/>
      <c r="AO9" s="3">
        <v>2015</v>
      </c>
      <c r="AP9" s="13">
        <v>0.4</v>
      </c>
      <c r="AQ9" s="13"/>
      <c r="AR9" s="13">
        <f t="shared" si="8"/>
        <v>0.4</v>
      </c>
      <c r="AS9" s="13"/>
      <c r="AT9" s="3">
        <v>2015</v>
      </c>
      <c r="AU9" s="13">
        <v>0.15</v>
      </c>
      <c r="AV9" s="13">
        <v>0.08</v>
      </c>
      <c r="AW9" s="13">
        <f t="shared" si="9"/>
        <v>0.22999999999999998</v>
      </c>
      <c r="AY9">
        <v>2015</v>
      </c>
      <c r="AZ9" s="13">
        <v>0.15</v>
      </c>
      <c r="BA9" s="13">
        <v>0.24</v>
      </c>
      <c r="BB9" s="13">
        <f t="shared" si="10"/>
        <v>0.39</v>
      </c>
      <c r="BC9" s="13"/>
      <c r="BD9" s="3">
        <v>2015</v>
      </c>
      <c r="BE9" s="13">
        <v>0.26</v>
      </c>
      <c r="BF9" s="13">
        <v>0.02</v>
      </c>
      <c r="BG9" s="13">
        <f t="shared" si="11"/>
        <v>0.28000000000000003</v>
      </c>
      <c r="BH9" s="13"/>
      <c r="BI9" s="3">
        <v>2015</v>
      </c>
      <c r="BJ9" s="13">
        <v>0.02</v>
      </c>
      <c r="BK9" s="13">
        <v>0.05</v>
      </c>
      <c r="BL9" s="13">
        <f t="shared" si="12"/>
        <v>7.0000000000000007E-2</v>
      </c>
      <c r="BM9" s="13"/>
      <c r="BN9" s="3">
        <v>2015</v>
      </c>
      <c r="BO9" s="13">
        <v>0.36</v>
      </c>
      <c r="BP9" s="13">
        <v>0.3</v>
      </c>
      <c r="BQ9" s="13">
        <f t="shared" si="13"/>
        <v>0.65999999999999992</v>
      </c>
      <c r="BR9" s="13"/>
      <c r="BS9" s="3">
        <v>2015</v>
      </c>
      <c r="BT9" s="13">
        <v>0.03</v>
      </c>
      <c r="BU9" s="13">
        <v>0.05</v>
      </c>
      <c r="BV9" s="13">
        <f t="shared" si="14"/>
        <v>0.08</v>
      </c>
      <c r="BX9">
        <v>2015</v>
      </c>
      <c r="BY9" s="13">
        <v>0.16</v>
      </c>
      <c r="BZ9" s="13">
        <v>0.09</v>
      </c>
      <c r="CA9" s="13">
        <f t="shared" si="15"/>
        <v>0.25</v>
      </c>
      <c r="CB9" s="13"/>
      <c r="CC9" s="3">
        <v>2015</v>
      </c>
      <c r="CD9" s="13">
        <v>0.21</v>
      </c>
      <c r="CE9" s="13">
        <v>0.06</v>
      </c>
      <c r="CF9" s="13">
        <f t="shared" si="16"/>
        <v>0.27</v>
      </c>
      <c r="CG9" s="13"/>
      <c r="CH9" s="3">
        <v>2015</v>
      </c>
      <c r="CI9" s="13">
        <v>0.02</v>
      </c>
      <c r="CJ9" s="13">
        <v>0.01</v>
      </c>
      <c r="CK9" s="13">
        <f t="shared" si="17"/>
        <v>0.03</v>
      </c>
      <c r="CL9" s="13"/>
    </row>
    <row r="10" spans="1:90">
      <c r="A10">
        <v>2016</v>
      </c>
      <c r="B10" s="13">
        <v>4.0000000000000001E-3</v>
      </c>
      <c r="C10" s="13">
        <v>0</v>
      </c>
      <c r="D10" s="13">
        <f t="shared" si="0"/>
        <v>4.0000000000000001E-3</v>
      </c>
      <c r="E10" s="13"/>
      <c r="F10" s="3">
        <v>2016</v>
      </c>
      <c r="G10" s="13">
        <v>0.13</v>
      </c>
      <c r="H10" s="13">
        <v>7.0000000000000007E-2</v>
      </c>
      <c r="I10" s="13">
        <f t="shared" si="1"/>
        <v>0.2</v>
      </c>
      <c r="J10" s="13"/>
      <c r="K10" s="3">
        <v>2016</v>
      </c>
      <c r="L10" s="13">
        <v>0.15</v>
      </c>
      <c r="M10" s="13">
        <v>0.16</v>
      </c>
      <c r="N10" s="13">
        <f t="shared" si="2"/>
        <v>0.31</v>
      </c>
      <c r="O10" s="13"/>
      <c r="P10" s="3">
        <v>2016</v>
      </c>
      <c r="Q10" s="13">
        <v>0.09</v>
      </c>
      <c r="R10" s="13">
        <v>0.05</v>
      </c>
      <c r="S10" s="13">
        <f t="shared" si="3"/>
        <v>0.14000000000000001</v>
      </c>
      <c r="T10" s="13"/>
      <c r="U10" s="3">
        <v>2016</v>
      </c>
      <c r="V10" s="13">
        <v>0.22</v>
      </c>
      <c r="W10" s="13">
        <v>0.03</v>
      </c>
      <c r="X10" s="13">
        <f t="shared" si="4"/>
        <v>0.25</v>
      </c>
      <c r="Z10">
        <v>2016</v>
      </c>
      <c r="AA10" s="13">
        <v>0.04</v>
      </c>
      <c r="AB10" s="13">
        <v>0.02</v>
      </c>
      <c r="AC10" s="13">
        <f t="shared" si="5"/>
        <v>0.06</v>
      </c>
      <c r="AD10" s="13"/>
      <c r="AE10" s="3">
        <v>2016</v>
      </c>
      <c r="AF10" s="13">
        <v>2.09</v>
      </c>
      <c r="AG10" s="13">
        <v>4.24</v>
      </c>
      <c r="AH10" s="13">
        <f t="shared" si="6"/>
        <v>6.33</v>
      </c>
      <c r="AI10" s="13"/>
      <c r="AJ10" s="3">
        <v>2016</v>
      </c>
      <c r="AK10" s="13">
        <v>0.17</v>
      </c>
      <c r="AL10" s="13">
        <v>0.11</v>
      </c>
      <c r="AM10" s="13">
        <f t="shared" si="7"/>
        <v>0.28000000000000003</v>
      </c>
      <c r="AN10" s="13"/>
      <c r="AO10" s="3">
        <v>2016</v>
      </c>
      <c r="AP10" s="13">
        <v>2.12</v>
      </c>
      <c r="AQ10" s="13">
        <v>0.05</v>
      </c>
      <c r="AR10" s="13">
        <f t="shared" si="8"/>
        <v>2.17</v>
      </c>
      <c r="AS10" s="13"/>
      <c r="AT10" s="3">
        <v>2016</v>
      </c>
      <c r="AU10" s="13">
        <v>0.32</v>
      </c>
      <c r="AV10" s="13">
        <v>0.08</v>
      </c>
      <c r="AW10" s="13">
        <f t="shared" si="9"/>
        <v>0.4</v>
      </c>
      <c r="AY10">
        <v>2016</v>
      </c>
      <c r="AZ10" s="13">
        <v>0.27</v>
      </c>
      <c r="BA10" s="13">
        <v>0.34</v>
      </c>
      <c r="BB10" s="13">
        <f t="shared" si="10"/>
        <v>0.6100000000000001</v>
      </c>
      <c r="BC10" s="13"/>
      <c r="BD10" s="3">
        <v>2016</v>
      </c>
      <c r="BE10" s="13">
        <v>0.13</v>
      </c>
      <c r="BF10" s="13">
        <v>0</v>
      </c>
      <c r="BG10" s="13">
        <f t="shared" si="11"/>
        <v>0.13</v>
      </c>
      <c r="BH10" s="13"/>
      <c r="BI10" s="3">
        <v>2016</v>
      </c>
      <c r="BJ10" s="13">
        <v>0.03</v>
      </c>
      <c r="BK10" s="13">
        <v>0.03</v>
      </c>
      <c r="BL10" s="13">
        <f t="shared" si="12"/>
        <v>0.06</v>
      </c>
      <c r="BM10" s="13"/>
      <c r="BN10" s="3">
        <v>2016</v>
      </c>
      <c r="BO10" s="13">
        <v>0.38</v>
      </c>
      <c r="BP10" s="13">
        <v>0.53</v>
      </c>
      <c r="BQ10" s="13">
        <f t="shared" si="13"/>
        <v>0.91</v>
      </c>
      <c r="BR10" s="13"/>
      <c r="BS10" s="3">
        <v>2016</v>
      </c>
      <c r="BT10" s="13">
        <v>7.0000000000000007E-2</v>
      </c>
      <c r="BU10" s="13">
        <v>0.1</v>
      </c>
      <c r="BV10" s="13">
        <f t="shared" si="14"/>
        <v>0.17</v>
      </c>
      <c r="BX10">
        <v>2016</v>
      </c>
      <c r="BY10" s="13">
        <v>0.06</v>
      </c>
      <c r="BZ10" s="13">
        <v>0</v>
      </c>
      <c r="CA10" s="13">
        <f t="shared" si="15"/>
        <v>0.06</v>
      </c>
      <c r="CB10" s="13"/>
      <c r="CC10" s="3">
        <v>2016</v>
      </c>
      <c r="CD10" s="13">
        <v>0.28000000000000003</v>
      </c>
      <c r="CE10" s="13">
        <v>0.15</v>
      </c>
      <c r="CF10" s="13">
        <f t="shared" si="16"/>
        <v>0.43000000000000005</v>
      </c>
      <c r="CG10" s="13"/>
      <c r="CH10" s="3">
        <v>2016</v>
      </c>
      <c r="CI10" s="13">
        <v>0</v>
      </c>
      <c r="CJ10" s="13">
        <v>0.01</v>
      </c>
      <c r="CK10" s="13">
        <f t="shared" si="17"/>
        <v>0.01</v>
      </c>
      <c r="CL10" s="13"/>
    </row>
    <row r="11" spans="1:90">
      <c r="A11">
        <v>2017</v>
      </c>
      <c r="B11" s="13">
        <v>2.0999999999999998E-2</v>
      </c>
      <c r="C11" s="13">
        <v>1.6E-2</v>
      </c>
      <c r="D11" s="13">
        <f>B11+C11</f>
        <v>3.6999999999999998E-2</v>
      </c>
      <c r="E11" s="13"/>
      <c r="F11" s="3">
        <v>2017</v>
      </c>
      <c r="G11" s="13">
        <v>0.02</v>
      </c>
      <c r="H11" s="13">
        <v>0.03</v>
      </c>
      <c r="I11" s="13">
        <f>G11+H11</f>
        <v>0.05</v>
      </c>
      <c r="J11" s="13"/>
      <c r="K11" s="3">
        <v>2017</v>
      </c>
      <c r="L11" s="13">
        <v>0.35</v>
      </c>
      <c r="M11" s="13">
        <v>0.43</v>
      </c>
      <c r="N11" s="13">
        <f>L11+M11</f>
        <v>0.78</v>
      </c>
      <c r="O11" s="13"/>
      <c r="P11" s="3">
        <v>2017</v>
      </c>
      <c r="Q11" s="13">
        <v>0.14000000000000001</v>
      </c>
      <c r="R11" s="13">
        <v>0.09</v>
      </c>
      <c r="S11" s="13">
        <f>Q11+R11</f>
        <v>0.23</v>
      </c>
      <c r="T11" s="13"/>
      <c r="U11" s="3">
        <v>2017</v>
      </c>
      <c r="V11" s="13">
        <v>0.1</v>
      </c>
      <c r="W11" s="13">
        <v>0.1</v>
      </c>
      <c r="X11" s="13">
        <f>V11+W11</f>
        <v>0.2</v>
      </c>
      <c r="Z11">
        <v>2017</v>
      </c>
      <c r="AA11" s="13">
        <v>0.04</v>
      </c>
      <c r="AB11" s="13">
        <v>0.18</v>
      </c>
      <c r="AC11" s="13">
        <f>AA11+AB11</f>
        <v>0.22</v>
      </c>
      <c r="AD11" s="13"/>
      <c r="AE11" s="3">
        <v>2017</v>
      </c>
      <c r="AF11" s="13">
        <v>4.01</v>
      </c>
      <c r="AG11" s="13">
        <v>10.039999999999999</v>
      </c>
      <c r="AH11" s="13">
        <f>AF11+AG11</f>
        <v>14.049999999999999</v>
      </c>
      <c r="AI11" s="13"/>
      <c r="AJ11" s="3">
        <v>2017</v>
      </c>
      <c r="AK11" s="13">
        <v>0.43</v>
      </c>
      <c r="AL11" s="13">
        <v>0.18</v>
      </c>
      <c r="AM11" s="13">
        <f>AK11+AL11</f>
        <v>0.61</v>
      </c>
      <c r="AN11" s="13"/>
      <c r="AO11" s="3">
        <v>2017</v>
      </c>
      <c r="AP11" s="13">
        <v>2.72</v>
      </c>
      <c r="AQ11" s="13">
        <v>0</v>
      </c>
      <c r="AR11" s="13">
        <f>AP11+AQ11</f>
        <v>2.72</v>
      </c>
      <c r="AS11" s="13"/>
      <c r="AT11" s="3">
        <v>2017</v>
      </c>
      <c r="AU11" s="13">
        <v>0.19</v>
      </c>
      <c r="AV11" s="13">
        <v>0.09</v>
      </c>
      <c r="AW11" s="13">
        <f>AU11+AV11</f>
        <v>0.28000000000000003</v>
      </c>
      <c r="AY11">
        <v>2017</v>
      </c>
      <c r="AZ11" s="13">
        <v>0.67</v>
      </c>
      <c r="BA11" s="13">
        <v>1.21</v>
      </c>
      <c r="BB11" s="13">
        <f>AZ11+BA11</f>
        <v>1.88</v>
      </c>
      <c r="BC11" s="13"/>
      <c r="BD11" s="3">
        <v>2017</v>
      </c>
      <c r="BE11" s="13">
        <v>0.37</v>
      </c>
      <c r="BF11" s="13">
        <v>0.04</v>
      </c>
      <c r="BG11" s="13">
        <f>BE11+BF11</f>
        <v>0.41</v>
      </c>
      <c r="BH11" s="13"/>
      <c r="BI11" s="3">
        <v>2017</v>
      </c>
      <c r="BJ11" s="13">
        <v>0.1</v>
      </c>
      <c r="BK11" s="13">
        <v>0.11</v>
      </c>
      <c r="BL11" s="13">
        <f>BJ11+BK11</f>
        <v>0.21000000000000002</v>
      </c>
      <c r="BM11" s="13"/>
      <c r="BN11" s="3">
        <v>2017</v>
      </c>
      <c r="BO11" s="13">
        <v>0.81</v>
      </c>
      <c r="BP11" s="13">
        <v>1.1000000000000001</v>
      </c>
      <c r="BQ11" s="13">
        <f>BO11+BP11</f>
        <v>1.9100000000000001</v>
      </c>
      <c r="BR11" s="13"/>
      <c r="BS11" s="3">
        <v>2017</v>
      </c>
      <c r="BT11" s="13">
        <v>0.22</v>
      </c>
      <c r="BU11" s="13">
        <v>0.14000000000000001</v>
      </c>
      <c r="BV11" s="13">
        <f>BT11+BU11</f>
        <v>0.36</v>
      </c>
      <c r="BX11">
        <v>2017</v>
      </c>
      <c r="BY11" s="13">
        <v>0.22</v>
      </c>
      <c r="BZ11" s="13">
        <v>0.19</v>
      </c>
      <c r="CA11" s="13">
        <f>BY11+BZ11</f>
        <v>0.41000000000000003</v>
      </c>
      <c r="CB11" s="13"/>
      <c r="CC11" s="3">
        <v>2017</v>
      </c>
      <c r="CD11" s="13">
        <v>0.47</v>
      </c>
      <c r="CE11" s="13">
        <v>0.27</v>
      </c>
      <c r="CF11" s="13">
        <f>CD11+CE11</f>
        <v>0.74</v>
      </c>
      <c r="CG11" s="13"/>
      <c r="CH11" s="3">
        <v>2017</v>
      </c>
      <c r="CI11" s="13">
        <v>0.01</v>
      </c>
      <c r="CJ11" s="13">
        <v>0</v>
      </c>
      <c r="CK11" s="13">
        <f>CI11+CJ11</f>
        <v>0.01</v>
      </c>
      <c r="CL11" s="13"/>
    </row>
    <row r="12" spans="1:90">
      <c r="B12" t="s">
        <v>537</v>
      </c>
    </row>
    <row r="13" spans="1:90">
      <c r="B13" t="s">
        <v>5</v>
      </c>
      <c r="C13" t="s">
        <v>324</v>
      </c>
      <c r="D13" t="s">
        <v>158</v>
      </c>
      <c r="G13" t="s">
        <v>5</v>
      </c>
      <c r="H13" t="s">
        <v>324</v>
      </c>
      <c r="I13" t="s">
        <v>158</v>
      </c>
      <c r="L13" t="s">
        <v>5</v>
      </c>
      <c r="M13" t="s">
        <v>324</v>
      </c>
      <c r="N13" t="s">
        <v>158</v>
      </c>
      <c r="Q13" t="s">
        <v>5</v>
      </c>
      <c r="R13" t="s">
        <v>324</v>
      </c>
      <c r="S13" t="s">
        <v>158</v>
      </c>
      <c r="V13" t="s">
        <v>5</v>
      </c>
      <c r="W13" t="s">
        <v>324</v>
      </c>
      <c r="X13" t="s">
        <v>158</v>
      </c>
      <c r="AA13" t="s">
        <v>5</v>
      </c>
      <c r="AB13" t="s">
        <v>324</v>
      </c>
      <c r="AC13" t="s">
        <v>158</v>
      </c>
      <c r="AF13" t="s">
        <v>5</v>
      </c>
      <c r="AG13" t="s">
        <v>324</v>
      </c>
      <c r="AH13" t="s">
        <v>158</v>
      </c>
      <c r="AK13" t="s">
        <v>5</v>
      </c>
      <c r="AL13" t="s">
        <v>324</v>
      </c>
      <c r="AM13" t="s">
        <v>158</v>
      </c>
      <c r="AP13" t="s">
        <v>5</v>
      </c>
      <c r="AQ13" t="s">
        <v>324</v>
      </c>
      <c r="AR13" t="s">
        <v>158</v>
      </c>
      <c r="AU13" t="s">
        <v>5</v>
      </c>
      <c r="AV13" t="s">
        <v>324</v>
      </c>
      <c r="AW13" t="s">
        <v>158</v>
      </c>
      <c r="AZ13" t="s">
        <v>5</v>
      </c>
      <c r="BA13" t="s">
        <v>324</v>
      </c>
      <c r="BB13" t="s">
        <v>158</v>
      </c>
      <c r="BE13" t="s">
        <v>5</v>
      </c>
      <c r="BF13" t="s">
        <v>324</v>
      </c>
      <c r="BG13" t="s">
        <v>158</v>
      </c>
      <c r="BJ13" t="s">
        <v>5</v>
      </c>
      <c r="BK13" t="s">
        <v>324</v>
      </c>
      <c r="BL13" t="s">
        <v>158</v>
      </c>
      <c r="BO13" t="s">
        <v>5</v>
      </c>
      <c r="BP13" t="s">
        <v>324</v>
      </c>
      <c r="BQ13" t="s">
        <v>158</v>
      </c>
      <c r="BT13" t="s">
        <v>5</v>
      </c>
      <c r="BU13" t="s">
        <v>324</v>
      </c>
      <c r="BV13" t="s">
        <v>158</v>
      </c>
      <c r="BY13" t="s">
        <v>5</v>
      </c>
      <c r="BZ13" t="s">
        <v>324</v>
      </c>
      <c r="CA13" t="s">
        <v>158</v>
      </c>
      <c r="CD13" t="s">
        <v>5</v>
      </c>
      <c r="CE13" t="s">
        <v>324</v>
      </c>
      <c r="CF13" t="s">
        <v>158</v>
      </c>
      <c r="CI13" t="s">
        <v>5</v>
      </c>
      <c r="CJ13" t="s">
        <v>324</v>
      </c>
      <c r="CK13" t="s">
        <v>158</v>
      </c>
    </row>
    <row r="14" spans="1:90">
      <c r="A14">
        <v>2009</v>
      </c>
      <c r="B14" s="3">
        <v>0</v>
      </c>
      <c r="C14" s="3">
        <v>0</v>
      </c>
      <c r="D14" s="3">
        <f>B14+C14</f>
        <v>0</v>
      </c>
      <c r="F14">
        <v>2009</v>
      </c>
      <c r="G14" s="3"/>
      <c r="H14" s="3"/>
      <c r="I14" s="3">
        <f>G14+H14</f>
        <v>0</v>
      </c>
      <c r="K14">
        <v>2009</v>
      </c>
      <c r="L14" s="3"/>
      <c r="M14" s="3"/>
      <c r="N14" s="3">
        <f>L14+M14</f>
        <v>0</v>
      </c>
      <c r="P14">
        <v>2009</v>
      </c>
      <c r="Q14" s="3"/>
      <c r="R14" s="3"/>
      <c r="S14" s="3">
        <f>Q14+R14</f>
        <v>0</v>
      </c>
      <c r="U14">
        <v>2009</v>
      </c>
      <c r="V14" s="3"/>
      <c r="W14" s="3"/>
      <c r="X14" s="3">
        <f>V14+W14</f>
        <v>0</v>
      </c>
      <c r="Z14">
        <v>2009</v>
      </c>
      <c r="AA14" s="3"/>
      <c r="AB14" s="3"/>
      <c r="AC14" s="3">
        <f>AA14+AB14</f>
        <v>0</v>
      </c>
      <c r="AE14">
        <v>2009</v>
      </c>
      <c r="AF14" s="3"/>
      <c r="AG14" s="3"/>
      <c r="AH14" s="3">
        <f>AF14+AG14</f>
        <v>0</v>
      </c>
      <c r="AJ14">
        <v>2009</v>
      </c>
      <c r="AK14" s="3"/>
      <c r="AL14" s="3"/>
      <c r="AM14" s="3">
        <f>AK14+AL14</f>
        <v>0</v>
      </c>
      <c r="AO14">
        <v>2009</v>
      </c>
      <c r="AP14" s="3"/>
      <c r="AQ14" s="3"/>
      <c r="AR14" s="3">
        <f>AP14+AQ14</f>
        <v>0</v>
      </c>
      <c r="AT14">
        <v>2009</v>
      </c>
      <c r="AU14" s="3"/>
      <c r="AV14" s="3"/>
      <c r="AW14" s="3">
        <f>AU14+AV14</f>
        <v>0</v>
      </c>
      <c r="AY14">
        <v>2009</v>
      </c>
      <c r="AZ14" s="3"/>
      <c r="BA14" s="3"/>
      <c r="BB14" s="3">
        <f>AZ14+BA14</f>
        <v>0</v>
      </c>
      <c r="BD14">
        <v>2009</v>
      </c>
      <c r="BE14" s="3"/>
      <c r="BF14" s="3"/>
      <c r="BG14" s="3">
        <f>BE14+BF14</f>
        <v>0</v>
      </c>
      <c r="BI14">
        <v>2009</v>
      </c>
      <c r="BJ14" s="3"/>
      <c r="BK14" s="3"/>
      <c r="BL14" s="3">
        <f>BJ14+BK14</f>
        <v>0</v>
      </c>
      <c r="BN14">
        <v>2009</v>
      </c>
      <c r="BO14" s="3"/>
      <c r="BP14" s="3"/>
      <c r="BQ14" s="3">
        <f>BO14+BP14</f>
        <v>0</v>
      </c>
      <c r="BS14">
        <v>2009</v>
      </c>
      <c r="BT14" s="3"/>
      <c r="BU14" s="3"/>
      <c r="BV14" s="3">
        <f>BT14+BU14</f>
        <v>0</v>
      </c>
      <c r="BX14">
        <v>2009</v>
      </c>
      <c r="BY14" s="3"/>
      <c r="BZ14" s="3"/>
      <c r="CA14" s="3">
        <f>BY14+BZ14</f>
        <v>0</v>
      </c>
      <c r="CC14">
        <v>2009</v>
      </c>
      <c r="CD14" s="3"/>
      <c r="CE14" s="3"/>
      <c r="CF14" s="3">
        <f>CD14+CE14</f>
        <v>0</v>
      </c>
      <c r="CH14">
        <v>2009</v>
      </c>
      <c r="CI14" s="3"/>
      <c r="CJ14" s="3"/>
      <c r="CK14" s="3">
        <f>CI14+CJ14</f>
        <v>0</v>
      </c>
    </row>
    <row r="15" spans="1:90">
      <c r="A15">
        <v>2010</v>
      </c>
      <c r="B15" s="3">
        <v>0</v>
      </c>
      <c r="C15" s="3">
        <v>0</v>
      </c>
      <c r="D15" s="3">
        <f t="shared" ref="D15:D22" si="18">B15+C15</f>
        <v>0</v>
      </c>
      <c r="F15">
        <v>2010</v>
      </c>
      <c r="G15" s="3"/>
      <c r="H15" s="3"/>
      <c r="I15" s="3">
        <f t="shared" ref="I15:I22" si="19">G15+H15</f>
        <v>0</v>
      </c>
      <c r="K15">
        <v>2010</v>
      </c>
      <c r="L15" s="3"/>
      <c r="M15" s="3"/>
      <c r="N15" s="3">
        <f t="shared" ref="N15:N22" si="20">L15+M15</f>
        <v>0</v>
      </c>
      <c r="P15">
        <v>2010</v>
      </c>
      <c r="Q15" s="3">
        <v>4</v>
      </c>
      <c r="R15" s="3"/>
      <c r="S15" s="3">
        <f t="shared" ref="S15:S22" si="21">Q15+R15</f>
        <v>4</v>
      </c>
      <c r="U15">
        <v>2010</v>
      </c>
      <c r="V15" s="3"/>
      <c r="W15" s="3"/>
      <c r="X15" s="3">
        <f t="shared" ref="X15:X22" si="22">V15+W15</f>
        <v>0</v>
      </c>
      <c r="Z15">
        <v>2010</v>
      </c>
      <c r="AA15" s="3"/>
      <c r="AB15" s="3"/>
      <c r="AC15" s="3">
        <f t="shared" ref="AC15:AC22" si="23">AA15+AB15</f>
        <v>0</v>
      </c>
      <c r="AE15">
        <v>2010</v>
      </c>
      <c r="AF15" s="3"/>
      <c r="AG15" s="3"/>
      <c r="AH15" s="3">
        <f t="shared" ref="AH15:AH22" si="24">AF15+AG15</f>
        <v>0</v>
      </c>
      <c r="AJ15">
        <v>2010</v>
      </c>
      <c r="AK15" s="3"/>
      <c r="AL15" s="3"/>
      <c r="AM15" s="3">
        <f t="shared" ref="AM15:AM22" si="25">AK15+AL15</f>
        <v>0</v>
      </c>
      <c r="AO15">
        <v>2010</v>
      </c>
      <c r="AP15" s="3"/>
      <c r="AQ15" s="3"/>
      <c r="AR15" s="3">
        <f t="shared" ref="AR15:AR22" si="26">AP15+AQ15</f>
        <v>0</v>
      </c>
      <c r="AT15">
        <v>2010</v>
      </c>
      <c r="AU15" s="3"/>
      <c r="AV15" s="3"/>
      <c r="AW15" s="3">
        <f t="shared" ref="AW15:AW22" si="27">AU15+AV15</f>
        <v>0</v>
      </c>
      <c r="AY15">
        <v>2010</v>
      </c>
      <c r="AZ15" s="3"/>
      <c r="BA15" s="3"/>
      <c r="BB15" s="3">
        <f t="shared" ref="BB15:BB22" si="28">AZ15+BA15</f>
        <v>0</v>
      </c>
      <c r="BD15">
        <v>2010</v>
      </c>
      <c r="BE15" s="3"/>
      <c r="BF15" s="3"/>
      <c r="BG15" s="3">
        <f t="shared" ref="BG15:BG22" si="29">BE15+BF15</f>
        <v>0</v>
      </c>
      <c r="BI15">
        <v>2010</v>
      </c>
      <c r="BJ15" s="3"/>
      <c r="BK15" s="3"/>
      <c r="BL15" s="3">
        <f t="shared" ref="BL15:BL22" si="30">BJ15+BK15</f>
        <v>0</v>
      </c>
      <c r="BN15">
        <v>2010</v>
      </c>
      <c r="BO15" s="3"/>
      <c r="BP15" s="3"/>
      <c r="BQ15" s="3">
        <f t="shared" ref="BQ15:BQ22" si="31">BO15+BP15</f>
        <v>0</v>
      </c>
      <c r="BS15">
        <v>2010</v>
      </c>
      <c r="BT15" s="3"/>
      <c r="BU15" s="3"/>
      <c r="BV15" s="3">
        <f t="shared" ref="BV15:BV22" si="32">BT15+BU15</f>
        <v>0</v>
      </c>
      <c r="BX15">
        <v>2010</v>
      </c>
      <c r="BY15" s="3"/>
      <c r="BZ15" s="3"/>
      <c r="CA15" s="3">
        <f t="shared" ref="CA15:CA22" si="33">BY15+BZ15</f>
        <v>0</v>
      </c>
      <c r="CC15">
        <v>2010</v>
      </c>
      <c r="CD15" s="3"/>
      <c r="CE15" s="3"/>
      <c r="CF15" s="3">
        <f t="shared" ref="CF15:CF22" si="34">CD15+CE15</f>
        <v>0</v>
      </c>
      <c r="CH15">
        <v>2010</v>
      </c>
      <c r="CI15" s="3"/>
      <c r="CJ15" s="3"/>
      <c r="CK15" s="3">
        <f t="shared" ref="CK15:CK22" si="35">CI15+CJ15</f>
        <v>0</v>
      </c>
    </row>
    <row r="16" spans="1:90">
      <c r="A16">
        <v>2011</v>
      </c>
      <c r="B16" s="3">
        <v>0</v>
      </c>
      <c r="C16" s="3">
        <v>0</v>
      </c>
      <c r="D16" s="3">
        <f t="shared" si="18"/>
        <v>0</v>
      </c>
      <c r="F16">
        <v>2011</v>
      </c>
      <c r="G16" s="3"/>
      <c r="H16" s="3"/>
      <c r="I16" s="3">
        <f t="shared" si="19"/>
        <v>0</v>
      </c>
      <c r="K16">
        <v>2011</v>
      </c>
      <c r="L16" s="3"/>
      <c r="M16" s="3"/>
      <c r="N16" s="3">
        <f t="shared" si="20"/>
        <v>0</v>
      </c>
      <c r="P16">
        <v>2011</v>
      </c>
      <c r="Q16" s="3">
        <v>56</v>
      </c>
      <c r="R16" s="3"/>
      <c r="S16" s="3">
        <f t="shared" si="21"/>
        <v>56</v>
      </c>
      <c r="U16">
        <v>2011</v>
      </c>
      <c r="V16" s="3">
        <v>56</v>
      </c>
      <c r="W16" s="3"/>
      <c r="X16" s="3">
        <f t="shared" si="22"/>
        <v>56</v>
      </c>
      <c r="Z16">
        <v>2011</v>
      </c>
      <c r="AA16" s="3"/>
      <c r="AB16" s="3"/>
      <c r="AC16" s="3">
        <f t="shared" si="23"/>
        <v>0</v>
      </c>
      <c r="AE16">
        <v>2011</v>
      </c>
      <c r="AF16" s="3"/>
      <c r="AG16" s="3"/>
      <c r="AH16" s="3">
        <f t="shared" si="24"/>
        <v>0</v>
      </c>
      <c r="AJ16">
        <v>2011</v>
      </c>
      <c r="AK16" s="3"/>
      <c r="AL16" s="3"/>
      <c r="AM16" s="3">
        <f t="shared" si="25"/>
        <v>0</v>
      </c>
      <c r="AO16">
        <v>2011</v>
      </c>
      <c r="AP16" s="3"/>
      <c r="AQ16" s="3"/>
      <c r="AR16" s="3">
        <f t="shared" si="26"/>
        <v>0</v>
      </c>
      <c r="AT16">
        <v>2011</v>
      </c>
      <c r="AU16" s="3"/>
      <c r="AV16" s="3"/>
      <c r="AW16" s="3">
        <f t="shared" si="27"/>
        <v>0</v>
      </c>
      <c r="AY16">
        <v>2011</v>
      </c>
      <c r="AZ16" s="3">
        <v>31</v>
      </c>
      <c r="BA16" s="3"/>
      <c r="BB16" s="3">
        <f t="shared" si="28"/>
        <v>31</v>
      </c>
      <c r="BD16">
        <v>2011</v>
      </c>
      <c r="BE16" s="3"/>
      <c r="BF16" s="3"/>
      <c r="BG16" s="3">
        <f t="shared" si="29"/>
        <v>0</v>
      </c>
      <c r="BI16">
        <v>2011</v>
      </c>
      <c r="BJ16" s="3">
        <v>35</v>
      </c>
      <c r="BK16" s="3"/>
      <c r="BL16" s="3">
        <f t="shared" si="30"/>
        <v>35</v>
      </c>
      <c r="BN16">
        <v>2011</v>
      </c>
      <c r="BO16" s="3">
        <v>201</v>
      </c>
      <c r="BP16" s="3"/>
      <c r="BQ16" s="3">
        <f t="shared" si="31"/>
        <v>201</v>
      </c>
      <c r="BS16">
        <v>2011</v>
      </c>
      <c r="BT16" s="3">
        <v>5</v>
      </c>
      <c r="BU16" s="3"/>
      <c r="BV16" s="3">
        <f t="shared" si="32"/>
        <v>5</v>
      </c>
      <c r="BX16">
        <v>2011</v>
      </c>
      <c r="BY16" s="3">
        <v>25</v>
      </c>
      <c r="BZ16" s="3">
        <v>17</v>
      </c>
      <c r="CA16" s="3">
        <f t="shared" si="33"/>
        <v>42</v>
      </c>
      <c r="CC16">
        <v>2011</v>
      </c>
      <c r="CD16" s="3">
        <v>12</v>
      </c>
      <c r="CE16" s="3"/>
      <c r="CF16" s="3">
        <f t="shared" si="34"/>
        <v>12</v>
      </c>
      <c r="CH16">
        <v>2011</v>
      </c>
      <c r="CI16" s="3"/>
      <c r="CJ16" s="3"/>
      <c r="CK16" s="3">
        <f t="shared" si="35"/>
        <v>0</v>
      </c>
    </row>
    <row r="17" spans="1:89">
      <c r="A17">
        <v>2012</v>
      </c>
      <c r="B17" s="3">
        <v>0</v>
      </c>
      <c r="C17" s="3">
        <v>4</v>
      </c>
      <c r="D17" s="3">
        <f t="shared" si="18"/>
        <v>4</v>
      </c>
      <c r="F17">
        <v>2012</v>
      </c>
      <c r="G17" s="3"/>
      <c r="H17" s="3"/>
      <c r="I17" s="3">
        <f t="shared" si="19"/>
        <v>0</v>
      </c>
      <c r="K17">
        <v>2012</v>
      </c>
      <c r="L17" s="3"/>
      <c r="M17" s="3"/>
      <c r="N17" s="3">
        <f t="shared" si="20"/>
        <v>0</v>
      </c>
      <c r="P17">
        <v>2012</v>
      </c>
      <c r="Q17" s="3">
        <v>92</v>
      </c>
      <c r="R17" s="3">
        <v>16</v>
      </c>
      <c r="S17" s="3">
        <f t="shared" si="21"/>
        <v>108</v>
      </c>
      <c r="U17">
        <v>2012</v>
      </c>
      <c r="V17" s="3">
        <v>506</v>
      </c>
      <c r="W17" s="3">
        <v>5</v>
      </c>
      <c r="X17" s="3">
        <f t="shared" si="22"/>
        <v>511</v>
      </c>
      <c r="Z17">
        <v>2012</v>
      </c>
      <c r="AA17" s="3">
        <v>1</v>
      </c>
      <c r="AB17" s="3"/>
      <c r="AC17" s="3">
        <f t="shared" si="23"/>
        <v>1</v>
      </c>
      <c r="AE17">
        <v>2012</v>
      </c>
      <c r="AF17" s="3">
        <v>17</v>
      </c>
      <c r="AG17" s="3">
        <f>AF17*AG6/AF6</f>
        <v>12.142857142857142</v>
      </c>
      <c r="AH17" s="3">
        <f t="shared" si="24"/>
        <v>29.142857142857142</v>
      </c>
      <c r="AJ17">
        <v>2012</v>
      </c>
      <c r="AK17" s="3">
        <v>6</v>
      </c>
      <c r="AL17" s="3">
        <v>3</v>
      </c>
      <c r="AM17" s="3">
        <f t="shared" si="25"/>
        <v>9</v>
      </c>
      <c r="AO17">
        <v>2012</v>
      </c>
      <c r="AP17" s="3"/>
      <c r="AQ17" s="3"/>
      <c r="AR17" s="3">
        <f t="shared" si="26"/>
        <v>0</v>
      </c>
      <c r="AT17">
        <v>2012</v>
      </c>
      <c r="AU17" s="3"/>
      <c r="AV17" s="3"/>
      <c r="AW17" s="3">
        <f t="shared" si="27"/>
        <v>0</v>
      </c>
      <c r="AY17">
        <v>2012</v>
      </c>
      <c r="AZ17" s="3">
        <v>61</v>
      </c>
      <c r="BA17" s="3">
        <v>30</v>
      </c>
      <c r="BB17" s="3">
        <f t="shared" si="28"/>
        <v>91</v>
      </c>
      <c r="BD17">
        <v>2012</v>
      </c>
      <c r="BE17" s="3">
        <v>1</v>
      </c>
      <c r="BF17" s="3"/>
      <c r="BG17" s="3">
        <f t="shared" si="29"/>
        <v>1</v>
      </c>
      <c r="BI17">
        <v>2012</v>
      </c>
      <c r="BJ17" s="3">
        <v>19</v>
      </c>
      <c r="BK17" s="3">
        <v>12</v>
      </c>
      <c r="BL17" s="3">
        <f t="shared" si="30"/>
        <v>31</v>
      </c>
      <c r="BN17">
        <v>2012</v>
      </c>
      <c r="BO17" s="3">
        <v>64</v>
      </c>
      <c r="BP17" s="3">
        <v>30</v>
      </c>
      <c r="BQ17" s="3">
        <f t="shared" si="31"/>
        <v>94</v>
      </c>
      <c r="BS17">
        <v>2012</v>
      </c>
      <c r="BT17" s="3">
        <v>0</v>
      </c>
      <c r="BU17" s="3">
        <v>5</v>
      </c>
      <c r="BV17" s="3">
        <f t="shared" si="32"/>
        <v>5</v>
      </c>
      <c r="BX17">
        <v>2012</v>
      </c>
      <c r="BY17" s="3">
        <v>3</v>
      </c>
      <c r="BZ17" s="3">
        <v>0</v>
      </c>
      <c r="CA17" s="3">
        <f t="shared" si="33"/>
        <v>3</v>
      </c>
      <c r="CC17">
        <v>2012</v>
      </c>
      <c r="CD17" s="3">
        <v>17</v>
      </c>
      <c r="CE17" s="3">
        <v>10</v>
      </c>
      <c r="CF17" s="3">
        <f t="shared" si="34"/>
        <v>27</v>
      </c>
      <c r="CH17">
        <v>2012</v>
      </c>
      <c r="CI17" s="3">
        <v>92</v>
      </c>
      <c r="CJ17" s="3"/>
      <c r="CK17" s="3">
        <f t="shared" si="35"/>
        <v>92</v>
      </c>
    </row>
    <row r="18" spans="1:89">
      <c r="A18">
        <v>2013</v>
      </c>
      <c r="B18" s="3">
        <v>0</v>
      </c>
      <c r="C18" s="3">
        <v>0</v>
      </c>
      <c r="D18" s="3">
        <f t="shared" si="18"/>
        <v>0</v>
      </c>
      <c r="F18">
        <v>2013</v>
      </c>
      <c r="G18" s="3"/>
      <c r="H18" s="3"/>
      <c r="I18" s="3">
        <f t="shared" si="19"/>
        <v>0</v>
      </c>
      <c r="K18">
        <v>2013</v>
      </c>
      <c r="L18" s="3"/>
      <c r="M18" s="3"/>
      <c r="N18" s="3">
        <f t="shared" si="20"/>
        <v>0</v>
      </c>
      <c r="P18">
        <v>2013</v>
      </c>
      <c r="Q18" s="3">
        <v>39</v>
      </c>
      <c r="R18" s="3">
        <v>11</v>
      </c>
      <c r="S18" s="3">
        <f t="shared" si="21"/>
        <v>50</v>
      </c>
      <c r="U18">
        <v>2013</v>
      </c>
      <c r="V18" s="3">
        <v>146</v>
      </c>
      <c r="W18" s="3">
        <v>5</v>
      </c>
      <c r="X18" s="3">
        <f t="shared" si="22"/>
        <v>151</v>
      </c>
      <c r="Z18">
        <v>2013</v>
      </c>
      <c r="AA18" s="3">
        <v>2</v>
      </c>
      <c r="AB18" s="3">
        <v>1</v>
      </c>
      <c r="AC18" s="3">
        <f t="shared" si="23"/>
        <v>3</v>
      </c>
      <c r="AE18">
        <v>2013</v>
      </c>
      <c r="AF18" s="3">
        <v>80</v>
      </c>
      <c r="AG18" s="3">
        <v>24</v>
      </c>
      <c r="AH18" s="3">
        <f t="shared" si="24"/>
        <v>104</v>
      </c>
      <c r="AJ18">
        <v>2013</v>
      </c>
      <c r="AK18" s="3">
        <v>3</v>
      </c>
      <c r="AL18" s="3">
        <v>5</v>
      </c>
      <c r="AM18" s="3">
        <f t="shared" si="25"/>
        <v>8</v>
      </c>
      <c r="AO18">
        <v>2013</v>
      </c>
      <c r="AP18" s="3"/>
      <c r="AQ18" s="3"/>
      <c r="AR18" s="3">
        <f t="shared" si="26"/>
        <v>0</v>
      </c>
      <c r="AT18">
        <v>2013</v>
      </c>
      <c r="AU18" s="3">
        <v>2</v>
      </c>
      <c r="AV18" s="3">
        <v>4</v>
      </c>
      <c r="AW18" s="3">
        <f t="shared" si="27"/>
        <v>6</v>
      </c>
      <c r="AY18">
        <v>2013</v>
      </c>
      <c r="AZ18" s="3">
        <v>143</v>
      </c>
      <c r="BA18" s="3">
        <v>30</v>
      </c>
      <c r="BB18" s="3">
        <f t="shared" si="28"/>
        <v>173</v>
      </c>
      <c r="BD18">
        <v>2013</v>
      </c>
      <c r="BE18" s="3">
        <v>7</v>
      </c>
      <c r="BF18" s="3"/>
      <c r="BG18" s="3">
        <f t="shared" si="29"/>
        <v>7</v>
      </c>
      <c r="BI18">
        <v>2013</v>
      </c>
      <c r="BJ18" s="3">
        <v>27</v>
      </c>
      <c r="BK18" s="3">
        <v>10</v>
      </c>
      <c r="BL18" s="3">
        <f t="shared" si="30"/>
        <v>37</v>
      </c>
      <c r="BN18">
        <v>2013</v>
      </c>
      <c r="BO18" s="3">
        <v>166</v>
      </c>
      <c r="BP18" s="3">
        <v>44</v>
      </c>
      <c r="BQ18" s="3">
        <f t="shared" si="31"/>
        <v>210</v>
      </c>
      <c r="BS18">
        <v>2013</v>
      </c>
      <c r="BT18" s="3">
        <v>37</v>
      </c>
      <c r="BU18" s="3">
        <v>0</v>
      </c>
      <c r="BV18" s="3">
        <f t="shared" si="32"/>
        <v>37</v>
      </c>
      <c r="BX18">
        <v>2013</v>
      </c>
      <c r="BY18" s="3">
        <v>16</v>
      </c>
      <c r="BZ18" s="3">
        <v>12</v>
      </c>
      <c r="CA18" s="3">
        <f t="shared" si="33"/>
        <v>28</v>
      </c>
      <c r="CC18">
        <v>2013</v>
      </c>
      <c r="CD18" s="3">
        <v>5</v>
      </c>
      <c r="CE18" s="3">
        <v>13</v>
      </c>
      <c r="CF18" s="3">
        <f t="shared" si="34"/>
        <v>18</v>
      </c>
      <c r="CH18">
        <v>2013</v>
      </c>
      <c r="CI18" s="3">
        <v>0</v>
      </c>
      <c r="CJ18" s="3"/>
      <c r="CK18" s="3">
        <f t="shared" si="35"/>
        <v>0</v>
      </c>
    </row>
    <row r="19" spans="1:89">
      <c r="A19">
        <v>2014</v>
      </c>
      <c r="B19" s="3">
        <v>2</v>
      </c>
      <c r="C19" s="3">
        <v>2</v>
      </c>
      <c r="D19" s="3">
        <f t="shared" si="18"/>
        <v>4</v>
      </c>
      <c r="F19">
        <v>2014</v>
      </c>
      <c r="G19" s="3">
        <v>39</v>
      </c>
      <c r="H19" s="3">
        <v>5</v>
      </c>
      <c r="I19" s="3">
        <f t="shared" si="19"/>
        <v>44</v>
      </c>
      <c r="K19">
        <v>2014</v>
      </c>
      <c r="L19" s="3"/>
      <c r="M19" s="3">
        <v>3</v>
      </c>
      <c r="N19" s="3">
        <f t="shared" si="20"/>
        <v>3</v>
      </c>
      <c r="P19">
        <v>2014</v>
      </c>
      <c r="Q19" s="3">
        <v>187</v>
      </c>
      <c r="R19" s="3">
        <v>55</v>
      </c>
      <c r="S19" s="3">
        <f t="shared" si="21"/>
        <v>242</v>
      </c>
      <c r="U19">
        <v>2014</v>
      </c>
      <c r="V19" s="3">
        <v>334</v>
      </c>
      <c r="W19" s="3">
        <v>26</v>
      </c>
      <c r="X19" s="3">
        <f t="shared" si="22"/>
        <v>360</v>
      </c>
      <c r="Z19">
        <v>2014</v>
      </c>
      <c r="AA19" s="3">
        <v>42</v>
      </c>
      <c r="AB19" s="3">
        <v>17</v>
      </c>
      <c r="AC19" s="3">
        <f t="shared" si="23"/>
        <v>59</v>
      </c>
      <c r="AE19">
        <v>2014</v>
      </c>
      <c r="AF19" s="3">
        <v>206</v>
      </c>
      <c r="AG19" s="3">
        <v>28</v>
      </c>
      <c r="AH19" s="3">
        <f t="shared" si="24"/>
        <v>234</v>
      </c>
      <c r="AJ19">
        <v>2014</v>
      </c>
      <c r="AK19" s="3">
        <v>172</v>
      </c>
      <c r="AL19" s="3">
        <v>3</v>
      </c>
      <c r="AM19" s="3">
        <f t="shared" si="25"/>
        <v>175</v>
      </c>
      <c r="AO19">
        <v>2014</v>
      </c>
      <c r="AP19" s="3"/>
      <c r="AQ19" s="3"/>
      <c r="AR19" s="3">
        <f t="shared" si="26"/>
        <v>0</v>
      </c>
      <c r="AT19">
        <v>2014</v>
      </c>
      <c r="AU19" s="3">
        <v>4</v>
      </c>
      <c r="AV19" s="3">
        <v>10</v>
      </c>
      <c r="AW19" s="3">
        <f t="shared" si="27"/>
        <v>14</v>
      </c>
      <c r="AY19">
        <v>2014</v>
      </c>
      <c r="AZ19" s="3">
        <v>301</v>
      </c>
      <c r="BA19" s="3">
        <v>106</v>
      </c>
      <c r="BB19" s="3">
        <f t="shared" si="28"/>
        <v>407</v>
      </c>
      <c r="BD19">
        <v>2014</v>
      </c>
      <c r="BE19" s="3">
        <v>28</v>
      </c>
      <c r="BF19" s="3">
        <v>4</v>
      </c>
      <c r="BG19" s="3">
        <f t="shared" si="29"/>
        <v>32</v>
      </c>
      <c r="BI19">
        <v>2014</v>
      </c>
      <c r="BJ19" s="3">
        <v>68</v>
      </c>
      <c r="BK19" s="3">
        <v>82</v>
      </c>
      <c r="BL19" s="3">
        <f t="shared" si="30"/>
        <v>150</v>
      </c>
      <c r="BN19">
        <v>2014</v>
      </c>
      <c r="BO19" s="3">
        <v>196</v>
      </c>
      <c r="BP19" s="3">
        <v>103</v>
      </c>
      <c r="BQ19" s="3">
        <f t="shared" si="31"/>
        <v>299</v>
      </c>
      <c r="BS19">
        <v>2014</v>
      </c>
      <c r="BT19" s="3">
        <v>17</v>
      </c>
      <c r="BU19" s="3">
        <v>13</v>
      </c>
      <c r="BV19" s="3">
        <f t="shared" si="32"/>
        <v>30</v>
      </c>
      <c r="BX19">
        <v>2014</v>
      </c>
      <c r="BY19" s="3">
        <v>69</v>
      </c>
      <c r="BZ19" s="3">
        <v>49</v>
      </c>
      <c r="CA19" s="3">
        <f t="shared" si="33"/>
        <v>118</v>
      </c>
      <c r="CC19">
        <v>2014</v>
      </c>
      <c r="CD19" s="3">
        <v>39</v>
      </c>
      <c r="CE19" s="3">
        <v>10</v>
      </c>
      <c r="CF19" s="3">
        <f t="shared" si="34"/>
        <v>49</v>
      </c>
      <c r="CH19">
        <v>2014</v>
      </c>
      <c r="CI19" s="3">
        <v>25</v>
      </c>
      <c r="CJ19" s="3">
        <v>20</v>
      </c>
      <c r="CK19" s="3">
        <f t="shared" si="35"/>
        <v>45</v>
      </c>
    </row>
    <row r="20" spans="1:89">
      <c r="A20">
        <v>2015</v>
      </c>
      <c r="B20" s="3">
        <v>10</v>
      </c>
      <c r="C20" s="3">
        <v>5</v>
      </c>
      <c r="D20" s="3">
        <f t="shared" si="18"/>
        <v>15</v>
      </c>
      <c r="F20">
        <v>2015</v>
      </c>
      <c r="G20" s="3">
        <v>80</v>
      </c>
      <c r="H20" s="3">
        <v>43</v>
      </c>
      <c r="I20" s="3">
        <f t="shared" si="19"/>
        <v>123</v>
      </c>
      <c r="K20">
        <v>2015</v>
      </c>
      <c r="L20" s="3">
        <v>4</v>
      </c>
      <c r="M20" s="3">
        <v>26</v>
      </c>
      <c r="N20" s="3">
        <f t="shared" si="20"/>
        <v>30</v>
      </c>
      <c r="P20">
        <v>2015</v>
      </c>
      <c r="Q20" s="3">
        <v>331</v>
      </c>
      <c r="R20" s="3">
        <v>128</v>
      </c>
      <c r="S20" s="3">
        <f t="shared" si="21"/>
        <v>459</v>
      </c>
      <c r="U20">
        <v>2015</v>
      </c>
      <c r="V20" s="3">
        <v>39</v>
      </c>
      <c r="W20" s="3">
        <v>12</v>
      </c>
      <c r="X20" s="3">
        <f t="shared" si="22"/>
        <v>51</v>
      </c>
      <c r="Z20">
        <v>2015</v>
      </c>
      <c r="AA20" s="3">
        <v>39</v>
      </c>
      <c r="AB20" s="3">
        <v>23</v>
      </c>
      <c r="AC20" s="3">
        <f t="shared" si="23"/>
        <v>62</v>
      </c>
      <c r="AE20">
        <v>2015</v>
      </c>
      <c r="AF20" s="3">
        <v>389</v>
      </c>
      <c r="AG20" s="3">
        <v>170</v>
      </c>
      <c r="AH20" s="3">
        <f t="shared" si="24"/>
        <v>559</v>
      </c>
      <c r="AJ20">
        <v>2015</v>
      </c>
      <c r="AK20" s="3">
        <v>20</v>
      </c>
      <c r="AL20" s="3">
        <v>10</v>
      </c>
      <c r="AM20" s="3">
        <f t="shared" si="25"/>
        <v>30</v>
      </c>
      <c r="AO20">
        <v>2015</v>
      </c>
      <c r="AP20" s="3">
        <v>8</v>
      </c>
      <c r="AQ20" s="3"/>
      <c r="AR20" s="3">
        <f t="shared" si="26"/>
        <v>8</v>
      </c>
      <c r="AT20">
        <v>2015</v>
      </c>
      <c r="AU20" s="3">
        <v>25</v>
      </c>
      <c r="AV20" s="3">
        <v>14</v>
      </c>
      <c r="AW20" s="3">
        <f t="shared" si="27"/>
        <v>39</v>
      </c>
      <c r="AY20">
        <v>2015</v>
      </c>
      <c r="AZ20" s="3">
        <v>71</v>
      </c>
      <c r="BA20" s="3">
        <v>113</v>
      </c>
      <c r="BB20" s="3">
        <f t="shared" si="28"/>
        <v>184</v>
      </c>
      <c r="BD20">
        <v>2015</v>
      </c>
      <c r="BE20" s="3">
        <v>34</v>
      </c>
      <c r="BF20" s="3">
        <v>3</v>
      </c>
      <c r="BG20" s="3">
        <f t="shared" si="29"/>
        <v>37</v>
      </c>
      <c r="BI20">
        <v>2015</v>
      </c>
      <c r="BJ20" s="3">
        <v>86</v>
      </c>
      <c r="BK20" s="3">
        <v>176</v>
      </c>
      <c r="BL20" s="3">
        <f t="shared" si="30"/>
        <v>262</v>
      </c>
      <c r="BN20">
        <v>2015</v>
      </c>
      <c r="BO20" s="3">
        <v>639</v>
      </c>
      <c r="BP20" s="3">
        <v>541</v>
      </c>
      <c r="BQ20" s="3">
        <f t="shared" si="31"/>
        <v>1180</v>
      </c>
      <c r="BS20">
        <v>2015</v>
      </c>
      <c r="BT20" s="3">
        <v>28</v>
      </c>
      <c r="BU20" s="3">
        <v>39</v>
      </c>
      <c r="BV20" s="3">
        <f t="shared" si="32"/>
        <v>67</v>
      </c>
      <c r="BX20">
        <v>2015</v>
      </c>
      <c r="BY20" s="3">
        <v>123</v>
      </c>
      <c r="BZ20" s="3">
        <v>68</v>
      </c>
      <c r="CA20" s="3">
        <f t="shared" si="33"/>
        <v>191</v>
      </c>
      <c r="CC20">
        <v>2015</v>
      </c>
      <c r="CD20" s="3">
        <v>122</v>
      </c>
      <c r="CE20" s="3">
        <v>35</v>
      </c>
      <c r="CF20" s="3">
        <f t="shared" si="34"/>
        <v>157</v>
      </c>
      <c r="CH20">
        <v>2015</v>
      </c>
      <c r="CI20" s="3">
        <v>119</v>
      </c>
      <c r="CJ20" s="3">
        <v>107</v>
      </c>
      <c r="CK20" s="3">
        <f t="shared" si="35"/>
        <v>226</v>
      </c>
    </row>
    <row r="21" spans="1:89">
      <c r="A21">
        <v>2016</v>
      </c>
      <c r="B21" s="3">
        <v>11</v>
      </c>
      <c r="C21" s="3">
        <v>1</v>
      </c>
      <c r="D21" s="3">
        <f t="shared" si="18"/>
        <v>12</v>
      </c>
      <c r="F21">
        <v>2016</v>
      </c>
      <c r="G21" s="3">
        <v>57</v>
      </c>
      <c r="H21" s="3">
        <v>31</v>
      </c>
      <c r="I21" s="3">
        <f t="shared" si="19"/>
        <v>88</v>
      </c>
      <c r="K21">
        <v>2016</v>
      </c>
      <c r="L21" s="3">
        <v>19</v>
      </c>
      <c r="M21" s="3">
        <v>20</v>
      </c>
      <c r="N21" s="3">
        <f t="shared" si="20"/>
        <v>39</v>
      </c>
      <c r="P21">
        <v>2016</v>
      </c>
      <c r="Q21" s="3">
        <v>233</v>
      </c>
      <c r="R21" s="3">
        <v>130</v>
      </c>
      <c r="S21" s="3">
        <f t="shared" si="21"/>
        <v>363</v>
      </c>
      <c r="U21">
        <v>2016</v>
      </c>
      <c r="V21" s="3">
        <v>49</v>
      </c>
      <c r="W21" s="3">
        <v>7</v>
      </c>
      <c r="X21" s="3">
        <f t="shared" si="22"/>
        <v>56</v>
      </c>
      <c r="Z21">
        <v>2016</v>
      </c>
      <c r="AA21" s="3">
        <v>33</v>
      </c>
      <c r="AB21" s="3">
        <v>14</v>
      </c>
      <c r="AC21" s="3">
        <f t="shared" si="23"/>
        <v>47</v>
      </c>
      <c r="AE21">
        <v>2016</v>
      </c>
      <c r="AF21" s="3">
        <v>376</v>
      </c>
      <c r="AG21" s="3">
        <v>782</v>
      </c>
      <c r="AH21" s="3">
        <f t="shared" si="24"/>
        <v>1158</v>
      </c>
      <c r="AJ21">
        <v>2016</v>
      </c>
      <c r="AK21" s="3">
        <v>28</v>
      </c>
      <c r="AL21" s="3">
        <v>18</v>
      </c>
      <c r="AM21" s="3">
        <f t="shared" si="25"/>
        <v>46</v>
      </c>
      <c r="AO21">
        <v>2016</v>
      </c>
      <c r="AP21" s="3">
        <v>43</v>
      </c>
      <c r="AQ21" s="3">
        <v>1</v>
      </c>
      <c r="AR21" s="3">
        <f t="shared" si="26"/>
        <v>44</v>
      </c>
      <c r="AT21">
        <v>2016</v>
      </c>
      <c r="AU21" s="3">
        <v>65</v>
      </c>
      <c r="AV21" s="3">
        <v>16</v>
      </c>
      <c r="AW21" s="3">
        <f t="shared" si="27"/>
        <v>81</v>
      </c>
      <c r="AY21">
        <v>2016</v>
      </c>
      <c r="AZ21" s="3">
        <v>136</v>
      </c>
      <c r="BA21" s="3">
        <v>170</v>
      </c>
      <c r="BB21" s="3">
        <f t="shared" si="28"/>
        <v>306</v>
      </c>
      <c r="BD21">
        <v>2016</v>
      </c>
      <c r="BE21" s="3">
        <v>17</v>
      </c>
      <c r="BF21" s="3">
        <v>0</v>
      </c>
      <c r="BG21" s="3">
        <f t="shared" si="29"/>
        <v>17</v>
      </c>
      <c r="BI21">
        <v>2016</v>
      </c>
      <c r="BJ21" s="3">
        <v>138</v>
      </c>
      <c r="BK21" s="3">
        <v>132</v>
      </c>
      <c r="BL21" s="3">
        <f t="shared" si="30"/>
        <v>270</v>
      </c>
      <c r="BN21">
        <v>2016</v>
      </c>
      <c r="BO21" s="3">
        <v>784</v>
      </c>
      <c r="BP21" s="3">
        <v>1089</v>
      </c>
      <c r="BQ21" s="3">
        <f t="shared" si="31"/>
        <v>1873</v>
      </c>
      <c r="BS21">
        <v>2016</v>
      </c>
      <c r="BT21" s="3">
        <v>69</v>
      </c>
      <c r="BU21" s="3">
        <v>93</v>
      </c>
      <c r="BV21" s="3">
        <f t="shared" si="32"/>
        <v>162</v>
      </c>
      <c r="BX21">
        <v>2016</v>
      </c>
      <c r="BY21" s="3">
        <v>55</v>
      </c>
      <c r="BZ21" s="3">
        <v>0</v>
      </c>
      <c r="CA21" s="3">
        <f t="shared" si="33"/>
        <v>55</v>
      </c>
      <c r="CC21">
        <v>2016</v>
      </c>
      <c r="CD21" s="3">
        <v>178</v>
      </c>
      <c r="CE21" s="3">
        <v>94</v>
      </c>
      <c r="CF21" s="3">
        <f t="shared" si="34"/>
        <v>272</v>
      </c>
      <c r="CH21">
        <v>2016</v>
      </c>
      <c r="CI21" s="3">
        <v>44</v>
      </c>
      <c r="CJ21" s="3">
        <v>83</v>
      </c>
      <c r="CK21" s="3">
        <f t="shared" si="35"/>
        <v>127</v>
      </c>
    </row>
    <row r="22" spans="1:89">
      <c r="A22">
        <v>2017</v>
      </c>
      <c r="B22" s="3">
        <v>66</v>
      </c>
      <c r="C22" s="3">
        <v>50</v>
      </c>
      <c r="D22" s="3">
        <f t="shared" si="18"/>
        <v>116</v>
      </c>
      <c r="F22">
        <v>2017</v>
      </c>
      <c r="G22" s="3">
        <v>8</v>
      </c>
      <c r="H22" s="3">
        <v>15</v>
      </c>
      <c r="I22" s="3">
        <f t="shared" si="19"/>
        <v>23</v>
      </c>
      <c r="K22">
        <v>2017</v>
      </c>
      <c r="L22" s="3">
        <v>44</v>
      </c>
      <c r="M22" s="3">
        <v>55</v>
      </c>
      <c r="N22" s="3">
        <f t="shared" si="20"/>
        <v>99</v>
      </c>
      <c r="P22">
        <v>2017</v>
      </c>
      <c r="Q22" s="3">
        <v>389</v>
      </c>
      <c r="R22" s="3">
        <v>241</v>
      </c>
      <c r="S22" s="3">
        <f t="shared" si="21"/>
        <v>630</v>
      </c>
      <c r="U22">
        <v>2017</v>
      </c>
      <c r="V22" s="3">
        <v>26</v>
      </c>
      <c r="W22" s="3">
        <v>26</v>
      </c>
      <c r="X22" s="3">
        <f t="shared" si="22"/>
        <v>52</v>
      </c>
      <c r="Z22">
        <v>2017</v>
      </c>
      <c r="AA22" s="3">
        <v>34</v>
      </c>
      <c r="AB22" s="3">
        <v>156</v>
      </c>
      <c r="AC22" s="3">
        <f t="shared" si="23"/>
        <v>190</v>
      </c>
      <c r="AE22">
        <v>2017</v>
      </c>
      <c r="AF22" s="3">
        <v>854</v>
      </c>
      <c r="AG22" s="3">
        <v>2136</v>
      </c>
      <c r="AH22" s="3">
        <f t="shared" si="24"/>
        <v>2990</v>
      </c>
      <c r="AJ22">
        <v>2017</v>
      </c>
      <c r="AK22" s="3">
        <v>71</v>
      </c>
      <c r="AL22" s="3">
        <v>30</v>
      </c>
      <c r="AM22" s="3">
        <f t="shared" si="25"/>
        <v>101</v>
      </c>
      <c r="AO22">
        <v>2017</v>
      </c>
      <c r="AP22" s="3">
        <v>55</v>
      </c>
      <c r="AQ22" s="3">
        <v>0</v>
      </c>
      <c r="AR22" s="3">
        <f t="shared" si="26"/>
        <v>55</v>
      </c>
      <c r="AT22">
        <v>2017</v>
      </c>
      <c r="AU22" s="3">
        <v>48</v>
      </c>
      <c r="AV22" s="3">
        <v>22</v>
      </c>
      <c r="AW22" s="3">
        <f t="shared" si="27"/>
        <v>70</v>
      </c>
      <c r="AY22">
        <v>2017</v>
      </c>
      <c r="AZ22" s="3">
        <v>354</v>
      </c>
      <c r="BA22" s="3">
        <v>638</v>
      </c>
      <c r="BB22" s="3">
        <f t="shared" si="28"/>
        <v>992</v>
      </c>
      <c r="BD22">
        <v>2017</v>
      </c>
      <c r="BE22" s="3">
        <v>48</v>
      </c>
      <c r="BF22" s="3">
        <v>5</v>
      </c>
      <c r="BG22" s="3">
        <f t="shared" si="29"/>
        <v>53</v>
      </c>
      <c r="BI22">
        <v>2017</v>
      </c>
      <c r="BJ22" s="3">
        <v>475</v>
      </c>
      <c r="BK22" s="3">
        <v>514</v>
      </c>
      <c r="BL22" s="3">
        <f t="shared" si="30"/>
        <v>989</v>
      </c>
      <c r="BN22">
        <v>2017</v>
      </c>
      <c r="BO22" s="3">
        <v>1793</v>
      </c>
      <c r="BP22" s="3">
        <v>2444</v>
      </c>
      <c r="BQ22" s="3">
        <f t="shared" si="31"/>
        <v>4237</v>
      </c>
      <c r="BS22">
        <v>2017</v>
      </c>
      <c r="BT22" s="3">
        <v>232</v>
      </c>
      <c r="BU22" s="3">
        <v>142</v>
      </c>
      <c r="BV22" s="3">
        <f t="shared" si="32"/>
        <v>374</v>
      </c>
      <c r="BX22">
        <v>2017</v>
      </c>
      <c r="BY22" s="3">
        <v>209</v>
      </c>
      <c r="BZ22" s="3">
        <v>185</v>
      </c>
      <c r="CA22" s="3">
        <f t="shared" si="33"/>
        <v>394</v>
      </c>
      <c r="CC22">
        <v>2017</v>
      </c>
      <c r="CD22" s="3">
        <v>336</v>
      </c>
      <c r="CE22" s="3">
        <v>192</v>
      </c>
      <c r="CF22" s="3">
        <f t="shared" si="34"/>
        <v>528</v>
      </c>
      <c r="CH22">
        <v>2017</v>
      </c>
      <c r="CI22" s="3">
        <v>77</v>
      </c>
      <c r="CJ22" s="3">
        <v>31</v>
      </c>
      <c r="CK22" s="3">
        <f t="shared" si="35"/>
        <v>108</v>
      </c>
    </row>
    <row r="23" spans="1:89">
      <c r="B23" s="84"/>
      <c r="D23" s="84"/>
    </row>
    <row r="24" spans="1:89">
      <c r="B24" t="s">
        <v>566</v>
      </c>
      <c r="C24" t="s">
        <v>567</v>
      </c>
      <c r="D24" t="s">
        <v>158</v>
      </c>
      <c r="G24" t="s">
        <v>566</v>
      </c>
      <c r="H24" t="s">
        <v>567</v>
      </c>
      <c r="I24" t="s">
        <v>158</v>
      </c>
      <c r="L24" t="s">
        <v>566</v>
      </c>
      <c r="M24" t="s">
        <v>567</v>
      </c>
      <c r="N24" t="s">
        <v>158</v>
      </c>
      <c r="Q24" t="s">
        <v>566</v>
      </c>
      <c r="R24" t="s">
        <v>567</v>
      </c>
      <c r="S24" t="s">
        <v>158</v>
      </c>
      <c r="V24" t="s">
        <v>566</v>
      </c>
      <c r="W24" t="s">
        <v>567</v>
      </c>
      <c r="X24" t="s">
        <v>158</v>
      </c>
      <c r="AA24" t="s">
        <v>566</v>
      </c>
      <c r="AB24" t="s">
        <v>567</v>
      </c>
      <c r="AC24" t="s">
        <v>158</v>
      </c>
      <c r="AF24" t="s">
        <v>566</v>
      </c>
      <c r="AG24" t="s">
        <v>567</v>
      </c>
      <c r="AH24" t="s">
        <v>158</v>
      </c>
      <c r="AK24" t="s">
        <v>566</v>
      </c>
      <c r="AL24" t="s">
        <v>567</v>
      </c>
      <c r="AM24" t="s">
        <v>158</v>
      </c>
      <c r="AP24" t="s">
        <v>566</v>
      </c>
      <c r="AQ24" t="s">
        <v>567</v>
      </c>
      <c r="AR24" t="s">
        <v>158</v>
      </c>
      <c r="AU24" t="s">
        <v>566</v>
      </c>
      <c r="AV24" t="s">
        <v>567</v>
      </c>
      <c r="AW24" t="s">
        <v>158</v>
      </c>
      <c r="AZ24" t="s">
        <v>566</v>
      </c>
      <c r="BA24" t="s">
        <v>567</v>
      </c>
      <c r="BB24" t="s">
        <v>158</v>
      </c>
      <c r="BE24" t="s">
        <v>566</v>
      </c>
      <c r="BF24" t="s">
        <v>567</v>
      </c>
      <c r="BG24" t="s">
        <v>158</v>
      </c>
      <c r="BJ24" t="s">
        <v>566</v>
      </c>
      <c r="BK24" t="s">
        <v>567</v>
      </c>
      <c r="BL24" t="s">
        <v>158</v>
      </c>
      <c r="BO24" t="s">
        <v>566</v>
      </c>
      <c r="BP24" t="s">
        <v>567</v>
      </c>
      <c r="BQ24" t="s">
        <v>158</v>
      </c>
      <c r="BT24" t="s">
        <v>566</v>
      </c>
      <c r="BU24" t="s">
        <v>567</v>
      </c>
      <c r="BV24" t="s">
        <v>158</v>
      </c>
      <c r="BY24" t="s">
        <v>566</v>
      </c>
      <c r="BZ24" t="s">
        <v>567</v>
      </c>
      <c r="CA24" t="s">
        <v>158</v>
      </c>
      <c r="CD24" t="s">
        <v>566</v>
      </c>
      <c r="CE24" t="s">
        <v>567</v>
      </c>
      <c r="CF24" t="s">
        <v>158</v>
      </c>
      <c r="CI24" t="s">
        <v>566</v>
      </c>
      <c r="CJ24" t="s">
        <v>567</v>
      </c>
      <c r="CK24" t="s">
        <v>158</v>
      </c>
    </row>
    <row r="25" spans="1:89">
      <c r="A25">
        <v>2009</v>
      </c>
      <c r="D25">
        <f>B25+C25</f>
        <v>0</v>
      </c>
      <c r="F25">
        <v>2009</v>
      </c>
      <c r="I25">
        <f>G25+H25</f>
        <v>0</v>
      </c>
      <c r="K25">
        <v>2009</v>
      </c>
      <c r="N25">
        <f>L25+M25</f>
        <v>0</v>
      </c>
      <c r="P25">
        <v>2009</v>
      </c>
      <c r="S25">
        <f>Q25+R25</f>
        <v>0</v>
      </c>
      <c r="U25">
        <v>2009</v>
      </c>
      <c r="X25">
        <f>V25+W25</f>
        <v>0</v>
      </c>
      <c r="Z25">
        <v>2009</v>
      </c>
      <c r="AC25">
        <f>AA25+AB25</f>
        <v>0</v>
      </c>
      <c r="AE25">
        <v>2009</v>
      </c>
      <c r="AH25">
        <f>AF25+AG25</f>
        <v>0</v>
      </c>
      <c r="AJ25">
        <v>2009</v>
      </c>
      <c r="AM25">
        <f>AK25+AL25</f>
        <v>0</v>
      </c>
      <c r="AO25">
        <v>2009</v>
      </c>
      <c r="AR25">
        <f>AP25+AQ25</f>
        <v>0</v>
      </c>
      <c r="AT25">
        <v>2009</v>
      </c>
      <c r="AW25">
        <f>AU25+AV25</f>
        <v>0</v>
      </c>
      <c r="AY25">
        <v>2009</v>
      </c>
      <c r="BB25">
        <f>AZ25+BA25</f>
        <v>0</v>
      </c>
      <c r="BD25">
        <v>2009</v>
      </c>
      <c r="BG25">
        <f>BE25+BF25</f>
        <v>0</v>
      </c>
      <c r="BI25">
        <v>2009</v>
      </c>
      <c r="BL25">
        <f>BJ25+BK25</f>
        <v>0</v>
      </c>
      <c r="BN25">
        <v>2009</v>
      </c>
      <c r="BQ25">
        <f>BO25+BP25</f>
        <v>0</v>
      </c>
      <c r="BS25">
        <v>2009</v>
      </c>
      <c r="BV25">
        <f>BT25+BU25</f>
        <v>0</v>
      </c>
      <c r="BX25">
        <v>2009</v>
      </c>
      <c r="CA25">
        <f>BY25+BZ25</f>
        <v>0</v>
      </c>
      <c r="CC25">
        <v>2009</v>
      </c>
      <c r="CF25">
        <f>CD25+CE25</f>
        <v>0</v>
      </c>
      <c r="CH25">
        <v>2009</v>
      </c>
      <c r="CK25">
        <f>CI25+CJ25</f>
        <v>0</v>
      </c>
    </row>
    <row r="26" spans="1:89">
      <c r="A26">
        <v>2010</v>
      </c>
      <c r="D26">
        <f t="shared" ref="D26:D33" si="36">B26+C26</f>
        <v>0</v>
      </c>
      <c r="F26">
        <v>2010</v>
      </c>
      <c r="I26">
        <f t="shared" ref="I26:I33" si="37">G26+H26</f>
        <v>0</v>
      </c>
      <c r="K26">
        <v>2010</v>
      </c>
      <c r="N26">
        <f t="shared" ref="N26:N33" si="38">L26+M26</f>
        <v>0</v>
      </c>
      <c r="P26">
        <v>2010</v>
      </c>
      <c r="S26">
        <f t="shared" ref="S26:S33" si="39">Q26+R26</f>
        <v>0</v>
      </c>
      <c r="U26">
        <v>2010</v>
      </c>
      <c r="X26">
        <f t="shared" ref="X26:X33" si="40">V26+W26</f>
        <v>0</v>
      </c>
      <c r="Z26">
        <v>2010</v>
      </c>
      <c r="AC26">
        <f t="shared" ref="AC26:AC33" si="41">AA26+AB26</f>
        <v>0</v>
      </c>
      <c r="AE26">
        <v>2010</v>
      </c>
      <c r="AH26">
        <f t="shared" ref="AH26:AH33" si="42">AF26+AG26</f>
        <v>0</v>
      </c>
      <c r="AJ26">
        <v>2010</v>
      </c>
      <c r="AM26">
        <f t="shared" ref="AM26:AM33" si="43">AK26+AL26</f>
        <v>0</v>
      </c>
      <c r="AO26">
        <v>2010</v>
      </c>
      <c r="AR26">
        <f t="shared" ref="AR26:AR33" si="44">AP26+AQ26</f>
        <v>0</v>
      </c>
      <c r="AT26">
        <v>2010</v>
      </c>
      <c r="AW26">
        <f t="shared" ref="AW26:AW33" si="45">AU26+AV26</f>
        <v>0</v>
      </c>
      <c r="AY26">
        <v>2010</v>
      </c>
      <c r="BB26">
        <f t="shared" ref="BB26:BB33" si="46">AZ26+BA26</f>
        <v>0</v>
      </c>
      <c r="BD26">
        <v>2010</v>
      </c>
      <c r="BG26">
        <f t="shared" ref="BG26:BG33" si="47">BE26+BF26</f>
        <v>0</v>
      </c>
      <c r="BI26">
        <v>2010</v>
      </c>
      <c r="BL26">
        <f t="shared" ref="BL26:BL33" si="48">BJ26+BK26</f>
        <v>0</v>
      </c>
      <c r="BN26">
        <v>2010</v>
      </c>
      <c r="BQ26">
        <f t="shared" ref="BQ26:BQ33" si="49">BO26+BP26</f>
        <v>0</v>
      </c>
      <c r="BS26">
        <v>2010</v>
      </c>
      <c r="BV26">
        <f t="shared" ref="BV26:BV33" si="50">BT26+BU26</f>
        <v>0</v>
      </c>
      <c r="BX26">
        <v>2010</v>
      </c>
      <c r="CA26">
        <f t="shared" ref="CA26:CA33" si="51">BY26+BZ26</f>
        <v>0</v>
      </c>
      <c r="CC26">
        <v>2010</v>
      </c>
      <c r="CF26">
        <f t="shared" ref="CF26:CF33" si="52">CD26+CE26</f>
        <v>0</v>
      </c>
      <c r="CH26">
        <v>2010</v>
      </c>
      <c r="CK26">
        <f t="shared" ref="CK26:CK33" si="53">CI26+CJ26</f>
        <v>0</v>
      </c>
    </row>
    <row r="27" spans="1:89">
      <c r="A27">
        <v>2011</v>
      </c>
      <c r="D27">
        <f t="shared" si="36"/>
        <v>0</v>
      </c>
      <c r="F27">
        <v>2011</v>
      </c>
      <c r="I27">
        <f t="shared" si="37"/>
        <v>0</v>
      </c>
      <c r="K27">
        <v>2011</v>
      </c>
      <c r="N27">
        <f t="shared" si="38"/>
        <v>0</v>
      </c>
      <c r="P27">
        <v>2011</v>
      </c>
      <c r="S27">
        <f t="shared" si="39"/>
        <v>0</v>
      </c>
      <c r="U27">
        <v>2011</v>
      </c>
      <c r="X27">
        <f t="shared" si="40"/>
        <v>0</v>
      </c>
      <c r="Z27">
        <v>2011</v>
      </c>
      <c r="AC27">
        <f t="shared" si="41"/>
        <v>0</v>
      </c>
      <c r="AE27">
        <v>2011</v>
      </c>
      <c r="AH27">
        <f t="shared" si="42"/>
        <v>0</v>
      </c>
      <c r="AJ27">
        <v>2011</v>
      </c>
      <c r="AM27">
        <f t="shared" si="43"/>
        <v>0</v>
      </c>
      <c r="AO27">
        <v>2011</v>
      </c>
      <c r="AR27">
        <f t="shared" si="44"/>
        <v>0</v>
      </c>
      <c r="AT27">
        <v>2011</v>
      </c>
      <c r="AW27">
        <f t="shared" si="45"/>
        <v>0</v>
      </c>
      <c r="AY27">
        <v>2011</v>
      </c>
      <c r="BB27">
        <f t="shared" si="46"/>
        <v>0</v>
      </c>
      <c r="BD27">
        <v>2011</v>
      </c>
      <c r="BG27">
        <f t="shared" si="47"/>
        <v>0</v>
      </c>
      <c r="BI27">
        <v>2011</v>
      </c>
      <c r="BL27">
        <f t="shared" si="48"/>
        <v>0</v>
      </c>
      <c r="BN27">
        <v>2011</v>
      </c>
      <c r="BO27">
        <v>1080</v>
      </c>
      <c r="BP27">
        <v>6</v>
      </c>
      <c r="BQ27">
        <f t="shared" si="49"/>
        <v>1086</v>
      </c>
      <c r="BS27">
        <v>2011</v>
      </c>
      <c r="BT27">
        <v>5</v>
      </c>
      <c r="BV27">
        <f t="shared" si="50"/>
        <v>5</v>
      </c>
      <c r="BX27">
        <v>2011</v>
      </c>
      <c r="CA27">
        <f t="shared" si="51"/>
        <v>0</v>
      </c>
      <c r="CC27">
        <v>2011</v>
      </c>
      <c r="CF27">
        <f t="shared" si="52"/>
        <v>0</v>
      </c>
      <c r="CH27">
        <v>2011</v>
      </c>
      <c r="CK27">
        <f t="shared" si="53"/>
        <v>0</v>
      </c>
    </row>
    <row r="28" spans="1:89">
      <c r="A28">
        <v>2012</v>
      </c>
      <c r="D28">
        <f t="shared" si="36"/>
        <v>0</v>
      </c>
      <c r="F28">
        <v>2012</v>
      </c>
      <c r="I28">
        <f t="shared" si="37"/>
        <v>0</v>
      </c>
      <c r="K28">
        <v>2012</v>
      </c>
      <c r="N28">
        <f t="shared" si="38"/>
        <v>0</v>
      </c>
      <c r="P28">
        <v>2012</v>
      </c>
      <c r="Q28">
        <v>50</v>
      </c>
      <c r="S28">
        <f t="shared" si="39"/>
        <v>50</v>
      </c>
      <c r="U28">
        <v>2012</v>
      </c>
      <c r="W28">
        <v>160</v>
      </c>
      <c r="X28">
        <f t="shared" si="40"/>
        <v>160</v>
      </c>
      <c r="Z28">
        <v>2012</v>
      </c>
      <c r="AC28">
        <f t="shared" si="41"/>
        <v>0</v>
      </c>
      <c r="AE28">
        <v>2012</v>
      </c>
      <c r="AH28">
        <f t="shared" si="42"/>
        <v>0</v>
      </c>
      <c r="AJ28">
        <v>2012</v>
      </c>
      <c r="AM28">
        <f t="shared" si="43"/>
        <v>0</v>
      </c>
      <c r="AO28">
        <v>2012</v>
      </c>
      <c r="AR28">
        <f t="shared" si="44"/>
        <v>0</v>
      </c>
      <c r="AT28">
        <v>2012</v>
      </c>
      <c r="AW28">
        <f t="shared" si="45"/>
        <v>0</v>
      </c>
      <c r="AY28">
        <v>2012</v>
      </c>
      <c r="BB28">
        <f t="shared" si="46"/>
        <v>0</v>
      </c>
      <c r="BD28">
        <v>2012</v>
      </c>
      <c r="BG28">
        <f t="shared" si="47"/>
        <v>0</v>
      </c>
      <c r="BI28">
        <v>2012</v>
      </c>
      <c r="BL28">
        <f t="shared" si="48"/>
        <v>0</v>
      </c>
      <c r="BN28">
        <v>2012</v>
      </c>
      <c r="BO28">
        <v>1128</v>
      </c>
      <c r="BP28">
        <v>6</v>
      </c>
      <c r="BQ28">
        <f t="shared" si="49"/>
        <v>1134</v>
      </c>
      <c r="BS28">
        <v>2012</v>
      </c>
      <c r="BT28">
        <v>5</v>
      </c>
      <c r="BU28">
        <v>5</v>
      </c>
      <c r="BV28">
        <f t="shared" si="50"/>
        <v>10</v>
      </c>
      <c r="BX28">
        <v>2012</v>
      </c>
      <c r="CA28">
        <f t="shared" si="51"/>
        <v>0</v>
      </c>
      <c r="CC28">
        <v>2012</v>
      </c>
      <c r="CF28">
        <f t="shared" si="52"/>
        <v>0</v>
      </c>
      <c r="CH28">
        <v>2012</v>
      </c>
      <c r="CK28">
        <f t="shared" si="53"/>
        <v>0</v>
      </c>
    </row>
    <row r="29" spans="1:89">
      <c r="A29">
        <v>2013</v>
      </c>
      <c r="D29">
        <f t="shared" si="36"/>
        <v>0</v>
      </c>
      <c r="F29">
        <v>2013</v>
      </c>
      <c r="I29">
        <f t="shared" si="37"/>
        <v>0</v>
      </c>
      <c r="K29">
        <v>2013</v>
      </c>
      <c r="N29">
        <f t="shared" si="38"/>
        <v>0</v>
      </c>
      <c r="P29">
        <v>2013</v>
      </c>
      <c r="Q29">
        <v>125</v>
      </c>
      <c r="R29">
        <v>3</v>
      </c>
      <c r="S29">
        <f t="shared" si="39"/>
        <v>128</v>
      </c>
      <c r="U29">
        <v>2013</v>
      </c>
      <c r="W29">
        <v>160</v>
      </c>
      <c r="X29">
        <f t="shared" si="40"/>
        <v>160</v>
      </c>
      <c r="Z29">
        <v>2013</v>
      </c>
      <c r="AC29">
        <f t="shared" si="41"/>
        <v>0</v>
      </c>
      <c r="AE29">
        <v>2013</v>
      </c>
      <c r="AH29">
        <f t="shared" si="42"/>
        <v>0</v>
      </c>
      <c r="AJ29">
        <v>2013</v>
      </c>
      <c r="AM29">
        <f t="shared" si="43"/>
        <v>0</v>
      </c>
      <c r="AO29">
        <v>2013</v>
      </c>
      <c r="AR29">
        <f t="shared" si="44"/>
        <v>0</v>
      </c>
      <c r="AT29">
        <v>2013</v>
      </c>
      <c r="AW29">
        <f t="shared" si="45"/>
        <v>0</v>
      </c>
      <c r="AY29">
        <v>2013</v>
      </c>
      <c r="BB29">
        <f t="shared" si="46"/>
        <v>0</v>
      </c>
      <c r="BD29">
        <v>2013</v>
      </c>
      <c r="BG29">
        <f t="shared" si="47"/>
        <v>0</v>
      </c>
      <c r="BI29">
        <v>2013</v>
      </c>
      <c r="BL29">
        <f t="shared" si="48"/>
        <v>0</v>
      </c>
      <c r="BN29">
        <v>2013</v>
      </c>
      <c r="BO29">
        <v>1154</v>
      </c>
      <c r="BP29">
        <v>17</v>
      </c>
      <c r="BQ29">
        <f t="shared" si="49"/>
        <v>1171</v>
      </c>
      <c r="BS29">
        <v>2013</v>
      </c>
      <c r="BT29">
        <v>37</v>
      </c>
      <c r="BU29">
        <v>5</v>
      </c>
      <c r="BV29">
        <f t="shared" si="50"/>
        <v>42</v>
      </c>
      <c r="BX29">
        <v>2013</v>
      </c>
      <c r="CA29">
        <f t="shared" si="51"/>
        <v>0</v>
      </c>
      <c r="CC29">
        <v>2013</v>
      </c>
      <c r="CF29">
        <f t="shared" si="52"/>
        <v>0</v>
      </c>
      <c r="CH29">
        <v>2013</v>
      </c>
      <c r="CK29">
        <f t="shared" si="53"/>
        <v>0</v>
      </c>
    </row>
    <row r="30" spans="1:89">
      <c r="A30">
        <v>2014</v>
      </c>
      <c r="D30">
        <f t="shared" si="36"/>
        <v>0</v>
      </c>
      <c r="F30">
        <v>2014</v>
      </c>
      <c r="I30">
        <f t="shared" si="37"/>
        <v>0</v>
      </c>
      <c r="K30">
        <v>2014</v>
      </c>
      <c r="N30">
        <f t="shared" si="38"/>
        <v>0</v>
      </c>
      <c r="P30">
        <v>2014</v>
      </c>
      <c r="Q30">
        <v>150</v>
      </c>
      <c r="R30">
        <v>14</v>
      </c>
      <c r="S30">
        <f t="shared" si="39"/>
        <v>164</v>
      </c>
      <c r="U30">
        <v>2014</v>
      </c>
      <c r="V30">
        <v>15</v>
      </c>
      <c r="W30">
        <v>163</v>
      </c>
      <c r="X30">
        <f t="shared" si="40"/>
        <v>178</v>
      </c>
      <c r="Z30">
        <v>2014</v>
      </c>
      <c r="AB30">
        <v>2</v>
      </c>
      <c r="AC30">
        <f t="shared" si="41"/>
        <v>2</v>
      </c>
      <c r="AE30">
        <v>2014</v>
      </c>
      <c r="AF30">
        <v>5</v>
      </c>
      <c r="AG30">
        <v>6</v>
      </c>
      <c r="AH30">
        <f t="shared" si="42"/>
        <v>11</v>
      </c>
      <c r="AJ30">
        <v>2014</v>
      </c>
      <c r="AK30">
        <v>13</v>
      </c>
      <c r="AM30">
        <f t="shared" si="43"/>
        <v>13</v>
      </c>
      <c r="AO30">
        <v>2014</v>
      </c>
      <c r="AR30">
        <f t="shared" si="44"/>
        <v>0</v>
      </c>
      <c r="AT30">
        <v>2014</v>
      </c>
      <c r="AU30">
        <v>10</v>
      </c>
      <c r="AW30">
        <f t="shared" si="45"/>
        <v>10</v>
      </c>
      <c r="AY30">
        <v>2014</v>
      </c>
      <c r="AZ30">
        <v>70</v>
      </c>
      <c r="BA30">
        <v>2</v>
      </c>
      <c r="BB30">
        <f t="shared" si="46"/>
        <v>72</v>
      </c>
      <c r="BD30">
        <v>2014</v>
      </c>
      <c r="BE30">
        <v>26</v>
      </c>
      <c r="BF30">
        <v>0</v>
      </c>
      <c r="BG30">
        <f t="shared" si="47"/>
        <v>26</v>
      </c>
      <c r="BI30">
        <v>2014</v>
      </c>
      <c r="BJ30">
        <v>115</v>
      </c>
      <c r="BK30">
        <v>4</v>
      </c>
      <c r="BL30">
        <f t="shared" si="48"/>
        <v>119</v>
      </c>
      <c r="BN30">
        <v>2014</v>
      </c>
      <c r="BO30">
        <v>1192</v>
      </c>
      <c r="BP30">
        <v>17</v>
      </c>
      <c r="BQ30">
        <f t="shared" si="49"/>
        <v>1209</v>
      </c>
      <c r="BS30">
        <v>2014</v>
      </c>
      <c r="BT30">
        <v>17</v>
      </c>
      <c r="BU30">
        <v>13</v>
      </c>
      <c r="BV30">
        <f t="shared" si="50"/>
        <v>30</v>
      </c>
      <c r="BX30">
        <v>2014</v>
      </c>
      <c r="CA30">
        <f t="shared" si="51"/>
        <v>0</v>
      </c>
      <c r="CC30">
        <v>2014</v>
      </c>
      <c r="CD30">
        <v>141</v>
      </c>
      <c r="CE30">
        <v>10</v>
      </c>
      <c r="CF30">
        <f t="shared" si="52"/>
        <v>151</v>
      </c>
      <c r="CH30">
        <v>2014</v>
      </c>
      <c r="CK30">
        <f t="shared" si="53"/>
        <v>0</v>
      </c>
    </row>
    <row r="31" spans="1:89">
      <c r="A31">
        <v>2015</v>
      </c>
      <c r="B31">
        <v>18</v>
      </c>
      <c r="C31">
        <v>0</v>
      </c>
      <c r="D31">
        <f t="shared" si="36"/>
        <v>18</v>
      </c>
      <c r="F31">
        <v>2015</v>
      </c>
      <c r="G31">
        <v>61</v>
      </c>
      <c r="H31">
        <v>16</v>
      </c>
      <c r="I31">
        <f t="shared" si="37"/>
        <v>77</v>
      </c>
      <c r="K31">
        <v>2015</v>
      </c>
      <c r="N31">
        <f t="shared" si="38"/>
        <v>0</v>
      </c>
      <c r="P31">
        <v>2015</v>
      </c>
      <c r="Q31">
        <v>209</v>
      </c>
      <c r="R31">
        <v>111</v>
      </c>
      <c r="S31">
        <f t="shared" si="39"/>
        <v>320</v>
      </c>
      <c r="U31">
        <v>2015</v>
      </c>
      <c r="V31">
        <v>25</v>
      </c>
      <c r="W31">
        <v>164</v>
      </c>
      <c r="X31">
        <f t="shared" si="40"/>
        <v>189</v>
      </c>
      <c r="Z31">
        <v>2015</v>
      </c>
      <c r="AA31">
        <v>31</v>
      </c>
      <c r="AB31">
        <v>2</v>
      </c>
      <c r="AC31">
        <f t="shared" si="41"/>
        <v>33</v>
      </c>
      <c r="AE31">
        <v>2015</v>
      </c>
      <c r="AF31">
        <v>11</v>
      </c>
      <c r="AG31">
        <v>11</v>
      </c>
      <c r="AH31">
        <f t="shared" si="42"/>
        <v>22</v>
      </c>
      <c r="AJ31">
        <v>2015</v>
      </c>
      <c r="AK31">
        <v>60</v>
      </c>
      <c r="AL31">
        <v>8</v>
      </c>
      <c r="AM31">
        <f t="shared" si="43"/>
        <v>68</v>
      </c>
      <c r="AO31">
        <v>2015</v>
      </c>
      <c r="AR31">
        <f t="shared" si="44"/>
        <v>0</v>
      </c>
      <c r="AT31">
        <v>2015</v>
      </c>
      <c r="AU31">
        <v>15</v>
      </c>
      <c r="AV31">
        <v>3</v>
      </c>
      <c r="AW31">
        <f t="shared" si="45"/>
        <v>18</v>
      </c>
      <c r="AY31">
        <v>2015</v>
      </c>
      <c r="AZ31">
        <v>202</v>
      </c>
      <c r="BA31">
        <v>9</v>
      </c>
      <c r="BB31">
        <f t="shared" si="46"/>
        <v>211</v>
      </c>
      <c r="BD31">
        <v>2015</v>
      </c>
      <c r="BE31">
        <v>36</v>
      </c>
      <c r="BF31">
        <v>0</v>
      </c>
      <c r="BG31">
        <f t="shared" si="47"/>
        <v>36</v>
      </c>
      <c r="BI31">
        <v>2015</v>
      </c>
      <c r="BJ31">
        <v>290</v>
      </c>
      <c r="BK31">
        <v>8</v>
      </c>
      <c r="BL31">
        <f t="shared" si="48"/>
        <v>298</v>
      </c>
      <c r="BN31">
        <v>2015</v>
      </c>
      <c r="BO31">
        <v>1192</v>
      </c>
      <c r="BP31">
        <v>27</v>
      </c>
      <c r="BQ31">
        <f t="shared" si="49"/>
        <v>1219</v>
      </c>
      <c r="BS31">
        <v>2015</v>
      </c>
      <c r="BT31">
        <v>28</v>
      </c>
      <c r="BU31">
        <v>39</v>
      </c>
      <c r="BV31">
        <f t="shared" si="50"/>
        <v>67</v>
      </c>
      <c r="BX31">
        <v>2015</v>
      </c>
      <c r="CA31">
        <f t="shared" si="51"/>
        <v>0</v>
      </c>
      <c r="CC31">
        <v>2015</v>
      </c>
      <c r="CD31">
        <v>348</v>
      </c>
      <c r="CE31">
        <v>56</v>
      </c>
      <c r="CF31">
        <f t="shared" si="52"/>
        <v>404</v>
      </c>
      <c r="CH31">
        <v>2015</v>
      </c>
      <c r="CK31">
        <f t="shared" si="53"/>
        <v>0</v>
      </c>
    </row>
    <row r="32" spans="1:89">
      <c r="A32">
        <v>2016</v>
      </c>
      <c r="B32">
        <v>18</v>
      </c>
      <c r="C32">
        <v>4</v>
      </c>
      <c r="D32">
        <f t="shared" si="36"/>
        <v>22</v>
      </c>
      <c r="F32">
        <v>2016</v>
      </c>
      <c r="G32">
        <v>202</v>
      </c>
      <c r="H32">
        <v>30</v>
      </c>
      <c r="I32">
        <f t="shared" si="37"/>
        <v>232</v>
      </c>
      <c r="K32">
        <v>2016</v>
      </c>
      <c r="L32">
        <v>36</v>
      </c>
      <c r="M32">
        <v>0</v>
      </c>
      <c r="N32">
        <f t="shared" si="38"/>
        <v>36</v>
      </c>
      <c r="P32">
        <v>2016</v>
      </c>
      <c r="Q32">
        <v>282</v>
      </c>
      <c r="R32">
        <v>153</v>
      </c>
      <c r="S32">
        <f t="shared" si="39"/>
        <v>435</v>
      </c>
      <c r="U32">
        <v>2016</v>
      </c>
      <c r="V32">
        <v>195</v>
      </c>
      <c r="W32">
        <v>169</v>
      </c>
      <c r="X32">
        <f t="shared" si="40"/>
        <v>364</v>
      </c>
      <c r="Z32">
        <v>2016</v>
      </c>
      <c r="AA32">
        <v>31</v>
      </c>
      <c r="AB32">
        <v>2</v>
      </c>
      <c r="AC32">
        <f t="shared" si="41"/>
        <v>33</v>
      </c>
      <c r="AE32">
        <v>2016</v>
      </c>
      <c r="AF32">
        <v>11</v>
      </c>
      <c r="AG32">
        <v>30</v>
      </c>
      <c r="AH32">
        <f t="shared" si="42"/>
        <v>41</v>
      </c>
      <c r="AJ32">
        <v>2016</v>
      </c>
      <c r="AK32">
        <v>60</v>
      </c>
      <c r="AL32">
        <v>12</v>
      </c>
      <c r="AM32">
        <f t="shared" si="43"/>
        <v>72</v>
      </c>
      <c r="AO32">
        <v>2016</v>
      </c>
      <c r="AR32">
        <f t="shared" si="44"/>
        <v>0</v>
      </c>
      <c r="AT32">
        <v>2016</v>
      </c>
      <c r="AU32">
        <v>15</v>
      </c>
      <c r="AV32">
        <v>11</v>
      </c>
      <c r="AW32">
        <f t="shared" si="45"/>
        <v>26</v>
      </c>
      <c r="AY32">
        <v>2016</v>
      </c>
      <c r="AZ32">
        <v>202</v>
      </c>
      <c r="BA32">
        <v>10</v>
      </c>
      <c r="BB32">
        <f t="shared" si="46"/>
        <v>212</v>
      </c>
      <c r="BD32">
        <v>2016</v>
      </c>
      <c r="BE32">
        <v>36</v>
      </c>
      <c r="BF32">
        <v>0</v>
      </c>
      <c r="BG32">
        <f t="shared" si="47"/>
        <v>36</v>
      </c>
      <c r="BI32">
        <v>2016</v>
      </c>
      <c r="BJ32">
        <v>290</v>
      </c>
      <c r="BK32">
        <v>34</v>
      </c>
      <c r="BL32">
        <f t="shared" si="48"/>
        <v>324</v>
      </c>
      <c r="BN32">
        <v>2016</v>
      </c>
      <c r="BO32">
        <v>1322</v>
      </c>
      <c r="BP32">
        <v>58</v>
      </c>
      <c r="BQ32">
        <f t="shared" si="49"/>
        <v>1380</v>
      </c>
      <c r="BS32">
        <v>2016</v>
      </c>
      <c r="BT32">
        <v>69</v>
      </c>
      <c r="BU32">
        <v>93</v>
      </c>
      <c r="BV32">
        <f t="shared" si="50"/>
        <v>162</v>
      </c>
      <c r="BX32">
        <v>2016</v>
      </c>
      <c r="CA32">
        <f t="shared" si="51"/>
        <v>0</v>
      </c>
      <c r="CC32">
        <v>2016</v>
      </c>
      <c r="CD32">
        <v>348</v>
      </c>
      <c r="CE32">
        <v>126</v>
      </c>
      <c r="CF32">
        <f t="shared" si="52"/>
        <v>474</v>
      </c>
      <c r="CH32">
        <v>2016</v>
      </c>
      <c r="CK32">
        <f t="shared" si="53"/>
        <v>0</v>
      </c>
    </row>
    <row r="33" spans="1:89">
      <c r="A33">
        <v>2017</v>
      </c>
      <c r="B33">
        <v>63</v>
      </c>
      <c r="C33">
        <v>31</v>
      </c>
      <c r="D33">
        <f t="shared" si="36"/>
        <v>94</v>
      </c>
      <c r="F33">
        <v>2017</v>
      </c>
      <c r="G33">
        <v>381</v>
      </c>
      <c r="H33">
        <v>55</v>
      </c>
      <c r="I33">
        <f t="shared" si="37"/>
        <v>436</v>
      </c>
      <c r="K33">
        <v>2017</v>
      </c>
      <c r="L33">
        <v>36</v>
      </c>
      <c r="M33">
        <v>0</v>
      </c>
      <c r="N33">
        <f t="shared" si="38"/>
        <v>36</v>
      </c>
      <c r="P33">
        <v>2017</v>
      </c>
      <c r="Q33">
        <v>459</v>
      </c>
      <c r="R33">
        <v>160</v>
      </c>
      <c r="S33">
        <f t="shared" si="39"/>
        <v>619</v>
      </c>
      <c r="U33">
        <v>2017</v>
      </c>
      <c r="V33">
        <v>191</v>
      </c>
      <c r="W33">
        <v>193</v>
      </c>
      <c r="X33">
        <f t="shared" si="40"/>
        <v>384</v>
      </c>
      <c r="Z33">
        <v>2017</v>
      </c>
      <c r="AA33">
        <v>36</v>
      </c>
      <c r="AB33">
        <v>2</v>
      </c>
      <c r="AC33">
        <f t="shared" si="41"/>
        <v>38</v>
      </c>
      <c r="AE33">
        <v>2017</v>
      </c>
      <c r="AF33">
        <v>16</v>
      </c>
      <c r="AG33">
        <v>68</v>
      </c>
      <c r="AH33">
        <f t="shared" si="42"/>
        <v>84</v>
      </c>
      <c r="AJ33">
        <v>2017</v>
      </c>
      <c r="AK33">
        <v>60</v>
      </c>
      <c r="AL33">
        <v>13</v>
      </c>
      <c r="AM33">
        <f t="shared" si="43"/>
        <v>73</v>
      </c>
      <c r="AO33">
        <v>2017</v>
      </c>
      <c r="AP33">
        <v>0</v>
      </c>
      <c r="AQ33">
        <v>0</v>
      </c>
      <c r="AR33">
        <f t="shared" si="44"/>
        <v>0</v>
      </c>
      <c r="AT33">
        <v>2017</v>
      </c>
      <c r="AU33">
        <v>39</v>
      </c>
      <c r="AV33">
        <v>63</v>
      </c>
      <c r="AW33">
        <f t="shared" si="45"/>
        <v>102</v>
      </c>
      <c r="AY33">
        <v>2017</v>
      </c>
      <c r="AZ33">
        <v>327</v>
      </c>
      <c r="BA33">
        <v>10</v>
      </c>
      <c r="BB33">
        <f t="shared" si="46"/>
        <v>337</v>
      </c>
      <c r="BD33">
        <v>2017</v>
      </c>
      <c r="BE33">
        <v>97</v>
      </c>
      <c r="BF33">
        <v>0</v>
      </c>
      <c r="BG33">
        <f t="shared" si="47"/>
        <v>97</v>
      </c>
      <c r="BI33">
        <v>2017</v>
      </c>
      <c r="BJ33">
        <v>410</v>
      </c>
      <c r="BK33">
        <v>142</v>
      </c>
      <c r="BL33">
        <f t="shared" si="48"/>
        <v>552</v>
      </c>
      <c r="BN33">
        <v>2017</v>
      </c>
      <c r="BP33">
        <v>223</v>
      </c>
      <c r="BQ33">
        <f t="shared" si="49"/>
        <v>223</v>
      </c>
      <c r="BS33">
        <v>2017</v>
      </c>
      <c r="BT33">
        <v>232</v>
      </c>
      <c r="BU33">
        <v>142</v>
      </c>
      <c r="BV33">
        <f t="shared" si="50"/>
        <v>374</v>
      </c>
      <c r="BX33">
        <v>2017</v>
      </c>
      <c r="CA33">
        <f t="shared" si="51"/>
        <v>0</v>
      </c>
      <c r="CC33">
        <v>2017</v>
      </c>
      <c r="CD33">
        <v>348</v>
      </c>
      <c r="CE33">
        <v>145</v>
      </c>
      <c r="CF33">
        <f t="shared" si="52"/>
        <v>493</v>
      </c>
      <c r="CH33">
        <v>2017</v>
      </c>
      <c r="CK33">
        <f t="shared" si="53"/>
        <v>0</v>
      </c>
    </row>
    <row r="35" spans="1:89">
      <c r="B35" t="s">
        <v>568</v>
      </c>
      <c r="C35" t="s">
        <v>569</v>
      </c>
      <c r="D35" t="s">
        <v>570</v>
      </c>
      <c r="G35" t="s">
        <v>568</v>
      </c>
      <c r="H35" t="s">
        <v>569</v>
      </c>
      <c r="I35" t="s">
        <v>570</v>
      </c>
      <c r="L35" t="s">
        <v>568</v>
      </c>
      <c r="M35" t="s">
        <v>569</v>
      </c>
      <c r="N35" t="s">
        <v>570</v>
      </c>
      <c r="Q35" t="s">
        <v>568</v>
      </c>
      <c r="R35" t="s">
        <v>569</v>
      </c>
      <c r="S35" t="s">
        <v>570</v>
      </c>
      <c r="V35" t="s">
        <v>568</v>
      </c>
      <c r="W35" t="s">
        <v>569</v>
      </c>
      <c r="X35" t="s">
        <v>570</v>
      </c>
      <c r="AA35" t="s">
        <v>568</v>
      </c>
      <c r="AB35" t="s">
        <v>569</v>
      </c>
      <c r="AC35" t="s">
        <v>570</v>
      </c>
      <c r="AF35" t="s">
        <v>568</v>
      </c>
      <c r="AG35" t="s">
        <v>569</v>
      </c>
      <c r="AH35" t="s">
        <v>570</v>
      </c>
      <c r="AK35" t="s">
        <v>568</v>
      </c>
      <c r="AL35" t="s">
        <v>569</v>
      </c>
      <c r="AM35" t="s">
        <v>570</v>
      </c>
      <c r="AP35" t="s">
        <v>568</v>
      </c>
      <c r="AQ35" t="s">
        <v>569</v>
      </c>
      <c r="AR35" t="s">
        <v>570</v>
      </c>
      <c r="AU35" t="s">
        <v>568</v>
      </c>
      <c r="AV35" t="s">
        <v>569</v>
      </c>
      <c r="AW35" t="s">
        <v>570</v>
      </c>
      <c r="AZ35" t="s">
        <v>568</v>
      </c>
      <c r="BA35" t="s">
        <v>569</v>
      </c>
      <c r="BB35" t="s">
        <v>570</v>
      </c>
      <c r="BE35" t="s">
        <v>568</v>
      </c>
      <c r="BF35" t="s">
        <v>569</v>
      </c>
      <c r="BG35" t="s">
        <v>570</v>
      </c>
      <c r="BJ35" t="s">
        <v>568</v>
      </c>
      <c r="BK35" t="s">
        <v>569</v>
      </c>
      <c r="BL35" t="s">
        <v>570</v>
      </c>
      <c r="BO35" t="s">
        <v>568</v>
      </c>
      <c r="BP35" t="s">
        <v>569</v>
      </c>
      <c r="BQ35" t="s">
        <v>570</v>
      </c>
      <c r="BT35" t="s">
        <v>568</v>
      </c>
      <c r="BU35" t="s">
        <v>569</v>
      </c>
      <c r="BV35" t="s">
        <v>570</v>
      </c>
      <c r="BY35" t="s">
        <v>568</v>
      </c>
      <c r="BZ35" t="s">
        <v>569</v>
      </c>
      <c r="CA35" t="s">
        <v>570</v>
      </c>
      <c r="CD35" t="s">
        <v>568</v>
      </c>
      <c r="CE35" t="s">
        <v>569</v>
      </c>
      <c r="CF35" t="s">
        <v>570</v>
      </c>
      <c r="CI35" t="s">
        <v>568</v>
      </c>
      <c r="CJ35" t="s">
        <v>569</v>
      </c>
      <c r="CK35" t="s">
        <v>570</v>
      </c>
    </row>
    <row r="36" spans="1:89">
      <c r="A36">
        <v>2009</v>
      </c>
      <c r="B36" s="84" t="e">
        <f t="shared" ref="B36:C44" si="54">B14/B3*100/1000</f>
        <v>#DIV/0!</v>
      </c>
      <c r="C36" s="84" t="e">
        <f t="shared" si="54"/>
        <v>#DIV/0!</v>
      </c>
      <c r="D36" s="13" t="e">
        <f>AVERAGE(B36:C36)</f>
        <v>#DIV/0!</v>
      </c>
      <c r="F36">
        <v>2009</v>
      </c>
      <c r="G36" s="84" t="e">
        <f t="shared" ref="G36:I44" si="55">G14/G3*100/1000</f>
        <v>#DIV/0!</v>
      </c>
      <c r="H36" s="84" t="e">
        <f t="shared" si="55"/>
        <v>#DIV/0!</v>
      </c>
      <c r="I36" s="84" t="e">
        <f t="shared" si="55"/>
        <v>#DIV/0!</v>
      </c>
      <c r="K36">
        <v>2009</v>
      </c>
      <c r="L36" s="84" t="e">
        <f t="shared" ref="L36:N44" si="56">L14/L3*100/1000</f>
        <v>#DIV/0!</v>
      </c>
      <c r="M36" s="84" t="e">
        <f t="shared" si="56"/>
        <v>#DIV/0!</v>
      </c>
      <c r="N36" s="84" t="e">
        <f t="shared" si="56"/>
        <v>#DIV/0!</v>
      </c>
      <c r="P36">
        <v>2009</v>
      </c>
      <c r="Q36" s="84" t="e">
        <f t="shared" ref="Q36:S44" si="57">Q14/Q3*100/1000</f>
        <v>#DIV/0!</v>
      </c>
      <c r="R36" s="84" t="e">
        <f t="shared" si="57"/>
        <v>#DIV/0!</v>
      </c>
      <c r="S36" s="84" t="e">
        <f t="shared" si="57"/>
        <v>#DIV/0!</v>
      </c>
      <c r="U36">
        <v>2009</v>
      </c>
      <c r="V36" s="84" t="e">
        <f t="shared" ref="V36:X44" si="58">V14/V3*100/1000</f>
        <v>#DIV/0!</v>
      </c>
      <c r="W36" s="84" t="e">
        <f t="shared" si="58"/>
        <v>#DIV/0!</v>
      </c>
      <c r="X36" s="84" t="e">
        <f t="shared" si="58"/>
        <v>#DIV/0!</v>
      </c>
      <c r="Z36">
        <v>2009</v>
      </c>
      <c r="AA36" s="84" t="e">
        <f t="shared" ref="AA36:AC44" si="59">AA14/AA3*100/1000</f>
        <v>#DIV/0!</v>
      </c>
      <c r="AB36" s="84" t="e">
        <f t="shared" si="59"/>
        <v>#DIV/0!</v>
      </c>
      <c r="AC36" s="84" t="e">
        <f t="shared" si="59"/>
        <v>#DIV/0!</v>
      </c>
      <c r="AE36">
        <v>2009</v>
      </c>
      <c r="AF36" s="84" t="e">
        <f t="shared" ref="AF36:AH44" si="60">AF14/AF3*100/1000</f>
        <v>#DIV/0!</v>
      </c>
      <c r="AG36" s="84" t="e">
        <f t="shared" si="60"/>
        <v>#DIV/0!</v>
      </c>
      <c r="AH36" s="84" t="e">
        <f t="shared" si="60"/>
        <v>#DIV/0!</v>
      </c>
      <c r="AJ36">
        <v>2009</v>
      </c>
      <c r="AK36" s="84" t="e">
        <f t="shared" ref="AK36:AM44" si="61">AK14/AK3*100/1000</f>
        <v>#DIV/0!</v>
      </c>
      <c r="AL36" s="84" t="e">
        <f t="shared" si="61"/>
        <v>#DIV/0!</v>
      </c>
      <c r="AM36" s="84" t="e">
        <f t="shared" si="61"/>
        <v>#DIV/0!</v>
      </c>
      <c r="AO36">
        <v>2009</v>
      </c>
      <c r="AP36" s="84" t="e">
        <f t="shared" ref="AP36:AR44" si="62">AP14/AP3*100/1000</f>
        <v>#DIV/0!</v>
      </c>
      <c r="AQ36" s="84" t="e">
        <f t="shared" si="62"/>
        <v>#DIV/0!</v>
      </c>
      <c r="AR36" s="84" t="e">
        <f t="shared" si="62"/>
        <v>#DIV/0!</v>
      </c>
      <c r="AT36">
        <v>2009</v>
      </c>
      <c r="AU36" s="84" t="e">
        <f t="shared" ref="AU36:AW44" si="63">AU14/AU3*100/1000</f>
        <v>#DIV/0!</v>
      </c>
      <c r="AV36" s="84" t="e">
        <f t="shared" si="63"/>
        <v>#DIV/0!</v>
      </c>
      <c r="AW36" s="84" t="e">
        <f t="shared" si="63"/>
        <v>#DIV/0!</v>
      </c>
      <c r="AY36">
        <v>2009</v>
      </c>
      <c r="AZ36" s="84" t="e">
        <f t="shared" ref="AZ36:BB44" si="64">AZ14/AZ3*100/1000</f>
        <v>#DIV/0!</v>
      </c>
      <c r="BA36" s="84" t="e">
        <f t="shared" si="64"/>
        <v>#DIV/0!</v>
      </c>
      <c r="BB36" s="84" t="e">
        <f t="shared" si="64"/>
        <v>#DIV/0!</v>
      </c>
      <c r="BD36">
        <v>2009</v>
      </c>
      <c r="BE36" s="84" t="e">
        <f t="shared" ref="BE36:BG44" si="65">BE14/BE3*100/1000</f>
        <v>#DIV/0!</v>
      </c>
      <c r="BF36" s="84" t="e">
        <f t="shared" si="65"/>
        <v>#DIV/0!</v>
      </c>
      <c r="BG36" s="84" t="e">
        <f t="shared" si="65"/>
        <v>#DIV/0!</v>
      </c>
      <c r="BI36">
        <v>2009</v>
      </c>
      <c r="BJ36" s="84" t="e">
        <f t="shared" ref="BJ36:BL44" si="66">BJ14/BJ3*100/1000</f>
        <v>#DIV/0!</v>
      </c>
      <c r="BK36" s="84" t="e">
        <f t="shared" si="66"/>
        <v>#DIV/0!</v>
      </c>
      <c r="BL36" s="84" t="e">
        <f t="shared" si="66"/>
        <v>#DIV/0!</v>
      </c>
      <c r="BN36">
        <v>2009</v>
      </c>
      <c r="BO36" s="84" t="e">
        <f t="shared" ref="BO36:BQ44" si="67">BO14/BO3*100/1000</f>
        <v>#DIV/0!</v>
      </c>
      <c r="BP36" s="84" t="e">
        <f t="shared" si="67"/>
        <v>#DIV/0!</v>
      </c>
      <c r="BQ36" s="84" t="e">
        <f t="shared" si="67"/>
        <v>#DIV/0!</v>
      </c>
      <c r="BS36">
        <v>2009</v>
      </c>
      <c r="BT36" s="84" t="e">
        <f t="shared" ref="BT36:BV44" si="68">BT14/BT3*100/1000</f>
        <v>#DIV/0!</v>
      </c>
      <c r="BU36" s="84" t="e">
        <f t="shared" si="68"/>
        <v>#DIV/0!</v>
      </c>
      <c r="BV36" s="84" t="e">
        <f t="shared" si="68"/>
        <v>#DIV/0!</v>
      </c>
      <c r="BX36">
        <v>2009</v>
      </c>
      <c r="BY36" s="84" t="e">
        <f t="shared" ref="BY36:CA44" si="69">BY14/BY3*100/1000</f>
        <v>#DIV/0!</v>
      </c>
      <c r="BZ36" s="84" t="e">
        <f t="shared" si="69"/>
        <v>#DIV/0!</v>
      </c>
      <c r="CA36" s="84" t="e">
        <f t="shared" si="69"/>
        <v>#DIV/0!</v>
      </c>
      <c r="CC36">
        <v>2009</v>
      </c>
      <c r="CD36" s="84" t="e">
        <f t="shared" ref="CD36:CF44" si="70">CD14/CD3*100/1000</f>
        <v>#DIV/0!</v>
      </c>
      <c r="CE36" s="84" t="e">
        <f t="shared" si="70"/>
        <v>#DIV/0!</v>
      </c>
      <c r="CF36" s="84" t="e">
        <f t="shared" si="70"/>
        <v>#DIV/0!</v>
      </c>
      <c r="CH36">
        <v>2009</v>
      </c>
      <c r="CI36" s="84" t="e">
        <f t="shared" ref="CI36:CK44" si="71">CI14/CI3*100/1000</f>
        <v>#DIV/0!</v>
      </c>
      <c r="CJ36" s="84" t="e">
        <f t="shared" si="71"/>
        <v>#DIV/0!</v>
      </c>
      <c r="CK36" s="84" t="e">
        <f t="shared" si="71"/>
        <v>#DIV/0!</v>
      </c>
    </row>
    <row r="37" spans="1:89">
      <c r="A37">
        <v>2010</v>
      </c>
      <c r="B37" s="84" t="e">
        <f t="shared" si="54"/>
        <v>#DIV/0!</v>
      </c>
      <c r="C37" s="84" t="e">
        <f t="shared" si="54"/>
        <v>#DIV/0!</v>
      </c>
      <c r="D37" s="13" t="e">
        <f>AVERAGE(B37:C37)</f>
        <v>#DIV/0!</v>
      </c>
      <c r="F37">
        <v>2010</v>
      </c>
      <c r="G37" s="84" t="e">
        <f t="shared" si="55"/>
        <v>#DIV/0!</v>
      </c>
      <c r="H37" s="84" t="e">
        <f t="shared" si="55"/>
        <v>#DIV/0!</v>
      </c>
      <c r="I37" s="84" t="e">
        <f t="shared" si="55"/>
        <v>#DIV/0!</v>
      </c>
      <c r="K37">
        <v>2010</v>
      </c>
      <c r="L37" s="84" t="e">
        <f t="shared" si="56"/>
        <v>#DIV/0!</v>
      </c>
      <c r="M37" s="84" t="e">
        <f t="shared" si="56"/>
        <v>#DIV/0!</v>
      </c>
      <c r="N37" s="84" t="e">
        <f t="shared" si="56"/>
        <v>#DIV/0!</v>
      </c>
      <c r="P37">
        <v>2010</v>
      </c>
      <c r="Q37" s="84" t="e">
        <f t="shared" si="57"/>
        <v>#DIV/0!</v>
      </c>
      <c r="R37" s="84" t="e">
        <f t="shared" si="57"/>
        <v>#DIV/0!</v>
      </c>
      <c r="S37" s="84" t="e">
        <f t="shared" si="57"/>
        <v>#DIV/0!</v>
      </c>
      <c r="U37">
        <v>2010</v>
      </c>
      <c r="V37" s="84" t="e">
        <f t="shared" si="58"/>
        <v>#DIV/0!</v>
      </c>
      <c r="W37" s="84" t="e">
        <f t="shared" si="58"/>
        <v>#DIV/0!</v>
      </c>
      <c r="X37" s="84" t="e">
        <f t="shared" si="58"/>
        <v>#DIV/0!</v>
      </c>
      <c r="Z37">
        <v>2010</v>
      </c>
      <c r="AA37" s="84" t="e">
        <f t="shared" si="59"/>
        <v>#DIV/0!</v>
      </c>
      <c r="AB37" s="84" t="e">
        <f t="shared" si="59"/>
        <v>#DIV/0!</v>
      </c>
      <c r="AC37" s="84" t="e">
        <f t="shared" si="59"/>
        <v>#DIV/0!</v>
      </c>
      <c r="AE37">
        <v>2010</v>
      </c>
      <c r="AF37" s="84" t="e">
        <f t="shared" si="60"/>
        <v>#DIV/0!</v>
      </c>
      <c r="AG37" s="84" t="e">
        <f t="shared" si="60"/>
        <v>#DIV/0!</v>
      </c>
      <c r="AH37" s="84" t="e">
        <f t="shared" si="60"/>
        <v>#DIV/0!</v>
      </c>
      <c r="AJ37">
        <v>2010</v>
      </c>
      <c r="AK37" s="84" t="e">
        <f t="shared" si="61"/>
        <v>#DIV/0!</v>
      </c>
      <c r="AL37" s="84" t="e">
        <f t="shared" si="61"/>
        <v>#DIV/0!</v>
      </c>
      <c r="AM37" s="84" t="e">
        <f t="shared" si="61"/>
        <v>#DIV/0!</v>
      </c>
      <c r="AO37">
        <v>2010</v>
      </c>
      <c r="AP37" s="84" t="e">
        <f t="shared" si="62"/>
        <v>#DIV/0!</v>
      </c>
      <c r="AQ37" s="84" t="e">
        <f t="shared" si="62"/>
        <v>#DIV/0!</v>
      </c>
      <c r="AR37" s="84" t="e">
        <f t="shared" si="62"/>
        <v>#DIV/0!</v>
      </c>
      <c r="AT37">
        <v>2010</v>
      </c>
      <c r="AU37" s="84" t="e">
        <f t="shared" si="63"/>
        <v>#DIV/0!</v>
      </c>
      <c r="AV37" s="84" t="e">
        <f t="shared" si="63"/>
        <v>#DIV/0!</v>
      </c>
      <c r="AW37" s="84" t="e">
        <f t="shared" si="63"/>
        <v>#DIV/0!</v>
      </c>
      <c r="AY37">
        <v>2010</v>
      </c>
      <c r="AZ37" s="84" t="e">
        <f t="shared" si="64"/>
        <v>#DIV/0!</v>
      </c>
      <c r="BA37" s="84" t="e">
        <f t="shared" si="64"/>
        <v>#DIV/0!</v>
      </c>
      <c r="BB37" s="84" t="e">
        <f t="shared" si="64"/>
        <v>#DIV/0!</v>
      </c>
      <c r="BD37">
        <v>2010</v>
      </c>
      <c r="BE37" s="84" t="e">
        <f t="shared" si="65"/>
        <v>#DIV/0!</v>
      </c>
      <c r="BF37" s="84" t="e">
        <f t="shared" si="65"/>
        <v>#DIV/0!</v>
      </c>
      <c r="BG37" s="84" t="e">
        <f t="shared" si="65"/>
        <v>#DIV/0!</v>
      </c>
      <c r="BI37">
        <v>2010</v>
      </c>
      <c r="BJ37" s="84" t="e">
        <f t="shared" si="66"/>
        <v>#DIV/0!</v>
      </c>
      <c r="BK37" s="84" t="e">
        <f t="shared" si="66"/>
        <v>#DIV/0!</v>
      </c>
      <c r="BL37" s="84" t="e">
        <f t="shared" si="66"/>
        <v>#DIV/0!</v>
      </c>
      <c r="BN37">
        <v>2010</v>
      </c>
      <c r="BO37" s="84">
        <f t="shared" si="67"/>
        <v>0</v>
      </c>
      <c r="BP37" s="84" t="e">
        <f t="shared" si="67"/>
        <v>#DIV/0!</v>
      </c>
      <c r="BQ37" s="84">
        <f t="shared" si="67"/>
        <v>0</v>
      </c>
      <c r="BS37">
        <v>2010</v>
      </c>
      <c r="BT37" s="84" t="e">
        <f t="shared" si="68"/>
        <v>#DIV/0!</v>
      </c>
      <c r="BU37" s="84" t="e">
        <f t="shared" si="68"/>
        <v>#DIV/0!</v>
      </c>
      <c r="BV37" s="84" t="e">
        <f t="shared" si="68"/>
        <v>#DIV/0!</v>
      </c>
      <c r="BX37">
        <v>2010</v>
      </c>
      <c r="BY37" s="84" t="e">
        <f t="shared" si="69"/>
        <v>#DIV/0!</v>
      </c>
      <c r="BZ37" s="84" t="e">
        <f t="shared" si="69"/>
        <v>#DIV/0!</v>
      </c>
      <c r="CA37" s="84" t="e">
        <f t="shared" si="69"/>
        <v>#DIV/0!</v>
      </c>
      <c r="CC37">
        <v>2010</v>
      </c>
      <c r="CD37" s="84" t="e">
        <f t="shared" si="70"/>
        <v>#DIV/0!</v>
      </c>
      <c r="CE37" s="84" t="e">
        <f t="shared" si="70"/>
        <v>#DIV/0!</v>
      </c>
      <c r="CF37" s="84" t="e">
        <f t="shared" si="70"/>
        <v>#DIV/0!</v>
      </c>
      <c r="CH37">
        <v>2010</v>
      </c>
      <c r="CI37" s="84" t="e">
        <f t="shared" si="71"/>
        <v>#DIV/0!</v>
      </c>
      <c r="CJ37" s="84" t="e">
        <f t="shared" si="71"/>
        <v>#DIV/0!</v>
      </c>
      <c r="CK37" s="84" t="e">
        <f t="shared" si="71"/>
        <v>#DIV/0!</v>
      </c>
    </row>
    <row r="38" spans="1:89">
      <c r="A38">
        <v>2011</v>
      </c>
      <c r="B38" s="84" t="e">
        <f t="shared" si="54"/>
        <v>#DIV/0!</v>
      </c>
      <c r="C38" s="84" t="e">
        <f t="shared" si="54"/>
        <v>#DIV/0!</v>
      </c>
      <c r="D38" s="13" t="e">
        <f>AVERAGE(B38:C38)</f>
        <v>#DIV/0!</v>
      </c>
      <c r="F38">
        <v>2011</v>
      </c>
      <c r="G38" s="84" t="e">
        <f t="shared" si="55"/>
        <v>#DIV/0!</v>
      </c>
      <c r="H38" s="84" t="e">
        <f t="shared" si="55"/>
        <v>#DIV/0!</v>
      </c>
      <c r="I38" s="84" t="e">
        <f t="shared" si="55"/>
        <v>#DIV/0!</v>
      </c>
      <c r="K38">
        <v>2011</v>
      </c>
      <c r="L38" s="84" t="e">
        <f t="shared" si="56"/>
        <v>#DIV/0!</v>
      </c>
      <c r="M38" s="84" t="e">
        <f t="shared" si="56"/>
        <v>#DIV/0!</v>
      </c>
      <c r="N38" s="84" t="e">
        <f t="shared" si="56"/>
        <v>#DIV/0!</v>
      </c>
      <c r="P38">
        <v>2011</v>
      </c>
      <c r="Q38" s="84">
        <f t="shared" si="57"/>
        <v>186.66666666666669</v>
      </c>
      <c r="R38" s="84" t="e">
        <f t="shared" si="57"/>
        <v>#DIV/0!</v>
      </c>
      <c r="S38" s="84">
        <f t="shared" si="57"/>
        <v>186.66666666666669</v>
      </c>
      <c r="U38">
        <v>2011</v>
      </c>
      <c r="V38" s="84">
        <f t="shared" si="58"/>
        <v>16.969696969696969</v>
      </c>
      <c r="W38" s="84" t="e">
        <f t="shared" si="58"/>
        <v>#DIV/0!</v>
      </c>
      <c r="X38" s="84">
        <f t="shared" si="58"/>
        <v>16.969696969696969</v>
      </c>
      <c r="Z38">
        <v>2011</v>
      </c>
      <c r="AA38" s="84" t="e">
        <f t="shared" si="59"/>
        <v>#DIV/0!</v>
      </c>
      <c r="AB38" s="84" t="e">
        <f t="shared" si="59"/>
        <v>#DIV/0!</v>
      </c>
      <c r="AC38" s="84" t="e">
        <f t="shared" si="59"/>
        <v>#DIV/0!</v>
      </c>
      <c r="AE38">
        <v>2011</v>
      </c>
      <c r="AF38" s="84" t="e">
        <f t="shared" si="60"/>
        <v>#DIV/0!</v>
      </c>
      <c r="AG38" s="84" t="e">
        <f t="shared" si="60"/>
        <v>#DIV/0!</v>
      </c>
      <c r="AH38" s="84" t="e">
        <f t="shared" si="60"/>
        <v>#DIV/0!</v>
      </c>
      <c r="AJ38">
        <v>2011</v>
      </c>
      <c r="AK38" s="84" t="e">
        <f t="shared" si="61"/>
        <v>#DIV/0!</v>
      </c>
      <c r="AL38" s="84" t="e">
        <f t="shared" si="61"/>
        <v>#DIV/0!</v>
      </c>
      <c r="AM38" s="84" t="e">
        <f t="shared" si="61"/>
        <v>#DIV/0!</v>
      </c>
      <c r="AO38">
        <v>2011</v>
      </c>
      <c r="AP38" s="84" t="e">
        <f t="shared" si="62"/>
        <v>#DIV/0!</v>
      </c>
      <c r="AQ38" s="84" t="e">
        <f t="shared" si="62"/>
        <v>#DIV/0!</v>
      </c>
      <c r="AR38" s="84" t="e">
        <f t="shared" si="62"/>
        <v>#DIV/0!</v>
      </c>
      <c r="AT38">
        <v>2011</v>
      </c>
      <c r="AU38" s="84" t="e">
        <f t="shared" si="63"/>
        <v>#DIV/0!</v>
      </c>
      <c r="AV38" s="84" t="e">
        <f t="shared" si="63"/>
        <v>#DIV/0!</v>
      </c>
      <c r="AW38" s="84" t="e">
        <f t="shared" si="63"/>
        <v>#DIV/0!</v>
      </c>
      <c r="AY38">
        <v>2011</v>
      </c>
      <c r="AZ38" s="84">
        <f t="shared" si="64"/>
        <v>51.666666666666671</v>
      </c>
      <c r="BA38" s="84" t="e">
        <f t="shared" si="64"/>
        <v>#DIV/0!</v>
      </c>
      <c r="BB38" s="84">
        <f t="shared" si="64"/>
        <v>51.666666666666671</v>
      </c>
      <c r="BD38">
        <v>2011</v>
      </c>
      <c r="BE38" s="84" t="e">
        <f t="shared" si="65"/>
        <v>#DIV/0!</v>
      </c>
      <c r="BF38" s="84" t="e">
        <f t="shared" si="65"/>
        <v>#DIV/0!</v>
      </c>
      <c r="BG38" s="84" t="e">
        <f t="shared" si="65"/>
        <v>#DIV/0!</v>
      </c>
      <c r="BI38">
        <v>2011</v>
      </c>
      <c r="BJ38" s="84">
        <f t="shared" si="66"/>
        <v>350</v>
      </c>
      <c r="BK38" s="84" t="e">
        <f t="shared" si="66"/>
        <v>#DIV/0!</v>
      </c>
      <c r="BL38" s="84">
        <f t="shared" si="66"/>
        <v>350</v>
      </c>
      <c r="BN38">
        <v>2011</v>
      </c>
      <c r="BO38" s="84">
        <f t="shared" si="67"/>
        <v>154.61538461538461</v>
      </c>
      <c r="BP38" s="84" t="e">
        <f t="shared" si="67"/>
        <v>#DIV/0!</v>
      </c>
      <c r="BQ38" s="84">
        <f t="shared" si="67"/>
        <v>154.61538461538461</v>
      </c>
      <c r="BS38">
        <v>2011</v>
      </c>
      <c r="BT38" s="84">
        <f t="shared" si="68"/>
        <v>50</v>
      </c>
      <c r="BU38" s="84" t="e">
        <f t="shared" si="68"/>
        <v>#DIV/0!</v>
      </c>
      <c r="BV38" s="84">
        <f t="shared" si="68"/>
        <v>50</v>
      </c>
      <c r="BX38">
        <v>2011</v>
      </c>
      <c r="BY38" s="84">
        <f t="shared" si="69"/>
        <v>62.5</v>
      </c>
      <c r="BZ38" s="84">
        <f t="shared" si="69"/>
        <v>85</v>
      </c>
      <c r="CA38" s="84">
        <f t="shared" si="69"/>
        <v>70</v>
      </c>
      <c r="CC38">
        <v>2011</v>
      </c>
      <c r="CD38" s="84">
        <f t="shared" si="70"/>
        <v>60</v>
      </c>
      <c r="CE38" s="84" t="e">
        <f t="shared" si="70"/>
        <v>#DIV/0!</v>
      </c>
      <c r="CF38" s="84">
        <f t="shared" si="70"/>
        <v>60</v>
      </c>
      <c r="CH38">
        <v>2011</v>
      </c>
      <c r="CI38" s="84" t="e">
        <f t="shared" si="71"/>
        <v>#DIV/0!</v>
      </c>
      <c r="CJ38" s="84" t="e">
        <f t="shared" si="71"/>
        <v>#DIV/0!</v>
      </c>
      <c r="CK38" s="84" t="e">
        <f t="shared" si="71"/>
        <v>#DIV/0!</v>
      </c>
    </row>
    <row r="39" spans="1:89">
      <c r="A39">
        <v>2012</v>
      </c>
      <c r="B39" s="84" t="e">
        <f t="shared" si="54"/>
        <v>#DIV/0!</v>
      </c>
      <c r="C39" s="84">
        <f t="shared" si="54"/>
        <v>200</v>
      </c>
      <c r="D39" s="84">
        <f>D17/D6*100/1000</f>
        <v>200</v>
      </c>
      <c r="F39">
        <v>2012</v>
      </c>
      <c r="G39" s="84" t="e">
        <f t="shared" si="55"/>
        <v>#DIV/0!</v>
      </c>
      <c r="H39" s="84" t="e">
        <f t="shared" si="55"/>
        <v>#DIV/0!</v>
      </c>
      <c r="I39" s="84" t="e">
        <f t="shared" si="55"/>
        <v>#DIV/0!</v>
      </c>
      <c r="K39">
        <v>2012</v>
      </c>
      <c r="L39" s="84" t="e">
        <f t="shared" si="56"/>
        <v>#DIV/0!</v>
      </c>
      <c r="M39" s="84" t="e">
        <f t="shared" si="56"/>
        <v>#DIV/0!</v>
      </c>
      <c r="N39" s="84" t="e">
        <f t="shared" si="56"/>
        <v>#DIV/0!</v>
      </c>
      <c r="P39">
        <v>2012</v>
      </c>
      <c r="Q39" s="84">
        <f t="shared" si="57"/>
        <v>184</v>
      </c>
      <c r="R39" s="84">
        <f t="shared" si="57"/>
        <v>160</v>
      </c>
      <c r="S39" s="84">
        <f t="shared" si="57"/>
        <v>179.99999999999997</v>
      </c>
      <c r="U39">
        <v>2012</v>
      </c>
      <c r="V39" s="84">
        <f t="shared" si="58"/>
        <v>19.386973180076627</v>
      </c>
      <c r="W39" s="84">
        <f t="shared" si="58"/>
        <v>16.666666666666668</v>
      </c>
      <c r="X39" s="84">
        <f t="shared" si="58"/>
        <v>19.356060606060609</v>
      </c>
      <c r="Z39">
        <v>2012</v>
      </c>
      <c r="AA39" s="84" t="e">
        <f t="shared" si="59"/>
        <v>#DIV/0!</v>
      </c>
      <c r="AB39" s="84" t="e">
        <f t="shared" si="59"/>
        <v>#DIV/0!</v>
      </c>
      <c r="AC39" s="84" t="e">
        <f t="shared" si="59"/>
        <v>#DIV/0!</v>
      </c>
      <c r="AE39">
        <v>2012</v>
      </c>
      <c r="AF39" s="84">
        <f t="shared" si="60"/>
        <v>8.0952380952380949</v>
      </c>
      <c r="AG39" s="84">
        <f t="shared" si="60"/>
        <v>8.0952380952380949</v>
      </c>
      <c r="AH39" s="84">
        <f t="shared" si="60"/>
        <v>8.0952380952380949</v>
      </c>
      <c r="AJ39">
        <v>2012</v>
      </c>
      <c r="AK39" s="84">
        <f t="shared" si="61"/>
        <v>10</v>
      </c>
      <c r="AL39" s="84">
        <f t="shared" si="61"/>
        <v>10</v>
      </c>
      <c r="AM39" s="84">
        <f t="shared" si="61"/>
        <v>10</v>
      </c>
      <c r="AO39">
        <v>2012</v>
      </c>
      <c r="AP39" s="84" t="e">
        <f t="shared" si="62"/>
        <v>#DIV/0!</v>
      </c>
      <c r="AQ39" s="84" t="e">
        <f t="shared" si="62"/>
        <v>#DIV/0!</v>
      </c>
      <c r="AR39" s="84" t="e">
        <f t="shared" si="62"/>
        <v>#DIV/0!</v>
      </c>
      <c r="AT39">
        <v>2012</v>
      </c>
      <c r="AU39" s="84" t="e">
        <f t="shared" si="63"/>
        <v>#DIV/0!</v>
      </c>
      <c r="AV39" s="84" t="e">
        <f t="shared" si="63"/>
        <v>#DIV/0!</v>
      </c>
      <c r="AW39" s="84" t="e">
        <f t="shared" si="63"/>
        <v>#DIV/0!</v>
      </c>
      <c r="AY39">
        <v>2012</v>
      </c>
      <c r="AZ39" s="84">
        <f t="shared" si="64"/>
        <v>50.833333333333336</v>
      </c>
      <c r="BA39" s="84">
        <f t="shared" si="64"/>
        <v>50</v>
      </c>
      <c r="BB39" s="84">
        <f t="shared" si="64"/>
        <v>50.555555555555564</v>
      </c>
      <c r="BD39">
        <v>2012</v>
      </c>
      <c r="BE39" s="84" t="e">
        <f t="shared" si="65"/>
        <v>#DIV/0!</v>
      </c>
      <c r="BF39" s="84" t="e">
        <f t="shared" si="65"/>
        <v>#DIV/0!</v>
      </c>
      <c r="BG39" s="84" t="e">
        <f t="shared" si="65"/>
        <v>#DIV/0!</v>
      </c>
      <c r="BI39">
        <v>2012</v>
      </c>
      <c r="BJ39" s="84">
        <f t="shared" si="66"/>
        <v>190</v>
      </c>
      <c r="BK39" s="84" t="e">
        <f t="shared" si="66"/>
        <v>#DIV/0!</v>
      </c>
      <c r="BL39" s="84">
        <f t="shared" si="66"/>
        <v>310</v>
      </c>
      <c r="BN39">
        <v>2012</v>
      </c>
      <c r="BO39" s="84">
        <f t="shared" si="67"/>
        <v>91.428571428571416</v>
      </c>
      <c r="BP39" s="84">
        <f t="shared" si="67"/>
        <v>100</v>
      </c>
      <c r="BQ39" s="84">
        <f t="shared" si="67"/>
        <v>94</v>
      </c>
      <c r="BS39">
        <v>2012</v>
      </c>
      <c r="BT39" s="84" t="e">
        <f t="shared" si="68"/>
        <v>#DIV/0!</v>
      </c>
      <c r="BU39" s="84">
        <f t="shared" si="68"/>
        <v>50</v>
      </c>
      <c r="BV39" s="84">
        <f t="shared" si="68"/>
        <v>50</v>
      </c>
      <c r="BX39">
        <v>2012</v>
      </c>
      <c r="BY39" s="84" t="e">
        <f t="shared" si="69"/>
        <v>#DIV/0!</v>
      </c>
      <c r="BZ39" s="84" t="e">
        <f t="shared" si="69"/>
        <v>#DIV/0!</v>
      </c>
      <c r="CA39" s="84" t="e">
        <f t="shared" si="69"/>
        <v>#DIV/0!</v>
      </c>
      <c r="CC39">
        <v>2012</v>
      </c>
      <c r="CD39" s="84">
        <f t="shared" si="70"/>
        <v>56.666666666666671</v>
      </c>
      <c r="CE39" s="84">
        <f t="shared" si="70"/>
        <v>50</v>
      </c>
      <c r="CF39" s="84">
        <f t="shared" si="70"/>
        <v>54</v>
      </c>
      <c r="CH39">
        <v>2012</v>
      </c>
      <c r="CI39" s="84">
        <f t="shared" si="71"/>
        <v>920</v>
      </c>
      <c r="CJ39" s="84" t="e">
        <f t="shared" si="71"/>
        <v>#DIV/0!</v>
      </c>
      <c r="CK39" s="84">
        <f t="shared" si="71"/>
        <v>920</v>
      </c>
    </row>
    <row r="40" spans="1:89">
      <c r="A40">
        <v>2013</v>
      </c>
      <c r="B40" s="84" t="e">
        <f t="shared" si="54"/>
        <v>#DIV/0!</v>
      </c>
      <c r="C40" s="84" t="e">
        <f t="shared" si="54"/>
        <v>#DIV/0!</v>
      </c>
      <c r="D40" s="93">
        <f>(D39+D41)/2</f>
        <v>200</v>
      </c>
      <c r="F40">
        <v>2013</v>
      </c>
      <c r="G40" s="84" t="e">
        <f t="shared" si="55"/>
        <v>#DIV/0!</v>
      </c>
      <c r="H40" s="84" t="e">
        <f t="shared" si="55"/>
        <v>#DIV/0!</v>
      </c>
      <c r="I40" s="84" t="e">
        <f t="shared" si="55"/>
        <v>#DIV/0!</v>
      </c>
      <c r="K40">
        <v>2013</v>
      </c>
      <c r="L40" s="84" t="e">
        <f t="shared" si="56"/>
        <v>#DIV/0!</v>
      </c>
      <c r="M40" s="84" t="e">
        <f t="shared" si="56"/>
        <v>#DIV/0!</v>
      </c>
      <c r="N40" s="84" t="e">
        <f t="shared" si="56"/>
        <v>#DIV/0!</v>
      </c>
      <c r="P40">
        <v>2013</v>
      </c>
      <c r="Q40" s="84">
        <f t="shared" si="57"/>
        <v>195</v>
      </c>
      <c r="R40" s="84">
        <f t="shared" si="57"/>
        <v>110</v>
      </c>
      <c r="S40" s="84">
        <f t="shared" si="57"/>
        <v>166.66666666666669</v>
      </c>
      <c r="U40">
        <v>2013</v>
      </c>
      <c r="V40" s="84">
        <f t="shared" si="58"/>
        <v>19.72972972972973</v>
      </c>
      <c r="W40" s="84">
        <f t="shared" si="58"/>
        <v>16.666666666666668</v>
      </c>
      <c r="X40" s="84">
        <f t="shared" si="58"/>
        <v>19.610389610389607</v>
      </c>
      <c r="Z40">
        <v>2013</v>
      </c>
      <c r="AA40" s="84" t="e">
        <f t="shared" si="59"/>
        <v>#DIV/0!</v>
      </c>
      <c r="AB40" s="84" t="e">
        <f t="shared" si="59"/>
        <v>#DIV/0!</v>
      </c>
      <c r="AC40" s="84" t="e">
        <f t="shared" si="59"/>
        <v>#DIV/0!</v>
      </c>
      <c r="AE40">
        <v>2013</v>
      </c>
      <c r="AF40" s="84">
        <f t="shared" si="60"/>
        <v>7.2727272727272725</v>
      </c>
      <c r="AG40" s="84">
        <f t="shared" si="60"/>
        <v>7.2727272727272725</v>
      </c>
      <c r="AH40" s="84">
        <f t="shared" si="60"/>
        <v>7.2727272727272725</v>
      </c>
      <c r="AJ40">
        <v>2013</v>
      </c>
      <c r="AK40" s="84">
        <f t="shared" si="61"/>
        <v>10</v>
      </c>
      <c r="AL40" s="84">
        <f t="shared" si="61"/>
        <v>10</v>
      </c>
      <c r="AM40" s="84">
        <f t="shared" si="61"/>
        <v>10</v>
      </c>
      <c r="AO40">
        <v>2013</v>
      </c>
      <c r="AP40" s="84" t="e">
        <f t="shared" si="62"/>
        <v>#DIV/0!</v>
      </c>
      <c r="AQ40" s="84" t="e">
        <f t="shared" si="62"/>
        <v>#DIV/0!</v>
      </c>
      <c r="AR40" s="84" t="e">
        <f t="shared" si="62"/>
        <v>#DIV/0!</v>
      </c>
      <c r="AT40">
        <v>2013</v>
      </c>
      <c r="AU40" s="84">
        <f t="shared" si="63"/>
        <v>10</v>
      </c>
      <c r="AV40" s="84">
        <f t="shared" si="63"/>
        <v>13.333333333333334</v>
      </c>
      <c r="AW40" s="84">
        <f t="shared" si="63"/>
        <v>12</v>
      </c>
      <c r="AY40">
        <v>2013</v>
      </c>
      <c r="AZ40" s="84">
        <f t="shared" si="64"/>
        <v>46.129032258064512</v>
      </c>
      <c r="BA40" s="84">
        <f t="shared" si="64"/>
        <v>50</v>
      </c>
      <c r="BB40" s="84">
        <f t="shared" si="64"/>
        <v>46.756756756756751</v>
      </c>
      <c r="BD40">
        <v>2013</v>
      </c>
      <c r="BE40" s="84" t="e">
        <f t="shared" si="65"/>
        <v>#DIV/0!</v>
      </c>
      <c r="BF40" s="84" t="e">
        <f t="shared" si="65"/>
        <v>#DIV/0!</v>
      </c>
      <c r="BG40" s="84" t="e">
        <f t="shared" si="65"/>
        <v>#DIV/0!</v>
      </c>
      <c r="BI40">
        <v>2013</v>
      </c>
      <c r="BJ40" s="84">
        <f t="shared" si="66"/>
        <v>270</v>
      </c>
      <c r="BK40" s="84" t="e">
        <f t="shared" si="66"/>
        <v>#DIV/0!</v>
      </c>
      <c r="BL40" s="84">
        <f t="shared" si="66"/>
        <v>370</v>
      </c>
      <c r="BN40">
        <v>2013</v>
      </c>
      <c r="BO40" s="84">
        <f t="shared" si="67"/>
        <v>103.75</v>
      </c>
      <c r="BP40" s="84">
        <f t="shared" si="67"/>
        <v>110</v>
      </c>
      <c r="BQ40" s="84">
        <f t="shared" si="67"/>
        <v>105</v>
      </c>
      <c r="BS40">
        <v>2013</v>
      </c>
      <c r="BT40" s="84">
        <f t="shared" si="68"/>
        <v>61.666666666666671</v>
      </c>
      <c r="BU40" s="84" t="e">
        <f t="shared" si="68"/>
        <v>#DIV/0!</v>
      </c>
      <c r="BV40" s="84">
        <f t="shared" si="68"/>
        <v>61.666666666666671</v>
      </c>
      <c r="BX40">
        <v>2013</v>
      </c>
      <c r="BY40" s="84">
        <f t="shared" si="69"/>
        <v>80</v>
      </c>
      <c r="BZ40" s="84">
        <f t="shared" si="69"/>
        <v>60</v>
      </c>
      <c r="CA40" s="84">
        <f t="shared" si="69"/>
        <v>70</v>
      </c>
      <c r="CC40">
        <v>2013</v>
      </c>
      <c r="CD40" s="84">
        <f t="shared" si="70"/>
        <v>50</v>
      </c>
      <c r="CE40" s="84">
        <f t="shared" si="70"/>
        <v>43.333333333333336</v>
      </c>
      <c r="CF40" s="84">
        <f t="shared" si="70"/>
        <v>45</v>
      </c>
      <c r="CH40">
        <v>2013</v>
      </c>
      <c r="CI40" s="84" t="e">
        <f t="shared" si="71"/>
        <v>#DIV/0!</v>
      </c>
      <c r="CJ40" s="84" t="e">
        <f t="shared" si="71"/>
        <v>#DIV/0!</v>
      </c>
      <c r="CK40" s="84" t="e">
        <f t="shared" si="71"/>
        <v>#DIV/0!</v>
      </c>
    </row>
    <row r="41" spans="1:89">
      <c r="A41">
        <v>2014</v>
      </c>
      <c r="B41" s="84">
        <f t="shared" si="54"/>
        <v>200</v>
      </c>
      <c r="C41" s="84">
        <f t="shared" si="54"/>
        <v>200</v>
      </c>
      <c r="D41" s="84">
        <f>D19/D8*100/1000</f>
        <v>200</v>
      </c>
      <c r="F41">
        <v>2014</v>
      </c>
      <c r="G41" s="84">
        <f t="shared" si="55"/>
        <v>35.454545454545453</v>
      </c>
      <c r="H41" s="84">
        <f t="shared" si="55"/>
        <v>50</v>
      </c>
      <c r="I41" s="84">
        <f t="shared" si="55"/>
        <v>36.666666666666671</v>
      </c>
      <c r="K41">
        <v>2014</v>
      </c>
      <c r="L41" s="84" t="e">
        <f t="shared" si="56"/>
        <v>#DIV/0!</v>
      </c>
      <c r="M41" s="84">
        <f t="shared" si="56"/>
        <v>7.5</v>
      </c>
      <c r="N41" s="84">
        <f t="shared" si="56"/>
        <v>7.5</v>
      </c>
      <c r="P41">
        <v>2014</v>
      </c>
      <c r="Q41" s="84">
        <f t="shared" si="57"/>
        <v>187</v>
      </c>
      <c r="R41" s="84">
        <f t="shared" si="57"/>
        <v>183.33333333333334</v>
      </c>
      <c r="S41" s="84">
        <f t="shared" si="57"/>
        <v>186.15384615384616</v>
      </c>
      <c r="U41">
        <v>2014</v>
      </c>
      <c r="V41" s="84">
        <f t="shared" si="58"/>
        <v>21.139240506329116</v>
      </c>
      <c r="W41" s="84">
        <f t="shared" si="58"/>
        <v>21.666666666666668</v>
      </c>
      <c r="X41" s="84">
        <f t="shared" si="58"/>
        <v>21.176470588235293</v>
      </c>
      <c r="Z41">
        <v>2014</v>
      </c>
      <c r="AA41" s="84">
        <f t="shared" si="59"/>
        <v>70</v>
      </c>
      <c r="AB41" s="84">
        <f t="shared" si="59"/>
        <v>85</v>
      </c>
      <c r="AC41" s="84">
        <f t="shared" si="59"/>
        <v>73.75</v>
      </c>
      <c r="AE41">
        <v>2014</v>
      </c>
      <c r="AF41" s="84">
        <f t="shared" si="60"/>
        <v>9.5370370370370363</v>
      </c>
      <c r="AG41" s="84">
        <f t="shared" si="60"/>
        <v>9.655172413793105</v>
      </c>
      <c r="AH41" s="84">
        <f t="shared" si="60"/>
        <v>9.5510204081632661</v>
      </c>
      <c r="AJ41">
        <v>2014</v>
      </c>
      <c r="AK41" s="84">
        <f t="shared" si="61"/>
        <v>12.463768115942029</v>
      </c>
      <c r="AL41" s="84">
        <f t="shared" si="61"/>
        <v>15</v>
      </c>
      <c r="AM41" s="84">
        <f t="shared" si="61"/>
        <v>12.500000000000002</v>
      </c>
      <c r="AO41">
        <v>2014</v>
      </c>
      <c r="AP41" s="84" t="e">
        <f t="shared" si="62"/>
        <v>#DIV/0!</v>
      </c>
      <c r="AQ41" s="84" t="e">
        <f t="shared" si="62"/>
        <v>#DIV/0!</v>
      </c>
      <c r="AR41" s="84" t="e">
        <f t="shared" si="62"/>
        <v>#DIV/0!</v>
      </c>
      <c r="AT41">
        <v>2014</v>
      </c>
      <c r="AU41" s="84">
        <f t="shared" si="63"/>
        <v>13.333333333333334</v>
      </c>
      <c r="AV41" s="84">
        <f t="shared" si="63"/>
        <v>14.285714285714283</v>
      </c>
      <c r="AW41" s="84">
        <f t="shared" si="63"/>
        <v>14</v>
      </c>
      <c r="AY41">
        <v>2014</v>
      </c>
      <c r="AZ41" s="84">
        <f t="shared" si="64"/>
        <v>50.166666666666671</v>
      </c>
      <c r="BA41" s="84">
        <f t="shared" si="64"/>
        <v>50.476190476190474</v>
      </c>
      <c r="BB41" s="84">
        <f t="shared" si="64"/>
        <v>50.246913580246918</v>
      </c>
      <c r="BD41">
        <v>2014</v>
      </c>
      <c r="BE41" s="84" t="e">
        <f t="shared" si="65"/>
        <v>#DIV/0!</v>
      </c>
      <c r="BF41" s="84" t="e">
        <f t="shared" si="65"/>
        <v>#DIV/0!</v>
      </c>
      <c r="BG41" s="84" t="e">
        <f t="shared" si="65"/>
        <v>#DIV/0!</v>
      </c>
      <c r="BI41">
        <v>2014</v>
      </c>
      <c r="BJ41" s="84">
        <f t="shared" si="66"/>
        <v>340</v>
      </c>
      <c r="BK41" s="84">
        <f t="shared" si="66"/>
        <v>273.33333333333337</v>
      </c>
      <c r="BL41" s="84">
        <f t="shared" si="66"/>
        <v>300</v>
      </c>
      <c r="BN41">
        <v>2014</v>
      </c>
      <c r="BO41" s="84">
        <f t="shared" si="67"/>
        <v>139.99999999999997</v>
      </c>
      <c r="BP41" s="84">
        <f t="shared" si="67"/>
        <v>147.14285714285714</v>
      </c>
      <c r="BQ41" s="84">
        <f t="shared" si="67"/>
        <v>142.38095238095238</v>
      </c>
      <c r="BS41">
        <v>2014</v>
      </c>
      <c r="BT41" s="84">
        <f t="shared" si="68"/>
        <v>85</v>
      </c>
      <c r="BU41" s="84">
        <f t="shared" si="68"/>
        <v>65</v>
      </c>
      <c r="BV41" s="84">
        <f t="shared" si="68"/>
        <v>75</v>
      </c>
      <c r="BX41">
        <v>2014</v>
      </c>
      <c r="BY41" s="84">
        <f t="shared" si="69"/>
        <v>69</v>
      </c>
      <c r="BZ41" s="84">
        <f t="shared" si="69"/>
        <v>69.999999999999986</v>
      </c>
      <c r="CA41" s="84">
        <f t="shared" si="69"/>
        <v>69.411764705882348</v>
      </c>
      <c r="CC41">
        <v>2014</v>
      </c>
      <c r="CD41" s="84">
        <f t="shared" si="70"/>
        <v>55.714285714285708</v>
      </c>
      <c r="CE41" s="84">
        <f t="shared" si="70"/>
        <v>50</v>
      </c>
      <c r="CF41" s="84">
        <f t="shared" si="70"/>
        <v>54.444444444444436</v>
      </c>
      <c r="CH41">
        <v>2014</v>
      </c>
      <c r="CI41" s="84" t="e">
        <f t="shared" si="71"/>
        <v>#DIV/0!</v>
      </c>
      <c r="CJ41" s="84" t="e">
        <f t="shared" si="71"/>
        <v>#DIV/0!</v>
      </c>
      <c r="CK41" s="84" t="e">
        <f t="shared" si="71"/>
        <v>#DIV/0!</v>
      </c>
    </row>
    <row r="42" spans="1:89">
      <c r="A42">
        <v>2015</v>
      </c>
      <c r="B42" s="84">
        <f t="shared" si="54"/>
        <v>250</v>
      </c>
      <c r="C42" s="84">
        <f t="shared" si="54"/>
        <v>250</v>
      </c>
      <c r="D42" s="84">
        <f>D20/D9*100/1000</f>
        <v>250</v>
      </c>
      <c r="F42">
        <v>2015</v>
      </c>
      <c r="G42" s="84">
        <f t="shared" si="55"/>
        <v>34.782608695652179</v>
      </c>
      <c r="H42" s="84">
        <f t="shared" si="55"/>
        <v>35.833333333333336</v>
      </c>
      <c r="I42" s="84">
        <f t="shared" si="55"/>
        <v>35.142857142857146</v>
      </c>
      <c r="K42">
        <v>2015</v>
      </c>
      <c r="L42" s="84">
        <f t="shared" si="56"/>
        <v>10</v>
      </c>
      <c r="M42" s="84">
        <f t="shared" si="56"/>
        <v>10.4</v>
      </c>
      <c r="N42" s="84">
        <f t="shared" si="56"/>
        <v>10.344827586206897</v>
      </c>
      <c r="P42">
        <v>2015</v>
      </c>
      <c r="Q42" s="84">
        <f t="shared" si="57"/>
        <v>236.42857142857142</v>
      </c>
      <c r="R42" s="84">
        <f t="shared" si="57"/>
        <v>213.33333333333334</v>
      </c>
      <c r="S42" s="84">
        <f t="shared" si="57"/>
        <v>229.5</v>
      </c>
      <c r="U42">
        <v>2015</v>
      </c>
      <c r="V42" s="84">
        <f t="shared" si="58"/>
        <v>20.526315789473685</v>
      </c>
      <c r="W42" s="84">
        <f t="shared" si="58"/>
        <v>20</v>
      </c>
      <c r="X42" s="84">
        <f t="shared" si="58"/>
        <v>20.399999999999999</v>
      </c>
      <c r="Z42">
        <v>2015</v>
      </c>
      <c r="AA42" s="84">
        <f t="shared" si="59"/>
        <v>78</v>
      </c>
      <c r="AB42" s="84">
        <f t="shared" si="59"/>
        <v>76.666666666666671</v>
      </c>
      <c r="AC42" s="84">
        <f t="shared" si="59"/>
        <v>77.5</v>
      </c>
      <c r="AE42">
        <v>2015</v>
      </c>
      <c r="AF42" s="84">
        <f t="shared" si="60"/>
        <v>14.04332129963899</v>
      </c>
      <c r="AG42" s="84">
        <f t="shared" si="60"/>
        <v>14.049586776859506</v>
      </c>
      <c r="AH42" s="84">
        <f t="shared" si="60"/>
        <v>14.045226130653267</v>
      </c>
      <c r="AJ42">
        <v>2015</v>
      </c>
      <c r="AK42" s="84">
        <f t="shared" si="61"/>
        <v>13.333333333333334</v>
      </c>
      <c r="AL42" s="84">
        <f t="shared" si="61"/>
        <v>14.285714285714283</v>
      </c>
      <c r="AM42" s="84">
        <f t="shared" si="61"/>
        <v>13.636363636363638</v>
      </c>
      <c r="AO42">
        <v>2015</v>
      </c>
      <c r="AP42" s="84">
        <f t="shared" si="62"/>
        <v>2</v>
      </c>
      <c r="AQ42" s="84" t="e">
        <f t="shared" si="62"/>
        <v>#DIV/0!</v>
      </c>
      <c r="AR42" s="84">
        <f t="shared" si="62"/>
        <v>2</v>
      </c>
      <c r="AT42">
        <v>2015</v>
      </c>
      <c r="AU42" s="84">
        <f t="shared" si="63"/>
        <v>16.666666666666668</v>
      </c>
      <c r="AV42" s="84">
        <f t="shared" si="63"/>
        <v>17.5</v>
      </c>
      <c r="AW42" s="84">
        <f t="shared" si="63"/>
        <v>16.956521739130437</v>
      </c>
      <c r="AY42">
        <v>2015</v>
      </c>
      <c r="AZ42" s="84">
        <f t="shared" si="64"/>
        <v>47.333333333333336</v>
      </c>
      <c r="BA42" s="84">
        <f t="shared" si="64"/>
        <v>47.083333333333336</v>
      </c>
      <c r="BB42" s="84">
        <f t="shared" si="64"/>
        <v>47.179487179487182</v>
      </c>
      <c r="BD42">
        <v>2015</v>
      </c>
      <c r="BE42" s="84">
        <f t="shared" si="65"/>
        <v>13.076923076923078</v>
      </c>
      <c r="BF42" s="84">
        <f t="shared" si="65"/>
        <v>15</v>
      </c>
      <c r="BG42" s="84">
        <f t="shared" si="65"/>
        <v>13.214285714285714</v>
      </c>
      <c r="BI42">
        <v>2015</v>
      </c>
      <c r="BJ42" s="84">
        <f t="shared" si="66"/>
        <v>430</v>
      </c>
      <c r="BK42" s="84">
        <f t="shared" si="66"/>
        <v>352</v>
      </c>
      <c r="BL42" s="84">
        <f t="shared" si="66"/>
        <v>374.28571428571428</v>
      </c>
      <c r="BN42">
        <v>2015</v>
      </c>
      <c r="BO42" s="84">
        <f t="shared" si="67"/>
        <v>177.5</v>
      </c>
      <c r="BP42" s="84">
        <f t="shared" si="67"/>
        <v>180.33333333333334</v>
      </c>
      <c r="BQ42" s="84">
        <f t="shared" si="67"/>
        <v>178.78787878787878</v>
      </c>
      <c r="BS42">
        <v>2015</v>
      </c>
      <c r="BT42" s="84">
        <f t="shared" si="68"/>
        <v>93.333333333333343</v>
      </c>
      <c r="BU42" s="84">
        <f t="shared" si="68"/>
        <v>78</v>
      </c>
      <c r="BV42" s="84">
        <f t="shared" si="68"/>
        <v>83.75</v>
      </c>
      <c r="BX42">
        <v>2015</v>
      </c>
      <c r="BY42" s="84">
        <f t="shared" si="69"/>
        <v>76.875</v>
      </c>
      <c r="BZ42" s="84">
        <f t="shared" si="69"/>
        <v>75.555555555555543</v>
      </c>
      <c r="CA42" s="84">
        <f t="shared" si="69"/>
        <v>76.400000000000006</v>
      </c>
      <c r="CC42">
        <v>2015</v>
      </c>
      <c r="CD42" s="84">
        <f t="shared" si="70"/>
        <v>58.095238095238102</v>
      </c>
      <c r="CE42" s="84">
        <f t="shared" si="70"/>
        <v>58.333333333333336</v>
      </c>
      <c r="CF42" s="84">
        <f t="shared" si="70"/>
        <v>58.148148148148138</v>
      </c>
      <c r="CH42">
        <v>2015</v>
      </c>
      <c r="CI42" s="84">
        <f t="shared" si="71"/>
        <v>595</v>
      </c>
      <c r="CJ42" s="84">
        <f t="shared" si="71"/>
        <v>1070</v>
      </c>
      <c r="CK42" s="84">
        <f t="shared" si="71"/>
        <v>753.33333333333337</v>
      </c>
    </row>
    <row r="43" spans="1:89">
      <c r="A43">
        <v>2016</v>
      </c>
      <c r="B43" s="84">
        <f t="shared" si="54"/>
        <v>275</v>
      </c>
      <c r="C43" s="84" t="e">
        <f t="shared" si="54"/>
        <v>#DIV/0!</v>
      </c>
      <c r="D43" s="84">
        <f>D21/D10*100/1000</f>
        <v>300</v>
      </c>
      <c r="F43">
        <v>2016</v>
      </c>
      <c r="G43" s="84">
        <f t="shared" si="55"/>
        <v>43.846153846153847</v>
      </c>
      <c r="H43" s="84">
        <f t="shared" si="55"/>
        <v>44.285714285714285</v>
      </c>
      <c r="I43" s="84">
        <f t="shared" si="55"/>
        <v>44</v>
      </c>
      <c r="K43">
        <v>2016</v>
      </c>
      <c r="L43" s="84">
        <f t="shared" si="56"/>
        <v>12.666666666666668</v>
      </c>
      <c r="M43" s="84">
        <f t="shared" si="56"/>
        <v>12.5</v>
      </c>
      <c r="N43" s="84">
        <f t="shared" si="56"/>
        <v>12.580645161290324</v>
      </c>
      <c r="P43">
        <v>2016</v>
      </c>
      <c r="Q43" s="84">
        <f t="shared" si="57"/>
        <v>258.88888888888891</v>
      </c>
      <c r="R43" s="84">
        <f t="shared" si="57"/>
        <v>260</v>
      </c>
      <c r="S43" s="84">
        <f t="shared" si="57"/>
        <v>259.28571428571428</v>
      </c>
      <c r="U43">
        <v>2016</v>
      </c>
      <c r="V43" s="84">
        <f t="shared" si="58"/>
        <v>22.272727272727273</v>
      </c>
      <c r="W43" s="84">
        <f t="shared" si="58"/>
        <v>23.333333333333336</v>
      </c>
      <c r="X43" s="84">
        <f t="shared" si="58"/>
        <v>22.4</v>
      </c>
      <c r="Z43">
        <v>2016</v>
      </c>
      <c r="AA43" s="84">
        <f t="shared" si="59"/>
        <v>82.5</v>
      </c>
      <c r="AB43" s="84">
        <f t="shared" si="59"/>
        <v>70</v>
      </c>
      <c r="AC43" s="84">
        <f t="shared" si="59"/>
        <v>78.333333333333343</v>
      </c>
      <c r="AE43">
        <v>2016</v>
      </c>
      <c r="AF43" s="84">
        <f t="shared" si="60"/>
        <v>17.990430622009573</v>
      </c>
      <c r="AG43" s="84">
        <f t="shared" si="60"/>
        <v>18.443396226415089</v>
      </c>
      <c r="AH43" s="84">
        <f t="shared" si="60"/>
        <v>18.293838862559241</v>
      </c>
      <c r="AJ43">
        <v>2016</v>
      </c>
      <c r="AK43" s="84">
        <f t="shared" si="61"/>
        <v>16.470588235294116</v>
      </c>
      <c r="AL43" s="84">
        <f t="shared" si="61"/>
        <v>16.363636363636363</v>
      </c>
      <c r="AM43" s="84">
        <f t="shared" si="61"/>
        <v>16.428571428571427</v>
      </c>
      <c r="AO43">
        <v>2016</v>
      </c>
      <c r="AP43" s="84">
        <f t="shared" si="62"/>
        <v>2.0283018867924527</v>
      </c>
      <c r="AQ43" s="84">
        <f t="shared" si="62"/>
        <v>2</v>
      </c>
      <c r="AR43" s="84">
        <f t="shared" si="62"/>
        <v>2.0276497695852536</v>
      </c>
      <c r="AT43">
        <v>2016</v>
      </c>
      <c r="AU43" s="84">
        <f t="shared" si="63"/>
        <v>20.3125</v>
      </c>
      <c r="AV43" s="84">
        <f t="shared" si="63"/>
        <v>20</v>
      </c>
      <c r="AW43" s="84">
        <f t="shared" si="63"/>
        <v>20.25</v>
      </c>
      <c r="AY43">
        <v>2016</v>
      </c>
      <c r="AZ43" s="84">
        <f t="shared" si="64"/>
        <v>50.370370370370374</v>
      </c>
      <c r="BA43" s="84">
        <f t="shared" si="64"/>
        <v>49.999999999999993</v>
      </c>
      <c r="BB43" s="84">
        <f t="shared" si="64"/>
        <v>50.163934426229503</v>
      </c>
      <c r="BD43">
        <v>2016</v>
      </c>
      <c r="BE43" s="84">
        <f t="shared" si="65"/>
        <v>13.076923076923078</v>
      </c>
      <c r="BF43" s="84" t="e">
        <f t="shared" si="65"/>
        <v>#DIV/0!</v>
      </c>
      <c r="BG43" s="84">
        <f t="shared" si="65"/>
        <v>13.076923076923078</v>
      </c>
      <c r="BI43">
        <v>2016</v>
      </c>
      <c r="BJ43" s="84">
        <f t="shared" si="66"/>
        <v>460</v>
      </c>
      <c r="BK43" s="84">
        <f t="shared" si="66"/>
        <v>440</v>
      </c>
      <c r="BL43" s="84">
        <f t="shared" si="66"/>
        <v>450</v>
      </c>
      <c r="BN43">
        <v>2016</v>
      </c>
      <c r="BO43" s="84">
        <f t="shared" si="67"/>
        <v>206.31578947368422</v>
      </c>
      <c r="BP43" s="84">
        <f t="shared" si="67"/>
        <v>205.47169811320757</v>
      </c>
      <c r="BQ43" s="84">
        <f t="shared" si="67"/>
        <v>205.82417582417582</v>
      </c>
      <c r="BS43">
        <v>2016</v>
      </c>
      <c r="BT43" s="84">
        <f t="shared" si="68"/>
        <v>98.571428571428569</v>
      </c>
      <c r="BU43" s="84">
        <f t="shared" si="68"/>
        <v>93</v>
      </c>
      <c r="BV43" s="84">
        <f t="shared" si="68"/>
        <v>95.294117647058812</v>
      </c>
      <c r="BX43">
        <v>2016</v>
      </c>
      <c r="BY43" s="84">
        <f t="shared" si="69"/>
        <v>91.666666666666671</v>
      </c>
      <c r="BZ43" s="84" t="e">
        <f t="shared" si="69"/>
        <v>#DIV/0!</v>
      </c>
      <c r="CA43" s="84">
        <f t="shared" si="69"/>
        <v>91.666666666666671</v>
      </c>
      <c r="CC43">
        <v>2016</v>
      </c>
      <c r="CD43" s="84">
        <f t="shared" si="70"/>
        <v>63.571428571428562</v>
      </c>
      <c r="CE43" s="84">
        <f t="shared" si="70"/>
        <v>62.666666666666671</v>
      </c>
      <c r="CF43" s="84">
        <f t="shared" si="70"/>
        <v>63.255813953488357</v>
      </c>
      <c r="CH43">
        <v>2016</v>
      </c>
      <c r="CI43" s="84" t="e">
        <f t="shared" si="71"/>
        <v>#DIV/0!</v>
      </c>
      <c r="CJ43" s="84">
        <f t="shared" si="71"/>
        <v>830</v>
      </c>
      <c r="CK43" s="84">
        <f t="shared" si="71"/>
        <v>1270</v>
      </c>
    </row>
    <row r="44" spans="1:89">
      <c r="A44">
        <v>2017</v>
      </c>
      <c r="B44" s="84">
        <f t="shared" si="54"/>
        <v>314.28571428571433</v>
      </c>
      <c r="C44" s="84">
        <f t="shared" si="54"/>
        <v>312.5</v>
      </c>
      <c r="D44" s="84">
        <f>D22/D11*100/1000</f>
        <v>313.51351351351354</v>
      </c>
      <c r="F44">
        <v>2017</v>
      </c>
      <c r="G44" s="84">
        <f t="shared" si="55"/>
        <v>40</v>
      </c>
      <c r="H44" s="84">
        <f t="shared" si="55"/>
        <v>50</v>
      </c>
      <c r="I44" s="84">
        <f t="shared" si="55"/>
        <v>46</v>
      </c>
      <c r="K44">
        <v>2017</v>
      </c>
      <c r="L44" s="84">
        <f t="shared" si="56"/>
        <v>12.571428571428573</v>
      </c>
      <c r="M44" s="84">
        <f t="shared" si="56"/>
        <v>12.790697674418604</v>
      </c>
      <c r="N44" s="84">
        <f t="shared" si="56"/>
        <v>12.692307692307692</v>
      </c>
      <c r="P44">
        <v>2017</v>
      </c>
      <c r="Q44" s="84">
        <f t="shared" si="57"/>
        <v>277.85714285714283</v>
      </c>
      <c r="R44" s="84">
        <f t="shared" si="57"/>
        <v>267.77777777777783</v>
      </c>
      <c r="S44" s="84">
        <f t="shared" si="57"/>
        <v>273.91304347826087</v>
      </c>
      <c r="U44">
        <v>2017</v>
      </c>
      <c r="V44" s="84">
        <f t="shared" si="58"/>
        <v>26</v>
      </c>
      <c r="W44" s="84">
        <f t="shared" si="58"/>
        <v>26</v>
      </c>
      <c r="X44" s="84">
        <f t="shared" si="58"/>
        <v>26</v>
      </c>
      <c r="Z44">
        <v>2017</v>
      </c>
      <c r="AA44" s="84">
        <f t="shared" si="59"/>
        <v>85</v>
      </c>
      <c r="AB44" s="84">
        <f t="shared" si="59"/>
        <v>86.666666666666671</v>
      </c>
      <c r="AC44" s="84">
        <f t="shared" si="59"/>
        <v>86.363636363636374</v>
      </c>
      <c r="AE44">
        <v>2017</v>
      </c>
      <c r="AF44" s="84">
        <f t="shared" si="60"/>
        <v>21.296758104738156</v>
      </c>
      <c r="AG44" s="84">
        <f t="shared" si="60"/>
        <v>21.274900398406373</v>
      </c>
      <c r="AH44" s="84">
        <f t="shared" si="60"/>
        <v>21.281138790035591</v>
      </c>
      <c r="AJ44">
        <v>2017</v>
      </c>
      <c r="AK44" s="84">
        <f t="shared" si="61"/>
        <v>16.511627906976745</v>
      </c>
      <c r="AL44" s="84">
        <f t="shared" si="61"/>
        <v>16.666666666666668</v>
      </c>
      <c r="AM44" s="84">
        <f t="shared" si="61"/>
        <v>16.557377049180328</v>
      </c>
      <c r="AO44">
        <v>2017</v>
      </c>
      <c r="AP44" s="84">
        <f t="shared" si="62"/>
        <v>2.0220588235294117</v>
      </c>
      <c r="AQ44" s="84" t="e">
        <f t="shared" si="62"/>
        <v>#DIV/0!</v>
      </c>
      <c r="AR44" s="84">
        <f t="shared" si="62"/>
        <v>2.0220588235294117</v>
      </c>
      <c r="AT44">
        <v>2017</v>
      </c>
      <c r="AU44" s="84">
        <f t="shared" si="63"/>
        <v>25.263157894736839</v>
      </c>
      <c r="AV44" s="84">
        <f t="shared" si="63"/>
        <v>24.444444444444446</v>
      </c>
      <c r="AW44" s="84">
        <f t="shared" si="63"/>
        <v>24.999999999999996</v>
      </c>
      <c r="AY44">
        <v>2017</v>
      </c>
      <c r="AZ44" s="84">
        <f t="shared" si="64"/>
        <v>52.835820895522389</v>
      </c>
      <c r="BA44" s="84">
        <f t="shared" si="64"/>
        <v>52.727272727272727</v>
      </c>
      <c r="BB44" s="84">
        <f t="shared" si="64"/>
        <v>52.765957446808514</v>
      </c>
      <c r="BD44">
        <v>2017</v>
      </c>
      <c r="BE44" s="84">
        <f t="shared" si="65"/>
        <v>12.972972972972974</v>
      </c>
      <c r="BF44" s="84">
        <f t="shared" si="65"/>
        <v>12.5</v>
      </c>
      <c r="BG44" s="84">
        <f t="shared" si="65"/>
        <v>12.926829268292684</v>
      </c>
      <c r="BI44">
        <v>2017</v>
      </c>
      <c r="BJ44" s="84">
        <f t="shared" si="66"/>
        <v>475</v>
      </c>
      <c r="BK44" s="84">
        <f t="shared" si="66"/>
        <v>467.27272727272731</v>
      </c>
      <c r="BL44" s="84">
        <f t="shared" si="66"/>
        <v>470.95238095238096</v>
      </c>
      <c r="BN44">
        <v>2017</v>
      </c>
      <c r="BO44" s="84">
        <f t="shared" si="67"/>
        <v>221.358024691358</v>
      </c>
      <c r="BP44" s="84">
        <f t="shared" si="67"/>
        <v>222.18181818181816</v>
      </c>
      <c r="BQ44" s="84">
        <f t="shared" si="67"/>
        <v>221.83246073298426</v>
      </c>
      <c r="BS44">
        <v>2017</v>
      </c>
      <c r="BT44" s="84">
        <f t="shared" si="68"/>
        <v>105.45454545454545</v>
      </c>
      <c r="BU44" s="84">
        <f t="shared" si="68"/>
        <v>101.42857142857142</v>
      </c>
      <c r="BV44" s="84">
        <f t="shared" si="68"/>
        <v>103.88888888888889</v>
      </c>
      <c r="BX44">
        <v>2017</v>
      </c>
      <c r="BY44" s="84">
        <f t="shared" si="69"/>
        <v>95</v>
      </c>
      <c r="BZ44" s="84">
        <f t="shared" si="69"/>
        <v>97.368421052631575</v>
      </c>
      <c r="CA44" s="84">
        <f t="shared" si="69"/>
        <v>96.097560975609738</v>
      </c>
      <c r="CC44">
        <v>2017</v>
      </c>
      <c r="CD44" s="84">
        <f t="shared" si="70"/>
        <v>71.489361702127667</v>
      </c>
      <c r="CE44" s="84">
        <f t="shared" si="70"/>
        <v>71.111111111111114</v>
      </c>
      <c r="CF44" s="84">
        <f t="shared" si="70"/>
        <v>71.351351351351354</v>
      </c>
      <c r="CH44">
        <v>2017</v>
      </c>
      <c r="CI44" s="84">
        <f t="shared" si="71"/>
        <v>770</v>
      </c>
      <c r="CJ44" s="84" t="e">
        <f t="shared" si="71"/>
        <v>#DIV/0!</v>
      </c>
      <c r="CK44" s="84">
        <f t="shared" si="71"/>
        <v>1080</v>
      </c>
    </row>
    <row r="46" spans="1:89">
      <c r="B46" s="134"/>
      <c r="C46" s="134"/>
    </row>
    <row r="47" spans="1:89">
      <c r="B47" s="134"/>
      <c r="C47" s="134"/>
    </row>
    <row r="48" spans="1:89">
      <c r="B48" s="134"/>
      <c r="C48" s="134"/>
    </row>
    <row r="49" spans="2:3">
      <c r="B49" s="134"/>
      <c r="C49" s="134"/>
    </row>
    <row r="50" spans="2:3">
      <c r="B50" s="134"/>
      <c r="C50" s="134"/>
    </row>
    <row r="51" spans="2:3">
      <c r="B51" s="134"/>
      <c r="C51" s="134"/>
    </row>
    <row r="52" spans="2:3">
      <c r="B52" s="134"/>
      <c r="C52" s="134"/>
    </row>
    <row r="53" spans="2:3">
      <c r="B53" s="134"/>
      <c r="C53" s="134"/>
    </row>
    <row r="54" spans="2:3">
      <c r="B54" s="134"/>
      <c r="C54" s="134"/>
    </row>
    <row r="55" spans="2:3">
      <c r="B55" s="84"/>
      <c r="C55" s="84"/>
    </row>
    <row r="56" spans="2:3">
      <c r="B56" s="84"/>
      <c r="C56" s="84"/>
    </row>
    <row r="57" spans="2:3">
      <c r="B57" s="84"/>
      <c r="C57" s="84"/>
    </row>
    <row r="58" spans="2:3">
      <c r="B58" s="84"/>
      <c r="C58" s="84"/>
    </row>
    <row r="59" spans="2:3">
      <c r="B59" s="84"/>
      <c r="C59" s="84"/>
    </row>
    <row r="60" spans="2:3">
      <c r="B60" s="84"/>
      <c r="C60" s="84"/>
    </row>
    <row r="61" spans="2:3">
      <c r="B61" s="84"/>
      <c r="C61" s="8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M97"/>
  <sheetViews>
    <sheetView zoomScale="75" zoomScaleNormal="75" workbookViewId="0">
      <pane xSplit="1" ySplit="3" topLeftCell="B37" activePane="bottomRight" state="frozen"/>
      <selection pane="topRight" activeCell="B1" sqref="B1"/>
      <selection pane="bottomLeft" activeCell="A4" sqref="A4"/>
      <selection pane="bottomRight" activeCell="I87" sqref="I3:I87"/>
    </sheetView>
  </sheetViews>
  <sheetFormatPr defaultRowHeight="15"/>
  <cols>
    <col min="1" max="1" width="14.140625" customWidth="1"/>
    <col min="2" max="2" width="16.85546875" customWidth="1"/>
    <col min="3" max="3" width="24.5703125" customWidth="1"/>
    <col min="5" max="5" width="12.7109375" customWidth="1"/>
    <col min="7" max="7" width="12.42578125" customWidth="1"/>
    <col min="11" max="11" width="6.42578125" style="33" customWidth="1"/>
    <col min="12" max="22" width="5.85546875" style="33" customWidth="1"/>
    <col min="23" max="23" width="5.5703125" style="33" customWidth="1"/>
    <col min="27" max="27" width="13" customWidth="1"/>
    <col min="28" max="28" width="11.7109375" customWidth="1"/>
    <col min="29" max="29" width="19.85546875" customWidth="1"/>
    <col min="30" max="30" width="6.7109375" customWidth="1"/>
    <col min="31" max="31" width="9.5703125" customWidth="1"/>
    <col min="32" max="32" width="6.140625" customWidth="1"/>
    <col min="34" max="35" width="13.85546875" customWidth="1"/>
    <col min="36" max="36" width="17" customWidth="1"/>
    <col min="37" max="37" width="8" customWidth="1"/>
    <col min="39" max="39" width="5.7109375" customWidth="1"/>
  </cols>
  <sheetData>
    <row r="1" spans="1:39">
      <c r="L1" s="33" t="s">
        <v>102</v>
      </c>
      <c r="AD1" s="22"/>
      <c r="AE1" s="22" t="s">
        <v>1187</v>
      </c>
      <c r="AK1" s="22"/>
      <c r="AL1" s="22" t="s">
        <v>1187</v>
      </c>
    </row>
    <row r="2" spans="1:39">
      <c r="F2" t="s">
        <v>1185</v>
      </c>
      <c r="G2" t="s">
        <v>1185</v>
      </c>
      <c r="H2" t="s">
        <v>922</v>
      </c>
      <c r="AD2" s="22" t="s">
        <v>923</v>
      </c>
      <c r="AE2" s="22" t="s">
        <v>1188</v>
      </c>
      <c r="AK2" s="22" t="s">
        <v>923</v>
      </c>
      <c r="AL2" s="22" t="s">
        <v>1188</v>
      </c>
    </row>
    <row r="3" spans="1:39">
      <c r="B3" s="24" t="s">
        <v>39</v>
      </c>
      <c r="C3" s="24" t="s">
        <v>40</v>
      </c>
      <c r="D3" s="25" t="s">
        <v>41</v>
      </c>
      <c r="E3" s="25" t="s">
        <v>191</v>
      </c>
      <c r="F3" s="26" t="s">
        <v>172</v>
      </c>
      <c r="G3" s="26" t="s">
        <v>193</v>
      </c>
      <c r="H3" s="26" t="s">
        <v>188</v>
      </c>
      <c r="I3" s="25" t="s">
        <v>42</v>
      </c>
      <c r="J3" s="25" t="s">
        <v>189</v>
      </c>
      <c r="K3" s="32"/>
      <c r="L3" s="32">
        <v>2010</v>
      </c>
      <c r="M3" s="32">
        <v>2011</v>
      </c>
      <c r="N3" s="32">
        <v>2012</v>
      </c>
      <c r="O3" s="32">
        <v>2013</v>
      </c>
      <c r="P3" s="32">
        <v>2014</v>
      </c>
      <c r="Q3" s="32">
        <v>2015</v>
      </c>
      <c r="R3" s="32">
        <v>2016</v>
      </c>
      <c r="S3" s="32">
        <v>2017</v>
      </c>
      <c r="T3" s="32">
        <v>2018</v>
      </c>
      <c r="U3" s="32">
        <v>2019</v>
      </c>
      <c r="V3" s="32">
        <v>2020</v>
      </c>
      <c r="W3" s="32"/>
      <c r="AB3" s="242" t="s">
        <v>39</v>
      </c>
      <c r="AC3" s="242" t="s">
        <v>40</v>
      </c>
      <c r="AD3" s="242" t="s">
        <v>41</v>
      </c>
      <c r="AE3" s="242" t="s">
        <v>1186</v>
      </c>
      <c r="AF3" s="242" t="s">
        <v>42</v>
      </c>
      <c r="AI3" s="242" t="s">
        <v>39</v>
      </c>
      <c r="AJ3" s="242" t="s">
        <v>40</v>
      </c>
      <c r="AK3" s="242" t="s">
        <v>41</v>
      </c>
      <c r="AL3" s="242" t="s">
        <v>1186</v>
      </c>
      <c r="AM3" s="242" t="s">
        <v>42</v>
      </c>
    </row>
    <row r="4" spans="1:39">
      <c r="A4" s="23">
        <v>2009</v>
      </c>
      <c r="B4" s="18" t="s">
        <v>43</v>
      </c>
      <c r="C4" s="18" t="s">
        <v>44</v>
      </c>
      <c r="D4" s="18">
        <v>110</v>
      </c>
      <c r="E4" s="31">
        <f t="shared" ref="E4:E11" si="0">D4</f>
        <v>110</v>
      </c>
      <c r="F4" s="18">
        <v>26</v>
      </c>
      <c r="G4" s="16">
        <f t="shared" ref="G4:G11" si="1">H4</f>
        <v>29.592572886961211</v>
      </c>
      <c r="H4" s="16">
        <f t="shared" ref="H4:H24" si="2">F4/J4</f>
        <v>29.592572886961211</v>
      </c>
      <c r="I4" s="18">
        <v>18</v>
      </c>
      <c r="J4" s="18">
        <f>'BEV time series'!AE4/'BEV time series'!AE12</f>
        <v>0.87859883286646778</v>
      </c>
      <c r="K4" s="19"/>
      <c r="L4" s="19">
        <v>1</v>
      </c>
      <c r="M4" s="19"/>
      <c r="N4" s="19"/>
      <c r="O4" s="19"/>
      <c r="P4" s="19"/>
      <c r="Q4" s="19"/>
      <c r="R4" s="19"/>
      <c r="S4" s="19"/>
      <c r="T4" s="19"/>
      <c r="U4" s="19"/>
      <c r="V4" s="19"/>
      <c r="W4" s="19"/>
      <c r="AA4" s="23">
        <v>2009</v>
      </c>
      <c r="AB4" s="18" t="s">
        <v>43</v>
      </c>
      <c r="AC4" s="18" t="s">
        <v>44</v>
      </c>
      <c r="AD4" s="18">
        <v>110</v>
      </c>
      <c r="AE4" s="16">
        <v>29.592572886961211</v>
      </c>
      <c r="AF4" s="18">
        <v>18</v>
      </c>
      <c r="AH4" s="7">
        <v>2017</v>
      </c>
      <c r="AI4" t="s">
        <v>84</v>
      </c>
      <c r="AJ4" t="s">
        <v>85</v>
      </c>
      <c r="AK4">
        <v>200</v>
      </c>
      <c r="AL4">
        <v>30</v>
      </c>
      <c r="AM4">
        <v>28</v>
      </c>
    </row>
    <row r="5" spans="1:39">
      <c r="A5" s="7">
        <v>2010</v>
      </c>
      <c r="B5" t="s">
        <v>45</v>
      </c>
      <c r="C5" t="s">
        <v>47</v>
      </c>
      <c r="D5">
        <v>100</v>
      </c>
      <c r="E5" s="31">
        <f t="shared" si="0"/>
        <v>100</v>
      </c>
      <c r="F5">
        <v>24</v>
      </c>
      <c r="G5" s="3">
        <f t="shared" si="1"/>
        <v>26.875390412554562</v>
      </c>
      <c r="H5" s="3">
        <f t="shared" si="2"/>
        <v>26.875390412554562</v>
      </c>
      <c r="I5">
        <v>16</v>
      </c>
      <c r="J5">
        <f>'BEV time series'!AE$5/'BEV time series'!AE$12</f>
        <v>0.89301028307252595</v>
      </c>
      <c r="L5" s="33">
        <v>4</v>
      </c>
      <c r="M5" s="33">
        <v>5</v>
      </c>
      <c r="AA5" s="7">
        <v>2010</v>
      </c>
      <c r="AB5" t="s">
        <v>45</v>
      </c>
      <c r="AC5" t="s">
        <v>47</v>
      </c>
      <c r="AD5">
        <v>100</v>
      </c>
      <c r="AE5" s="3">
        <v>26.875390412554562</v>
      </c>
      <c r="AF5">
        <v>16</v>
      </c>
      <c r="AI5" t="s">
        <v>67</v>
      </c>
      <c r="AJ5" t="s">
        <v>86</v>
      </c>
      <c r="AK5">
        <v>380</v>
      </c>
      <c r="AL5">
        <v>37</v>
      </c>
      <c r="AM5">
        <v>60</v>
      </c>
    </row>
    <row r="6" spans="1:39">
      <c r="A6" s="7"/>
      <c r="B6" t="s">
        <v>46</v>
      </c>
      <c r="C6" t="s">
        <v>48</v>
      </c>
      <c r="D6">
        <v>110</v>
      </c>
      <c r="E6" s="31">
        <f t="shared" si="0"/>
        <v>110</v>
      </c>
      <c r="F6">
        <v>20</v>
      </c>
      <c r="G6" s="3">
        <f t="shared" si="1"/>
        <v>22.396158677128803</v>
      </c>
      <c r="H6" s="3">
        <f t="shared" si="2"/>
        <v>22.396158677128803</v>
      </c>
      <c r="I6">
        <v>15</v>
      </c>
      <c r="J6">
        <f>'BEV time series'!AE$5/'BEV time series'!AE$12</f>
        <v>0.89301028307252595</v>
      </c>
      <c r="L6" s="33">
        <v>2</v>
      </c>
      <c r="M6" s="33">
        <v>2</v>
      </c>
      <c r="AA6" s="7"/>
      <c r="AB6" t="s">
        <v>46</v>
      </c>
      <c r="AC6" t="s">
        <v>48</v>
      </c>
      <c r="AD6">
        <v>110</v>
      </c>
      <c r="AE6" s="3">
        <v>22.396158677128803</v>
      </c>
      <c r="AF6">
        <v>15</v>
      </c>
      <c r="AI6" t="s">
        <v>66</v>
      </c>
      <c r="AJ6" t="s">
        <v>87</v>
      </c>
      <c r="AK6">
        <v>200</v>
      </c>
      <c r="AL6">
        <v>29</v>
      </c>
      <c r="AM6">
        <v>36</v>
      </c>
    </row>
    <row r="7" spans="1:39">
      <c r="A7" s="23"/>
      <c r="B7" s="18" t="s">
        <v>46</v>
      </c>
      <c r="C7" s="18" t="s">
        <v>49</v>
      </c>
      <c r="D7" s="18">
        <v>110</v>
      </c>
      <c r="E7" s="18">
        <f t="shared" si="0"/>
        <v>110</v>
      </c>
      <c r="F7" s="18">
        <v>20</v>
      </c>
      <c r="G7" s="16">
        <f t="shared" si="1"/>
        <v>22.396158677128803</v>
      </c>
      <c r="H7" s="16">
        <f t="shared" si="2"/>
        <v>22.396158677128803</v>
      </c>
      <c r="I7" s="18">
        <v>15</v>
      </c>
      <c r="J7">
        <f>'BEV time series'!AE$5/'BEV time series'!AE$12</f>
        <v>0.89301028307252595</v>
      </c>
      <c r="K7" s="19"/>
      <c r="L7" s="19">
        <v>3</v>
      </c>
      <c r="M7" s="19">
        <v>3</v>
      </c>
      <c r="N7" s="19"/>
      <c r="O7" s="19"/>
      <c r="P7" s="19"/>
      <c r="Q7" s="19"/>
      <c r="R7" s="19"/>
      <c r="S7" s="19"/>
      <c r="T7" s="19"/>
      <c r="U7" s="19"/>
      <c r="V7" s="19"/>
      <c r="W7" s="19"/>
      <c r="AA7" s="23"/>
      <c r="AB7" s="18" t="s">
        <v>46</v>
      </c>
      <c r="AC7" s="18" t="s">
        <v>49</v>
      </c>
      <c r="AD7" s="18">
        <v>110</v>
      </c>
      <c r="AE7" s="16">
        <v>22.396158677128803</v>
      </c>
      <c r="AF7" s="18">
        <v>15</v>
      </c>
      <c r="AI7" t="s">
        <v>43</v>
      </c>
      <c r="AJ7" t="s">
        <v>88</v>
      </c>
      <c r="AK7">
        <v>110</v>
      </c>
      <c r="AL7">
        <v>25</v>
      </c>
      <c r="AM7">
        <v>18</v>
      </c>
    </row>
    <row r="8" spans="1:39">
      <c r="A8" s="7">
        <v>2011</v>
      </c>
      <c r="B8" s="19" t="s">
        <v>50</v>
      </c>
      <c r="C8" s="19" t="s">
        <v>52</v>
      </c>
      <c r="D8" s="19">
        <v>80</v>
      </c>
      <c r="E8" s="31">
        <f t="shared" si="0"/>
        <v>80</v>
      </c>
      <c r="F8" s="19">
        <v>8</v>
      </c>
      <c r="G8" s="71">
        <f t="shared" si="1"/>
        <v>8.6843398014572823</v>
      </c>
      <c r="H8" s="71">
        <f t="shared" si="2"/>
        <v>8.6843398014572823</v>
      </c>
      <c r="I8" s="19">
        <v>6</v>
      </c>
      <c r="J8" s="19">
        <f>'BEV time series'!AE6/'BEV time series'!AE12</f>
        <v>0.92119840804220421</v>
      </c>
      <c r="L8" s="19"/>
      <c r="M8" s="19">
        <v>6</v>
      </c>
      <c r="N8" s="19">
        <v>5</v>
      </c>
      <c r="O8" s="19"/>
      <c r="P8" s="19"/>
      <c r="Q8" s="19"/>
      <c r="R8" s="19"/>
      <c r="S8" s="19"/>
      <c r="T8" s="19"/>
      <c r="U8" s="19"/>
      <c r="V8" s="19"/>
      <c r="W8" s="19"/>
      <c r="AA8" s="7">
        <v>2011</v>
      </c>
      <c r="AB8" s="19" t="s">
        <v>50</v>
      </c>
      <c r="AC8" s="19" t="s">
        <v>52</v>
      </c>
      <c r="AD8" s="19">
        <v>80</v>
      </c>
      <c r="AE8" s="71">
        <v>8.6843398014572823</v>
      </c>
      <c r="AF8" s="19">
        <v>6</v>
      </c>
      <c r="AI8" t="s">
        <v>43</v>
      </c>
      <c r="AJ8" t="s">
        <v>89</v>
      </c>
      <c r="AK8">
        <v>110</v>
      </c>
      <c r="AL8">
        <v>28</v>
      </c>
      <c r="AM8">
        <v>18</v>
      </c>
    </row>
    <row r="9" spans="1:39">
      <c r="A9" s="7"/>
      <c r="B9" s="19" t="s">
        <v>50</v>
      </c>
      <c r="C9" s="19" t="s">
        <v>53</v>
      </c>
      <c r="D9" s="19">
        <v>110</v>
      </c>
      <c r="E9" s="31">
        <f t="shared" si="0"/>
        <v>110</v>
      </c>
      <c r="F9" s="19">
        <v>22</v>
      </c>
      <c r="G9" s="71">
        <f t="shared" si="1"/>
        <v>23.881934454007524</v>
      </c>
      <c r="H9" s="71">
        <f t="shared" si="2"/>
        <v>23.881934454007524</v>
      </c>
      <c r="I9" s="19">
        <v>22</v>
      </c>
      <c r="J9" s="19">
        <f>J8</f>
        <v>0.92119840804220421</v>
      </c>
      <c r="L9" s="19"/>
      <c r="M9" s="19">
        <v>4</v>
      </c>
      <c r="N9" s="19">
        <v>4</v>
      </c>
      <c r="O9" s="19"/>
      <c r="P9" s="19"/>
      <c r="Q9" s="19"/>
      <c r="R9" s="19"/>
      <c r="S9" s="19"/>
      <c r="T9" s="19"/>
      <c r="U9" s="19"/>
      <c r="V9" s="19"/>
      <c r="W9" s="19"/>
      <c r="AA9" s="7"/>
      <c r="AB9" s="19" t="s">
        <v>50</v>
      </c>
      <c r="AC9" s="19" t="s">
        <v>53</v>
      </c>
      <c r="AD9" s="19">
        <v>110</v>
      </c>
      <c r="AE9" s="71">
        <v>23.881934454007524</v>
      </c>
      <c r="AF9" s="19">
        <v>22</v>
      </c>
      <c r="AI9" t="s">
        <v>59</v>
      </c>
      <c r="AJ9" t="s">
        <v>90</v>
      </c>
      <c r="AK9">
        <v>130</v>
      </c>
      <c r="AL9">
        <v>30</v>
      </c>
      <c r="AM9">
        <v>26</v>
      </c>
    </row>
    <row r="10" spans="1:39">
      <c r="A10" s="7"/>
      <c r="B10" s="19" t="s">
        <v>50</v>
      </c>
      <c r="C10" s="19" t="s">
        <v>54</v>
      </c>
      <c r="D10" s="19">
        <v>100</v>
      </c>
      <c r="E10" s="31">
        <f t="shared" si="0"/>
        <v>100</v>
      </c>
      <c r="F10" s="19">
        <v>29</v>
      </c>
      <c r="G10" s="71">
        <f t="shared" si="1"/>
        <v>31.480731780282646</v>
      </c>
      <c r="H10" s="71">
        <f t="shared" si="2"/>
        <v>31.480731780282646</v>
      </c>
      <c r="I10" s="19">
        <v>22</v>
      </c>
      <c r="J10" s="19">
        <f>J9</f>
        <v>0.92119840804220421</v>
      </c>
      <c r="L10" s="19"/>
      <c r="M10" s="19">
        <v>7</v>
      </c>
      <c r="N10" s="19">
        <v>6</v>
      </c>
      <c r="O10" s="19"/>
      <c r="P10" s="19"/>
      <c r="Q10" s="19"/>
      <c r="R10" s="19"/>
      <c r="S10" s="19"/>
      <c r="T10" s="19"/>
      <c r="U10" s="19"/>
      <c r="V10" s="19"/>
      <c r="W10" s="19"/>
      <c r="AA10" s="7"/>
      <c r="AB10" s="19" t="s">
        <v>50</v>
      </c>
      <c r="AC10" s="19" t="s">
        <v>54</v>
      </c>
      <c r="AD10" s="19">
        <v>100</v>
      </c>
      <c r="AE10" s="71">
        <v>31.480731780282646</v>
      </c>
      <c r="AF10" s="19">
        <v>22</v>
      </c>
      <c r="AH10" s="18"/>
      <c r="AI10" s="18" t="s">
        <v>57</v>
      </c>
      <c r="AJ10" s="18" t="s">
        <v>91</v>
      </c>
      <c r="AK10" s="18">
        <v>160</v>
      </c>
      <c r="AL10" s="18">
        <v>27</v>
      </c>
      <c r="AM10" s="18">
        <v>30</v>
      </c>
    </row>
    <row r="11" spans="1:39">
      <c r="A11" s="23"/>
      <c r="B11" s="27" t="s">
        <v>51</v>
      </c>
      <c r="C11" s="27" t="s">
        <v>55</v>
      </c>
      <c r="D11" s="27">
        <v>120</v>
      </c>
      <c r="E11" s="18">
        <f t="shared" si="0"/>
        <v>120</v>
      </c>
      <c r="F11" s="27">
        <v>29</v>
      </c>
      <c r="G11" s="73">
        <f t="shared" si="1"/>
        <v>31.480731780282646</v>
      </c>
      <c r="H11" s="73">
        <f t="shared" si="2"/>
        <v>31.480731780282646</v>
      </c>
      <c r="I11" s="27">
        <v>24</v>
      </c>
      <c r="J11" s="19">
        <f>J10</f>
        <v>0.92119840804220421</v>
      </c>
      <c r="L11" s="19"/>
      <c r="M11" s="19">
        <v>1</v>
      </c>
      <c r="N11" s="19">
        <v>3</v>
      </c>
      <c r="O11" s="19"/>
      <c r="P11" s="19"/>
      <c r="Q11" s="19"/>
      <c r="R11" s="19"/>
      <c r="S11" s="19"/>
      <c r="T11" s="19"/>
      <c r="U11" s="19"/>
      <c r="V11" s="19"/>
      <c r="W11" s="19"/>
      <c r="AA11" s="23"/>
      <c r="AB11" s="27" t="s">
        <v>51</v>
      </c>
      <c r="AC11" s="27" t="s">
        <v>55</v>
      </c>
      <c r="AD11" s="27">
        <v>120</v>
      </c>
      <c r="AE11" s="73">
        <v>31.480731780282646</v>
      </c>
      <c r="AF11" s="27">
        <v>24</v>
      </c>
      <c r="AH11" s="7">
        <v>2018</v>
      </c>
      <c r="AI11" s="19" t="s">
        <v>56</v>
      </c>
      <c r="AJ11" s="19" t="s">
        <v>92</v>
      </c>
      <c r="AK11" s="19">
        <v>350</v>
      </c>
      <c r="AL11" s="19">
        <v>35</v>
      </c>
      <c r="AM11" s="19">
        <v>50</v>
      </c>
    </row>
    <row r="12" spans="1:39">
      <c r="A12" s="7">
        <v>2012</v>
      </c>
      <c r="B12" s="19" t="s">
        <v>56</v>
      </c>
      <c r="C12" s="19" t="s">
        <v>60</v>
      </c>
      <c r="D12" s="38">
        <v>385</v>
      </c>
      <c r="E12" s="31"/>
      <c r="F12" s="38">
        <v>92</v>
      </c>
      <c r="G12" s="74"/>
      <c r="H12" s="74">
        <f t="shared" si="2"/>
        <v>97.845053319773143</v>
      </c>
      <c r="I12" s="19">
        <v>80</v>
      </c>
      <c r="J12" s="19">
        <f>'BEV time series'!AE7/'BEV time series'!AE12</f>
        <v>0.94026214794251706</v>
      </c>
      <c r="L12" s="19"/>
      <c r="M12" s="19"/>
      <c r="N12" s="19"/>
      <c r="O12" s="19"/>
      <c r="P12" s="19"/>
      <c r="Q12" s="19"/>
      <c r="R12" s="19"/>
      <c r="S12" s="19"/>
      <c r="T12" s="19"/>
      <c r="U12" s="19"/>
      <c r="V12" s="19"/>
      <c r="W12" s="19"/>
      <c r="AA12" s="7">
        <v>2012</v>
      </c>
      <c r="AB12" s="19" t="s">
        <v>56</v>
      </c>
      <c r="AC12" s="19" t="s">
        <v>60</v>
      </c>
      <c r="AD12" s="38">
        <v>385</v>
      </c>
      <c r="AE12" s="74">
        <v>97.845053319773143</v>
      </c>
      <c r="AF12" s="19">
        <v>80</v>
      </c>
      <c r="AH12" s="7"/>
      <c r="AI12" s="19" t="s">
        <v>137</v>
      </c>
      <c r="AJ12" s="19" t="s">
        <v>136</v>
      </c>
      <c r="AK12" s="38">
        <v>500</v>
      </c>
      <c r="AL12" s="74">
        <v>90</v>
      </c>
      <c r="AM12" s="19">
        <v>95</v>
      </c>
    </row>
    <row r="13" spans="1:39">
      <c r="A13" s="7"/>
      <c r="B13" s="19" t="s">
        <v>56</v>
      </c>
      <c r="C13" s="19" t="s">
        <v>61</v>
      </c>
      <c r="D13" s="38">
        <v>460</v>
      </c>
      <c r="E13" s="31"/>
      <c r="F13" s="38">
        <v>108</v>
      </c>
      <c r="G13" s="74"/>
      <c r="H13" s="74">
        <f t="shared" si="2"/>
        <v>114.86158433190759</v>
      </c>
      <c r="I13" s="19">
        <v>90</v>
      </c>
      <c r="J13" s="19">
        <f>J12</f>
        <v>0.94026214794251706</v>
      </c>
      <c r="L13" s="19"/>
      <c r="M13" s="19"/>
      <c r="N13" s="19"/>
      <c r="O13" s="19"/>
      <c r="P13" s="19"/>
      <c r="Q13" s="19"/>
      <c r="R13" s="19"/>
      <c r="S13" s="19"/>
      <c r="T13" s="19"/>
      <c r="U13" s="19"/>
      <c r="V13" s="19"/>
      <c r="W13" s="19"/>
      <c r="AA13" s="7"/>
      <c r="AB13" s="19" t="s">
        <v>56</v>
      </c>
      <c r="AC13" s="19" t="s">
        <v>61</v>
      </c>
      <c r="AD13" s="38">
        <v>460</v>
      </c>
      <c r="AE13" s="74">
        <v>114.86158433190759</v>
      </c>
      <c r="AF13" s="19">
        <v>90</v>
      </c>
      <c r="AH13" s="7"/>
      <c r="AI13" s="33" t="s">
        <v>51</v>
      </c>
      <c r="AJ13" s="19" t="s">
        <v>93</v>
      </c>
      <c r="AK13" s="19">
        <v>240</v>
      </c>
      <c r="AL13" s="39">
        <v>30</v>
      </c>
      <c r="AM13" s="39">
        <v>40</v>
      </c>
    </row>
    <row r="14" spans="1:39">
      <c r="A14" s="7"/>
      <c r="B14" s="19" t="s">
        <v>57</v>
      </c>
      <c r="C14" s="19" t="s">
        <v>62</v>
      </c>
      <c r="D14" s="19">
        <v>110</v>
      </c>
      <c r="E14" s="31">
        <f t="shared" ref="E14:E27" si="3">D14</f>
        <v>110</v>
      </c>
      <c r="F14" s="19">
        <v>29</v>
      </c>
      <c r="G14" s="71">
        <f t="shared" ref="G14:G24" si="4">H14</f>
        <v>30.842462459493706</v>
      </c>
      <c r="H14" s="71">
        <f t="shared" si="2"/>
        <v>30.842462459493706</v>
      </c>
      <c r="I14" s="19">
        <v>23</v>
      </c>
      <c r="J14" s="19">
        <f>J13</f>
        <v>0.94026214794251706</v>
      </c>
      <c r="L14" s="19"/>
      <c r="M14" s="19"/>
      <c r="N14" s="19">
        <v>7</v>
      </c>
      <c r="O14" s="19">
        <v>8</v>
      </c>
      <c r="P14" s="19"/>
      <c r="Q14" s="19"/>
      <c r="R14" s="19"/>
      <c r="S14" s="19"/>
      <c r="T14" s="19"/>
      <c r="U14" s="19"/>
      <c r="V14" s="19"/>
      <c r="W14" s="19"/>
      <c r="AA14" s="7"/>
      <c r="AB14" s="19" t="s">
        <v>57</v>
      </c>
      <c r="AC14" s="19" t="s">
        <v>62</v>
      </c>
      <c r="AD14" s="19">
        <v>110</v>
      </c>
      <c r="AE14" s="71">
        <v>30.842462459493706</v>
      </c>
      <c r="AF14" s="19">
        <v>23</v>
      </c>
      <c r="AH14" s="7"/>
      <c r="AI14" s="33" t="s">
        <v>51</v>
      </c>
      <c r="AJ14" s="19" t="s">
        <v>94</v>
      </c>
      <c r="AK14" s="29">
        <v>240</v>
      </c>
      <c r="AL14" s="39">
        <v>40</v>
      </c>
      <c r="AM14" s="19">
        <v>41</v>
      </c>
    </row>
    <row r="15" spans="1:39">
      <c r="A15" s="7"/>
      <c r="B15" s="19" t="s">
        <v>58</v>
      </c>
      <c r="C15" s="19" t="s">
        <v>63</v>
      </c>
      <c r="D15" s="19">
        <v>200</v>
      </c>
      <c r="E15" s="31">
        <f t="shared" si="3"/>
        <v>200</v>
      </c>
      <c r="F15" s="19">
        <v>21</v>
      </c>
      <c r="G15" s="71">
        <f t="shared" si="4"/>
        <v>22.334196953426478</v>
      </c>
      <c r="H15" s="71">
        <f t="shared" si="2"/>
        <v>22.334196953426478</v>
      </c>
      <c r="I15" s="19">
        <v>30</v>
      </c>
      <c r="J15" s="19">
        <f>J14</f>
        <v>0.94026214794251706</v>
      </c>
      <c r="L15" s="19"/>
      <c r="M15" s="19"/>
      <c r="N15" s="19">
        <v>1</v>
      </c>
      <c r="O15" s="19">
        <v>1</v>
      </c>
      <c r="P15" s="19"/>
      <c r="Q15" s="19"/>
      <c r="R15" s="19"/>
      <c r="S15" s="19"/>
      <c r="T15" s="19"/>
      <c r="U15" s="19"/>
      <c r="V15" s="19"/>
      <c r="W15" s="19"/>
      <c r="AA15" s="7"/>
      <c r="AB15" s="19" t="s">
        <v>58</v>
      </c>
      <c r="AC15" s="19" t="s">
        <v>63</v>
      </c>
      <c r="AD15" s="19">
        <v>200</v>
      </c>
      <c r="AE15" s="71">
        <v>22.334196953426478</v>
      </c>
      <c r="AF15" s="19">
        <v>30</v>
      </c>
      <c r="AH15" s="7"/>
      <c r="AI15" s="33" t="s">
        <v>50</v>
      </c>
      <c r="AJ15" s="19" t="s">
        <v>82</v>
      </c>
      <c r="AK15" s="19">
        <v>360</v>
      </c>
      <c r="AL15" s="39">
        <v>35</v>
      </c>
      <c r="AM15" s="19">
        <v>64</v>
      </c>
    </row>
    <row r="16" spans="1:39">
      <c r="A16" s="23"/>
      <c r="B16" s="27" t="s">
        <v>59</v>
      </c>
      <c r="C16" s="27" t="s">
        <v>64</v>
      </c>
      <c r="D16" s="27">
        <v>135</v>
      </c>
      <c r="E16" s="18">
        <f t="shared" si="3"/>
        <v>135</v>
      </c>
      <c r="F16" s="27">
        <v>36</v>
      </c>
      <c r="G16" s="73">
        <f t="shared" si="4"/>
        <v>38.287194777302531</v>
      </c>
      <c r="H16" s="73">
        <f t="shared" si="2"/>
        <v>38.287194777302531</v>
      </c>
      <c r="I16" s="27">
        <v>20</v>
      </c>
      <c r="J16" s="19">
        <f>J15</f>
        <v>0.94026214794251706</v>
      </c>
      <c r="L16" s="19"/>
      <c r="M16" s="19"/>
      <c r="N16" s="19">
        <v>2</v>
      </c>
      <c r="O16" s="19">
        <v>5</v>
      </c>
      <c r="P16" s="19"/>
      <c r="Q16" s="19"/>
      <c r="R16" s="19"/>
      <c r="S16" s="19"/>
      <c r="T16" s="19"/>
      <c r="U16" s="19"/>
      <c r="V16" s="19"/>
      <c r="W16" s="19"/>
      <c r="AA16" s="23"/>
      <c r="AB16" s="27" t="s">
        <v>59</v>
      </c>
      <c r="AC16" s="27" t="s">
        <v>64</v>
      </c>
      <c r="AD16" s="27">
        <v>135</v>
      </c>
      <c r="AE16" s="73">
        <v>38.287194777302531</v>
      </c>
      <c r="AF16" s="27">
        <v>20</v>
      </c>
      <c r="AH16" s="7"/>
      <c r="AI16" s="19" t="s">
        <v>106</v>
      </c>
      <c r="AJ16" s="19" t="s">
        <v>107</v>
      </c>
      <c r="AK16" s="19">
        <v>500</v>
      </c>
      <c r="AL16" s="36">
        <v>45</v>
      </c>
      <c r="AM16">
        <v>95</v>
      </c>
    </row>
    <row r="17" spans="1:39">
      <c r="A17" s="7">
        <v>2013</v>
      </c>
      <c r="B17" s="19" t="s">
        <v>50</v>
      </c>
      <c r="C17" s="19" t="s">
        <v>68</v>
      </c>
      <c r="D17" s="19">
        <v>170</v>
      </c>
      <c r="E17" s="31">
        <f t="shared" si="3"/>
        <v>170</v>
      </c>
      <c r="F17" s="19">
        <v>24</v>
      </c>
      <c r="G17" s="71">
        <f t="shared" si="4"/>
        <v>25.156316967509021</v>
      </c>
      <c r="H17" s="71">
        <f t="shared" si="2"/>
        <v>25.156316967509021</v>
      </c>
      <c r="I17" s="19">
        <v>22</v>
      </c>
      <c r="J17" s="19">
        <f>'BEV time series'!AE8/'BEV time series'!AE12</f>
        <v>0.95403472738070216</v>
      </c>
      <c r="K17" s="19"/>
      <c r="L17" s="19"/>
      <c r="M17" s="19"/>
      <c r="N17" s="19"/>
      <c r="O17" s="19">
        <v>2</v>
      </c>
      <c r="P17" s="19">
        <v>2</v>
      </c>
      <c r="Q17" s="19"/>
      <c r="R17" s="19"/>
      <c r="S17" s="19"/>
      <c r="T17" s="19"/>
      <c r="U17" s="19"/>
      <c r="V17" s="19"/>
      <c r="W17" s="19"/>
      <c r="AA17" s="7">
        <v>2013</v>
      </c>
      <c r="AB17" s="19" t="s">
        <v>50</v>
      </c>
      <c r="AC17" s="19" t="s">
        <v>68</v>
      </c>
      <c r="AD17" s="19">
        <v>170</v>
      </c>
      <c r="AE17" s="71">
        <v>25.156316967509021</v>
      </c>
      <c r="AF17" s="19">
        <v>22</v>
      </c>
      <c r="AH17" s="7"/>
      <c r="AI17" s="19" t="s">
        <v>66</v>
      </c>
      <c r="AJ17" s="19" t="s">
        <v>108</v>
      </c>
      <c r="AK17" s="19">
        <v>160</v>
      </c>
      <c r="AL17">
        <v>35</v>
      </c>
      <c r="AM17">
        <v>19</v>
      </c>
    </row>
    <row r="18" spans="1:39">
      <c r="A18" s="7"/>
      <c r="B18" s="19" t="s">
        <v>65</v>
      </c>
      <c r="C18" s="19" t="s">
        <v>69</v>
      </c>
      <c r="D18" s="19">
        <v>135</v>
      </c>
      <c r="E18" s="31">
        <f t="shared" si="3"/>
        <v>135</v>
      </c>
      <c r="F18" s="19">
        <v>39</v>
      </c>
      <c r="G18" s="71">
        <f t="shared" si="4"/>
        <v>40.879015072202158</v>
      </c>
      <c r="H18" s="71">
        <f t="shared" si="2"/>
        <v>40.879015072202158</v>
      </c>
      <c r="I18" s="19">
        <v>19</v>
      </c>
      <c r="J18" s="19">
        <f>J17</f>
        <v>0.95403472738070216</v>
      </c>
      <c r="K18" s="19"/>
      <c r="L18" s="19"/>
      <c r="M18" s="19"/>
      <c r="N18" s="19"/>
      <c r="O18" s="19">
        <v>6</v>
      </c>
      <c r="P18" s="19">
        <v>10</v>
      </c>
      <c r="Q18" s="19"/>
      <c r="R18" s="19"/>
      <c r="S18" s="19"/>
      <c r="T18" s="19"/>
      <c r="U18" s="19"/>
      <c r="V18" s="19"/>
      <c r="W18" s="19"/>
      <c r="AA18" s="7"/>
      <c r="AB18" s="19" t="s">
        <v>65</v>
      </c>
      <c r="AC18" s="19" t="s">
        <v>69</v>
      </c>
      <c r="AD18" s="19">
        <v>135</v>
      </c>
      <c r="AE18" s="71">
        <v>40.879015072202158</v>
      </c>
      <c r="AF18" s="19">
        <v>19</v>
      </c>
      <c r="AH18" s="7"/>
      <c r="AI18" s="19" t="s">
        <v>66</v>
      </c>
      <c r="AJ18" s="19" t="s">
        <v>109</v>
      </c>
      <c r="AK18" s="19">
        <v>200</v>
      </c>
      <c r="AL18">
        <v>36</v>
      </c>
      <c r="AM18">
        <v>36</v>
      </c>
    </row>
    <row r="19" spans="1:39">
      <c r="A19" s="7"/>
      <c r="B19" s="19" t="s">
        <v>66</v>
      </c>
      <c r="C19" s="19" t="s">
        <v>70</v>
      </c>
      <c r="D19" s="19">
        <v>120</v>
      </c>
      <c r="E19" s="31">
        <f t="shared" si="3"/>
        <v>120</v>
      </c>
      <c r="F19" s="19">
        <v>30</v>
      </c>
      <c r="G19" s="71">
        <f t="shared" si="4"/>
        <v>31.445396209386274</v>
      </c>
      <c r="H19" s="71">
        <f t="shared" si="2"/>
        <v>31.445396209386274</v>
      </c>
      <c r="I19" s="19">
        <v>19</v>
      </c>
      <c r="J19" s="19">
        <f>J18</f>
        <v>0.95403472738070216</v>
      </c>
      <c r="K19" s="19"/>
      <c r="L19" s="19"/>
      <c r="M19" s="19"/>
      <c r="N19" s="19"/>
      <c r="O19" s="19">
        <v>7</v>
      </c>
      <c r="P19" s="19">
        <v>11</v>
      </c>
      <c r="Q19" s="19"/>
      <c r="R19" s="19"/>
      <c r="S19" s="19"/>
      <c r="T19" s="19"/>
      <c r="U19" s="19"/>
      <c r="V19" s="19"/>
      <c r="W19" s="19"/>
      <c r="AA19" s="7"/>
      <c r="AB19" s="19" t="s">
        <v>66</v>
      </c>
      <c r="AC19" s="19" t="s">
        <v>70</v>
      </c>
      <c r="AD19" s="19">
        <v>120</v>
      </c>
      <c r="AE19" s="71">
        <v>31.445396209386274</v>
      </c>
      <c r="AF19" s="19">
        <v>19</v>
      </c>
      <c r="AH19" s="7"/>
      <c r="AI19" s="19" t="s">
        <v>51</v>
      </c>
      <c r="AJ19" s="19" t="s">
        <v>55</v>
      </c>
      <c r="AK19" s="19">
        <v>380</v>
      </c>
      <c r="AL19">
        <v>38</v>
      </c>
      <c r="AM19" s="33">
        <v>60</v>
      </c>
    </row>
    <row r="20" spans="1:39">
      <c r="A20" s="37"/>
      <c r="B20" s="19" t="s">
        <v>141</v>
      </c>
      <c r="C20" s="19" t="s">
        <v>140</v>
      </c>
      <c r="D20" s="19">
        <v>140</v>
      </c>
      <c r="E20" s="31">
        <f t="shared" si="3"/>
        <v>140</v>
      </c>
      <c r="F20" s="19">
        <v>32</v>
      </c>
      <c r="G20" s="71">
        <f t="shared" si="4"/>
        <v>33.541755956678692</v>
      </c>
      <c r="H20" s="71">
        <f t="shared" si="2"/>
        <v>33.541755956678692</v>
      </c>
      <c r="I20" s="19">
        <v>24</v>
      </c>
      <c r="J20" s="19">
        <f>J19</f>
        <v>0.95403472738070216</v>
      </c>
      <c r="K20" s="19"/>
      <c r="L20" s="19"/>
      <c r="M20" s="19"/>
      <c r="N20" s="19"/>
      <c r="O20" s="19">
        <v>3</v>
      </c>
      <c r="P20" s="19">
        <v>6</v>
      </c>
      <c r="Q20" s="19"/>
      <c r="R20" s="19"/>
      <c r="S20" s="19"/>
      <c r="T20" s="19"/>
      <c r="U20" s="19"/>
      <c r="V20" s="19"/>
      <c r="W20" s="19"/>
      <c r="AA20" s="37"/>
      <c r="AB20" s="19" t="s">
        <v>141</v>
      </c>
      <c r="AC20" s="19" t="s">
        <v>140</v>
      </c>
      <c r="AD20" s="19">
        <v>140</v>
      </c>
      <c r="AE20" s="71">
        <v>33.541755956678692</v>
      </c>
      <c r="AF20" s="19">
        <v>24</v>
      </c>
      <c r="AH20" s="7"/>
      <c r="AI20" s="19" t="s">
        <v>84</v>
      </c>
      <c r="AJ20" s="19" t="s">
        <v>110</v>
      </c>
      <c r="AK20" s="19">
        <v>350</v>
      </c>
      <c r="AL20" s="33">
        <v>39</v>
      </c>
      <c r="AM20" s="33">
        <v>64</v>
      </c>
    </row>
    <row r="21" spans="1:39">
      <c r="A21" s="23"/>
      <c r="B21" s="27" t="s">
        <v>67</v>
      </c>
      <c r="C21" s="27" t="s">
        <v>71</v>
      </c>
      <c r="D21" s="27">
        <v>135</v>
      </c>
      <c r="E21" s="18">
        <f t="shared" si="3"/>
        <v>135</v>
      </c>
      <c r="F21" s="27">
        <v>26</v>
      </c>
      <c r="G21" s="73">
        <f t="shared" si="4"/>
        <v>27.252676714801439</v>
      </c>
      <c r="H21" s="73">
        <f t="shared" si="2"/>
        <v>27.252676714801439</v>
      </c>
      <c r="I21" s="27">
        <v>19</v>
      </c>
      <c r="J21" s="19">
        <f>J20</f>
        <v>0.95403472738070216</v>
      </c>
      <c r="K21" s="19"/>
      <c r="L21" s="19"/>
      <c r="M21" s="19"/>
      <c r="N21" s="19"/>
      <c r="O21" s="19">
        <v>4</v>
      </c>
      <c r="P21" s="19">
        <v>9</v>
      </c>
      <c r="Q21" s="19"/>
      <c r="R21" s="19"/>
      <c r="S21" s="19"/>
      <c r="T21" s="19"/>
      <c r="U21" s="19"/>
      <c r="V21" s="19"/>
      <c r="W21" s="19"/>
      <c r="AA21" s="23"/>
      <c r="AB21" s="27" t="s">
        <v>67</v>
      </c>
      <c r="AC21" s="27" t="s">
        <v>71</v>
      </c>
      <c r="AD21" s="27">
        <v>135</v>
      </c>
      <c r="AE21" s="73">
        <v>27.252676714801439</v>
      </c>
      <c r="AF21" s="27">
        <v>19</v>
      </c>
      <c r="AH21" s="7"/>
      <c r="AI21" s="19" t="s">
        <v>72</v>
      </c>
      <c r="AJ21" s="19" t="s">
        <v>111</v>
      </c>
      <c r="AK21" s="33">
        <v>385</v>
      </c>
      <c r="AL21">
        <v>30</v>
      </c>
      <c r="AM21">
        <v>65</v>
      </c>
    </row>
    <row r="22" spans="1:39">
      <c r="A22" s="7">
        <v>2014</v>
      </c>
      <c r="B22" s="19" t="s">
        <v>66</v>
      </c>
      <c r="C22" s="19" t="s">
        <v>73</v>
      </c>
      <c r="D22" s="19">
        <v>135</v>
      </c>
      <c r="E22" s="31">
        <f t="shared" si="3"/>
        <v>135</v>
      </c>
      <c r="F22" s="19">
        <v>39</v>
      </c>
      <c r="G22" s="71">
        <f t="shared" si="4"/>
        <v>40.226466250063353</v>
      </c>
      <c r="H22" s="71">
        <f t="shared" si="2"/>
        <v>40.226466250063353</v>
      </c>
      <c r="I22" s="19">
        <v>24</v>
      </c>
      <c r="J22" s="19">
        <f>'BEV time series'!AE9/'BEV time series'!AE12</f>
        <v>0.96951096219988198</v>
      </c>
      <c r="K22" s="19"/>
      <c r="L22" s="19"/>
      <c r="M22" s="19"/>
      <c r="N22" s="19"/>
      <c r="O22" s="19"/>
      <c r="P22" s="19">
        <v>8</v>
      </c>
      <c r="Q22" s="52">
        <v>8</v>
      </c>
      <c r="R22" s="19"/>
      <c r="S22" s="19"/>
      <c r="T22" s="19"/>
      <c r="U22" s="19"/>
      <c r="V22" s="19"/>
      <c r="W22" s="19"/>
      <c r="AA22" s="7">
        <v>2014</v>
      </c>
      <c r="AB22" s="19" t="s">
        <v>66</v>
      </c>
      <c r="AC22" s="19" t="s">
        <v>73</v>
      </c>
      <c r="AD22" s="19">
        <v>135</v>
      </c>
      <c r="AE22" s="71">
        <v>40.226466250063353</v>
      </c>
      <c r="AF22" s="19">
        <v>24</v>
      </c>
      <c r="AH22" s="7"/>
      <c r="AI22" s="33" t="s">
        <v>45</v>
      </c>
      <c r="AJ22" s="19" t="s">
        <v>112</v>
      </c>
      <c r="AK22" s="19">
        <v>128</v>
      </c>
      <c r="AL22">
        <v>24</v>
      </c>
      <c r="AM22">
        <v>16</v>
      </c>
    </row>
    <row r="23" spans="1:39">
      <c r="A23" s="7"/>
      <c r="B23" s="19" t="s">
        <v>65</v>
      </c>
      <c r="C23" s="19" t="s">
        <v>69</v>
      </c>
      <c r="D23" s="19">
        <v>145</v>
      </c>
      <c r="E23" s="31">
        <f t="shared" si="3"/>
        <v>145</v>
      </c>
      <c r="F23" s="19">
        <v>41</v>
      </c>
      <c r="G23" s="71">
        <f t="shared" si="4"/>
        <v>42.289361955194806</v>
      </c>
      <c r="H23" s="71">
        <f t="shared" si="2"/>
        <v>42.289361955194806</v>
      </c>
      <c r="I23" s="19">
        <v>22</v>
      </c>
      <c r="J23" s="19">
        <f>J22</f>
        <v>0.96951096219988198</v>
      </c>
      <c r="K23" s="19"/>
      <c r="L23" s="19"/>
      <c r="M23" s="19"/>
      <c r="N23" s="19"/>
      <c r="O23" s="19"/>
      <c r="P23" s="19">
        <v>5</v>
      </c>
      <c r="Q23" s="53">
        <v>5</v>
      </c>
      <c r="R23" s="19"/>
      <c r="S23" s="19"/>
      <c r="T23" s="19"/>
      <c r="U23" s="19"/>
      <c r="V23" s="19"/>
      <c r="W23" s="19"/>
      <c r="AA23" s="7"/>
      <c r="AB23" s="19" t="s">
        <v>65</v>
      </c>
      <c r="AC23" s="19" t="s">
        <v>69</v>
      </c>
      <c r="AD23" s="19">
        <v>145</v>
      </c>
      <c r="AE23" s="71">
        <v>41</v>
      </c>
      <c r="AF23" s="19">
        <v>22</v>
      </c>
      <c r="AH23" s="7"/>
      <c r="AI23" s="33" t="s">
        <v>113</v>
      </c>
      <c r="AJ23" s="19" t="s">
        <v>114</v>
      </c>
      <c r="AK23" s="19">
        <v>385</v>
      </c>
      <c r="AL23">
        <v>37</v>
      </c>
      <c r="AM23">
        <v>60</v>
      </c>
    </row>
    <row r="24" spans="1:39">
      <c r="A24" s="7"/>
      <c r="B24" s="19" t="s">
        <v>99</v>
      </c>
      <c r="C24" s="19" t="s">
        <v>178</v>
      </c>
      <c r="D24" s="19">
        <v>180</v>
      </c>
      <c r="E24" s="31">
        <f t="shared" si="3"/>
        <v>180</v>
      </c>
      <c r="F24" s="19">
        <v>47</v>
      </c>
      <c r="G24" s="71">
        <f t="shared" si="4"/>
        <v>48.478049070589172</v>
      </c>
      <c r="H24" s="71">
        <f t="shared" si="2"/>
        <v>48.478049070589172</v>
      </c>
      <c r="I24" s="19">
        <v>42</v>
      </c>
      <c r="J24" s="19">
        <f>J23</f>
        <v>0.96951096219988198</v>
      </c>
      <c r="K24" s="19"/>
      <c r="L24" s="19"/>
      <c r="M24" s="19"/>
      <c r="N24" s="19"/>
      <c r="O24" s="19"/>
      <c r="P24" s="19">
        <v>1</v>
      </c>
      <c r="Q24" s="53">
        <v>2</v>
      </c>
      <c r="R24" s="19"/>
      <c r="S24" s="19"/>
      <c r="T24" s="19"/>
      <c r="U24" s="19"/>
      <c r="V24" s="19"/>
      <c r="W24" s="19"/>
      <c r="AA24" s="7"/>
      <c r="AB24" s="19" t="s">
        <v>99</v>
      </c>
      <c r="AC24" s="19" t="s">
        <v>178</v>
      </c>
      <c r="AD24" s="19">
        <v>180</v>
      </c>
      <c r="AE24" s="71">
        <v>47</v>
      </c>
      <c r="AF24" s="19">
        <v>42</v>
      </c>
      <c r="AH24" s="7"/>
      <c r="AI24" s="33" t="s">
        <v>65</v>
      </c>
      <c r="AJ24" s="19" t="s">
        <v>115</v>
      </c>
      <c r="AK24" s="19">
        <v>200</v>
      </c>
      <c r="AL24">
        <v>42</v>
      </c>
      <c r="AM24">
        <v>33</v>
      </c>
    </row>
    <row r="25" spans="1:39">
      <c r="A25" s="7"/>
      <c r="B25" s="19" t="s">
        <v>43</v>
      </c>
      <c r="C25" s="19" t="s">
        <v>74</v>
      </c>
      <c r="D25" s="19">
        <v>140</v>
      </c>
      <c r="E25" s="31">
        <f t="shared" si="3"/>
        <v>140</v>
      </c>
      <c r="F25" s="19">
        <v>43</v>
      </c>
      <c r="G25" s="71">
        <f>H25</f>
        <v>44.352257660326259</v>
      </c>
      <c r="H25" s="71">
        <f>F25/J25</f>
        <v>44.352257660326259</v>
      </c>
      <c r="I25" s="19">
        <v>28</v>
      </c>
      <c r="J25" s="19">
        <f>J24</f>
        <v>0.96951096219988198</v>
      </c>
      <c r="K25" s="19"/>
      <c r="L25" s="19"/>
      <c r="M25" s="19"/>
      <c r="N25" s="19"/>
      <c r="O25" s="19"/>
      <c r="P25" s="19">
        <v>7</v>
      </c>
      <c r="Q25" s="53">
        <v>7</v>
      </c>
      <c r="R25" s="19"/>
      <c r="S25" s="19"/>
      <c r="T25" s="19"/>
      <c r="U25" s="19"/>
      <c r="V25" s="19"/>
      <c r="W25" s="19"/>
      <c r="AA25" s="7"/>
      <c r="AB25" s="19" t="s">
        <v>43</v>
      </c>
      <c r="AC25" s="19" t="s">
        <v>74</v>
      </c>
      <c r="AD25" s="19">
        <v>140</v>
      </c>
      <c r="AE25" s="71">
        <v>44.352257660326259</v>
      </c>
      <c r="AF25" s="19">
        <v>28</v>
      </c>
      <c r="AH25" s="7"/>
      <c r="AI25" s="33" t="s">
        <v>116</v>
      </c>
      <c r="AJ25" s="19" t="s">
        <v>117</v>
      </c>
      <c r="AK25" s="38">
        <v>355</v>
      </c>
      <c r="AL25" s="15">
        <v>68</v>
      </c>
      <c r="AM25">
        <v>70</v>
      </c>
    </row>
    <row r="26" spans="1:39">
      <c r="A26" s="7"/>
      <c r="B26" s="19" t="s">
        <v>72</v>
      </c>
      <c r="C26" s="19" t="s">
        <v>75</v>
      </c>
      <c r="D26" s="19">
        <v>160</v>
      </c>
      <c r="E26" s="31">
        <f t="shared" si="3"/>
        <v>160</v>
      </c>
      <c r="F26" s="19">
        <v>31</v>
      </c>
      <c r="G26" s="71">
        <f>H26</f>
        <v>31.974883429537538</v>
      </c>
      <c r="H26" s="71">
        <f>F26/J26</f>
        <v>31.974883429537538</v>
      </c>
      <c r="I26" s="19">
        <v>27</v>
      </c>
      <c r="J26" s="19">
        <f>J25</f>
        <v>0.96951096219988198</v>
      </c>
      <c r="K26" s="19"/>
      <c r="L26" s="19"/>
      <c r="M26" s="19"/>
      <c r="N26" s="19"/>
      <c r="O26" s="19"/>
      <c r="P26" s="19">
        <v>4</v>
      </c>
      <c r="Q26" s="53">
        <v>4</v>
      </c>
      <c r="R26" s="19"/>
      <c r="S26" s="19"/>
      <c r="T26" s="19"/>
      <c r="U26" s="19"/>
      <c r="V26" s="19"/>
      <c r="W26" s="19"/>
      <c r="AA26" s="7"/>
      <c r="AB26" s="19" t="s">
        <v>72</v>
      </c>
      <c r="AC26" s="19" t="s">
        <v>75</v>
      </c>
      <c r="AD26" s="19">
        <v>160</v>
      </c>
      <c r="AE26" s="71">
        <v>31.974883429537538</v>
      </c>
      <c r="AF26" s="19">
        <v>27</v>
      </c>
      <c r="AH26" s="23"/>
      <c r="AI26" s="27" t="s">
        <v>104</v>
      </c>
      <c r="AJ26" s="27" t="s">
        <v>105</v>
      </c>
      <c r="AK26" s="70">
        <v>480</v>
      </c>
      <c r="AL26" s="17">
        <v>55</v>
      </c>
      <c r="AM26" s="27">
        <v>90</v>
      </c>
    </row>
    <row r="27" spans="1:39">
      <c r="A27" s="23"/>
      <c r="B27" s="27" t="s">
        <v>51</v>
      </c>
      <c r="C27" s="27" t="s">
        <v>76</v>
      </c>
      <c r="D27" s="27">
        <v>170</v>
      </c>
      <c r="E27" s="18">
        <f t="shared" si="3"/>
        <v>170</v>
      </c>
      <c r="F27" s="27">
        <v>26</v>
      </c>
      <c r="G27" s="73">
        <f>H27</f>
        <v>26.817644166708902</v>
      </c>
      <c r="H27" s="73">
        <f>F27/J27</f>
        <v>26.817644166708902</v>
      </c>
      <c r="I27" s="27">
        <v>24</v>
      </c>
      <c r="J27" s="19">
        <f>J26</f>
        <v>0.96951096219988198</v>
      </c>
      <c r="K27" s="19"/>
      <c r="L27" s="19"/>
      <c r="M27" s="19"/>
      <c r="N27" s="19"/>
      <c r="O27" s="19"/>
      <c r="P27" s="19">
        <v>3</v>
      </c>
      <c r="Q27" s="53">
        <v>3</v>
      </c>
      <c r="R27" s="19"/>
      <c r="S27" s="19"/>
      <c r="T27" s="19"/>
      <c r="U27" s="19"/>
      <c r="V27" s="19"/>
      <c r="W27" s="19"/>
      <c r="AA27" s="23"/>
      <c r="AB27" s="27" t="s">
        <v>51</v>
      </c>
      <c r="AC27" s="27" t="s">
        <v>76</v>
      </c>
      <c r="AD27" s="27">
        <v>170</v>
      </c>
      <c r="AE27" s="73">
        <v>26.817644166708902</v>
      </c>
      <c r="AF27" s="27">
        <v>24</v>
      </c>
      <c r="AH27" s="7">
        <v>2019</v>
      </c>
      <c r="AI27" s="19" t="s">
        <v>118</v>
      </c>
      <c r="AJ27" s="19" t="s">
        <v>119</v>
      </c>
      <c r="AK27" s="38">
        <v>450</v>
      </c>
      <c r="AL27" s="74">
        <v>160</v>
      </c>
      <c r="AM27" s="19">
        <v>90</v>
      </c>
    </row>
    <row r="28" spans="1:39">
      <c r="A28" s="7">
        <v>2015</v>
      </c>
      <c r="B28" s="19" t="s">
        <v>56</v>
      </c>
      <c r="C28" s="19" t="s">
        <v>77</v>
      </c>
      <c r="D28" s="38">
        <v>420</v>
      </c>
      <c r="E28" s="31"/>
      <c r="F28" s="38">
        <v>88</v>
      </c>
      <c r="G28" s="74">
        <f>H28</f>
        <v>90.659799999999976</v>
      </c>
      <c r="H28" s="74">
        <f>F28/J28</f>
        <v>90.659799999999976</v>
      </c>
      <c r="I28" s="19">
        <v>75</v>
      </c>
      <c r="J28" s="19">
        <f>'BEV time series'!AE10/'BEV time series'!AE12</f>
        <v>0.97066174864714039</v>
      </c>
      <c r="K28" s="19"/>
      <c r="L28" s="19"/>
      <c r="M28" s="19"/>
      <c r="N28" s="19"/>
      <c r="O28" s="19"/>
      <c r="P28" s="19"/>
      <c r="Q28" s="55"/>
      <c r="R28" s="52"/>
      <c r="S28" s="19"/>
      <c r="T28" s="19"/>
      <c r="U28" s="19"/>
      <c r="V28" s="19"/>
      <c r="W28" s="19"/>
      <c r="AA28" s="7">
        <v>2015</v>
      </c>
      <c r="AB28" s="19" t="s">
        <v>56</v>
      </c>
      <c r="AC28" s="19" t="s">
        <v>77</v>
      </c>
      <c r="AD28" s="38">
        <v>420</v>
      </c>
      <c r="AE28" s="74">
        <v>90.659799999999976</v>
      </c>
      <c r="AF28" s="19">
        <v>75</v>
      </c>
      <c r="AH28" s="7"/>
      <c r="AI28" s="19" t="s">
        <v>120</v>
      </c>
      <c r="AJ28" s="19" t="s">
        <v>121</v>
      </c>
      <c r="AK28" s="14">
        <v>400</v>
      </c>
      <c r="AL28" s="15">
        <v>55</v>
      </c>
      <c r="AM28" s="33">
        <v>70</v>
      </c>
    </row>
    <row r="29" spans="1:39">
      <c r="A29" s="7"/>
      <c r="B29" s="19" t="s">
        <v>95</v>
      </c>
      <c r="C29" s="19" t="s">
        <v>179</v>
      </c>
      <c r="D29" s="19">
        <v>145</v>
      </c>
      <c r="E29" s="31">
        <f t="shared" ref="E29:E45" si="5">D29</f>
        <v>145</v>
      </c>
      <c r="F29" s="19"/>
      <c r="G29" s="71"/>
      <c r="H29" s="71"/>
      <c r="I29" s="19">
        <v>24</v>
      </c>
      <c r="J29" s="19">
        <f>J28</f>
        <v>0.97066174864714039</v>
      </c>
      <c r="K29" s="19"/>
      <c r="L29" s="19"/>
      <c r="M29" s="19"/>
      <c r="N29" s="19"/>
      <c r="O29" s="19"/>
      <c r="P29" s="19"/>
      <c r="Q29" s="55">
        <v>6</v>
      </c>
      <c r="R29" s="53">
        <v>5</v>
      </c>
      <c r="S29" s="19"/>
      <c r="T29" s="19"/>
      <c r="U29" s="19"/>
      <c r="V29" s="19"/>
      <c r="W29" s="19"/>
      <c r="AA29" s="7"/>
      <c r="AB29" s="19" t="s">
        <v>95</v>
      </c>
      <c r="AC29" s="19" t="s">
        <v>179</v>
      </c>
      <c r="AD29" s="19">
        <v>145</v>
      </c>
      <c r="AE29" s="71"/>
      <c r="AF29" s="19">
        <v>24</v>
      </c>
      <c r="AH29" s="31"/>
      <c r="AI29" s="19" t="s">
        <v>95</v>
      </c>
      <c r="AJ29" s="19" t="s">
        <v>122</v>
      </c>
      <c r="AK29" s="31">
        <v>500</v>
      </c>
      <c r="AL29" s="31">
        <v>38</v>
      </c>
      <c r="AM29" s="31">
        <v>100</v>
      </c>
    </row>
    <row r="30" spans="1:39">
      <c r="A30" s="7"/>
      <c r="B30" t="s">
        <v>51</v>
      </c>
      <c r="C30" s="19" t="s">
        <v>78</v>
      </c>
      <c r="D30" s="19">
        <v>135</v>
      </c>
      <c r="E30" s="31">
        <f t="shared" si="5"/>
        <v>135</v>
      </c>
      <c r="F30" s="19">
        <v>29</v>
      </c>
      <c r="G30" s="71">
        <f t="shared" ref="G30:G44" si="6">H30</f>
        <v>29.876524999999994</v>
      </c>
      <c r="H30" s="71">
        <f t="shared" ref="H30:H44" si="7">F30/J30</f>
        <v>29.876524999999994</v>
      </c>
      <c r="I30" s="19">
        <v>24</v>
      </c>
      <c r="J30" s="19">
        <f>J29</f>
        <v>0.97066174864714039</v>
      </c>
      <c r="K30" s="19"/>
      <c r="L30" s="19"/>
      <c r="M30" s="19"/>
      <c r="N30" s="19"/>
      <c r="O30" s="19"/>
      <c r="P30" s="19"/>
      <c r="Q30" s="55">
        <v>9</v>
      </c>
      <c r="R30" s="53">
        <v>6</v>
      </c>
      <c r="S30" s="19"/>
      <c r="T30" s="19"/>
      <c r="U30" s="19"/>
      <c r="V30" s="19"/>
      <c r="W30" s="19"/>
      <c r="AA30" s="7"/>
      <c r="AB30" t="s">
        <v>51</v>
      </c>
      <c r="AC30" s="19" t="s">
        <v>78</v>
      </c>
      <c r="AD30" s="19">
        <v>135</v>
      </c>
      <c r="AE30" s="71">
        <v>29.876524999999994</v>
      </c>
      <c r="AF30" s="19">
        <v>24</v>
      </c>
      <c r="AH30" s="31"/>
      <c r="AI30" s="19" t="s">
        <v>96</v>
      </c>
      <c r="AJ30" s="19" t="s">
        <v>133</v>
      </c>
      <c r="AK30" s="38">
        <v>350</v>
      </c>
      <c r="AL30" s="74">
        <v>255</v>
      </c>
      <c r="AM30" s="40">
        <v>70</v>
      </c>
    </row>
    <row r="31" spans="1:39">
      <c r="A31" s="23"/>
      <c r="B31" s="27" t="s">
        <v>51</v>
      </c>
      <c r="C31" s="27" t="s">
        <v>79</v>
      </c>
      <c r="D31" s="27">
        <v>250</v>
      </c>
      <c r="E31" s="18">
        <f t="shared" si="5"/>
        <v>250</v>
      </c>
      <c r="F31" s="27">
        <v>34</v>
      </c>
      <c r="G31" s="73">
        <f t="shared" si="6"/>
        <v>35.027649999999994</v>
      </c>
      <c r="H31" s="73">
        <f t="shared" si="7"/>
        <v>35.027649999999994</v>
      </c>
      <c r="I31" s="27">
        <v>30</v>
      </c>
      <c r="J31" s="19">
        <f>J30</f>
        <v>0.97066174864714039</v>
      </c>
      <c r="K31" s="19"/>
      <c r="L31" s="19"/>
      <c r="M31" s="19"/>
      <c r="N31" s="19"/>
      <c r="O31" s="19"/>
      <c r="P31" s="19"/>
      <c r="Q31" s="56">
        <v>1</v>
      </c>
      <c r="R31" s="53">
        <v>3</v>
      </c>
      <c r="S31" s="19"/>
      <c r="T31" s="19"/>
      <c r="U31" s="19"/>
      <c r="V31" s="19"/>
      <c r="W31" s="19"/>
      <c r="AA31" s="23"/>
      <c r="AB31" s="27" t="s">
        <v>51</v>
      </c>
      <c r="AC31" s="27" t="s">
        <v>79</v>
      </c>
      <c r="AD31" s="27">
        <v>250</v>
      </c>
      <c r="AE31" s="73">
        <v>35.027649999999994</v>
      </c>
      <c r="AF31" s="27">
        <v>30</v>
      </c>
      <c r="AI31" s="19" t="s">
        <v>57</v>
      </c>
      <c r="AJ31" s="19" t="s">
        <v>62</v>
      </c>
      <c r="AK31">
        <v>185</v>
      </c>
      <c r="AL31">
        <v>30</v>
      </c>
      <c r="AM31" s="19">
        <v>30</v>
      </c>
    </row>
    <row r="32" spans="1:39">
      <c r="A32" s="37">
        <v>2016</v>
      </c>
      <c r="B32" s="19" t="s">
        <v>65</v>
      </c>
      <c r="C32" s="19" t="s">
        <v>83</v>
      </c>
      <c r="D32" s="19">
        <v>185</v>
      </c>
      <c r="E32" s="31">
        <f t="shared" si="5"/>
        <v>185</v>
      </c>
      <c r="F32" s="19">
        <v>39</v>
      </c>
      <c r="G32" s="71">
        <f t="shared" si="6"/>
        <v>39.584999999999994</v>
      </c>
      <c r="H32" s="71">
        <f t="shared" si="7"/>
        <v>39.584999999999994</v>
      </c>
      <c r="I32" s="19">
        <v>30</v>
      </c>
      <c r="J32" s="19">
        <f>'BEV time series'!AE11/'BEV time series'!AE12</f>
        <v>0.98522167487684742</v>
      </c>
      <c r="K32" s="19"/>
      <c r="L32" s="19"/>
      <c r="M32" s="19"/>
      <c r="N32" s="19"/>
      <c r="O32" s="19"/>
      <c r="P32" s="19"/>
      <c r="Q32" s="19"/>
      <c r="R32" s="55">
        <v>4</v>
      </c>
      <c r="S32" s="52">
        <v>6</v>
      </c>
      <c r="T32" s="19"/>
      <c r="U32" s="19"/>
      <c r="V32" s="19"/>
      <c r="W32" s="19"/>
      <c r="AA32" s="37">
        <v>2016</v>
      </c>
      <c r="AB32" s="19" t="s">
        <v>65</v>
      </c>
      <c r="AC32" s="19" t="s">
        <v>83</v>
      </c>
      <c r="AD32" s="19">
        <v>185</v>
      </c>
      <c r="AE32" s="71">
        <v>39.584999999999994</v>
      </c>
      <c r="AF32" s="19">
        <v>30</v>
      </c>
      <c r="AI32" s="19" t="s">
        <v>84</v>
      </c>
      <c r="AJ32" s="19" t="s">
        <v>85</v>
      </c>
      <c r="AK32">
        <v>200</v>
      </c>
      <c r="AL32">
        <v>30</v>
      </c>
      <c r="AM32">
        <v>28</v>
      </c>
    </row>
    <row r="33" spans="1:39">
      <c r="A33" s="37"/>
      <c r="B33" s="31" t="s">
        <v>46</v>
      </c>
      <c r="C33" s="19" t="s">
        <v>80</v>
      </c>
      <c r="D33" s="19">
        <v>100</v>
      </c>
      <c r="E33" s="31">
        <f t="shared" si="5"/>
        <v>100</v>
      </c>
      <c r="F33" s="19">
        <v>31</v>
      </c>
      <c r="G33" s="71">
        <f t="shared" si="6"/>
        <v>31.464999999999996</v>
      </c>
      <c r="H33" s="71">
        <f t="shared" si="7"/>
        <v>31.464999999999996</v>
      </c>
      <c r="I33" s="19">
        <v>30</v>
      </c>
      <c r="J33" s="19">
        <f>J32</f>
        <v>0.98522167487684742</v>
      </c>
      <c r="K33" s="19"/>
      <c r="L33" s="19"/>
      <c r="M33" s="19"/>
      <c r="N33" s="19"/>
      <c r="O33" s="19"/>
      <c r="P33" s="19"/>
      <c r="Q33" s="19"/>
      <c r="R33" s="55">
        <v>9</v>
      </c>
      <c r="S33" s="53">
        <v>13</v>
      </c>
      <c r="T33" s="19"/>
      <c r="U33" s="19"/>
      <c r="V33" s="19"/>
      <c r="W33" s="19"/>
      <c r="AA33" s="37"/>
      <c r="AB33" s="31" t="s">
        <v>46</v>
      </c>
      <c r="AC33" s="19" t="s">
        <v>80</v>
      </c>
      <c r="AD33" s="19">
        <v>100</v>
      </c>
      <c r="AE33" s="71">
        <v>31.464999999999996</v>
      </c>
      <c r="AF33" s="19">
        <v>30</v>
      </c>
      <c r="AI33" s="19" t="s">
        <v>65</v>
      </c>
      <c r="AJ33" s="19" t="s">
        <v>123</v>
      </c>
      <c r="AK33" s="14">
        <v>600</v>
      </c>
      <c r="AL33" s="14">
        <v>55</v>
      </c>
      <c r="AM33" s="36">
        <v>130</v>
      </c>
    </row>
    <row r="34" spans="1:39">
      <c r="A34" s="7"/>
      <c r="B34" t="s">
        <v>138</v>
      </c>
      <c r="C34" s="19" t="s">
        <v>114</v>
      </c>
      <c r="D34" s="19">
        <v>385</v>
      </c>
      <c r="E34" s="31">
        <f t="shared" si="5"/>
        <v>385</v>
      </c>
      <c r="F34" s="19">
        <v>37</v>
      </c>
      <c r="G34" s="71">
        <f t="shared" si="6"/>
        <v>37.554999999999993</v>
      </c>
      <c r="H34" s="71">
        <f t="shared" si="7"/>
        <v>37.554999999999993</v>
      </c>
      <c r="I34" s="19">
        <v>60</v>
      </c>
      <c r="J34" s="19">
        <f>J33</f>
        <v>0.98522167487684742</v>
      </c>
      <c r="K34" s="19"/>
      <c r="L34" s="19"/>
      <c r="M34" s="19"/>
      <c r="N34" s="19"/>
      <c r="O34" s="19"/>
      <c r="P34" s="19"/>
      <c r="Q34" s="19"/>
      <c r="R34" s="55">
        <v>1</v>
      </c>
      <c r="S34" s="53">
        <v>1</v>
      </c>
      <c r="T34" s="19"/>
      <c r="U34" s="19"/>
      <c r="V34" s="19"/>
      <c r="W34" s="19"/>
      <c r="AA34" s="7"/>
      <c r="AB34" t="s">
        <v>138</v>
      </c>
      <c r="AC34" s="19" t="s">
        <v>114</v>
      </c>
      <c r="AD34" s="19">
        <v>385</v>
      </c>
      <c r="AE34" s="71">
        <v>37.554999999999993</v>
      </c>
      <c r="AF34" s="19">
        <v>60</v>
      </c>
      <c r="AI34" s="19" t="s">
        <v>173</v>
      </c>
      <c r="AJ34" s="19" t="s">
        <v>174</v>
      </c>
      <c r="AK34" s="14">
        <v>300</v>
      </c>
      <c r="AL34" s="14">
        <v>65</v>
      </c>
      <c r="AM34" s="36">
        <v>61</v>
      </c>
    </row>
    <row r="35" spans="1:39">
      <c r="A35" s="7"/>
      <c r="B35" t="s">
        <v>138</v>
      </c>
      <c r="C35" s="19" t="s">
        <v>171</v>
      </c>
      <c r="D35" s="19">
        <v>131</v>
      </c>
      <c r="E35" s="31">
        <f t="shared" si="5"/>
        <v>131</v>
      </c>
      <c r="F35" s="19">
        <v>27</v>
      </c>
      <c r="G35" s="71">
        <f t="shared" si="6"/>
        <v>27.404999999999998</v>
      </c>
      <c r="H35" s="71">
        <f t="shared" si="7"/>
        <v>27.404999999999998</v>
      </c>
      <c r="I35" s="19">
        <v>19</v>
      </c>
      <c r="J35" s="19">
        <f>J34</f>
        <v>0.98522167487684742</v>
      </c>
      <c r="K35" s="19"/>
      <c r="L35" s="19"/>
      <c r="M35" s="19"/>
      <c r="N35" s="19"/>
      <c r="O35" s="19"/>
      <c r="P35" s="19"/>
      <c r="Q35" s="19"/>
      <c r="R35" s="55">
        <v>7</v>
      </c>
      <c r="S35" s="53">
        <v>8</v>
      </c>
      <c r="T35" s="19"/>
      <c r="U35" s="19"/>
      <c r="V35" s="19"/>
      <c r="W35" s="19"/>
      <c r="AA35" s="7"/>
      <c r="AB35" t="s">
        <v>138</v>
      </c>
      <c r="AC35" s="19" t="s">
        <v>171</v>
      </c>
      <c r="AD35" s="19">
        <v>131</v>
      </c>
      <c r="AE35" s="71">
        <v>27.404999999999998</v>
      </c>
      <c r="AF35" s="19">
        <v>19</v>
      </c>
      <c r="AH35" s="31"/>
      <c r="AI35" s="19" t="s">
        <v>97</v>
      </c>
      <c r="AJ35" s="19" t="s">
        <v>146</v>
      </c>
      <c r="AK35" s="38">
        <v>645</v>
      </c>
      <c r="AL35" s="38">
        <v>55</v>
      </c>
      <c r="AM35" s="19">
        <v>130</v>
      </c>
    </row>
    <row r="36" spans="1:39">
      <c r="A36" s="37"/>
      <c r="B36" s="19" t="s">
        <v>43</v>
      </c>
      <c r="C36" s="19" t="s">
        <v>81</v>
      </c>
      <c r="D36" s="19">
        <v>110</v>
      </c>
      <c r="E36" s="31">
        <f t="shared" si="5"/>
        <v>110</v>
      </c>
      <c r="F36" s="19">
        <v>24</v>
      </c>
      <c r="G36" s="71">
        <f t="shared" si="6"/>
        <v>24.359999999999996</v>
      </c>
      <c r="H36" s="71">
        <f t="shared" si="7"/>
        <v>24.359999999999996</v>
      </c>
      <c r="I36" s="19">
        <v>18</v>
      </c>
      <c r="J36" s="19">
        <f>J35</f>
        <v>0.98522167487684742</v>
      </c>
      <c r="K36" s="19"/>
      <c r="L36" s="19"/>
      <c r="M36" s="19"/>
      <c r="N36" s="19"/>
      <c r="O36" s="19"/>
      <c r="P36" s="19"/>
      <c r="Q36" s="19"/>
      <c r="R36" s="56">
        <v>8</v>
      </c>
      <c r="S36" s="53">
        <v>10</v>
      </c>
      <c r="T36" s="19"/>
      <c r="U36" s="19"/>
      <c r="V36" s="19"/>
      <c r="W36" s="19"/>
      <c r="AA36" s="37"/>
      <c r="AB36" s="19" t="s">
        <v>43</v>
      </c>
      <c r="AC36" s="19" t="s">
        <v>81</v>
      </c>
      <c r="AD36" s="19">
        <v>110</v>
      </c>
      <c r="AE36" s="71">
        <v>24.359999999999996</v>
      </c>
      <c r="AF36" s="19">
        <v>18</v>
      </c>
      <c r="AI36" s="33" t="s">
        <v>147</v>
      </c>
      <c r="AJ36" s="19" t="s">
        <v>124</v>
      </c>
      <c r="AK36" s="19">
        <v>350</v>
      </c>
      <c r="AL36" s="19">
        <v>27</v>
      </c>
      <c r="AM36" s="19">
        <v>50</v>
      </c>
    </row>
    <row r="37" spans="1:39">
      <c r="A37" s="23"/>
      <c r="B37" s="27" t="s">
        <v>50</v>
      </c>
      <c r="C37" s="27" t="s">
        <v>68</v>
      </c>
      <c r="D37" s="27">
        <v>300</v>
      </c>
      <c r="E37" s="18">
        <f t="shared" si="5"/>
        <v>300</v>
      </c>
      <c r="F37" s="27">
        <v>35</v>
      </c>
      <c r="G37" s="73">
        <f t="shared" si="6"/>
        <v>35.524999999999999</v>
      </c>
      <c r="H37" s="73">
        <f t="shared" si="7"/>
        <v>35.524999999999999</v>
      </c>
      <c r="I37" s="27">
        <v>41</v>
      </c>
      <c r="J37" s="19">
        <f>J36</f>
        <v>0.98522167487684742</v>
      </c>
      <c r="K37" s="19"/>
      <c r="L37" s="19"/>
      <c r="M37" s="19" t="s">
        <v>139</v>
      </c>
      <c r="N37" s="19"/>
      <c r="O37" s="19"/>
      <c r="P37" s="19"/>
      <c r="Q37" s="19"/>
      <c r="R37" s="56">
        <v>2</v>
      </c>
      <c r="S37" s="53">
        <v>3</v>
      </c>
      <c r="T37" s="50"/>
      <c r="U37" s="19"/>
      <c r="V37" s="19"/>
      <c r="W37" s="19"/>
      <c r="AA37" s="23"/>
      <c r="AB37" s="27" t="s">
        <v>50</v>
      </c>
      <c r="AC37" s="27" t="s">
        <v>68</v>
      </c>
      <c r="AD37" s="27">
        <v>300</v>
      </c>
      <c r="AE37" s="73">
        <v>35.524999999999999</v>
      </c>
      <c r="AF37" s="27">
        <v>41</v>
      </c>
      <c r="AH37" s="31"/>
      <c r="AI37" s="19" t="s">
        <v>131</v>
      </c>
      <c r="AJ37" s="19" t="s">
        <v>132</v>
      </c>
      <c r="AK37" s="31">
        <v>300</v>
      </c>
      <c r="AL37" s="31">
        <v>32</v>
      </c>
      <c r="AM37" s="40">
        <v>41</v>
      </c>
    </row>
    <row r="38" spans="1:39">
      <c r="A38" s="37">
        <v>2017</v>
      </c>
      <c r="B38" s="19" t="s">
        <v>84</v>
      </c>
      <c r="C38" s="19" t="s">
        <v>85</v>
      </c>
      <c r="D38" s="19">
        <v>200</v>
      </c>
      <c r="E38" s="31">
        <f t="shared" si="5"/>
        <v>200</v>
      </c>
      <c r="F38" s="19">
        <v>30</v>
      </c>
      <c r="G38" s="71">
        <f t="shared" si="6"/>
        <v>30</v>
      </c>
      <c r="H38" s="71">
        <f t="shared" si="7"/>
        <v>30</v>
      </c>
      <c r="I38" s="19">
        <v>28</v>
      </c>
      <c r="J38" s="19">
        <f>'BEV time series'!AE12/'BEV time series'!AE12</f>
        <v>1</v>
      </c>
      <c r="K38" s="19"/>
      <c r="L38" s="19"/>
      <c r="M38" s="19"/>
      <c r="N38" s="19"/>
      <c r="O38" s="19"/>
      <c r="P38" s="19"/>
      <c r="Q38" s="19"/>
      <c r="R38" s="19"/>
      <c r="S38" s="55">
        <v>4</v>
      </c>
      <c r="T38" s="58">
        <v>10</v>
      </c>
      <c r="U38" s="19"/>
      <c r="V38" s="19"/>
      <c r="W38" s="19"/>
      <c r="AA38" s="37">
        <v>2017</v>
      </c>
      <c r="AB38" s="19" t="s">
        <v>84</v>
      </c>
      <c r="AC38" s="19" t="s">
        <v>85</v>
      </c>
      <c r="AD38" s="19">
        <v>200</v>
      </c>
      <c r="AE38" s="71">
        <v>30</v>
      </c>
      <c r="AF38" s="19">
        <v>28</v>
      </c>
      <c r="AH38" s="18"/>
      <c r="AI38" s="27" t="s">
        <v>99</v>
      </c>
      <c r="AJ38" s="27" t="s">
        <v>5</v>
      </c>
      <c r="AK38" s="30">
        <v>500</v>
      </c>
      <c r="AL38" s="30">
        <v>30</v>
      </c>
      <c r="AM38" s="18"/>
    </row>
    <row r="39" spans="1:39">
      <c r="A39" s="7"/>
      <c r="B39" s="19" t="s">
        <v>67</v>
      </c>
      <c r="C39" s="19" t="s">
        <v>86</v>
      </c>
      <c r="D39" s="19">
        <v>380</v>
      </c>
      <c r="E39" s="31">
        <f t="shared" si="5"/>
        <v>380</v>
      </c>
      <c r="F39" s="19">
        <v>37</v>
      </c>
      <c r="G39" s="71">
        <f t="shared" si="6"/>
        <v>37</v>
      </c>
      <c r="H39" s="71">
        <f t="shared" si="7"/>
        <v>37</v>
      </c>
      <c r="I39" s="19">
        <v>60</v>
      </c>
      <c r="J39" s="19">
        <f t="shared" ref="J39:J44" si="8">J38</f>
        <v>1</v>
      </c>
      <c r="K39" s="19"/>
      <c r="L39" s="19"/>
      <c r="M39" s="19"/>
      <c r="N39" s="19"/>
      <c r="O39" s="19"/>
      <c r="P39" s="19"/>
      <c r="Q39" s="19"/>
      <c r="R39" s="19"/>
      <c r="S39" s="55">
        <v>2</v>
      </c>
      <c r="T39" s="59">
        <v>5</v>
      </c>
      <c r="U39" s="19"/>
      <c r="V39" s="29"/>
      <c r="W39" s="19"/>
      <c r="AA39" s="7"/>
      <c r="AB39" s="19" t="s">
        <v>67</v>
      </c>
      <c r="AC39" s="19" t="s">
        <v>86</v>
      </c>
      <c r="AD39" s="19">
        <v>380</v>
      </c>
      <c r="AE39" s="71">
        <v>37</v>
      </c>
      <c r="AF39" s="19">
        <v>60</v>
      </c>
      <c r="AH39" s="7" t="s">
        <v>180</v>
      </c>
      <c r="AI39" s="19" t="s">
        <v>56</v>
      </c>
      <c r="AJ39" s="19" t="s">
        <v>77</v>
      </c>
      <c r="AK39" s="69">
        <v>500</v>
      </c>
      <c r="AL39" s="69">
        <v>99</v>
      </c>
      <c r="AM39" s="31">
        <v>100</v>
      </c>
    </row>
    <row r="40" spans="1:39">
      <c r="A40" s="7"/>
      <c r="B40" s="19" t="s">
        <v>66</v>
      </c>
      <c r="C40" s="19" t="s">
        <v>87</v>
      </c>
      <c r="D40" s="19">
        <v>200</v>
      </c>
      <c r="E40" s="31">
        <f t="shared" si="5"/>
        <v>200</v>
      </c>
      <c r="F40" s="19">
        <v>29</v>
      </c>
      <c r="G40" s="71">
        <f t="shared" si="6"/>
        <v>29</v>
      </c>
      <c r="H40" s="71">
        <f t="shared" si="7"/>
        <v>29</v>
      </c>
      <c r="I40" s="19">
        <v>36</v>
      </c>
      <c r="J40" s="19">
        <f t="shared" si="8"/>
        <v>1</v>
      </c>
      <c r="K40" s="19"/>
      <c r="L40" s="19"/>
      <c r="M40" s="19"/>
      <c r="N40" s="19"/>
      <c r="O40" s="19"/>
      <c r="P40" s="19"/>
      <c r="Q40" s="19"/>
      <c r="R40" s="19"/>
      <c r="S40" s="55">
        <v>5</v>
      </c>
      <c r="T40" s="59">
        <v>11</v>
      </c>
      <c r="U40" s="19"/>
      <c r="V40" s="19"/>
      <c r="W40" s="19"/>
      <c r="AA40" s="7"/>
      <c r="AB40" s="19" t="s">
        <v>66</v>
      </c>
      <c r="AC40" s="19" t="s">
        <v>87</v>
      </c>
      <c r="AD40" s="19">
        <v>200</v>
      </c>
      <c r="AE40" s="71">
        <v>29</v>
      </c>
      <c r="AF40" s="19">
        <v>36</v>
      </c>
      <c r="AI40" s="19" t="s">
        <v>56</v>
      </c>
      <c r="AJ40" s="19" t="s">
        <v>175</v>
      </c>
      <c r="AK40" s="69">
        <v>540</v>
      </c>
      <c r="AL40" s="69">
        <v>93</v>
      </c>
      <c r="AM40" s="19">
        <v>100</v>
      </c>
    </row>
    <row r="41" spans="1:39">
      <c r="A41" s="7"/>
      <c r="B41" s="19" t="s">
        <v>43</v>
      </c>
      <c r="C41" s="19" t="s">
        <v>88</v>
      </c>
      <c r="D41" s="19">
        <v>110</v>
      </c>
      <c r="E41" s="31">
        <f t="shared" si="5"/>
        <v>110</v>
      </c>
      <c r="F41" s="19">
        <v>25</v>
      </c>
      <c r="G41" s="71">
        <f t="shared" si="6"/>
        <v>25</v>
      </c>
      <c r="H41" s="71">
        <f t="shared" si="7"/>
        <v>25</v>
      </c>
      <c r="I41" s="19">
        <v>18</v>
      </c>
      <c r="J41" s="19">
        <f t="shared" si="8"/>
        <v>1</v>
      </c>
      <c r="K41" s="19"/>
      <c r="L41" s="19"/>
      <c r="M41" s="19"/>
      <c r="N41" s="19"/>
      <c r="O41" s="19"/>
      <c r="P41" s="19"/>
      <c r="Q41" s="19"/>
      <c r="R41" s="19"/>
      <c r="S41" s="55">
        <v>11</v>
      </c>
      <c r="T41" s="59">
        <v>18</v>
      </c>
      <c r="U41" s="29"/>
      <c r="V41" s="19"/>
      <c r="W41" s="19"/>
      <c r="AA41" s="7"/>
      <c r="AB41" s="19" t="s">
        <v>43</v>
      </c>
      <c r="AC41" s="19" t="s">
        <v>88</v>
      </c>
      <c r="AD41" s="19">
        <v>110</v>
      </c>
      <c r="AE41" s="71">
        <v>25</v>
      </c>
      <c r="AF41" s="19">
        <v>18</v>
      </c>
      <c r="AH41" s="7"/>
      <c r="AI41" s="19" t="s">
        <v>56</v>
      </c>
      <c r="AJ41" s="19" t="s">
        <v>128</v>
      </c>
      <c r="AK41" s="14">
        <v>400</v>
      </c>
      <c r="AL41" s="14">
        <v>70</v>
      </c>
      <c r="AM41" s="19">
        <v>75</v>
      </c>
    </row>
    <row r="42" spans="1:39">
      <c r="A42" s="7"/>
      <c r="B42" s="19" t="s">
        <v>43</v>
      </c>
      <c r="C42" s="19" t="s">
        <v>89</v>
      </c>
      <c r="D42" s="19">
        <v>110</v>
      </c>
      <c r="E42" s="31">
        <f t="shared" si="5"/>
        <v>110</v>
      </c>
      <c r="F42" s="19">
        <v>28</v>
      </c>
      <c r="G42" s="71">
        <f t="shared" si="6"/>
        <v>28</v>
      </c>
      <c r="H42" s="71">
        <f t="shared" si="7"/>
        <v>28</v>
      </c>
      <c r="I42" s="19">
        <v>18</v>
      </c>
      <c r="J42" s="19">
        <f t="shared" si="8"/>
        <v>1</v>
      </c>
      <c r="K42" s="19"/>
      <c r="L42" s="19"/>
      <c r="M42" s="19"/>
      <c r="N42" s="29"/>
      <c r="O42" s="29"/>
      <c r="P42" s="29"/>
      <c r="Q42" s="29"/>
      <c r="R42" s="29"/>
      <c r="S42" s="57">
        <v>12</v>
      </c>
      <c r="T42" s="59">
        <v>19</v>
      </c>
      <c r="U42" s="19"/>
      <c r="V42" s="19"/>
      <c r="W42" s="19"/>
      <c r="AA42" s="7"/>
      <c r="AB42" s="19" t="s">
        <v>43</v>
      </c>
      <c r="AC42" s="19" t="s">
        <v>89</v>
      </c>
      <c r="AD42" s="19">
        <v>110</v>
      </c>
      <c r="AE42" s="71">
        <v>28</v>
      </c>
      <c r="AF42" s="19">
        <v>18</v>
      </c>
      <c r="AI42" s="19" t="s">
        <v>137</v>
      </c>
      <c r="AJ42" s="19" t="s">
        <v>5</v>
      </c>
      <c r="AK42">
        <v>500</v>
      </c>
      <c r="AL42" s="3"/>
    </row>
    <row r="43" spans="1:39">
      <c r="A43" s="7"/>
      <c r="B43" s="19" t="s">
        <v>59</v>
      </c>
      <c r="C43" s="19" t="s">
        <v>90</v>
      </c>
      <c r="D43" s="19">
        <v>130</v>
      </c>
      <c r="E43" s="31">
        <f t="shared" si="5"/>
        <v>130</v>
      </c>
      <c r="F43" s="28">
        <v>30</v>
      </c>
      <c r="G43" s="75">
        <f t="shared" si="6"/>
        <v>30</v>
      </c>
      <c r="H43" s="75">
        <f t="shared" si="7"/>
        <v>30</v>
      </c>
      <c r="I43" s="51">
        <v>26</v>
      </c>
      <c r="J43" s="19">
        <f t="shared" si="8"/>
        <v>1</v>
      </c>
      <c r="K43" s="19"/>
      <c r="L43" s="19"/>
      <c r="M43" s="19"/>
      <c r="N43" s="19"/>
      <c r="O43" s="19"/>
      <c r="P43" s="19"/>
      <c r="Q43" s="19"/>
      <c r="R43" s="19"/>
      <c r="S43" s="56">
        <v>9</v>
      </c>
      <c r="T43" s="59">
        <v>16</v>
      </c>
      <c r="U43" s="19"/>
      <c r="V43" s="34"/>
      <c r="W43" s="19"/>
      <c r="AA43" s="7"/>
      <c r="AB43" s="19" t="s">
        <v>59</v>
      </c>
      <c r="AC43" s="19" t="s">
        <v>90</v>
      </c>
      <c r="AD43" s="19">
        <v>130</v>
      </c>
      <c r="AE43" s="75">
        <v>30</v>
      </c>
      <c r="AF43" s="51">
        <v>26</v>
      </c>
      <c r="AH43" s="7"/>
      <c r="AI43" s="19" t="s">
        <v>66</v>
      </c>
      <c r="AJ43" s="19" t="s">
        <v>143</v>
      </c>
      <c r="AK43">
        <v>600</v>
      </c>
      <c r="AL43">
        <v>38</v>
      </c>
      <c r="AM43" s="19">
        <v>125</v>
      </c>
    </row>
    <row r="44" spans="1:39">
      <c r="A44" s="23"/>
      <c r="B44" s="27" t="s">
        <v>57</v>
      </c>
      <c r="C44" s="27" t="s">
        <v>91</v>
      </c>
      <c r="D44" s="27">
        <v>160</v>
      </c>
      <c r="E44" s="18">
        <f t="shared" si="5"/>
        <v>160</v>
      </c>
      <c r="F44" s="35">
        <v>27</v>
      </c>
      <c r="G44" s="76">
        <f t="shared" si="6"/>
        <v>27</v>
      </c>
      <c r="H44" s="76">
        <f t="shared" si="7"/>
        <v>27</v>
      </c>
      <c r="I44" s="18">
        <v>30</v>
      </c>
      <c r="J44" s="19">
        <f t="shared" si="8"/>
        <v>1</v>
      </c>
      <c r="K44" s="19"/>
      <c r="L44" s="19"/>
      <c r="M44" s="19"/>
      <c r="N44" s="19"/>
      <c r="O44" s="19"/>
      <c r="P44" s="19"/>
      <c r="Q44" s="19"/>
      <c r="R44" s="19"/>
      <c r="S44" s="56">
        <v>7</v>
      </c>
      <c r="T44" s="59">
        <v>15</v>
      </c>
      <c r="U44" s="19"/>
      <c r="W44" s="19"/>
      <c r="AA44" s="23"/>
      <c r="AB44" s="27" t="s">
        <v>57</v>
      </c>
      <c r="AC44" s="27" t="s">
        <v>91</v>
      </c>
      <c r="AD44" s="27">
        <v>160</v>
      </c>
      <c r="AE44" s="76">
        <v>27</v>
      </c>
      <c r="AF44" s="18">
        <v>30</v>
      </c>
      <c r="AI44" s="19" t="s">
        <v>66</v>
      </c>
      <c r="AJ44" s="19" t="s">
        <v>142</v>
      </c>
      <c r="AK44" s="33">
        <v>500</v>
      </c>
      <c r="AL44" s="33">
        <v>31</v>
      </c>
      <c r="AM44" s="33">
        <v>83</v>
      </c>
    </row>
    <row r="45" spans="1:39">
      <c r="A45" s="7">
        <v>2018</v>
      </c>
      <c r="B45" s="19" t="s">
        <v>56</v>
      </c>
      <c r="C45" s="19" t="s">
        <v>92</v>
      </c>
      <c r="D45" s="19">
        <v>350</v>
      </c>
      <c r="E45" s="31">
        <f t="shared" si="5"/>
        <v>350</v>
      </c>
      <c r="F45" s="19">
        <v>35</v>
      </c>
      <c r="G45" s="19">
        <v>35</v>
      </c>
      <c r="H45" s="19">
        <v>35</v>
      </c>
      <c r="I45" s="19">
        <v>50</v>
      </c>
      <c r="J45" s="19"/>
      <c r="K45" s="19"/>
      <c r="L45" s="19"/>
      <c r="M45" s="19"/>
      <c r="N45" s="19"/>
      <c r="O45" s="19"/>
      <c r="P45" s="19"/>
      <c r="Q45" s="19"/>
      <c r="R45" s="19"/>
      <c r="S45" s="19"/>
      <c r="T45" s="59">
        <v>7</v>
      </c>
      <c r="U45" s="58">
        <v>9</v>
      </c>
      <c r="W45" s="19"/>
      <c r="AA45" s="7">
        <v>2018</v>
      </c>
      <c r="AB45" s="19" t="s">
        <v>56</v>
      </c>
      <c r="AC45" s="19" t="s">
        <v>92</v>
      </c>
      <c r="AD45" s="19">
        <v>350</v>
      </c>
      <c r="AE45" s="19">
        <v>35</v>
      </c>
      <c r="AF45" s="19">
        <v>50</v>
      </c>
      <c r="AH45" s="31"/>
      <c r="AI45" s="19" t="s">
        <v>135</v>
      </c>
      <c r="AJ45" s="19" t="s">
        <v>134</v>
      </c>
      <c r="AK45">
        <v>500</v>
      </c>
      <c r="AL45" s="3"/>
    </row>
    <row r="46" spans="1:39">
      <c r="A46" s="7"/>
      <c r="B46" s="19" t="s">
        <v>137</v>
      </c>
      <c r="C46" s="19" t="s">
        <v>136</v>
      </c>
      <c r="D46" s="38">
        <v>500</v>
      </c>
      <c r="E46" s="31"/>
      <c r="F46" s="38">
        <v>90</v>
      </c>
      <c r="G46" s="38"/>
      <c r="H46" s="74"/>
      <c r="I46" s="19">
        <v>95</v>
      </c>
      <c r="J46" s="19"/>
      <c r="K46" s="19"/>
      <c r="L46" s="19"/>
      <c r="M46" s="19"/>
      <c r="N46" s="34"/>
      <c r="O46" s="34"/>
      <c r="P46" s="34"/>
      <c r="Q46" s="34"/>
      <c r="R46" s="34"/>
      <c r="S46" s="34"/>
      <c r="T46" s="59"/>
      <c r="U46" s="59"/>
      <c r="W46" s="19"/>
      <c r="AA46" s="7"/>
      <c r="AB46" s="19" t="s">
        <v>137</v>
      </c>
      <c r="AC46" s="19" t="s">
        <v>136</v>
      </c>
      <c r="AD46" s="38">
        <v>500</v>
      </c>
      <c r="AE46" s="74">
        <v>90</v>
      </c>
      <c r="AF46" s="19">
        <v>95</v>
      </c>
      <c r="AH46" s="31"/>
      <c r="AI46" s="19" t="s">
        <v>135</v>
      </c>
      <c r="AJ46" s="19" t="s">
        <v>176</v>
      </c>
      <c r="AK46">
        <v>500</v>
      </c>
      <c r="AL46" s="3"/>
      <c r="AM46">
        <v>83</v>
      </c>
    </row>
    <row r="47" spans="1:39">
      <c r="A47" s="7"/>
      <c r="B47" s="33" t="s">
        <v>51</v>
      </c>
      <c r="C47" s="19" t="s">
        <v>93</v>
      </c>
      <c r="D47" s="19">
        <v>240</v>
      </c>
      <c r="E47" s="31">
        <f t="shared" ref="E47:E58" si="9">D47</f>
        <v>240</v>
      </c>
      <c r="F47" s="39">
        <v>30</v>
      </c>
      <c r="G47" s="39">
        <v>30</v>
      </c>
      <c r="H47" s="39">
        <v>30</v>
      </c>
      <c r="I47" s="39">
        <v>40</v>
      </c>
      <c r="J47" s="39"/>
      <c r="K47" s="19"/>
      <c r="L47" s="19"/>
      <c r="M47" s="19"/>
      <c r="T47" s="59">
        <v>8</v>
      </c>
      <c r="U47" s="59">
        <v>13</v>
      </c>
      <c r="W47" s="19"/>
      <c r="AA47" s="7"/>
      <c r="AB47" s="33" t="s">
        <v>51</v>
      </c>
      <c r="AC47" s="19" t="s">
        <v>93</v>
      </c>
      <c r="AD47" s="19">
        <v>240</v>
      </c>
      <c r="AE47" s="39">
        <v>30</v>
      </c>
      <c r="AF47" s="39">
        <v>40</v>
      </c>
      <c r="AI47" s="19" t="s">
        <v>65</v>
      </c>
      <c r="AJ47" s="19" t="s">
        <v>144</v>
      </c>
      <c r="AK47" s="14">
        <v>600</v>
      </c>
      <c r="AL47" s="14">
        <v>55</v>
      </c>
    </row>
    <row r="48" spans="1:39">
      <c r="A48" s="7"/>
      <c r="B48" s="33" t="s">
        <v>51</v>
      </c>
      <c r="C48" s="19" t="s">
        <v>94</v>
      </c>
      <c r="D48" s="29">
        <f>D47</f>
        <v>240</v>
      </c>
      <c r="E48" s="31">
        <f t="shared" si="9"/>
        <v>240</v>
      </c>
      <c r="F48" s="39">
        <v>40</v>
      </c>
      <c r="G48" s="39">
        <v>40</v>
      </c>
      <c r="H48" s="39">
        <v>40</v>
      </c>
      <c r="I48" s="19">
        <v>41</v>
      </c>
      <c r="J48" s="19"/>
      <c r="K48" s="19"/>
      <c r="L48" s="19"/>
      <c r="M48" s="19"/>
      <c r="N48" s="19"/>
      <c r="O48" s="19"/>
      <c r="P48" s="19"/>
      <c r="Q48" s="19"/>
      <c r="R48" s="19"/>
      <c r="S48" s="19"/>
      <c r="T48" s="59">
        <v>9</v>
      </c>
      <c r="U48" s="59">
        <v>14</v>
      </c>
      <c r="W48" s="19"/>
      <c r="AA48" s="7"/>
      <c r="AB48" s="33" t="s">
        <v>51</v>
      </c>
      <c r="AC48" s="19" t="s">
        <v>94</v>
      </c>
      <c r="AD48" s="29">
        <v>240</v>
      </c>
      <c r="AE48" s="39">
        <v>40</v>
      </c>
      <c r="AF48" s="19">
        <v>41</v>
      </c>
      <c r="AI48" s="19" t="s">
        <v>65</v>
      </c>
      <c r="AJ48" s="19" t="s">
        <v>101</v>
      </c>
      <c r="AK48" s="31">
        <v>650</v>
      </c>
      <c r="AL48" s="50"/>
      <c r="AM48" s="31">
        <v>120</v>
      </c>
    </row>
    <row r="49" spans="1:39">
      <c r="A49" s="7"/>
      <c r="B49" s="33" t="s">
        <v>50</v>
      </c>
      <c r="C49" s="19" t="s">
        <v>82</v>
      </c>
      <c r="D49" s="19">
        <v>360</v>
      </c>
      <c r="E49" s="31">
        <f t="shared" si="9"/>
        <v>360</v>
      </c>
      <c r="F49" s="39">
        <v>35</v>
      </c>
      <c r="G49" s="39">
        <v>35</v>
      </c>
      <c r="H49" s="39">
        <v>35</v>
      </c>
      <c r="I49" s="19">
        <v>64</v>
      </c>
      <c r="J49" s="19"/>
      <c r="K49" s="19"/>
      <c r="L49" s="19"/>
      <c r="M49" s="19"/>
      <c r="T49" s="59">
        <v>5</v>
      </c>
      <c r="U49" s="59">
        <v>8</v>
      </c>
      <c r="W49" s="19"/>
      <c r="AA49" s="7"/>
      <c r="AB49" s="33" t="s">
        <v>50</v>
      </c>
      <c r="AC49" s="19" t="s">
        <v>82</v>
      </c>
      <c r="AD49" s="19">
        <v>360</v>
      </c>
      <c r="AE49" s="39">
        <v>35</v>
      </c>
      <c r="AF49" s="19">
        <v>64</v>
      </c>
      <c r="AI49" s="19" t="s">
        <v>100</v>
      </c>
      <c r="AJ49" s="19" t="s">
        <v>127</v>
      </c>
      <c r="AK49" s="14">
        <v>600</v>
      </c>
      <c r="AL49" s="14">
        <v>100</v>
      </c>
      <c r="AM49">
        <v>130</v>
      </c>
    </row>
    <row r="50" spans="1:39">
      <c r="A50" s="7"/>
      <c r="B50" s="19" t="s">
        <v>106</v>
      </c>
      <c r="C50" s="19" t="s">
        <v>107</v>
      </c>
      <c r="D50" s="19">
        <v>500</v>
      </c>
      <c r="E50" s="31">
        <f t="shared" si="9"/>
        <v>500</v>
      </c>
      <c r="F50" s="36">
        <v>45</v>
      </c>
      <c r="G50" s="36">
        <v>45</v>
      </c>
      <c r="H50" s="36">
        <v>45</v>
      </c>
      <c r="I50">
        <v>95</v>
      </c>
      <c r="L50" s="19"/>
      <c r="M50" s="19"/>
      <c r="T50" s="59">
        <v>1</v>
      </c>
      <c r="U50" s="59">
        <v>1</v>
      </c>
      <c r="W50" s="19"/>
      <c r="AA50" s="7"/>
      <c r="AB50" s="19" t="s">
        <v>106</v>
      </c>
      <c r="AC50" s="19" t="s">
        <v>107</v>
      </c>
      <c r="AD50" s="19">
        <v>500</v>
      </c>
      <c r="AE50" s="36">
        <v>45</v>
      </c>
      <c r="AF50">
        <v>95</v>
      </c>
      <c r="AI50" s="19" t="s">
        <v>66</v>
      </c>
      <c r="AJ50" s="19" t="s">
        <v>145</v>
      </c>
      <c r="AK50">
        <v>600</v>
      </c>
      <c r="AL50" s="3"/>
      <c r="AM50">
        <v>111</v>
      </c>
    </row>
    <row r="51" spans="1:39">
      <c r="A51" s="7"/>
      <c r="B51" s="19" t="s">
        <v>66</v>
      </c>
      <c r="C51" s="19" t="s">
        <v>108</v>
      </c>
      <c r="D51" s="19">
        <v>160</v>
      </c>
      <c r="E51" s="31">
        <f t="shared" si="9"/>
        <v>160</v>
      </c>
      <c r="F51">
        <v>35</v>
      </c>
      <c r="G51">
        <v>35</v>
      </c>
      <c r="H51">
        <v>35</v>
      </c>
      <c r="I51">
        <v>19</v>
      </c>
      <c r="K51" s="19"/>
      <c r="L51" s="19"/>
      <c r="M51" s="19"/>
      <c r="T51" s="59">
        <v>14</v>
      </c>
      <c r="U51" s="59">
        <v>19</v>
      </c>
      <c r="W51" s="19"/>
      <c r="AA51" s="7"/>
      <c r="AB51" s="19" t="s">
        <v>66</v>
      </c>
      <c r="AC51" s="19" t="s">
        <v>108</v>
      </c>
      <c r="AD51" s="19">
        <v>160</v>
      </c>
      <c r="AE51">
        <v>35</v>
      </c>
      <c r="AF51">
        <v>19</v>
      </c>
      <c r="AI51" s="19" t="s">
        <v>125</v>
      </c>
      <c r="AJ51" t="s">
        <v>177</v>
      </c>
      <c r="AK51" s="14">
        <v>485</v>
      </c>
      <c r="AL51" s="14">
        <v>85</v>
      </c>
      <c r="AM51">
        <v>100</v>
      </c>
    </row>
    <row r="52" spans="1:39">
      <c r="A52" s="7"/>
      <c r="B52" s="19" t="s">
        <v>66</v>
      </c>
      <c r="C52" s="19" t="s">
        <v>109</v>
      </c>
      <c r="D52" s="19">
        <v>200</v>
      </c>
      <c r="E52" s="31">
        <f t="shared" si="9"/>
        <v>200</v>
      </c>
      <c r="F52">
        <v>36</v>
      </c>
      <c r="G52">
        <v>36</v>
      </c>
      <c r="H52">
        <v>36</v>
      </c>
      <c r="I52">
        <v>36</v>
      </c>
      <c r="K52" s="19"/>
      <c r="L52" s="19"/>
      <c r="M52" s="19"/>
      <c r="T52" s="59">
        <v>12</v>
      </c>
      <c r="U52" s="59">
        <v>15</v>
      </c>
      <c r="W52" s="19"/>
      <c r="AA52" s="7"/>
      <c r="AB52" s="19" t="s">
        <v>66</v>
      </c>
      <c r="AC52" s="19" t="s">
        <v>109</v>
      </c>
      <c r="AD52" s="19">
        <v>200</v>
      </c>
      <c r="AE52">
        <v>36</v>
      </c>
      <c r="AF52">
        <v>36</v>
      </c>
      <c r="AI52" s="19" t="s">
        <v>66</v>
      </c>
      <c r="AJ52" s="19" t="s">
        <v>126</v>
      </c>
      <c r="AK52" s="33">
        <v>560</v>
      </c>
      <c r="AL52" s="61"/>
      <c r="AM52" s="33">
        <v>111</v>
      </c>
    </row>
    <row r="53" spans="1:39">
      <c r="A53" s="7"/>
      <c r="B53" s="19" t="s">
        <v>51</v>
      </c>
      <c r="C53" s="19" t="s">
        <v>55</v>
      </c>
      <c r="D53" s="19">
        <v>380</v>
      </c>
      <c r="E53" s="31">
        <f t="shared" si="9"/>
        <v>380</v>
      </c>
      <c r="F53">
        <v>38</v>
      </c>
      <c r="G53">
        <v>38</v>
      </c>
      <c r="H53">
        <v>38</v>
      </c>
      <c r="I53" s="33">
        <v>60</v>
      </c>
      <c r="J53" s="33"/>
      <c r="K53" s="19"/>
      <c r="L53" s="19"/>
      <c r="M53" s="19"/>
      <c r="T53" s="59">
        <v>4</v>
      </c>
      <c r="U53" s="59">
        <v>7</v>
      </c>
      <c r="W53" s="19"/>
      <c r="AA53" s="7"/>
      <c r="AB53" s="19" t="s">
        <v>51</v>
      </c>
      <c r="AC53" s="19" t="s">
        <v>55</v>
      </c>
      <c r="AD53" s="19">
        <v>380</v>
      </c>
      <c r="AE53">
        <v>38</v>
      </c>
      <c r="AF53" s="33">
        <v>60</v>
      </c>
      <c r="AH53" s="18"/>
      <c r="AI53" s="27" t="s">
        <v>129</v>
      </c>
      <c r="AJ53" s="27" t="s">
        <v>130</v>
      </c>
      <c r="AK53" s="70">
        <v>645</v>
      </c>
      <c r="AL53" s="16"/>
      <c r="AM53" s="18"/>
    </row>
    <row r="54" spans="1:39">
      <c r="A54" s="7"/>
      <c r="B54" s="19" t="s">
        <v>84</v>
      </c>
      <c r="C54" s="19" t="s">
        <v>110</v>
      </c>
      <c r="D54" s="19">
        <v>350</v>
      </c>
      <c r="E54" s="31">
        <f t="shared" si="9"/>
        <v>350</v>
      </c>
      <c r="F54" s="33">
        <v>39</v>
      </c>
      <c r="G54" s="33">
        <v>39</v>
      </c>
      <c r="H54" s="33">
        <v>39</v>
      </c>
      <c r="I54" s="33">
        <v>64</v>
      </c>
      <c r="J54" s="33"/>
      <c r="K54" s="19"/>
      <c r="L54" s="19"/>
      <c r="M54" s="19"/>
      <c r="T54" s="59">
        <v>6</v>
      </c>
      <c r="U54" s="59">
        <v>10</v>
      </c>
      <c r="W54" s="19"/>
      <c r="AA54" s="7"/>
      <c r="AB54" s="19" t="s">
        <v>84</v>
      </c>
      <c r="AC54" s="19" t="s">
        <v>110</v>
      </c>
      <c r="AD54" s="19">
        <v>350</v>
      </c>
      <c r="AE54" s="33">
        <v>39</v>
      </c>
      <c r="AF54" s="33">
        <v>64</v>
      </c>
    </row>
    <row r="55" spans="1:39">
      <c r="A55" s="7"/>
      <c r="B55" s="19" t="s">
        <v>72</v>
      </c>
      <c r="C55" s="19" t="s">
        <v>111</v>
      </c>
      <c r="D55" s="33">
        <v>385</v>
      </c>
      <c r="E55" s="31">
        <f t="shared" si="9"/>
        <v>385</v>
      </c>
      <c r="F55">
        <v>30</v>
      </c>
      <c r="G55">
        <v>30</v>
      </c>
      <c r="H55">
        <v>30</v>
      </c>
      <c r="I55">
        <v>65</v>
      </c>
      <c r="K55" s="19"/>
      <c r="L55" s="19"/>
      <c r="M55" s="19"/>
      <c r="T55" s="59">
        <v>3</v>
      </c>
      <c r="U55" s="59">
        <v>5</v>
      </c>
      <c r="W55" s="19"/>
      <c r="AA55" s="7"/>
      <c r="AB55" s="19" t="s">
        <v>72</v>
      </c>
      <c r="AC55" s="19" t="s">
        <v>111</v>
      </c>
      <c r="AD55" s="33">
        <v>385</v>
      </c>
      <c r="AE55">
        <v>30</v>
      </c>
      <c r="AF55">
        <v>65</v>
      </c>
    </row>
    <row r="56" spans="1:39">
      <c r="A56" s="7"/>
      <c r="B56" s="33" t="s">
        <v>45</v>
      </c>
      <c r="C56" s="19" t="s">
        <v>112</v>
      </c>
      <c r="D56" s="19">
        <v>128</v>
      </c>
      <c r="E56" s="31">
        <f t="shared" si="9"/>
        <v>128</v>
      </c>
      <c r="F56">
        <v>24</v>
      </c>
      <c r="G56">
        <v>24</v>
      </c>
      <c r="H56">
        <v>24</v>
      </c>
      <c r="I56">
        <v>16</v>
      </c>
      <c r="K56" s="19"/>
      <c r="L56" s="19"/>
      <c r="M56" s="19"/>
      <c r="T56" s="59">
        <v>17</v>
      </c>
      <c r="U56" s="59">
        <v>20</v>
      </c>
      <c r="W56" s="19"/>
      <c r="AA56" s="7"/>
      <c r="AB56" s="33" t="s">
        <v>45</v>
      </c>
      <c r="AC56" s="19" t="s">
        <v>112</v>
      </c>
      <c r="AD56" s="19">
        <v>128</v>
      </c>
      <c r="AE56">
        <v>24</v>
      </c>
      <c r="AF56">
        <v>16</v>
      </c>
    </row>
    <row r="57" spans="1:39">
      <c r="A57" s="7"/>
      <c r="B57" s="33" t="s">
        <v>113</v>
      </c>
      <c r="C57" s="19" t="s">
        <v>114</v>
      </c>
      <c r="D57" s="19">
        <v>385</v>
      </c>
      <c r="E57" s="31">
        <f t="shared" si="9"/>
        <v>385</v>
      </c>
      <c r="F57">
        <v>37</v>
      </c>
      <c r="G57">
        <v>37</v>
      </c>
      <c r="H57">
        <v>37</v>
      </c>
      <c r="I57">
        <v>60</v>
      </c>
      <c r="K57" s="19"/>
      <c r="L57" s="19"/>
      <c r="M57" s="19"/>
      <c r="T57" s="59">
        <v>2</v>
      </c>
      <c r="U57" s="59">
        <v>6</v>
      </c>
      <c r="W57" s="19"/>
      <c r="AA57" s="7"/>
      <c r="AB57" s="33" t="s">
        <v>113</v>
      </c>
      <c r="AC57" s="19" t="s">
        <v>114</v>
      </c>
      <c r="AD57" s="19">
        <v>385</v>
      </c>
      <c r="AE57">
        <v>37</v>
      </c>
      <c r="AF57">
        <v>60</v>
      </c>
    </row>
    <row r="58" spans="1:39">
      <c r="A58" s="7"/>
      <c r="B58" s="33" t="s">
        <v>65</v>
      </c>
      <c r="C58" s="19" t="s">
        <v>115</v>
      </c>
      <c r="D58" s="19">
        <v>200</v>
      </c>
      <c r="E58" s="31">
        <f t="shared" si="9"/>
        <v>200</v>
      </c>
      <c r="F58">
        <v>42</v>
      </c>
      <c r="G58">
        <v>42</v>
      </c>
      <c r="H58">
        <v>42</v>
      </c>
      <c r="I58">
        <v>33</v>
      </c>
      <c r="K58" s="19"/>
      <c r="L58" s="19"/>
      <c r="M58" s="19"/>
      <c r="T58" s="59">
        <v>13</v>
      </c>
      <c r="U58" s="59">
        <v>16</v>
      </c>
      <c r="W58" s="19"/>
      <c r="AA58" s="7"/>
      <c r="AB58" s="33" t="s">
        <v>65</v>
      </c>
      <c r="AC58" s="19" t="s">
        <v>115</v>
      </c>
      <c r="AD58" s="19">
        <v>200</v>
      </c>
      <c r="AE58">
        <v>42</v>
      </c>
      <c r="AF58">
        <v>33</v>
      </c>
    </row>
    <row r="59" spans="1:39">
      <c r="A59" s="7"/>
      <c r="B59" s="33" t="s">
        <v>116</v>
      </c>
      <c r="C59" s="19" t="s">
        <v>117</v>
      </c>
      <c r="D59" s="38">
        <v>355</v>
      </c>
      <c r="E59" s="31"/>
      <c r="F59" s="14">
        <v>68</v>
      </c>
      <c r="G59" s="14"/>
      <c r="H59" s="15"/>
      <c r="I59">
        <v>70</v>
      </c>
      <c r="K59" s="19"/>
      <c r="L59" s="19"/>
      <c r="M59" s="19"/>
      <c r="T59" s="59"/>
      <c r="U59" s="59"/>
      <c r="W59" s="19"/>
      <c r="AA59" s="7"/>
      <c r="AB59" s="33" t="s">
        <v>116</v>
      </c>
      <c r="AC59" s="19" t="s">
        <v>117</v>
      </c>
      <c r="AD59" s="38">
        <v>355</v>
      </c>
      <c r="AE59" s="15">
        <v>68</v>
      </c>
      <c r="AF59">
        <v>70</v>
      </c>
    </row>
    <row r="60" spans="1:39">
      <c r="A60" s="23"/>
      <c r="B60" s="27" t="s">
        <v>104</v>
      </c>
      <c r="C60" s="27" t="s">
        <v>105</v>
      </c>
      <c r="D60" s="70">
        <v>480</v>
      </c>
      <c r="E60" s="18"/>
      <c r="F60" s="70">
        <v>55</v>
      </c>
      <c r="G60" s="70"/>
      <c r="H60" s="17"/>
      <c r="I60" s="27">
        <v>90</v>
      </c>
      <c r="J60" s="27"/>
      <c r="K60" s="19"/>
      <c r="L60" s="19"/>
      <c r="M60" s="19"/>
      <c r="T60" s="54"/>
      <c r="U60" s="59"/>
      <c r="W60" s="19"/>
      <c r="AA60" s="23"/>
      <c r="AB60" s="27" t="s">
        <v>104</v>
      </c>
      <c r="AC60" s="27" t="s">
        <v>105</v>
      </c>
      <c r="AD60" s="70">
        <v>480</v>
      </c>
      <c r="AE60" s="17">
        <v>55</v>
      </c>
      <c r="AF60" s="27">
        <v>90</v>
      </c>
    </row>
    <row r="61" spans="1:39">
      <c r="A61" s="7">
        <v>2019</v>
      </c>
      <c r="B61" s="19" t="s">
        <v>118</v>
      </c>
      <c r="C61" s="19" t="s">
        <v>119</v>
      </c>
      <c r="D61" s="38">
        <v>450</v>
      </c>
      <c r="E61" s="31"/>
      <c r="F61" s="38">
        <v>160</v>
      </c>
      <c r="G61" s="38"/>
      <c r="H61" s="74"/>
      <c r="I61" s="19">
        <v>90</v>
      </c>
      <c r="J61" s="19"/>
      <c r="K61" s="19"/>
      <c r="L61" s="19"/>
      <c r="M61" s="19"/>
      <c r="U61" s="59"/>
      <c r="W61" s="19"/>
      <c r="AA61" s="7">
        <v>2019</v>
      </c>
      <c r="AB61" s="19" t="s">
        <v>118</v>
      </c>
      <c r="AC61" s="19" t="s">
        <v>119</v>
      </c>
      <c r="AD61" s="38">
        <v>450</v>
      </c>
      <c r="AE61" s="74">
        <v>160</v>
      </c>
      <c r="AF61" s="19">
        <v>90</v>
      </c>
    </row>
    <row r="62" spans="1:39">
      <c r="A62" s="7"/>
      <c r="B62" s="19" t="s">
        <v>120</v>
      </c>
      <c r="C62" s="19" t="s">
        <v>121</v>
      </c>
      <c r="D62" s="14">
        <v>400</v>
      </c>
      <c r="E62" s="31"/>
      <c r="F62" s="14">
        <v>55</v>
      </c>
      <c r="G62" s="14">
        <v>55</v>
      </c>
      <c r="H62" s="15"/>
      <c r="I62" s="33">
        <v>70</v>
      </c>
      <c r="J62" s="33"/>
      <c r="K62" s="19"/>
      <c r="L62" s="19"/>
      <c r="M62" s="19"/>
      <c r="U62" s="59">
        <v>4</v>
      </c>
      <c r="W62" s="19"/>
      <c r="AA62" s="7"/>
      <c r="AB62" s="19" t="s">
        <v>120</v>
      </c>
      <c r="AC62" s="19" t="s">
        <v>121</v>
      </c>
      <c r="AD62" s="14">
        <v>400</v>
      </c>
      <c r="AE62" s="15">
        <v>55</v>
      </c>
      <c r="AF62" s="33">
        <v>70</v>
      </c>
    </row>
    <row r="63" spans="1:39">
      <c r="A63" s="31"/>
      <c r="B63" s="19" t="s">
        <v>95</v>
      </c>
      <c r="C63" s="19" t="s">
        <v>122</v>
      </c>
      <c r="D63" s="31">
        <v>500</v>
      </c>
      <c r="E63" s="31">
        <f>D63</f>
        <v>500</v>
      </c>
      <c r="F63" s="31">
        <v>38</v>
      </c>
      <c r="G63" s="31">
        <v>38</v>
      </c>
      <c r="H63" s="31">
        <v>38</v>
      </c>
      <c r="I63" s="31">
        <v>100</v>
      </c>
      <c r="J63" s="31"/>
      <c r="K63" s="19"/>
      <c r="L63" s="19"/>
      <c r="M63" s="19"/>
      <c r="U63" s="59">
        <v>2</v>
      </c>
      <c r="W63" s="19"/>
      <c r="AA63" s="31"/>
      <c r="AB63" s="19" t="s">
        <v>95</v>
      </c>
      <c r="AC63" s="19" t="s">
        <v>122</v>
      </c>
      <c r="AD63" s="31">
        <v>500</v>
      </c>
      <c r="AE63" s="31">
        <v>38</v>
      </c>
      <c r="AF63" s="31">
        <v>100</v>
      </c>
    </row>
    <row r="64" spans="1:39">
      <c r="A64" s="31"/>
      <c r="B64" s="19" t="s">
        <v>96</v>
      </c>
      <c r="C64" s="19" t="s">
        <v>133</v>
      </c>
      <c r="D64" s="38">
        <v>350</v>
      </c>
      <c r="E64" s="31"/>
      <c r="F64" s="38">
        <v>255</v>
      </c>
      <c r="G64" s="38"/>
      <c r="H64" s="74"/>
      <c r="I64" s="40">
        <f>I62</f>
        <v>70</v>
      </c>
      <c r="J64" s="40"/>
      <c r="K64" s="19"/>
      <c r="L64" s="19"/>
      <c r="M64" s="19"/>
      <c r="N64" s="19"/>
      <c r="O64" s="19"/>
      <c r="P64" s="19"/>
      <c r="Q64" s="19"/>
      <c r="R64" s="19"/>
      <c r="S64" s="19"/>
      <c r="T64" s="19"/>
      <c r="U64" s="59"/>
      <c r="W64" s="19"/>
      <c r="AA64" s="31"/>
      <c r="AB64" s="19" t="s">
        <v>96</v>
      </c>
      <c r="AC64" s="19" t="s">
        <v>133</v>
      </c>
      <c r="AD64" s="38">
        <v>350</v>
      </c>
      <c r="AE64" s="74">
        <v>255</v>
      </c>
      <c r="AF64" s="40">
        <v>70</v>
      </c>
    </row>
    <row r="65" spans="1:32">
      <c r="B65" s="19" t="s">
        <v>57</v>
      </c>
      <c r="C65" s="19" t="s">
        <v>62</v>
      </c>
      <c r="D65">
        <v>185</v>
      </c>
      <c r="E65" s="31">
        <f>D65</f>
        <v>185</v>
      </c>
      <c r="F65">
        <v>30</v>
      </c>
      <c r="G65">
        <v>30</v>
      </c>
      <c r="H65">
        <v>30</v>
      </c>
      <c r="I65" s="19">
        <v>30</v>
      </c>
      <c r="J65" s="19"/>
      <c r="K65" s="19"/>
      <c r="L65" s="19"/>
      <c r="M65" s="19"/>
      <c r="U65" s="59">
        <v>18</v>
      </c>
      <c r="W65" s="19"/>
      <c r="AB65" s="19" t="s">
        <v>57</v>
      </c>
      <c r="AC65" s="19" t="s">
        <v>62</v>
      </c>
      <c r="AD65">
        <v>185</v>
      </c>
      <c r="AE65">
        <v>30</v>
      </c>
      <c r="AF65" s="19">
        <v>30</v>
      </c>
    </row>
    <row r="66" spans="1:32">
      <c r="B66" s="19" t="s">
        <v>84</v>
      </c>
      <c r="C66" s="19" t="s">
        <v>85</v>
      </c>
      <c r="D66">
        <v>200</v>
      </c>
      <c r="E66" s="31">
        <f>D66</f>
        <v>200</v>
      </c>
      <c r="F66">
        <v>30</v>
      </c>
      <c r="G66">
        <v>30</v>
      </c>
      <c r="H66">
        <v>30</v>
      </c>
      <c r="I66">
        <v>28</v>
      </c>
      <c r="K66" s="19"/>
      <c r="L66" s="19"/>
      <c r="M66" s="19"/>
      <c r="U66" s="59">
        <v>17</v>
      </c>
      <c r="W66" s="19"/>
      <c r="AB66" s="19" t="s">
        <v>84</v>
      </c>
      <c r="AC66" s="19" t="s">
        <v>85</v>
      </c>
      <c r="AD66">
        <v>200</v>
      </c>
      <c r="AE66">
        <v>30</v>
      </c>
      <c r="AF66">
        <v>28</v>
      </c>
    </row>
    <row r="67" spans="1:32">
      <c r="B67" s="19" t="s">
        <v>65</v>
      </c>
      <c r="C67" s="19" t="s">
        <v>123</v>
      </c>
      <c r="D67" s="14">
        <v>600</v>
      </c>
      <c r="E67" s="31"/>
      <c r="F67" s="14">
        <v>55</v>
      </c>
      <c r="G67" s="14"/>
      <c r="H67" s="15"/>
      <c r="I67" s="36">
        <v>130</v>
      </c>
      <c r="J67" s="36"/>
      <c r="K67" s="19"/>
      <c r="L67" s="19"/>
      <c r="M67" s="19"/>
      <c r="U67" s="59"/>
      <c r="W67" s="19"/>
      <c r="AB67" s="19" t="s">
        <v>65</v>
      </c>
      <c r="AC67" s="19" t="s">
        <v>123</v>
      </c>
      <c r="AD67" s="14">
        <v>600</v>
      </c>
      <c r="AE67" s="14">
        <v>55</v>
      </c>
      <c r="AF67" s="36">
        <v>130</v>
      </c>
    </row>
    <row r="68" spans="1:32">
      <c r="B68" s="19" t="s">
        <v>173</v>
      </c>
      <c r="C68" s="19" t="s">
        <v>174</v>
      </c>
      <c r="D68" s="14">
        <v>300</v>
      </c>
      <c r="E68" s="31"/>
      <c r="F68" s="14">
        <v>65</v>
      </c>
      <c r="G68" s="14"/>
      <c r="H68" s="15"/>
      <c r="I68" s="36">
        <v>61</v>
      </c>
      <c r="J68" s="36"/>
      <c r="K68" s="19"/>
      <c r="L68" s="19"/>
      <c r="U68" s="59"/>
      <c r="W68" s="19"/>
      <c r="AB68" s="19" t="s">
        <v>173</v>
      </c>
      <c r="AC68" s="19" t="s">
        <v>174</v>
      </c>
      <c r="AD68" s="14">
        <v>300</v>
      </c>
      <c r="AE68" s="14">
        <v>65</v>
      </c>
      <c r="AF68" s="36">
        <v>61</v>
      </c>
    </row>
    <row r="69" spans="1:32">
      <c r="A69" s="31"/>
      <c r="B69" s="19" t="s">
        <v>97</v>
      </c>
      <c r="C69" s="19" t="s">
        <v>146</v>
      </c>
      <c r="D69" s="38">
        <v>645</v>
      </c>
      <c r="E69" s="31"/>
      <c r="F69" s="38">
        <v>55</v>
      </c>
      <c r="G69" s="38"/>
      <c r="H69" s="74"/>
      <c r="I69" s="19">
        <v>130</v>
      </c>
      <c r="J69" s="19"/>
      <c r="K69" s="19"/>
      <c r="L69" s="19"/>
      <c r="U69" s="59"/>
      <c r="W69" s="19"/>
      <c r="AA69" s="31"/>
      <c r="AB69" s="19" t="s">
        <v>97</v>
      </c>
      <c r="AC69" s="19" t="s">
        <v>146</v>
      </c>
      <c r="AD69" s="38">
        <v>645</v>
      </c>
      <c r="AE69" s="38">
        <v>55</v>
      </c>
      <c r="AF69" s="19">
        <v>130</v>
      </c>
    </row>
    <row r="70" spans="1:32">
      <c r="B70" s="33" t="s">
        <v>147</v>
      </c>
      <c r="C70" s="19" t="s">
        <v>124</v>
      </c>
      <c r="D70" s="19">
        <v>350</v>
      </c>
      <c r="E70" s="31">
        <f>D70</f>
        <v>350</v>
      </c>
      <c r="F70" s="19">
        <v>27</v>
      </c>
      <c r="G70" s="19">
        <v>27</v>
      </c>
      <c r="H70" s="19">
        <v>27</v>
      </c>
      <c r="I70" s="19">
        <v>50</v>
      </c>
      <c r="J70" s="19"/>
      <c r="K70" s="19"/>
      <c r="L70" s="19"/>
      <c r="U70" s="59">
        <v>11</v>
      </c>
      <c r="W70" s="19"/>
      <c r="AB70" s="33" t="s">
        <v>147</v>
      </c>
      <c r="AC70" s="19" t="s">
        <v>124</v>
      </c>
      <c r="AD70" s="19">
        <v>350</v>
      </c>
      <c r="AE70" s="19">
        <v>27</v>
      </c>
      <c r="AF70" s="19">
        <v>50</v>
      </c>
    </row>
    <row r="71" spans="1:32">
      <c r="A71" s="31"/>
      <c r="B71" s="19" t="s">
        <v>131</v>
      </c>
      <c r="C71" s="19" t="s">
        <v>132</v>
      </c>
      <c r="D71" s="31">
        <v>300</v>
      </c>
      <c r="E71" s="31">
        <f>D71</f>
        <v>300</v>
      </c>
      <c r="F71" s="31">
        <v>32</v>
      </c>
      <c r="G71" s="31">
        <v>32</v>
      </c>
      <c r="H71" s="31">
        <v>32</v>
      </c>
      <c r="I71" s="40">
        <f>I37</f>
        <v>41</v>
      </c>
      <c r="J71" s="40"/>
      <c r="K71" s="19"/>
      <c r="L71" s="19"/>
      <c r="U71" s="59">
        <v>12</v>
      </c>
      <c r="W71" s="19"/>
      <c r="AA71" s="31"/>
      <c r="AB71" s="19" t="s">
        <v>131</v>
      </c>
      <c r="AC71" s="19" t="s">
        <v>132</v>
      </c>
      <c r="AD71" s="31">
        <v>300</v>
      </c>
      <c r="AE71" s="31">
        <v>32</v>
      </c>
      <c r="AF71" s="40">
        <v>41</v>
      </c>
    </row>
    <row r="72" spans="1:32">
      <c r="A72" s="18"/>
      <c r="B72" s="27" t="s">
        <v>99</v>
      </c>
      <c r="C72" s="27" t="s">
        <v>5</v>
      </c>
      <c r="D72" s="30">
        <v>500</v>
      </c>
      <c r="E72" s="18">
        <f>D72</f>
        <v>500</v>
      </c>
      <c r="F72" s="30">
        <v>30</v>
      </c>
      <c r="G72" s="30">
        <v>30</v>
      </c>
      <c r="H72" s="30">
        <v>30</v>
      </c>
      <c r="I72" s="18"/>
      <c r="J72" s="18"/>
      <c r="K72" s="19"/>
      <c r="L72" s="19"/>
      <c r="U72" s="60">
        <v>3</v>
      </c>
      <c r="W72" s="19"/>
      <c r="AA72" s="18"/>
      <c r="AB72" s="27" t="s">
        <v>99</v>
      </c>
      <c r="AC72" s="27" t="s">
        <v>5</v>
      </c>
      <c r="AD72" s="30">
        <v>500</v>
      </c>
      <c r="AE72" s="30">
        <v>30</v>
      </c>
      <c r="AF72" s="18"/>
    </row>
    <row r="73" spans="1:32">
      <c r="A73" s="7" t="s">
        <v>180</v>
      </c>
      <c r="B73" s="19" t="s">
        <v>56</v>
      </c>
      <c r="C73" s="19" t="s">
        <v>77</v>
      </c>
      <c r="D73" s="69">
        <v>500</v>
      </c>
      <c r="E73" s="31"/>
      <c r="F73" s="69">
        <v>99</v>
      </c>
      <c r="G73" s="69"/>
      <c r="H73" s="77"/>
      <c r="I73" s="31">
        <v>100</v>
      </c>
      <c r="J73" s="31"/>
      <c r="K73" s="19"/>
      <c r="L73" s="19"/>
      <c r="V73" s="58"/>
      <c r="AA73" s="7" t="s">
        <v>180</v>
      </c>
      <c r="AB73" s="19" t="s">
        <v>56</v>
      </c>
      <c r="AC73" s="19" t="s">
        <v>77</v>
      </c>
      <c r="AD73" s="69">
        <v>500</v>
      </c>
      <c r="AE73" s="69">
        <v>99</v>
      </c>
      <c r="AF73" s="31">
        <v>100</v>
      </c>
    </row>
    <row r="74" spans="1:32">
      <c r="B74" s="19" t="s">
        <v>56</v>
      </c>
      <c r="C74" s="19" t="s">
        <v>175</v>
      </c>
      <c r="D74" s="69">
        <v>540</v>
      </c>
      <c r="E74" s="31"/>
      <c r="F74" s="69">
        <v>93</v>
      </c>
      <c r="G74" s="69"/>
      <c r="H74" s="77"/>
      <c r="I74" s="19">
        <v>100</v>
      </c>
      <c r="J74" s="19"/>
      <c r="K74" s="19"/>
      <c r="L74" s="19"/>
      <c r="V74" s="59"/>
      <c r="AB74" s="19" t="s">
        <v>56</v>
      </c>
      <c r="AC74" s="19" t="s">
        <v>175</v>
      </c>
      <c r="AD74" s="69">
        <v>540</v>
      </c>
      <c r="AE74" s="69">
        <v>93</v>
      </c>
      <c r="AF74" s="19">
        <v>100</v>
      </c>
    </row>
    <row r="75" spans="1:32">
      <c r="A75" s="7"/>
      <c r="B75" s="19" t="s">
        <v>56</v>
      </c>
      <c r="C75" s="19" t="s">
        <v>128</v>
      </c>
      <c r="D75" s="14">
        <v>400</v>
      </c>
      <c r="E75" s="31"/>
      <c r="F75" s="14">
        <v>70</v>
      </c>
      <c r="G75" s="14"/>
      <c r="H75" s="15"/>
      <c r="I75" s="19">
        <v>75</v>
      </c>
      <c r="J75" s="19"/>
      <c r="K75" s="19"/>
      <c r="L75" s="19"/>
      <c r="V75" s="59"/>
      <c r="AA75" s="7"/>
      <c r="AB75" s="19" t="s">
        <v>56</v>
      </c>
      <c r="AC75" s="19" t="s">
        <v>128</v>
      </c>
      <c r="AD75" s="14">
        <v>400</v>
      </c>
      <c r="AE75" s="14">
        <v>70</v>
      </c>
      <c r="AF75" s="19">
        <v>75</v>
      </c>
    </row>
    <row r="76" spans="1:32">
      <c r="B76" s="19" t="s">
        <v>137</v>
      </c>
      <c r="C76" s="19" t="s">
        <v>5</v>
      </c>
      <c r="D76">
        <v>500</v>
      </c>
      <c r="E76" s="31">
        <f>D76</f>
        <v>500</v>
      </c>
      <c r="H76" s="3"/>
      <c r="K76" s="19"/>
      <c r="L76" s="19"/>
      <c r="V76" s="59">
        <v>4</v>
      </c>
      <c r="AB76" s="19" t="s">
        <v>137</v>
      </c>
      <c r="AC76" s="19" t="s">
        <v>5</v>
      </c>
      <c r="AD76">
        <v>500</v>
      </c>
      <c r="AE76" s="3"/>
    </row>
    <row r="77" spans="1:32">
      <c r="A77" s="7"/>
      <c r="B77" s="19" t="s">
        <v>66</v>
      </c>
      <c r="C77" s="19" t="s">
        <v>143</v>
      </c>
      <c r="D77">
        <v>600</v>
      </c>
      <c r="E77" s="31">
        <f>D77</f>
        <v>600</v>
      </c>
      <c r="F77">
        <v>38</v>
      </c>
      <c r="G77">
        <v>38</v>
      </c>
      <c r="H77">
        <v>38</v>
      </c>
      <c r="I77" s="19">
        <v>125</v>
      </c>
      <c r="J77" s="19"/>
      <c r="K77" s="19"/>
      <c r="L77" s="19"/>
      <c r="V77" s="59">
        <v>2</v>
      </c>
      <c r="AA77" s="7"/>
      <c r="AB77" s="19" t="s">
        <v>66</v>
      </c>
      <c r="AC77" s="19" t="s">
        <v>143</v>
      </c>
      <c r="AD77">
        <v>600</v>
      </c>
      <c r="AE77">
        <v>38</v>
      </c>
      <c r="AF77" s="19">
        <v>125</v>
      </c>
    </row>
    <row r="78" spans="1:32">
      <c r="B78" s="19" t="s">
        <v>66</v>
      </c>
      <c r="C78" s="19" t="s">
        <v>142</v>
      </c>
      <c r="D78" s="33">
        <v>500</v>
      </c>
      <c r="E78" s="31">
        <f>D78</f>
        <v>500</v>
      </c>
      <c r="F78" s="33">
        <v>31</v>
      </c>
      <c r="G78" s="33">
        <v>31</v>
      </c>
      <c r="H78" s="33">
        <v>31</v>
      </c>
      <c r="I78" s="33">
        <v>83</v>
      </c>
      <c r="J78" s="33"/>
      <c r="K78" s="19"/>
      <c r="L78" s="19"/>
      <c r="V78" s="59">
        <v>5</v>
      </c>
      <c r="AB78" s="19" t="s">
        <v>66</v>
      </c>
      <c r="AC78" s="19" t="s">
        <v>142</v>
      </c>
      <c r="AD78" s="33">
        <v>500</v>
      </c>
      <c r="AE78" s="33">
        <v>31</v>
      </c>
      <c r="AF78" s="33">
        <v>83</v>
      </c>
    </row>
    <row r="79" spans="1:32">
      <c r="A79" s="31"/>
      <c r="B79" s="19" t="s">
        <v>135</v>
      </c>
      <c r="C79" s="19" t="s">
        <v>134</v>
      </c>
      <c r="D79">
        <v>500</v>
      </c>
      <c r="E79" s="31">
        <f>D79</f>
        <v>500</v>
      </c>
      <c r="H79" s="3"/>
      <c r="K79" s="19"/>
      <c r="L79" s="19"/>
      <c r="V79" s="59">
        <v>6</v>
      </c>
      <c r="AA79" s="31"/>
      <c r="AB79" s="19" t="s">
        <v>135</v>
      </c>
      <c r="AC79" s="19" t="s">
        <v>134</v>
      </c>
      <c r="AD79">
        <v>500</v>
      </c>
      <c r="AE79" s="3"/>
    </row>
    <row r="80" spans="1:32">
      <c r="A80" s="31"/>
      <c r="B80" s="19" t="s">
        <v>135</v>
      </c>
      <c r="C80" s="19" t="s">
        <v>176</v>
      </c>
      <c r="D80">
        <v>500</v>
      </c>
      <c r="E80" s="31">
        <f>D80</f>
        <v>500</v>
      </c>
      <c r="H80" s="3"/>
      <c r="I80">
        <v>83</v>
      </c>
      <c r="K80" s="19"/>
      <c r="L80" s="19"/>
      <c r="V80" s="59">
        <v>7</v>
      </c>
      <c r="AA80" s="31"/>
      <c r="AB80" s="19" t="s">
        <v>135</v>
      </c>
      <c r="AC80" s="19" t="s">
        <v>176</v>
      </c>
      <c r="AD80">
        <v>500</v>
      </c>
      <c r="AE80" s="3"/>
      <c r="AF80">
        <v>83</v>
      </c>
    </row>
    <row r="81" spans="1:32">
      <c r="B81" s="19" t="s">
        <v>65</v>
      </c>
      <c r="C81" s="19" t="s">
        <v>144</v>
      </c>
      <c r="D81" s="14">
        <v>600</v>
      </c>
      <c r="E81" s="31"/>
      <c r="F81" s="14">
        <v>55</v>
      </c>
      <c r="G81" s="14"/>
      <c r="H81" s="15"/>
      <c r="K81" s="19"/>
      <c r="L81" s="19"/>
      <c r="V81" s="59"/>
      <c r="AB81" s="19" t="s">
        <v>65</v>
      </c>
      <c r="AC81" s="19" t="s">
        <v>144</v>
      </c>
      <c r="AD81" s="14">
        <v>600</v>
      </c>
      <c r="AE81" s="14">
        <v>55</v>
      </c>
    </row>
    <row r="82" spans="1:32">
      <c r="B82" s="19" t="s">
        <v>65</v>
      </c>
      <c r="C82" s="19" t="s">
        <v>101</v>
      </c>
      <c r="D82" s="31">
        <v>650</v>
      </c>
      <c r="E82" s="31">
        <f>D82</f>
        <v>650</v>
      </c>
      <c r="F82" s="31"/>
      <c r="G82" s="31"/>
      <c r="H82" s="50"/>
      <c r="I82" s="31">
        <v>120</v>
      </c>
      <c r="J82" s="31"/>
      <c r="K82" s="19"/>
      <c r="L82" s="19"/>
      <c r="V82" s="59">
        <v>1</v>
      </c>
      <c r="AB82" s="19" t="s">
        <v>65</v>
      </c>
      <c r="AC82" s="19" t="s">
        <v>101</v>
      </c>
      <c r="AD82" s="31">
        <v>650</v>
      </c>
      <c r="AE82" s="50"/>
      <c r="AF82" s="31">
        <v>120</v>
      </c>
    </row>
    <row r="83" spans="1:32">
      <c r="B83" s="19" t="s">
        <v>100</v>
      </c>
      <c r="C83" s="19" t="s">
        <v>127</v>
      </c>
      <c r="D83" s="14">
        <v>600</v>
      </c>
      <c r="E83" s="31"/>
      <c r="F83" s="14">
        <v>100</v>
      </c>
      <c r="G83" s="14"/>
      <c r="H83" s="15"/>
      <c r="I83">
        <v>130</v>
      </c>
      <c r="K83" s="19"/>
      <c r="L83" s="19"/>
      <c r="S83" s="33" t="s">
        <v>139</v>
      </c>
      <c r="V83" s="59"/>
      <c r="AB83" s="19" t="s">
        <v>100</v>
      </c>
      <c r="AC83" s="19" t="s">
        <v>127</v>
      </c>
      <c r="AD83" s="14">
        <v>600</v>
      </c>
      <c r="AE83" s="14">
        <v>100</v>
      </c>
      <c r="AF83">
        <v>130</v>
      </c>
    </row>
    <row r="84" spans="1:32">
      <c r="B84" s="19" t="s">
        <v>66</v>
      </c>
      <c r="C84" s="19" t="s">
        <v>145</v>
      </c>
      <c r="D84">
        <v>600</v>
      </c>
      <c r="E84" s="31">
        <f>D84</f>
        <v>600</v>
      </c>
      <c r="H84" s="3"/>
      <c r="I84">
        <v>111</v>
      </c>
      <c r="K84" s="19"/>
      <c r="L84" s="19"/>
      <c r="V84" s="59">
        <v>3</v>
      </c>
      <c r="AB84" s="19" t="s">
        <v>66</v>
      </c>
      <c r="AC84" s="19" t="s">
        <v>145</v>
      </c>
      <c r="AD84">
        <v>600</v>
      </c>
      <c r="AE84" s="3"/>
      <c r="AF84">
        <v>111</v>
      </c>
    </row>
    <row r="85" spans="1:32">
      <c r="B85" s="19" t="s">
        <v>125</v>
      </c>
      <c r="C85" t="s">
        <v>177</v>
      </c>
      <c r="D85" s="14">
        <v>485</v>
      </c>
      <c r="E85" s="31"/>
      <c r="F85" s="14">
        <v>85</v>
      </c>
      <c r="G85" s="14"/>
      <c r="H85" s="15"/>
      <c r="I85">
        <v>100</v>
      </c>
      <c r="K85" s="19"/>
      <c r="L85" s="19"/>
      <c r="V85" s="59"/>
      <c r="AB85" s="19" t="s">
        <v>125</v>
      </c>
      <c r="AC85" t="s">
        <v>177</v>
      </c>
      <c r="AD85" s="14">
        <v>485</v>
      </c>
      <c r="AE85" s="14">
        <v>85</v>
      </c>
      <c r="AF85">
        <v>100</v>
      </c>
    </row>
    <row r="86" spans="1:32">
      <c r="B86" s="19" t="s">
        <v>66</v>
      </c>
      <c r="C86" s="19" t="s">
        <v>126</v>
      </c>
      <c r="D86" s="33">
        <v>560</v>
      </c>
      <c r="E86" s="31">
        <f>D86</f>
        <v>560</v>
      </c>
      <c r="F86" s="33"/>
      <c r="G86" s="33"/>
      <c r="H86" s="61"/>
      <c r="I86" s="33">
        <v>111</v>
      </c>
      <c r="J86" s="33"/>
      <c r="K86" s="19"/>
      <c r="L86" s="19"/>
      <c r="V86" s="59"/>
      <c r="AB86" s="19" t="s">
        <v>66</v>
      </c>
      <c r="AC86" s="19" t="s">
        <v>126</v>
      </c>
      <c r="AD86" s="33">
        <v>560</v>
      </c>
      <c r="AE86" s="61"/>
      <c r="AF86" s="33">
        <v>111</v>
      </c>
    </row>
    <row r="87" spans="1:32">
      <c r="A87" s="18"/>
      <c r="B87" s="27" t="s">
        <v>129</v>
      </c>
      <c r="C87" s="27" t="s">
        <v>130</v>
      </c>
      <c r="D87" s="70">
        <v>645</v>
      </c>
      <c r="E87" s="18"/>
      <c r="F87" s="18"/>
      <c r="G87" s="18"/>
      <c r="H87" s="16"/>
      <c r="I87" s="18"/>
      <c r="J87" s="18"/>
      <c r="K87" s="19"/>
      <c r="L87" s="19"/>
      <c r="V87" s="60"/>
      <c r="AA87" s="18"/>
      <c r="AB87" s="27" t="s">
        <v>129</v>
      </c>
      <c r="AC87" s="27" t="s">
        <v>130</v>
      </c>
      <c r="AD87" s="70">
        <v>645</v>
      </c>
      <c r="AE87" s="16"/>
      <c r="AF87" s="18"/>
    </row>
    <row r="88" spans="1:32">
      <c r="A88" s="31"/>
      <c r="K88" s="19"/>
      <c r="L88" s="19"/>
    </row>
    <row r="89" spans="1:32">
      <c r="B89" s="19"/>
      <c r="C89" s="19"/>
      <c r="K89" s="19"/>
      <c r="L89" s="19"/>
    </row>
    <row r="90" spans="1:32">
      <c r="B90" s="19"/>
      <c r="C90" s="19"/>
    </row>
    <row r="91" spans="1:32">
      <c r="B91" s="19"/>
      <c r="C91" s="19"/>
    </row>
    <row r="92" spans="1:32">
      <c r="B92" s="19"/>
      <c r="C92" s="19"/>
    </row>
    <row r="93" spans="1:32">
      <c r="B93" s="19"/>
      <c r="C93" s="19"/>
    </row>
    <row r="94" spans="1:32">
      <c r="B94" s="19"/>
      <c r="C94" s="19"/>
    </row>
    <row r="95" spans="1:32">
      <c r="B95" s="19"/>
      <c r="C95" s="19"/>
    </row>
    <row r="96" spans="1:32">
      <c r="B96" s="19"/>
      <c r="C96" s="19"/>
    </row>
    <row r="97" spans="2:3">
      <c r="B97" s="19"/>
      <c r="C97" s="19"/>
    </row>
  </sheetData>
  <printOptions gridLines="1"/>
  <pageMargins left="0.7" right="0.7" top="0.75" bottom="0.75" header="0.3" footer="0.3"/>
  <pageSetup paperSize="9" scale="28"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M20" sqref="M20"/>
    </sheetView>
  </sheetViews>
  <sheetFormatPr defaultRowHeight="15"/>
  <cols>
    <col min="1" max="1" width="18.5703125" customWidth="1"/>
    <col min="2" max="7" width="13" customWidth="1"/>
  </cols>
  <sheetData>
    <row r="1" spans="1:7">
      <c r="A1" t="s">
        <v>148</v>
      </c>
    </row>
    <row r="2" spans="1:7" ht="15.75" thickBot="1"/>
    <row r="3" spans="1:7">
      <c r="A3" s="44" t="s">
        <v>149</v>
      </c>
      <c r="B3" s="44"/>
    </row>
    <row r="4" spans="1:7">
      <c r="A4" s="41" t="s">
        <v>150</v>
      </c>
      <c r="B4" s="41">
        <v>0.99422982930386428</v>
      </c>
    </row>
    <row r="5" spans="1:7">
      <c r="A5" s="41" t="s">
        <v>151</v>
      </c>
      <c r="B5" s="41">
        <v>0.98849295347759114</v>
      </c>
    </row>
    <row r="6" spans="1:7">
      <c r="A6" s="41" t="s">
        <v>152</v>
      </c>
      <c r="B6" s="41">
        <v>0.8965377674300995</v>
      </c>
    </row>
    <row r="7" spans="1:7">
      <c r="A7" s="41" t="s">
        <v>153</v>
      </c>
      <c r="B7" s="41">
        <v>7.3727775899618839</v>
      </c>
    </row>
    <row r="8" spans="1:7" ht="15.75" thickBot="1">
      <c r="A8" s="42" t="s">
        <v>154</v>
      </c>
      <c r="B8" s="42">
        <v>13</v>
      </c>
    </row>
    <row r="10" spans="1:7" ht="15.75" thickBot="1">
      <c r="A10" t="s">
        <v>155</v>
      </c>
    </row>
    <row r="11" spans="1:7">
      <c r="A11" s="43"/>
      <c r="B11" s="43" t="s">
        <v>160</v>
      </c>
      <c r="C11" s="43" t="s">
        <v>161</v>
      </c>
      <c r="D11" s="43" t="s">
        <v>162</v>
      </c>
      <c r="E11" s="43" t="s">
        <v>163</v>
      </c>
      <c r="F11" s="43" t="s">
        <v>164</v>
      </c>
    </row>
    <row r="12" spans="1:7">
      <c r="A12" s="41" t="s">
        <v>156</v>
      </c>
      <c r="B12" s="41">
        <v>2</v>
      </c>
      <c r="C12" s="41">
        <v>51364.688656698512</v>
      </c>
      <c r="D12" s="41">
        <v>25682.344328349256</v>
      </c>
      <c r="E12" s="41">
        <v>472.4679989378057</v>
      </c>
      <c r="F12" s="41">
        <v>1.2592984666304885E-10</v>
      </c>
    </row>
    <row r="13" spans="1:7">
      <c r="A13" s="41" t="s">
        <v>157</v>
      </c>
      <c r="B13" s="41">
        <v>11</v>
      </c>
      <c r="C13" s="41">
        <v>597.93634330148575</v>
      </c>
      <c r="D13" s="41">
        <v>54.357849391044162</v>
      </c>
      <c r="E13" s="41"/>
      <c r="F13" s="41"/>
    </row>
    <row r="14" spans="1:7" ht="15.75" thickBot="1">
      <c r="A14" s="42" t="s">
        <v>158</v>
      </c>
      <c r="B14" s="42">
        <v>13</v>
      </c>
      <c r="C14" s="42">
        <v>51962.625</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0</v>
      </c>
      <c r="C17" s="41" t="e">
        <v>#N/A</v>
      </c>
      <c r="D17" s="41" t="e">
        <v>#N/A</v>
      </c>
      <c r="E17" s="41" t="e">
        <v>#N/A</v>
      </c>
      <c r="F17" s="41" t="e">
        <v>#N/A</v>
      </c>
      <c r="G17" s="41" t="e">
        <v>#N/A</v>
      </c>
    </row>
    <row r="18" spans="1:7">
      <c r="A18" s="41" t="s">
        <v>184</v>
      </c>
      <c r="B18" s="41">
        <v>0.15092251711495591</v>
      </c>
      <c r="C18" s="41">
        <v>1.3707267092196976E-2</v>
      </c>
      <c r="D18" s="41">
        <v>11.010401716099217</v>
      </c>
      <c r="E18" s="41">
        <v>2.8029982264700414E-7</v>
      </c>
      <c r="F18" s="41">
        <v>0.1207530256596179</v>
      </c>
      <c r="G18" s="41">
        <v>0.18109200857029392</v>
      </c>
    </row>
    <row r="19" spans="1:7" ht="15.75" thickBot="1">
      <c r="A19" s="42" t="s">
        <v>237</v>
      </c>
      <c r="B19" s="42">
        <v>8.5519177562453461E-2</v>
      </c>
      <c r="C19" s="42">
        <v>2.9854017896762494E-2</v>
      </c>
      <c r="D19" s="42">
        <v>2.8645784918527681</v>
      </c>
      <c r="E19" s="42">
        <v>1.5390068203774187E-2</v>
      </c>
      <c r="F19" s="42">
        <v>1.9810927202569023E-2</v>
      </c>
      <c r="G19" s="42">
        <v>0.1512274279223379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F89"/>
  <sheetViews>
    <sheetView zoomScale="75" zoomScaleNormal="75" workbookViewId="0">
      <pane xSplit="1" ySplit="3" topLeftCell="T31" activePane="bottomRight" state="frozen"/>
      <selection pane="topRight" activeCell="B1" sqref="B1"/>
      <selection pane="bottomLeft" activeCell="A4" sqref="A4"/>
      <selection pane="bottomRight" activeCell="AB70" sqref="AB70"/>
    </sheetView>
  </sheetViews>
  <sheetFormatPr defaultRowHeight="15"/>
  <cols>
    <col min="2" max="4" width="13" customWidth="1"/>
    <col min="5" max="5" width="12" customWidth="1"/>
    <col min="6" max="7" width="13" customWidth="1"/>
    <col min="8" max="10" width="10.28515625" customWidth="1"/>
    <col min="12" max="13" width="12.140625" customWidth="1"/>
    <col min="14" max="14" width="13.140625" customWidth="1"/>
    <col min="15" max="15" width="20.140625" customWidth="1"/>
    <col min="16" max="16" width="11" customWidth="1"/>
    <col min="17" max="17" width="16" customWidth="1"/>
    <col min="18" max="18" width="11" customWidth="1"/>
    <col min="19" max="19" width="14.5703125" customWidth="1"/>
    <col min="20" max="20" width="18.5703125" customWidth="1"/>
    <col min="21" max="21" width="23.140625" customWidth="1"/>
    <col min="22" max="22" width="29.5703125" customWidth="1"/>
    <col min="23" max="24" width="19" customWidth="1"/>
    <col min="25" max="25" width="7.5703125" customWidth="1"/>
    <col min="27" max="27" width="15.140625" customWidth="1"/>
    <col min="28" max="29" width="13.85546875" customWidth="1"/>
    <col min="31" max="31" width="11.5703125" customWidth="1"/>
    <col min="32" max="32" width="10.28515625" style="31" customWidth="1"/>
    <col min="33" max="42" width="6.28515625" style="31" customWidth="1"/>
    <col min="43" max="47" width="9.140625" style="31"/>
    <col min="48" max="48" width="10.7109375" style="31" customWidth="1"/>
    <col min="49" max="49" width="9.140625" style="31"/>
    <col min="54" max="55" width="11.85546875" customWidth="1"/>
  </cols>
  <sheetData>
    <row r="1" spans="1:55">
      <c r="C1" s="14" t="s">
        <v>199</v>
      </c>
      <c r="F1" s="14" t="s">
        <v>199</v>
      </c>
      <c r="G1" s="14"/>
      <c r="H1" s="33"/>
      <c r="I1" s="33"/>
      <c r="J1" s="33"/>
      <c r="L1" s="33"/>
      <c r="M1" s="33"/>
      <c r="N1" s="33"/>
      <c r="O1" s="33"/>
      <c r="P1" s="33"/>
      <c r="Q1" s="33"/>
      <c r="R1" s="33"/>
      <c r="S1" s="33"/>
      <c r="T1" s="14" t="s">
        <v>199</v>
      </c>
      <c r="U1" s="14" t="s">
        <v>199</v>
      </c>
      <c r="X1" s="14" t="s">
        <v>199</v>
      </c>
    </row>
    <row r="2" spans="1:55">
      <c r="B2" t="s">
        <v>197</v>
      </c>
      <c r="C2" s="14" t="s">
        <v>196</v>
      </c>
      <c r="F2" s="14" t="s">
        <v>196</v>
      </c>
      <c r="G2" s="14"/>
      <c r="H2" s="33"/>
      <c r="I2" s="33"/>
      <c r="J2" s="33"/>
      <c r="L2" s="79" t="s">
        <v>204</v>
      </c>
      <c r="M2" s="33"/>
      <c r="N2" s="33"/>
      <c r="O2" s="33"/>
      <c r="P2" s="33"/>
      <c r="Q2" s="33"/>
      <c r="R2" s="33"/>
      <c r="S2" s="33"/>
      <c r="T2" s="14" t="s">
        <v>196</v>
      </c>
      <c r="U2" s="14" t="s">
        <v>196</v>
      </c>
      <c r="W2" t="s">
        <v>194</v>
      </c>
      <c r="X2" s="14" t="s">
        <v>197</v>
      </c>
      <c r="AB2" t="s">
        <v>197</v>
      </c>
      <c r="BB2" t="s">
        <v>185</v>
      </c>
    </row>
    <row r="3" spans="1:55" ht="15.75" thickBot="1">
      <c r="A3" s="22"/>
      <c r="B3" s="22" t="s">
        <v>98</v>
      </c>
      <c r="C3" s="78" t="s">
        <v>1177</v>
      </c>
      <c r="D3" s="78" t="s">
        <v>198</v>
      </c>
      <c r="E3" s="22"/>
      <c r="F3" s="78" t="s">
        <v>1189</v>
      </c>
      <c r="G3" s="78" t="s">
        <v>1197</v>
      </c>
      <c r="H3" s="79" t="s">
        <v>184</v>
      </c>
      <c r="I3" s="79" t="s">
        <v>201</v>
      </c>
      <c r="J3" s="79"/>
      <c r="K3" s="22"/>
      <c r="L3" s="79" t="s">
        <v>202</v>
      </c>
      <c r="M3" s="79" t="s">
        <v>27</v>
      </c>
      <c r="N3" s="79" t="s">
        <v>203</v>
      </c>
      <c r="O3" s="240" t="s">
        <v>1178</v>
      </c>
      <c r="P3" s="239" t="s">
        <v>205</v>
      </c>
      <c r="Q3" s="239" t="s">
        <v>206</v>
      </c>
      <c r="R3" s="79"/>
      <c r="S3" s="79"/>
      <c r="T3" s="78" t="s">
        <v>195</v>
      </c>
      <c r="U3" s="78" t="s">
        <v>267</v>
      </c>
      <c r="V3" s="22" t="s">
        <v>268</v>
      </c>
      <c r="W3" s="22" t="s">
        <v>181</v>
      </c>
      <c r="X3" s="240" t="s">
        <v>200</v>
      </c>
      <c r="Y3" s="22"/>
      <c r="Z3" s="22"/>
      <c r="AA3" s="22" t="s">
        <v>103</v>
      </c>
      <c r="AB3" s="22" t="s">
        <v>192</v>
      </c>
      <c r="AC3" t="s">
        <v>196</v>
      </c>
      <c r="AE3" s="22" t="s">
        <v>189</v>
      </c>
      <c r="AF3" s="22" t="s">
        <v>190</v>
      </c>
      <c r="AG3" s="63"/>
      <c r="AH3" s="63" t="s">
        <v>187</v>
      </c>
      <c r="AI3" s="63"/>
      <c r="AJ3" s="63"/>
      <c r="AK3" s="63"/>
      <c r="AL3" s="63"/>
      <c r="AM3" s="63"/>
      <c r="AN3" s="63"/>
      <c r="AO3" s="63"/>
      <c r="AP3" s="63"/>
      <c r="AY3" s="25" t="s">
        <v>42</v>
      </c>
      <c r="AZ3" t="s">
        <v>170</v>
      </c>
      <c r="BB3" s="41" t="s">
        <v>184</v>
      </c>
      <c r="BC3" s="42" t="s">
        <v>236</v>
      </c>
    </row>
    <row r="4" spans="1:55">
      <c r="A4">
        <v>2009</v>
      </c>
      <c r="B4" s="3">
        <f>'BEV model year data'!D4</f>
        <v>110</v>
      </c>
      <c r="C4" s="3">
        <f>'BEV model year data'!E4</f>
        <v>110</v>
      </c>
      <c r="D4" s="3">
        <f>'Range acceptance'!C4</f>
        <v>110</v>
      </c>
      <c r="E4" s="3"/>
      <c r="F4" s="3">
        <f>'BEV model year data'!I4</f>
        <v>18</v>
      </c>
      <c r="G4" s="3">
        <f t="shared" ref="G4:G24" si="0">G$29+G$30*H4+G$31*I4</f>
        <v>16.581641932700208</v>
      </c>
      <c r="H4" s="3">
        <f>D4</f>
        <v>110</v>
      </c>
      <c r="I4" s="3">
        <f>IF(H4-250&gt;0,H4-250,0)</f>
        <v>0</v>
      </c>
      <c r="J4" s="3"/>
      <c r="K4">
        <v>2009</v>
      </c>
      <c r="L4" s="3">
        <f>'Lithium Battery costs'!I17</f>
        <v>1300</v>
      </c>
      <c r="M4" s="3"/>
      <c r="N4" s="13">
        <v>0</v>
      </c>
      <c r="O4" s="3">
        <f>L4*(1-N4)+M4*(N4)</f>
        <v>1300</v>
      </c>
      <c r="P4" s="3">
        <f>G4</f>
        <v>16.581641932700208</v>
      </c>
      <c r="Q4" s="3">
        <f>O4*P4</f>
        <v>21556.134512510271</v>
      </c>
      <c r="R4" s="3"/>
      <c r="S4" s="3"/>
      <c r="T4" s="3">
        <f>U4*1000</f>
        <v>29592.57288696121</v>
      </c>
      <c r="U4" s="3">
        <f>'BEV model year data'!G4</f>
        <v>29.592572886961211</v>
      </c>
      <c r="V4" s="3">
        <f>'BEV model year data'!G4</f>
        <v>29.592572886961211</v>
      </c>
      <c r="W4" s="3">
        <f>MEDIAN('BEV model year data'!F4)</f>
        <v>26</v>
      </c>
      <c r="X4" s="3">
        <f>MEDIAN('BEV model year data'!G4)</f>
        <v>29.592572886961211</v>
      </c>
      <c r="Y4" s="3"/>
      <c r="Z4">
        <v>2009</v>
      </c>
      <c r="AA4" s="3">
        <f>MEDIAN('BEV model year data'!D4)</f>
        <v>110</v>
      </c>
      <c r="AB4" s="3">
        <f>MEDIAN('BEV model year data'!E4)</f>
        <v>110</v>
      </c>
      <c r="AC4" s="3">
        <f>MEDIAN('BEV model year data'!E4)</f>
        <v>110</v>
      </c>
      <c r="AE4" s="12">
        <v>139.86112587034816</v>
      </c>
      <c r="AH4" s="62">
        <f t="shared" ref="AH4:AH14" si="1">AA4/W4</f>
        <v>4.2307692307692308</v>
      </c>
      <c r="AY4" s="31">
        <f>'BEV model year data'!I4</f>
        <v>18</v>
      </c>
      <c r="AZ4" s="3">
        <f t="shared" ref="AZ4:AZ35" si="2">AZ$87+AZ$88*BB4+AZ$89*BC4</f>
        <v>16.581641932700208</v>
      </c>
      <c r="BB4" s="31">
        <f>'BEV model year data'!D4</f>
        <v>110</v>
      </c>
      <c r="BC4">
        <f t="shared" ref="BC4:BC11" si="3">IF(BB4-250&lt;0,0,BB4-250)</f>
        <v>0</v>
      </c>
    </row>
    <row r="5" spans="1:55">
      <c r="A5">
        <v>2010</v>
      </c>
      <c r="B5" s="3">
        <f>AVERAGE('BEV model year data'!D6:D7)</f>
        <v>110</v>
      </c>
      <c r="C5" s="3">
        <f>'BEV model year data'!E7</f>
        <v>110</v>
      </c>
      <c r="D5" s="3">
        <f>'Range acceptance'!C5</f>
        <v>110</v>
      </c>
      <c r="E5" s="3"/>
      <c r="F5" s="3">
        <f>'BEV model year data'!I7</f>
        <v>15</v>
      </c>
      <c r="G5" s="3">
        <f t="shared" si="0"/>
        <v>16.581641932700208</v>
      </c>
      <c r="H5" s="3">
        <f t="shared" ref="H5:H25" si="4">D5</f>
        <v>110</v>
      </c>
      <c r="I5" s="3">
        <f t="shared" ref="I5:I25" si="5">IF(H5-250&gt;0,H5-250,0)</f>
        <v>0</v>
      </c>
      <c r="J5" s="3"/>
      <c r="K5">
        <v>2010</v>
      </c>
      <c r="L5" s="3">
        <f>'Lithium Battery costs'!I18</f>
        <v>1000</v>
      </c>
      <c r="M5" s="3"/>
      <c r="N5" s="13">
        <v>0</v>
      </c>
      <c r="O5" s="3">
        <f t="shared" ref="O5:O25" si="6">L5*(1-N5)+M5*(N5)</f>
        <v>1000</v>
      </c>
      <c r="P5" s="3">
        <f t="shared" ref="P5:P25" si="7">G5</f>
        <v>16.581641932700208</v>
      </c>
      <c r="Q5" s="3">
        <f>O5*P5</f>
        <v>16581.641932700208</v>
      </c>
      <c r="R5" s="3"/>
      <c r="S5" s="3"/>
      <c r="T5" s="3">
        <f t="shared" ref="T5:T16" si="8">U5*1000</f>
        <v>29592.57288696121</v>
      </c>
      <c r="U5" s="3">
        <f>'BEV model year data'!G4</f>
        <v>29.592572886961211</v>
      </c>
      <c r="V5" s="3">
        <f>AVERAGE('BEV model year data'!G6:G7)</f>
        <v>22.396158677128803</v>
      </c>
      <c r="W5" s="3">
        <f>MEDIAN('BEV model year data'!F4:F7)</f>
        <v>22</v>
      </c>
      <c r="X5" s="15">
        <v>30</v>
      </c>
      <c r="Y5" s="3"/>
      <c r="Z5">
        <v>2010</v>
      </c>
      <c r="AA5" s="3">
        <f>MEDIAN('BEV model year data'!D4:D7)</f>
        <v>110</v>
      </c>
      <c r="AB5" s="3">
        <f>MEDIAN('BEV model year data'!E5:E7)</f>
        <v>110</v>
      </c>
      <c r="AC5" s="3">
        <f>MEDIAN('BEV model year data'!E5:E7)</f>
        <v>110</v>
      </c>
      <c r="AE5" s="12">
        <v>142.15523505402163</v>
      </c>
      <c r="AH5" s="62">
        <f t="shared" si="1"/>
        <v>5</v>
      </c>
      <c r="AY5" s="31">
        <f>'BEV model year data'!I5</f>
        <v>16</v>
      </c>
      <c r="AZ5" s="3">
        <f t="shared" si="2"/>
        <v>15.07421993881837</v>
      </c>
      <c r="BB5" s="31">
        <f>'BEV model year data'!D5</f>
        <v>100</v>
      </c>
      <c r="BC5">
        <f t="shared" si="3"/>
        <v>0</v>
      </c>
    </row>
    <row r="6" spans="1:55">
      <c r="A6">
        <v>2011</v>
      </c>
      <c r="B6" s="3">
        <f>('BEV model year data'!D11+'BEV model year data'!D7)/2</f>
        <v>115</v>
      </c>
      <c r="C6" s="3">
        <f>'BEV model year data'!E11</f>
        <v>120</v>
      </c>
      <c r="D6" s="3">
        <f>'Range acceptance'!C6</f>
        <v>120</v>
      </c>
      <c r="E6" s="3"/>
      <c r="F6" s="3">
        <f>'BEV model year data'!I11</f>
        <v>24</v>
      </c>
      <c r="G6" s="3">
        <f t="shared" si="0"/>
        <v>18.089063926582043</v>
      </c>
      <c r="H6" s="3">
        <f t="shared" si="4"/>
        <v>120</v>
      </c>
      <c r="I6" s="3">
        <f t="shared" si="5"/>
        <v>0</v>
      </c>
      <c r="J6" s="3"/>
      <c r="K6">
        <v>2011</v>
      </c>
      <c r="L6" s="3">
        <f>'Lithium Battery costs'!I19</f>
        <v>833.75</v>
      </c>
      <c r="M6" s="3"/>
      <c r="N6" s="13">
        <v>0</v>
      </c>
      <c r="O6" s="3">
        <f t="shared" si="6"/>
        <v>833.75</v>
      </c>
      <c r="P6" s="3">
        <f t="shared" si="7"/>
        <v>18.089063926582043</v>
      </c>
      <c r="Q6" s="3">
        <f t="shared" ref="Q6:Q25" si="9">O6*P6</f>
        <v>15081.757048787778</v>
      </c>
      <c r="R6" s="3"/>
      <c r="S6" s="3"/>
      <c r="T6" s="3">
        <f t="shared" si="8"/>
        <v>31480.731780282647</v>
      </c>
      <c r="U6" s="3">
        <f>AVERAGE('BEV model year data'!G10:G11)</f>
        <v>31.480731780282646</v>
      </c>
      <c r="V6" s="3">
        <f>('BEV model year data'!G11+'BEV model year data'!G7)/2</f>
        <v>26.938445228705724</v>
      </c>
      <c r="W6" s="3">
        <f>MEDIAN('BEV model year data'!F5:F11)</f>
        <v>22</v>
      </c>
      <c r="X6" s="15">
        <v>30</v>
      </c>
      <c r="Y6" s="3"/>
      <c r="Z6">
        <v>2011</v>
      </c>
      <c r="AA6" s="3">
        <f>MEDIAN('BEV model year data'!D5:D11)</f>
        <v>110</v>
      </c>
      <c r="AB6" s="3">
        <f>MEDIAN('BEV model year data'!E5:E11)</f>
        <v>110</v>
      </c>
      <c r="AC6" s="3">
        <f>MEDIAN('BEV model year data'!E8:E11)</f>
        <v>105</v>
      </c>
      <c r="AE6" s="12">
        <v>146.64240570228091</v>
      </c>
      <c r="AH6" s="62">
        <f t="shared" si="1"/>
        <v>5</v>
      </c>
      <c r="AY6" s="31">
        <f>'BEV model year data'!I6</f>
        <v>15</v>
      </c>
      <c r="AZ6" s="3">
        <f t="shared" si="2"/>
        <v>16.581641932700208</v>
      </c>
      <c r="BB6" s="31">
        <f>'BEV model year data'!D6</f>
        <v>110</v>
      </c>
      <c r="BC6">
        <f t="shared" si="3"/>
        <v>0</v>
      </c>
    </row>
    <row r="7" spans="1:55">
      <c r="A7">
        <v>2012</v>
      </c>
      <c r="B7" s="3">
        <f>AVERAGE('BEV model year data'!D15:D16)</f>
        <v>167.5</v>
      </c>
      <c r="C7" s="3">
        <f>'BEV model year data'!E15</f>
        <v>200</v>
      </c>
      <c r="D7" s="3">
        <f>'Range acceptance'!C7</f>
        <v>145</v>
      </c>
      <c r="E7" s="3"/>
      <c r="F7" s="3">
        <f>'BEV model year data'!I15</f>
        <v>30</v>
      </c>
      <c r="G7" s="3">
        <f t="shared" si="0"/>
        <v>21.857618911286636</v>
      </c>
      <c r="H7" s="3">
        <f t="shared" si="4"/>
        <v>145</v>
      </c>
      <c r="I7" s="3">
        <f t="shared" si="5"/>
        <v>0</v>
      </c>
      <c r="J7" s="3"/>
      <c r="K7">
        <v>2012</v>
      </c>
      <c r="L7" s="3">
        <f>'Lithium Battery costs'!I20</f>
        <v>667.5</v>
      </c>
      <c r="M7" s="3">
        <f>'Lithium Battery costs'!G20</f>
        <v>542</v>
      </c>
      <c r="N7" s="13">
        <v>0.1</v>
      </c>
      <c r="O7" s="3">
        <f t="shared" si="6"/>
        <v>654.95000000000005</v>
      </c>
      <c r="P7" s="3">
        <f t="shared" si="7"/>
        <v>21.857618911286636</v>
      </c>
      <c r="Q7" s="3">
        <f t="shared" si="9"/>
        <v>14315.647505947183</v>
      </c>
      <c r="R7" s="3"/>
      <c r="S7" s="3"/>
      <c r="T7" s="3">
        <f t="shared" si="8"/>
        <v>34883.963278792595</v>
      </c>
      <c r="U7" s="3">
        <f>AVERAGE('BEV model year data'!G16,'BEV model year data'!G11)</f>
        <v>34.883963278792592</v>
      </c>
      <c r="V7" s="3">
        <f>AVERAGE('BEV model year data'!G15,'BEV model year data'!G16,'BEV model year data'!G11)</f>
        <v>30.700707837003886</v>
      </c>
      <c r="W7" s="3">
        <f>MEDIAN('BEV model year data'!F8:F16)</f>
        <v>29</v>
      </c>
      <c r="X7" s="3">
        <f>MEDIAN('BEV model year data'!G8:G16)</f>
        <v>30.842462459493706</v>
      </c>
      <c r="Y7" s="3"/>
      <c r="Z7">
        <v>2012</v>
      </c>
      <c r="AA7" s="3">
        <f>MEDIAN('BEV model year data'!D8:D16)</f>
        <v>120</v>
      </c>
      <c r="AB7" s="3">
        <f>MEDIAN('BEV model year data'!E8:E16)</f>
        <v>110</v>
      </c>
      <c r="AC7" s="3">
        <f>MEDIAN('BEV model year data'!E12:E16)</f>
        <v>135</v>
      </c>
      <c r="AE7" s="12">
        <v>149.67709687875151</v>
      </c>
      <c r="AH7" s="62">
        <f t="shared" si="1"/>
        <v>4.1379310344827589</v>
      </c>
      <c r="AY7" s="31">
        <f>'BEV model year data'!I7</f>
        <v>15</v>
      </c>
      <c r="AZ7" s="3">
        <f t="shared" si="2"/>
        <v>16.581641932700208</v>
      </c>
      <c r="BB7" s="31">
        <f>'BEV model year data'!D7</f>
        <v>110</v>
      </c>
      <c r="BC7">
        <f t="shared" si="3"/>
        <v>0</v>
      </c>
    </row>
    <row r="8" spans="1:55">
      <c r="A8">
        <v>2013</v>
      </c>
      <c r="B8" s="3">
        <f>AVERAGE('BEV model year data'!D15:D16)</f>
        <v>167.5</v>
      </c>
      <c r="C8" s="3">
        <f>'BEV model year data'!E17</f>
        <v>170</v>
      </c>
      <c r="D8" s="3">
        <f>'Range acceptance'!C8</f>
        <v>170</v>
      </c>
      <c r="E8" s="3"/>
      <c r="F8" s="3">
        <f>'BEV model year data'!I17</f>
        <v>22</v>
      </c>
      <c r="G8" s="3">
        <f t="shared" si="0"/>
        <v>25.626173895991229</v>
      </c>
      <c r="H8" s="3">
        <f t="shared" si="4"/>
        <v>170</v>
      </c>
      <c r="I8" s="3">
        <f t="shared" si="5"/>
        <v>0</v>
      </c>
      <c r="J8" s="3"/>
      <c r="K8">
        <v>2013</v>
      </c>
      <c r="L8" s="3">
        <f>'Lithium Battery costs'!I21</f>
        <v>501.25</v>
      </c>
      <c r="M8" s="3">
        <f>'Lithium Battery costs'!G21</f>
        <v>395.2797425093633</v>
      </c>
      <c r="N8" s="20">
        <f>N7+(N13-N7)/6</f>
        <v>0.11666666666666667</v>
      </c>
      <c r="O8" s="3">
        <f t="shared" si="6"/>
        <v>488.88680329275905</v>
      </c>
      <c r="P8" s="3">
        <f t="shared" si="7"/>
        <v>25.626173895991229</v>
      </c>
      <c r="Q8" s="3">
        <f t="shared" si="9"/>
        <v>12528.298236635501</v>
      </c>
      <c r="R8" s="3"/>
      <c r="S8" s="3"/>
      <c r="T8" s="3">
        <f t="shared" si="8"/>
        <v>37500</v>
      </c>
      <c r="U8" s="3">
        <f>AVERAGE('BEV model year data'!F18,'BEV model year data'!F16)</f>
        <v>37.5</v>
      </c>
      <c r="V8" s="3">
        <f>AVERAGE('BEV model year data'!G15,'BEV model year data'!G17,'BEV model year data'!G20)</f>
        <v>27.010756625871398</v>
      </c>
      <c r="W8" s="3">
        <f>MEDIAN('BEV model year data'!F12:F21)</f>
        <v>31</v>
      </c>
      <c r="X8" s="3">
        <f>MEDIAN('BEV model year data'!G12:G21)</f>
        <v>31.143929334439989</v>
      </c>
      <c r="Y8" s="3"/>
      <c r="Z8">
        <v>2013</v>
      </c>
      <c r="AA8" s="3">
        <f>MEDIAN('BEV model year data'!D12:D21)</f>
        <v>137.5</v>
      </c>
      <c r="AB8" s="3">
        <f>MEDIAN('BEV model year data'!E12:E21)</f>
        <v>135</v>
      </c>
      <c r="AC8" s="3">
        <f>MEDIAN('BEV model year data'!E17:E21)</f>
        <v>135</v>
      </c>
      <c r="AE8" s="12">
        <v>151.86950642256903</v>
      </c>
      <c r="AH8" s="62">
        <f t="shared" si="1"/>
        <v>4.435483870967742</v>
      </c>
      <c r="AY8" s="31">
        <f>'BEV model year data'!I8</f>
        <v>6</v>
      </c>
      <c r="AZ8" s="3">
        <f t="shared" si="2"/>
        <v>12.059375951054696</v>
      </c>
      <c r="BB8" s="31">
        <f>'BEV model year data'!D8</f>
        <v>80</v>
      </c>
      <c r="BC8">
        <f t="shared" si="3"/>
        <v>0</v>
      </c>
    </row>
    <row r="9" spans="1:55">
      <c r="A9">
        <v>2014</v>
      </c>
      <c r="B9" s="3">
        <f>AVERAGE('BEV model year data'!D17,'BEV model year data'!D24,'BEV model year data'!D26:D27)</f>
        <v>170</v>
      </c>
      <c r="C9" s="3">
        <f>'BEV model year data'!E24</f>
        <v>180</v>
      </c>
      <c r="D9" s="3">
        <f>'Range acceptance'!C9</f>
        <v>210</v>
      </c>
      <c r="E9" s="3"/>
      <c r="F9" s="3">
        <f>'BEV model year data'!I24</f>
        <v>42</v>
      </c>
      <c r="G9" s="3">
        <f t="shared" si="0"/>
        <v>31.655861871518578</v>
      </c>
      <c r="H9" s="3">
        <f t="shared" si="4"/>
        <v>210</v>
      </c>
      <c r="I9" s="3">
        <f t="shared" si="5"/>
        <v>0</v>
      </c>
      <c r="J9" s="3"/>
      <c r="K9">
        <v>2014</v>
      </c>
      <c r="L9" s="3">
        <f>'Lithium Battery costs'!I22</f>
        <v>335</v>
      </c>
      <c r="M9" s="3">
        <f>'Lithium Battery costs'!G22</f>
        <v>256.33898876404493</v>
      </c>
      <c r="N9" s="20">
        <f>N8+(N13-N7)/6</f>
        <v>0.13333333333333333</v>
      </c>
      <c r="O9" s="3">
        <f t="shared" si="6"/>
        <v>324.51186516853937</v>
      </c>
      <c r="P9" s="3">
        <f t="shared" si="7"/>
        <v>31.655861871518578</v>
      </c>
      <c r="Q9" s="3">
        <f t="shared" si="9"/>
        <v>10272.702779444144</v>
      </c>
      <c r="R9" s="3"/>
      <c r="S9" s="3"/>
      <c r="T9" s="3">
        <f t="shared" si="8"/>
        <v>41819.246327530593</v>
      </c>
      <c r="U9" s="61">
        <f>AVERAGE('BEV model year data'!G25,'BEV model year data'!G18,'BEV model year data'!G22)</f>
        <v>41.819246327530593</v>
      </c>
      <c r="V9" s="3">
        <f>AVERAGE('BEV model year data'!G17,'BEV model year data'!G26:G27)</f>
        <v>27.982948187918485</v>
      </c>
      <c r="W9" s="3">
        <f>MEDIAN('BEV model year data'!F17:F27)</f>
        <v>32</v>
      </c>
      <c r="X9" s="3">
        <f>MEDIAN('BEV model year data'!G17:G27)</f>
        <v>33.541755956678692</v>
      </c>
      <c r="Y9" s="3"/>
      <c r="Z9">
        <v>2014</v>
      </c>
      <c r="AA9" s="3">
        <f>MEDIAN('BEV model year data'!D17:D27)</f>
        <v>140</v>
      </c>
      <c r="AB9" s="3">
        <f>MEDIAN('BEV model year data'!E17:E27)</f>
        <v>140</v>
      </c>
      <c r="AC9" s="3">
        <f>MEDIAN('BEV model year data'!E22:E27)</f>
        <v>152.5</v>
      </c>
      <c r="AE9" s="12">
        <v>154.3331150060024</v>
      </c>
      <c r="AH9" s="62">
        <f t="shared" si="1"/>
        <v>4.375</v>
      </c>
      <c r="AY9" s="31">
        <f>'BEV model year data'!I9</f>
        <v>22</v>
      </c>
      <c r="AZ9" s="3">
        <f t="shared" si="2"/>
        <v>16.581641932700208</v>
      </c>
      <c r="BB9" s="31">
        <f>'BEV model year data'!D9</f>
        <v>110</v>
      </c>
      <c r="BC9">
        <f t="shared" si="3"/>
        <v>0</v>
      </c>
    </row>
    <row r="10" spans="1:55">
      <c r="A10">
        <v>2015</v>
      </c>
      <c r="B10" s="3">
        <f>AVERAGE('BEV model year data'!D31,'BEV model year data'!D27,'BEV model year data'!D24)</f>
        <v>200</v>
      </c>
      <c r="C10" s="3">
        <f>'BEV model year data'!E31</f>
        <v>250</v>
      </c>
      <c r="D10" s="3">
        <f>'Range acceptance'!C10</f>
        <v>250</v>
      </c>
      <c r="E10" s="3"/>
      <c r="F10" s="3">
        <f>'BEV model year data'!I31</f>
        <v>30</v>
      </c>
      <c r="G10" s="3">
        <f t="shared" si="0"/>
        <v>37.685549847045927</v>
      </c>
      <c r="H10" s="3">
        <f t="shared" si="4"/>
        <v>250</v>
      </c>
      <c r="I10" s="3">
        <f t="shared" si="5"/>
        <v>0</v>
      </c>
      <c r="J10" s="3"/>
      <c r="K10">
        <v>2015</v>
      </c>
      <c r="L10" s="3">
        <f>'Lithium Battery costs'!I23</f>
        <v>280</v>
      </c>
      <c r="M10" s="3">
        <f>'Lithium Battery costs'!G23</f>
        <v>207.70232209737824</v>
      </c>
      <c r="N10" s="20">
        <f>N9+(N13-N7)/6</f>
        <v>0.15</v>
      </c>
      <c r="O10" s="3">
        <f t="shared" si="6"/>
        <v>269.15534831460673</v>
      </c>
      <c r="P10" s="3">
        <f t="shared" si="7"/>
        <v>37.685549847045927</v>
      </c>
      <c r="Q10" s="3">
        <f t="shared" si="9"/>
        <v>10143.26729550912</v>
      </c>
      <c r="R10" s="3"/>
      <c r="S10" s="3"/>
      <c r="T10" s="3">
        <f t="shared" si="8"/>
        <v>42289.361955194807</v>
      </c>
      <c r="U10" s="3">
        <f>AVERAGE('BEV model year data'!G22,'BEV model year data'!G25)</f>
        <v>42.289361955194806</v>
      </c>
      <c r="V10" s="3">
        <f>AVERAGE('BEV model year data'!G31,'BEV model year data'!G27,'BEV model year data'!G26)</f>
        <v>31.273392532082145</v>
      </c>
      <c r="W10" s="3">
        <f>MEDIAN('BEV model year data'!F22:F31)</f>
        <v>39</v>
      </c>
      <c r="X10" s="15">
        <v>30</v>
      </c>
      <c r="Y10" s="3"/>
      <c r="Z10">
        <v>2015</v>
      </c>
      <c r="AA10" s="3">
        <f>MEDIAN('BEV model year data'!D22:D31)</f>
        <v>152.5</v>
      </c>
      <c r="AB10" s="3">
        <f>MEDIAN('BEV model year data'!E22:E31)</f>
        <v>145</v>
      </c>
      <c r="AC10" s="3">
        <f>MEDIAN('BEV model year data'!E28:E31)</f>
        <v>145</v>
      </c>
      <c r="AE10" s="12">
        <v>154.51630474189676</v>
      </c>
      <c r="AH10" s="62">
        <f t="shared" si="1"/>
        <v>3.9102564102564101</v>
      </c>
      <c r="AY10" s="31">
        <f>'BEV model year data'!I10</f>
        <v>22</v>
      </c>
      <c r="AZ10" s="3">
        <f t="shared" si="2"/>
        <v>15.07421993881837</v>
      </c>
      <c r="BB10" s="31">
        <f>'BEV model year data'!D10</f>
        <v>100</v>
      </c>
      <c r="BC10">
        <f t="shared" si="3"/>
        <v>0</v>
      </c>
    </row>
    <row r="11" spans="1:55">
      <c r="A11">
        <v>2016</v>
      </c>
      <c r="B11" s="3">
        <f>AVERAGE('BEV model year data'!D31,'BEV model year data'!D34,'BEV model year data'!D37)</f>
        <v>311.66666666666669</v>
      </c>
      <c r="C11" s="3">
        <f>AVERAGE('BEV model year data'!E34,'BEV model year data'!E37)</f>
        <v>342.5</v>
      </c>
      <c r="D11" s="3">
        <f>'Range acceptance'!C11</f>
        <v>297.77777777777777</v>
      </c>
      <c r="E11" s="3"/>
      <c r="F11" s="3">
        <f>AVERAGE('BEV model year data'!I34,'BEV model year data'!I37)</f>
        <v>50.5</v>
      </c>
      <c r="G11" s="3">
        <f t="shared" si="0"/>
        <v>48.836970011281245</v>
      </c>
      <c r="H11" s="3">
        <f t="shared" si="4"/>
        <v>297.77777777777777</v>
      </c>
      <c r="I11" s="3">
        <f t="shared" si="5"/>
        <v>47.777777777777771</v>
      </c>
      <c r="J11" s="3"/>
      <c r="K11">
        <v>2016</v>
      </c>
      <c r="L11" s="3">
        <f>'Lithium Battery costs'!I24</f>
        <v>250</v>
      </c>
      <c r="M11" s="3">
        <f>'Lithium Battery costs'!G24</f>
        <v>179.59925093632955</v>
      </c>
      <c r="N11" s="20">
        <f>N10+(N13-N7)/6</f>
        <v>0.16666666666666666</v>
      </c>
      <c r="O11" s="3">
        <f t="shared" si="6"/>
        <v>238.26654182272159</v>
      </c>
      <c r="P11" s="3">
        <f t="shared" si="7"/>
        <v>48.836970011281245</v>
      </c>
      <c r="Q11" s="3">
        <f t="shared" si="9"/>
        <v>11636.215957687942</v>
      </c>
      <c r="R11" s="3"/>
      <c r="S11" s="3"/>
      <c r="T11" s="3">
        <f t="shared" si="8"/>
        <v>37555</v>
      </c>
      <c r="U11" s="3">
        <f>AVERAGE('BEV model year data'!G32,'BEV model year data'!G34,'BEV model year data'!G37)</f>
        <v>37.555</v>
      </c>
      <c r="V11" s="3">
        <f>AVERAGE('BEV model year data'!G31,'BEV model year data'!G34,'BEV model year data'!G37)</f>
        <v>36.035883333333324</v>
      </c>
      <c r="W11" s="3">
        <f>MEDIAN('BEV model year data'!F28:F37)</f>
        <v>34</v>
      </c>
      <c r="X11" s="15">
        <v>30</v>
      </c>
      <c r="Y11" s="3"/>
      <c r="Z11">
        <v>2016</v>
      </c>
      <c r="AA11" s="3">
        <f>MEDIAN('BEV model year data'!D28:D37)</f>
        <v>165</v>
      </c>
      <c r="AB11" s="3">
        <f>MEDIAN('BEV model year data'!E28:E37)</f>
        <v>145</v>
      </c>
      <c r="AC11" s="3">
        <f>MEDIAN('BEV model year data'!E32:E37)</f>
        <v>158</v>
      </c>
      <c r="AE11" s="12">
        <v>156.83404931302519</v>
      </c>
      <c r="AH11" s="62">
        <f t="shared" si="1"/>
        <v>4.8529411764705879</v>
      </c>
      <c r="AY11" s="31">
        <f>'BEV model year data'!I11</f>
        <v>24</v>
      </c>
      <c r="AZ11" s="3">
        <f t="shared" si="2"/>
        <v>18.089063926582043</v>
      </c>
      <c r="BB11" s="31">
        <f>'BEV model year data'!D11</f>
        <v>120</v>
      </c>
      <c r="BC11">
        <f t="shared" si="3"/>
        <v>0</v>
      </c>
    </row>
    <row r="12" spans="1:55">
      <c r="A12">
        <v>2017</v>
      </c>
      <c r="B12" s="3">
        <f>AVERAGE('BEV model year data'!D34,'BEV model year data'!D37:D39)</f>
        <v>316.25</v>
      </c>
      <c r="C12" s="3">
        <f>AVERAGE('BEV model year data'!E34,'BEV model year data'!E37:E39)</f>
        <v>316.25</v>
      </c>
      <c r="D12" s="3">
        <f>'Range acceptance'!C12</f>
        <v>345.55555555555554</v>
      </c>
      <c r="E12" s="3"/>
      <c r="F12" s="3">
        <f>AVERAGE('BEV model year data'!I34,'BEV model year data'!I37:I39)</f>
        <v>47.25</v>
      </c>
      <c r="G12" s="3">
        <f t="shared" si="0"/>
        <v>59.988390175516578</v>
      </c>
      <c r="H12" s="3">
        <f t="shared" si="4"/>
        <v>345.55555555555554</v>
      </c>
      <c r="I12" s="3">
        <f t="shared" si="5"/>
        <v>95.555555555555543</v>
      </c>
      <c r="J12" s="3"/>
      <c r="K12">
        <v>2017</v>
      </c>
      <c r="L12" s="3">
        <f>'Lithium Battery costs'!I25</f>
        <v>200</v>
      </c>
      <c r="M12" s="3">
        <f>'Lithium Battery costs'!G25</f>
        <v>139</v>
      </c>
      <c r="N12" s="20">
        <f>N11+(N13-N7)/6</f>
        <v>0.18333333333333332</v>
      </c>
      <c r="O12" s="3">
        <f t="shared" si="6"/>
        <v>188.81666666666666</v>
      </c>
      <c r="P12" s="3">
        <f t="shared" si="7"/>
        <v>59.988390175516578</v>
      </c>
      <c r="Q12" s="3">
        <f t="shared" si="9"/>
        <v>11326.807871640454</v>
      </c>
      <c r="R12" s="3"/>
      <c r="S12" s="3"/>
      <c r="T12" s="3">
        <f t="shared" si="8"/>
        <v>37416.25</v>
      </c>
      <c r="U12" s="3">
        <f>AVERAGE('BEV model year data'!G32,'BEV model year data'!G34,'BEV model year data'!G39,'BEV model year data'!G37)</f>
        <v>37.416249999999998</v>
      </c>
      <c r="V12" s="3">
        <f>AVERAGE('BEV model year data'!G34,'BEV model year data'!G37:G39)</f>
        <v>35.019999999999996</v>
      </c>
      <c r="W12" s="3">
        <f>MEDIAN('BEV model year data'!F32:F44)</f>
        <v>30</v>
      </c>
      <c r="X12" s="3">
        <f>MEDIAN('BEV model year data'!G32:G44)</f>
        <v>30</v>
      </c>
      <c r="Y12" s="3"/>
      <c r="Z12">
        <v>2017</v>
      </c>
      <c r="AA12" s="3">
        <f>MEDIAN('BEV model year data'!D32:D44)</f>
        <v>160</v>
      </c>
      <c r="AB12" s="3">
        <f>MEDIAN('BEV model year data'!E32:E44)</f>
        <v>160</v>
      </c>
      <c r="AC12" s="3">
        <f>MEDIAN('BEV model year data'!E38:E44)</f>
        <v>160</v>
      </c>
      <c r="AE12" s="12">
        <v>159.18656005272055</v>
      </c>
      <c r="AG12" s="19"/>
      <c r="AH12" s="62">
        <f t="shared" si="1"/>
        <v>5.333333333333333</v>
      </c>
      <c r="AY12" s="31">
        <f>'BEV model year data'!I12</f>
        <v>80</v>
      </c>
      <c r="AZ12" s="3">
        <f t="shared" si="2"/>
        <v>69.194795194827137</v>
      </c>
      <c r="BB12" s="31">
        <f>'BEV model year data'!D12</f>
        <v>385</v>
      </c>
      <c r="BC12">
        <f>IF(BB12-250&lt;0,0,BB12-250)</f>
        <v>135</v>
      </c>
    </row>
    <row r="13" spans="1:55">
      <c r="A13">
        <v>2018</v>
      </c>
      <c r="B13" s="3">
        <f>AVERAGE('BEV model year data'!D39,'BEV model year data'!D49,'BEV model year data'!D50,'BEV model year data'!D53,'BEV model year data'!D54,'BEV model year data'!D55,'BEV model year data'!D57)</f>
        <v>391.42857142857144</v>
      </c>
      <c r="C13" s="3">
        <f>AVERAGE('BEV model year data'!E49,'BEV model year data'!E50,'BEV model year data'!E53,'BEV model year data'!E54,'BEV model year data'!E55,'BEV model year data'!E57)</f>
        <v>393.33333333333331</v>
      </c>
      <c r="D13" s="3">
        <f>'Range acceptance'!C13</f>
        <v>393.33333333333331</v>
      </c>
      <c r="E13" s="3"/>
      <c r="F13" s="3">
        <f>AVERAGE('BEV model year data'!I49,'BEV model year data'!I50,'BEV model year data'!I53,'BEV model year data'!I54,'BEV model year data'!I55,'BEV model year data'!I57)</f>
        <v>68</v>
      </c>
      <c r="G13" s="3">
        <f t="shared" si="0"/>
        <v>71.139810339751904</v>
      </c>
      <c r="H13" s="3">
        <f t="shared" si="4"/>
        <v>393.33333333333331</v>
      </c>
      <c r="I13" s="3">
        <f t="shared" si="5"/>
        <v>143.33333333333331</v>
      </c>
      <c r="J13" s="3"/>
      <c r="K13">
        <v>2018</v>
      </c>
      <c r="L13" s="3">
        <f>'Lithium Battery costs'!I26</f>
        <v>185</v>
      </c>
      <c r="M13" s="3">
        <f>'Lithium Battery costs'!G26</f>
        <v>122.71666666666667</v>
      </c>
      <c r="N13" s="13">
        <v>0.2</v>
      </c>
      <c r="O13" s="3">
        <f>L13*(1-N13)+M13*(N13)</f>
        <v>172.54333333333335</v>
      </c>
      <c r="P13" s="3">
        <f t="shared" si="7"/>
        <v>71.139810339751904</v>
      </c>
      <c r="Q13" s="3">
        <f t="shared" si="9"/>
        <v>12274.700008721928</v>
      </c>
      <c r="R13" s="3"/>
      <c r="S13" s="3"/>
      <c r="T13" s="3">
        <f t="shared" si="8"/>
        <v>39714.285714285717</v>
      </c>
      <c r="U13" s="3">
        <f>AVERAGE('BEV model year data'!G50,'BEV model year data'!G48,'BEV model year data'!G58,'BEV model year data'!G53,'BEV model year data'!G54,'BEV model year data'!G39,'BEV model year data'!G57)</f>
        <v>39.714285714285715</v>
      </c>
      <c r="V13" s="3">
        <f>MEDIAN('BEV model year data'!G39,'BEV model year data'!G49,'BEV model year data'!G50,'BEV model year data'!G54,'BEV model year data'!G55,'BEV model year data'!G57)</f>
        <v>37</v>
      </c>
      <c r="W13" s="3">
        <f>MEDIAN('BEV model year data'!F38:F60)</f>
        <v>35</v>
      </c>
      <c r="X13" s="3"/>
      <c r="Y13" s="3"/>
      <c r="Z13">
        <v>2018</v>
      </c>
      <c r="AA13" s="3">
        <f>MEDIAN('BEV model year data'!D38:D60)</f>
        <v>240</v>
      </c>
      <c r="AB13" s="3">
        <f>MEDIAN('BEV model year data'!E38:E60)</f>
        <v>220</v>
      </c>
      <c r="AC13" s="3">
        <f>MEDIAN('BEV model year data'!E45:E60)</f>
        <v>350</v>
      </c>
      <c r="AH13" s="62">
        <f t="shared" si="1"/>
        <v>6.8571428571428568</v>
      </c>
      <c r="AY13" s="31">
        <f>'BEV model year data'!I13</f>
        <v>90</v>
      </c>
      <c r="AZ13" s="3">
        <f t="shared" si="2"/>
        <v>86.699931499150026</v>
      </c>
      <c r="BB13" s="31">
        <f>'BEV model year data'!D13</f>
        <v>460</v>
      </c>
      <c r="BC13">
        <f>IF(BB13-250&lt;0,0,BB13-250)</f>
        <v>210</v>
      </c>
    </row>
    <row r="14" spans="1:55">
      <c r="A14">
        <v>2019</v>
      </c>
      <c r="B14" s="61">
        <f>AVERAGE('BEV model year data'!D50,'BEV model year data'!D55,'BEV model year data'!D57,'BEV model year data'!D62,'BEV model year data'!D63,'BEV model year data'!D72)</f>
        <v>445</v>
      </c>
      <c r="C14" s="61">
        <f>AVERAGE('BEV model year data'!E63,'BEV model year data'!E72)</f>
        <v>500</v>
      </c>
      <c r="D14" s="3">
        <f>'Range acceptance'!C14</f>
        <v>470.55555555555554</v>
      </c>
      <c r="E14" s="3"/>
      <c r="F14" s="61">
        <f>AVERAGE('BEV model year data'!I63,'BEV model year data'!I72)</f>
        <v>100</v>
      </c>
      <c r="G14" s="3">
        <f t="shared" si="0"/>
        <v>89.163617349388076</v>
      </c>
      <c r="H14" s="3">
        <f t="shared" si="4"/>
        <v>470.55555555555554</v>
      </c>
      <c r="I14" s="3">
        <f t="shared" si="5"/>
        <v>220.55555555555554</v>
      </c>
      <c r="J14" s="3"/>
      <c r="K14">
        <v>2019</v>
      </c>
      <c r="L14" s="3">
        <f>'Lithium Battery costs'!I27</f>
        <v>175</v>
      </c>
      <c r="M14" s="3">
        <f>'Lithium Battery costs'!G27</f>
        <v>110.54166666666667</v>
      </c>
      <c r="N14" s="20">
        <f>N13+(N16-N13)/3</f>
        <v>0.41666666666666663</v>
      </c>
      <c r="O14" s="3">
        <f t="shared" si="6"/>
        <v>148.14236111111111</v>
      </c>
      <c r="P14" s="3">
        <f t="shared" si="7"/>
        <v>89.163617349388076</v>
      </c>
      <c r="Q14" s="3">
        <f t="shared" si="9"/>
        <v>13208.90879934598</v>
      </c>
      <c r="R14" s="3"/>
      <c r="S14" s="3"/>
      <c r="T14" s="3">
        <f t="shared" si="8"/>
        <v>40333.333333333336</v>
      </c>
      <c r="U14" s="61">
        <f>AVERAGE('BEV model year data'!G48,'BEV model year data'!G50,'BEV model year data'!G58,'BEV model year data'!G53,'BEV model year data'!G54,'BEV model year data'!G63)</f>
        <v>40.333333333333336</v>
      </c>
      <c r="V14" s="61">
        <f>MEDIAN('BEV model year data'!G50,'BEV model year data'!G62,'BEV model year data'!G63,'BEV model year data'!G72,'BEV model year data'!G53,'BEV model year data'!G57,'BEV model year data'!G55)</f>
        <v>38</v>
      </c>
      <c r="W14" s="3">
        <f>MEDIAN('BEV model year data'!F45:F72)</f>
        <v>38</v>
      </c>
      <c r="X14" s="3"/>
      <c r="Y14" s="3"/>
      <c r="Z14">
        <v>2019</v>
      </c>
      <c r="AA14" s="3">
        <f>MEDIAN('BEV model year data'!D45:D72)</f>
        <v>352.5</v>
      </c>
      <c r="AB14" s="3">
        <f>MEDIAN('BEV model year data'!E45:E72)</f>
        <v>350</v>
      </c>
      <c r="AC14" s="3">
        <f>MEDIAN('BEV model year data'!E61:E72)</f>
        <v>325</v>
      </c>
      <c r="AH14" s="62">
        <f t="shared" si="1"/>
        <v>9.276315789473685</v>
      </c>
      <c r="AY14" s="31">
        <f>'BEV model year data'!I14</f>
        <v>23</v>
      </c>
      <c r="AZ14" s="3">
        <f t="shared" si="2"/>
        <v>16.581641932700208</v>
      </c>
      <c r="BB14" s="31">
        <f>'BEV model year data'!D14</f>
        <v>110</v>
      </c>
      <c r="BC14">
        <f t="shared" ref="BC14:BC28" si="10">IF(BB14-250&lt;0,0,BB14-250)</f>
        <v>0</v>
      </c>
    </row>
    <row r="15" spans="1:55">
      <c r="A15">
        <v>2020</v>
      </c>
      <c r="B15" s="15">
        <f>(B14+B16)/2</f>
        <v>535</v>
      </c>
      <c r="C15" s="15">
        <f>(C14+C16)/2</f>
        <v>562.5</v>
      </c>
      <c r="D15" s="3">
        <f>'Range acceptance'!C15</f>
        <v>547.77777777777783</v>
      </c>
      <c r="E15" s="3"/>
      <c r="F15" s="15">
        <f>(F14+F16)/2</f>
        <v>111.25</v>
      </c>
      <c r="G15" s="3">
        <f t="shared" si="0"/>
        <v>107.18742435902425</v>
      </c>
      <c r="H15" s="3">
        <f t="shared" si="4"/>
        <v>547.77777777777783</v>
      </c>
      <c r="I15" s="3">
        <f t="shared" si="5"/>
        <v>297.77777777777783</v>
      </c>
      <c r="J15" s="3"/>
      <c r="K15">
        <v>2020</v>
      </c>
      <c r="L15" s="3">
        <f>'Lithium Battery costs'!I28</f>
        <v>165</v>
      </c>
      <c r="M15" s="3">
        <f>'Lithium Battery costs'!G28</f>
        <v>99</v>
      </c>
      <c r="N15" s="20">
        <f>N14+(N16-N13)/3</f>
        <v>0.6333333333333333</v>
      </c>
      <c r="O15" s="3">
        <f t="shared" si="6"/>
        <v>123.2</v>
      </c>
      <c r="P15" s="3">
        <f t="shared" si="7"/>
        <v>107.18742435902425</v>
      </c>
      <c r="Q15" s="3">
        <f t="shared" si="9"/>
        <v>13205.490681031788</v>
      </c>
      <c r="R15" s="3"/>
      <c r="S15" s="3"/>
      <c r="T15" s="3">
        <f t="shared" si="8"/>
        <v>39166.666666666672</v>
      </c>
      <c r="U15" s="15">
        <f>(U14+U16)/2</f>
        <v>39.166666666666671</v>
      </c>
      <c r="V15" s="15">
        <f>(V14+V16)/2</f>
        <v>36.25</v>
      </c>
      <c r="W15" s="15">
        <f>(W14+W16)/2</f>
        <v>57.75</v>
      </c>
      <c r="X15" s="15"/>
      <c r="Y15" s="15"/>
      <c r="Z15">
        <v>2020</v>
      </c>
      <c r="AA15" s="15">
        <f>(AA14+AA16)/2</f>
        <v>446.25</v>
      </c>
      <c r="AB15" s="15">
        <f>(AB14+AB16)/2</f>
        <v>440</v>
      </c>
      <c r="AC15" s="15">
        <f>(AC14+AC16)/2</f>
        <v>427.5</v>
      </c>
      <c r="AE15" s="61"/>
      <c r="AY15" s="31">
        <f>'BEV model year data'!I15</f>
        <v>30</v>
      </c>
      <c r="AZ15" s="3">
        <f t="shared" si="2"/>
        <v>30.14843987763674</v>
      </c>
      <c r="BB15" s="31">
        <f>'BEV model year data'!D15</f>
        <v>200</v>
      </c>
      <c r="BC15">
        <f t="shared" si="10"/>
        <v>0</v>
      </c>
    </row>
    <row r="16" spans="1:55">
      <c r="A16">
        <v>2021</v>
      </c>
      <c r="B16" s="3">
        <f>AVERAGE('BEV model year data'!D77,'BEV model year data'!D82)</f>
        <v>625</v>
      </c>
      <c r="C16" s="3">
        <f>AVERAGE('BEV model year data'!E77,'BEV model year data'!E82)</f>
        <v>625</v>
      </c>
      <c r="D16" s="3">
        <f>'Range acceptance'!C16</f>
        <v>625</v>
      </c>
      <c r="E16" s="3"/>
      <c r="F16" s="3">
        <f>AVERAGE('BEV model year data'!I77,'BEV model year data'!I82)</f>
        <v>122.5</v>
      </c>
      <c r="G16" s="3">
        <f t="shared" si="0"/>
        <v>125.21123136866039</v>
      </c>
      <c r="H16" s="3">
        <f t="shared" si="4"/>
        <v>625</v>
      </c>
      <c r="I16" s="3">
        <f t="shared" si="5"/>
        <v>375</v>
      </c>
      <c r="J16" s="3"/>
      <c r="K16">
        <v>2021</v>
      </c>
      <c r="L16" s="3">
        <f>'Lithium Battery costs'!I29</f>
        <v>155</v>
      </c>
      <c r="M16" s="3">
        <f>'Lithium Battery costs'!G29</f>
        <v>89.899999999999991</v>
      </c>
      <c r="N16" s="72">
        <v>0.85</v>
      </c>
      <c r="O16" s="3">
        <f>L16*(1-N16)+M16*(N16)</f>
        <v>99.664999999999992</v>
      </c>
      <c r="P16" s="3">
        <f t="shared" si="7"/>
        <v>125.21123136866039</v>
      </c>
      <c r="Q16" s="3">
        <f t="shared" si="9"/>
        <v>12479.177374357538</v>
      </c>
      <c r="R16" s="13"/>
      <c r="S16" s="3"/>
      <c r="T16" s="3">
        <f t="shared" si="8"/>
        <v>38000</v>
      </c>
      <c r="U16" s="3">
        <f>'BEV model year data'!G77</f>
        <v>38</v>
      </c>
      <c r="V16" s="3">
        <f>AVERAGE('BEV model year data'!G77,'BEV model year data'!G78)</f>
        <v>34.5</v>
      </c>
      <c r="W16" s="3">
        <f>MEDIAN('BEV model year data'!F73:F87)</f>
        <v>77.5</v>
      </c>
      <c r="X16" s="3"/>
      <c r="Y16" s="3"/>
      <c r="Z16">
        <v>2021</v>
      </c>
      <c r="AA16" s="3">
        <f>MEDIAN('BEV model year data'!D73:D87)</f>
        <v>540</v>
      </c>
      <c r="AB16" s="3">
        <f>MEDIAN('BEV model year data'!E73:E87)</f>
        <v>530</v>
      </c>
      <c r="AC16" s="3">
        <f>MEDIAN('BEV model year data'!E73:E87)</f>
        <v>530</v>
      </c>
      <c r="AE16" s="3"/>
      <c r="AY16" s="31">
        <f>'BEV model year data'!I16</f>
        <v>20</v>
      </c>
      <c r="AZ16" s="3">
        <f t="shared" si="2"/>
        <v>20.350196917404798</v>
      </c>
      <c r="BB16" s="31">
        <f>'BEV model year data'!D16</f>
        <v>135</v>
      </c>
      <c r="BC16">
        <f t="shared" si="10"/>
        <v>0</v>
      </c>
    </row>
    <row r="17" spans="1:55">
      <c r="A17">
        <v>2022</v>
      </c>
      <c r="B17" s="3">
        <f>D17</f>
        <v>703.27855980540699</v>
      </c>
      <c r="C17" s="3">
        <f>B17</f>
        <v>703.27855980540699</v>
      </c>
      <c r="D17" s="3">
        <f>'Range acceptance'!C17</f>
        <v>703.27855980540699</v>
      </c>
      <c r="E17" s="3"/>
      <c r="F17" s="15">
        <f>G17</f>
        <v>143.48158948999028</v>
      </c>
      <c r="G17" s="3">
        <f t="shared" si="0"/>
        <v>143.48158948999028</v>
      </c>
      <c r="H17" s="3">
        <f t="shared" si="4"/>
        <v>703.27855980540699</v>
      </c>
      <c r="I17" s="3">
        <f t="shared" si="5"/>
        <v>453.27855980540699</v>
      </c>
      <c r="J17" s="3"/>
      <c r="K17">
        <v>2022</v>
      </c>
      <c r="L17" s="3">
        <f>'Lithium Battery costs'!I30</f>
        <v>150</v>
      </c>
      <c r="M17" s="3">
        <f>'Lithium Battery costs'!G30</f>
        <v>83.999999999999986</v>
      </c>
      <c r="N17" s="20">
        <f>N16+(N20-N16)/4</f>
        <v>0.875</v>
      </c>
      <c r="O17" s="3">
        <f t="shared" si="6"/>
        <v>92.249999999999986</v>
      </c>
      <c r="P17" s="3">
        <f t="shared" si="7"/>
        <v>143.48158948999028</v>
      </c>
      <c r="Q17" s="3">
        <f t="shared" si="9"/>
        <v>13236.176630451602</v>
      </c>
      <c r="R17" s="3"/>
      <c r="S17" s="3"/>
      <c r="T17" s="3"/>
      <c r="U17" s="3"/>
      <c r="Z17">
        <v>2022</v>
      </c>
      <c r="AA17" s="3">
        <f t="shared" ref="AA17:AA25" si="11">D17*AA$16/D$16</f>
        <v>607.63267567187165</v>
      </c>
      <c r="AB17" s="3">
        <f>AA17</f>
        <v>607.63267567187165</v>
      </c>
      <c r="AC17" s="3">
        <f>AB17</f>
        <v>607.63267567187165</v>
      </c>
      <c r="AH17" s="19"/>
      <c r="AY17" s="31">
        <f>'BEV model year data'!I17</f>
        <v>22</v>
      </c>
      <c r="AZ17" s="3">
        <f t="shared" si="2"/>
        <v>25.626173895991229</v>
      </c>
      <c r="BB17" s="31">
        <f>'BEV model year data'!D17</f>
        <v>170</v>
      </c>
      <c r="BC17">
        <f t="shared" si="10"/>
        <v>0</v>
      </c>
    </row>
    <row r="18" spans="1:55">
      <c r="A18">
        <v>2023</v>
      </c>
      <c r="B18" s="3">
        <f t="shared" ref="B18:B25" si="12">D18</f>
        <v>750</v>
      </c>
      <c r="C18" s="3">
        <f t="shared" ref="C18:C25" si="13">B18</f>
        <v>750</v>
      </c>
      <c r="D18" s="3">
        <f>'Range acceptance'!C18</f>
        <v>750</v>
      </c>
      <c r="E18" s="3"/>
      <c r="F18" s="15">
        <f t="shared" ref="F18:F25" si="14">G18</f>
        <v>154.3864585425319</v>
      </c>
      <c r="G18" s="3">
        <f>G$29+G$30*H18+G$31*I18</f>
        <v>154.3864585425319</v>
      </c>
      <c r="H18" s="3">
        <f t="shared" si="4"/>
        <v>750</v>
      </c>
      <c r="I18" s="3">
        <f t="shared" si="5"/>
        <v>500</v>
      </c>
      <c r="J18" s="3"/>
      <c r="K18">
        <v>2023</v>
      </c>
      <c r="L18" s="3">
        <f>'Lithium Battery costs'!I31</f>
        <v>145</v>
      </c>
      <c r="M18" s="3">
        <f>'Lithium Battery costs'!G31</f>
        <v>78.299999999999983</v>
      </c>
      <c r="N18" s="20">
        <f>N17+(N20-N16)/4</f>
        <v>0.9</v>
      </c>
      <c r="O18" s="3">
        <f t="shared" si="6"/>
        <v>84.969999999999985</v>
      </c>
      <c r="P18" s="3">
        <f t="shared" si="7"/>
        <v>154.3864585425319</v>
      </c>
      <c r="Q18" s="3">
        <f t="shared" si="9"/>
        <v>13118.217382358933</v>
      </c>
      <c r="R18" s="3"/>
      <c r="S18" s="3"/>
      <c r="T18" s="3"/>
      <c r="U18" s="3"/>
      <c r="Z18">
        <v>2023</v>
      </c>
      <c r="AA18" s="3">
        <f>D18*AA$16/D$16</f>
        <v>648</v>
      </c>
      <c r="AB18" s="3">
        <f t="shared" ref="AB18:AC25" si="15">AA18</f>
        <v>648</v>
      </c>
      <c r="AC18" s="3">
        <f t="shared" si="15"/>
        <v>648</v>
      </c>
      <c r="AY18" s="31">
        <f>'BEV model year data'!I18</f>
        <v>19</v>
      </c>
      <c r="AZ18" s="3">
        <f t="shared" si="2"/>
        <v>20.350196917404798</v>
      </c>
      <c r="BB18" s="31">
        <f>'BEV model year data'!D18</f>
        <v>135</v>
      </c>
      <c r="BC18">
        <f t="shared" si="10"/>
        <v>0</v>
      </c>
    </row>
    <row r="19" spans="1:55">
      <c r="A19">
        <v>2024</v>
      </c>
      <c r="B19" s="3">
        <f>D19</f>
        <v>750</v>
      </c>
      <c r="C19" s="3">
        <f t="shared" si="13"/>
        <v>750</v>
      </c>
      <c r="D19" s="3">
        <f>'Range acceptance'!C19</f>
        <v>750</v>
      </c>
      <c r="E19" s="3"/>
      <c r="F19" s="15">
        <f t="shared" si="14"/>
        <v>154.3864585425319</v>
      </c>
      <c r="G19" s="3">
        <f t="shared" si="0"/>
        <v>154.3864585425319</v>
      </c>
      <c r="H19" s="3">
        <f t="shared" si="4"/>
        <v>750</v>
      </c>
      <c r="I19" s="3">
        <f t="shared" si="5"/>
        <v>500</v>
      </c>
      <c r="J19" s="3"/>
      <c r="K19">
        <v>2024</v>
      </c>
      <c r="L19" s="3">
        <f>'Lithium Battery costs'!I32</f>
        <v>140</v>
      </c>
      <c r="M19" s="3">
        <f>'Lithium Battery costs'!G32</f>
        <v>72.799999999999983</v>
      </c>
      <c r="N19" s="20">
        <f>N18+(N20-N16)/4</f>
        <v>0.92500000000000004</v>
      </c>
      <c r="O19" s="3">
        <f t="shared" si="6"/>
        <v>77.839999999999975</v>
      </c>
      <c r="P19" s="3">
        <f t="shared" si="7"/>
        <v>154.3864585425319</v>
      </c>
      <c r="Q19" s="3">
        <f t="shared" si="9"/>
        <v>12017.441932950678</v>
      </c>
      <c r="R19" s="3"/>
      <c r="S19" s="3"/>
      <c r="T19" s="3"/>
      <c r="U19" s="3"/>
      <c r="Z19">
        <v>2024</v>
      </c>
      <c r="AA19" s="3">
        <f t="shared" si="11"/>
        <v>648</v>
      </c>
      <c r="AB19" s="3">
        <f t="shared" si="15"/>
        <v>648</v>
      </c>
      <c r="AC19" s="3">
        <f t="shared" si="15"/>
        <v>648</v>
      </c>
      <c r="AY19" s="31">
        <f>'BEV model year data'!I19</f>
        <v>19</v>
      </c>
      <c r="AZ19" s="3">
        <f t="shared" si="2"/>
        <v>18.089063926582043</v>
      </c>
      <c r="BB19" s="31">
        <f>'BEV model year data'!D19</f>
        <v>120</v>
      </c>
      <c r="BC19">
        <f t="shared" si="10"/>
        <v>0</v>
      </c>
    </row>
    <row r="20" spans="1:55">
      <c r="A20">
        <v>2025</v>
      </c>
      <c r="B20" s="3">
        <f>D20</f>
        <v>750</v>
      </c>
      <c r="C20" s="3">
        <f t="shared" si="13"/>
        <v>750</v>
      </c>
      <c r="D20" s="3">
        <f>'Range acceptance'!C20</f>
        <v>750</v>
      </c>
      <c r="E20" s="3"/>
      <c r="F20" s="15">
        <f t="shared" si="14"/>
        <v>154.3864585425319</v>
      </c>
      <c r="G20" s="3">
        <f t="shared" si="0"/>
        <v>154.3864585425319</v>
      </c>
      <c r="H20" s="3">
        <f t="shared" si="4"/>
        <v>750</v>
      </c>
      <c r="I20" s="3">
        <f t="shared" si="5"/>
        <v>500</v>
      </c>
      <c r="J20" s="3"/>
      <c r="K20">
        <v>2025</v>
      </c>
      <c r="L20" s="3">
        <f>'Lithium Battery costs'!I33</f>
        <v>137</v>
      </c>
      <c r="M20" s="3">
        <f>'Lithium Battery costs'!G33</f>
        <v>68.5</v>
      </c>
      <c r="N20" s="13">
        <v>0.95</v>
      </c>
      <c r="O20" s="3">
        <f t="shared" si="6"/>
        <v>71.925000000000011</v>
      </c>
      <c r="P20" s="3">
        <f>G20</f>
        <v>154.3864585425319</v>
      </c>
      <c r="Q20" s="3">
        <f t="shared" si="9"/>
        <v>11104.246030671609</v>
      </c>
      <c r="R20" s="3"/>
      <c r="S20" s="3"/>
      <c r="T20" s="3"/>
      <c r="U20" s="3"/>
      <c r="Z20">
        <v>2025</v>
      </c>
      <c r="AA20" s="3">
        <f t="shared" si="11"/>
        <v>648</v>
      </c>
      <c r="AB20" s="3">
        <f t="shared" si="15"/>
        <v>648</v>
      </c>
      <c r="AC20" s="3">
        <f t="shared" si="15"/>
        <v>648</v>
      </c>
      <c r="AY20" s="31">
        <f>'BEV model year data'!I20</f>
        <v>24</v>
      </c>
      <c r="AZ20" s="3">
        <f t="shared" si="2"/>
        <v>21.103907914345719</v>
      </c>
      <c r="BB20" s="31">
        <f>'BEV model year data'!D20</f>
        <v>140</v>
      </c>
      <c r="BC20">
        <f t="shared" si="10"/>
        <v>0</v>
      </c>
    </row>
    <row r="21" spans="1:55">
      <c r="A21">
        <v>2026</v>
      </c>
      <c r="B21" s="3">
        <f t="shared" si="12"/>
        <v>750</v>
      </c>
      <c r="C21" s="3">
        <f t="shared" si="13"/>
        <v>750</v>
      </c>
      <c r="D21" s="3">
        <f>'Range acceptance'!C21</f>
        <v>750</v>
      </c>
      <c r="E21" s="3"/>
      <c r="F21" s="15">
        <f t="shared" si="14"/>
        <v>154.3864585425319</v>
      </c>
      <c r="G21" s="3">
        <f t="shared" si="0"/>
        <v>154.3864585425319</v>
      </c>
      <c r="H21" s="3">
        <f t="shared" si="4"/>
        <v>750</v>
      </c>
      <c r="I21" s="3">
        <f t="shared" si="5"/>
        <v>500</v>
      </c>
      <c r="J21" s="3"/>
      <c r="K21">
        <v>2026</v>
      </c>
      <c r="L21" s="3">
        <f>'Lithium Battery costs'!I34</f>
        <v>129</v>
      </c>
      <c r="M21" s="3">
        <f>'Lithium Battery costs'!G34</f>
        <v>64.5</v>
      </c>
      <c r="N21" s="13">
        <f>N20</f>
        <v>0.95</v>
      </c>
      <c r="O21" s="3">
        <f t="shared" si="6"/>
        <v>67.725000000000009</v>
      </c>
      <c r="P21" s="3">
        <f t="shared" si="7"/>
        <v>154.3864585425319</v>
      </c>
      <c r="Q21" s="3">
        <f t="shared" si="9"/>
        <v>10455.822904792974</v>
      </c>
      <c r="R21" s="3"/>
      <c r="S21" s="3"/>
      <c r="U21" s="3"/>
      <c r="Z21">
        <v>2026</v>
      </c>
      <c r="AA21" s="3">
        <f t="shared" si="11"/>
        <v>648</v>
      </c>
      <c r="AB21" s="3">
        <f t="shared" si="15"/>
        <v>648</v>
      </c>
      <c r="AC21" s="3">
        <f t="shared" si="15"/>
        <v>648</v>
      </c>
      <c r="AY21" s="31">
        <f>'BEV model year data'!I21</f>
        <v>19</v>
      </c>
      <c r="AZ21" s="3">
        <f t="shared" si="2"/>
        <v>20.350196917404798</v>
      </c>
      <c r="BB21" s="31">
        <f>'BEV model year data'!D21</f>
        <v>135</v>
      </c>
      <c r="BC21">
        <f t="shared" si="10"/>
        <v>0</v>
      </c>
    </row>
    <row r="22" spans="1:55">
      <c r="A22">
        <v>2027</v>
      </c>
      <c r="B22" s="3">
        <f t="shared" si="12"/>
        <v>750</v>
      </c>
      <c r="C22" s="3">
        <f t="shared" si="13"/>
        <v>750</v>
      </c>
      <c r="D22" s="3">
        <f>'Range acceptance'!C22</f>
        <v>750</v>
      </c>
      <c r="E22" s="3"/>
      <c r="F22" s="15">
        <f t="shared" si="14"/>
        <v>154.3864585425319</v>
      </c>
      <c r="G22" s="3">
        <f t="shared" si="0"/>
        <v>154.3864585425319</v>
      </c>
      <c r="H22" s="3">
        <f t="shared" si="4"/>
        <v>750</v>
      </c>
      <c r="I22" s="3">
        <f t="shared" si="5"/>
        <v>500</v>
      </c>
      <c r="J22" s="3"/>
      <c r="K22">
        <v>2027</v>
      </c>
      <c r="L22" s="3">
        <f>'Lithium Battery costs'!I35</f>
        <v>121</v>
      </c>
      <c r="M22" s="3">
        <f>'Lithium Battery costs'!G35</f>
        <v>60.5</v>
      </c>
      <c r="N22" s="13">
        <f>N21</f>
        <v>0.95</v>
      </c>
      <c r="O22" s="3">
        <f t="shared" si="6"/>
        <v>63.524999999999999</v>
      </c>
      <c r="P22" s="3">
        <f t="shared" si="7"/>
        <v>154.3864585425319</v>
      </c>
      <c r="Q22" s="3">
        <f t="shared" si="9"/>
        <v>9807.3997789143377</v>
      </c>
      <c r="R22" s="3"/>
      <c r="S22" s="3"/>
      <c r="U22" s="3"/>
      <c r="Z22">
        <v>2027</v>
      </c>
      <c r="AA22" s="3">
        <f t="shared" si="11"/>
        <v>648</v>
      </c>
      <c r="AB22" s="3">
        <f t="shared" si="15"/>
        <v>648</v>
      </c>
      <c r="AC22" s="3">
        <f t="shared" si="15"/>
        <v>648</v>
      </c>
      <c r="AI22" s="19"/>
      <c r="AY22" s="31">
        <f>'BEV model year data'!I22</f>
        <v>24</v>
      </c>
      <c r="AZ22" s="3">
        <f t="shared" si="2"/>
        <v>20.350196917404798</v>
      </c>
      <c r="BB22" s="31">
        <f>'BEV model year data'!D22</f>
        <v>135</v>
      </c>
      <c r="BC22">
        <f t="shared" si="10"/>
        <v>0</v>
      </c>
    </row>
    <row r="23" spans="1:55">
      <c r="A23">
        <v>2028</v>
      </c>
      <c r="B23" s="3">
        <f t="shared" si="12"/>
        <v>750</v>
      </c>
      <c r="C23" s="3">
        <f t="shared" si="13"/>
        <v>750</v>
      </c>
      <c r="D23" s="3">
        <f>'Range acceptance'!C23</f>
        <v>750</v>
      </c>
      <c r="E23" s="3"/>
      <c r="F23" s="15">
        <f t="shared" si="14"/>
        <v>154.3864585425319</v>
      </c>
      <c r="G23" s="3">
        <f t="shared" si="0"/>
        <v>154.3864585425319</v>
      </c>
      <c r="H23" s="3">
        <f t="shared" si="4"/>
        <v>750</v>
      </c>
      <c r="I23" s="3">
        <f t="shared" si="5"/>
        <v>500</v>
      </c>
      <c r="J23" s="3"/>
      <c r="K23">
        <v>2028</v>
      </c>
      <c r="L23" s="3">
        <f>'Lithium Battery costs'!I36</f>
        <v>112</v>
      </c>
      <c r="M23" s="3">
        <f>'Lithium Battery costs'!G36</f>
        <v>56</v>
      </c>
      <c r="N23" s="13">
        <f>N22</f>
        <v>0.95</v>
      </c>
      <c r="O23" s="3">
        <f t="shared" si="6"/>
        <v>58.8</v>
      </c>
      <c r="P23" s="3">
        <f t="shared" si="7"/>
        <v>154.3864585425319</v>
      </c>
      <c r="Q23" s="3">
        <f t="shared" si="9"/>
        <v>9077.9237623008758</v>
      </c>
      <c r="R23" s="3"/>
      <c r="S23" s="3"/>
      <c r="Z23">
        <v>2028</v>
      </c>
      <c r="AA23" s="3">
        <f t="shared" si="11"/>
        <v>648</v>
      </c>
      <c r="AB23" s="3">
        <f t="shared" si="15"/>
        <v>648</v>
      </c>
      <c r="AC23" s="3">
        <f t="shared" si="15"/>
        <v>648</v>
      </c>
      <c r="AY23" s="31">
        <f>'BEV model year data'!I23</f>
        <v>22</v>
      </c>
      <c r="AZ23" s="3">
        <f t="shared" si="2"/>
        <v>21.857618911286636</v>
      </c>
      <c r="BB23" s="31">
        <f>'BEV model year data'!D23</f>
        <v>145</v>
      </c>
      <c r="BC23">
        <f t="shared" si="10"/>
        <v>0</v>
      </c>
    </row>
    <row r="24" spans="1:55">
      <c r="A24">
        <v>2029</v>
      </c>
      <c r="B24" s="3">
        <f t="shared" si="12"/>
        <v>750</v>
      </c>
      <c r="C24" s="3">
        <f t="shared" si="13"/>
        <v>750</v>
      </c>
      <c r="D24" s="3">
        <f>'Range acceptance'!C24</f>
        <v>750</v>
      </c>
      <c r="E24" s="3"/>
      <c r="F24" s="15">
        <f t="shared" si="14"/>
        <v>154.3864585425319</v>
      </c>
      <c r="G24" s="3">
        <f t="shared" si="0"/>
        <v>154.3864585425319</v>
      </c>
      <c r="H24" s="3">
        <f t="shared" si="4"/>
        <v>750</v>
      </c>
      <c r="I24" s="3">
        <f t="shared" si="5"/>
        <v>500</v>
      </c>
      <c r="J24" s="3"/>
      <c r="K24">
        <v>2029</v>
      </c>
      <c r="L24" s="3">
        <f>'Lithium Battery costs'!I37</f>
        <v>104</v>
      </c>
      <c r="M24" s="3">
        <f>'Lithium Battery costs'!G37</f>
        <v>52</v>
      </c>
      <c r="N24" s="13">
        <f>N23</f>
        <v>0.95</v>
      </c>
      <c r="O24" s="3">
        <f t="shared" si="6"/>
        <v>54.6</v>
      </c>
      <c r="P24" s="3">
        <f t="shared" si="7"/>
        <v>154.3864585425319</v>
      </c>
      <c r="Q24" s="3">
        <f t="shared" si="9"/>
        <v>8429.5006364222427</v>
      </c>
      <c r="R24" s="3"/>
      <c r="S24" s="3"/>
      <c r="Z24">
        <v>2029</v>
      </c>
      <c r="AA24" s="3">
        <f t="shared" si="11"/>
        <v>648</v>
      </c>
      <c r="AB24" s="3">
        <f t="shared" si="15"/>
        <v>648</v>
      </c>
      <c r="AC24" s="3">
        <f t="shared" si="15"/>
        <v>648</v>
      </c>
      <c r="AY24" s="31">
        <f>'BEV model year data'!I24</f>
        <v>42</v>
      </c>
      <c r="AZ24" s="3">
        <f t="shared" si="2"/>
        <v>27.133595889873067</v>
      </c>
      <c r="BB24" s="31">
        <f>'BEV model year data'!D24</f>
        <v>180</v>
      </c>
      <c r="BC24">
        <f t="shared" si="10"/>
        <v>0</v>
      </c>
    </row>
    <row r="25" spans="1:55">
      <c r="A25">
        <v>2030</v>
      </c>
      <c r="B25" s="3">
        <f t="shared" si="12"/>
        <v>750</v>
      </c>
      <c r="C25" s="3">
        <f t="shared" si="13"/>
        <v>750</v>
      </c>
      <c r="D25" s="3">
        <f>'Range acceptance'!C25</f>
        <v>750</v>
      </c>
      <c r="E25" s="3"/>
      <c r="F25" s="15">
        <f t="shared" si="14"/>
        <v>154.3864585425319</v>
      </c>
      <c r="G25" s="3">
        <f>G$29+G$30*H25+G$31*I25</f>
        <v>154.3864585425319</v>
      </c>
      <c r="H25" s="3">
        <f t="shared" si="4"/>
        <v>750</v>
      </c>
      <c r="I25" s="3">
        <f t="shared" si="5"/>
        <v>500</v>
      </c>
      <c r="J25" s="3"/>
      <c r="K25">
        <v>2030</v>
      </c>
      <c r="L25" s="3">
        <f>'Lithium Battery costs'!I38</f>
        <v>95</v>
      </c>
      <c r="M25" s="3">
        <f>'Lithium Battery costs'!G38</f>
        <v>47.5</v>
      </c>
      <c r="N25" s="13">
        <f>N24</f>
        <v>0.95</v>
      </c>
      <c r="O25" s="3">
        <f t="shared" si="6"/>
        <v>49.875000000000007</v>
      </c>
      <c r="P25" s="3">
        <f t="shared" si="7"/>
        <v>154.3864585425319</v>
      </c>
      <c r="Q25" s="3">
        <f t="shared" si="9"/>
        <v>7700.0246198087798</v>
      </c>
      <c r="R25" s="3"/>
      <c r="S25" s="13">
        <f>O25/O12</f>
        <v>0.26414511430841209</v>
      </c>
      <c r="Z25">
        <v>2030</v>
      </c>
      <c r="AA25" s="3">
        <f t="shared" si="11"/>
        <v>648</v>
      </c>
      <c r="AB25" s="3">
        <f t="shared" si="15"/>
        <v>648</v>
      </c>
      <c r="AC25" s="3">
        <f t="shared" si="15"/>
        <v>648</v>
      </c>
      <c r="AY25" s="31">
        <f>'BEV model year data'!I25</f>
        <v>28</v>
      </c>
      <c r="AZ25" s="3">
        <f t="shared" si="2"/>
        <v>21.103907914345719</v>
      </c>
      <c r="BB25" s="31">
        <f>'BEV model year data'!D25</f>
        <v>140</v>
      </c>
      <c r="BC25">
        <f t="shared" si="10"/>
        <v>0</v>
      </c>
    </row>
    <row r="26" spans="1:55">
      <c r="AY26" s="31">
        <f>'BEV model year data'!I26</f>
        <v>27</v>
      </c>
      <c r="AZ26" s="3">
        <f t="shared" si="2"/>
        <v>24.118751902109391</v>
      </c>
      <c r="BB26" s="31">
        <f>'BEV model year data'!D26</f>
        <v>160</v>
      </c>
      <c r="BC26">
        <f t="shared" si="10"/>
        <v>0</v>
      </c>
    </row>
    <row r="27" spans="1:55">
      <c r="AY27" s="31">
        <f>'BEV model year data'!I27</f>
        <v>24</v>
      </c>
      <c r="AZ27" s="3">
        <f t="shared" si="2"/>
        <v>25.626173895991229</v>
      </c>
      <c r="BB27" s="31">
        <f>'BEV model year data'!D27</f>
        <v>170</v>
      </c>
      <c r="BC27">
        <f t="shared" si="10"/>
        <v>0</v>
      </c>
    </row>
    <row r="28" spans="1:55">
      <c r="AY28" s="31">
        <f>'BEV model year data'!I28</f>
        <v>75</v>
      </c>
      <c r="AZ28" s="3">
        <f t="shared" si="2"/>
        <v>77.36385880351115</v>
      </c>
      <c r="BB28" s="31">
        <f>'BEV model year data'!D28</f>
        <v>420</v>
      </c>
      <c r="BC28">
        <f t="shared" si="10"/>
        <v>170</v>
      </c>
    </row>
    <row r="29" spans="1:55">
      <c r="F29" t="str">
        <f t="shared" ref="F29:G31" si="16">AY87</f>
        <v>Intercept</v>
      </c>
      <c r="G29">
        <f t="shared" si="16"/>
        <v>0</v>
      </c>
      <c r="AY29" s="31">
        <f>'BEV model year data'!I29</f>
        <v>24</v>
      </c>
      <c r="AZ29" s="3">
        <f t="shared" si="2"/>
        <v>21.857618911286636</v>
      </c>
      <c r="BB29" s="31">
        <f>'BEV model year data'!D29</f>
        <v>145</v>
      </c>
      <c r="BC29">
        <f>IF(BB29-250&lt;0,0,BB29-250)</f>
        <v>0</v>
      </c>
    </row>
    <row r="30" spans="1:55">
      <c r="F30" t="str">
        <f t="shared" si="16"/>
        <v>range</v>
      </c>
      <c r="G30">
        <f t="shared" si="16"/>
        <v>0.1507421993881837</v>
      </c>
      <c r="AY30" s="31">
        <f>'BEV model year data'!I30</f>
        <v>24</v>
      </c>
      <c r="AZ30" s="3">
        <f t="shared" si="2"/>
        <v>20.350196917404798</v>
      </c>
      <c r="BB30" s="31">
        <f>'BEV model year data'!D30</f>
        <v>135</v>
      </c>
      <c r="BC30">
        <f>IF(BB30-250&lt;0,0,BB30-250)</f>
        <v>0</v>
      </c>
    </row>
    <row r="31" spans="1:55">
      <c r="F31" t="str">
        <f t="shared" si="16"/>
        <v>range&gt;250km</v>
      </c>
      <c r="G31">
        <f t="shared" si="16"/>
        <v>8.2659618002788232E-2</v>
      </c>
      <c r="AY31" s="31">
        <f>'BEV model year data'!I31</f>
        <v>30</v>
      </c>
      <c r="AZ31" s="3">
        <f t="shared" si="2"/>
        <v>37.685549847045927</v>
      </c>
      <c r="BB31" s="31">
        <f>'BEV model year data'!D31</f>
        <v>250</v>
      </c>
      <c r="BC31">
        <f t="shared" ref="BC31:BC37" si="17">IF(BB31-250&lt;0,0,BB31-250)</f>
        <v>0</v>
      </c>
    </row>
    <row r="32" spans="1:55">
      <c r="AY32" s="31">
        <f>'BEV model year data'!I32</f>
        <v>30</v>
      </c>
      <c r="AZ32" s="3">
        <f t="shared" si="2"/>
        <v>27.887306886813985</v>
      </c>
      <c r="BB32" s="31">
        <f>'BEV model year data'!D32</f>
        <v>185</v>
      </c>
      <c r="BC32">
        <f t="shared" si="17"/>
        <v>0</v>
      </c>
    </row>
    <row r="33" spans="51:55">
      <c r="AY33" s="31">
        <f>'BEV model year data'!I33</f>
        <v>30</v>
      </c>
      <c r="AZ33" s="3">
        <f t="shared" si="2"/>
        <v>15.07421993881837</v>
      </c>
      <c r="BB33" s="31">
        <f>'BEV model year data'!D33</f>
        <v>100</v>
      </c>
      <c r="BC33">
        <f t="shared" si="17"/>
        <v>0</v>
      </c>
    </row>
    <row r="34" spans="51:55">
      <c r="AY34" s="31">
        <f>'BEV model year data'!I34</f>
        <v>60</v>
      </c>
      <c r="AZ34" s="3">
        <f t="shared" si="2"/>
        <v>69.194795194827137</v>
      </c>
      <c r="BB34" s="31">
        <f>'BEV model year data'!D34</f>
        <v>385</v>
      </c>
      <c r="BC34">
        <f t="shared" si="17"/>
        <v>135</v>
      </c>
    </row>
    <row r="35" spans="51:55">
      <c r="AY35" s="31">
        <f>'BEV model year data'!I35</f>
        <v>19</v>
      </c>
      <c r="AZ35" s="3">
        <f t="shared" si="2"/>
        <v>19.747228119852064</v>
      </c>
      <c r="BB35" s="31">
        <f>'BEV model year data'!D35</f>
        <v>131</v>
      </c>
      <c r="BC35">
        <f t="shared" si="17"/>
        <v>0</v>
      </c>
    </row>
    <row r="36" spans="51:55">
      <c r="AY36" s="31">
        <f>'BEV model year data'!I36</f>
        <v>18</v>
      </c>
      <c r="AZ36" s="3">
        <f t="shared" ref="AZ36:AZ71" si="18">AZ$87+AZ$88*BB36+AZ$89*BC36</f>
        <v>16.581641932700208</v>
      </c>
      <c r="BB36" s="31">
        <f>'BEV model year data'!D36</f>
        <v>110</v>
      </c>
      <c r="BC36">
        <f t="shared" si="17"/>
        <v>0</v>
      </c>
    </row>
    <row r="37" spans="51:55">
      <c r="AY37" s="31">
        <f>'BEV model year data'!I37</f>
        <v>41</v>
      </c>
      <c r="AZ37" s="3">
        <f t="shared" si="18"/>
        <v>49.355640716594522</v>
      </c>
      <c r="BB37" s="31">
        <f>'BEV model year data'!D37</f>
        <v>300</v>
      </c>
      <c r="BC37">
        <f t="shared" si="17"/>
        <v>50</v>
      </c>
    </row>
    <row r="38" spans="51:55">
      <c r="AY38" s="31">
        <f>'BEV model year data'!I38</f>
        <v>28</v>
      </c>
      <c r="AZ38" s="3">
        <f t="shared" si="18"/>
        <v>30.14843987763674</v>
      </c>
      <c r="BB38" s="31">
        <f>'BEV model year data'!D38</f>
        <v>200</v>
      </c>
      <c r="BC38">
        <f>IF(BB38-250&lt;0,0,BB38-250)</f>
        <v>0</v>
      </c>
    </row>
    <row r="39" spans="51:55">
      <c r="AY39" s="31">
        <f>'BEV model year data'!I39</f>
        <v>60</v>
      </c>
      <c r="AZ39" s="3">
        <f t="shared" si="18"/>
        <v>68.027786107872274</v>
      </c>
      <c r="BB39" s="31">
        <f>'BEV model year data'!D39</f>
        <v>380</v>
      </c>
      <c r="BC39">
        <f>IF(BB39-250&lt;0,0,BB39-250)</f>
        <v>130</v>
      </c>
    </row>
    <row r="40" spans="51:55">
      <c r="AY40" s="31">
        <f>'BEV model year data'!I40</f>
        <v>36</v>
      </c>
      <c r="AZ40" s="3">
        <f t="shared" si="18"/>
        <v>30.14843987763674</v>
      </c>
      <c r="BB40" s="31">
        <f>'BEV model year data'!D40</f>
        <v>200</v>
      </c>
      <c r="BC40">
        <f t="shared" ref="BC40:BC53" si="19">IF(BB40-250&lt;0,0,BB40-250)</f>
        <v>0</v>
      </c>
    </row>
    <row r="41" spans="51:55">
      <c r="AY41" s="31">
        <f>'BEV model year data'!I41</f>
        <v>18</v>
      </c>
      <c r="AZ41" s="3">
        <f t="shared" si="18"/>
        <v>16.581641932700208</v>
      </c>
      <c r="BB41" s="31">
        <f>'BEV model year data'!D41</f>
        <v>110</v>
      </c>
      <c r="BC41">
        <f t="shared" si="19"/>
        <v>0</v>
      </c>
    </row>
    <row r="42" spans="51:55">
      <c r="AY42" s="31">
        <f>'BEV model year data'!I42</f>
        <v>18</v>
      </c>
      <c r="AZ42" s="3">
        <f t="shared" si="18"/>
        <v>16.581641932700208</v>
      </c>
      <c r="BB42" s="31">
        <f>'BEV model year data'!D42</f>
        <v>110</v>
      </c>
      <c r="BC42">
        <f t="shared" si="19"/>
        <v>0</v>
      </c>
    </row>
    <row r="43" spans="51:55">
      <c r="AY43" s="31">
        <f>'BEV model year data'!I43</f>
        <v>26</v>
      </c>
      <c r="AZ43" s="3">
        <f t="shared" si="18"/>
        <v>19.596485920463881</v>
      </c>
      <c r="BB43" s="31">
        <f>'BEV model year data'!D43</f>
        <v>130</v>
      </c>
      <c r="BC43">
        <f t="shared" si="19"/>
        <v>0</v>
      </c>
    </row>
    <row r="44" spans="51:55">
      <c r="AY44" s="31">
        <f>'BEV model year data'!I44</f>
        <v>30</v>
      </c>
      <c r="AZ44" s="3">
        <f t="shared" si="18"/>
        <v>24.118751902109391</v>
      </c>
      <c r="BB44" s="31">
        <f>'BEV model year data'!D44</f>
        <v>160</v>
      </c>
      <c r="BC44">
        <f t="shared" si="19"/>
        <v>0</v>
      </c>
    </row>
    <row r="45" spans="51:55">
      <c r="AY45" s="31">
        <f>'BEV model year data'!I45</f>
        <v>50</v>
      </c>
      <c r="AZ45" s="3">
        <f t="shared" si="18"/>
        <v>61.025731586143117</v>
      </c>
      <c r="BB45" s="31">
        <f>'BEV model year data'!D45</f>
        <v>350</v>
      </c>
      <c r="BC45">
        <f t="shared" si="19"/>
        <v>100</v>
      </c>
    </row>
    <row r="46" spans="51:55">
      <c r="AY46" s="31">
        <f>'BEV model year data'!I46</f>
        <v>95</v>
      </c>
      <c r="AZ46" s="3">
        <f t="shared" si="18"/>
        <v>96.036004194788916</v>
      </c>
      <c r="BB46" s="31">
        <f>'BEV model year data'!D46</f>
        <v>500</v>
      </c>
      <c r="BC46">
        <f t="shared" si="19"/>
        <v>250</v>
      </c>
    </row>
    <row r="47" spans="51:55">
      <c r="AY47" s="31">
        <f>'BEV model year data'!I47</f>
        <v>40</v>
      </c>
      <c r="AZ47" s="3">
        <f t="shared" si="18"/>
        <v>36.178127853164085</v>
      </c>
      <c r="BB47" s="31">
        <f>'BEV model year data'!D47</f>
        <v>240</v>
      </c>
      <c r="BC47">
        <f t="shared" si="19"/>
        <v>0</v>
      </c>
    </row>
    <row r="48" spans="51:55">
      <c r="AY48" s="31">
        <f>'BEV model year data'!I48</f>
        <v>41</v>
      </c>
      <c r="AZ48" s="3">
        <f t="shared" si="18"/>
        <v>36.178127853164085</v>
      </c>
      <c r="BB48" s="31">
        <f>'BEV model year data'!D48</f>
        <v>240</v>
      </c>
      <c r="BC48">
        <f t="shared" si="19"/>
        <v>0</v>
      </c>
    </row>
    <row r="49" spans="51:55">
      <c r="AY49" s="31">
        <f>'BEV model year data'!I49</f>
        <v>64</v>
      </c>
      <c r="AZ49" s="3">
        <f t="shared" si="18"/>
        <v>63.359749760052843</v>
      </c>
      <c r="BB49" s="31">
        <f>'BEV model year data'!D49</f>
        <v>360</v>
      </c>
      <c r="BC49">
        <f t="shared" si="19"/>
        <v>110</v>
      </c>
    </row>
    <row r="50" spans="51:55">
      <c r="AY50" s="31">
        <f>'BEV model year data'!I50</f>
        <v>95</v>
      </c>
      <c r="AZ50" s="3">
        <f t="shared" si="18"/>
        <v>96.036004194788916</v>
      </c>
      <c r="BB50" s="31">
        <f>'BEV model year data'!D50</f>
        <v>500</v>
      </c>
      <c r="BC50">
        <f t="shared" si="19"/>
        <v>250</v>
      </c>
    </row>
    <row r="51" spans="51:55">
      <c r="AY51" s="31">
        <f>'BEV model year data'!I51</f>
        <v>19</v>
      </c>
      <c r="AZ51" s="3">
        <f t="shared" si="18"/>
        <v>24.118751902109391</v>
      </c>
      <c r="BB51" s="31">
        <f>'BEV model year data'!D51</f>
        <v>160</v>
      </c>
      <c r="BC51">
        <f t="shared" si="19"/>
        <v>0</v>
      </c>
    </row>
    <row r="52" spans="51:55">
      <c r="AY52" s="31">
        <f>'BEV model year data'!I52</f>
        <v>36</v>
      </c>
      <c r="AZ52" s="3">
        <f t="shared" si="18"/>
        <v>30.14843987763674</v>
      </c>
      <c r="BB52" s="31">
        <f>'BEV model year data'!D52</f>
        <v>200</v>
      </c>
      <c r="BC52">
        <f t="shared" si="19"/>
        <v>0</v>
      </c>
    </row>
    <row r="53" spans="51:55">
      <c r="AY53" s="31">
        <f>'BEV model year data'!I53</f>
        <v>60</v>
      </c>
      <c r="AZ53" s="3">
        <f t="shared" si="18"/>
        <v>68.027786107872274</v>
      </c>
      <c r="BB53" s="31">
        <f>'BEV model year data'!D53</f>
        <v>380</v>
      </c>
      <c r="BC53">
        <f t="shared" si="19"/>
        <v>130</v>
      </c>
    </row>
    <row r="54" spans="51:55">
      <c r="AY54" s="31">
        <f>'BEV model year data'!I54</f>
        <v>64</v>
      </c>
      <c r="AZ54" s="3">
        <f t="shared" si="18"/>
        <v>61.025731586143117</v>
      </c>
      <c r="BB54" s="31">
        <f>'BEV model year data'!D54</f>
        <v>350</v>
      </c>
      <c r="BC54">
        <f>IF(BB54-250&lt;0,0,BB54-250)</f>
        <v>100</v>
      </c>
    </row>
    <row r="55" spans="51:55">
      <c r="AY55" s="31">
        <f>'BEV model year data'!I55</f>
        <v>65</v>
      </c>
      <c r="AZ55" s="3">
        <f t="shared" si="18"/>
        <v>69.194795194827137</v>
      </c>
      <c r="BB55" s="31">
        <f>'BEV model year data'!D55</f>
        <v>385</v>
      </c>
      <c r="BC55">
        <f>IF(BB55-250&lt;0,0,BB55-250)</f>
        <v>135</v>
      </c>
    </row>
    <row r="56" spans="51:55">
      <c r="AY56" s="31">
        <f>'BEV model year data'!I56</f>
        <v>16</v>
      </c>
      <c r="AZ56" s="3">
        <f t="shared" si="18"/>
        <v>19.295001521687514</v>
      </c>
      <c r="BB56" s="31">
        <f>'BEV model year data'!D56</f>
        <v>128</v>
      </c>
      <c r="BC56">
        <f t="shared" ref="BC56:BC70" si="20">IF(BB56-250&lt;0,0,BB56-250)</f>
        <v>0</v>
      </c>
    </row>
    <row r="57" spans="51:55">
      <c r="AY57" s="31">
        <f>'BEV model year data'!I57</f>
        <v>60</v>
      </c>
      <c r="AZ57" s="3">
        <f t="shared" si="18"/>
        <v>69.194795194827137</v>
      </c>
      <c r="BB57" s="31">
        <f>'BEV model year data'!D57</f>
        <v>385</v>
      </c>
      <c r="BC57">
        <f t="shared" si="20"/>
        <v>135</v>
      </c>
    </row>
    <row r="58" spans="51:55">
      <c r="AY58" s="31">
        <f>'BEV model year data'!I58</f>
        <v>33</v>
      </c>
      <c r="AZ58" s="3">
        <f t="shared" si="18"/>
        <v>30.14843987763674</v>
      </c>
      <c r="BB58" s="31">
        <f>'BEV model year data'!D58</f>
        <v>200</v>
      </c>
      <c r="BC58">
        <f t="shared" si="20"/>
        <v>0</v>
      </c>
    </row>
    <row r="59" spans="51:55">
      <c r="AY59" s="31">
        <f>'BEV model year data'!I59</f>
        <v>70</v>
      </c>
      <c r="AZ59" s="3">
        <f t="shared" si="18"/>
        <v>62.192740673097973</v>
      </c>
      <c r="BB59" s="31">
        <f>'BEV model year data'!D59</f>
        <v>355</v>
      </c>
      <c r="BC59">
        <f t="shared" si="20"/>
        <v>105</v>
      </c>
    </row>
    <row r="60" spans="51:55">
      <c r="AY60" s="31">
        <f>'BEV model year data'!I60</f>
        <v>90</v>
      </c>
      <c r="AZ60" s="3">
        <f t="shared" si="18"/>
        <v>91.367967846969464</v>
      </c>
      <c r="BB60" s="31">
        <f>'BEV model year data'!D60</f>
        <v>480</v>
      </c>
      <c r="BC60">
        <f t="shared" si="20"/>
        <v>230</v>
      </c>
    </row>
    <row r="61" spans="51:55">
      <c r="AY61" s="31">
        <f>'BEV model year data'!I61</f>
        <v>90</v>
      </c>
      <c r="AZ61" s="3">
        <f t="shared" si="18"/>
        <v>84.365913325240314</v>
      </c>
      <c r="BB61" s="31">
        <f>'BEV model year data'!D61</f>
        <v>450</v>
      </c>
      <c r="BC61">
        <f t="shared" si="20"/>
        <v>200</v>
      </c>
    </row>
    <row r="62" spans="51:55">
      <c r="AY62" s="31">
        <f>'BEV model year data'!I62</f>
        <v>70</v>
      </c>
      <c r="AZ62" s="3">
        <f t="shared" si="18"/>
        <v>72.695822455691712</v>
      </c>
      <c r="BB62" s="31">
        <f>'BEV model year data'!D62</f>
        <v>400</v>
      </c>
      <c r="BC62">
        <f t="shared" si="20"/>
        <v>150</v>
      </c>
    </row>
    <row r="63" spans="51:55">
      <c r="AY63" s="31">
        <f>'BEV model year data'!I63</f>
        <v>100</v>
      </c>
      <c r="AZ63" s="3">
        <f t="shared" si="18"/>
        <v>96.036004194788916</v>
      </c>
      <c r="BB63" s="31">
        <f>'BEV model year data'!D63</f>
        <v>500</v>
      </c>
      <c r="BC63">
        <f t="shared" si="20"/>
        <v>250</v>
      </c>
    </row>
    <row r="64" spans="51:55">
      <c r="AY64" s="31">
        <f>'BEV model year data'!I64</f>
        <v>70</v>
      </c>
      <c r="AZ64" s="3">
        <f t="shared" si="18"/>
        <v>61.025731586143117</v>
      </c>
      <c r="BB64" s="31">
        <f>'BEV model year data'!D64</f>
        <v>350</v>
      </c>
      <c r="BC64">
        <f t="shared" si="20"/>
        <v>100</v>
      </c>
    </row>
    <row r="65" spans="51:55">
      <c r="AY65" s="31">
        <f>'BEV model year data'!I65</f>
        <v>30</v>
      </c>
      <c r="AZ65" s="3">
        <f t="shared" si="18"/>
        <v>27.887306886813985</v>
      </c>
      <c r="BB65" s="31">
        <f>'BEV model year data'!D65</f>
        <v>185</v>
      </c>
      <c r="BC65">
        <f t="shared" si="20"/>
        <v>0</v>
      </c>
    </row>
    <row r="66" spans="51:55">
      <c r="AY66" s="31">
        <f>'BEV model year data'!I66</f>
        <v>28</v>
      </c>
      <c r="AZ66" s="3">
        <f t="shared" si="18"/>
        <v>30.14843987763674</v>
      </c>
      <c r="BB66" s="31">
        <f>'BEV model year data'!D66</f>
        <v>200</v>
      </c>
      <c r="BC66">
        <f t="shared" si="20"/>
        <v>0</v>
      </c>
    </row>
    <row r="67" spans="51:55">
      <c r="AY67" s="31">
        <f>'BEV model year data'!I67</f>
        <v>130</v>
      </c>
      <c r="AZ67" s="3">
        <f t="shared" si="18"/>
        <v>119.37618593388611</v>
      </c>
      <c r="BB67" s="31">
        <f>'BEV model year data'!D67</f>
        <v>600</v>
      </c>
      <c r="BC67">
        <f t="shared" si="20"/>
        <v>350</v>
      </c>
    </row>
    <row r="68" spans="51:55">
      <c r="AY68" s="31">
        <f>'BEV model year data'!I68</f>
        <v>61</v>
      </c>
      <c r="AZ68" s="3">
        <f t="shared" si="18"/>
        <v>49.355640716594522</v>
      </c>
      <c r="BB68" s="31">
        <f>'BEV model year data'!D68</f>
        <v>300</v>
      </c>
      <c r="BC68">
        <f t="shared" si="20"/>
        <v>50</v>
      </c>
    </row>
    <row r="69" spans="51:55">
      <c r="AY69" s="31">
        <f>'BEV model year data'!I69</f>
        <v>130</v>
      </c>
      <c r="AZ69" s="3">
        <f t="shared" si="18"/>
        <v>129.87926771647983</v>
      </c>
      <c r="BB69" s="31">
        <f>'BEV model year data'!D69</f>
        <v>645</v>
      </c>
      <c r="BC69">
        <f t="shared" si="20"/>
        <v>395</v>
      </c>
    </row>
    <row r="70" spans="51:55">
      <c r="AY70" s="31">
        <f>'BEV model year data'!I70</f>
        <v>50</v>
      </c>
      <c r="AZ70" s="3">
        <f t="shared" si="18"/>
        <v>61.025731586143117</v>
      </c>
      <c r="BB70" s="31">
        <f>'BEV model year data'!D70</f>
        <v>350</v>
      </c>
      <c r="BC70">
        <f t="shared" si="20"/>
        <v>100</v>
      </c>
    </row>
    <row r="71" spans="51:55">
      <c r="AY71" s="31">
        <f>'BEV model year data'!I71</f>
        <v>41</v>
      </c>
      <c r="AZ71" s="3">
        <f t="shared" si="18"/>
        <v>49.355640716594522</v>
      </c>
      <c r="BB71" s="31">
        <f>'BEV model year data'!D71</f>
        <v>300</v>
      </c>
      <c r="BC71">
        <f t="shared" ref="BC71:BC82" si="21">IF(BB71-250&lt;0,0,BB71-250)</f>
        <v>50</v>
      </c>
    </row>
    <row r="72" spans="51:55">
      <c r="AY72" s="31">
        <f>'BEV model year data'!I73</f>
        <v>100</v>
      </c>
      <c r="AZ72" s="3">
        <f t="shared" ref="AZ72:AZ82" si="22">AZ$87+AZ$88*BB72+AZ$89*BC72</f>
        <v>96.036004194788916</v>
      </c>
      <c r="BB72" s="31">
        <f>'BEV model year data'!D73</f>
        <v>500</v>
      </c>
      <c r="BC72">
        <f t="shared" si="21"/>
        <v>250</v>
      </c>
    </row>
    <row r="73" spans="51:55">
      <c r="AY73" s="31">
        <f>'BEV model year data'!I74</f>
        <v>100</v>
      </c>
      <c r="AZ73" s="3">
        <f t="shared" si="22"/>
        <v>105.37207689042778</v>
      </c>
      <c r="BB73" s="31">
        <f>'BEV model year data'!D74</f>
        <v>540</v>
      </c>
      <c r="BC73">
        <f t="shared" si="21"/>
        <v>290</v>
      </c>
    </row>
    <row r="74" spans="51:55">
      <c r="AY74" s="31">
        <f>'BEV model year data'!I75</f>
        <v>75</v>
      </c>
      <c r="AZ74" s="3">
        <f t="shared" si="22"/>
        <v>72.695822455691712</v>
      </c>
      <c r="BB74" s="31">
        <f>'BEV model year data'!D75</f>
        <v>400</v>
      </c>
      <c r="BC74">
        <f t="shared" si="21"/>
        <v>150</v>
      </c>
    </row>
    <row r="75" spans="51:55">
      <c r="AY75" s="31">
        <f>'BEV model year data'!I77</f>
        <v>125</v>
      </c>
      <c r="AZ75" s="3">
        <f t="shared" si="22"/>
        <v>119.37618593388611</v>
      </c>
      <c r="BB75" s="31">
        <f>'BEV model year data'!D77</f>
        <v>600</v>
      </c>
      <c r="BC75">
        <f t="shared" si="21"/>
        <v>350</v>
      </c>
    </row>
    <row r="76" spans="51:55">
      <c r="AY76" s="31">
        <f>'BEV model year data'!I78</f>
        <v>83</v>
      </c>
      <c r="AZ76" s="3">
        <f t="shared" si="22"/>
        <v>96.036004194788916</v>
      </c>
      <c r="BB76" s="31">
        <f>'BEV model year data'!D78</f>
        <v>500</v>
      </c>
      <c r="BC76">
        <f t="shared" si="21"/>
        <v>250</v>
      </c>
    </row>
    <row r="77" spans="51:55">
      <c r="AY77" s="31">
        <f>'BEV model year data'!I80</f>
        <v>83</v>
      </c>
      <c r="AZ77" s="3">
        <f t="shared" si="22"/>
        <v>96.036004194788916</v>
      </c>
      <c r="BB77" s="31">
        <f>'BEV model year data'!D80</f>
        <v>500</v>
      </c>
      <c r="BC77">
        <f t="shared" si="21"/>
        <v>250</v>
      </c>
    </row>
    <row r="78" spans="51:55">
      <c r="AY78" s="31">
        <f>'BEV model year data'!I82</f>
        <v>120</v>
      </c>
      <c r="AZ78" s="3">
        <f t="shared" si="22"/>
        <v>131.04627680343469</v>
      </c>
      <c r="BB78" s="31">
        <f>'BEV model year data'!D82</f>
        <v>650</v>
      </c>
      <c r="BC78">
        <f t="shared" si="21"/>
        <v>400</v>
      </c>
    </row>
    <row r="79" spans="51:55">
      <c r="AY79" s="31">
        <f>'BEV model year data'!I83</f>
        <v>130</v>
      </c>
      <c r="AZ79" s="3">
        <f t="shared" si="22"/>
        <v>119.37618593388611</v>
      </c>
      <c r="BB79" s="31">
        <f>'BEV model year data'!D83</f>
        <v>600</v>
      </c>
      <c r="BC79">
        <f t="shared" si="21"/>
        <v>350</v>
      </c>
    </row>
    <row r="80" spans="51:55">
      <c r="AY80" s="31">
        <f>'BEV model year data'!I84</f>
        <v>111</v>
      </c>
      <c r="AZ80" s="3">
        <f t="shared" si="22"/>
        <v>119.37618593388611</v>
      </c>
      <c r="BB80" s="31">
        <f>'BEV model year data'!D84</f>
        <v>600</v>
      </c>
      <c r="BC80">
        <f t="shared" si="21"/>
        <v>350</v>
      </c>
    </row>
    <row r="81" spans="51:58">
      <c r="AY81" s="31">
        <f>'BEV model year data'!I85</f>
        <v>100</v>
      </c>
      <c r="AZ81" s="3">
        <f t="shared" si="22"/>
        <v>92.534976933924327</v>
      </c>
      <c r="BB81" s="31">
        <f>'BEV model year data'!D85</f>
        <v>485</v>
      </c>
      <c r="BC81">
        <f t="shared" si="21"/>
        <v>235</v>
      </c>
    </row>
    <row r="82" spans="51:58">
      <c r="AY82" s="31">
        <f>'BEV model year data'!I86</f>
        <v>111</v>
      </c>
      <c r="AZ82" s="3">
        <f t="shared" si="22"/>
        <v>110.04011323824723</v>
      </c>
      <c r="BB82" s="31">
        <f>'BEV model year data'!D86</f>
        <v>560</v>
      </c>
      <c r="BC82">
        <f t="shared" si="21"/>
        <v>310</v>
      </c>
    </row>
    <row r="83" spans="51:58">
      <c r="AY83" s="31"/>
      <c r="BB83" s="31"/>
    </row>
    <row r="84" spans="51:58">
      <c r="AY84" s="31"/>
      <c r="BB84" s="31"/>
    </row>
    <row r="85" spans="51:58">
      <c r="AY85" s="31"/>
      <c r="BB85" s="31"/>
    </row>
    <row r="86" spans="51:58">
      <c r="AY86" s="31"/>
      <c r="AZ86" s="31"/>
      <c r="BC86" s="15">
        <f>AZ$87+AZ$88*BE86+AZ$89*BF86</f>
        <v>0</v>
      </c>
      <c r="BE86" s="14">
        <v>0</v>
      </c>
      <c r="BF86">
        <v>0</v>
      </c>
    </row>
    <row r="87" spans="51:58">
      <c r="AY87" s="41" t="s">
        <v>159</v>
      </c>
      <c r="AZ87" s="41">
        <v>0</v>
      </c>
      <c r="BC87" s="15">
        <f>AZ$87+AZ$88*BE87+AZ$89*BF87</f>
        <v>37.685549847045927</v>
      </c>
      <c r="BE87" s="14">
        <v>250</v>
      </c>
      <c r="BF87">
        <f>BE87-250</f>
        <v>0</v>
      </c>
    </row>
    <row r="88" spans="51:58">
      <c r="AY88" s="41" t="s">
        <v>184</v>
      </c>
      <c r="AZ88" s="47">
        <v>0.1507421993881837</v>
      </c>
      <c r="BC88" s="15">
        <f>AZ$87+AZ$88*BE88+AZ$89*BF88</f>
        <v>142.7163676729833</v>
      </c>
      <c r="BE88" s="14">
        <v>700</v>
      </c>
      <c r="BF88">
        <f>BE88-250</f>
        <v>450</v>
      </c>
    </row>
    <row r="89" spans="51:58" ht="15.75" thickBot="1">
      <c r="AY89" s="42" t="s">
        <v>237</v>
      </c>
      <c r="AZ89" s="48">
        <v>8.2659618002788232E-2</v>
      </c>
      <c r="BC89" s="15">
        <f>AZ$87+AZ$88*BE89+AZ$89*BF89</f>
        <v>212.73691289027488</v>
      </c>
      <c r="BE89" s="14">
        <v>1000</v>
      </c>
      <c r="BF89">
        <f>BE89-250</f>
        <v>750</v>
      </c>
    </row>
  </sheetData>
  <printOptions gridLines="1"/>
  <pageMargins left="0.7" right="0.7" top="0.75" bottom="0.75" header="0.3" footer="0.3"/>
  <pageSetup paperSize="9" fitToWidth="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74"/>
  <sheetViews>
    <sheetView zoomScale="75" zoomScaleNormal="75" workbookViewId="0">
      <pane xSplit="1" ySplit="2" topLeftCell="B15" activePane="bottomRight" state="frozen"/>
      <selection pane="topRight" activeCell="B1" sqref="B1"/>
      <selection pane="bottomLeft" activeCell="A3" sqref="A3"/>
      <selection pane="bottomRight" activeCell="AC11" sqref="AC11"/>
    </sheetView>
  </sheetViews>
  <sheetFormatPr defaultRowHeight="15"/>
  <sheetData>
    <row r="1" spans="1:24">
      <c r="B1" t="s">
        <v>834</v>
      </c>
      <c r="J1" s="175" t="s">
        <v>835</v>
      </c>
      <c r="K1" s="175"/>
      <c r="L1" s="175"/>
    </row>
    <row r="2" spans="1:24">
      <c r="B2" s="149" t="s">
        <v>255</v>
      </c>
      <c r="C2" s="149" t="s">
        <v>539</v>
      </c>
      <c r="D2" s="149" t="s">
        <v>540</v>
      </c>
      <c r="E2" s="149" t="s">
        <v>238</v>
      </c>
      <c r="F2" s="149" t="s">
        <v>239</v>
      </c>
      <c r="G2" s="149" t="s">
        <v>541</v>
      </c>
      <c r="H2" s="149" t="s">
        <v>542</v>
      </c>
      <c r="I2" s="149" t="s">
        <v>240</v>
      </c>
      <c r="J2" s="149" t="s">
        <v>241</v>
      </c>
      <c r="K2" s="149" t="s">
        <v>242</v>
      </c>
      <c r="L2" s="149" t="s">
        <v>544</v>
      </c>
      <c r="M2" s="7" t="s">
        <v>538</v>
      </c>
      <c r="N2" s="149" t="s">
        <v>243</v>
      </c>
      <c r="O2" s="149" t="s">
        <v>244</v>
      </c>
      <c r="P2" s="149" t="s">
        <v>245</v>
      </c>
      <c r="Q2" s="150" t="s">
        <v>331</v>
      </c>
      <c r="R2" s="149" t="s">
        <v>246</v>
      </c>
      <c r="S2" s="149" t="s">
        <v>545</v>
      </c>
      <c r="T2" s="149" t="s">
        <v>247</v>
      </c>
      <c r="U2" s="149" t="s">
        <v>546</v>
      </c>
      <c r="V2" s="149" t="s">
        <v>248</v>
      </c>
      <c r="W2" s="149" t="s">
        <v>249</v>
      </c>
    </row>
    <row r="3" spans="1:24">
      <c r="A3">
        <v>2009</v>
      </c>
      <c r="B3" s="13">
        <f>'Country Petrol Prices'!B12/CPIs!B48*CPIs!B$56</f>
        <v>141.62001546093751</v>
      </c>
      <c r="C3" s="13">
        <f>'Country Petrol Prices'!C12/CPIs!C48*CPIs!C$56</f>
        <v>121.03352367058564</v>
      </c>
      <c r="D3" s="13">
        <f>'Country Petrol Prices'!D12/CPIs!D48*CPIs!D$56</f>
        <v>151.14293533960733</v>
      </c>
      <c r="E3" s="13">
        <f>'Country Petrol Prices'!E12/CPIs!E48*CPIs!E$56</f>
        <v>108.69758435753008</v>
      </c>
      <c r="F3" s="13"/>
      <c r="G3" s="13">
        <f>'Country Petrol Prices'!G12/CPIs!G48*CPIs!G$56</f>
        <v>10.524238596911822</v>
      </c>
      <c r="H3" s="13">
        <f>'Country Petrol Prices'!H12/CPIs!H48*CPIs!H$56</f>
        <v>1.4213454792774025</v>
      </c>
      <c r="I3" s="13">
        <f>'Country Petrol Prices'!I12/CPIs!I48*CPIs!I$56</f>
        <v>1.3096507469301562</v>
      </c>
      <c r="J3" s="13">
        <f>'Country Petrol Prices'!J12/CPIs!J48*CPIs!J$56</f>
        <v>1.3946833364817783</v>
      </c>
      <c r="K3" s="13">
        <f>'Country Petrol Prices'!K12/CPIs!K48*CPIs!K$56</f>
        <v>76.579248968844084</v>
      </c>
      <c r="L3" s="13">
        <f>'Country Petrol Prices'!L12/CPIs!L48*CPIs!L$56</f>
        <v>1.151035496297016</v>
      </c>
      <c r="M3" s="13">
        <f>'Country Petrol Prices'!M12/CPIs!M48*CPIs!M$56</f>
        <v>1.3589290286200284</v>
      </c>
      <c r="N3" s="13">
        <f>'Country Petrol Prices'!N12/CPIs!N48*CPIs!N$56</f>
        <v>124.0947006986481</v>
      </c>
      <c r="O3" s="3">
        <f>'Country Petrol Prices'!O12/CPIs!O48*CPIs!O$56</f>
        <v>1840.8858926610064</v>
      </c>
      <c r="P3" s="13">
        <f>'Country Petrol Prices'!P12/CPIs!P48*CPIs!P$56</f>
        <v>1.5104444505269523</v>
      </c>
      <c r="Q3" s="13">
        <f>'Country Petrol Prices'!Q12/CPIs!Q48*CPIs!Q$56</f>
        <v>1.8109432608631397</v>
      </c>
      <c r="R3" s="13">
        <f>'Country Petrol Prices'!R12/CPIs!R48*CPIs!R$56</f>
        <v>13.939322169580347</v>
      </c>
      <c r="S3" s="13">
        <f>'Country Petrol Prices'!S12/CPIs!S48*CPIs!S$56</f>
        <v>1.0732702125914324</v>
      </c>
      <c r="T3" s="13">
        <f>'Country Petrol Prices'!T12/CPIs!T48*CPIs!T$56</f>
        <v>12.87939323185835</v>
      </c>
      <c r="U3" s="13">
        <f>'Country Petrol Prices'!U12/CPIs!U48*CPIs!U$56</f>
        <v>1.4910172451502792</v>
      </c>
      <c r="V3" s="13">
        <f>'Country Petrol Prices'!V12/CPIs!V48*CPIs!V$56</f>
        <v>118.3991271897728</v>
      </c>
      <c r="W3" s="13">
        <f>'Country Petrol Prices'!W12/CPIs!W48*CPIs!W$56</f>
        <v>70.878062532715433</v>
      </c>
    </row>
    <row r="4" spans="1:24">
      <c r="A4">
        <v>2010</v>
      </c>
      <c r="B4" s="13">
        <f>'Country Petrol Prices'!B13/CPIs!B49*CPIs!B$56</f>
        <v>145.76299374953985</v>
      </c>
      <c r="C4" s="13">
        <f>'Country Petrol Prices'!C13/CPIs!C49*CPIs!C$56</f>
        <v>135.29027636308592</v>
      </c>
      <c r="D4" s="13">
        <f>'Country Petrol Prices'!D13/CPIs!D49*CPIs!D$56</f>
        <v>163.64050827689979</v>
      </c>
      <c r="E4" s="13">
        <f>'Country Petrol Prices'!E13/CPIs!E49*CPIs!E$56</f>
        <v>116.02811756301115</v>
      </c>
      <c r="F4" s="13"/>
      <c r="G4" s="13">
        <f>'Country Petrol Prices'!G13/CPIs!G49*CPIs!G$56</f>
        <v>11.613213624328614</v>
      </c>
      <c r="H4" s="13">
        <f>'Country Petrol Prices'!H13/CPIs!H49*CPIs!H$56</f>
        <v>1.5685764149553554</v>
      </c>
      <c r="I4" s="13">
        <f>'Country Petrol Prices'!I13/CPIs!I49*CPIs!I$56</f>
        <v>1.4363313893598633</v>
      </c>
      <c r="J4" s="13">
        <f>'Country Petrol Prices'!J13/CPIs!J49*CPIs!J$56</f>
        <v>1.5202287868685356</v>
      </c>
      <c r="K4" s="13">
        <f>'Country Petrol Prices'!K13/CPIs!K49*CPIs!K$56</f>
        <v>78.384170657432904</v>
      </c>
      <c r="L4" s="13">
        <f>'Country Petrol Prices'!L13/CPIs!L49*CPIs!L$56</f>
        <v>1.3667189382467488</v>
      </c>
      <c r="M4" s="13">
        <f>'Country Petrol Prices'!M13/CPIs!M49*CPIs!M$56</f>
        <v>1.4808351632429047</v>
      </c>
      <c r="N4" s="13">
        <f>'Country Petrol Prices'!N13/CPIs!N49*CPIs!N$56</f>
        <v>138.17026270713043</v>
      </c>
      <c r="O4" s="3">
        <f>'Country Petrol Prices'!O13/CPIs!O49*CPIs!O$56</f>
        <v>1932.1432972875596</v>
      </c>
      <c r="P4" s="13">
        <f>'Country Petrol Prices'!P13/CPIs!P49*CPIs!P$56</f>
        <v>1.6691028648069532</v>
      </c>
      <c r="Q4" s="13">
        <f>'Country Petrol Prices'!Q13/CPIs!Q49*CPIs!Q$56</f>
        <v>1.9512981647094725</v>
      </c>
      <c r="R4" s="13">
        <f>'Country Petrol Prices'!R13/CPIs!R49*CPIs!R$56</f>
        <v>14.53971195348651</v>
      </c>
      <c r="S4" s="13">
        <f>'Country Petrol Prices'!S13/CPIs!S49*CPIs!S$56</f>
        <v>1.2257989769808961</v>
      </c>
      <c r="T4" s="13">
        <f>'Country Petrol Prices'!T13/CPIs!T49*CPIs!T$56</f>
        <v>13.539159508345152</v>
      </c>
      <c r="U4" s="13">
        <f>'Country Petrol Prices'!U13/CPIs!U49*CPIs!U$56</f>
        <v>1.6085679069165575</v>
      </c>
      <c r="V4" s="13">
        <f>'Country Petrol Prices'!V13/CPIs!V49*CPIs!V$56</f>
        <v>134.95019221326905</v>
      </c>
      <c r="W4" s="13">
        <f>'Country Petrol Prices'!W13/CPIs!W49*CPIs!W$56</f>
        <v>82.5591136421735</v>
      </c>
      <c r="X4" s="13"/>
    </row>
    <row r="5" spans="1:24">
      <c r="A5">
        <v>2011</v>
      </c>
      <c r="B5" s="13">
        <f>'Country Petrol Prices'!B14/CPIs!B50*CPIs!B$56</f>
        <v>158.09355090258811</v>
      </c>
      <c r="C5" s="13">
        <f>'Country Petrol Prices'!C14/CPIs!C50*CPIs!C$56</f>
        <v>149.8183441805711</v>
      </c>
      <c r="D5" s="13">
        <f>'Country Petrol Prices'!D14/CPIs!D50*CPIs!D$56</f>
        <v>174.30534416589745</v>
      </c>
      <c r="E5" s="13">
        <f>'Country Petrol Prices'!E14/CPIs!E50*CPIs!E$56</f>
        <v>134.15652610964366</v>
      </c>
      <c r="F5" s="13"/>
      <c r="G5" s="13">
        <f>'Country Petrol Prices'!G14/CPIs!G50*CPIs!G$56</f>
        <v>12.759047004852793</v>
      </c>
      <c r="H5" s="13">
        <f>'Country Petrol Prices'!H14/CPIs!H50*CPIs!H$56</f>
        <v>1.6590545254423623</v>
      </c>
      <c r="I5" s="13">
        <f>'Country Petrol Prices'!I14/CPIs!I50*CPIs!I$56</f>
        <v>1.567840910960985</v>
      </c>
      <c r="J5" s="13">
        <f>'Country Petrol Prices'!J14/CPIs!J50*CPIs!J$56</f>
        <v>1.6348105321240771</v>
      </c>
      <c r="K5" s="13">
        <f>'Country Petrol Prices'!K14/CPIs!K50*CPIs!K$56</f>
        <v>90.346681306786266</v>
      </c>
      <c r="L5" s="13">
        <f>'Country Petrol Prices'!L14/CPIs!L50*CPIs!L$56</f>
        <v>1.5177904275942276</v>
      </c>
      <c r="M5" s="13">
        <f>'Country Petrol Prices'!M14/CPIs!M50*CPIs!M$56</f>
        <v>1.6403960827513144</v>
      </c>
      <c r="N5" s="13">
        <f>'Country Petrol Prices'!N14/CPIs!N50*CPIs!N$56</f>
        <v>151.76099193379673</v>
      </c>
      <c r="O5" s="3">
        <f>'Country Petrol Prices'!O14/CPIs!O50*CPIs!O$56</f>
        <v>1992.1336369452501</v>
      </c>
      <c r="P5" s="13">
        <f>'Country Petrol Prices'!P14/CPIs!P50*CPIs!P$56</f>
        <v>1.7784456594170708</v>
      </c>
      <c r="Q5" s="13">
        <f>'Country Petrol Prices'!Q14/CPIs!Q50*CPIs!Q$56</f>
        <v>2.2086072022303731</v>
      </c>
      <c r="R5" s="13">
        <f>'Country Petrol Prices'!R14/CPIs!R50*CPIs!R$56</f>
        <v>15.503228615081168</v>
      </c>
      <c r="S5" s="13">
        <f>'Country Petrol Prices'!S14/CPIs!S50*CPIs!S$56</f>
        <v>1.3433016243420697</v>
      </c>
      <c r="T5" s="13">
        <f>'Country Petrol Prices'!T14/CPIs!T50*CPIs!T$56</f>
        <v>14.495277817304576</v>
      </c>
      <c r="U5" s="13">
        <f>'Country Petrol Prices'!U14/CPIs!U50*CPIs!U$56</f>
        <v>1.6862255682827834</v>
      </c>
      <c r="V5" s="13">
        <f>'Country Petrol Prices'!V14/CPIs!V50*CPIs!V$56</f>
        <v>147.93256776388264</v>
      </c>
      <c r="W5" s="13">
        <f>'Country Petrol Prices'!W14/CPIs!W50*CPIs!W$56</f>
        <v>101.42682253361208</v>
      </c>
      <c r="X5" s="13"/>
    </row>
    <row r="6" spans="1:24">
      <c r="A6">
        <v>2012</v>
      </c>
      <c r="B6" s="13">
        <f>'Country Petrol Prices'!B15/CPIs!B51*CPIs!B$56</f>
        <v>157.8150181776507</v>
      </c>
      <c r="C6" s="13">
        <f>'Country Petrol Prices'!C15/CPIs!C51*CPIs!C$56</f>
        <v>156.13208759503374</v>
      </c>
      <c r="D6" s="13">
        <f>'Country Petrol Prices'!D15/CPIs!D51*CPIs!D$56</f>
        <v>180.66388333578999</v>
      </c>
      <c r="E6" s="13">
        <f>'Country Petrol Prices'!E15/CPIs!E51*CPIs!E$56</f>
        <v>136.13921582492722</v>
      </c>
      <c r="F6" s="13"/>
      <c r="G6" s="13">
        <f>'Country Petrol Prices'!G15/CPIs!G51*CPIs!G$56</f>
        <v>13.149977153707399</v>
      </c>
      <c r="H6" s="13">
        <f>'Country Petrol Prices'!H15/CPIs!H51*CPIs!H$56</f>
        <v>1.7285067675237191</v>
      </c>
      <c r="I6" s="13">
        <f>'Country Petrol Prices'!I15/CPIs!I51*CPIs!I$56</f>
        <v>1.607869861636166</v>
      </c>
      <c r="J6" s="13">
        <f>'Country Petrol Prices'!J15/CPIs!J51*CPIs!J$56</f>
        <v>1.7331105698095135</v>
      </c>
      <c r="K6" s="13">
        <f>'Country Petrol Prices'!K15/CPIs!K51*CPIs!K$56</f>
        <v>89.725587936057025</v>
      </c>
      <c r="L6" s="13">
        <f>'Country Petrol Prices'!L15/CPIs!L51*CPIs!L$56</f>
        <v>1.6279634422628591</v>
      </c>
      <c r="M6" s="13">
        <f>'Country Petrol Prices'!M15/CPIs!M51*CPIs!M$56</f>
        <v>1.8351542911677077</v>
      </c>
      <c r="N6" s="13">
        <f>'Country Petrol Prices'!N15/CPIs!N51*CPIs!N$56</f>
        <v>153.34350185294886</v>
      </c>
      <c r="O6" s="3">
        <f>'Country Petrol Prices'!O15/CPIs!O51*CPIs!O$56</f>
        <v>2081.3745342223169</v>
      </c>
      <c r="P6" s="13">
        <f>'Country Petrol Prices'!P15/CPIs!P51*CPIs!P$56</f>
        <v>1.8644555523189843</v>
      </c>
      <c r="Q6" s="13">
        <f>'Country Petrol Prices'!Q15/CPIs!Q51*CPIs!Q$56</f>
        <v>2.2535516039261765</v>
      </c>
      <c r="R6" s="13">
        <f>'Country Petrol Prices'!R15/CPIs!R51*CPIs!R$56</f>
        <v>16.536193560785069</v>
      </c>
      <c r="S6" s="13">
        <f>'Country Petrol Prices'!S15/CPIs!S51*CPIs!S$56</f>
        <v>1.4188810867343382</v>
      </c>
      <c r="T6" s="13">
        <f>'Country Petrol Prices'!T15/CPIs!T51*CPIs!T$56</f>
        <v>15.339999577432197</v>
      </c>
      <c r="U6" s="13">
        <f>'Country Petrol Prices'!U15/CPIs!U51*CPIs!U$56</f>
        <v>1.7374725991117952</v>
      </c>
      <c r="V6" s="13">
        <f>'Country Petrol Prices'!V15/CPIs!V51*CPIs!V$56</f>
        <v>146.26861107519275</v>
      </c>
      <c r="W6" s="13">
        <f>'Country Petrol Prices'!W15/CPIs!W51*CPIs!W$56</f>
        <v>102.35326852146619</v>
      </c>
      <c r="X6" s="13"/>
    </row>
    <row r="7" spans="1:24">
      <c r="A7">
        <v>2013</v>
      </c>
      <c r="B7" s="13">
        <f>'Country Petrol Prices'!B16/CPIs!B52*CPIs!B$56</f>
        <v>156.94677056232294</v>
      </c>
      <c r="C7" s="13">
        <f>'Country Petrol Prices'!C16/CPIs!C52*CPIs!C$56</f>
        <v>147.07380012698297</v>
      </c>
      <c r="D7" s="13">
        <f>'Country Petrol Prices'!D16/CPIs!D52*CPIs!D$56</f>
        <v>171.61789532594682</v>
      </c>
      <c r="E7" s="13">
        <f>'Country Petrol Prices'!E16/CPIs!E52*CPIs!E$56</f>
        <v>135.28991350427663</v>
      </c>
      <c r="F7" s="13"/>
      <c r="G7" s="13">
        <f>'Country Petrol Prices'!G16/CPIs!G52*CPIs!G$56</f>
        <v>12.831084146528525</v>
      </c>
      <c r="H7" s="13">
        <f>'Country Petrol Prices'!H16/CPIs!H52*CPIs!H$56</f>
        <v>1.6745724255585894</v>
      </c>
      <c r="I7" s="13">
        <f>'Country Petrol Prices'!I16/CPIs!I52*CPIs!I$56</f>
        <v>1.5643603891747364</v>
      </c>
      <c r="J7" s="13">
        <f>'Country Petrol Prices'!J16/CPIs!J52*CPIs!J$56</f>
        <v>1.6555498009695266</v>
      </c>
      <c r="K7" s="13">
        <f>'Country Petrol Prices'!K16/CPIs!K52*CPIs!K$56</f>
        <v>83.172498083644754</v>
      </c>
      <c r="L7" s="13">
        <f>'Country Petrol Prices'!L16/CPIs!L52*CPIs!L$56</f>
        <v>1.5919064529629796</v>
      </c>
      <c r="M7" s="13">
        <f>'Country Petrol Prices'!M16/CPIs!M52*CPIs!M$56</f>
        <v>1.7730268282889579</v>
      </c>
      <c r="N7" s="13">
        <f>'Country Petrol Prices'!N16/CPIs!N52*CPIs!N$56</f>
        <v>161.91738184916966</v>
      </c>
      <c r="O7" s="3">
        <f>'Country Petrol Prices'!O16/CPIs!O52*CPIs!O$56</f>
        <v>1929.6990120506521</v>
      </c>
      <c r="P7" s="13">
        <f>'Country Petrol Prices'!P16/CPIs!P52*CPIs!P$56</f>
        <v>1.7953483658309191</v>
      </c>
      <c r="Q7" s="13">
        <f>'Country Petrol Prices'!Q16/CPIs!Q52*CPIs!Q$56</f>
        <v>2.2393695119417556</v>
      </c>
      <c r="R7" s="13">
        <f>'Country Petrol Prices'!R16/CPIs!R52*CPIs!R$56</f>
        <v>16.847820522899895</v>
      </c>
      <c r="S7" s="13">
        <f>'Country Petrol Prices'!S16/CPIs!S52*CPIs!S$56</f>
        <v>1.405235925563548</v>
      </c>
      <c r="T7" s="13">
        <f>'Country Petrol Prices'!T16/CPIs!T52*CPIs!T$56</f>
        <v>14.838571664279321</v>
      </c>
      <c r="U7" s="13">
        <f>'Country Petrol Prices'!U16/CPIs!U52*CPIs!U$56</f>
        <v>1.7313632286834566</v>
      </c>
      <c r="V7" s="13">
        <f>'Country Petrol Prices'!V16/CPIs!V52*CPIs!V$56</f>
        <v>141.12479553346003</v>
      </c>
      <c r="W7" s="13">
        <f>'Country Petrol Prices'!W16/CPIs!W52*CPIs!W$56</f>
        <v>97.598925655339755</v>
      </c>
      <c r="X7" s="13"/>
    </row>
    <row r="8" spans="1:24">
      <c r="A8">
        <v>2014</v>
      </c>
      <c r="B8" s="13">
        <f>'Country Petrol Prices'!B17/CPIs!B53*CPIs!B$56</f>
        <v>154.12200332171693</v>
      </c>
      <c r="C8" s="13">
        <f>'Country Petrol Prices'!C17/CPIs!C53*CPIs!C$56</f>
        <v>140.25142943740295</v>
      </c>
      <c r="D8" s="13">
        <f>'Country Petrol Prices'!D17/CPIs!D53*CPIs!D$56</f>
        <v>165.81842890283943</v>
      </c>
      <c r="E8" s="13">
        <f>'Country Petrol Prices'!E17/CPIs!E53*CPIs!E$56</f>
        <v>133.36608814662068</v>
      </c>
      <c r="F8" s="13"/>
      <c r="G8" s="13">
        <f>'Country Petrol Prices'!G17/CPIs!G53*CPIs!G$56</f>
        <v>12.441868304883535</v>
      </c>
      <c r="H8" s="13">
        <f>'Country Petrol Prices'!H17/CPIs!H53*CPIs!H$56</f>
        <v>1.6217954267324262</v>
      </c>
      <c r="I8" s="13">
        <f>'Country Petrol Prices'!I17/CPIs!I53*CPIs!I$56</f>
        <v>1.5106128097420384</v>
      </c>
      <c r="J8" s="13">
        <f>'Country Petrol Prices'!J17/CPIs!J53*CPIs!J$56</f>
        <v>1.5813013269276655</v>
      </c>
      <c r="K8" s="13">
        <f>'Country Petrol Prices'!K17/CPIs!K53*CPIs!K$56</f>
        <v>78.801980190812202</v>
      </c>
      <c r="L8" s="13">
        <f>'Country Petrol Prices'!L17/CPIs!L53*CPIs!L$56</f>
        <v>1.5305339532869953</v>
      </c>
      <c r="M8" s="13">
        <f>'Country Petrol Prices'!M17/CPIs!M53*CPIs!M$56</f>
        <v>1.7358400367483142</v>
      </c>
      <c r="N8" s="13">
        <f>'Country Petrol Prices'!N17/CPIs!N53*CPIs!N$56</f>
        <v>164.81591939226672</v>
      </c>
      <c r="O8" s="3">
        <f>'Country Petrol Prices'!O17/CPIs!O53*CPIs!O$56</f>
        <v>1782.0461001582726</v>
      </c>
      <c r="P8" s="13">
        <f>'Country Petrol Prices'!P17/CPIs!P53*CPIs!P$56</f>
        <v>1.7414148139752934</v>
      </c>
      <c r="Q8" s="13">
        <f>'Country Petrol Prices'!Q17/CPIs!Q53*CPIs!Q$56</f>
        <v>2.2238951998211856</v>
      </c>
      <c r="R8" s="13">
        <f>'Country Petrol Prices'!R17/CPIs!R53*CPIs!R$56</f>
        <v>16.882651324733366</v>
      </c>
      <c r="S8" s="13">
        <f>'Country Petrol Prices'!S17/CPIs!S53*CPIs!S$56</f>
        <v>1.3687992078925209</v>
      </c>
      <c r="T8" s="13">
        <f>'Country Petrol Prices'!T17/CPIs!T53*CPIs!T$56</f>
        <v>14.621504155350955</v>
      </c>
      <c r="U8" s="13">
        <f>'Country Petrol Prices'!U17/CPIs!U53*CPIs!U$56</f>
        <v>1.6821183417762309</v>
      </c>
      <c r="V8" s="13">
        <f>'Country Petrol Prices'!V17/CPIs!V53*CPIs!V$56</f>
        <v>131.4660380257323</v>
      </c>
      <c r="W8" s="13">
        <f>'Country Petrol Prices'!W17/CPIs!W53*CPIs!W$56</f>
        <v>92.101599031591505</v>
      </c>
      <c r="X8" s="13"/>
    </row>
    <row r="9" spans="1:24">
      <c r="A9">
        <v>2015</v>
      </c>
      <c r="B9" s="13">
        <f>'Country Petrol Prices'!B18/CPIs!B54*CPIs!B$56</f>
        <v>132.24989495340208</v>
      </c>
      <c r="C9" s="13">
        <f>'Country Petrol Prices'!C18/CPIs!C54*CPIs!C$56</f>
        <v>123.80255115601979</v>
      </c>
      <c r="D9" s="13">
        <f>'Country Petrol Prices'!D18/CPIs!D54*CPIs!D$56</f>
        <v>146.8050177933026</v>
      </c>
      <c r="E9" s="13">
        <f>'Country Petrol Prices'!E18/CPIs!E54*CPIs!E$56</f>
        <v>109.8965714864927</v>
      </c>
      <c r="F9" s="13"/>
      <c r="G9" s="13">
        <f>'Country Petrol Prices'!G18/CPIs!G54*CPIs!G$56</f>
        <v>11.310853815717714</v>
      </c>
      <c r="H9" s="13">
        <f>'Country Petrol Prices'!H18/CPIs!H54*CPIs!H$56</f>
        <v>1.4843721940240318</v>
      </c>
      <c r="I9" s="13">
        <f>'Country Petrol Prices'!I18/CPIs!I54*CPIs!I$56</f>
        <v>1.3728534858125618</v>
      </c>
      <c r="J9" s="13">
        <f>'Country Petrol Prices'!J18/CPIs!J54*CPIs!J$56</f>
        <v>1.4282196815409196</v>
      </c>
      <c r="K9" s="13">
        <f>'Country Petrol Prices'!K18/CPIs!K54*CPIs!K$56</f>
        <v>66.549340236524998</v>
      </c>
      <c r="L9" s="13">
        <f>'Country Petrol Prices'!L18/CPIs!L54*CPIs!L$56</f>
        <v>1.3736546000000001</v>
      </c>
      <c r="M9" s="13">
        <f>'Country Petrol Prices'!M18/CPIs!M54*CPIs!M$56</f>
        <v>1.5546782187675763</v>
      </c>
      <c r="N9" s="13">
        <f>'Country Petrol Prices'!N18/CPIs!N54*CPIs!N$56</f>
        <v>137.97086528034484</v>
      </c>
      <c r="O9" s="3">
        <f>'Country Petrol Prices'!O18/CPIs!O54*CPIs!O$56</f>
        <v>1570.8739640381657</v>
      </c>
      <c r="P9" s="13">
        <f>'Country Petrol Prices'!P18/CPIs!P54*CPIs!P$56</f>
        <v>1.590097124998926</v>
      </c>
      <c r="Q9" s="13">
        <f>'Country Petrol Prices'!Q18/CPIs!Q54*CPIs!Q$56</f>
        <v>2.0151148403262478</v>
      </c>
      <c r="R9" s="13">
        <f>'Country Petrol Prices'!R18/CPIs!R54*CPIs!R$56</f>
        <v>15.87153427985062</v>
      </c>
      <c r="S9" s="13">
        <f>'Country Petrol Prices'!S18/CPIs!S54*CPIs!S$56</f>
        <v>1.2167627598218582</v>
      </c>
      <c r="T9" s="13">
        <f>'Country Petrol Prices'!T18/CPIs!T54*CPIs!T$56</f>
        <v>13.491579375504973</v>
      </c>
      <c r="U9" s="13">
        <f>'Country Petrol Prices'!U18/CPIs!U54*CPIs!U$56</f>
        <v>1.4513495013546844</v>
      </c>
      <c r="V9" s="13">
        <f>'Country Petrol Prices'!V18/CPIs!V54*CPIs!V$56</f>
        <v>114.66999679202272</v>
      </c>
      <c r="W9" s="13">
        <f>'Country Petrol Prices'!W18/CPIs!W54*CPIs!W$56</f>
        <v>66.181342850068987</v>
      </c>
      <c r="X9" s="13"/>
    </row>
    <row r="10" spans="1:24">
      <c r="A10">
        <v>2016</v>
      </c>
      <c r="B10" s="13">
        <f>'Country Petrol Prices'!B19/CPIs!B55*CPIs!B$56</f>
        <v>118.95981614201958</v>
      </c>
      <c r="C10" s="13">
        <f>'Country Petrol Prices'!C19/CPIs!C55*CPIs!C$56</f>
        <v>113.4537536</v>
      </c>
      <c r="D10" s="13">
        <f>'Country Petrol Prices'!D19/CPIs!D55*CPIs!D$56</f>
        <v>133.39100157594532</v>
      </c>
      <c r="E10" s="13">
        <f>'Country Petrol Prices'!E19/CPIs!E55*CPIs!E$56</f>
        <v>102.66154999999999</v>
      </c>
      <c r="F10" s="13"/>
      <c r="G10" s="13">
        <f>'Country Petrol Prices'!G19/CPIs!G55*CPIs!G$56</f>
        <v>10.615667266425097</v>
      </c>
      <c r="H10" s="13">
        <f>'Country Petrol Prices'!H19/CPIs!H55*CPIs!H$56</f>
        <v>1.3911963000000001</v>
      </c>
      <c r="I10" s="13">
        <f>'Country Petrol Prices'!I19/CPIs!I55*CPIs!I$56</f>
        <v>1.3145694242199997</v>
      </c>
      <c r="J10" s="13">
        <f>'Country Petrol Prices'!J19/CPIs!J55*CPIs!J$56</f>
        <v>1.3281343080000003</v>
      </c>
      <c r="K10" s="13">
        <f>'Country Petrol Prices'!K19/CPIs!K55*CPIs!K$56</f>
        <v>64.503789666666663</v>
      </c>
      <c r="L10" s="13">
        <f>'Country Petrol Prices'!L19/CPIs!L55*CPIs!L$56</f>
        <v>1.2873802611999998</v>
      </c>
      <c r="M10" s="13">
        <f>'Country Petrol Prices'!M19/CPIs!M55*CPIs!M$56</f>
        <v>1.4609882077199996</v>
      </c>
      <c r="N10" s="13">
        <f>'Country Petrol Prices'!N19/CPIs!N55*CPIs!N$56</f>
        <v>122.389205</v>
      </c>
      <c r="O10" s="3">
        <f>'Country Petrol Prices'!O19/CPIs!O55*CPIs!O$56</f>
        <v>1420.1635000000001</v>
      </c>
      <c r="P10" s="13">
        <f>'Country Petrol Prices'!P19/CPIs!P55*CPIs!P$56</f>
        <v>1.4975302999999995</v>
      </c>
      <c r="Q10" s="13">
        <f>'Country Petrol Prices'!Q19/CPIs!Q55*CPIs!Q$56</f>
        <v>1.91262</v>
      </c>
      <c r="R10" s="13">
        <f>'Country Petrol Prices'!R19/CPIs!R55*CPIs!R$56</f>
        <v>15.042574083320719</v>
      </c>
      <c r="S10" s="13">
        <f>'Country Petrol Prices'!S19/CPIs!S55*CPIs!S$56</f>
        <v>1.1719924748000006</v>
      </c>
      <c r="T10" s="13">
        <f>'Country Petrol Prices'!T19/CPIs!T55*CPIs!T$56</f>
        <v>13.307405577625012</v>
      </c>
      <c r="U10" s="13">
        <f>'Country Petrol Prices'!U19/CPIs!U55*CPIs!U$56</f>
        <v>1.4074200000000001</v>
      </c>
      <c r="V10" s="13">
        <f>'Country Petrol Prices'!V19/CPIs!V55*CPIs!V$56</f>
        <v>112.36885526401343</v>
      </c>
      <c r="W10" s="13">
        <f>'Country Petrol Prices'!W19/CPIs!W55*CPIs!W$56</f>
        <v>58.784325833333348</v>
      </c>
      <c r="X10" s="13"/>
    </row>
    <row r="11" spans="1:24">
      <c r="A11">
        <v>2017</v>
      </c>
      <c r="B11" s="13">
        <f>'Country Petrol Prices'!B20/CPIs!B56*CPIs!B$56</f>
        <v>128.02082212403147</v>
      </c>
      <c r="C11" s="13">
        <f>'Country Petrol Prices'!C20/CPIs!C56*CPIs!C$56</f>
        <v>117.74400000000001</v>
      </c>
      <c r="D11" s="13">
        <f>'Country Petrol Prices'!D20/CPIs!D56*CPIs!D$56</f>
        <v>140.37086541124975</v>
      </c>
      <c r="E11" s="13">
        <f>'Country Petrol Prices'!E20/CPIs!E56*CPIs!E$56</f>
        <v>111.48662536798223</v>
      </c>
      <c r="F11" s="13"/>
      <c r="G11" s="13">
        <f>'Country Petrol Prices'!G20/CPIs!G56*CPIs!G$56</f>
        <v>11.13</v>
      </c>
      <c r="H11" s="13">
        <f>'Country Petrol Prices'!H20/CPIs!H56*CPIs!H$56</f>
        <v>1.4643200000000001</v>
      </c>
      <c r="I11" s="13">
        <f>'Country Petrol Prices'!I20/CPIs!I56*CPIs!I$56</f>
        <v>1.3753759999999999</v>
      </c>
      <c r="J11" s="13">
        <f>'Country Petrol Prices'!J20/CPIs!J56*CPIs!J$56</f>
        <v>1.3738800000000004</v>
      </c>
      <c r="K11" s="13">
        <f>'Country Petrol Prices'!K20/CPIs!K56*CPIs!K$56</f>
        <v>68.420833333333334</v>
      </c>
      <c r="L11" s="13">
        <f>'Country Petrol Prices'!L20/CPIs!L56*CPIs!L$56</f>
        <v>1.3638000000000006</v>
      </c>
      <c r="M11" s="13">
        <f>'Country Petrol Prices'!M20/CPIs!M56*CPIs!M$56</f>
        <v>1.5276388000000001</v>
      </c>
      <c r="N11" s="13">
        <f>'Country Petrol Prices'!N20/CPIs!N56*CPIs!N$56</f>
        <v>133.5</v>
      </c>
      <c r="O11" s="3">
        <f>'Country Petrol Prices'!O20/CPIs!O56*CPIs!O$56</f>
        <v>1489</v>
      </c>
      <c r="P11" s="13">
        <f>'Country Petrol Prices'!P20/CPIs!P56*CPIs!P$56</f>
        <v>1.5521100000000001</v>
      </c>
      <c r="Q11" s="13">
        <f>'Country Petrol Prices'!Q20/CPIs!Q56*CPIs!Q$56</f>
        <v>2.020833333333333</v>
      </c>
      <c r="R11" s="13">
        <f>'Country Petrol Prices'!R20/CPIs!R56*CPIs!R$56</f>
        <v>16.235867241988913</v>
      </c>
      <c r="S11" s="13">
        <f>'Country Petrol Prices'!S20/CPIs!S56*CPIs!S$56</f>
        <v>1.2168797999999996</v>
      </c>
      <c r="T11" s="13">
        <f>'Country Petrol Prices'!T20/CPIs!T56*CPIs!T$56</f>
        <v>14.091988970974111</v>
      </c>
      <c r="U11" s="13">
        <f>'Country Petrol Prices'!U20/CPIs!U56*CPIs!U$56</f>
        <v>1.5</v>
      </c>
      <c r="V11" s="13">
        <f>'Country Petrol Prices'!V20/CPIs!V56*CPIs!V$56</f>
        <v>117.22506418753764</v>
      </c>
      <c r="W11" s="13">
        <f>'Country Petrol Prices'!W20/CPIs!W56*CPIs!W$56</f>
        <v>63.86666666666666</v>
      </c>
      <c r="X11" s="13"/>
    </row>
    <row r="12" spans="1:24">
      <c r="A12">
        <v>2018</v>
      </c>
    </row>
    <row r="13" spans="1:24">
      <c r="A13">
        <v>2019</v>
      </c>
    </row>
    <row r="14" spans="1:24">
      <c r="A14">
        <v>2020</v>
      </c>
    </row>
    <row r="15" spans="1:24">
      <c r="A15">
        <v>2021</v>
      </c>
    </row>
    <row r="16" spans="1:24">
      <c r="A16">
        <v>2022</v>
      </c>
    </row>
    <row r="17" spans="1:23">
      <c r="A17">
        <v>2023</v>
      </c>
    </row>
    <row r="18" spans="1:23">
      <c r="A18">
        <v>2024</v>
      </c>
    </row>
    <row r="19" spans="1:23">
      <c r="A19">
        <v>2025</v>
      </c>
    </row>
    <row r="20" spans="1:23">
      <c r="A20">
        <v>2026</v>
      </c>
    </row>
    <row r="21" spans="1:23">
      <c r="A21">
        <v>2027</v>
      </c>
    </row>
    <row r="22" spans="1:23">
      <c r="A22">
        <v>2028</v>
      </c>
    </row>
    <row r="23" spans="1:23">
      <c r="A23">
        <v>2029</v>
      </c>
    </row>
    <row r="24" spans="1:23">
      <c r="A24">
        <v>2030</v>
      </c>
    </row>
    <row r="26" spans="1:23">
      <c r="J26" s="175" t="s">
        <v>836</v>
      </c>
      <c r="K26" s="175"/>
      <c r="L26" s="175"/>
    </row>
    <row r="27" spans="1:23">
      <c r="B27" s="149" t="s">
        <v>255</v>
      </c>
      <c r="C27" s="149" t="s">
        <v>539</v>
      </c>
      <c r="D27" s="149" t="s">
        <v>540</v>
      </c>
      <c r="E27" s="149" t="s">
        <v>238</v>
      </c>
      <c r="F27" s="149" t="s">
        <v>239</v>
      </c>
      <c r="G27" s="149" t="s">
        <v>541</v>
      </c>
      <c r="H27" s="149" t="s">
        <v>542</v>
      </c>
      <c r="I27" s="149" t="s">
        <v>240</v>
      </c>
      <c r="J27" s="149" t="s">
        <v>241</v>
      </c>
      <c r="K27" s="149" t="s">
        <v>242</v>
      </c>
      <c r="L27" s="149" t="s">
        <v>544</v>
      </c>
      <c r="M27" s="7" t="s">
        <v>538</v>
      </c>
      <c r="N27" s="149" t="s">
        <v>243</v>
      </c>
      <c r="O27" s="149" t="s">
        <v>244</v>
      </c>
      <c r="P27" s="149" t="s">
        <v>245</v>
      </c>
      <c r="Q27" s="150" t="s">
        <v>331</v>
      </c>
      <c r="R27" s="149" t="s">
        <v>246</v>
      </c>
      <c r="S27" s="149" t="s">
        <v>545</v>
      </c>
      <c r="T27" s="149" t="s">
        <v>247</v>
      </c>
      <c r="U27" s="149" t="s">
        <v>546</v>
      </c>
      <c r="V27" s="149" t="s">
        <v>248</v>
      </c>
      <c r="W27" s="149" t="s">
        <v>249</v>
      </c>
    </row>
    <row r="28" spans="1:23">
      <c r="A28">
        <v>2009</v>
      </c>
      <c r="B28" s="13">
        <f t="shared" ref="B28:B36" si="0">B3</f>
        <v>141.62001546093751</v>
      </c>
      <c r="C28" s="13">
        <f t="shared" ref="C28:W36" si="1">C3</f>
        <v>121.03352367058564</v>
      </c>
      <c r="D28" s="13">
        <f t="shared" si="1"/>
        <v>151.14293533960733</v>
      </c>
      <c r="E28" s="13">
        <f t="shared" si="1"/>
        <v>108.69758435753008</v>
      </c>
      <c r="F28" s="13"/>
      <c r="G28" s="13">
        <f t="shared" si="1"/>
        <v>10.524238596911822</v>
      </c>
      <c r="H28" s="13">
        <f t="shared" si="1"/>
        <v>1.4213454792774025</v>
      </c>
      <c r="I28" s="13">
        <f t="shared" si="1"/>
        <v>1.3096507469301562</v>
      </c>
      <c r="J28" s="13">
        <f t="shared" si="1"/>
        <v>1.3946833364817783</v>
      </c>
      <c r="K28" s="13">
        <f t="shared" si="1"/>
        <v>76.579248968844084</v>
      </c>
      <c r="L28" s="13">
        <f t="shared" si="1"/>
        <v>1.151035496297016</v>
      </c>
      <c r="M28" s="13">
        <f t="shared" si="1"/>
        <v>1.3589290286200284</v>
      </c>
      <c r="N28" s="13">
        <f t="shared" si="1"/>
        <v>124.0947006986481</v>
      </c>
      <c r="O28" s="13">
        <f t="shared" si="1"/>
        <v>1840.8858926610064</v>
      </c>
      <c r="P28" s="13">
        <f t="shared" si="1"/>
        <v>1.5104444505269523</v>
      </c>
      <c r="Q28" s="13">
        <f t="shared" si="1"/>
        <v>1.8109432608631397</v>
      </c>
      <c r="R28" s="13">
        <f t="shared" si="1"/>
        <v>13.939322169580347</v>
      </c>
      <c r="S28" s="13">
        <f t="shared" si="1"/>
        <v>1.0732702125914324</v>
      </c>
      <c r="T28" s="13">
        <f t="shared" si="1"/>
        <v>12.87939323185835</v>
      </c>
      <c r="U28" s="13">
        <f t="shared" si="1"/>
        <v>1.4910172451502792</v>
      </c>
      <c r="V28" s="13">
        <f t="shared" si="1"/>
        <v>118.3991271897728</v>
      </c>
      <c r="W28" s="13">
        <f t="shared" si="1"/>
        <v>70.878062532715433</v>
      </c>
    </row>
    <row r="29" spans="1:23">
      <c r="A29">
        <v>2010</v>
      </c>
      <c r="B29" s="13">
        <f t="shared" si="0"/>
        <v>145.76299374953985</v>
      </c>
      <c r="C29" s="13">
        <f>C4</f>
        <v>135.29027636308592</v>
      </c>
      <c r="D29" s="13">
        <f>D4</f>
        <v>163.64050827689979</v>
      </c>
      <c r="E29" s="13">
        <f>E4</f>
        <v>116.02811756301115</v>
      </c>
      <c r="F29" s="13"/>
      <c r="G29" s="13">
        <f t="shared" ref="G29:Q29" si="2">G4</f>
        <v>11.613213624328614</v>
      </c>
      <c r="H29" s="13">
        <f t="shared" si="2"/>
        <v>1.5685764149553554</v>
      </c>
      <c r="I29" s="13">
        <f t="shared" si="2"/>
        <v>1.4363313893598633</v>
      </c>
      <c r="J29" s="13">
        <f t="shared" si="2"/>
        <v>1.5202287868685356</v>
      </c>
      <c r="K29" s="13">
        <f t="shared" si="2"/>
        <v>78.384170657432904</v>
      </c>
      <c r="L29" s="13">
        <f t="shared" si="2"/>
        <v>1.3667189382467488</v>
      </c>
      <c r="M29" s="13">
        <f t="shared" si="2"/>
        <v>1.4808351632429047</v>
      </c>
      <c r="N29" s="13">
        <f t="shared" si="2"/>
        <v>138.17026270713043</v>
      </c>
      <c r="O29" s="13">
        <f t="shared" si="2"/>
        <v>1932.1432972875596</v>
      </c>
      <c r="P29" s="13">
        <f t="shared" si="2"/>
        <v>1.6691028648069532</v>
      </c>
      <c r="Q29" s="13">
        <f t="shared" si="2"/>
        <v>1.9512981647094725</v>
      </c>
      <c r="R29" s="13">
        <f t="shared" si="1"/>
        <v>14.53971195348651</v>
      </c>
      <c r="S29" s="13">
        <f t="shared" si="1"/>
        <v>1.2257989769808961</v>
      </c>
      <c r="T29" s="13">
        <f t="shared" si="1"/>
        <v>13.539159508345152</v>
      </c>
      <c r="U29" s="13">
        <f t="shared" si="1"/>
        <v>1.6085679069165575</v>
      </c>
      <c r="V29" s="13">
        <f t="shared" si="1"/>
        <v>134.95019221326905</v>
      </c>
      <c r="W29" s="13">
        <f t="shared" si="1"/>
        <v>82.5591136421735</v>
      </c>
    </row>
    <row r="30" spans="1:23">
      <c r="A30">
        <v>2011</v>
      </c>
      <c r="B30" s="13">
        <f t="shared" si="0"/>
        <v>158.09355090258811</v>
      </c>
      <c r="C30" s="13">
        <f t="shared" si="1"/>
        <v>149.8183441805711</v>
      </c>
      <c r="D30" s="13">
        <f t="shared" si="1"/>
        <v>174.30534416589745</v>
      </c>
      <c r="E30" s="13">
        <f t="shared" si="1"/>
        <v>134.15652610964366</v>
      </c>
      <c r="F30" s="13"/>
      <c r="G30" s="13">
        <f t="shared" si="1"/>
        <v>12.759047004852793</v>
      </c>
      <c r="H30" s="13">
        <f t="shared" si="1"/>
        <v>1.6590545254423623</v>
      </c>
      <c r="I30" s="13">
        <f t="shared" si="1"/>
        <v>1.567840910960985</v>
      </c>
      <c r="J30" s="13">
        <f t="shared" si="1"/>
        <v>1.6348105321240771</v>
      </c>
      <c r="K30" s="13">
        <f t="shared" si="1"/>
        <v>90.346681306786266</v>
      </c>
      <c r="L30" s="13">
        <f t="shared" si="1"/>
        <v>1.5177904275942276</v>
      </c>
      <c r="M30" s="13">
        <f t="shared" si="1"/>
        <v>1.6403960827513144</v>
      </c>
      <c r="N30" s="13">
        <f t="shared" si="1"/>
        <v>151.76099193379673</v>
      </c>
      <c r="O30" s="13">
        <f t="shared" si="1"/>
        <v>1992.1336369452501</v>
      </c>
      <c r="P30" s="13">
        <f t="shared" si="1"/>
        <v>1.7784456594170708</v>
      </c>
      <c r="Q30" s="13">
        <f t="shared" si="1"/>
        <v>2.2086072022303731</v>
      </c>
      <c r="R30" s="13">
        <f t="shared" si="1"/>
        <v>15.503228615081168</v>
      </c>
      <c r="S30" s="13">
        <f t="shared" si="1"/>
        <v>1.3433016243420697</v>
      </c>
      <c r="T30" s="13">
        <f t="shared" si="1"/>
        <v>14.495277817304576</v>
      </c>
      <c r="U30" s="13">
        <f t="shared" si="1"/>
        <v>1.6862255682827834</v>
      </c>
      <c r="V30" s="13">
        <f t="shared" si="1"/>
        <v>147.93256776388264</v>
      </c>
      <c r="W30" s="13">
        <f t="shared" si="1"/>
        <v>101.42682253361208</v>
      </c>
    </row>
    <row r="31" spans="1:23">
      <c r="A31">
        <v>2012</v>
      </c>
      <c r="B31" s="13">
        <f t="shared" si="0"/>
        <v>157.8150181776507</v>
      </c>
      <c r="C31" s="13">
        <f t="shared" si="1"/>
        <v>156.13208759503374</v>
      </c>
      <c r="D31" s="13">
        <f t="shared" si="1"/>
        <v>180.66388333578999</v>
      </c>
      <c r="E31" s="13">
        <f t="shared" si="1"/>
        <v>136.13921582492722</v>
      </c>
      <c r="F31" s="13"/>
      <c r="G31" s="13">
        <f t="shared" si="1"/>
        <v>13.149977153707399</v>
      </c>
      <c r="H31" s="13">
        <f t="shared" si="1"/>
        <v>1.7285067675237191</v>
      </c>
      <c r="I31" s="13">
        <f t="shared" si="1"/>
        <v>1.607869861636166</v>
      </c>
      <c r="J31" s="13">
        <f t="shared" si="1"/>
        <v>1.7331105698095135</v>
      </c>
      <c r="K31" s="13">
        <f t="shared" si="1"/>
        <v>89.725587936057025</v>
      </c>
      <c r="L31" s="13">
        <f t="shared" si="1"/>
        <v>1.6279634422628591</v>
      </c>
      <c r="M31" s="13">
        <f t="shared" si="1"/>
        <v>1.8351542911677077</v>
      </c>
      <c r="N31" s="13">
        <f t="shared" si="1"/>
        <v>153.34350185294886</v>
      </c>
      <c r="O31" s="13">
        <f t="shared" si="1"/>
        <v>2081.3745342223169</v>
      </c>
      <c r="P31" s="13">
        <f t="shared" si="1"/>
        <v>1.8644555523189843</v>
      </c>
      <c r="Q31" s="13">
        <f t="shared" si="1"/>
        <v>2.2535516039261765</v>
      </c>
      <c r="R31" s="13">
        <f t="shared" si="1"/>
        <v>16.536193560785069</v>
      </c>
      <c r="S31" s="13">
        <f t="shared" si="1"/>
        <v>1.4188810867343382</v>
      </c>
      <c r="T31" s="13">
        <f t="shared" si="1"/>
        <v>15.339999577432197</v>
      </c>
      <c r="U31" s="13">
        <f t="shared" si="1"/>
        <v>1.7374725991117952</v>
      </c>
      <c r="V31" s="13">
        <f t="shared" si="1"/>
        <v>146.26861107519275</v>
      </c>
      <c r="W31" s="13">
        <f t="shared" si="1"/>
        <v>102.35326852146619</v>
      </c>
    </row>
    <row r="32" spans="1:23">
      <c r="A32">
        <v>2013</v>
      </c>
      <c r="B32" s="13">
        <f t="shared" si="0"/>
        <v>156.94677056232294</v>
      </c>
      <c r="C32" s="13">
        <f t="shared" si="1"/>
        <v>147.07380012698297</v>
      </c>
      <c r="D32" s="13">
        <f t="shared" si="1"/>
        <v>171.61789532594682</v>
      </c>
      <c r="E32" s="13">
        <f t="shared" si="1"/>
        <v>135.28991350427663</v>
      </c>
      <c r="F32" s="13"/>
      <c r="G32" s="13">
        <f t="shared" si="1"/>
        <v>12.831084146528525</v>
      </c>
      <c r="H32" s="13">
        <f t="shared" si="1"/>
        <v>1.6745724255585894</v>
      </c>
      <c r="I32" s="13">
        <f t="shared" si="1"/>
        <v>1.5643603891747364</v>
      </c>
      <c r="J32" s="13">
        <f t="shared" si="1"/>
        <v>1.6555498009695266</v>
      </c>
      <c r="K32" s="13">
        <f t="shared" si="1"/>
        <v>83.172498083644754</v>
      </c>
      <c r="L32" s="13">
        <f t="shared" si="1"/>
        <v>1.5919064529629796</v>
      </c>
      <c r="M32" s="13">
        <f t="shared" si="1"/>
        <v>1.7730268282889579</v>
      </c>
      <c r="N32" s="13">
        <f t="shared" si="1"/>
        <v>161.91738184916966</v>
      </c>
      <c r="O32" s="13">
        <f t="shared" si="1"/>
        <v>1929.6990120506521</v>
      </c>
      <c r="P32" s="13">
        <f t="shared" si="1"/>
        <v>1.7953483658309191</v>
      </c>
      <c r="Q32" s="13">
        <f t="shared" si="1"/>
        <v>2.2393695119417556</v>
      </c>
      <c r="R32" s="13">
        <f t="shared" si="1"/>
        <v>16.847820522899895</v>
      </c>
      <c r="S32" s="13">
        <f t="shared" si="1"/>
        <v>1.405235925563548</v>
      </c>
      <c r="T32" s="13">
        <f t="shared" si="1"/>
        <v>14.838571664279321</v>
      </c>
      <c r="U32" s="13">
        <f t="shared" si="1"/>
        <v>1.7313632286834566</v>
      </c>
      <c r="V32" s="13">
        <f t="shared" si="1"/>
        <v>141.12479553346003</v>
      </c>
      <c r="W32" s="13">
        <f t="shared" si="1"/>
        <v>97.598925655339755</v>
      </c>
    </row>
    <row r="33" spans="1:23">
      <c r="A33">
        <v>2014</v>
      </c>
      <c r="B33" s="13">
        <f t="shared" si="0"/>
        <v>154.12200332171693</v>
      </c>
      <c r="C33" s="13">
        <f t="shared" si="1"/>
        <v>140.25142943740295</v>
      </c>
      <c r="D33" s="13">
        <f t="shared" si="1"/>
        <v>165.81842890283943</v>
      </c>
      <c r="E33" s="13">
        <f t="shared" si="1"/>
        <v>133.36608814662068</v>
      </c>
      <c r="F33" s="13"/>
      <c r="G33" s="13">
        <f t="shared" si="1"/>
        <v>12.441868304883535</v>
      </c>
      <c r="H33" s="13">
        <f t="shared" si="1"/>
        <v>1.6217954267324262</v>
      </c>
      <c r="I33" s="13">
        <f t="shared" si="1"/>
        <v>1.5106128097420384</v>
      </c>
      <c r="J33" s="13">
        <f t="shared" si="1"/>
        <v>1.5813013269276655</v>
      </c>
      <c r="K33" s="13">
        <f t="shared" si="1"/>
        <v>78.801980190812202</v>
      </c>
      <c r="L33" s="13">
        <f t="shared" si="1"/>
        <v>1.5305339532869953</v>
      </c>
      <c r="M33" s="13">
        <f t="shared" si="1"/>
        <v>1.7358400367483142</v>
      </c>
      <c r="N33" s="13">
        <f t="shared" si="1"/>
        <v>164.81591939226672</v>
      </c>
      <c r="O33" s="13">
        <f t="shared" si="1"/>
        <v>1782.0461001582726</v>
      </c>
      <c r="P33" s="13">
        <f t="shared" si="1"/>
        <v>1.7414148139752934</v>
      </c>
      <c r="Q33" s="13">
        <f t="shared" si="1"/>
        <v>2.2238951998211856</v>
      </c>
      <c r="R33" s="13">
        <f t="shared" si="1"/>
        <v>16.882651324733366</v>
      </c>
      <c r="S33" s="13">
        <f t="shared" si="1"/>
        <v>1.3687992078925209</v>
      </c>
      <c r="T33" s="13">
        <f t="shared" si="1"/>
        <v>14.621504155350955</v>
      </c>
      <c r="U33" s="13">
        <f t="shared" si="1"/>
        <v>1.6821183417762309</v>
      </c>
      <c r="V33" s="13">
        <f t="shared" si="1"/>
        <v>131.4660380257323</v>
      </c>
      <c r="W33" s="13">
        <f t="shared" si="1"/>
        <v>92.101599031591505</v>
      </c>
    </row>
    <row r="34" spans="1:23">
      <c r="A34">
        <v>2015</v>
      </c>
      <c r="B34" s="13">
        <f t="shared" si="0"/>
        <v>132.24989495340208</v>
      </c>
      <c r="C34" s="13">
        <f t="shared" si="1"/>
        <v>123.80255115601979</v>
      </c>
      <c r="D34" s="13">
        <f t="shared" si="1"/>
        <v>146.8050177933026</v>
      </c>
      <c r="E34" s="13">
        <f t="shared" si="1"/>
        <v>109.8965714864927</v>
      </c>
      <c r="F34" s="13"/>
      <c r="G34" s="13">
        <f t="shared" si="1"/>
        <v>11.310853815717714</v>
      </c>
      <c r="H34" s="13">
        <f t="shared" si="1"/>
        <v>1.4843721940240318</v>
      </c>
      <c r="I34" s="13">
        <f t="shared" si="1"/>
        <v>1.3728534858125618</v>
      </c>
      <c r="J34" s="13">
        <f t="shared" si="1"/>
        <v>1.4282196815409196</v>
      </c>
      <c r="K34" s="13">
        <f t="shared" si="1"/>
        <v>66.549340236524998</v>
      </c>
      <c r="L34" s="13">
        <f t="shared" si="1"/>
        <v>1.3736546000000001</v>
      </c>
      <c r="M34" s="13">
        <f t="shared" si="1"/>
        <v>1.5546782187675763</v>
      </c>
      <c r="N34" s="13">
        <f t="shared" si="1"/>
        <v>137.97086528034484</v>
      </c>
      <c r="O34" s="13">
        <f t="shared" si="1"/>
        <v>1570.8739640381657</v>
      </c>
      <c r="P34" s="13">
        <f t="shared" si="1"/>
        <v>1.590097124998926</v>
      </c>
      <c r="Q34" s="13">
        <f t="shared" si="1"/>
        <v>2.0151148403262478</v>
      </c>
      <c r="R34" s="13">
        <f t="shared" si="1"/>
        <v>15.87153427985062</v>
      </c>
      <c r="S34" s="13">
        <f t="shared" si="1"/>
        <v>1.2167627598218582</v>
      </c>
      <c r="T34" s="13">
        <f t="shared" si="1"/>
        <v>13.491579375504973</v>
      </c>
      <c r="U34" s="13">
        <f t="shared" si="1"/>
        <v>1.4513495013546844</v>
      </c>
      <c r="V34" s="13">
        <f t="shared" si="1"/>
        <v>114.66999679202272</v>
      </c>
      <c r="W34" s="13">
        <f t="shared" si="1"/>
        <v>66.181342850068987</v>
      </c>
    </row>
    <row r="35" spans="1:23">
      <c r="A35">
        <v>2016</v>
      </c>
      <c r="B35" s="13">
        <f t="shared" si="0"/>
        <v>118.95981614201958</v>
      </c>
      <c r="C35" s="13">
        <f t="shared" si="1"/>
        <v>113.4537536</v>
      </c>
      <c r="D35" s="13">
        <f t="shared" si="1"/>
        <v>133.39100157594532</v>
      </c>
      <c r="E35" s="13">
        <f t="shared" si="1"/>
        <v>102.66154999999999</v>
      </c>
      <c r="F35" s="13"/>
      <c r="G35" s="13">
        <f t="shared" si="1"/>
        <v>10.615667266425097</v>
      </c>
      <c r="H35" s="13">
        <f t="shared" si="1"/>
        <v>1.3911963000000001</v>
      </c>
      <c r="I35" s="13">
        <f t="shared" si="1"/>
        <v>1.3145694242199997</v>
      </c>
      <c r="J35" s="13">
        <f t="shared" si="1"/>
        <v>1.3281343080000003</v>
      </c>
      <c r="K35" s="13">
        <f t="shared" si="1"/>
        <v>64.503789666666663</v>
      </c>
      <c r="L35" s="13">
        <f t="shared" si="1"/>
        <v>1.2873802611999998</v>
      </c>
      <c r="M35" s="13">
        <f t="shared" si="1"/>
        <v>1.4609882077199996</v>
      </c>
      <c r="N35" s="13">
        <f t="shared" si="1"/>
        <v>122.389205</v>
      </c>
      <c r="O35" s="13">
        <f t="shared" si="1"/>
        <v>1420.1635000000001</v>
      </c>
      <c r="P35" s="13">
        <f t="shared" si="1"/>
        <v>1.4975302999999995</v>
      </c>
      <c r="Q35" s="13">
        <f t="shared" si="1"/>
        <v>1.91262</v>
      </c>
      <c r="R35" s="13">
        <f t="shared" si="1"/>
        <v>15.042574083320719</v>
      </c>
      <c r="S35" s="13">
        <f t="shared" si="1"/>
        <v>1.1719924748000006</v>
      </c>
      <c r="T35" s="13">
        <f t="shared" si="1"/>
        <v>13.307405577625012</v>
      </c>
      <c r="U35" s="13">
        <f t="shared" si="1"/>
        <v>1.4074200000000001</v>
      </c>
      <c r="V35" s="13">
        <f t="shared" si="1"/>
        <v>112.36885526401343</v>
      </c>
      <c r="W35" s="13">
        <f t="shared" si="1"/>
        <v>58.784325833333348</v>
      </c>
    </row>
    <row r="36" spans="1:23">
      <c r="A36">
        <v>2017</v>
      </c>
      <c r="B36" s="13">
        <f t="shared" si="0"/>
        <v>128.02082212403147</v>
      </c>
      <c r="C36" s="13">
        <f t="shared" si="1"/>
        <v>117.74400000000001</v>
      </c>
      <c r="D36" s="13">
        <f t="shared" si="1"/>
        <v>140.37086541124975</v>
      </c>
      <c r="E36" s="13">
        <f t="shared" si="1"/>
        <v>111.48662536798223</v>
      </c>
      <c r="F36" s="13"/>
      <c r="G36" s="13">
        <f t="shared" si="1"/>
        <v>11.13</v>
      </c>
      <c r="H36" s="13">
        <f t="shared" si="1"/>
        <v>1.4643200000000001</v>
      </c>
      <c r="I36" s="13">
        <f t="shared" si="1"/>
        <v>1.3753759999999999</v>
      </c>
      <c r="J36" s="13">
        <f t="shared" si="1"/>
        <v>1.3738800000000004</v>
      </c>
      <c r="K36" s="13">
        <f t="shared" si="1"/>
        <v>68.420833333333334</v>
      </c>
      <c r="L36" s="13">
        <f t="shared" si="1"/>
        <v>1.3638000000000006</v>
      </c>
      <c r="M36" s="13">
        <f t="shared" si="1"/>
        <v>1.5276388000000001</v>
      </c>
      <c r="N36" s="13">
        <f t="shared" si="1"/>
        <v>133.5</v>
      </c>
      <c r="O36" s="13">
        <f t="shared" si="1"/>
        <v>1489</v>
      </c>
      <c r="P36" s="13">
        <f t="shared" si="1"/>
        <v>1.5521100000000001</v>
      </c>
      <c r="Q36" s="13">
        <f t="shared" si="1"/>
        <v>2.020833333333333</v>
      </c>
      <c r="R36" s="13">
        <f t="shared" si="1"/>
        <v>16.235867241988913</v>
      </c>
      <c r="S36" s="13">
        <f t="shared" si="1"/>
        <v>1.2168797999999996</v>
      </c>
      <c r="T36" s="13">
        <f t="shared" si="1"/>
        <v>14.091988970974111</v>
      </c>
      <c r="U36" s="13">
        <f t="shared" si="1"/>
        <v>1.5</v>
      </c>
      <c r="V36" s="13">
        <f t="shared" si="1"/>
        <v>117.22506418753764</v>
      </c>
      <c r="W36" s="13">
        <f t="shared" si="1"/>
        <v>63.86666666666666</v>
      </c>
    </row>
    <row r="37" spans="1:23">
      <c r="A37">
        <v>2018</v>
      </c>
    </row>
    <row r="38" spans="1:23">
      <c r="A38">
        <v>2019</v>
      </c>
    </row>
    <row r="39" spans="1:23">
      <c r="A39">
        <v>2020</v>
      </c>
    </row>
    <row r="40" spans="1:23">
      <c r="A40">
        <v>2021</v>
      </c>
    </row>
    <row r="41" spans="1:23">
      <c r="A41">
        <v>2022</v>
      </c>
    </row>
    <row r="42" spans="1:23">
      <c r="A42">
        <v>2023</v>
      </c>
    </row>
    <row r="43" spans="1:23">
      <c r="A43">
        <v>2024</v>
      </c>
    </row>
    <row r="44" spans="1:23">
      <c r="A44">
        <v>2025</v>
      </c>
    </row>
    <row r="45" spans="1:23">
      <c r="A45">
        <v>2026</v>
      </c>
    </row>
    <row r="46" spans="1:23">
      <c r="A46">
        <v>2027</v>
      </c>
    </row>
    <row r="47" spans="1:23">
      <c r="A47">
        <v>2028</v>
      </c>
    </row>
    <row r="48" spans="1:23">
      <c r="A48">
        <v>2029</v>
      </c>
    </row>
    <row r="49" spans="1:23">
      <c r="A49">
        <v>2030</v>
      </c>
    </row>
    <row r="51" spans="1:23">
      <c r="J51" s="175" t="s">
        <v>837</v>
      </c>
      <c r="K51" s="175"/>
      <c r="L51" s="175"/>
    </row>
    <row r="52" spans="1:23">
      <c r="B52" s="149" t="s">
        <v>255</v>
      </c>
      <c r="C52" s="149" t="s">
        <v>539</v>
      </c>
      <c r="D52" s="149" t="s">
        <v>540</v>
      </c>
      <c r="E52" s="149" t="s">
        <v>238</v>
      </c>
      <c r="F52" s="149" t="s">
        <v>239</v>
      </c>
      <c r="G52" s="149" t="s">
        <v>541</v>
      </c>
      <c r="H52" s="149" t="s">
        <v>542</v>
      </c>
      <c r="I52" s="149" t="s">
        <v>240</v>
      </c>
      <c r="J52" s="149" t="s">
        <v>241</v>
      </c>
      <c r="K52" s="149" t="s">
        <v>242</v>
      </c>
      <c r="L52" s="149" t="s">
        <v>544</v>
      </c>
      <c r="M52" s="7" t="s">
        <v>538</v>
      </c>
      <c r="N52" s="149" t="s">
        <v>243</v>
      </c>
      <c r="O52" s="149" t="s">
        <v>244</v>
      </c>
      <c r="P52" s="149" t="s">
        <v>245</v>
      </c>
      <c r="Q52" s="150" t="s">
        <v>331</v>
      </c>
      <c r="R52" s="149" t="s">
        <v>246</v>
      </c>
      <c r="S52" s="149" t="s">
        <v>545</v>
      </c>
      <c r="T52" s="149" t="s">
        <v>247</v>
      </c>
      <c r="U52" s="149" t="s">
        <v>546</v>
      </c>
      <c r="V52" s="149" t="s">
        <v>248</v>
      </c>
      <c r="W52" s="149" t="s">
        <v>249</v>
      </c>
    </row>
    <row r="53" spans="1:23">
      <c r="A53">
        <v>2009</v>
      </c>
      <c r="B53" s="13">
        <f t="shared" ref="B53:B61" si="3">B28</f>
        <v>141.62001546093751</v>
      </c>
      <c r="C53" s="13">
        <f t="shared" ref="C53:W61" si="4">C28</f>
        <v>121.03352367058564</v>
      </c>
      <c r="D53" s="13">
        <f t="shared" si="4"/>
        <v>151.14293533960733</v>
      </c>
      <c r="E53" s="13">
        <f t="shared" si="4"/>
        <v>108.69758435753008</v>
      </c>
      <c r="F53" s="13"/>
      <c r="G53" s="13">
        <f t="shared" si="4"/>
        <v>10.524238596911822</v>
      </c>
      <c r="H53" s="13">
        <f t="shared" si="4"/>
        <v>1.4213454792774025</v>
      </c>
      <c r="I53" s="13">
        <f t="shared" si="4"/>
        <v>1.3096507469301562</v>
      </c>
      <c r="J53" s="13">
        <f t="shared" si="4"/>
        <v>1.3946833364817783</v>
      </c>
      <c r="K53" s="13">
        <f t="shared" si="4"/>
        <v>76.579248968844084</v>
      </c>
      <c r="L53" s="13">
        <f t="shared" si="4"/>
        <v>1.151035496297016</v>
      </c>
      <c r="M53" s="13">
        <f t="shared" si="4"/>
        <v>1.3589290286200284</v>
      </c>
      <c r="N53" s="13">
        <f t="shared" si="4"/>
        <v>124.0947006986481</v>
      </c>
      <c r="O53" s="13">
        <f t="shared" si="4"/>
        <v>1840.8858926610064</v>
      </c>
      <c r="P53" s="13">
        <f t="shared" si="4"/>
        <v>1.5104444505269523</v>
      </c>
      <c r="Q53" s="13">
        <f t="shared" si="4"/>
        <v>1.8109432608631397</v>
      </c>
      <c r="R53" s="13">
        <f t="shared" si="4"/>
        <v>13.939322169580347</v>
      </c>
      <c r="S53" s="13">
        <f t="shared" si="4"/>
        <v>1.0732702125914324</v>
      </c>
      <c r="T53" s="13">
        <f t="shared" si="4"/>
        <v>12.87939323185835</v>
      </c>
      <c r="U53" s="13">
        <f t="shared" si="4"/>
        <v>1.4910172451502792</v>
      </c>
      <c r="V53" s="13">
        <f t="shared" si="4"/>
        <v>118.3991271897728</v>
      </c>
      <c r="W53" s="13">
        <f t="shared" si="4"/>
        <v>70.878062532715433</v>
      </c>
    </row>
    <row r="54" spans="1:23">
      <c r="A54">
        <v>2010</v>
      </c>
      <c r="B54" s="13">
        <f t="shared" si="3"/>
        <v>145.76299374953985</v>
      </c>
      <c r="C54" s="13">
        <f>C29</f>
        <v>135.29027636308592</v>
      </c>
      <c r="D54" s="13">
        <f>D29</f>
        <v>163.64050827689979</v>
      </c>
      <c r="E54" s="13">
        <f>E29</f>
        <v>116.02811756301115</v>
      </c>
      <c r="F54" s="13"/>
      <c r="G54" s="13">
        <f t="shared" ref="G54:Q54" si="5">G29</f>
        <v>11.613213624328614</v>
      </c>
      <c r="H54" s="13">
        <f t="shared" si="5"/>
        <v>1.5685764149553554</v>
      </c>
      <c r="I54" s="13">
        <f t="shared" si="5"/>
        <v>1.4363313893598633</v>
      </c>
      <c r="J54" s="13">
        <f t="shared" si="5"/>
        <v>1.5202287868685356</v>
      </c>
      <c r="K54" s="13">
        <f t="shared" si="5"/>
        <v>78.384170657432904</v>
      </c>
      <c r="L54" s="13">
        <f t="shared" si="5"/>
        <v>1.3667189382467488</v>
      </c>
      <c r="M54" s="13">
        <f t="shared" si="5"/>
        <v>1.4808351632429047</v>
      </c>
      <c r="N54" s="13">
        <f t="shared" si="5"/>
        <v>138.17026270713043</v>
      </c>
      <c r="O54" s="13">
        <f t="shared" si="5"/>
        <v>1932.1432972875596</v>
      </c>
      <c r="P54" s="13">
        <f t="shared" si="5"/>
        <v>1.6691028648069532</v>
      </c>
      <c r="Q54" s="13">
        <f t="shared" si="5"/>
        <v>1.9512981647094725</v>
      </c>
      <c r="R54" s="13">
        <f t="shared" si="4"/>
        <v>14.53971195348651</v>
      </c>
      <c r="S54" s="13">
        <f t="shared" si="4"/>
        <v>1.2257989769808961</v>
      </c>
      <c r="T54" s="13">
        <f t="shared" si="4"/>
        <v>13.539159508345152</v>
      </c>
      <c r="U54" s="13">
        <f t="shared" si="4"/>
        <v>1.6085679069165575</v>
      </c>
      <c r="V54" s="13">
        <f t="shared" si="4"/>
        <v>134.95019221326905</v>
      </c>
      <c r="W54" s="13">
        <f t="shared" si="4"/>
        <v>82.5591136421735</v>
      </c>
    </row>
    <row r="55" spans="1:23">
      <c r="A55">
        <v>2011</v>
      </c>
      <c r="B55" s="13">
        <f t="shared" si="3"/>
        <v>158.09355090258811</v>
      </c>
      <c r="C55" s="13">
        <f t="shared" si="4"/>
        <v>149.8183441805711</v>
      </c>
      <c r="D55" s="13">
        <f t="shared" si="4"/>
        <v>174.30534416589745</v>
      </c>
      <c r="E55" s="13">
        <f t="shared" si="4"/>
        <v>134.15652610964366</v>
      </c>
      <c r="F55" s="13"/>
      <c r="G55" s="13">
        <f t="shared" si="4"/>
        <v>12.759047004852793</v>
      </c>
      <c r="H55" s="13">
        <f t="shared" si="4"/>
        <v>1.6590545254423623</v>
      </c>
      <c r="I55" s="13">
        <f t="shared" si="4"/>
        <v>1.567840910960985</v>
      </c>
      <c r="J55" s="13">
        <f t="shared" si="4"/>
        <v>1.6348105321240771</v>
      </c>
      <c r="K55" s="13">
        <f t="shared" si="4"/>
        <v>90.346681306786266</v>
      </c>
      <c r="L55" s="13">
        <f t="shared" si="4"/>
        <v>1.5177904275942276</v>
      </c>
      <c r="M55" s="13">
        <f t="shared" si="4"/>
        <v>1.6403960827513144</v>
      </c>
      <c r="N55" s="13">
        <f t="shared" si="4"/>
        <v>151.76099193379673</v>
      </c>
      <c r="O55" s="13">
        <f t="shared" si="4"/>
        <v>1992.1336369452501</v>
      </c>
      <c r="P55" s="13">
        <f t="shared" si="4"/>
        <v>1.7784456594170708</v>
      </c>
      <c r="Q55" s="13">
        <f t="shared" si="4"/>
        <v>2.2086072022303731</v>
      </c>
      <c r="R55" s="13">
        <f t="shared" si="4"/>
        <v>15.503228615081168</v>
      </c>
      <c r="S55" s="13">
        <f t="shared" si="4"/>
        <v>1.3433016243420697</v>
      </c>
      <c r="T55" s="13">
        <f t="shared" si="4"/>
        <v>14.495277817304576</v>
      </c>
      <c r="U55" s="13">
        <f t="shared" si="4"/>
        <v>1.6862255682827834</v>
      </c>
      <c r="V55" s="13">
        <f t="shared" si="4"/>
        <v>147.93256776388264</v>
      </c>
      <c r="W55" s="13">
        <f t="shared" si="4"/>
        <v>101.42682253361208</v>
      </c>
    </row>
    <row r="56" spans="1:23">
      <c r="A56">
        <v>2012</v>
      </c>
      <c r="B56" s="13">
        <f t="shared" si="3"/>
        <v>157.8150181776507</v>
      </c>
      <c r="C56" s="13">
        <f t="shared" si="4"/>
        <v>156.13208759503374</v>
      </c>
      <c r="D56" s="13">
        <f t="shared" si="4"/>
        <v>180.66388333578999</v>
      </c>
      <c r="E56" s="13">
        <f t="shared" si="4"/>
        <v>136.13921582492722</v>
      </c>
      <c r="F56" s="13"/>
      <c r="G56" s="13">
        <f t="shared" si="4"/>
        <v>13.149977153707399</v>
      </c>
      <c r="H56" s="13">
        <f t="shared" si="4"/>
        <v>1.7285067675237191</v>
      </c>
      <c r="I56" s="13">
        <f t="shared" si="4"/>
        <v>1.607869861636166</v>
      </c>
      <c r="J56" s="13">
        <f t="shared" si="4"/>
        <v>1.7331105698095135</v>
      </c>
      <c r="K56" s="13">
        <f t="shared" si="4"/>
        <v>89.725587936057025</v>
      </c>
      <c r="L56" s="13">
        <f t="shared" si="4"/>
        <v>1.6279634422628591</v>
      </c>
      <c r="M56" s="13">
        <f t="shared" si="4"/>
        <v>1.8351542911677077</v>
      </c>
      <c r="N56" s="13">
        <f t="shared" si="4"/>
        <v>153.34350185294886</v>
      </c>
      <c r="O56" s="13">
        <f t="shared" si="4"/>
        <v>2081.3745342223169</v>
      </c>
      <c r="P56" s="13">
        <f t="shared" si="4"/>
        <v>1.8644555523189843</v>
      </c>
      <c r="Q56" s="13">
        <f t="shared" si="4"/>
        <v>2.2535516039261765</v>
      </c>
      <c r="R56" s="13">
        <f t="shared" si="4"/>
        <v>16.536193560785069</v>
      </c>
      <c r="S56" s="13">
        <f t="shared" si="4"/>
        <v>1.4188810867343382</v>
      </c>
      <c r="T56" s="13">
        <f t="shared" si="4"/>
        <v>15.339999577432197</v>
      </c>
      <c r="U56" s="13">
        <f t="shared" si="4"/>
        <v>1.7374725991117952</v>
      </c>
      <c r="V56" s="13">
        <f t="shared" si="4"/>
        <v>146.26861107519275</v>
      </c>
      <c r="W56" s="13">
        <f t="shared" si="4"/>
        <v>102.35326852146619</v>
      </c>
    </row>
    <row r="57" spans="1:23">
      <c r="A57">
        <v>2013</v>
      </c>
      <c r="B57" s="13">
        <f t="shared" si="3"/>
        <v>156.94677056232294</v>
      </c>
      <c r="C57" s="13">
        <f t="shared" si="4"/>
        <v>147.07380012698297</v>
      </c>
      <c r="D57" s="13">
        <f t="shared" si="4"/>
        <v>171.61789532594682</v>
      </c>
      <c r="E57" s="13">
        <f t="shared" si="4"/>
        <v>135.28991350427663</v>
      </c>
      <c r="F57" s="13"/>
      <c r="G57" s="13">
        <f t="shared" si="4"/>
        <v>12.831084146528525</v>
      </c>
      <c r="H57" s="13">
        <f t="shared" si="4"/>
        <v>1.6745724255585894</v>
      </c>
      <c r="I57" s="13">
        <f t="shared" si="4"/>
        <v>1.5643603891747364</v>
      </c>
      <c r="J57" s="13">
        <f t="shared" si="4"/>
        <v>1.6555498009695266</v>
      </c>
      <c r="K57" s="13">
        <f t="shared" si="4"/>
        <v>83.172498083644754</v>
      </c>
      <c r="L57" s="13">
        <f t="shared" si="4"/>
        <v>1.5919064529629796</v>
      </c>
      <c r="M57" s="13">
        <f t="shared" si="4"/>
        <v>1.7730268282889579</v>
      </c>
      <c r="N57" s="13">
        <f t="shared" si="4"/>
        <v>161.91738184916966</v>
      </c>
      <c r="O57" s="13">
        <f t="shared" si="4"/>
        <v>1929.6990120506521</v>
      </c>
      <c r="P57" s="13">
        <f t="shared" si="4"/>
        <v>1.7953483658309191</v>
      </c>
      <c r="Q57" s="13">
        <f t="shared" si="4"/>
        <v>2.2393695119417556</v>
      </c>
      <c r="R57" s="13">
        <f t="shared" si="4"/>
        <v>16.847820522899895</v>
      </c>
      <c r="S57" s="13">
        <f t="shared" si="4"/>
        <v>1.405235925563548</v>
      </c>
      <c r="T57" s="13">
        <f t="shared" si="4"/>
        <v>14.838571664279321</v>
      </c>
      <c r="U57" s="13">
        <f t="shared" si="4"/>
        <v>1.7313632286834566</v>
      </c>
      <c r="V57" s="13">
        <f t="shared" si="4"/>
        <v>141.12479553346003</v>
      </c>
      <c r="W57" s="13">
        <f t="shared" si="4"/>
        <v>97.598925655339755</v>
      </c>
    </row>
    <row r="58" spans="1:23">
      <c r="A58">
        <v>2014</v>
      </c>
      <c r="B58" s="13">
        <f t="shared" si="3"/>
        <v>154.12200332171693</v>
      </c>
      <c r="C58" s="13">
        <f t="shared" si="4"/>
        <v>140.25142943740295</v>
      </c>
      <c r="D58" s="13">
        <f t="shared" si="4"/>
        <v>165.81842890283943</v>
      </c>
      <c r="E58" s="13">
        <f t="shared" si="4"/>
        <v>133.36608814662068</v>
      </c>
      <c r="F58" s="13"/>
      <c r="G58" s="13">
        <f t="shared" si="4"/>
        <v>12.441868304883535</v>
      </c>
      <c r="H58" s="13">
        <f t="shared" si="4"/>
        <v>1.6217954267324262</v>
      </c>
      <c r="I58" s="13">
        <f t="shared" si="4"/>
        <v>1.5106128097420384</v>
      </c>
      <c r="J58" s="13">
        <f t="shared" si="4"/>
        <v>1.5813013269276655</v>
      </c>
      <c r="K58" s="13">
        <f t="shared" si="4"/>
        <v>78.801980190812202</v>
      </c>
      <c r="L58" s="13">
        <f t="shared" si="4"/>
        <v>1.5305339532869953</v>
      </c>
      <c r="M58" s="13">
        <f t="shared" si="4"/>
        <v>1.7358400367483142</v>
      </c>
      <c r="N58" s="13">
        <f t="shared" si="4"/>
        <v>164.81591939226672</v>
      </c>
      <c r="O58" s="13">
        <f t="shared" si="4"/>
        <v>1782.0461001582726</v>
      </c>
      <c r="P58" s="13">
        <f t="shared" si="4"/>
        <v>1.7414148139752934</v>
      </c>
      <c r="Q58" s="13">
        <f t="shared" si="4"/>
        <v>2.2238951998211856</v>
      </c>
      <c r="R58" s="13">
        <f t="shared" si="4"/>
        <v>16.882651324733366</v>
      </c>
      <c r="S58" s="13">
        <f t="shared" si="4"/>
        <v>1.3687992078925209</v>
      </c>
      <c r="T58" s="13">
        <f t="shared" si="4"/>
        <v>14.621504155350955</v>
      </c>
      <c r="U58" s="13">
        <f t="shared" si="4"/>
        <v>1.6821183417762309</v>
      </c>
      <c r="V58" s="13">
        <f t="shared" si="4"/>
        <v>131.4660380257323</v>
      </c>
      <c r="W58" s="13">
        <f t="shared" si="4"/>
        <v>92.101599031591505</v>
      </c>
    </row>
    <row r="59" spans="1:23">
      <c r="A59">
        <v>2015</v>
      </c>
      <c r="B59" s="13">
        <f t="shared" si="3"/>
        <v>132.24989495340208</v>
      </c>
      <c r="C59" s="13">
        <f t="shared" si="4"/>
        <v>123.80255115601979</v>
      </c>
      <c r="D59" s="13">
        <f t="shared" si="4"/>
        <v>146.8050177933026</v>
      </c>
      <c r="E59" s="13">
        <f t="shared" si="4"/>
        <v>109.8965714864927</v>
      </c>
      <c r="F59" s="13"/>
      <c r="G59" s="13">
        <f t="shared" si="4"/>
        <v>11.310853815717714</v>
      </c>
      <c r="H59" s="13">
        <f t="shared" si="4"/>
        <v>1.4843721940240318</v>
      </c>
      <c r="I59" s="13">
        <f t="shared" si="4"/>
        <v>1.3728534858125618</v>
      </c>
      <c r="J59" s="13">
        <f t="shared" si="4"/>
        <v>1.4282196815409196</v>
      </c>
      <c r="K59" s="13">
        <f t="shared" si="4"/>
        <v>66.549340236524998</v>
      </c>
      <c r="L59" s="13">
        <f t="shared" si="4"/>
        <v>1.3736546000000001</v>
      </c>
      <c r="M59" s="13">
        <f t="shared" si="4"/>
        <v>1.5546782187675763</v>
      </c>
      <c r="N59" s="13">
        <f t="shared" si="4"/>
        <v>137.97086528034484</v>
      </c>
      <c r="O59" s="13">
        <f t="shared" si="4"/>
        <v>1570.8739640381657</v>
      </c>
      <c r="P59" s="13">
        <f t="shared" si="4"/>
        <v>1.590097124998926</v>
      </c>
      <c r="Q59" s="13">
        <f t="shared" si="4"/>
        <v>2.0151148403262478</v>
      </c>
      <c r="R59" s="13">
        <f t="shared" si="4"/>
        <v>15.87153427985062</v>
      </c>
      <c r="S59" s="13">
        <f t="shared" si="4"/>
        <v>1.2167627598218582</v>
      </c>
      <c r="T59" s="13">
        <f t="shared" si="4"/>
        <v>13.491579375504973</v>
      </c>
      <c r="U59" s="13">
        <f t="shared" si="4"/>
        <v>1.4513495013546844</v>
      </c>
      <c r="V59" s="13">
        <f t="shared" si="4"/>
        <v>114.66999679202272</v>
      </c>
      <c r="W59" s="13">
        <f t="shared" si="4"/>
        <v>66.181342850068987</v>
      </c>
    </row>
    <row r="60" spans="1:23">
      <c r="A60">
        <v>2016</v>
      </c>
      <c r="B60" s="13">
        <f t="shared" si="3"/>
        <v>118.95981614201958</v>
      </c>
      <c r="C60" s="13">
        <f t="shared" si="4"/>
        <v>113.4537536</v>
      </c>
      <c r="D60" s="13">
        <f t="shared" si="4"/>
        <v>133.39100157594532</v>
      </c>
      <c r="E60" s="13">
        <f t="shared" si="4"/>
        <v>102.66154999999999</v>
      </c>
      <c r="F60" s="13"/>
      <c r="G60" s="13">
        <f t="shared" si="4"/>
        <v>10.615667266425097</v>
      </c>
      <c r="H60" s="13">
        <f t="shared" si="4"/>
        <v>1.3911963000000001</v>
      </c>
      <c r="I60" s="13">
        <f t="shared" si="4"/>
        <v>1.3145694242199997</v>
      </c>
      <c r="J60" s="13">
        <f t="shared" si="4"/>
        <v>1.3281343080000003</v>
      </c>
      <c r="K60" s="13">
        <f t="shared" si="4"/>
        <v>64.503789666666663</v>
      </c>
      <c r="L60" s="13">
        <f t="shared" si="4"/>
        <v>1.2873802611999998</v>
      </c>
      <c r="M60" s="13">
        <f t="shared" si="4"/>
        <v>1.4609882077199996</v>
      </c>
      <c r="N60" s="13">
        <f t="shared" si="4"/>
        <v>122.389205</v>
      </c>
      <c r="O60" s="13">
        <f t="shared" si="4"/>
        <v>1420.1635000000001</v>
      </c>
      <c r="P60" s="13">
        <f t="shared" si="4"/>
        <v>1.4975302999999995</v>
      </c>
      <c r="Q60" s="13">
        <f t="shared" si="4"/>
        <v>1.91262</v>
      </c>
      <c r="R60" s="13">
        <f t="shared" si="4"/>
        <v>15.042574083320719</v>
      </c>
      <c r="S60" s="13">
        <f t="shared" si="4"/>
        <v>1.1719924748000006</v>
      </c>
      <c r="T60" s="13">
        <f t="shared" si="4"/>
        <v>13.307405577625012</v>
      </c>
      <c r="U60" s="13">
        <f t="shared" si="4"/>
        <v>1.4074200000000001</v>
      </c>
      <c r="V60" s="13">
        <f t="shared" si="4"/>
        <v>112.36885526401343</v>
      </c>
      <c r="W60" s="13">
        <f t="shared" si="4"/>
        <v>58.784325833333348</v>
      </c>
    </row>
    <row r="61" spans="1:23">
      <c r="A61">
        <v>2017</v>
      </c>
      <c r="B61" s="13">
        <f t="shared" si="3"/>
        <v>128.02082212403147</v>
      </c>
      <c r="C61" s="13">
        <f t="shared" si="4"/>
        <v>117.74400000000001</v>
      </c>
      <c r="D61" s="13">
        <f t="shared" si="4"/>
        <v>140.37086541124975</v>
      </c>
      <c r="E61" s="13">
        <f t="shared" si="4"/>
        <v>111.48662536798223</v>
      </c>
      <c r="F61" s="13"/>
      <c r="G61" s="13">
        <f t="shared" si="4"/>
        <v>11.13</v>
      </c>
      <c r="H61" s="13">
        <f t="shared" si="4"/>
        <v>1.4643200000000001</v>
      </c>
      <c r="I61" s="13">
        <f t="shared" si="4"/>
        <v>1.3753759999999999</v>
      </c>
      <c r="J61" s="13">
        <f t="shared" si="4"/>
        <v>1.3738800000000004</v>
      </c>
      <c r="K61" s="13">
        <f t="shared" si="4"/>
        <v>68.420833333333334</v>
      </c>
      <c r="L61" s="13">
        <f t="shared" si="4"/>
        <v>1.3638000000000006</v>
      </c>
      <c r="M61" s="13">
        <f t="shared" si="4"/>
        <v>1.5276388000000001</v>
      </c>
      <c r="N61" s="13">
        <f t="shared" si="4"/>
        <v>133.5</v>
      </c>
      <c r="O61" s="13">
        <f t="shared" si="4"/>
        <v>1489</v>
      </c>
      <c r="P61" s="13">
        <f t="shared" si="4"/>
        <v>1.5521100000000001</v>
      </c>
      <c r="Q61" s="13">
        <f t="shared" si="4"/>
        <v>2.020833333333333</v>
      </c>
      <c r="R61" s="13">
        <f t="shared" si="4"/>
        <v>16.235867241988913</v>
      </c>
      <c r="S61" s="13">
        <f t="shared" si="4"/>
        <v>1.2168797999999996</v>
      </c>
      <c r="T61" s="13">
        <f t="shared" si="4"/>
        <v>14.091988970974111</v>
      </c>
      <c r="U61" s="13">
        <f t="shared" si="4"/>
        <v>1.5</v>
      </c>
      <c r="V61" s="13">
        <f t="shared" si="4"/>
        <v>117.22506418753764</v>
      </c>
      <c r="W61" s="13">
        <f t="shared" si="4"/>
        <v>63.86666666666666</v>
      </c>
    </row>
    <row r="62" spans="1:23">
      <c r="A62">
        <v>2018</v>
      </c>
    </row>
    <row r="63" spans="1:23">
      <c r="A63">
        <v>2019</v>
      </c>
    </row>
    <row r="64" spans="1:23">
      <c r="A64">
        <v>2020</v>
      </c>
    </row>
    <row r="65" spans="1:1">
      <c r="A65">
        <v>2021</v>
      </c>
    </row>
    <row r="66" spans="1:1">
      <c r="A66">
        <v>2022</v>
      </c>
    </row>
    <row r="67" spans="1:1">
      <c r="A67">
        <v>2023</v>
      </c>
    </row>
    <row r="68" spans="1:1">
      <c r="A68">
        <v>2024</v>
      </c>
    </row>
    <row r="69" spans="1:1">
      <c r="A69">
        <v>2025</v>
      </c>
    </row>
    <row r="70" spans="1:1">
      <c r="A70">
        <v>2026</v>
      </c>
    </row>
    <row r="71" spans="1:1">
      <c r="A71">
        <v>2027</v>
      </c>
    </row>
    <row r="72" spans="1:1">
      <c r="A72">
        <v>2028</v>
      </c>
    </row>
    <row r="73" spans="1:1">
      <c r="A73">
        <v>2029</v>
      </c>
    </row>
    <row r="74" spans="1:1">
      <c r="A74">
        <v>2030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3"/>
  <sheetViews>
    <sheetView zoomScale="75" zoomScaleNormal="75" workbookViewId="0">
      <pane xSplit="1" ySplit="2" topLeftCell="B65" activePane="bottomRight" state="frozen"/>
      <selection pane="topRight" activeCell="B1" sqref="B1"/>
      <selection pane="bottomLeft" activeCell="A5" sqref="A5"/>
      <selection pane="bottomRight" activeCell="Y90" sqref="Y90:Y102"/>
    </sheetView>
  </sheetViews>
  <sheetFormatPr defaultRowHeight="15"/>
  <cols>
    <col min="15" max="15" width="10.42578125" customWidth="1"/>
    <col min="16" max="16" width="11.5703125" customWidth="1"/>
    <col min="19" max="19" width="10.42578125" customWidth="1"/>
    <col min="21" max="21" width="10.85546875" customWidth="1"/>
    <col min="24" max="24" width="12" customWidth="1"/>
    <col min="26" max="26" width="11.28515625" customWidth="1"/>
    <col min="35" max="35" width="11" bestFit="1" customWidth="1"/>
  </cols>
  <sheetData>
    <row r="1" spans="1:26">
      <c r="B1" t="s">
        <v>534</v>
      </c>
      <c r="N1" t="s">
        <v>536</v>
      </c>
    </row>
    <row r="2" spans="1:26">
      <c r="B2" s="149" t="s">
        <v>255</v>
      </c>
      <c r="C2" s="149" t="s">
        <v>539</v>
      </c>
      <c r="D2" s="149" t="s">
        <v>540</v>
      </c>
      <c r="E2" s="149" t="s">
        <v>238</v>
      </c>
      <c r="F2" s="149" t="s">
        <v>239</v>
      </c>
      <c r="G2" s="149" t="s">
        <v>541</v>
      </c>
      <c r="H2" s="149" t="s">
        <v>542</v>
      </c>
      <c r="I2" s="149" t="s">
        <v>240</v>
      </c>
      <c r="J2" s="149" t="s">
        <v>241</v>
      </c>
      <c r="K2" s="149" t="s">
        <v>242</v>
      </c>
      <c r="L2" s="149" t="s">
        <v>544</v>
      </c>
      <c r="M2" s="7" t="s">
        <v>538</v>
      </c>
      <c r="N2" s="149" t="s">
        <v>243</v>
      </c>
      <c r="O2" s="149" t="s">
        <v>244</v>
      </c>
      <c r="P2" s="149" t="s">
        <v>245</v>
      </c>
      <c r="Q2" s="150" t="s">
        <v>331</v>
      </c>
      <c r="R2" s="149" t="s">
        <v>246</v>
      </c>
      <c r="S2" s="149" t="s">
        <v>545</v>
      </c>
      <c r="T2" s="149" t="s">
        <v>247</v>
      </c>
      <c r="U2" s="149" t="s">
        <v>546</v>
      </c>
      <c r="V2" s="149" t="s">
        <v>248</v>
      </c>
      <c r="W2" s="149" t="s">
        <v>249</v>
      </c>
      <c r="X2" s="149" t="s">
        <v>609</v>
      </c>
      <c r="Y2" s="149" t="s">
        <v>158</v>
      </c>
    </row>
    <row r="3" spans="1:26">
      <c r="A3">
        <v>2000</v>
      </c>
      <c r="B3" s="13">
        <v>87.221999999999994</v>
      </c>
      <c r="C3" s="13">
        <v>92.7</v>
      </c>
      <c r="D3" s="13">
        <v>104.5</v>
      </c>
      <c r="E3" s="13">
        <v>72.8</v>
      </c>
      <c r="F3" s="13">
        <v>3.3113600000000001</v>
      </c>
      <c r="G3" s="13">
        <v>8.3000000000000007</v>
      </c>
      <c r="H3" s="13">
        <v>1.135</v>
      </c>
      <c r="I3" s="13">
        <v>1.0900000000000001</v>
      </c>
      <c r="J3" s="13">
        <v>0.98899999999999999</v>
      </c>
      <c r="K3" s="13">
        <v>26.673333333333332</v>
      </c>
      <c r="L3" s="13">
        <v>0.89400000000000002</v>
      </c>
      <c r="M3" s="13">
        <v>1.081</v>
      </c>
      <c r="N3" s="13">
        <v>103.9</v>
      </c>
      <c r="O3" s="13">
        <v>1248</v>
      </c>
      <c r="P3" s="13">
        <v>1.1599999999999999</v>
      </c>
      <c r="Q3" s="13">
        <v>1.07</v>
      </c>
      <c r="R3" s="13">
        <v>10.566000000000001</v>
      </c>
      <c r="S3" s="13">
        <v>0.81899999999999995</v>
      </c>
      <c r="T3" s="13">
        <v>9.5120000000000005</v>
      </c>
      <c r="U3" s="13">
        <v>1.4</v>
      </c>
      <c r="V3" s="13">
        <v>79.900000000000006</v>
      </c>
      <c r="W3" s="13">
        <v>39.271519479398172</v>
      </c>
      <c r="Z3" s="94"/>
    </row>
    <row r="4" spans="1:26">
      <c r="A4">
        <v>2001</v>
      </c>
      <c r="B4" s="13">
        <v>87.063000000000002</v>
      </c>
      <c r="C4" s="13">
        <v>89.3</v>
      </c>
      <c r="D4" s="13">
        <v>100.8</v>
      </c>
      <c r="E4" s="13">
        <v>70.400000000000006</v>
      </c>
      <c r="F4" s="13">
        <v>3.3108000000000004</v>
      </c>
      <c r="G4" s="13">
        <v>8.15</v>
      </c>
      <c r="H4" s="13">
        <v>1.109</v>
      </c>
      <c r="I4" s="13">
        <v>1.036</v>
      </c>
      <c r="J4" s="13">
        <v>1.0029999999999999</v>
      </c>
      <c r="K4" s="13">
        <v>28.699999999999992</v>
      </c>
      <c r="L4" s="13">
        <v>0.88900000000000001</v>
      </c>
      <c r="M4" s="13">
        <v>1.0529999999999999</v>
      </c>
      <c r="N4" s="13">
        <v>104.9</v>
      </c>
      <c r="O4" s="13">
        <v>1280</v>
      </c>
      <c r="P4" s="13">
        <v>1.1479999999999999</v>
      </c>
      <c r="Q4" s="13">
        <v>1.0469999999999999</v>
      </c>
      <c r="R4" s="13">
        <v>9.5850000000000009</v>
      </c>
      <c r="S4" s="13">
        <v>0.80700000000000005</v>
      </c>
      <c r="T4" s="13">
        <v>9.4499999999999993</v>
      </c>
      <c r="U4" s="13">
        <v>1.351</v>
      </c>
      <c r="V4" s="13">
        <v>75.8</v>
      </c>
      <c r="W4" s="13">
        <v>37.625958925895674</v>
      </c>
      <c r="Z4" s="94"/>
    </row>
    <row r="5" spans="1:26">
      <c r="A5">
        <v>2002</v>
      </c>
      <c r="B5" s="13">
        <v>85.84</v>
      </c>
      <c r="C5" s="13">
        <v>85.8</v>
      </c>
      <c r="D5" s="13">
        <v>97.9</v>
      </c>
      <c r="E5" s="13">
        <v>70.3</v>
      </c>
      <c r="F5" s="13">
        <v>3.4763400000000004</v>
      </c>
      <c r="G5" s="13">
        <v>8.1199999999999992</v>
      </c>
      <c r="H5" s="13">
        <v>1.075</v>
      </c>
      <c r="I5" s="13">
        <v>1.014</v>
      </c>
      <c r="J5" s="13">
        <v>1.028</v>
      </c>
      <c r="K5" s="13">
        <v>28.372500000000002</v>
      </c>
      <c r="L5" s="13">
        <v>0.85499999999999998</v>
      </c>
      <c r="M5" s="13">
        <v>1.048</v>
      </c>
      <c r="N5" s="13">
        <v>104.2</v>
      </c>
      <c r="O5" s="13">
        <v>1296</v>
      </c>
      <c r="P5" s="13">
        <v>1.1439999999999999</v>
      </c>
      <c r="Q5" s="13">
        <v>1.0289999999999999</v>
      </c>
      <c r="R5" s="13">
        <v>8.9600000000000009</v>
      </c>
      <c r="S5" s="13">
        <v>0.81399999999999995</v>
      </c>
      <c r="T5" s="13">
        <v>9.3070000000000004</v>
      </c>
      <c r="U5" s="13">
        <v>1.294</v>
      </c>
      <c r="V5" s="13">
        <v>73.3</v>
      </c>
      <c r="W5" s="13">
        <v>35.482252315210701</v>
      </c>
      <c r="Z5" s="94"/>
    </row>
    <row r="6" spans="1:26">
      <c r="A6">
        <v>2003</v>
      </c>
      <c r="B6" s="13">
        <v>89.72</v>
      </c>
      <c r="C6" s="13">
        <v>86.2</v>
      </c>
      <c r="D6" s="13">
        <v>101.8</v>
      </c>
      <c r="E6" s="13">
        <v>73.7</v>
      </c>
      <c r="F6" s="13">
        <v>3.4763400000000004</v>
      </c>
      <c r="G6" s="13">
        <v>8.17</v>
      </c>
      <c r="H6" s="13">
        <v>1.0960000000000001</v>
      </c>
      <c r="I6" s="13">
        <v>1.0169999999999999</v>
      </c>
      <c r="J6" s="13">
        <v>1.0720000000000001</v>
      </c>
      <c r="K6" s="13">
        <v>31.392500000000002</v>
      </c>
      <c r="L6" s="13">
        <v>0.871</v>
      </c>
      <c r="M6" s="13">
        <v>1.06</v>
      </c>
      <c r="N6" s="13">
        <v>106.3</v>
      </c>
      <c r="O6" s="13">
        <v>1294</v>
      </c>
      <c r="P6" s="13">
        <v>1.159</v>
      </c>
      <c r="Q6" s="13">
        <v>1.0509999999999999</v>
      </c>
      <c r="R6" s="13">
        <v>9.3719999999999999</v>
      </c>
      <c r="S6" s="13">
        <v>0.81699999999999995</v>
      </c>
      <c r="T6" s="13">
        <v>9.4039999999999999</v>
      </c>
      <c r="U6" s="13">
        <v>1.3120000000000001</v>
      </c>
      <c r="V6" s="13">
        <v>76</v>
      </c>
      <c r="W6" s="13">
        <v>41.137566872943239</v>
      </c>
      <c r="Z6" s="94"/>
    </row>
    <row r="7" spans="1:26">
      <c r="A7">
        <v>2004</v>
      </c>
      <c r="B7" s="13">
        <v>97.22</v>
      </c>
      <c r="C7" s="13">
        <v>93.1</v>
      </c>
      <c r="D7" s="13">
        <v>114.1</v>
      </c>
      <c r="E7" s="13">
        <v>81.3</v>
      </c>
      <c r="F7" s="13">
        <v>3.9728639999999995</v>
      </c>
      <c r="G7" s="13">
        <v>8.34</v>
      </c>
      <c r="H7" s="13">
        <v>1.141</v>
      </c>
      <c r="I7" s="13">
        <v>1.0609999999999999</v>
      </c>
      <c r="J7" s="13">
        <v>1.115</v>
      </c>
      <c r="K7" s="13">
        <v>35.301666666666669</v>
      </c>
      <c r="L7" s="13">
        <v>0.95299999999999996</v>
      </c>
      <c r="M7" s="13">
        <v>1.1259999999999999</v>
      </c>
      <c r="N7" s="13">
        <v>112.3</v>
      </c>
      <c r="O7" s="13">
        <v>1365</v>
      </c>
      <c r="P7" s="13">
        <v>1.252</v>
      </c>
      <c r="Q7" s="13">
        <v>1.1639999999999999</v>
      </c>
      <c r="R7" s="13">
        <v>9.984</v>
      </c>
      <c r="S7" s="13">
        <v>0.86899999999999999</v>
      </c>
      <c r="T7" s="13">
        <v>9.9640000000000004</v>
      </c>
      <c r="U7" s="13">
        <v>1.4019999999999999</v>
      </c>
      <c r="V7" s="13">
        <v>80.2</v>
      </c>
      <c r="W7" s="13">
        <v>48.872375655962976</v>
      </c>
      <c r="Z7" s="94"/>
    </row>
    <row r="8" spans="1:26">
      <c r="A8">
        <v>2005</v>
      </c>
      <c r="B8" s="13">
        <v>110.38</v>
      </c>
      <c r="C8" s="13">
        <v>101.6</v>
      </c>
      <c r="D8" s="13">
        <v>128</v>
      </c>
      <c r="E8" s="13">
        <v>92.4</v>
      </c>
      <c r="F8" s="13">
        <v>4.0958499999999995</v>
      </c>
      <c r="G8" s="13">
        <v>8.9700000000000006</v>
      </c>
      <c r="H8" s="13">
        <v>1.2169655102040813</v>
      </c>
      <c r="I8" s="13">
        <v>1.161</v>
      </c>
      <c r="J8" s="13">
        <v>1.2216826530612246</v>
      </c>
      <c r="K8" s="13">
        <v>40.178333333333335</v>
      </c>
      <c r="L8" s="13">
        <v>1.0487346938775512</v>
      </c>
      <c r="M8" s="13">
        <v>1.22</v>
      </c>
      <c r="N8" s="13">
        <v>124.5</v>
      </c>
      <c r="O8" s="13">
        <v>1428</v>
      </c>
      <c r="P8" s="13">
        <v>1.3520000000000001</v>
      </c>
      <c r="Q8" s="13">
        <v>1.32</v>
      </c>
      <c r="R8" s="13">
        <v>10.81</v>
      </c>
      <c r="S8" s="13">
        <v>0.95499999999999996</v>
      </c>
      <c r="T8" s="13">
        <v>10.995401092369832</v>
      </c>
      <c r="U8" s="13">
        <v>1.5269999999999999</v>
      </c>
      <c r="V8" s="13">
        <v>86.7</v>
      </c>
      <c r="W8" s="13">
        <v>59.9495483910096</v>
      </c>
      <c r="Z8" s="94"/>
    </row>
    <row r="9" spans="1:26">
      <c r="A9">
        <v>2006</v>
      </c>
      <c r="B9" s="13">
        <v>124.24</v>
      </c>
      <c r="C9" s="13">
        <v>107.3</v>
      </c>
      <c r="D9" s="13">
        <v>135.30000000000001</v>
      </c>
      <c r="E9" s="13">
        <v>97.7</v>
      </c>
      <c r="F9" s="13">
        <v>5.5005419999999994</v>
      </c>
      <c r="G9" s="13">
        <v>9.52</v>
      </c>
      <c r="H9" s="13">
        <v>1.2874046938775505</v>
      </c>
      <c r="I9" s="13">
        <v>1.2370000000000001</v>
      </c>
      <c r="J9" s="13">
        <v>1.2833436734693877</v>
      </c>
      <c r="K9" s="13">
        <v>45.616666666666667</v>
      </c>
      <c r="L9" s="13">
        <v>1.1187551020408166</v>
      </c>
      <c r="M9" s="13">
        <v>1.2849999999999999</v>
      </c>
      <c r="N9" s="13">
        <v>137.5</v>
      </c>
      <c r="O9" s="13">
        <v>1489</v>
      </c>
      <c r="P9" s="13">
        <v>1.415</v>
      </c>
      <c r="Q9" s="13">
        <v>1.554</v>
      </c>
      <c r="R9" s="13">
        <v>11.458</v>
      </c>
      <c r="S9" s="13">
        <v>1.02</v>
      </c>
      <c r="T9" s="13">
        <v>11.421626110908589</v>
      </c>
      <c r="U9" s="13">
        <v>1.643</v>
      </c>
      <c r="V9" s="13">
        <v>91.3</v>
      </c>
      <c r="W9" s="13">
        <v>68.003288322453798</v>
      </c>
      <c r="Z9" s="94"/>
    </row>
    <row r="10" spans="1:26">
      <c r="A10">
        <v>2007</v>
      </c>
      <c r="B10" s="13">
        <v>124.29</v>
      </c>
      <c r="C10" s="13">
        <v>110.4</v>
      </c>
      <c r="D10" s="13">
        <v>138.4</v>
      </c>
      <c r="E10" s="13">
        <v>101.9</v>
      </c>
      <c r="F10" s="13">
        <v>5.2467600000000001</v>
      </c>
      <c r="G10" s="13">
        <v>9.68</v>
      </c>
      <c r="H10" s="13">
        <v>1.2983773469387754</v>
      </c>
      <c r="I10" s="13">
        <v>1.2729999999999999</v>
      </c>
      <c r="J10" s="13">
        <v>1.3354469387755099</v>
      </c>
      <c r="K10" s="13">
        <v>43.49083333333332</v>
      </c>
      <c r="L10" s="13">
        <v>1.120571428571429</v>
      </c>
      <c r="M10" s="13">
        <v>1.298</v>
      </c>
      <c r="N10" s="13">
        <v>139.80000000000001</v>
      </c>
      <c r="O10" s="13">
        <v>1525</v>
      </c>
      <c r="P10" s="13">
        <v>1.4590000000000001</v>
      </c>
      <c r="Q10" s="13">
        <v>1.554</v>
      </c>
      <c r="R10" s="13">
        <v>11.683</v>
      </c>
      <c r="S10" s="13">
        <v>1.0349999999999999</v>
      </c>
      <c r="T10" s="13">
        <v>11.509411766721751</v>
      </c>
      <c r="U10" s="13">
        <v>1.6839999999999999</v>
      </c>
      <c r="V10" s="13">
        <v>94.4</v>
      </c>
      <c r="W10" s="13">
        <v>74.074945162345202</v>
      </c>
      <c r="Z10" s="94"/>
    </row>
    <row r="11" spans="1:26">
      <c r="A11">
        <v>2008</v>
      </c>
      <c r="B11" s="13">
        <v>141</v>
      </c>
      <c r="C11" s="13">
        <v>120.6</v>
      </c>
      <c r="D11" s="13">
        <v>145.6</v>
      </c>
      <c r="E11" s="13">
        <v>115.2</v>
      </c>
      <c r="F11" s="13">
        <v>6</v>
      </c>
      <c r="G11" s="13">
        <v>10.210000000000001</v>
      </c>
      <c r="H11" s="13">
        <v>1.4456232653061227</v>
      </c>
      <c r="I11" s="13">
        <v>1.3560000000000001</v>
      </c>
      <c r="J11" s="13">
        <v>1.3933520408163265</v>
      </c>
      <c r="K11" s="13">
        <v>47.821666666666665</v>
      </c>
      <c r="L11" s="13">
        <v>1.2367142857142861</v>
      </c>
      <c r="M11" s="13">
        <v>1.379</v>
      </c>
      <c r="N11" s="13">
        <v>156.9</v>
      </c>
      <c r="O11" s="13">
        <v>1695</v>
      </c>
      <c r="P11" s="13">
        <v>1.5369999999999999</v>
      </c>
      <c r="Q11" s="13">
        <v>1.8120000000000001</v>
      </c>
      <c r="R11" s="13">
        <v>12.528</v>
      </c>
      <c r="S11" s="13">
        <v>1.1080000000000001</v>
      </c>
      <c r="T11" s="13">
        <v>12.654893163238278</v>
      </c>
      <c r="U11" s="13">
        <v>1.7849999999999999</v>
      </c>
      <c r="V11" s="13">
        <v>107.1</v>
      </c>
      <c r="W11" s="13">
        <v>85.972274723168312</v>
      </c>
      <c r="Z11" s="94"/>
    </row>
    <row r="12" spans="1:26">
      <c r="A12">
        <v>2009</v>
      </c>
      <c r="B12" s="13">
        <v>119.61</v>
      </c>
      <c r="C12" s="13">
        <v>104.3</v>
      </c>
      <c r="D12" s="13">
        <v>131.6</v>
      </c>
      <c r="E12" s="13">
        <v>94.9</v>
      </c>
      <c r="F12" s="13">
        <v>6</v>
      </c>
      <c r="G12" s="13">
        <v>9.4700000000000006</v>
      </c>
      <c r="H12" s="13">
        <v>1.2772444000000001</v>
      </c>
      <c r="I12" s="13">
        <v>1.2070000000000001</v>
      </c>
      <c r="J12" s="13">
        <v>1.2620200000000001</v>
      </c>
      <c r="K12" s="13">
        <v>43.056666666666672</v>
      </c>
      <c r="L12" s="13">
        <v>1.1057199999999994</v>
      </c>
      <c r="M12" s="13">
        <v>1.232</v>
      </c>
      <c r="N12" s="13">
        <v>120.2</v>
      </c>
      <c r="O12" s="13">
        <v>1582</v>
      </c>
      <c r="P12" s="13">
        <v>1.343</v>
      </c>
      <c r="Q12" s="13">
        <v>1.603</v>
      </c>
      <c r="R12" s="13">
        <v>11.88</v>
      </c>
      <c r="S12" s="13">
        <v>1.002</v>
      </c>
      <c r="T12" s="13">
        <v>11.956334477772385</v>
      </c>
      <c r="U12" s="13">
        <v>1.5069999999999999</v>
      </c>
      <c r="V12" s="13">
        <v>99.3</v>
      </c>
      <c r="W12" s="13">
        <v>62.022536155980333</v>
      </c>
      <c r="Z12" s="94"/>
    </row>
    <row r="13" spans="1:26">
      <c r="A13">
        <v>2010</v>
      </c>
      <c r="B13" s="13">
        <v>125.99446257199398</v>
      </c>
      <c r="C13" s="13">
        <v>118.7</v>
      </c>
      <c r="D13" s="13">
        <v>145.6</v>
      </c>
      <c r="E13" s="13">
        <v>103.1</v>
      </c>
      <c r="F13" s="13">
        <v>6.8</v>
      </c>
      <c r="G13" s="13">
        <v>10.69</v>
      </c>
      <c r="H13" s="13">
        <v>1.4260102040816327</v>
      </c>
      <c r="I13" s="13">
        <v>1.3440000000000001</v>
      </c>
      <c r="J13" s="13">
        <v>1.3910510204081636</v>
      </c>
      <c r="K13" s="13">
        <v>49.356666666666662</v>
      </c>
      <c r="L13" s="13">
        <v>1.3004897959183672</v>
      </c>
      <c r="M13" s="13">
        <v>1.363</v>
      </c>
      <c r="N13" s="13">
        <v>132.9</v>
      </c>
      <c r="O13" s="13">
        <v>1709</v>
      </c>
      <c r="P13" s="13">
        <v>1.5029999999999999</v>
      </c>
      <c r="Q13" s="13">
        <v>1.7669999999999999</v>
      </c>
      <c r="R13" s="13">
        <v>12.689</v>
      </c>
      <c r="S13" s="13">
        <v>1.165</v>
      </c>
      <c r="T13" s="13">
        <v>12.714361059532978</v>
      </c>
      <c r="U13" s="13">
        <v>1.637</v>
      </c>
      <c r="V13" s="13">
        <v>116.9</v>
      </c>
      <c r="W13" s="13">
        <v>73.433333333333337</v>
      </c>
      <c r="Z13" s="94"/>
    </row>
    <row r="14" spans="1:26">
      <c r="A14">
        <v>2011</v>
      </c>
      <c r="B14" s="13">
        <v>141.04314566863206</v>
      </c>
      <c r="C14" s="13">
        <v>135.74081632653059</v>
      </c>
      <c r="D14" s="13">
        <v>160.54695341650657</v>
      </c>
      <c r="E14" s="72">
        <v>122.68000000000002</v>
      </c>
      <c r="F14" s="13">
        <v>7.6</v>
      </c>
      <c r="G14" s="13">
        <v>12.068743411329086</v>
      </c>
      <c r="H14" s="13">
        <v>1.5597993877551026</v>
      </c>
      <c r="I14" s="13">
        <v>1.4981204081632651</v>
      </c>
      <c r="J14" s="13">
        <v>1.5269387755102037</v>
      </c>
      <c r="K14" s="13">
        <v>61.928333333333335</v>
      </c>
      <c r="L14" s="13">
        <v>1.4814857142857127</v>
      </c>
      <c r="M14" s="72">
        <v>1.5512561224489789</v>
      </c>
      <c r="N14" s="13">
        <v>145.58166666666665</v>
      </c>
      <c r="O14" s="13">
        <v>1833</v>
      </c>
      <c r="P14" s="13">
        <v>1.6389526530612242</v>
      </c>
      <c r="Q14" s="13">
        <v>2.0800000000000005</v>
      </c>
      <c r="R14" s="13">
        <v>13.70589264089427</v>
      </c>
      <c r="S14" s="13">
        <v>1.3174802040816329</v>
      </c>
      <c r="T14" s="13">
        <v>14.015307786472516</v>
      </c>
      <c r="U14" s="13">
        <v>1.72</v>
      </c>
      <c r="V14" s="13">
        <v>133.89229254449327</v>
      </c>
      <c r="W14" s="13">
        <v>93.041666666666657</v>
      </c>
      <c r="Z14" s="94"/>
    </row>
    <row r="15" spans="1:26">
      <c r="A15">
        <v>2012</v>
      </c>
      <c r="B15" s="13">
        <v>143.38560818068964</v>
      </c>
      <c r="C15" s="13">
        <v>144.97755102040816</v>
      </c>
      <c r="D15" s="13">
        <v>171.09806850350907</v>
      </c>
      <c r="E15" s="72">
        <v>126.38</v>
      </c>
      <c r="F15" s="13">
        <v>7.9</v>
      </c>
      <c r="G15" s="13">
        <v>12.736788212557041</v>
      </c>
      <c r="H15" s="13">
        <v>1.6707346938775509</v>
      </c>
      <c r="I15" s="13">
        <v>1.5664159183673463</v>
      </c>
      <c r="J15" s="13">
        <v>1.6512653061224487</v>
      </c>
      <c r="K15" s="13">
        <v>67.23</v>
      </c>
      <c r="L15" s="13">
        <v>1.6159222448979589</v>
      </c>
      <c r="M15" s="72">
        <v>1.7882118367346937</v>
      </c>
      <c r="N15" s="13">
        <v>147.02333333333334</v>
      </c>
      <c r="O15" s="13">
        <v>1957</v>
      </c>
      <c r="P15" s="13">
        <v>1.7604081632653061</v>
      </c>
      <c r="Q15" s="13">
        <v>2.145</v>
      </c>
      <c r="R15" s="13">
        <v>14.722785281788539</v>
      </c>
      <c r="S15" s="13">
        <v>1.4256442857142855</v>
      </c>
      <c r="T15" s="13">
        <v>14.963833121824351</v>
      </c>
      <c r="U15" s="13">
        <v>1.76</v>
      </c>
      <c r="V15" s="13">
        <v>136.12181832879867</v>
      </c>
      <c r="W15" s="13">
        <v>95.783333333333331</v>
      </c>
      <c r="Z15" s="94"/>
    </row>
    <row r="16" spans="1:26">
      <c r="A16">
        <v>2013</v>
      </c>
      <c r="B16" s="13">
        <v>146.10016876493671</v>
      </c>
      <c r="C16" s="13">
        <v>139.2979591836735</v>
      </c>
      <c r="D16" s="13">
        <v>164.44652573944541</v>
      </c>
      <c r="E16" s="72">
        <v>126.76999999999998</v>
      </c>
      <c r="F16" s="13">
        <v>7.6</v>
      </c>
      <c r="G16" s="13">
        <v>12.525980530610914</v>
      </c>
      <c r="H16" s="13">
        <v>1.6425306122448979</v>
      </c>
      <c r="I16" s="13">
        <v>1.5371897959183671</v>
      </c>
      <c r="J16" s="13">
        <v>1.6011020408163263</v>
      </c>
      <c r="K16" s="13">
        <v>69.117499999999993</v>
      </c>
      <c r="L16" s="13">
        <v>1.5880748979591839</v>
      </c>
      <c r="M16" s="72">
        <v>1.7487510204081635</v>
      </c>
      <c r="N16" s="13">
        <v>155.78166666666664</v>
      </c>
      <c r="O16" s="13">
        <v>1838</v>
      </c>
      <c r="P16" s="13">
        <v>1.73765306122449</v>
      </c>
      <c r="Q16" s="13">
        <v>2.1558333333333333</v>
      </c>
      <c r="R16" s="13">
        <v>15.32</v>
      </c>
      <c r="S16" s="13">
        <v>1.43182306122449</v>
      </c>
      <c r="T16" s="13">
        <v>14.468278842679256</v>
      </c>
      <c r="U16" s="13">
        <v>1.75</v>
      </c>
      <c r="V16" s="13">
        <v>134.68984678983145</v>
      </c>
      <c r="W16" s="13">
        <v>92.624999999999986</v>
      </c>
      <c r="Z16" s="94"/>
    </row>
    <row r="17" spans="1:26">
      <c r="A17">
        <v>2014</v>
      </c>
      <c r="B17" s="13">
        <v>146.96277301453196</v>
      </c>
      <c r="C17" s="13">
        <v>134.96938775510205</v>
      </c>
      <c r="D17" s="13">
        <v>159.47839261960573</v>
      </c>
      <c r="E17" s="72">
        <v>127.35</v>
      </c>
      <c r="F17" s="13">
        <v>7.1870759999999985</v>
      </c>
      <c r="G17" s="13">
        <v>12.214525568592487</v>
      </c>
      <c r="H17" s="13">
        <v>1.6073265306122448</v>
      </c>
      <c r="I17" s="13">
        <v>1.4919118367346942</v>
      </c>
      <c r="J17" s="13">
        <v>1.5431632653061222</v>
      </c>
      <c r="K17" s="13">
        <v>69.84</v>
      </c>
      <c r="L17" s="13">
        <v>1.5298546938775504</v>
      </c>
      <c r="M17" s="72">
        <v>1.7162004081632651</v>
      </c>
      <c r="N17" s="13">
        <v>162.94999999999999</v>
      </c>
      <c r="O17" s="13">
        <v>1719</v>
      </c>
      <c r="P17" s="13">
        <v>1.7019032653061219</v>
      </c>
      <c r="Q17" s="13">
        <v>2.1666666666666665</v>
      </c>
      <c r="R17" s="13">
        <v>15.662558179447524</v>
      </c>
      <c r="S17" s="13">
        <v>1.3926463265306119</v>
      </c>
      <c r="T17" s="13">
        <v>14.231034903672441</v>
      </c>
      <c r="U17" s="13">
        <v>1.7</v>
      </c>
      <c r="V17" s="13">
        <v>127.30363119389014</v>
      </c>
      <c r="W17" s="13">
        <v>88.85</v>
      </c>
      <c r="Z17" s="94"/>
    </row>
    <row r="18" spans="1:26">
      <c r="A18">
        <v>2015</v>
      </c>
      <c r="B18" s="13">
        <v>128.02078817120008</v>
      </c>
      <c r="C18" s="13">
        <v>120.20816326530613</v>
      </c>
      <c r="D18" s="13">
        <v>141.97159842006877</v>
      </c>
      <c r="E18" s="72">
        <v>106.11999999999998</v>
      </c>
      <c r="F18" s="13">
        <v>4.9827200000000005</v>
      </c>
      <c r="G18" s="13">
        <v>11.154372267296646</v>
      </c>
      <c r="H18" s="13">
        <v>1.468081632653061</v>
      </c>
      <c r="I18" s="13">
        <v>1.3563706122448982</v>
      </c>
      <c r="J18" s="13">
        <v>1.3970408163265309</v>
      </c>
      <c r="K18" s="13">
        <v>61.875000000000007</v>
      </c>
      <c r="L18" s="13">
        <v>1.369</v>
      </c>
      <c r="M18" s="72">
        <v>1.5376844897959185</v>
      </c>
      <c r="N18" s="13">
        <v>137.48583333333335</v>
      </c>
      <c r="O18" s="13">
        <v>1526</v>
      </c>
      <c r="P18" s="13">
        <v>1.5633469387755101</v>
      </c>
      <c r="Q18" s="13">
        <v>1.97</v>
      </c>
      <c r="R18" s="13">
        <v>15.04457338057775</v>
      </c>
      <c r="S18" s="13">
        <v>1.2317565306122449</v>
      </c>
      <c r="T18" s="13">
        <v>13.12513141647046</v>
      </c>
      <c r="U18" s="13">
        <v>1.45</v>
      </c>
      <c r="V18" s="13">
        <v>111.09491968663103</v>
      </c>
      <c r="W18" s="13">
        <v>63.983333333333334</v>
      </c>
      <c r="Z18" s="94"/>
    </row>
    <row r="19" spans="1:26">
      <c r="A19">
        <v>2016</v>
      </c>
      <c r="B19" s="13">
        <v>116.68330899809229</v>
      </c>
      <c r="C19" s="13">
        <v>111.14200000000001</v>
      </c>
      <c r="D19" s="13">
        <v>131.31620552859354</v>
      </c>
      <c r="E19" s="72">
        <v>100.55</v>
      </c>
      <c r="F19" s="13">
        <v>4.9220079999999999</v>
      </c>
      <c r="G19" s="13">
        <v>10.494975053312007</v>
      </c>
      <c r="H19" s="13">
        <v>1.3808399999999998</v>
      </c>
      <c r="I19" s="13">
        <v>1.3011673999999998</v>
      </c>
      <c r="J19" s="13">
        <v>1.30542</v>
      </c>
      <c r="K19" s="13">
        <v>62.936666666666667</v>
      </c>
      <c r="L19" s="13">
        <v>1.2830179999999998</v>
      </c>
      <c r="M19" s="72">
        <v>1.4432363999999998</v>
      </c>
      <c r="N19" s="13">
        <v>121.81666666666666</v>
      </c>
      <c r="O19" s="13">
        <v>1393</v>
      </c>
      <c r="P19" s="13">
        <v>1.4769999999999996</v>
      </c>
      <c r="Q19" s="13">
        <v>1.8825000000000001</v>
      </c>
      <c r="R19" s="13">
        <v>14.764992229407852</v>
      </c>
      <c r="S19" s="13">
        <v>1.1494630000000006</v>
      </c>
      <c r="T19" s="13">
        <v>13.073391863272434</v>
      </c>
      <c r="U19" s="13">
        <v>1.4</v>
      </c>
      <c r="V19" s="13">
        <v>109.56401644307081</v>
      </c>
      <c r="W19" s="13">
        <v>57.558333333333344</v>
      </c>
      <c r="Z19" s="94"/>
    </row>
    <row r="20" spans="1:26">
      <c r="A20">
        <v>2017</v>
      </c>
      <c r="B20" s="13">
        <v>128.02082212403147</v>
      </c>
      <c r="C20" s="13">
        <v>117.74400000000003</v>
      </c>
      <c r="D20" s="13">
        <v>140.37086541124975</v>
      </c>
      <c r="E20" s="72">
        <v>111.48662536798223</v>
      </c>
      <c r="F20" s="13">
        <v>4.8612959999999994</v>
      </c>
      <c r="G20" s="13">
        <v>11.13</v>
      </c>
      <c r="H20" s="13">
        <v>1.4643200000000001</v>
      </c>
      <c r="I20" s="13">
        <v>1.3753759999999999</v>
      </c>
      <c r="J20" s="13">
        <v>1.3738800000000004</v>
      </c>
      <c r="K20" s="13">
        <v>68.420833333333334</v>
      </c>
      <c r="L20" s="13">
        <v>1.3638000000000006</v>
      </c>
      <c r="M20" s="72">
        <v>1.5276388000000001</v>
      </c>
      <c r="N20" s="13">
        <v>133.5</v>
      </c>
      <c r="O20" s="13">
        <v>1489</v>
      </c>
      <c r="P20" s="13">
        <v>1.5521100000000001</v>
      </c>
      <c r="Q20" s="13">
        <v>2.020833333333333</v>
      </c>
      <c r="R20" s="13">
        <v>16.235867241988913</v>
      </c>
      <c r="S20" s="13">
        <v>1.2168797999999996</v>
      </c>
      <c r="T20" s="13">
        <v>14.091988970974109</v>
      </c>
      <c r="U20" s="13">
        <v>1.5</v>
      </c>
      <c r="V20" s="13">
        <v>117.22506418753764</v>
      </c>
      <c r="W20" s="13">
        <v>63.86666666666666</v>
      </c>
      <c r="Z20" s="94"/>
    </row>
    <row r="21" spans="1:26">
      <c r="B21" s="13"/>
      <c r="C21" s="13"/>
      <c r="D21" s="13"/>
      <c r="E21" s="72"/>
      <c r="F21" s="13"/>
      <c r="G21" s="13"/>
      <c r="H21" s="13"/>
      <c r="I21" s="13"/>
      <c r="J21" s="13"/>
      <c r="K21" s="13"/>
      <c r="L21" s="13"/>
      <c r="M21" s="13"/>
      <c r="N21" s="13"/>
      <c r="O21" s="13"/>
      <c r="P21" s="13"/>
      <c r="Q21" s="13"/>
      <c r="R21" s="13"/>
      <c r="S21" s="13"/>
      <c r="T21" s="13"/>
      <c r="U21" s="13"/>
      <c r="V21" s="13"/>
      <c r="W21" s="13"/>
    </row>
    <row r="22" spans="1:26">
      <c r="B22" s="13"/>
      <c r="C22" s="13"/>
      <c r="D22" s="13"/>
      <c r="E22" s="72"/>
      <c r="F22" s="13"/>
      <c r="G22" s="13"/>
      <c r="H22" s="13"/>
      <c r="I22" s="13"/>
      <c r="J22" s="13"/>
      <c r="K22" s="13"/>
      <c r="L22" s="13"/>
      <c r="M22" s="13"/>
      <c r="N22" s="13"/>
      <c r="O22" s="13"/>
      <c r="P22" s="13"/>
      <c r="Q22" s="13"/>
      <c r="R22" s="13"/>
      <c r="S22" s="13"/>
      <c r="T22" s="13"/>
      <c r="U22" s="13"/>
      <c r="V22" s="13"/>
      <c r="W22" s="13"/>
    </row>
    <row r="23" spans="1:26">
      <c r="B23" s="13"/>
      <c r="C23" s="13"/>
      <c r="D23" s="13"/>
      <c r="E23" s="72"/>
      <c r="F23" s="13"/>
      <c r="G23" s="13"/>
      <c r="H23" s="13"/>
      <c r="I23" s="13"/>
      <c r="J23" s="13"/>
      <c r="K23" s="13"/>
      <c r="L23" s="13"/>
      <c r="M23" s="13"/>
      <c r="N23" s="13"/>
      <c r="O23" s="13"/>
      <c r="P23" s="13"/>
      <c r="Q23" s="13"/>
      <c r="R23" s="13"/>
      <c r="S23" s="13"/>
      <c r="T23" s="13"/>
      <c r="U23" s="13"/>
      <c r="V23" s="13"/>
      <c r="W23" s="13"/>
    </row>
    <row r="24" spans="1:26">
      <c r="B24" s="13" t="s">
        <v>535</v>
      </c>
      <c r="C24" s="13"/>
      <c r="D24" s="13"/>
      <c r="E24" s="13"/>
      <c r="F24" s="13"/>
      <c r="G24" s="13"/>
      <c r="H24" s="13"/>
      <c r="I24" s="13"/>
      <c r="J24" s="13"/>
      <c r="K24" s="13"/>
      <c r="L24" s="13"/>
      <c r="M24" s="13"/>
      <c r="N24" s="13"/>
      <c r="O24" s="13"/>
      <c r="P24" s="13"/>
      <c r="Q24" s="13"/>
      <c r="R24" s="13"/>
      <c r="S24" s="13"/>
      <c r="T24" s="13"/>
      <c r="U24" s="13"/>
      <c r="V24" s="13"/>
      <c r="W24" s="13"/>
    </row>
    <row r="25" spans="1:26">
      <c r="B25" s="149" t="s">
        <v>255</v>
      </c>
      <c r="C25" s="149" t="s">
        <v>539</v>
      </c>
      <c r="D25" s="149" t="s">
        <v>540</v>
      </c>
      <c r="E25" s="149" t="s">
        <v>238</v>
      </c>
      <c r="F25" s="149" t="s">
        <v>239</v>
      </c>
      <c r="G25" s="149" t="s">
        <v>541</v>
      </c>
      <c r="H25" s="149" t="s">
        <v>542</v>
      </c>
      <c r="I25" s="149" t="s">
        <v>240</v>
      </c>
      <c r="J25" s="149" t="s">
        <v>241</v>
      </c>
      <c r="K25" s="149" t="s">
        <v>242</v>
      </c>
      <c r="L25" s="149" t="s">
        <v>544</v>
      </c>
      <c r="M25" s="7" t="s">
        <v>538</v>
      </c>
      <c r="N25" s="149" t="s">
        <v>243</v>
      </c>
      <c r="O25" s="149" t="s">
        <v>244</v>
      </c>
      <c r="P25" s="149" t="s">
        <v>245</v>
      </c>
      <c r="Q25" s="150" t="s">
        <v>331</v>
      </c>
      <c r="R25" s="149" t="s">
        <v>246</v>
      </c>
      <c r="S25" s="149" t="s">
        <v>545</v>
      </c>
      <c r="T25" s="149" t="s">
        <v>247</v>
      </c>
      <c r="U25" s="149" t="s">
        <v>546</v>
      </c>
      <c r="V25" s="149" t="s">
        <v>248</v>
      </c>
      <c r="W25" s="149" t="s">
        <v>249</v>
      </c>
      <c r="X25" s="149" t="s">
        <v>687</v>
      </c>
      <c r="Y25" s="149"/>
    </row>
    <row r="26" spans="1:26">
      <c r="A26">
        <v>2000</v>
      </c>
      <c r="B26" s="84">
        <f>'Exchange rates'!B27</f>
        <v>1.7248266666666701</v>
      </c>
      <c r="C26" s="84">
        <v>1.0853999999999999</v>
      </c>
      <c r="D26" s="84">
        <v>1.0853999999999999</v>
      </c>
      <c r="E26" s="84">
        <v>1.4851099999999999</v>
      </c>
      <c r="F26" s="13">
        <v>8.2783999999999995</v>
      </c>
      <c r="G26" s="13">
        <v>8.0831400000000002</v>
      </c>
      <c r="H26" s="84">
        <v>1.0853999999999999</v>
      </c>
      <c r="I26" s="84">
        <v>1.0853999999999999</v>
      </c>
      <c r="J26" s="84">
        <v>1.0853999999999999</v>
      </c>
      <c r="K26" s="13">
        <v>44.997500000000002</v>
      </c>
      <c r="L26" s="84">
        <v>1.0853999999999999</v>
      </c>
      <c r="M26" s="84">
        <v>1.0853999999999999</v>
      </c>
      <c r="N26" s="84">
        <v>107.765</v>
      </c>
      <c r="O26" s="84">
        <v>1130.96</v>
      </c>
      <c r="P26" s="84">
        <v>1.0853999999999999</v>
      </c>
      <c r="Q26" s="84">
        <v>2.2011500000000002</v>
      </c>
      <c r="R26" s="84">
        <v>8.8018400000000003</v>
      </c>
      <c r="S26" s="84">
        <v>1.0853999999999999</v>
      </c>
      <c r="T26" s="84">
        <v>9.1622400000000006</v>
      </c>
      <c r="U26" s="84">
        <v>1.6923750000000002</v>
      </c>
      <c r="V26" s="84">
        <v>0.66093100000000005</v>
      </c>
      <c r="W26" s="84">
        <v>1</v>
      </c>
    </row>
    <row r="27" spans="1:26">
      <c r="A27">
        <v>2001</v>
      </c>
      <c r="B27" s="84">
        <f>'Exchange rates'!B28</f>
        <v>1.9334425</v>
      </c>
      <c r="C27" s="84">
        <v>1.11751</v>
      </c>
      <c r="D27" s="84">
        <v>1.11751</v>
      </c>
      <c r="E27" s="84">
        <v>1.54876083333333</v>
      </c>
      <c r="F27" s="13">
        <v>8.277000000000001</v>
      </c>
      <c r="G27" s="13">
        <v>8.3228200000000001</v>
      </c>
      <c r="H27" s="84">
        <v>1.11751</v>
      </c>
      <c r="I27" s="84">
        <v>1.11751</v>
      </c>
      <c r="J27" s="84">
        <v>1.11751</v>
      </c>
      <c r="K27" s="13">
        <v>47.22</v>
      </c>
      <c r="L27" s="84">
        <v>1.11751</v>
      </c>
      <c r="M27" s="84">
        <v>1.11751</v>
      </c>
      <c r="N27" s="84">
        <v>121.529</v>
      </c>
      <c r="O27" s="84">
        <v>1290.99</v>
      </c>
      <c r="P27" s="84">
        <v>1.11751</v>
      </c>
      <c r="Q27" s="84">
        <v>2.3787500000000001</v>
      </c>
      <c r="R27" s="84">
        <v>8.9916499999999999</v>
      </c>
      <c r="S27" s="84">
        <v>1.11751</v>
      </c>
      <c r="T27" s="84">
        <v>10.3291</v>
      </c>
      <c r="U27" s="84">
        <v>1.6906666666666663</v>
      </c>
      <c r="V27" s="84">
        <v>0.69465500000000002</v>
      </c>
      <c r="W27" s="84">
        <v>1</v>
      </c>
    </row>
    <row r="28" spans="1:26">
      <c r="A28">
        <v>2002</v>
      </c>
      <c r="B28" s="84">
        <v>1.8405625000000001</v>
      </c>
      <c r="C28" s="84">
        <v>1.0625500000000001</v>
      </c>
      <c r="D28" s="84">
        <v>1.0625500000000001</v>
      </c>
      <c r="E28" s="84">
        <v>1.56931833333333</v>
      </c>
      <c r="F28" s="13">
        <v>8.277000000000001</v>
      </c>
      <c r="G28" s="13">
        <v>7.8947099999999999</v>
      </c>
      <c r="H28" s="84">
        <v>1.0625500000000001</v>
      </c>
      <c r="I28" s="84">
        <v>1.0625500000000001</v>
      </c>
      <c r="J28" s="84">
        <v>1.0625500000000001</v>
      </c>
      <c r="K28" s="13">
        <v>48.625700000000002</v>
      </c>
      <c r="L28" s="84">
        <v>1.0625500000000001</v>
      </c>
      <c r="M28" s="84">
        <v>1.0625500000000001</v>
      </c>
      <c r="N28" s="84">
        <v>125.38800000000001</v>
      </c>
      <c r="O28" s="84">
        <v>1251.0899999999999</v>
      </c>
      <c r="P28" s="84">
        <v>1.0625500000000001</v>
      </c>
      <c r="Q28" s="84">
        <v>2.1621899999999998</v>
      </c>
      <c r="R28" s="84">
        <v>7.9837800000000003</v>
      </c>
      <c r="S28" s="84">
        <v>1.0625500000000001</v>
      </c>
      <c r="T28" s="84">
        <v>9.7371200000000009</v>
      </c>
      <c r="U28" s="84">
        <v>1.5344333333333331</v>
      </c>
      <c r="V28" s="84">
        <v>0.66722300000000001</v>
      </c>
      <c r="W28" s="84">
        <v>1</v>
      </c>
    </row>
    <row r="29" spans="1:26">
      <c r="A29">
        <v>2003</v>
      </c>
      <c r="B29" s="84">
        <v>1.54191416666667</v>
      </c>
      <c r="C29" s="84">
        <v>0.88603399999999999</v>
      </c>
      <c r="D29" s="84">
        <v>0.88603399999999999</v>
      </c>
      <c r="E29" s="84">
        <v>1.4010516666666699</v>
      </c>
      <c r="F29" s="13">
        <v>8.277000000000001</v>
      </c>
      <c r="G29" s="13">
        <v>6.5876700000000001</v>
      </c>
      <c r="H29" s="84">
        <v>0.88603399999999999</v>
      </c>
      <c r="I29" s="84">
        <v>0.88603399999999999</v>
      </c>
      <c r="J29" s="84">
        <v>0.88603399999999999</v>
      </c>
      <c r="K29" s="13">
        <v>46.590800000000002</v>
      </c>
      <c r="L29" s="84">
        <v>0.88603399999999999</v>
      </c>
      <c r="M29" s="84">
        <v>0.88603399999999999</v>
      </c>
      <c r="N29" s="84">
        <v>115.93300000000001</v>
      </c>
      <c r="O29" s="84">
        <v>1191.6099999999999</v>
      </c>
      <c r="P29" s="84">
        <v>0.88603399999999999</v>
      </c>
      <c r="Q29" s="84">
        <v>1.7221</v>
      </c>
      <c r="R29" s="84">
        <v>7.0802199999999997</v>
      </c>
      <c r="S29" s="84">
        <v>0.88603399999999999</v>
      </c>
      <c r="T29" s="84">
        <v>8.0862999999999996</v>
      </c>
      <c r="U29" s="84">
        <v>1.3354333333333335</v>
      </c>
      <c r="V29" s="84">
        <v>0.61247200000000002</v>
      </c>
      <c r="W29" s="84">
        <v>1</v>
      </c>
    </row>
    <row r="30" spans="1:26">
      <c r="A30">
        <v>2004</v>
      </c>
      <c r="B30" s="84">
        <v>1.3597524999999999</v>
      </c>
      <c r="C30" s="84">
        <v>0.805365</v>
      </c>
      <c r="D30" s="84">
        <v>0.805365</v>
      </c>
      <c r="E30" s="84">
        <v>1.3010191666666699</v>
      </c>
      <c r="F30" s="13">
        <v>8.2767999999999997</v>
      </c>
      <c r="G30" s="13">
        <v>5.9910600000000001</v>
      </c>
      <c r="H30" s="84">
        <v>0.805365</v>
      </c>
      <c r="I30" s="84">
        <v>0.805365</v>
      </c>
      <c r="J30" s="84">
        <v>0.805365</v>
      </c>
      <c r="K30" s="13">
        <v>45.261000000000003</v>
      </c>
      <c r="L30" s="84">
        <v>0.805365</v>
      </c>
      <c r="M30" s="84">
        <v>0.805365</v>
      </c>
      <c r="N30" s="84">
        <v>108.193</v>
      </c>
      <c r="O30" s="84">
        <v>1145.32</v>
      </c>
      <c r="P30" s="84">
        <v>0.805365</v>
      </c>
      <c r="Q30" s="84">
        <v>1.50868</v>
      </c>
      <c r="R30" s="84">
        <v>6.7408299999999999</v>
      </c>
      <c r="S30" s="84">
        <v>0.805365</v>
      </c>
      <c r="T30" s="84">
        <v>7.3488899999999999</v>
      </c>
      <c r="U30" s="84">
        <v>1.2373416666666668</v>
      </c>
      <c r="V30" s="84">
        <v>0.54618</v>
      </c>
      <c r="W30" s="84">
        <v>1</v>
      </c>
    </row>
    <row r="31" spans="1:26">
      <c r="A31">
        <v>2005</v>
      </c>
      <c r="B31" s="84">
        <v>1.3094733333333299</v>
      </c>
      <c r="C31" s="84">
        <v>0.80411999999999995</v>
      </c>
      <c r="D31" s="84">
        <v>0.80411999999999995</v>
      </c>
      <c r="E31" s="84">
        <v>1.21176333333333</v>
      </c>
      <c r="F31" s="13">
        <v>8.1916999999999991</v>
      </c>
      <c r="G31" s="13">
        <v>5.9969099999999997</v>
      </c>
      <c r="H31" s="84">
        <v>0.80411999999999995</v>
      </c>
      <c r="I31" s="84">
        <v>0.80411999999999995</v>
      </c>
      <c r="J31" s="84">
        <v>0.80411999999999995</v>
      </c>
      <c r="K31" s="13">
        <v>44.0002</v>
      </c>
      <c r="L31" s="84">
        <v>0.80411999999999995</v>
      </c>
      <c r="M31" s="84">
        <v>0.80411999999999995</v>
      </c>
      <c r="N31" s="84">
        <v>110.218</v>
      </c>
      <c r="O31" s="84">
        <v>1024.1199999999999</v>
      </c>
      <c r="P31" s="84">
        <v>0.80411999999999995</v>
      </c>
      <c r="Q31" s="84">
        <v>1.4202699999999999</v>
      </c>
      <c r="R31" s="84">
        <v>6.4424999999999999</v>
      </c>
      <c r="S31" s="84">
        <v>0.80411999999999995</v>
      </c>
      <c r="T31" s="84">
        <v>7.47309</v>
      </c>
      <c r="U31" s="84">
        <v>1.2456500000000001</v>
      </c>
      <c r="V31" s="84">
        <v>0.54999799999999999</v>
      </c>
      <c r="W31" s="84">
        <v>1</v>
      </c>
    </row>
    <row r="32" spans="1:26">
      <c r="A32">
        <v>2006</v>
      </c>
      <c r="B32" s="84">
        <v>1.3279734405000001</v>
      </c>
      <c r="C32" s="84">
        <v>0.79714099999999999</v>
      </c>
      <c r="D32" s="84">
        <v>0.79714099999999999</v>
      </c>
      <c r="E32" s="84">
        <v>1.1343633333333301</v>
      </c>
      <c r="F32" s="13">
        <v>7.9717999999999991</v>
      </c>
      <c r="G32" s="13">
        <v>5.9467800000000004</v>
      </c>
      <c r="H32" s="84">
        <v>0.79714099999999999</v>
      </c>
      <c r="I32" s="84">
        <v>0.79714099999999999</v>
      </c>
      <c r="J32" s="84">
        <v>0.79714099999999999</v>
      </c>
      <c r="K32" s="13">
        <v>45.186100000000003</v>
      </c>
      <c r="L32" s="84">
        <v>0.79714099999999999</v>
      </c>
      <c r="M32" s="84">
        <v>0.79714099999999999</v>
      </c>
      <c r="N32" s="84">
        <v>116.29900000000001</v>
      </c>
      <c r="O32" s="84">
        <v>954.79100000000005</v>
      </c>
      <c r="P32" s="84">
        <v>0.79714099999999999</v>
      </c>
      <c r="Q32" s="84">
        <v>1.54206</v>
      </c>
      <c r="R32" s="84">
        <v>6.4133300000000002</v>
      </c>
      <c r="S32" s="84">
        <v>0.79714099999999999</v>
      </c>
      <c r="T32" s="84">
        <v>7.3782500000000004</v>
      </c>
      <c r="U32" s="84">
        <v>1.2538583333333333</v>
      </c>
      <c r="V32" s="84">
        <v>0.54348700000000005</v>
      </c>
      <c r="W32" s="84">
        <v>1</v>
      </c>
    </row>
    <row r="33" spans="1:28">
      <c r="A33">
        <v>2007</v>
      </c>
      <c r="B33" s="84">
        <v>1.1950725</v>
      </c>
      <c r="C33" s="84">
        <v>0.73063800000000001</v>
      </c>
      <c r="D33" s="84">
        <v>0.73063800000000001</v>
      </c>
      <c r="E33" s="84">
        <v>1.0740991666666699</v>
      </c>
      <c r="F33" s="13">
        <v>7.6040000000000001</v>
      </c>
      <c r="G33" s="13">
        <v>5.4436999999999998</v>
      </c>
      <c r="H33" s="84">
        <v>0.73063800000000001</v>
      </c>
      <c r="I33" s="84">
        <v>0.73063800000000001</v>
      </c>
      <c r="J33" s="84">
        <v>0.73063800000000001</v>
      </c>
      <c r="K33" s="13">
        <v>41.177399999999999</v>
      </c>
      <c r="L33" s="84">
        <v>0.73063800000000001</v>
      </c>
      <c r="M33" s="84">
        <v>0.73063800000000001</v>
      </c>
      <c r="N33" s="84">
        <v>117.754</v>
      </c>
      <c r="O33" s="84">
        <v>929.25699999999995</v>
      </c>
      <c r="P33" s="84">
        <v>0.73063800000000001</v>
      </c>
      <c r="Q33" s="84">
        <v>1.3606799999999999</v>
      </c>
      <c r="R33" s="84">
        <v>5.8616700000000002</v>
      </c>
      <c r="S33" s="84">
        <v>0.73063800000000001</v>
      </c>
      <c r="T33" s="84">
        <v>6.7587700000000002</v>
      </c>
      <c r="U33" s="84">
        <v>1.2003583333333332</v>
      </c>
      <c r="V33" s="84">
        <v>0.49977199999999999</v>
      </c>
      <c r="W33" s="84">
        <v>1</v>
      </c>
    </row>
    <row r="34" spans="1:28">
      <c r="A34" s="14">
        <v>2008</v>
      </c>
      <c r="B34" s="93">
        <v>1.19217833333333</v>
      </c>
      <c r="C34" s="93">
        <v>0.68267500000000003</v>
      </c>
      <c r="D34" s="93">
        <v>0.68267500000000003</v>
      </c>
      <c r="E34" s="93">
        <v>1.06704</v>
      </c>
      <c r="F34" s="20">
        <v>6.9451000000000001</v>
      </c>
      <c r="G34" s="20">
        <v>5.0981300000000003</v>
      </c>
      <c r="H34" s="93">
        <v>0.68267500000000003</v>
      </c>
      <c r="I34" s="93">
        <v>0.68267500000000003</v>
      </c>
      <c r="J34" s="93">
        <v>0.68267500000000003</v>
      </c>
      <c r="K34" s="20">
        <v>43.385899999999999</v>
      </c>
      <c r="L34" s="93">
        <v>0.68267500000000003</v>
      </c>
      <c r="M34" s="93">
        <v>0.68267416666666658</v>
      </c>
      <c r="N34" s="93">
        <v>103.35899999999999</v>
      </c>
      <c r="O34" s="93">
        <v>1102.05</v>
      </c>
      <c r="P34" s="93">
        <v>0.68267500000000003</v>
      </c>
      <c r="Q34" s="93">
        <v>1.4227300000000001</v>
      </c>
      <c r="R34" s="93">
        <v>5.64</v>
      </c>
      <c r="S34" s="93">
        <v>0.68267416666666658</v>
      </c>
      <c r="T34" s="93">
        <v>6.5911</v>
      </c>
      <c r="U34" s="93">
        <v>1.0830916666666666</v>
      </c>
      <c r="V34" s="93">
        <v>0.54396599999999995</v>
      </c>
      <c r="W34" s="93">
        <v>1</v>
      </c>
    </row>
    <row r="35" spans="1:28">
      <c r="A35">
        <v>2009</v>
      </c>
      <c r="B35" s="84">
        <v>1.28218881008452</v>
      </c>
      <c r="C35" s="84">
        <v>0.71984416666666673</v>
      </c>
      <c r="D35" s="84">
        <v>0.71984416666666673</v>
      </c>
      <c r="E35" s="84">
        <v>1.14310055659983</v>
      </c>
      <c r="F35" s="13">
        <v>6.8310000000000004</v>
      </c>
      <c r="G35" s="13">
        <v>5.3608700000000002</v>
      </c>
      <c r="H35" s="84">
        <v>0.71984416666666673</v>
      </c>
      <c r="I35" s="84">
        <v>0.71984416666666673</v>
      </c>
      <c r="J35" s="84">
        <v>0.71984416666666673</v>
      </c>
      <c r="K35" s="13">
        <v>48.3324</v>
      </c>
      <c r="L35" s="84">
        <v>0.71984416666666673</v>
      </c>
      <c r="M35" s="84">
        <v>0.71984416666666673</v>
      </c>
      <c r="N35" s="84">
        <v>93.570099999999996</v>
      </c>
      <c r="O35" s="84">
        <v>1276.93</v>
      </c>
      <c r="P35" s="84">
        <v>0.71984416666666673</v>
      </c>
      <c r="Q35" s="84">
        <v>1.6</v>
      </c>
      <c r="R35" s="84">
        <v>6.2883300000000002</v>
      </c>
      <c r="S35" s="84">
        <v>0.71984416666666673</v>
      </c>
      <c r="T35" s="84">
        <v>7.6538199999999996</v>
      </c>
      <c r="U35" s="84">
        <v>1.0881416666666668</v>
      </c>
      <c r="V35" s="84">
        <v>0.64191900000000002</v>
      </c>
      <c r="W35" s="84">
        <v>1</v>
      </c>
    </row>
    <row r="36" spans="1:28">
      <c r="A36">
        <v>2010</v>
      </c>
      <c r="B36" s="84">
        <v>1.087025445453969</v>
      </c>
      <c r="C36" s="84">
        <v>0.75867129256384003</v>
      </c>
      <c r="D36" s="84">
        <v>0.75867129256384003</v>
      </c>
      <c r="E36" s="84">
        <v>1.0343047113494515</v>
      </c>
      <c r="F36" s="13">
        <v>6.7695000000000007</v>
      </c>
      <c r="G36" s="13">
        <v>5.6240800000000002</v>
      </c>
      <c r="H36" s="84">
        <v>0.75867129256384003</v>
      </c>
      <c r="I36" s="84">
        <v>0.75867129256384003</v>
      </c>
      <c r="J36" s="84">
        <v>0.75867129256384003</v>
      </c>
      <c r="K36" s="13">
        <v>45.650700000000001</v>
      </c>
      <c r="L36" s="84">
        <v>0.75867129256384003</v>
      </c>
      <c r="M36" s="84">
        <v>0.75867129256384003</v>
      </c>
      <c r="N36" s="84">
        <v>87.092478689771994</v>
      </c>
      <c r="O36" s="84">
        <v>1157.7636263168861</v>
      </c>
      <c r="P36" s="84">
        <v>0.75867129256384003</v>
      </c>
      <c r="Q36" s="84">
        <v>1.388946762928809</v>
      </c>
      <c r="R36" s="84">
        <v>6.0463641162424917</v>
      </c>
      <c r="S36" s="84">
        <v>0.75867129256384003</v>
      </c>
      <c r="T36" s="84">
        <v>7.1962893061642301</v>
      </c>
      <c r="U36" s="84">
        <v>1.0380911833177828</v>
      </c>
      <c r="V36" s="84">
        <v>0.64823856585109563</v>
      </c>
      <c r="W36" s="84">
        <v>1</v>
      </c>
    </row>
    <row r="37" spans="1:28">
      <c r="A37">
        <v>2011</v>
      </c>
      <c r="B37" s="84">
        <v>0.96091479088091858</v>
      </c>
      <c r="C37" s="84">
        <v>0.71544109992713056</v>
      </c>
      <c r="D37" s="84">
        <v>0.71544109992713056</v>
      </c>
      <c r="E37" s="94">
        <v>0.98780438977906948</v>
      </c>
      <c r="F37" s="13">
        <v>6.4588000000000001</v>
      </c>
      <c r="G37" s="13">
        <v>5.362177</v>
      </c>
      <c r="H37" s="84">
        <v>0.71544109992713056</v>
      </c>
      <c r="I37" s="84">
        <v>0.71544109992713056</v>
      </c>
      <c r="J37" s="84">
        <v>0.71544109992713056</v>
      </c>
      <c r="K37" s="13">
        <v>46.578200000000002</v>
      </c>
      <c r="L37" s="84">
        <v>0.71544109992713056</v>
      </c>
      <c r="M37" s="84">
        <v>0.71544109992713056</v>
      </c>
      <c r="N37" s="84">
        <v>79.602181276575308</v>
      </c>
      <c r="O37" s="84">
        <v>1104.4858705487623</v>
      </c>
      <c r="P37" s="84">
        <v>0.71544109992713056</v>
      </c>
      <c r="Q37" s="84">
        <v>1.2549066711509356</v>
      </c>
      <c r="R37" s="84">
        <v>5.6082971190704045</v>
      </c>
      <c r="S37" s="84">
        <v>0.71544109992713056</v>
      </c>
      <c r="T37" s="84">
        <v>6.4979938318357267</v>
      </c>
      <c r="U37" s="84">
        <v>0.88139108431226521</v>
      </c>
      <c r="V37" s="84">
        <v>0.62300910466764359</v>
      </c>
      <c r="W37" s="84">
        <v>1</v>
      </c>
    </row>
    <row r="38" spans="1:28">
      <c r="A38">
        <v>2012</v>
      </c>
      <c r="B38" s="84">
        <v>0.96223237911955739</v>
      </c>
      <c r="C38" s="84">
        <v>0.773899446716382</v>
      </c>
      <c r="D38" s="84">
        <v>0.773899446716382</v>
      </c>
      <c r="E38" s="94">
        <v>0.99862080025659505</v>
      </c>
      <c r="F38" s="13">
        <v>6.3125</v>
      </c>
      <c r="G38" s="13">
        <v>5.7972159999999997</v>
      </c>
      <c r="H38" s="84">
        <v>0.773899446716382</v>
      </c>
      <c r="I38" s="84">
        <v>0.773899446716382</v>
      </c>
      <c r="J38" s="84">
        <v>0.773899446716382</v>
      </c>
      <c r="K38" s="13">
        <v>53.374299999999998</v>
      </c>
      <c r="L38" s="84">
        <v>0.773899446716382</v>
      </c>
      <c r="M38" s="84">
        <v>0.773899446716382</v>
      </c>
      <c r="N38" s="84">
        <v>79.938256755673166</v>
      </c>
      <c r="O38" s="84">
        <v>1120.3335738914282</v>
      </c>
      <c r="P38" s="84">
        <v>0.773899446716382</v>
      </c>
      <c r="Q38" s="84">
        <v>1.2279127575976263</v>
      </c>
      <c r="R38" s="84">
        <v>5.8192827200745221</v>
      </c>
      <c r="S38" s="84">
        <v>0.773899446716382</v>
      </c>
      <c r="T38" s="84">
        <v>6.7706372944621123</v>
      </c>
      <c r="U38" s="84">
        <v>0.93197818939940669</v>
      </c>
      <c r="V38" s="84">
        <v>0.62810520407345038</v>
      </c>
      <c r="W38" s="84">
        <v>1</v>
      </c>
    </row>
    <row r="39" spans="1:28">
      <c r="A39">
        <v>2013</v>
      </c>
      <c r="B39" s="84">
        <v>1.0416214574020224</v>
      </c>
      <c r="C39" s="84">
        <v>0.75166876437654617</v>
      </c>
      <c r="D39" s="84">
        <v>0.75166876437654617</v>
      </c>
      <c r="E39" s="94">
        <v>1.0338440171867538</v>
      </c>
      <c r="F39" s="13">
        <v>6.1932000000000009</v>
      </c>
      <c r="G39" s="13">
        <v>5.617216</v>
      </c>
      <c r="H39" s="84">
        <v>0.75166876437654617</v>
      </c>
      <c r="I39" s="84">
        <v>0.75166876437654617</v>
      </c>
      <c r="J39" s="84">
        <v>0.75166876437654617</v>
      </c>
      <c r="K39" s="13">
        <v>58.514899999999997</v>
      </c>
      <c r="L39" s="84">
        <v>0.75166876437654617</v>
      </c>
      <c r="M39" s="84">
        <v>0.75166876437654617</v>
      </c>
      <c r="N39" s="84">
        <v>97.685864328805181</v>
      </c>
      <c r="O39" s="84">
        <v>1094.9411917885509</v>
      </c>
      <c r="P39" s="84">
        <v>0.75166876437654617</v>
      </c>
      <c r="Q39" s="84">
        <v>1.2223514604400847</v>
      </c>
      <c r="R39" s="84">
        <v>5.8701489792164798</v>
      </c>
      <c r="S39" s="84">
        <v>0.75166876437654617</v>
      </c>
      <c r="T39" s="84">
        <v>6.5136657645058875</v>
      </c>
      <c r="U39" s="84">
        <v>0.92443904344429506</v>
      </c>
      <c r="V39" s="84">
        <v>0.63984202074562735</v>
      </c>
      <c r="W39" s="84">
        <v>1</v>
      </c>
    </row>
    <row r="40" spans="1:28">
      <c r="A40">
        <v>2014</v>
      </c>
      <c r="B40" s="84">
        <v>1.1123470522803114</v>
      </c>
      <c r="C40" s="84">
        <v>0.757387838338895</v>
      </c>
      <c r="D40" s="84">
        <v>0.757387838338895</v>
      </c>
      <c r="E40" s="94">
        <v>1.106664812754913</v>
      </c>
      <c r="F40" s="13">
        <v>6.1427999999999994</v>
      </c>
      <c r="G40" s="13">
        <v>5.619046</v>
      </c>
      <c r="H40" s="84">
        <v>0.757387838338895</v>
      </c>
      <c r="I40" s="84">
        <v>0.757387838338895</v>
      </c>
      <c r="J40" s="84">
        <v>0.757387838338895</v>
      </c>
      <c r="K40" s="13">
        <v>60.9953</v>
      </c>
      <c r="L40" s="84">
        <v>0.757387838338895</v>
      </c>
      <c r="M40" s="84">
        <v>0.757387838338895</v>
      </c>
      <c r="N40" s="84">
        <v>106.1123470522803</v>
      </c>
      <c r="O40" s="84">
        <v>1052.146829810901</v>
      </c>
      <c r="P40" s="84">
        <v>0.757387838338895</v>
      </c>
      <c r="Q40" s="84">
        <v>1.2099462365591398</v>
      </c>
      <c r="R40" s="84">
        <v>6.291782231543305</v>
      </c>
      <c r="S40" s="84">
        <v>0.757387838338895</v>
      </c>
      <c r="T40" s="84">
        <v>6.8536067435327919</v>
      </c>
      <c r="U40" s="84">
        <v>0.91877085650723023</v>
      </c>
      <c r="V40" s="84">
        <v>0.60778642936596206</v>
      </c>
      <c r="W40" s="84">
        <v>1</v>
      </c>
    </row>
    <row r="41" spans="1:28">
      <c r="A41">
        <v>2015</v>
      </c>
      <c r="B41" s="84">
        <v>1.3396146375226059</v>
      </c>
      <c r="C41" s="84">
        <v>0.90592556207997499</v>
      </c>
      <c r="D41" s="84">
        <v>0.90592556207997499</v>
      </c>
      <c r="E41" s="94">
        <v>1.2875929357654781</v>
      </c>
      <c r="F41" s="13">
        <v>6.2284000000000006</v>
      </c>
      <c r="G41" s="13">
        <v>6.7268670000000004</v>
      </c>
      <c r="H41" s="84">
        <v>0.90592556207997499</v>
      </c>
      <c r="I41" s="84">
        <v>0.90592556207997499</v>
      </c>
      <c r="J41" s="84">
        <v>0.90592556207997499</v>
      </c>
      <c r="K41" s="13">
        <v>64.107299999999995</v>
      </c>
      <c r="L41" s="84">
        <v>0.90592556207997499</v>
      </c>
      <c r="M41" s="84">
        <v>0.90592556207997499</v>
      </c>
      <c r="N41" s="84">
        <v>120.93817678447832</v>
      </c>
      <c r="O41" s="84">
        <v>1132.7189711759586</v>
      </c>
      <c r="P41" s="84">
        <v>0.90592556207997499</v>
      </c>
      <c r="Q41" s="84">
        <v>1.4413918596083857</v>
      </c>
      <c r="R41" s="84">
        <v>8.062665178833619</v>
      </c>
      <c r="S41" s="84">
        <v>0.90592556207997499</v>
      </c>
      <c r="T41" s="84">
        <v>8.4360853883660756</v>
      </c>
      <c r="U41" s="84">
        <v>0.96298198218312514</v>
      </c>
      <c r="V41" s="84">
        <v>0.65543995177387293</v>
      </c>
      <c r="W41" s="84">
        <v>1</v>
      </c>
    </row>
    <row r="42" spans="1:28">
      <c r="A42">
        <v>2016</v>
      </c>
      <c r="B42" s="84">
        <v>1.3451557578271249</v>
      </c>
      <c r="C42" s="84">
        <v>0.90674707708863456</v>
      </c>
      <c r="D42" s="84">
        <v>0.90674707708863456</v>
      </c>
      <c r="E42" s="94">
        <v>1.3227140759340423</v>
      </c>
      <c r="F42" s="13">
        <v>6.6423000000000005</v>
      </c>
      <c r="G42" s="13">
        <v>6.732704</v>
      </c>
      <c r="H42" s="13">
        <v>0.90674707708863456</v>
      </c>
      <c r="I42" s="13">
        <v>0.90674707708863456</v>
      </c>
      <c r="J42" s="13">
        <v>0.90674707708863456</v>
      </c>
      <c r="K42" s="13">
        <v>67.157200000000003</v>
      </c>
      <c r="L42" s="13">
        <v>0.90674707708863456</v>
      </c>
      <c r="M42" s="13">
        <v>0.90674707708863456</v>
      </c>
      <c r="N42" s="84">
        <v>108.94752771581341</v>
      </c>
      <c r="O42" s="84">
        <v>1159.6699884540794</v>
      </c>
      <c r="P42" s="84">
        <v>0.90674707708863456</v>
      </c>
      <c r="Q42" s="84">
        <v>1.4356959499602058</v>
      </c>
      <c r="R42" s="84">
        <v>8.3973114450670945</v>
      </c>
      <c r="S42" s="84">
        <v>0.90674707708863456</v>
      </c>
      <c r="T42" s="84">
        <v>8.5625130357369965</v>
      </c>
      <c r="U42" s="84">
        <v>0.98837561232611049</v>
      </c>
      <c r="V42" s="84">
        <v>0.74648297817484766</v>
      </c>
      <c r="W42" s="84">
        <v>1</v>
      </c>
    </row>
    <row r="43" spans="1:28">
      <c r="A43">
        <v>2017</v>
      </c>
      <c r="B43" s="84">
        <v>1.3001365143340053</v>
      </c>
      <c r="C43" s="84">
        <v>0.88206678367895308</v>
      </c>
      <c r="D43" s="84">
        <v>0.88206678367895308</v>
      </c>
      <c r="E43" s="94">
        <v>1.2953043402890638</v>
      </c>
      <c r="F43" s="13">
        <v>6.7517999999999994</v>
      </c>
      <c r="G43" s="13">
        <v>6.5953030000000004</v>
      </c>
      <c r="H43" s="13">
        <v>0.88206678367895308</v>
      </c>
      <c r="I43" s="13">
        <v>0.88206678367895308</v>
      </c>
      <c r="J43" s="13">
        <v>0.88206678367895308</v>
      </c>
      <c r="K43" s="13">
        <v>65.065899999999999</v>
      </c>
      <c r="L43" s="13">
        <v>0.88206678367895308</v>
      </c>
      <c r="M43" s="13">
        <v>0.88206678367895308</v>
      </c>
      <c r="N43" s="84">
        <v>111.98725866215955</v>
      </c>
      <c r="O43" s="84">
        <v>1123.8401698845046</v>
      </c>
      <c r="P43" s="84">
        <v>0.88206678367895308</v>
      </c>
      <c r="Q43" s="84">
        <v>1.4052633859888624</v>
      </c>
      <c r="R43" s="84">
        <v>8.2629786700911456</v>
      </c>
      <c r="S43" s="84">
        <v>0.88206678367895308</v>
      </c>
      <c r="T43" s="84">
        <v>8.5399527119416589</v>
      </c>
      <c r="U43" s="84">
        <v>0.98284903248174427</v>
      </c>
      <c r="V43" s="84">
        <v>0.77105679429673468</v>
      </c>
      <c r="W43" s="84">
        <v>1</v>
      </c>
    </row>
    <row r="44" spans="1:28">
      <c r="A44" s="3"/>
      <c r="B44" s="156"/>
      <c r="C44" s="156"/>
      <c r="D44" s="156"/>
      <c r="E44" s="156"/>
      <c r="F44" s="156"/>
      <c r="G44" s="156"/>
      <c r="H44" s="156"/>
      <c r="I44" s="156"/>
      <c r="J44" s="156"/>
      <c r="K44" s="156"/>
      <c r="L44" s="156"/>
      <c r="M44" s="94"/>
      <c r="N44" s="94"/>
      <c r="O44" s="156"/>
      <c r="P44" s="94"/>
      <c r="Q44" s="156"/>
      <c r="R44" s="94"/>
      <c r="S44" s="94"/>
      <c r="T44" s="156"/>
      <c r="U44" s="156"/>
      <c r="V44" s="156"/>
      <c r="W44" s="156"/>
      <c r="X44" s="156"/>
      <c r="Y44" s="156"/>
    </row>
    <row r="45" spans="1:28">
      <c r="A45" s="3"/>
      <c r="B45" s="94"/>
      <c r="C45" s="94"/>
      <c r="D45" s="94"/>
      <c r="E45" s="94"/>
      <c r="F45" s="94"/>
      <c r="G45" s="94"/>
      <c r="H45" s="94"/>
      <c r="I45" s="94"/>
      <c r="J45" s="94"/>
      <c r="K45" s="94"/>
      <c r="L45" s="94"/>
      <c r="M45" s="94"/>
      <c r="N45" s="94"/>
      <c r="O45" s="94"/>
      <c r="P45" s="94"/>
      <c r="Q45" s="94"/>
      <c r="R45" s="94"/>
      <c r="S45" s="94"/>
      <c r="T45" s="94"/>
      <c r="U45" s="94"/>
      <c r="V45" s="94"/>
      <c r="W45" s="94"/>
      <c r="X45" s="94"/>
      <c r="Y45" s="94"/>
      <c r="Z45" s="84"/>
      <c r="AA45" s="84"/>
      <c r="AB45" s="84"/>
    </row>
    <row r="46" spans="1:28">
      <c r="B46" s="13"/>
      <c r="C46" s="13"/>
      <c r="D46" s="13"/>
      <c r="E46" s="72"/>
      <c r="F46" s="13"/>
      <c r="G46" s="13"/>
      <c r="H46" s="13"/>
      <c r="I46" s="13"/>
      <c r="J46" s="13"/>
      <c r="K46" s="13"/>
      <c r="L46" s="13"/>
      <c r="M46" s="13"/>
      <c r="N46" s="13"/>
      <c r="O46" s="13"/>
      <c r="P46" s="13"/>
      <c r="Q46" s="13"/>
      <c r="R46" s="13"/>
      <c r="S46" s="13"/>
      <c r="T46" s="13"/>
      <c r="U46" s="13"/>
      <c r="V46" s="13"/>
      <c r="W46" s="13"/>
    </row>
    <row r="47" spans="1:28">
      <c r="B47" s="13" t="s">
        <v>650</v>
      </c>
      <c r="C47" s="13"/>
      <c r="D47" s="13"/>
      <c r="E47" s="13"/>
      <c r="F47" s="13"/>
      <c r="G47" s="13"/>
      <c r="H47" s="13"/>
      <c r="I47" s="13"/>
      <c r="J47" s="13"/>
      <c r="K47" s="13"/>
      <c r="L47" s="13"/>
      <c r="M47" s="13"/>
      <c r="N47" s="13"/>
      <c r="O47" s="13"/>
      <c r="P47" s="13"/>
      <c r="Q47" s="13"/>
      <c r="R47" s="13"/>
      <c r="S47" s="13"/>
      <c r="T47" s="13"/>
      <c r="U47" s="13"/>
      <c r="V47" s="13"/>
      <c r="W47" s="13"/>
    </row>
    <row r="48" spans="1:28">
      <c r="B48" s="149" t="s">
        <v>255</v>
      </c>
      <c r="C48" s="149" t="s">
        <v>539</v>
      </c>
      <c r="D48" s="149" t="s">
        <v>540</v>
      </c>
      <c r="E48" s="149" t="s">
        <v>238</v>
      </c>
      <c r="F48" s="149" t="s">
        <v>239</v>
      </c>
      <c r="G48" s="149" t="s">
        <v>541</v>
      </c>
      <c r="H48" s="149" t="s">
        <v>542</v>
      </c>
      <c r="I48" s="149" t="s">
        <v>240</v>
      </c>
      <c r="J48" s="149" t="s">
        <v>241</v>
      </c>
      <c r="K48" s="149" t="s">
        <v>242</v>
      </c>
      <c r="L48" s="149" t="s">
        <v>544</v>
      </c>
      <c r="M48" s="7" t="s">
        <v>538</v>
      </c>
      <c r="N48" s="149" t="s">
        <v>243</v>
      </c>
      <c r="O48" s="149" t="s">
        <v>244</v>
      </c>
      <c r="P48" s="149" t="s">
        <v>245</v>
      </c>
      <c r="Q48" s="150" t="s">
        <v>331</v>
      </c>
      <c r="R48" s="149" t="s">
        <v>246</v>
      </c>
      <c r="S48" s="149" t="s">
        <v>545</v>
      </c>
      <c r="T48" s="149" t="s">
        <v>247</v>
      </c>
      <c r="U48" s="149" t="s">
        <v>546</v>
      </c>
      <c r="V48" s="149" t="s">
        <v>248</v>
      </c>
      <c r="W48" s="149" t="s">
        <v>249</v>
      </c>
      <c r="X48" s="149" t="s">
        <v>609</v>
      </c>
      <c r="AA48" t="s">
        <v>21</v>
      </c>
    </row>
    <row r="49" spans="1:27">
      <c r="A49">
        <v>2000</v>
      </c>
      <c r="B49" s="13">
        <f t="shared" ref="B49:E66" si="0">B3/B26/100</f>
        <v>0.50568559546079894</v>
      </c>
      <c r="C49" s="13">
        <f t="shared" si="0"/>
        <v>0.85406301824212283</v>
      </c>
      <c r="D49" s="13">
        <f t="shared" si="0"/>
        <v>0.96277869909710712</v>
      </c>
      <c r="E49" s="13">
        <f t="shared" si="0"/>
        <v>0.4901993791705665</v>
      </c>
      <c r="F49" s="13">
        <f t="shared" ref="F49:U49" si="1">F3/F26</f>
        <v>0.4</v>
      </c>
      <c r="G49" s="13">
        <f t="shared" si="1"/>
        <v>1.0268286829128286</v>
      </c>
      <c r="H49" s="13">
        <f t="shared" si="1"/>
        <v>1.0456974387322646</v>
      </c>
      <c r="I49" s="13">
        <f t="shared" si="1"/>
        <v>1.0042380689146859</v>
      </c>
      <c r="J49" s="13">
        <f t="shared" si="1"/>
        <v>0.91118481665745354</v>
      </c>
      <c r="K49" s="13">
        <f t="shared" si="1"/>
        <v>0.59277367261144132</v>
      </c>
      <c r="L49" s="13">
        <f t="shared" si="1"/>
        <v>0.82365948037589831</v>
      </c>
      <c r="M49" s="13">
        <f t="shared" si="1"/>
        <v>0.99594619495117009</v>
      </c>
      <c r="N49" s="13">
        <f t="shared" si="1"/>
        <v>0.9641349232125459</v>
      </c>
      <c r="O49" s="13">
        <f t="shared" si="1"/>
        <v>1.1034873028223811</v>
      </c>
      <c r="P49" s="13">
        <f t="shared" si="1"/>
        <v>1.0687304219642528</v>
      </c>
      <c r="Q49" s="13">
        <f t="shared" si="1"/>
        <v>0.48610953365286325</v>
      </c>
      <c r="R49" s="13">
        <f t="shared" si="1"/>
        <v>1.2004308190105706</v>
      </c>
      <c r="S49" s="13">
        <f t="shared" si="1"/>
        <v>0.75456053067993367</v>
      </c>
      <c r="T49" s="13">
        <f t="shared" si="1"/>
        <v>1.0381740709695446</v>
      </c>
      <c r="U49" s="13">
        <f t="shared" si="1"/>
        <v>0.82723982568875087</v>
      </c>
      <c r="V49" s="13">
        <f t="shared" ref="V49:W66" si="2">V3/V26/100</f>
        <v>1.208900777842165</v>
      </c>
      <c r="W49" s="13">
        <f t="shared" si="2"/>
        <v>0.3927151947939817</v>
      </c>
      <c r="X49" s="13">
        <f>S49</f>
        <v>0.75456053067993367</v>
      </c>
      <c r="AA49" s="12">
        <v>70.521503992134569</v>
      </c>
    </row>
    <row r="50" spans="1:27">
      <c r="A50">
        <v>2001</v>
      </c>
      <c r="B50" s="13">
        <f t="shared" si="0"/>
        <v>0.4503004356219541</v>
      </c>
      <c r="C50" s="13">
        <f t="shared" si="0"/>
        <v>0.79909799464881748</v>
      </c>
      <c r="D50" s="13">
        <f t="shared" si="0"/>
        <v>0.90200535118253966</v>
      </c>
      <c r="E50" s="13">
        <f t="shared" si="0"/>
        <v>0.45455694956129006</v>
      </c>
      <c r="F50" s="13">
        <f t="shared" ref="F50:U50" si="3">F4/F27</f>
        <v>0.4</v>
      </c>
      <c r="G50" s="13">
        <f t="shared" si="3"/>
        <v>0.97923540338491044</v>
      </c>
      <c r="H50" s="13">
        <f t="shared" si="3"/>
        <v>0.99238485561650458</v>
      </c>
      <c r="I50" s="13">
        <f t="shared" si="3"/>
        <v>0.92706105538205474</v>
      </c>
      <c r="J50" s="13">
        <f t="shared" si="3"/>
        <v>0.89753111828976917</v>
      </c>
      <c r="K50" s="13">
        <f t="shared" si="3"/>
        <v>0.60779330792037256</v>
      </c>
      <c r="L50" s="13">
        <f t="shared" si="3"/>
        <v>0.79551860833460109</v>
      </c>
      <c r="M50" s="13">
        <f t="shared" si="3"/>
        <v>0.94227344721747452</v>
      </c>
      <c r="N50" s="13">
        <f t="shared" si="3"/>
        <v>0.86316846184861229</v>
      </c>
      <c r="O50" s="13">
        <f t="shared" si="3"/>
        <v>0.99148715326997106</v>
      </c>
      <c r="P50" s="13">
        <f t="shared" si="3"/>
        <v>1.0272838721801147</v>
      </c>
      <c r="Q50" s="13">
        <f t="shared" si="3"/>
        <v>0.44014713610089329</v>
      </c>
      <c r="R50" s="13">
        <f t="shared" si="3"/>
        <v>1.0659890009063966</v>
      </c>
      <c r="S50" s="13">
        <f t="shared" si="3"/>
        <v>0.72214118889316437</v>
      </c>
      <c r="T50" s="13">
        <f t="shared" si="3"/>
        <v>0.91489093919121689</v>
      </c>
      <c r="U50" s="13">
        <f t="shared" si="3"/>
        <v>0.79909305993690871</v>
      </c>
      <c r="V50" s="13">
        <f t="shared" si="2"/>
        <v>1.0911891514492806</v>
      </c>
      <c r="W50" s="13">
        <f t="shared" si="2"/>
        <v>0.37625958925895675</v>
      </c>
      <c r="X50" s="13">
        <f t="shared" ref="X50:X66" si="4">S50</f>
        <v>0.72214118889316437</v>
      </c>
      <c r="AA50" s="12">
        <v>72.528213455325371</v>
      </c>
    </row>
    <row r="51" spans="1:27">
      <c r="A51">
        <v>2002</v>
      </c>
      <c r="B51" s="13">
        <f t="shared" si="0"/>
        <v>0.46637916397840334</v>
      </c>
      <c r="C51" s="13">
        <f t="shared" si="0"/>
        <v>0.80749141216883902</v>
      </c>
      <c r="D51" s="13">
        <f t="shared" si="0"/>
        <v>0.9213684061926497</v>
      </c>
      <c r="E51" s="13">
        <f t="shared" si="0"/>
        <v>0.4479651993275221</v>
      </c>
      <c r="F51" s="13">
        <f t="shared" ref="F51:U51" si="5">F5/F28</f>
        <v>0.42</v>
      </c>
      <c r="G51" s="13">
        <f t="shared" si="5"/>
        <v>1.0285368303585565</v>
      </c>
      <c r="H51" s="13">
        <f t="shared" si="5"/>
        <v>1.0117170956660861</v>
      </c>
      <c r="I51" s="13">
        <f t="shared" si="5"/>
        <v>0.95430803256317343</v>
      </c>
      <c r="J51" s="13">
        <f t="shared" si="5"/>
        <v>0.96748388311138289</v>
      </c>
      <c r="K51" s="13">
        <f t="shared" si="5"/>
        <v>0.58348774413530291</v>
      </c>
      <c r="L51" s="13">
        <f t="shared" si="5"/>
        <v>0.80466801562279411</v>
      </c>
      <c r="M51" s="13">
        <f t="shared" si="5"/>
        <v>0.98630652675168218</v>
      </c>
      <c r="N51" s="13">
        <f t="shared" si="5"/>
        <v>0.83102051232972851</v>
      </c>
      <c r="O51" s="13">
        <f t="shared" si="5"/>
        <v>1.035896698079275</v>
      </c>
      <c r="P51" s="13">
        <f t="shared" si="5"/>
        <v>1.0766552162251186</v>
      </c>
      <c r="Q51" s="13">
        <f t="shared" si="5"/>
        <v>0.47590637270545144</v>
      </c>
      <c r="R51" s="13">
        <f t="shared" si="5"/>
        <v>1.1222754134006698</v>
      </c>
      <c r="S51" s="13">
        <f t="shared" si="5"/>
        <v>0.76608159616018057</v>
      </c>
      <c r="T51" s="13">
        <f t="shared" si="5"/>
        <v>0.95582677424125406</v>
      </c>
      <c r="U51" s="13">
        <f t="shared" si="5"/>
        <v>0.843308061607977</v>
      </c>
      <c r="V51" s="13">
        <f t="shared" si="2"/>
        <v>1.0985832322926516</v>
      </c>
      <c r="W51" s="13">
        <f t="shared" si="2"/>
        <v>0.35482252315210699</v>
      </c>
      <c r="X51" s="13">
        <f t="shared" si="4"/>
        <v>0.76608159616018057</v>
      </c>
      <c r="AA51" s="12">
        <v>73.666713926278533</v>
      </c>
    </row>
    <row r="52" spans="1:27">
      <c r="A52">
        <v>2003</v>
      </c>
      <c r="B52" s="13">
        <f t="shared" si="0"/>
        <v>0.58187415317648883</v>
      </c>
      <c r="C52" s="13">
        <f t="shared" si="0"/>
        <v>0.97287463009320196</v>
      </c>
      <c r="D52" s="13">
        <f t="shared" si="0"/>
        <v>1.1489401083931317</v>
      </c>
      <c r="E52" s="13">
        <f t="shared" si="0"/>
        <v>0.52603342013320831</v>
      </c>
      <c r="F52" s="13">
        <f t="shared" ref="F52:U52" si="6">F6/F29</f>
        <v>0.42</v>
      </c>
      <c r="G52" s="13">
        <f t="shared" si="6"/>
        <v>1.2401956989345246</v>
      </c>
      <c r="H52" s="13">
        <f t="shared" si="6"/>
        <v>1.2369728475430966</v>
      </c>
      <c r="I52" s="13">
        <f t="shared" si="6"/>
        <v>1.1478114835322346</v>
      </c>
      <c r="J52" s="13">
        <f t="shared" si="6"/>
        <v>1.2098858508815689</v>
      </c>
      <c r="K52" s="13">
        <f t="shared" si="6"/>
        <v>0.67379182156133832</v>
      </c>
      <c r="L52" s="13">
        <f t="shared" si="6"/>
        <v>0.98303225384127468</v>
      </c>
      <c r="M52" s="13">
        <f t="shared" si="6"/>
        <v>1.1963423525508052</v>
      </c>
      <c r="N52" s="13">
        <f t="shared" si="6"/>
        <v>0.91690890428092076</v>
      </c>
      <c r="O52" s="13">
        <f t="shared" si="6"/>
        <v>1.0859257643020788</v>
      </c>
      <c r="P52" s="13">
        <f t="shared" si="6"/>
        <v>1.3080762137796067</v>
      </c>
      <c r="Q52" s="13">
        <f t="shared" si="6"/>
        <v>0.61030137622669989</v>
      </c>
      <c r="R52" s="13">
        <f t="shared" si="6"/>
        <v>1.3236876820211803</v>
      </c>
      <c r="S52" s="13">
        <f t="shared" si="6"/>
        <v>0.92208651135283748</v>
      </c>
      <c r="T52" s="13">
        <f t="shared" si="6"/>
        <v>1.1629546269616513</v>
      </c>
      <c r="U52" s="13">
        <f t="shared" si="6"/>
        <v>0.98245263709657282</v>
      </c>
      <c r="V52" s="13">
        <f t="shared" si="2"/>
        <v>1.2408730521558535</v>
      </c>
      <c r="W52" s="13">
        <f t="shared" si="2"/>
        <v>0.41137566872943238</v>
      </c>
      <c r="X52" s="13">
        <f t="shared" si="4"/>
        <v>0.92208651135283748</v>
      </c>
      <c r="AA52" s="12">
        <v>75.337606703792531</v>
      </c>
    </row>
    <row r="53" spans="1:27">
      <c r="A53">
        <v>2004</v>
      </c>
      <c r="B53" s="13">
        <f t="shared" si="0"/>
        <v>0.71498305757849323</v>
      </c>
      <c r="C53" s="13">
        <f t="shared" si="0"/>
        <v>1.1559975911543212</v>
      </c>
      <c r="D53" s="13">
        <f t="shared" si="0"/>
        <v>1.4167489275049201</v>
      </c>
      <c r="E53" s="13">
        <f t="shared" si="0"/>
        <v>0.62489471395181695</v>
      </c>
      <c r="F53" s="13">
        <f t="shared" ref="F53:U53" si="7">F7/F30</f>
        <v>0.48</v>
      </c>
      <c r="G53" s="13">
        <f t="shared" si="7"/>
        <v>1.3920741905439105</v>
      </c>
      <c r="H53" s="13">
        <f t="shared" si="7"/>
        <v>1.4167489275049201</v>
      </c>
      <c r="I53" s="13">
        <f t="shared" si="7"/>
        <v>1.3174150850856443</v>
      </c>
      <c r="J53" s="13">
        <f t="shared" si="7"/>
        <v>1.3844654287186555</v>
      </c>
      <c r="K53" s="13">
        <f t="shared" si="7"/>
        <v>0.77995772666681396</v>
      </c>
      <c r="L53" s="13">
        <f t="shared" si="7"/>
        <v>1.1833143978196221</v>
      </c>
      <c r="M53" s="13">
        <f t="shared" si="7"/>
        <v>1.3981238320513059</v>
      </c>
      <c r="N53" s="13">
        <f t="shared" si="7"/>
        <v>1.0379599419555794</v>
      </c>
      <c r="O53" s="13">
        <f t="shared" si="7"/>
        <v>1.1918066566549088</v>
      </c>
      <c r="P53" s="13">
        <f t="shared" si="7"/>
        <v>1.5545746338616653</v>
      </c>
      <c r="Q53" s="13">
        <f t="shared" si="7"/>
        <v>0.77153538192327065</v>
      </c>
      <c r="R53" s="13">
        <f t="shared" si="7"/>
        <v>1.4811232444669278</v>
      </c>
      <c r="S53" s="13">
        <f t="shared" si="7"/>
        <v>1.0790138632793826</v>
      </c>
      <c r="T53" s="13">
        <f t="shared" si="7"/>
        <v>1.3558510196778017</v>
      </c>
      <c r="U53" s="13">
        <f t="shared" si="7"/>
        <v>1.1330742653942254</v>
      </c>
      <c r="V53" s="13">
        <f t="shared" si="2"/>
        <v>1.4683803874180674</v>
      </c>
      <c r="W53" s="13">
        <f t="shared" si="2"/>
        <v>0.48872375655962974</v>
      </c>
      <c r="X53" s="13">
        <f t="shared" si="4"/>
        <v>1.0790138632793826</v>
      </c>
      <c r="AA53" s="12">
        <v>77.360697468723686</v>
      </c>
    </row>
    <row r="54" spans="1:27">
      <c r="A54">
        <v>2005</v>
      </c>
      <c r="B54" s="13">
        <f t="shared" si="0"/>
        <v>0.8429343094679308</v>
      </c>
      <c r="C54" s="13">
        <f t="shared" si="0"/>
        <v>1.263493010993384</v>
      </c>
      <c r="D54" s="13">
        <f t="shared" si="0"/>
        <v>1.5918022185743421</v>
      </c>
      <c r="E54" s="13">
        <f t="shared" si="0"/>
        <v>0.7625251355462721</v>
      </c>
      <c r="F54" s="13">
        <f t="shared" ref="F54:U54" si="8">F8/F31</f>
        <v>0.5</v>
      </c>
      <c r="G54" s="13">
        <f t="shared" si="8"/>
        <v>1.4957703217156837</v>
      </c>
      <c r="H54" s="13">
        <f t="shared" si="8"/>
        <v>1.5134128117744632</v>
      </c>
      <c r="I54" s="13">
        <f t="shared" si="8"/>
        <v>1.4438143560662589</v>
      </c>
      <c r="J54" s="13">
        <f t="shared" si="8"/>
        <v>1.5192790293255045</v>
      </c>
      <c r="K54" s="13">
        <f t="shared" si="8"/>
        <v>0.91313978875853596</v>
      </c>
      <c r="L54" s="13">
        <f t="shared" si="8"/>
        <v>1.304201728445445</v>
      </c>
      <c r="M54" s="13">
        <f t="shared" si="8"/>
        <v>1.51718648957867</v>
      </c>
      <c r="N54" s="13">
        <f t="shared" si="8"/>
        <v>1.1295795605073582</v>
      </c>
      <c r="O54" s="13">
        <f t="shared" si="8"/>
        <v>1.3943678475178691</v>
      </c>
      <c r="P54" s="13">
        <f t="shared" si="8"/>
        <v>1.6813410933691491</v>
      </c>
      <c r="Q54" s="13">
        <f t="shared" si="8"/>
        <v>0.92940074774514714</v>
      </c>
      <c r="R54" s="13">
        <f t="shared" si="8"/>
        <v>1.6779200620876991</v>
      </c>
      <c r="S54" s="13">
        <f t="shared" si="8"/>
        <v>1.1876336865144506</v>
      </c>
      <c r="T54" s="13">
        <f t="shared" si="8"/>
        <v>1.4713326204247281</v>
      </c>
      <c r="U54" s="13">
        <f t="shared" si="8"/>
        <v>1.2258660137277724</v>
      </c>
      <c r="V54" s="13">
        <f t="shared" si="2"/>
        <v>1.5763693686158859</v>
      </c>
      <c r="W54" s="13">
        <f t="shared" si="2"/>
        <v>0.59949548391009599</v>
      </c>
      <c r="X54" s="13">
        <f t="shared" si="4"/>
        <v>1.1876336865144506</v>
      </c>
      <c r="AA54" s="12">
        <v>79.981705747177017</v>
      </c>
    </row>
    <row r="55" spans="1:27">
      <c r="A55">
        <v>2006</v>
      </c>
      <c r="B55" s="13">
        <f t="shared" si="0"/>
        <v>0.9355608795400453</v>
      </c>
      <c r="C55" s="13">
        <f t="shared" si="0"/>
        <v>1.3460604836534567</v>
      </c>
      <c r="D55" s="13">
        <f t="shared" si="0"/>
        <v>1.6973157822769123</v>
      </c>
      <c r="E55" s="13">
        <f t="shared" si="0"/>
        <v>0.86127607556661989</v>
      </c>
      <c r="F55" s="13">
        <f t="shared" ref="F55:U55" si="9">F9/F32</f>
        <v>0.69</v>
      </c>
      <c r="G55" s="13">
        <f t="shared" si="9"/>
        <v>1.6008663512018266</v>
      </c>
      <c r="H55" s="13">
        <f t="shared" si="9"/>
        <v>1.615027572132848</v>
      </c>
      <c r="I55" s="13">
        <f t="shared" si="9"/>
        <v>1.551795729990052</v>
      </c>
      <c r="J55" s="13">
        <f t="shared" si="9"/>
        <v>1.609933090217901</v>
      </c>
      <c r="K55" s="13">
        <f t="shared" si="9"/>
        <v>1.0095287415082661</v>
      </c>
      <c r="L55" s="13">
        <f t="shared" si="9"/>
        <v>1.4034594909066485</v>
      </c>
      <c r="M55" s="13">
        <f t="shared" si="9"/>
        <v>1.6120109240397871</v>
      </c>
      <c r="N55" s="13">
        <f t="shared" si="9"/>
        <v>1.1822973542334843</v>
      </c>
      <c r="O55" s="13">
        <f t="shared" si="9"/>
        <v>1.5595035981696517</v>
      </c>
      <c r="P55" s="13">
        <f t="shared" si="9"/>
        <v>1.7750937412578203</v>
      </c>
      <c r="Q55" s="13">
        <f t="shared" si="9"/>
        <v>1.0077428893817362</v>
      </c>
      <c r="R55" s="13">
        <f t="shared" si="9"/>
        <v>1.7865913651722272</v>
      </c>
      <c r="S55" s="13">
        <f t="shared" si="9"/>
        <v>1.2795728735568739</v>
      </c>
      <c r="T55" s="13">
        <f t="shared" si="9"/>
        <v>1.5480128907137314</v>
      </c>
      <c r="U55" s="13">
        <f t="shared" si="9"/>
        <v>1.3103553697586783</v>
      </c>
      <c r="V55" s="13">
        <f t="shared" si="2"/>
        <v>1.6798929873207638</v>
      </c>
      <c r="W55" s="13">
        <f t="shared" si="2"/>
        <v>0.68003288322453803</v>
      </c>
      <c r="X55" s="13">
        <f t="shared" si="4"/>
        <v>1.2795728735568739</v>
      </c>
      <c r="AA55" s="12">
        <v>82.561760771279481</v>
      </c>
    </row>
    <row r="56" spans="1:27">
      <c r="A56">
        <v>2007</v>
      </c>
      <c r="B56" s="13">
        <f t="shared" si="0"/>
        <v>1.0400205845252066</v>
      </c>
      <c r="C56" s="13">
        <f t="shared" si="0"/>
        <v>1.5110081873650154</v>
      </c>
      <c r="D56" s="13">
        <f t="shared" si="0"/>
        <v>1.8942349015517945</v>
      </c>
      <c r="E56" s="13">
        <f t="shared" si="0"/>
        <v>0.94870197429008063</v>
      </c>
      <c r="F56" s="13">
        <f t="shared" ref="F56:U56" si="10">F10/F33</f>
        <v>0.69000000000000006</v>
      </c>
      <c r="G56" s="13">
        <f t="shared" si="10"/>
        <v>1.778202325624116</v>
      </c>
      <c r="H56" s="13">
        <f t="shared" si="10"/>
        <v>1.7770460158639099</v>
      </c>
      <c r="I56" s="13">
        <f t="shared" si="10"/>
        <v>1.742312882713464</v>
      </c>
      <c r="J56" s="13">
        <f t="shared" si="10"/>
        <v>1.8277819368490413</v>
      </c>
      <c r="K56" s="13">
        <f t="shared" si="10"/>
        <v>1.0561821128418336</v>
      </c>
      <c r="L56" s="13">
        <f t="shared" si="10"/>
        <v>1.5336889520821926</v>
      </c>
      <c r="M56" s="13">
        <f t="shared" si="10"/>
        <v>1.7765295536229979</v>
      </c>
      <c r="N56" s="13">
        <f t="shared" si="10"/>
        <v>1.1872208162780034</v>
      </c>
      <c r="O56" s="13">
        <f t="shared" si="10"/>
        <v>1.6410960584639127</v>
      </c>
      <c r="P56" s="13">
        <f t="shared" si="10"/>
        <v>1.9968849142803962</v>
      </c>
      <c r="Q56" s="13">
        <f t="shared" si="10"/>
        <v>1.1420760208131229</v>
      </c>
      <c r="R56" s="13">
        <f t="shared" si="10"/>
        <v>1.9931180022075619</v>
      </c>
      <c r="S56" s="13">
        <f t="shared" si="10"/>
        <v>1.4165701756547016</v>
      </c>
      <c r="T56" s="13">
        <f t="shared" si="10"/>
        <v>1.7028855496964315</v>
      </c>
      <c r="U56" s="13">
        <f t="shared" si="10"/>
        <v>1.4029144075033151</v>
      </c>
      <c r="V56" s="13">
        <f t="shared" si="2"/>
        <v>1.8888613207622678</v>
      </c>
      <c r="W56" s="13">
        <f t="shared" si="2"/>
        <v>0.74074945162345207</v>
      </c>
      <c r="X56" s="13">
        <f t="shared" si="4"/>
        <v>1.4165701756547016</v>
      </c>
      <c r="AA56" s="12">
        <v>84.913296636104334</v>
      </c>
    </row>
    <row r="57" spans="1:27">
      <c r="A57">
        <v>2008</v>
      </c>
      <c r="B57" s="13">
        <f t="shared" si="0"/>
        <v>1.1827089627250991</v>
      </c>
      <c r="C57" s="13">
        <f t="shared" si="0"/>
        <v>1.766579997802761</v>
      </c>
      <c r="D57" s="13">
        <f t="shared" si="0"/>
        <v>2.1327864650089721</v>
      </c>
      <c r="E57" s="13">
        <f t="shared" si="0"/>
        <v>1.0796221322537114</v>
      </c>
      <c r="F57" s="13">
        <f t="shared" ref="F57:U57" si="11">F11/F34</f>
        <v>0.86391844609868829</v>
      </c>
      <c r="G57" s="13">
        <f t="shared" si="11"/>
        <v>2.002695105852538</v>
      </c>
      <c r="H57" s="13">
        <f t="shared" si="11"/>
        <v>2.1175863555954484</v>
      </c>
      <c r="I57" s="13">
        <f t="shared" si="11"/>
        <v>1.9863038781264877</v>
      </c>
      <c r="J57" s="13">
        <f t="shared" si="11"/>
        <v>2.041018113767644</v>
      </c>
      <c r="K57" s="13">
        <f t="shared" si="11"/>
        <v>1.1022398213859035</v>
      </c>
      <c r="L57" s="13">
        <f t="shared" si="11"/>
        <v>1.8115710780595247</v>
      </c>
      <c r="M57" s="13">
        <f t="shared" si="11"/>
        <v>2.0199973388964234</v>
      </c>
      <c r="N57" s="13">
        <f t="shared" si="11"/>
        <v>1.5180100426668215</v>
      </c>
      <c r="O57" s="13">
        <f t="shared" si="11"/>
        <v>1.5380427385327344</v>
      </c>
      <c r="P57" s="13">
        <f t="shared" si="11"/>
        <v>2.2514373603837843</v>
      </c>
      <c r="Q57" s="13">
        <f t="shared" si="11"/>
        <v>1.2736077822215037</v>
      </c>
      <c r="R57" s="13">
        <f t="shared" si="11"/>
        <v>2.2212765957446812</v>
      </c>
      <c r="S57" s="13">
        <f t="shared" si="11"/>
        <v>1.6230290438703681</v>
      </c>
      <c r="T57" s="13">
        <f t="shared" si="11"/>
        <v>1.9199971420913471</v>
      </c>
      <c r="U57" s="13">
        <f t="shared" si="11"/>
        <v>1.6480599518354095</v>
      </c>
      <c r="V57" s="13">
        <f t="shared" si="2"/>
        <v>1.9688730545659103</v>
      </c>
      <c r="W57" s="13">
        <f t="shared" si="2"/>
        <v>0.85972274723168307</v>
      </c>
      <c r="X57" s="13">
        <f t="shared" si="4"/>
        <v>1.6230290438703681</v>
      </c>
      <c r="AA57" s="12">
        <v>88.173585214974153</v>
      </c>
    </row>
    <row r="58" spans="1:27">
      <c r="A58">
        <v>2009</v>
      </c>
      <c r="B58" s="13">
        <f t="shared" si="0"/>
        <v>0.93285793058914224</v>
      </c>
      <c r="C58" s="13">
        <f t="shared" si="0"/>
        <v>1.448924709398909</v>
      </c>
      <c r="D58" s="13">
        <f t="shared" si="0"/>
        <v>1.828173458838892</v>
      </c>
      <c r="E58" s="13">
        <f t="shared" si="0"/>
        <v>0.83019817855991163</v>
      </c>
      <c r="F58" s="13">
        <f t="shared" ref="F58:U58" si="12">F12/F35</f>
        <v>0.87834870443566093</v>
      </c>
      <c r="G58" s="13">
        <f t="shared" si="12"/>
        <v>1.7665043173962436</v>
      </c>
      <c r="H58" s="13">
        <f t="shared" si="12"/>
        <v>1.7743345839898217</v>
      </c>
      <c r="I58" s="13">
        <f t="shared" si="12"/>
        <v>1.6767517969745767</v>
      </c>
      <c r="J58" s="13">
        <f t="shared" si="12"/>
        <v>1.7531850064770964</v>
      </c>
      <c r="K58" s="13">
        <f t="shared" si="12"/>
        <v>0.89084478872695483</v>
      </c>
      <c r="L58" s="13">
        <f t="shared" si="12"/>
        <v>1.5360546785010172</v>
      </c>
      <c r="M58" s="13">
        <f t="shared" si="12"/>
        <v>1.7114815359342819</v>
      </c>
      <c r="N58" s="13">
        <f t="shared" si="12"/>
        <v>1.2845983920077033</v>
      </c>
      <c r="O58" s="13">
        <f t="shared" si="12"/>
        <v>1.2389089456743909</v>
      </c>
      <c r="P58" s="13">
        <f t="shared" si="12"/>
        <v>1.8656815769153738</v>
      </c>
      <c r="Q58" s="13">
        <f t="shared" si="12"/>
        <v>1.0018749999999998</v>
      </c>
      <c r="R58" s="13">
        <f t="shared" si="12"/>
        <v>1.8892138294268908</v>
      </c>
      <c r="S58" s="13">
        <f t="shared" si="12"/>
        <v>1.3919679375049923</v>
      </c>
      <c r="T58" s="13">
        <f t="shared" si="12"/>
        <v>1.5621394908388733</v>
      </c>
      <c r="U58" s="13">
        <f t="shared" si="12"/>
        <v>1.3849299646951605</v>
      </c>
      <c r="V58" s="13">
        <f t="shared" si="2"/>
        <v>1.5469241446350708</v>
      </c>
      <c r="W58" s="13">
        <f t="shared" si="2"/>
        <v>0.62022536155980335</v>
      </c>
      <c r="X58" s="13">
        <f t="shared" si="4"/>
        <v>1.3919679375049923</v>
      </c>
      <c r="AA58" s="12">
        <v>87.859883286646777</v>
      </c>
    </row>
    <row r="59" spans="1:27">
      <c r="A59">
        <v>2010</v>
      </c>
      <c r="B59" s="13">
        <f t="shared" si="0"/>
        <v>1.159075558892511</v>
      </c>
      <c r="C59" s="13">
        <f t="shared" si="0"/>
        <v>1.5645774548667495</v>
      </c>
      <c r="D59" s="13">
        <f t="shared" si="0"/>
        <v>1.9191447129620787</v>
      </c>
      <c r="E59" s="13">
        <f t="shared" si="0"/>
        <v>0.99680489577859521</v>
      </c>
      <c r="F59" s="13">
        <f t="shared" ref="F59:U59" si="13">F13/F36</f>
        <v>1.0045055026220546</v>
      </c>
      <c r="G59" s="13">
        <f t="shared" si="13"/>
        <v>1.9007553235373607</v>
      </c>
      <c r="H59" s="13">
        <f t="shared" si="13"/>
        <v>1.8796153460118408</v>
      </c>
      <c r="I59" s="13">
        <f t="shared" si="13"/>
        <v>1.7715181965803803</v>
      </c>
      <c r="J59" s="13">
        <f t="shared" si="13"/>
        <v>1.8335358593934286</v>
      </c>
      <c r="K59" s="13">
        <f t="shared" si="13"/>
        <v>1.0811809384449014</v>
      </c>
      <c r="L59" s="13">
        <f t="shared" si="13"/>
        <v>1.7141676621551285</v>
      </c>
      <c r="M59" s="13">
        <f t="shared" si="13"/>
        <v>1.7965619806094184</v>
      </c>
      <c r="N59" s="13">
        <f t="shared" si="13"/>
        <v>1.5259641475287071</v>
      </c>
      <c r="O59" s="13">
        <f t="shared" si="13"/>
        <v>1.4761216893958953</v>
      </c>
      <c r="P59" s="13">
        <f t="shared" si="13"/>
        <v>1.9810951260865413</v>
      </c>
      <c r="Q59" s="13">
        <f t="shared" si="13"/>
        <v>1.2721869888475834</v>
      </c>
      <c r="R59" s="13">
        <f t="shared" si="13"/>
        <v>2.0986165828010983</v>
      </c>
      <c r="S59" s="13">
        <f t="shared" si="13"/>
        <v>1.535579389148916</v>
      </c>
      <c r="T59" s="13">
        <f t="shared" si="13"/>
        <v>1.7667940404566633</v>
      </c>
      <c r="U59" s="13">
        <f t="shared" si="13"/>
        <v>1.5769327649697202</v>
      </c>
      <c r="V59" s="13">
        <f t="shared" si="2"/>
        <v>1.8033484300107603</v>
      </c>
      <c r="W59" s="13">
        <f t="shared" si="2"/>
        <v>0.73433333333333339</v>
      </c>
      <c r="X59" s="13">
        <f t="shared" si="4"/>
        <v>1.535579389148916</v>
      </c>
      <c r="AA59" s="12">
        <v>89.301028307252594</v>
      </c>
    </row>
    <row r="60" spans="1:27">
      <c r="A60">
        <v>2011</v>
      </c>
      <c r="B60" s="13">
        <f t="shared" si="0"/>
        <v>1.4678007561870368</v>
      </c>
      <c r="C60" s="13">
        <f t="shared" si="0"/>
        <v>1.8973024661339155</v>
      </c>
      <c r="D60" s="13">
        <f t="shared" si="0"/>
        <v>2.2440275437469093</v>
      </c>
      <c r="E60" s="13">
        <f t="shared" si="0"/>
        <v>1.2419462929035818</v>
      </c>
      <c r="F60" s="13">
        <f t="shared" ref="F60:U60" si="14">F14/F37</f>
        <v>1.176689168266551</v>
      </c>
      <c r="G60" s="13">
        <f t="shared" si="14"/>
        <v>2.2507170895942239</v>
      </c>
      <c r="H60" s="13">
        <f t="shared" si="14"/>
        <v>2.180192594350495</v>
      </c>
      <c r="I60" s="13">
        <f t="shared" si="14"/>
        <v>2.0939814728505985</v>
      </c>
      <c r="J60" s="13">
        <f t="shared" si="14"/>
        <v>2.1342620317252199</v>
      </c>
      <c r="K60" s="13">
        <f t="shared" si="14"/>
        <v>1.3295561729163714</v>
      </c>
      <c r="L60" s="13">
        <f t="shared" si="14"/>
        <v>2.0707305107808396</v>
      </c>
      <c r="M60" s="13">
        <f t="shared" si="14"/>
        <v>2.1682513383798865</v>
      </c>
      <c r="N60" s="13">
        <f t="shared" si="14"/>
        <v>1.8288652940407206</v>
      </c>
      <c r="O60" s="13">
        <f t="shared" si="14"/>
        <v>1.6595956986659111</v>
      </c>
      <c r="P60" s="13">
        <f t="shared" si="14"/>
        <v>2.29082820825943</v>
      </c>
      <c r="Q60" s="13">
        <f t="shared" si="14"/>
        <v>1.65749377847544</v>
      </c>
      <c r="R60" s="13">
        <f t="shared" si="14"/>
        <v>2.4438599364304134</v>
      </c>
      <c r="S60" s="13">
        <f t="shared" si="14"/>
        <v>1.8414935963503096</v>
      </c>
      <c r="T60" s="13">
        <f t="shared" si="14"/>
        <v>2.1568668960267536</v>
      </c>
      <c r="U60" s="13">
        <f t="shared" si="14"/>
        <v>1.9514606292416576</v>
      </c>
      <c r="V60" s="13">
        <f t="shared" si="2"/>
        <v>2.1491225656472666</v>
      </c>
      <c r="W60" s="13">
        <f t="shared" si="2"/>
        <v>0.93041666666666656</v>
      </c>
      <c r="X60" s="13">
        <f t="shared" si="4"/>
        <v>1.8414935963503096</v>
      </c>
      <c r="AA60" s="12">
        <v>92.119840804220416</v>
      </c>
    </row>
    <row r="61" spans="1:27">
      <c r="A61">
        <v>2012</v>
      </c>
      <c r="B61" s="13">
        <f t="shared" si="0"/>
        <v>1.4901349330178173</v>
      </c>
      <c r="C61" s="13">
        <f t="shared" si="0"/>
        <v>1.8733383469330662</v>
      </c>
      <c r="D61" s="13">
        <f t="shared" si="0"/>
        <v>2.2108565812970911</v>
      </c>
      <c r="E61" s="13">
        <f t="shared" si="0"/>
        <v>1.2655454399460409</v>
      </c>
      <c r="F61" s="13">
        <f t="shared" ref="F61:U61" si="15">F15/F38</f>
        <v>1.2514851485148515</v>
      </c>
      <c r="G61" s="13">
        <f t="shared" si="15"/>
        <v>2.1970525529076443</v>
      </c>
      <c r="H61" s="13">
        <f t="shared" si="15"/>
        <v>2.1588524206424977</v>
      </c>
      <c r="I61" s="13">
        <f t="shared" si="15"/>
        <v>2.0240561290146588</v>
      </c>
      <c r="J61" s="13">
        <f t="shared" si="15"/>
        <v>2.1336949045883</v>
      </c>
      <c r="K61" s="13">
        <f t="shared" si="15"/>
        <v>1.2595949736108953</v>
      </c>
      <c r="L61" s="13">
        <f t="shared" si="15"/>
        <v>2.0880261017813604</v>
      </c>
      <c r="M61" s="13">
        <f t="shared" si="15"/>
        <v>2.3106513957620596</v>
      </c>
      <c r="N61" s="13">
        <f t="shared" si="15"/>
        <v>1.8392111524611048</v>
      </c>
      <c r="O61" s="13">
        <f t="shared" si="15"/>
        <v>1.7468011720852465</v>
      </c>
      <c r="P61" s="13">
        <f t="shared" si="15"/>
        <v>2.2747246696384562</v>
      </c>
      <c r="Q61" s="13">
        <f t="shared" si="15"/>
        <v>1.7468667759398695</v>
      </c>
      <c r="R61" s="13">
        <f t="shared" si="15"/>
        <v>2.5299999999999998</v>
      </c>
      <c r="S61" s="13">
        <f t="shared" si="15"/>
        <v>1.8421570034236687</v>
      </c>
      <c r="T61" s="13">
        <f t="shared" si="15"/>
        <v>2.2101070358714496</v>
      </c>
      <c r="U61" s="13">
        <f t="shared" si="15"/>
        <v>1.8884562106911473</v>
      </c>
      <c r="V61" s="13">
        <f t="shared" si="2"/>
        <v>2.1671818263247609</v>
      </c>
      <c r="W61" s="13">
        <f t="shared" si="2"/>
        <v>0.95783333333333331</v>
      </c>
      <c r="X61" s="13">
        <f t="shared" si="4"/>
        <v>1.8421570034236687</v>
      </c>
      <c r="AA61" s="12">
        <v>94.0262147942517</v>
      </c>
    </row>
    <row r="62" spans="1:27">
      <c r="A62">
        <v>2013</v>
      </c>
      <c r="B62" s="13">
        <f t="shared" si="0"/>
        <v>1.4026224952137114</v>
      </c>
      <c r="C62" s="13">
        <f t="shared" si="0"/>
        <v>1.8531827552952913</v>
      </c>
      <c r="D62" s="13">
        <f t="shared" si="0"/>
        <v>2.1877525518283529</v>
      </c>
      <c r="E62" s="13">
        <f t="shared" si="0"/>
        <v>1.2262004508664699</v>
      </c>
      <c r="F62" s="13">
        <f t="shared" ref="F62:U62" si="16">F16/F39</f>
        <v>1.2271523606536199</v>
      </c>
      <c r="G62" s="13">
        <f t="shared" si="16"/>
        <v>2.22992680548708</v>
      </c>
      <c r="H62" s="13">
        <f t="shared" si="16"/>
        <v>2.185178751716863</v>
      </c>
      <c r="I62" s="13">
        <f t="shared" si="16"/>
        <v>2.0450361499235008</v>
      </c>
      <c r="J62" s="13">
        <f t="shared" si="16"/>
        <v>2.1300632894388296</v>
      </c>
      <c r="K62" s="13">
        <f t="shared" si="16"/>
        <v>1.1811948751514572</v>
      </c>
      <c r="L62" s="13">
        <f t="shared" si="16"/>
        <v>2.1127323273521617</v>
      </c>
      <c r="M62" s="13">
        <f t="shared" si="16"/>
        <v>2.3264915389408571</v>
      </c>
      <c r="N62" s="13">
        <f t="shared" si="16"/>
        <v>1.5947206664652547</v>
      </c>
      <c r="O62" s="13">
        <f t="shared" si="16"/>
        <v>1.6786289654494473</v>
      </c>
      <c r="P62" s="13">
        <f t="shared" si="16"/>
        <v>2.3117271111641111</v>
      </c>
      <c r="Q62" s="13">
        <f t="shared" si="16"/>
        <v>1.76367714450733</v>
      </c>
      <c r="R62" s="13">
        <f t="shared" si="16"/>
        <v>2.6098145130968793</v>
      </c>
      <c r="S62" s="13">
        <f t="shared" si="16"/>
        <v>1.9048590670281234</v>
      </c>
      <c r="T62" s="13">
        <f t="shared" si="16"/>
        <v>2.2212191054566319</v>
      </c>
      <c r="U62" s="13">
        <f t="shared" si="16"/>
        <v>1.8930399061032861</v>
      </c>
      <c r="V62" s="13">
        <f t="shared" si="2"/>
        <v>2.1050484716973306</v>
      </c>
      <c r="W62" s="13">
        <f t="shared" si="2"/>
        <v>0.92624999999999991</v>
      </c>
      <c r="X62" s="13">
        <f t="shared" si="4"/>
        <v>1.9048590670281234</v>
      </c>
      <c r="AA62" s="12">
        <v>95.403472738070221</v>
      </c>
    </row>
    <row r="63" spans="1:27">
      <c r="A63">
        <v>2014</v>
      </c>
      <c r="B63" s="13">
        <f t="shared" si="0"/>
        <v>1.3211953294006422</v>
      </c>
      <c r="C63" s="13">
        <f t="shared" si="0"/>
        <v>1.7820379589289059</v>
      </c>
      <c r="D63" s="13">
        <f t="shared" si="0"/>
        <v>2.1056370930034229</v>
      </c>
      <c r="E63" s="13">
        <f t="shared" si="0"/>
        <v>1.1507549398175678</v>
      </c>
      <c r="F63" s="13">
        <f t="shared" ref="F63:U63" si="17">F17/F40</f>
        <v>1.17</v>
      </c>
      <c r="G63" s="13">
        <f t="shared" si="17"/>
        <v>2.1737721258363942</v>
      </c>
      <c r="H63" s="13">
        <f t="shared" si="17"/>
        <v>2.1221974386827198</v>
      </c>
      <c r="I63" s="13">
        <f t="shared" si="17"/>
        <v>1.9698122430995977</v>
      </c>
      <c r="J63" s="13">
        <f t="shared" si="17"/>
        <v>2.03748091425734</v>
      </c>
      <c r="K63" s="13">
        <f t="shared" si="17"/>
        <v>1.1450062545802711</v>
      </c>
      <c r="L63" s="13">
        <f t="shared" si="17"/>
        <v>2.0199092412585231</v>
      </c>
      <c r="M63" s="13">
        <f t="shared" si="17"/>
        <v>2.2659466145208249</v>
      </c>
      <c r="N63" s="13">
        <f t="shared" si="17"/>
        <v>1.5356365637612035</v>
      </c>
      <c r="O63" s="13">
        <f t="shared" si="17"/>
        <v>1.6338023850805601</v>
      </c>
      <c r="P63" s="13">
        <f t="shared" si="17"/>
        <v>2.2470697034675662</v>
      </c>
      <c r="Q63" s="13">
        <f t="shared" si="17"/>
        <v>1.7907131748500331</v>
      </c>
      <c r="R63" s="13">
        <f t="shared" si="17"/>
        <v>2.4893674960529699</v>
      </c>
      <c r="S63" s="13">
        <f t="shared" si="17"/>
        <v>1.8387492590123542</v>
      </c>
      <c r="T63" s="13">
        <f t="shared" si="17"/>
        <v>2.076430036943854</v>
      </c>
      <c r="U63" s="13">
        <f t="shared" si="17"/>
        <v>1.8502981325100638</v>
      </c>
      <c r="V63" s="13">
        <f t="shared" si="2"/>
        <v>2.0945454693138226</v>
      </c>
      <c r="W63" s="13">
        <f t="shared" si="2"/>
        <v>0.88849999999999996</v>
      </c>
      <c r="X63" s="13">
        <f t="shared" si="4"/>
        <v>1.8387492590123542</v>
      </c>
      <c r="AA63" s="12">
        <v>96.951096219988202</v>
      </c>
    </row>
    <row r="64" spans="1:27">
      <c r="A64">
        <v>2015</v>
      </c>
      <c r="B64" s="13">
        <f t="shared" si="0"/>
        <v>0.95565384689998012</v>
      </c>
      <c r="C64" s="13">
        <f t="shared" si="0"/>
        <v>1.3269099393697663</v>
      </c>
      <c r="D64" s="13">
        <f t="shared" si="0"/>
        <v>1.567144193327614</v>
      </c>
      <c r="E64" s="13">
        <f t="shared" si="0"/>
        <v>0.82417351829374008</v>
      </c>
      <c r="F64" s="13">
        <f t="shared" ref="F64:U64" si="18">F18/F41</f>
        <v>0.8</v>
      </c>
      <c r="G64" s="13">
        <f t="shared" si="18"/>
        <v>1.6581823703808392</v>
      </c>
      <c r="H64" s="13">
        <f t="shared" si="18"/>
        <v>1.6205322976894418</v>
      </c>
      <c r="I64" s="13">
        <f t="shared" si="18"/>
        <v>1.4972208192588321</v>
      </c>
      <c r="J64" s="13">
        <f t="shared" si="18"/>
        <v>1.5421143577392513</v>
      </c>
      <c r="K64" s="13">
        <f t="shared" si="18"/>
        <v>0.965178692598191</v>
      </c>
      <c r="L64" s="13">
        <f t="shared" si="18"/>
        <v>1.511161686239233</v>
      </c>
      <c r="M64" s="13">
        <f t="shared" si="18"/>
        <v>1.6973629558100183</v>
      </c>
      <c r="N64" s="13">
        <f t="shared" si="18"/>
        <v>1.1368274021390641</v>
      </c>
      <c r="O64" s="13">
        <f t="shared" si="18"/>
        <v>1.3472008846252019</v>
      </c>
      <c r="P64" s="13">
        <f t="shared" si="18"/>
        <v>1.7256902820868831</v>
      </c>
      <c r="Q64" s="13">
        <f t="shared" si="18"/>
        <v>1.3667345121091725</v>
      </c>
      <c r="R64" s="13">
        <f t="shared" si="18"/>
        <v>1.8659553692088409</v>
      </c>
      <c r="S64" s="13">
        <f t="shared" si="18"/>
        <v>1.3596663811805605</v>
      </c>
      <c r="T64" s="13">
        <f t="shared" si="18"/>
        <v>1.5558319780132728</v>
      </c>
      <c r="U64" s="13">
        <f t="shared" si="18"/>
        <v>1.5057394913171502</v>
      </c>
      <c r="V64" s="13">
        <f t="shared" si="2"/>
        <v>1.694967164970115</v>
      </c>
      <c r="W64" s="13">
        <f t="shared" si="2"/>
        <v>0.63983333333333337</v>
      </c>
      <c r="X64" s="13">
        <f t="shared" si="4"/>
        <v>1.3596663811805605</v>
      </c>
      <c r="AA64" s="12">
        <v>97.066174864714043</v>
      </c>
    </row>
    <row r="65" spans="1:27">
      <c r="A65">
        <v>2016</v>
      </c>
      <c r="B65" s="13">
        <f t="shared" si="0"/>
        <v>0.86743344270090139</v>
      </c>
      <c r="C65" s="13">
        <f t="shared" si="0"/>
        <v>1.2257221755470393</v>
      </c>
      <c r="D65" s="13">
        <f t="shared" si="0"/>
        <v>1.4482120631722464</v>
      </c>
      <c r="E65" s="13">
        <f t="shared" si="0"/>
        <v>0.76017940558314567</v>
      </c>
      <c r="F65" s="13">
        <f t="shared" ref="F65:U65" si="19">F19/F42</f>
        <v>0.74100959005163869</v>
      </c>
      <c r="G65" s="13">
        <f t="shared" si="19"/>
        <v>1.5588053556657189</v>
      </c>
      <c r="H65" s="13">
        <f t="shared" si="19"/>
        <v>1.5228502356286313</v>
      </c>
      <c r="I65" s="13">
        <f t="shared" si="19"/>
        <v>1.4349838371442698</v>
      </c>
      <c r="J65" s="13">
        <f t="shared" si="19"/>
        <v>1.4396737888490543</v>
      </c>
      <c r="K65" s="13">
        <f t="shared" si="19"/>
        <v>0.93715441779387265</v>
      </c>
      <c r="L65" s="13">
        <f t="shared" si="19"/>
        <v>1.414967891729509</v>
      </c>
      <c r="M65" s="13">
        <f t="shared" si="19"/>
        <v>1.5916636915267646</v>
      </c>
      <c r="N65" s="13">
        <f t="shared" si="19"/>
        <v>1.1181223587232016</v>
      </c>
      <c r="O65" s="13">
        <f t="shared" si="19"/>
        <v>1.2012038026930107</v>
      </c>
      <c r="P65" s="13">
        <f t="shared" si="19"/>
        <v>1.6288996538509082</v>
      </c>
      <c r="Q65" s="13">
        <f t="shared" si="19"/>
        <v>1.3112107755490838</v>
      </c>
      <c r="R65" s="13">
        <f t="shared" si="19"/>
        <v>1.7582999423084849</v>
      </c>
      <c r="S65" s="13">
        <f t="shared" si="19"/>
        <v>1.267677645778218</v>
      </c>
      <c r="T65" s="13">
        <f t="shared" si="19"/>
        <v>1.5268171632216587</v>
      </c>
      <c r="U65" s="13">
        <f t="shared" si="19"/>
        <v>1.4164655446173389</v>
      </c>
      <c r="V65" s="13">
        <f t="shared" si="2"/>
        <v>1.4677363000420323</v>
      </c>
      <c r="W65" s="13">
        <f t="shared" si="2"/>
        <v>0.57558333333333345</v>
      </c>
      <c r="X65" s="13">
        <f t="shared" si="4"/>
        <v>1.267677645778218</v>
      </c>
      <c r="AA65" s="12">
        <v>98.52216748768474</v>
      </c>
    </row>
    <row r="66" spans="1:27">
      <c r="A66">
        <v>2017</v>
      </c>
      <c r="B66" s="13">
        <f t="shared" si="0"/>
        <v>0.98467215336698788</v>
      </c>
      <c r="C66" s="13">
        <f t="shared" si="0"/>
        <v>1.3348649124832646</v>
      </c>
      <c r="D66" s="13">
        <f t="shared" si="0"/>
        <v>1.5913859132727608</v>
      </c>
      <c r="E66" s="13">
        <f t="shared" si="0"/>
        <v>0.86069830772822509</v>
      </c>
      <c r="F66" s="13">
        <f t="shared" ref="F66:U66" si="20">F20/F43</f>
        <v>0.72</v>
      </c>
      <c r="G66" s="13">
        <f t="shared" si="20"/>
        <v>1.6875646198514307</v>
      </c>
      <c r="H66" s="13">
        <f t="shared" si="20"/>
        <v>1.660101057079336</v>
      </c>
      <c r="I66" s="13">
        <f t="shared" si="20"/>
        <v>1.5592651548032868</v>
      </c>
      <c r="J66" s="13">
        <f t="shared" si="20"/>
        <v>1.5575691380983383</v>
      </c>
      <c r="K66" s="13">
        <f t="shared" si="20"/>
        <v>1.0515620829548709</v>
      </c>
      <c r="L66" s="13">
        <f t="shared" si="20"/>
        <v>1.5461414319580415</v>
      </c>
      <c r="M66" s="13">
        <f t="shared" si="20"/>
        <v>1.7318856443368993</v>
      </c>
      <c r="N66" s="13">
        <f t="shared" si="20"/>
        <v>1.1920999013176987</v>
      </c>
      <c r="O66" s="13">
        <f t="shared" si="20"/>
        <v>1.3249214967578729</v>
      </c>
      <c r="P66" s="13">
        <f t="shared" si="20"/>
        <v>1.7596286683944824</v>
      </c>
      <c r="Q66" s="13">
        <f t="shared" si="20"/>
        <v>1.4380459588444365</v>
      </c>
      <c r="R66" s="13">
        <f t="shared" si="20"/>
        <v>1.9648927935342015</v>
      </c>
      <c r="S66" s="13">
        <f t="shared" si="20"/>
        <v>1.3795778534189864</v>
      </c>
      <c r="T66" s="13">
        <f t="shared" si="20"/>
        <v>1.6501249417070987</v>
      </c>
      <c r="U66" s="13">
        <f t="shared" si="20"/>
        <v>1.5261753844457913</v>
      </c>
      <c r="V66" s="13">
        <f t="shared" si="2"/>
        <v>1.5203168567427807</v>
      </c>
      <c r="W66" s="13">
        <f t="shared" si="2"/>
        <v>0.6386666666666666</v>
      </c>
      <c r="X66" s="13">
        <f t="shared" si="4"/>
        <v>1.3795778534189864</v>
      </c>
      <c r="AA66" s="12">
        <v>100</v>
      </c>
    </row>
    <row r="67" spans="1:27">
      <c r="B67" s="13"/>
      <c r="C67" s="13"/>
      <c r="D67" s="13"/>
      <c r="E67" s="13"/>
      <c r="F67" s="13"/>
      <c r="G67" s="13"/>
      <c r="H67" s="13"/>
      <c r="I67" s="13"/>
      <c r="J67" s="13"/>
      <c r="K67" s="13"/>
      <c r="L67" s="13"/>
      <c r="M67" s="13"/>
      <c r="N67" s="13"/>
      <c r="O67" s="13"/>
      <c r="P67" s="13"/>
      <c r="Q67" s="13"/>
      <c r="R67" s="13"/>
      <c r="S67" s="13"/>
      <c r="T67" s="13"/>
      <c r="U67" s="13"/>
      <c r="V67" s="13"/>
      <c r="W67" s="13"/>
      <c r="AA67" s="12"/>
    </row>
    <row r="68" spans="1:27">
      <c r="B68" s="13"/>
      <c r="C68" s="13"/>
      <c r="D68" s="13"/>
      <c r="E68" s="13"/>
      <c r="F68" s="13"/>
      <c r="G68" s="13"/>
      <c r="H68" s="13"/>
      <c r="I68" s="13"/>
      <c r="J68" s="13"/>
      <c r="K68" s="13"/>
      <c r="L68" s="13"/>
      <c r="M68" s="13"/>
      <c r="N68" s="13"/>
      <c r="O68" s="13"/>
      <c r="P68" s="13"/>
      <c r="Q68" s="13"/>
      <c r="R68" s="13"/>
      <c r="S68" s="13"/>
      <c r="T68" s="13"/>
      <c r="U68" s="13"/>
      <c r="V68" s="13"/>
      <c r="W68" s="13"/>
      <c r="AA68" s="12"/>
    </row>
    <row r="70" spans="1:27">
      <c r="B70" s="13" t="s">
        <v>651</v>
      </c>
      <c r="C70" s="13"/>
      <c r="D70" s="13"/>
      <c r="E70" s="13"/>
      <c r="F70" s="13"/>
      <c r="G70" s="13"/>
      <c r="H70" s="13"/>
      <c r="I70" s="13"/>
      <c r="J70" s="13"/>
      <c r="K70" s="13"/>
      <c r="L70" s="13"/>
      <c r="M70" s="13"/>
      <c r="N70" s="13"/>
      <c r="O70" s="13"/>
      <c r="P70" s="13"/>
      <c r="Q70" s="13"/>
      <c r="R70" s="13"/>
      <c r="S70" s="13"/>
      <c r="T70" s="13"/>
      <c r="U70" s="13"/>
      <c r="V70" s="13"/>
      <c r="W70" s="13"/>
    </row>
    <row r="71" spans="1:27">
      <c r="B71" s="149" t="s">
        <v>255</v>
      </c>
      <c r="C71" s="149" t="s">
        <v>539</v>
      </c>
      <c r="D71" s="149" t="s">
        <v>540</v>
      </c>
      <c r="E71" s="149" t="s">
        <v>238</v>
      </c>
      <c r="F71" s="149" t="s">
        <v>239</v>
      </c>
      <c r="G71" s="149" t="s">
        <v>541</v>
      </c>
      <c r="H71" s="149" t="s">
        <v>542</v>
      </c>
      <c r="I71" s="149" t="s">
        <v>240</v>
      </c>
      <c r="J71" s="149" t="s">
        <v>241</v>
      </c>
      <c r="K71" s="149" t="s">
        <v>242</v>
      </c>
      <c r="L71" s="149" t="s">
        <v>544</v>
      </c>
      <c r="M71" s="7" t="s">
        <v>538</v>
      </c>
      <c r="N71" s="149" t="s">
        <v>243</v>
      </c>
      <c r="O71" s="149" t="s">
        <v>244</v>
      </c>
      <c r="P71" s="149" t="s">
        <v>245</v>
      </c>
      <c r="Q71" s="150" t="s">
        <v>331</v>
      </c>
      <c r="R71" s="149" t="s">
        <v>246</v>
      </c>
      <c r="S71" s="149" t="s">
        <v>545</v>
      </c>
      <c r="T71" s="149" t="s">
        <v>247</v>
      </c>
      <c r="U71" s="149" t="s">
        <v>546</v>
      </c>
      <c r="V71" s="149" t="s">
        <v>248</v>
      </c>
      <c r="W71" s="149" t="s">
        <v>249</v>
      </c>
      <c r="X71" s="149" t="s">
        <v>609</v>
      </c>
      <c r="Y71" s="149" t="s">
        <v>894</v>
      </c>
    </row>
    <row r="72" spans="1:27">
      <c r="A72">
        <v>2000</v>
      </c>
      <c r="B72" s="13">
        <f>B49/$AA49*100</f>
        <v>0.71706581231903288</v>
      </c>
      <c r="C72" s="13">
        <f t="shared" ref="C72:W72" si="21">C49/$AA49*100</f>
        <v>1.2110675040869499</v>
      </c>
      <c r="D72" s="13">
        <f t="shared" si="21"/>
        <v>1.365227121651416</v>
      </c>
      <c r="E72" s="13">
        <f>E49/$AA49*100</f>
        <v>0.6951062462100065</v>
      </c>
      <c r="F72" s="13">
        <f>F49/$AA49*100</f>
        <v>0.56720287764227628</v>
      </c>
      <c r="G72" s="13">
        <f t="shared" si="21"/>
        <v>1.4560504594844619</v>
      </c>
      <c r="H72" s="13">
        <f t="shared" si="21"/>
        <v>1.4828064909802459</v>
      </c>
      <c r="I72" s="13">
        <f t="shared" si="21"/>
        <v>1.4240168063158309</v>
      </c>
      <c r="J72" s="13">
        <f t="shared" si="21"/>
        <v>1.2920666251801438</v>
      </c>
      <c r="K72" s="13">
        <f t="shared" si="21"/>
        <v>0.84055733223947515</v>
      </c>
      <c r="L72" s="13">
        <f t="shared" si="21"/>
        <v>1.1679550686663787</v>
      </c>
      <c r="M72" s="13">
        <f t="shared" si="21"/>
        <v>1.4122588693829479</v>
      </c>
      <c r="N72" s="13">
        <f t="shared" si="21"/>
        <v>1.3671502572039278</v>
      </c>
      <c r="O72" s="13">
        <f t="shared" si="21"/>
        <v>1.564752934006421</v>
      </c>
      <c r="P72" s="13">
        <f t="shared" si="21"/>
        <v>1.5154674269049209</v>
      </c>
      <c r="Q72" s="13">
        <f t="shared" si="21"/>
        <v>0.68930681584312248</v>
      </c>
      <c r="R72" s="13">
        <f t="shared" si="21"/>
        <v>1.7022195373831754</v>
      </c>
      <c r="S72" s="13">
        <f t="shared" si="21"/>
        <v>1.0699722608923536</v>
      </c>
      <c r="T72" s="13">
        <f t="shared" si="21"/>
        <v>1.4721383013688061</v>
      </c>
      <c r="U72" s="13">
        <f t="shared" si="21"/>
        <v>1.1730320240773862</v>
      </c>
      <c r="V72" s="13">
        <f t="shared" si="21"/>
        <v>1.7142299999401551</v>
      </c>
      <c r="W72" s="13">
        <f t="shared" si="21"/>
        <v>0.55687297145248371</v>
      </c>
      <c r="X72" s="13">
        <f>S72</f>
        <v>1.0699722608923536</v>
      </c>
      <c r="Y72" s="13">
        <f>AVERAGE(B72:X72)</f>
        <v>1.1968041740923596</v>
      </c>
    </row>
    <row r="73" spans="1:27">
      <c r="A73">
        <v>2001</v>
      </c>
      <c r="B73" s="13">
        <f t="shared" ref="B73:W73" si="22">B50/$AA50*100</f>
        <v>0.62086243982739509</v>
      </c>
      <c r="C73" s="13">
        <f t="shared" si="22"/>
        <v>1.1017753734428211</v>
      </c>
      <c r="D73" s="13">
        <f t="shared" si="22"/>
        <v>1.243661339787641</v>
      </c>
      <c r="E73" s="13">
        <f t="shared" si="22"/>
        <v>0.62673120969852636</v>
      </c>
      <c r="F73" s="13">
        <f t="shared" si="22"/>
        <v>0.55150951739130438</v>
      </c>
      <c r="G73" s="13">
        <f t="shared" si="22"/>
        <v>1.350144111833228</v>
      </c>
      <c r="H73" s="13">
        <f t="shared" si="22"/>
        <v>1.3682742319687442</v>
      </c>
      <c r="I73" s="13">
        <f t="shared" si="22"/>
        <v>1.2782074881150756</v>
      </c>
      <c r="J73" s="13">
        <f t="shared" si="22"/>
        <v>1.2374923847291708</v>
      </c>
      <c r="K73" s="13">
        <f t="shared" si="22"/>
        <v>0.83800948481207271</v>
      </c>
      <c r="L73" s="13">
        <f t="shared" si="22"/>
        <v>1.0968402093960448</v>
      </c>
      <c r="M73" s="13">
        <f t="shared" si="22"/>
        <v>1.2991819353138752</v>
      </c>
      <c r="N73" s="13">
        <f t="shared" si="22"/>
        <v>1.1901140545538065</v>
      </c>
      <c r="O73" s="13">
        <f t="shared" si="22"/>
        <v>1.3670365034989997</v>
      </c>
      <c r="P73" s="13">
        <f t="shared" si="22"/>
        <v>1.4163920814248137</v>
      </c>
      <c r="Q73" s="13">
        <f t="shared" si="22"/>
        <v>0.60686333653042102</v>
      </c>
      <c r="R73" s="13">
        <f t="shared" si="22"/>
        <v>1.4697576985858136</v>
      </c>
      <c r="S73" s="13">
        <f t="shared" si="22"/>
        <v>0.99566934643712957</v>
      </c>
      <c r="T73" s="13">
        <f t="shared" si="22"/>
        <v>1.2614276508475628</v>
      </c>
      <c r="U73" s="13">
        <f t="shared" si="22"/>
        <v>1.1017685695913628</v>
      </c>
      <c r="V73" s="13">
        <f t="shared" si="22"/>
        <v>1.5045030057460491</v>
      </c>
      <c r="W73" s="13">
        <f t="shared" si="22"/>
        <v>0.51877686121514399</v>
      </c>
      <c r="X73" s="13">
        <f t="shared" ref="X73:X102" si="23">S73</f>
        <v>0.99566934643712957</v>
      </c>
      <c r="Y73" s="13">
        <f t="shared" ref="Y73:Y102" si="24">AVERAGE(B73:X73)</f>
        <v>1.0887247035297449</v>
      </c>
    </row>
    <row r="74" spans="1:27">
      <c r="A74">
        <v>2002</v>
      </c>
      <c r="B74" s="13">
        <f t="shared" ref="B74:W74" si="25">B51/$AA51*100</f>
        <v>0.63309348160300616</v>
      </c>
      <c r="C74" s="13">
        <f t="shared" si="25"/>
        <v>1.0961414852533407</v>
      </c>
      <c r="D74" s="13">
        <f t="shared" si="25"/>
        <v>1.2507255408659914</v>
      </c>
      <c r="E74" s="13">
        <f t="shared" si="25"/>
        <v>0.60809716553370396</v>
      </c>
      <c r="F74" s="13">
        <f t="shared" si="25"/>
        <v>0.5701353808455637</v>
      </c>
      <c r="G74" s="13">
        <f t="shared" si="25"/>
        <v>1.3962029464051535</v>
      </c>
      <c r="H74" s="13">
        <f t="shared" si="25"/>
        <v>1.373370742013218</v>
      </c>
      <c r="I74" s="13">
        <f t="shared" si="25"/>
        <v>1.2954399371175844</v>
      </c>
      <c r="J74" s="13">
        <f t="shared" si="25"/>
        <v>1.3133256956182215</v>
      </c>
      <c r="K74" s="13">
        <f t="shared" si="25"/>
        <v>0.79206430290785657</v>
      </c>
      <c r="L74" s="13">
        <f t="shared" si="25"/>
        <v>1.0923088227174897</v>
      </c>
      <c r="M74" s="13">
        <f t="shared" si="25"/>
        <v>1.3388767791905607</v>
      </c>
      <c r="N74" s="13">
        <f t="shared" si="25"/>
        <v>1.1280814197323459</v>
      </c>
      <c r="O74" s="13">
        <f t="shared" si="25"/>
        <v>1.4061937106573557</v>
      </c>
      <c r="P74" s="13">
        <f t="shared" si="25"/>
        <v>1.4615219803377872</v>
      </c>
      <c r="Q74" s="13">
        <f t="shared" si="25"/>
        <v>0.64602633583155555</v>
      </c>
      <c r="R74" s="13">
        <f t="shared" si="25"/>
        <v>1.5234498100781031</v>
      </c>
      <c r="S74" s="13">
        <f t="shared" si="25"/>
        <v>1.0399291013941947</v>
      </c>
      <c r="T74" s="13">
        <f t="shared" si="25"/>
        <v>1.2975015760819619</v>
      </c>
      <c r="U74" s="13">
        <f t="shared" si="25"/>
        <v>1.1447613401785668</v>
      </c>
      <c r="V74" s="13">
        <f t="shared" si="25"/>
        <v>1.4912884988898125</v>
      </c>
      <c r="W74" s="13">
        <f t="shared" si="25"/>
        <v>0.48165922469026273</v>
      </c>
      <c r="X74" s="13">
        <f t="shared" si="23"/>
        <v>1.0399291013941947</v>
      </c>
      <c r="Y74" s="13">
        <f t="shared" si="24"/>
        <v>1.1052227991016448</v>
      </c>
    </row>
    <row r="75" spans="1:27">
      <c r="A75">
        <v>2003</v>
      </c>
      <c r="B75" s="13">
        <f t="shared" ref="B75:W75" si="26">B52/$AA52*100</f>
        <v>0.77235550561655553</v>
      </c>
      <c r="C75" s="13">
        <f t="shared" si="26"/>
        <v>1.2913532466173059</v>
      </c>
      <c r="D75" s="13">
        <f t="shared" si="26"/>
        <v>1.5250552262835468</v>
      </c>
      <c r="E75" s="13">
        <f t="shared" si="26"/>
        <v>0.698234843325236</v>
      </c>
      <c r="F75" s="13">
        <f t="shared" si="26"/>
        <v>0.55749049960045649</v>
      </c>
      <c r="G75" s="13">
        <f t="shared" si="26"/>
        <v>1.6461840947651085</v>
      </c>
      <c r="H75" s="13">
        <f t="shared" si="26"/>
        <v>1.6419062161166671</v>
      </c>
      <c r="I75" s="13">
        <f t="shared" si="26"/>
        <v>1.5235571366703016</v>
      </c>
      <c r="J75" s="13">
        <f t="shared" si="26"/>
        <v>1.605952065398784</v>
      </c>
      <c r="K75" s="13">
        <f t="shared" si="26"/>
        <v>0.89436318864031461</v>
      </c>
      <c r="L75" s="13">
        <f t="shared" si="26"/>
        <v>1.304836053136512</v>
      </c>
      <c r="M75" s="13">
        <f t="shared" si="26"/>
        <v>1.5879749900398425</v>
      </c>
      <c r="N75" s="13">
        <f t="shared" si="26"/>
        <v>1.217066674132566</v>
      </c>
      <c r="O75" s="13">
        <f t="shared" si="26"/>
        <v>1.4414126115946988</v>
      </c>
      <c r="P75" s="13">
        <f t="shared" si="26"/>
        <v>1.7362858617511105</v>
      </c>
      <c r="Q75" s="13">
        <f t="shared" si="26"/>
        <v>0.81008861699873591</v>
      </c>
      <c r="R75" s="13">
        <f t="shared" si="26"/>
        <v>1.757007874202281</v>
      </c>
      <c r="S75" s="13">
        <f t="shared" si="26"/>
        <v>1.2239392140212748</v>
      </c>
      <c r="T75" s="13">
        <f t="shared" si="26"/>
        <v>1.5436575142797941</v>
      </c>
      <c r="U75" s="13">
        <f t="shared" si="26"/>
        <v>1.3040666940208439</v>
      </c>
      <c r="V75" s="13">
        <f t="shared" si="26"/>
        <v>1.6470831852074053</v>
      </c>
      <c r="W75" s="13">
        <f t="shared" si="26"/>
        <v>0.54604292162724555</v>
      </c>
      <c r="X75" s="13">
        <f t="shared" si="23"/>
        <v>1.2239392140212748</v>
      </c>
      <c r="Y75" s="13">
        <f t="shared" si="24"/>
        <v>1.2826023238290376</v>
      </c>
    </row>
    <row r="76" spans="1:27">
      <c r="A76">
        <v>2004</v>
      </c>
      <c r="B76" s="13">
        <f t="shared" ref="B76:W76" si="27">B53/$AA53*100</f>
        <v>0.92422002512006196</v>
      </c>
      <c r="C76" s="13">
        <f t="shared" si="27"/>
        <v>1.4942957198927556</v>
      </c>
      <c r="D76" s="13">
        <f t="shared" si="27"/>
        <v>1.8313549048309712</v>
      </c>
      <c r="E76" s="13">
        <f t="shared" si="27"/>
        <v>0.80776768358953444</v>
      </c>
      <c r="F76" s="13">
        <f t="shared" si="27"/>
        <v>0.62047010394917934</v>
      </c>
      <c r="G76" s="13">
        <f t="shared" si="27"/>
        <v>1.7994592035661454</v>
      </c>
      <c r="H76" s="13">
        <f t="shared" si="27"/>
        <v>1.8313549048309712</v>
      </c>
      <c r="I76" s="13">
        <f t="shared" si="27"/>
        <v>1.7029514058068889</v>
      </c>
      <c r="J76" s="13">
        <f t="shared" si="27"/>
        <v>1.7896237676481443</v>
      </c>
      <c r="K76" s="13">
        <f t="shared" si="27"/>
        <v>1.0082092744602578</v>
      </c>
      <c r="L76" s="13">
        <f t="shared" si="27"/>
        <v>1.5296066821243781</v>
      </c>
      <c r="M76" s="13">
        <f t="shared" si="27"/>
        <v>1.8072792487639557</v>
      </c>
      <c r="N76" s="13">
        <f t="shared" si="27"/>
        <v>1.3417148189172134</v>
      </c>
      <c r="O76" s="13">
        <f t="shared" si="27"/>
        <v>1.5405841669624898</v>
      </c>
      <c r="P76" s="13">
        <f t="shared" si="27"/>
        <v>2.0095147597268848</v>
      </c>
      <c r="Q76" s="13">
        <f t="shared" si="27"/>
        <v>0.99732216379666982</v>
      </c>
      <c r="R76" s="13">
        <f t="shared" si="27"/>
        <v>1.9145681113665425</v>
      </c>
      <c r="S76" s="13">
        <f t="shared" si="27"/>
        <v>1.394783008149092</v>
      </c>
      <c r="T76" s="13">
        <f t="shared" si="27"/>
        <v>1.7526354648314302</v>
      </c>
      <c r="U76" s="13">
        <f t="shared" si="27"/>
        <v>1.4646639733985314</v>
      </c>
      <c r="V76" s="13">
        <f t="shared" si="27"/>
        <v>1.8980961075379676</v>
      </c>
      <c r="W76" s="13">
        <f t="shared" si="27"/>
        <v>0.63174683340622262</v>
      </c>
      <c r="X76" s="13">
        <f t="shared" si="23"/>
        <v>1.394783008149092</v>
      </c>
      <c r="Y76" s="13">
        <f t="shared" si="24"/>
        <v>1.4559567539489298</v>
      </c>
    </row>
    <row r="77" spans="1:27">
      <c r="A77">
        <v>2005</v>
      </c>
      <c r="B77" s="13">
        <f t="shared" ref="B77:W77" si="28">B54/$AA54*100</f>
        <v>1.0539088927816254</v>
      </c>
      <c r="C77" s="13">
        <f t="shared" si="28"/>
        <v>1.5797275129231403</v>
      </c>
      <c r="D77" s="13">
        <f t="shared" si="28"/>
        <v>1.9902078902968701</v>
      </c>
      <c r="E77" s="13">
        <f t="shared" si="28"/>
        <v>0.95337443534477972</v>
      </c>
      <c r="F77" s="13">
        <f t="shared" si="28"/>
        <v>0.62514295654121843</v>
      </c>
      <c r="G77" s="13">
        <f t="shared" si="28"/>
        <v>1.8701405624479039</v>
      </c>
      <c r="H77" s="13">
        <f t="shared" si="28"/>
        <v>1.8921987192400926</v>
      </c>
      <c r="I77" s="13">
        <f t="shared" si="28"/>
        <v>1.8051807504958328</v>
      </c>
      <c r="J77" s="13">
        <f t="shared" si="28"/>
        <v>1.8995331684072365</v>
      </c>
      <c r="K77" s="13">
        <f t="shared" si="28"/>
        <v>1.1416858145598696</v>
      </c>
      <c r="L77" s="13">
        <f t="shared" si="28"/>
        <v>1.6306250488931058</v>
      </c>
      <c r="M77" s="13">
        <f t="shared" si="28"/>
        <v>1.8969168954392042</v>
      </c>
      <c r="N77" s="13">
        <f t="shared" si="28"/>
        <v>1.4122974122082002</v>
      </c>
      <c r="O77" s="13">
        <f t="shared" si="28"/>
        <v>1.7433584774066708</v>
      </c>
      <c r="P77" s="13">
        <f t="shared" si="28"/>
        <v>2.1021570841260693</v>
      </c>
      <c r="Q77" s="13">
        <f t="shared" si="28"/>
        <v>1.1620166625140407</v>
      </c>
      <c r="R77" s="13">
        <f t="shared" si="28"/>
        <v>2.0978798169066581</v>
      </c>
      <c r="S77" s="13">
        <f t="shared" si="28"/>
        <v>1.4848816681511803</v>
      </c>
      <c r="T77" s="13">
        <f t="shared" si="28"/>
        <v>1.8395864487757054</v>
      </c>
      <c r="U77" s="13">
        <f t="shared" si="28"/>
        <v>1.5326830082903549</v>
      </c>
      <c r="V77" s="13">
        <f t="shared" si="28"/>
        <v>1.9709124153950974</v>
      </c>
      <c r="W77" s="13">
        <f t="shared" si="28"/>
        <v>0.74954075848933166</v>
      </c>
      <c r="X77" s="13">
        <f t="shared" si="23"/>
        <v>1.4848816681511803</v>
      </c>
      <c r="Y77" s="13">
        <f t="shared" si="24"/>
        <v>1.5616886116428423</v>
      </c>
    </row>
    <row r="78" spans="1:27">
      <c r="A78">
        <v>2006</v>
      </c>
      <c r="B78" s="13">
        <f t="shared" ref="B78:W78" si="29">B55/$AA55*100</f>
        <v>1.1331648826286855</v>
      </c>
      <c r="C78" s="13">
        <f t="shared" si="29"/>
        <v>1.6303679464666974</v>
      </c>
      <c r="D78" s="13">
        <f t="shared" si="29"/>
        <v>2.0558134497385292</v>
      </c>
      <c r="E78" s="13">
        <f t="shared" si="29"/>
        <v>1.0431900525384985</v>
      </c>
      <c r="F78" s="13">
        <f t="shared" si="29"/>
        <v>0.83573799002604143</v>
      </c>
      <c r="G78" s="13">
        <f t="shared" si="29"/>
        <v>1.9389925023967212</v>
      </c>
      <c r="H78" s="13">
        <f t="shared" si="29"/>
        <v>1.9561447782187598</v>
      </c>
      <c r="I78" s="13">
        <f t="shared" si="29"/>
        <v>1.8795574555259129</v>
      </c>
      <c r="J78" s="13">
        <f t="shared" si="29"/>
        <v>1.9499742679639456</v>
      </c>
      <c r="K78" s="13">
        <f t="shared" si="29"/>
        <v>1.2227558279733879</v>
      </c>
      <c r="L78" s="13">
        <f t="shared" si="29"/>
        <v>1.6998904550917304</v>
      </c>
      <c r="M78" s="13">
        <f t="shared" si="29"/>
        <v>1.9524909703725124</v>
      </c>
      <c r="N78" s="13">
        <f t="shared" si="29"/>
        <v>1.4320156731017377</v>
      </c>
      <c r="O78" s="13">
        <f t="shared" si="29"/>
        <v>1.8888933370618612</v>
      </c>
      <c r="P78" s="13">
        <f t="shared" si="29"/>
        <v>2.1500192397487203</v>
      </c>
      <c r="Q78" s="13">
        <f t="shared" si="29"/>
        <v>1.2205927780216346</v>
      </c>
      <c r="R78" s="13">
        <f t="shared" si="29"/>
        <v>2.1639453282998824</v>
      </c>
      <c r="S78" s="13">
        <f t="shared" si="29"/>
        <v>1.5498371904902435</v>
      </c>
      <c r="T78" s="13">
        <f t="shared" si="29"/>
        <v>1.8749756258253567</v>
      </c>
      <c r="U78" s="13">
        <f t="shared" si="29"/>
        <v>1.5871213955680408</v>
      </c>
      <c r="V78" s="13">
        <f t="shared" si="29"/>
        <v>2.034710708235214</v>
      </c>
      <c r="W78" s="13">
        <f t="shared" si="29"/>
        <v>0.82366567388070899</v>
      </c>
      <c r="X78" s="13">
        <f t="shared" si="23"/>
        <v>1.5498371904902435</v>
      </c>
      <c r="Y78" s="13">
        <f t="shared" si="24"/>
        <v>1.633638900855003</v>
      </c>
    </row>
    <row r="79" spans="1:27">
      <c r="A79">
        <v>2007</v>
      </c>
      <c r="B79" s="13">
        <f t="shared" ref="B79:W79" si="30">B56/$AA56*100</f>
        <v>1.224802976360948</v>
      </c>
      <c r="C79" s="13">
        <f t="shared" si="30"/>
        <v>1.7794718226998492</v>
      </c>
      <c r="D79" s="13">
        <f t="shared" si="30"/>
        <v>2.2307871400512598</v>
      </c>
      <c r="E79" s="13">
        <f t="shared" si="30"/>
        <v>1.1172596187800128</v>
      </c>
      <c r="F79" s="13">
        <f t="shared" si="30"/>
        <v>0.81259358349610766</v>
      </c>
      <c r="G79" s="13">
        <f t="shared" si="30"/>
        <v>2.0941388405217576</v>
      </c>
      <c r="H79" s="13">
        <f t="shared" si="30"/>
        <v>2.0927770870555582</v>
      </c>
      <c r="I79" s="13">
        <f t="shared" si="30"/>
        <v>2.0518728535298072</v>
      </c>
      <c r="J79" s="13">
        <f t="shared" si="30"/>
        <v>2.1525273534979981</v>
      </c>
      <c r="K79" s="13">
        <f t="shared" si="30"/>
        <v>1.2438359534762837</v>
      </c>
      <c r="L79" s="13">
        <f t="shared" si="30"/>
        <v>1.8061823210737085</v>
      </c>
      <c r="M79" s="13">
        <f t="shared" si="30"/>
        <v>2.0921688640076122</v>
      </c>
      <c r="N79" s="13">
        <f t="shared" si="30"/>
        <v>1.3981565471021982</v>
      </c>
      <c r="O79" s="13">
        <f t="shared" si="30"/>
        <v>1.9326726478384471</v>
      </c>
      <c r="P79" s="13">
        <f t="shared" si="30"/>
        <v>2.3516751714846738</v>
      </c>
      <c r="Q79" s="13">
        <f t="shared" si="30"/>
        <v>1.3449907918514648</v>
      </c>
      <c r="R79" s="13">
        <f t="shared" si="30"/>
        <v>2.3472389851368778</v>
      </c>
      <c r="S79" s="13">
        <f t="shared" si="30"/>
        <v>1.6682548337811081</v>
      </c>
      <c r="T79" s="13">
        <f t="shared" si="30"/>
        <v>2.0054403929153075</v>
      </c>
      <c r="U79" s="13">
        <f t="shared" si="30"/>
        <v>1.6521728199006338</v>
      </c>
      <c r="V79" s="13">
        <f t="shared" si="30"/>
        <v>2.224458825167249</v>
      </c>
      <c r="W79" s="13">
        <f t="shared" si="30"/>
        <v>0.87235978459054719</v>
      </c>
      <c r="X79" s="13">
        <f t="shared" si="23"/>
        <v>1.6682548337811081</v>
      </c>
      <c r="Y79" s="13">
        <f t="shared" si="24"/>
        <v>1.7462649586130663</v>
      </c>
    </row>
    <row r="80" spans="1:27">
      <c r="A80">
        <v>2008</v>
      </c>
      <c r="B80" s="13">
        <f t="shared" ref="B80:W80" si="31">B57/$AA57*100</f>
        <v>1.3413415818825576</v>
      </c>
      <c r="C80" s="13">
        <f t="shared" si="31"/>
        <v>2.003525198046217</v>
      </c>
      <c r="D80" s="13">
        <f t="shared" si="31"/>
        <v>2.4188496586693966</v>
      </c>
      <c r="E80" s="13">
        <f t="shared" si="31"/>
        <v>1.2244280751673049</v>
      </c>
      <c r="F80" s="13">
        <f t="shared" si="31"/>
        <v>0.97979280755385745</v>
      </c>
      <c r="G80" s="13">
        <f>G57/$AA57*100</f>
        <v>2.2713096002275619</v>
      </c>
      <c r="H80" s="13">
        <f t="shared" si="31"/>
        <v>2.4016108117103392</v>
      </c>
      <c r="I80" s="13">
        <f t="shared" si="31"/>
        <v>2.2527198744201251</v>
      </c>
      <c r="J80" s="13">
        <f t="shared" si="31"/>
        <v>2.314772739240988</v>
      </c>
      <c r="K80" s="13">
        <f t="shared" si="31"/>
        <v>1.2500793958854637</v>
      </c>
      <c r="L80" s="13">
        <f t="shared" si="31"/>
        <v>2.0545507746370659</v>
      </c>
      <c r="M80" s="13">
        <f t="shared" si="31"/>
        <v>2.2909325213118086</v>
      </c>
      <c r="N80" s="13">
        <f t="shared" si="31"/>
        <v>1.7216154236734202</v>
      </c>
      <c r="O80" s="13">
        <f t="shared" si="31"/>
        <v>1.7443350350140181</v>
      </c>
      <c r="P80" s="13">
        <f t="shared" si="31"/>
        <v>2.5534147839113066</v>
      </c>
      <c r="Q80" s="13">
        <f t="shared" si="31"/>
        <v>1.444432342312437</v>
      </c>
      <c r="R80" s="13">
        <f t="shared" si="31"/>
        <v>2.5192086613343823</v>
      </c>
      <c r="S80" s="13">
        <f t="shared" si="31"/>
        <v>1.8407202564274723</v>
      </c>
      <c r="T80" s="13">
        <f t="shared" si="31"/>
        <v>2.1775196476475838</v>
      </c>
      <c r="U80" s="13">
        <f t="shared" si="31"/>
        <v>1.8691084725854228</v>
      </c>
      <c r="V80" s="13">
        <f t="shared" si="31"/>
        <v>2.2329511154226549</v>
      </c>
      <c r="W80" s="13">
        <f t="shared" si="31"/>
        <v>0.97503435426336726</v>
      </c>
      <c r="X80" s="13">
        <f t="shared" si="23"/>
        <v>1.8407202564274723</v>
      </c>
      <c r="Y80" s="13">
        <f t="shared" si="24"/>
        <v>1.9009988429466187</v>
      </c>
    </row>
    <row r="81" spans="1:25">
      <c r="A81">
        <v>2009</v>
      </c>
      <c r="B81" s="13">
        <f t="shared" ref="B81:W81" si="32">B58/$AA58*100</f>
        <v>1.0617563963130383</v>
      </c>
      <c r="C81" s="13">
        <f t="shared" si="32"/>
        <v>1.649131156561781</v>
      </c>
      <c r="D81" s="13">
        <f t="shared" si="32"/>
        <v>2.0807829357960732</v>
      </c>
      <c r="E81" s="13">
        <f t="shared" si="32"/>
        <v>0.94491154267910094</v>
      </c>
      <c r="F81" s="13">
        <f t="shared" si="32"/>
        <v>0.99971530985308643</v>
      </c>
      <c r="G81" s="13">
        <f t="shared" si="32"/>
        <v>2.0105926064492308</v>
      </c>
      <c r="H81" s="13">
        <f t="shared" si="32"/>
        <v>2.0195048270221077</v>
      </c>
      <c r="I81" s="13">
        <f t="shared" si="32"/>
        <v>1.9084384525120519</v>
      </c>
      <c r="J81" s="13">
        <f t="shared" si="32"/>
        <v>1.9954328880192707</v>
      </c>
      <c r="K81" s="13">
        <f t="shared" si="32"/>
        <v>1.0139380515912297</v>
      </c>
      <c r="L81" s="13">
        <f t="shared" si="32"/>
        <v>1.7483003858422739</v>
      </c>
      <c r="M81" s="13">
        <f t="shared" si="32"/>
        <v>1.9479670037239831</v>
      </c>
      <c r="N81" s="13">
        <f t="shared" si="32"/>
        <v>1.4620989056138896</v>
      </c>
      <c r="O81" s="13">
        <f t="shared" si="32"/>
        <v>1.4100962798145262</v>
      </c>
      <c r="P81" s="13">
        <f t="shared" si="32"/>
        <v>2.1234737711049592</v>
      </c>
      <c r="Q81" s="13">
        <f t="shared" si="32"/>
        <v>1.1403099600432409</v>
      </c>
      <c r="R81" s="13">
        <f t="shared" si="32"/>
        <v>2.1502576133219375</v>
      </c>
      <c r="S81" s="13">
        <f t="shared" si="32"/>
        <v>1.5843043325742137</v>
      </c>
      <c r="T81" s="13">
        <f t="shared" si="32"/>
        <v>1.7779894900865321</v>
      </c>
      <c r="U81" s="13">
        <f t="shared" si="32"/>
        <v>1.576293881676083</v>
      </c>
      <c r="V81" s="13">
        <f t="shared" si="32"/>
        <v>1.7606717500274409</v>
      </c>
      <c r="W81" s="13">
        <f t="shared" si="32"/>
        <v>0.70592554685770581</v>
      </c>
      <c r="X81" s="13">
        <f t="shared" si="23"/>
        <v>1.5843043325742137</v>
      </c>
      <c r="Y81" s="13">
        <f t="shared" si="24"/>
        <v>1.5937477139155636</v>
      </c>
    </row>
    <row r="82" spans="1:25">
      <c r="A82">
        <v>2010</v>
      </c>
      <c r="B82" s="13">
        <f t="shared" ref="B82:W82" si="33">B59/$AA59*100</f>
        <v>1.2979420067869214</v>
      </c>
      <c r="C82" s="13">
        <f t="shared" si="33"/>
        <v>1.7520262470927024</v>
      </c>
      <c r="D82" s="13">
        <f t="shared" si="33"/>
        <v>2.1490734757935761</v>
      </c>
      <c r="E82" s="13">
        <f t="shared" si="33"/>
        <v>1.116230030799813</v>
      </c>
      <c r="F82" s="13">
        <f t="shared" si="33"/>
        <v>1.1248532314386279</v>
      </c>
      <c r="G82" s="13">
        <f t="shared" si="33"/>
        <v>2.1284808916170013</v>
      </c>
      <c r="H82" s="13">
        <f t="shared" si="33"/>
        <v>2.1048081770623774</v>
      </c>
      <c r="I82" s="13">
        <f t="shared" si="33"/>
        <v>1.9837601315017626</v>
      </c>
      <c r="J82" s="13">
        <f t="shared" si="33"/>
        <v>2.0532080023590473</v>
      </c>
      <c r="K82" s="13">
        <f t="shared" si="33"/>
        <v>1.2107149928049521</v>
      </c>
      <c r="L82" s="13">
        <f t="shared" si="33"/>
        <v>1.9195385480414588</v>
      </c>
      <c r="M82" s="13">
        <f t="shared" si="33"/>
        <v>2.0118043595512667</v>
      </c>
      <c r="N82" s="13">
        <f t="shared" si="33"/>
        <v>1.7087867591831254</v>
      </c>
      <c r="O82" s="13">
        <f t="shared" si="33"/>
        <v>1.6529727791230953</v>
      </c>
      <c r="P82" s="13">
        <f t="shared" si="33"/>
        <v>2.2184460399160337</v>
      </c>
      <c r="Q82" s="13">
        <f t="shared" si="33"/>
        <v>1.4246050834604584</v>
      </c>
      <c r="R82" s="13">
        <f t="shared" si="33"/>
        <v>2.3500474995433609</v>
      </c>
      <c r="S82" s="13">
        <f t="shared" si="33"/>
        <v>1.7195539830353819</v>
      </c>
      <c r="T82" s="13">
        <f t="shared" si="33"/>
        <v>1.9784699839936477</v>
      </c>
      <c r="U82" s="13">
        <f t="shared" si="33"/>
        <v>1.7658618213712656</v>
      </c>
      <c r="V82" s="13">
        <f t="shared" si="33"/>
        <v>2.0194038794336047</v>
      </c>
      <c r="W82" s="13">
        <f t="shared" si="33"/>
        <v>0.82231229276191264</v>
      </c>
      <c r="X82" s="13">
        <f t="shared" si="23"/>
        <v>1.7195539830353819</v>
      </c>
      <c r="Y82" s="13">
        <f t="shared" si="24"/>
        <v>1.749237139117686</v>
      </c>
    </row>
    <row r="83" spans="1:25">
      <c r="A83">
        <v>2011</v>
      </c>
      <c r="B83" s="13">
        <f t="shared" ref="B83:W83" si="34">B60/$AA60*100</f>
        <v>1.5933600659455225</v>
      </c>
      <c r="C83" s="13">
        <f t="shared" si="34"/>
        <v>2.0596024152562276</v>
      </c>
      <c r="D83" s="13">
        <f t="shared" si="34"/>
        <v>2.4359872142159631</v>
      </c>
      <c r="E83" s="13">
        <f t="shared" si="34"/>
        <v>1.3481854528418624</v>
      </c>
      <c r="F83" s="13">
        <f t="shared" si="34"/>
        <v>1.2773460722401093</v>
      </c>
      <c r="G83" s="13">
        <f t="shared" si="34"/>
        <v>2.4432490003729019</v>
      </c>
      <c r="H83" s="13">
        <f t="shared" si="34"/>
        <v>2.3666916652450523</v>
      </c>
      <c r="I83" s="13">
        <f t="shared" si="34"/>
        <v>2.2731058310238241</v>
      </c>
      <c r="J83" s="13">
        <f t="shared" si="34"/>
        <v>2.3168320886063012</v>
      </c>
      <c r="K83" s="13">
        <f t="shared" si="34"/>
        <v>1.4432896988413582</v>
      </c>
      <c r="L83" s="13">
        <f t="shared" si="34"/>
        <v>2.2478659241082517</v>
      </c>
      <c r="M83" s="13">
        <f t="shared" si="34"/>
        <v>2.353728924681934</v>
      </c>
      <c r="N83" s="13">
        <f t="shared" si="34"/>
        <v>1.9853109580677133</v>
      </c>
      <c r="O83" s="13">
        <f t="shared" si="34"/>
        <v>1.8015616225314599</v>
      </c>
      <c r="P83" s="13">
        <f t="shared" si="34"/>
        <v>2.486791323411055</v>
      </c>
      <c r="Q83" s="13">
        <f t="shared" si="34"/>
        <v>1.7992798988852605</v>
      </c>
      <c r="R83" s="13">
        <f t="shared" si="34"/>
        <v>2.652913764391188</v>
      </c>
      <c r="S83" s="13">
        <f t="shared" si="34"/>
        <v>1.9990195166142131</v>
      </c>
      <c r="T83" s="13">
        <f t="shared" si="34"/>
        <v>2.3413706289513456</v>
      </c>
      <c r="U83" s="13">
        <f t="shared" si="34"/>
        <v>2.1183934016875248</v>
      </c>
      <c r="V83" s="13">
        <f t="shared" si="34"/>
        <v>2.3329638293825687</v>
      </c>
      <c r="W83" s="13">
        <f t="shared" si="34"/>
        <v>1.0100068112840681</v>
      </c>
      <c r="X83" s="13">
        <f t="shared" si="23"/>
        <v>1.9990195166142131</v>
      </c>
      <c r="Y83" s="13">
        <f t="shared" si="24"/>
        <v>2.0298206793565181</v>
      </c>
    </row>
    <row r="84" spans="1:25">
      <c r="A84">
        <v>2012</v>
      </c>
      <c r="B84" s="13">
        <f t="shared" ref="B84:W84" si="35">B61/$AA61*100</f>
        <v>1.5848079562476622</v>
      </c>
      <c r="C84" s="13">
        <f t="shared" si="35"/>
        <v>1.9923575048004516</v>
      </c>
      <c r="D84" s="13">
        <f t="shared" si="35"/>
        <v>2.3513193486889699</v>
      </c>
      <c r="E84" s="13">
        <f t="shared" si="35"/>
        <v>1.3459495766316971</v>
      </c>
      <c r="F84" s="13">
        <f t="shared" si="35"/>
        <v>1.3309959900580419</v>
      </c>
      <c r="G84" s="13">
        <f t="shared" si="35"/>
        <v>2.3366383063651321</v>
      </c>
      <c r="H84" s="13">
        <f t="shared" si="35"/>
        <v>2.2960111979052882</v>
      </c>
      <c r="I84" s="13">
        <f t="shared" si="35"/>
        <v>2.152650868104923</v>
      </c>
      <c r="J84" s="13">
        <f t="shared" si="35"/>
        <v>2.269255344647505</v>
      </c>
      <c r="K84" s="13">
        <f t="shared" si="35"/>
        <v>1.3396210581986554</v>
      </c>
      <c r="L84" s="13">
        <f t="shared" si="35"/>
        <v>2.2206850571942964</v>
      </c>
      <c r="M84" s="13">
        <f t="shared" si="35"/>
        <v>2.4574544458885539</v>
      </c>
      <c r="N84" s="13">
        <f t="shared" si="35"/>
        <v>1.9560621008573718</v>
      </c>
      <c r="O84" s="13">
        <f t="shared" si="35"/>
        <v>1.8577810198013387</v>
      </c>
      <c r="P84" s="13">
        <f t="shared" si="35"/>
        <v>2.4192451803106314</v>
      </c>
      <c r="Q84" s="13">
        <f t="shared" si="35"/>
        <v>1.857850791678008</v>
      </c>
      <c r="R84" s="13">
        <f t="shared" si="35"/>
        <v>2.6907389662937611</v>
      </c>
      <c r="S84" s="13">
        <f t="shared" si="35"/>
        <v>1.9591951111237218</v>
      </c>
      <c r="T84" s="13">
        <f t="shared" si="35"/>
        <v>2.3505221822526932</v>
      </c>
      <c r="U84" s="13">
        <f t="shared" si="35"/>
        <v>2.0084358546427397</v>
      </c>
      <c r="V84" s="13">
        <f t="shared" si="35"/>
        <v>2.3048697972868433</v>
      </c>
      <c r="W84" s="13">
        <f t="shared" si="35"/>
        <v>1.0186875388201744</v>
      </c>
      <c r="X84" s="13">
        <f t="shared" si="23"/>
        <v>1.9591951111237218</v>
      </c>
      <c r="Y84" s="13">
        <f t="shared" si="24"/>
        <v>2.0026230569096599</v>
      </c>
    </row>
    <row r="85" spans="1:25">
      <c r="A85">
        <v>2013</v>
      </c>
      <c r="B85" s="13">
        <f t="shared" ref="B85:W85" si="36">B62/$AA62*100</f>
        <v>1.4702006698064385</v>
      </c>
      <c r="C85" s="13">
        <f t="shared" si="36"/>
        <v>1.9424688662887521</v>
      </c>
      <c r="D85" s="13">
        <f t="shared" si="36"/>
        <v>2.2931581933446146</v>
      </c>
      <c r="E85" s="13">
        <f t="shared" si="36"/>
        <v>1.2852786336541411</v>
      </c>
      <c r="F85" s="13">
        <f t="shared" si="36"/>
        <v>1.2862764063345584</v>
      </c>
      <c r="G85" s="13">
        <f t="shared" si="36"/>
        <v>2.3373643972157425</v>
      </c>
      <c r="H85" s="13">
        <f t="shared" si="36"/>
        <v>2.2904603878689622</v>
      </c>
      <c r="I85" s="13">
        <f t="shared" si="36"/>
        <v>2.143565733228745</v>
      </c>
      <c r="J85" s="13">
        <f t="shared" si="36"/>
        <v>2.2326894695824211</v>
      </c>
      <c r="K85" s="13">
        <f t="shared" si="36"/>
        <v>1.2381046949878041</v>
      </c>
      <c r="L85" s="13">
        <f t="shared" si="36"/>
        <v>2.2145235039322504</v>
      </c>
      <c r="M85" s="13">
        <f t="shared" si="36"/>
        <v>2.438581607326002</v>
      </c>
      <c r="N85" s="13">
        <f t="shared" si="36"/>
        <v>1.6715541066765489</v>
      </c>
      <c r="O85" s="13">
        <f t="shared" si="36"/>
        <v>1.7595050969036685</v>
      </c>
      <c r="P85" s="13">
        <f t="shared" si="36"/>
        <v>2.4231058312845137</v>
      </c>
      <c r="Q85" s="13">
        <f t="shared" si="36"/>
        <v>1.8486508864823998</v>
      </c>
      <c r="R85" s="13">
        <f t="shared" si="36"/>
        <v>2.7355550465779297</v>
      </c>
      <c r="S85" s="13">
        <f t="shared" si="36"/>
        <v>1.996634936191374</v>
      </c>
      <c r="T85" s="13">
        <f t="shared" si="36"/>
        <v>2.3282371612980781</v>
      </c>
      <c r="U85" s="13">
        <f t="shared" si="36"/>
        <v>1.984246329586574</v>
      </c>
      <c r="V85" s="13">
        <f t="shared" si="36"/>
        <v>2.2064694410828536</v>
      </c>
      <c r="W85" s="13">
        <f t="shared" si="36"/>
        <v>0.97087660796480113</v>
      </c>
      <c r="X85" s="13">
        <f t="shared" si="23"/>
        <v>1.996634936191374</v>
      </c>
      <c r="Y85" s="13">
        <f t="shared" si="24"/>
        <v>1.9606149106004589</v>
      </c>
    </row>
    <row r="86" spans="1:25">
      <c r="A86">
        <v>2014</v>
      </c>
      <c r="B86" s="13">
        <f t="shared" ref="B86:W86" si="37">B63/$AA63*100</f>
        <v>1.3627440853301607</v>
      </c>
      <c r="C86" s="13">
        <f t="shared" si="37"/>
        <v>1.8380792259278311</v>
      </c>
      <c r="D86" s="13">
        <f t="shared" si="37"/>
        <v>2.1718548578611205</v>
      </c>
      <c r="E86" s="13">
        <f t="shared" si="37"/>
        <v>1.1869437115042327</v>
      </c>
      <c r="F86" s="13">
        <f t="shared" si="37"/>
        <v>1.2067939875019005</v>
      </c>
      <c r="G86" s="13">
        <f t="shared" si="37"/>
        <v>2.2421325911611842</v>
      </c>
      <c r="H86" s="13">
        <f t="shared" si="37"/>
        <v>2.1889359908497772</v>
      </c>
      <c r="I86" s="13">
        <f t="shared" si="37"/>
        <v>2.0317586081027579</v>
      </c>
      <c r="J86" s="13">
        <f t="shared" si="37"/>
        <v>2.1015553136543872</v>
      </c>
      <c r="K86" s="13">
        <f t="shared" si="37"/>
        <v>1.1810142424611467</v>
      </c>
      <c r="L86" s="13">
        <f t="shared" si="37"/>
        <v>2.0834310492737709</v>
      </c>
      <c r="M86" s="13">
        <f t="shared" si="37"/>
        <v>2.3372057695760837</v>
      </c>
      <c r="N86" s="13">
        <f t="shared" si="37"/>
        <v>1.5839290360129055</v>
      </c>
      <c r="O86" s="13">
        <f t="shared" si="37"/>
        <v>1.6851819616081065</v>
      </c>
      <c r="P86" s="13">
        <f t="shared" si="37"/>
        <v>2.3177352202071262</v>
      </c>
      <c r="Q86" s="13">
        <f t="shared" si="37"/>
        <v>1.8470272587602219</v>
      </c>
      <c r="R86" s="13">
        <f t="shared" si="37"/>
        <v>2.5676527580507567</v>
      </c>
      <c r="S86" s="13">
        <f t="shared" si="37"/>
        <v>1.8965739746151142</v>
      </c>
      <c r="T86" s="13">
        <f t="shared" si="37"/>
        <v>2.1417293026087112</v>
      </c>
      <c r="U86" s="13">
        <f t="shared" si="37"/>
        <v>1.9084860353838804</v>
      </c>
      <c r="V86" s="13">
        <f t="shared" si="37"/>
        <v>2.1604144264250151</v>
      </c>
      <c r="W86" s="13">
        <f t="shared" si="37"/>
        <v>0.91644141700464832</v>
      </c>
      <c r="X86" s="13">
        <f t="shared" si="23"/>
        <v>1.8965739746151142</v>
      </c>
      <c r="Y86" s="13">
        <f t="shared" si="24"/>
        <v>1.8632258608041716</v>
      </c>
    </row>
    <row r="87" spans="1:25">
      <c r="A87">
        <v>2015</v>
      </c>
      <c r="B87" s="13">
        <f t="shared" ref="B87:W87" si="38">B64/$AA64*100</f>
        <v>0.98453848442253189</v>
      </c>
      <c r="C87" s="13">
        <f t="shared" si="38"/>
        <v>1.3670157922872173</v>
      </c>
      <c r="D87" s="13">
        <f t="shared" si="38"/>
        <v>1.6145111265709406</v>
      </c>
      <c r="E87" s="13">
        <f t="shared" si="38"/>
        <v>0.8490841628841681</v>
      </c>
      <c r="F87" s="13">
        <f t="shared" si="38"/>
        <v>0.82417999999999991</v>
      </c>
      <c r="G87" s="13">
        <f t="shared" si="38"/>
        <v>1.7083009325255996</v>
      </c>
      <c r="H87" s="13">
        <f t="shared" si="38"/>
        <v>1.6695128863871047</v>
      </c>
      <c r="I87" s="13">
        <f t="shared" si="38"/>
        <v>1.54247431852093</v>
      </c>
      <c r="J87" s="13">
        <f t="shared" si="38"/>
        <v>1.5887247642019198</v>
      </c>
      <c r="K87" s="13">
        <f t="shared" si="38"/>
        <v>0.99435121858197106</v>
      </c>
      <c r="L87" s="13">
        <f t="shared" si="38"/>
        <v>1.5568365482058133</v>
      </c>
      <c r="M87" s="13">
        <f t="shared" si="38"/>
        <v>1.7486657511493757</v>
      </c>
      <c r="N87" s="13">
        <f t="shared" si="38"/>
        <v>1.1711880103687171</v>
      </c>
      <c r="O87" s="13">
        <f t="shared" si="38"/>
        <v>1.3879200313629982</v>
      </c>
      <c r="P87" s="13">
        <f t="shared" si="38"/>
        <v>1.777849270862959</v>
      </c>
      <c r="Q87" s="13">
        <f t="shared" si="38"/>
        <v>1.408044062737672</v>
      </c>
      <c r="R87" s="13">
        <f t="shared" si="38"/>
        <v>1.9223538702431777</v>
      </c>
      <c r="S87" s="13">
        <f t="shared" si="38"/>
        <v>1.4007622975517426</v>
      </c>
      <c r="T87" s="13">
        <f t="shared" si="38"/>
        <v>1.6028569995487234</v>
      </c>
      <c r="U87" s="13">
        <f t="shared" si="38"/>
        <v>1.5512504674422107</v>
      </c>
      <c r="V87" s="13">
        <f t="shared" si="38"/>
        <v>1.7461975475313363</v>
      </c>
      <c r="W87" s="13">
        <f t="shared" si="38"/>
        <v>0.65917229583333325</v>
      </c>
      <c r="X87" s="13">
        <f t="shared" si="23"/>
        <v>1.4007622975517426</v>
      </c>
      <c r="Y87" s="13">
        <f t="shared" si="24"/>
        <v>1.4120240494248775</v>
      </c>
    </row>
    <row r="88" spans="1:25">
      <c r="A88">
        <v>2016</v>
      </c>
      <c r="B88" s="13">
        <f t="shared" ref="B88:W88" si="39">B65/$AA65*100</f>
        <v>0.88044494434141485</v>
      </c>
      <c r="C88" s="13">
        <f t="shared" si="39"/>
        <v>1.2441080081802447</v>
      </c>
      <c r="D88" s="13">
        <f t="shared" si="39"/>
        <v>1.4699352441198299</v>
      </c>
      <c r="E88" s="13">
        <f t="shared" si="39"/>
        <v>0.77158209666689281</v>
      </c>
      <c r="F88" s="13">
        <f t="shared" si="39"/>
        <v>0.75212473390241319</v>
      </c>
      <c r="G88" s="13">
        <f t="shared" si="39"/>
        <v>1.5821874360007044</v>
      </c>
      <c r="H88" s="13">
        <f t="shared" si="39"/>
        <v>1.5456929891630606</v>
      </c>
      <c r="I88" s="13">
        <f t="shared" si="39"/>
        <v>1.4565085947014338</v>
      </c>
      <c r="J88" s="13">
        <f t="shared" si="39"/>
        <v>1.4612688956817899</v>
      </c>
      <c r="K88" s="13">
        <f t="shared" si="39"/>
        <v>0.95121173406078063</v>
      </c>
      <c r="L88" s="13">
        <f t="shared" si="39"/>
        <v>1.4361924101054515</v>
      </c>
      <c r="M88" s="13">
        <f t="shared" si="39"/>
        <v>1.6155386468996658</v>
      </c>
      <c r="N88" s="13">
        <f t="shared" si="39"/>
        <v>1.1348941941040496</v>
      </c>
      <c r="O88" s="13">
        <f t="shared" si="39"/>
        <v>1.2192218597334059</v>
      </c>
      <c r="P88" s="13">
        <f t="shared" si="39"/>
        <v>1.6533331486586718</v>
      </c>
      <c r="Q88" s="13">
        <f t="shared" si="39"/>
        <v>1.33087893718232</v>
      </c>
      <c r="R88" s="13">
        <f t="shared" si="39"/>
        <v>1.7846744414431119</v>
      </c>
      <c r="S88" s="13">
        <f t="shared" si="39"/>
        <v>1.2866928104648911</v>
      </c>
      <c r="T88" s="13">
        <f t="shared" si="39"/>
        <v>1.5497194206699836</v>
      </c>
      <c r="U88" s="13">
        <f t="shared" si="39"/>
        <v>1.4377125277865987</v>
      </c>
      <c r="V88" s="13">
        <f t="shared" si="39"/>
        <v>1.4897523445426626</v>
      </c>
      <c r="W88" s="13">
        <f t="shared" si="39"/>
        <v>0.58421708333333333</v>
      </c>
      <c r="X88" s="13">
        <f t="shared" si="23"/>
        <v>1.2866928104648911</v>
      </c>
      <c r="Y88" s="13">
        <f t="shared" si="24"/>
        <v>1.3010689266177218</v>
      </c>
    </row>
    <row r="89" spans="1:25">
      <c r="A89">
        <v>2017</v>
      </c>
      <c r="B89" s="13">
        <f t="shared" ref="B89:W89" si="40">B66/$AA66*100</f>
        <v>0.98467215336698788</v>
      </c>
      <c r="C89" s="13">
        <f t="shared" si="40"/>
        <v>1.3348649124832646</v>
      </c>
      <c r="D89" s="13">
        <f t="shared" si="40"/>
        <v>1.5913859132727608</v>
      </c>
      <c r="E89" s="13">
        <f t="shared" si="40"/>
        <v>0.86069830772822509</v>
      </c>
      <c r="F89" s="13">
        <f t="shared" si="40"/>
        <v>0.72</v>
      </c>
      <c r="G89" s="13">
        <f t="shared" si="40"/>
        <v>1.6875646198514307</v>
      </c>
      <c r="H89" s="13">
        <f t="shared" si="40"/>
        <v>1.660101057079336</v>
      </c>
      <c r="I89" s="13">
        <f t="shared" si="40"/>
        <v>1.5592651548032868</v>
      </c>
      <c r="J89" s="13">
        <f t="shared" si="40"/>
        <v>1.5575691380983383</v>
      </c>
      <c r="K89" s="13">
        <f t="shared" si="40"/>
        <v>1.0515620829548709</v>
      </c>
      <c r="L89" s="13">
        <f t="shared" si="40"/>
        <v>1.5461414319580415</v>
      </c>
      <c r="M89" s="13">
        <f t="shared" si="40"/>
        <v>1.7318856443368991</v>
      </c>
      <c r="N89" s="13">
        <f t="shared" si="40"/>
        <v>1.1920999013176987</v>
      </c>
      <c r="O89" s="13">
        <f t="shared" si="40"/>
        <v>1.3249214967578729</v>
      </c>
      <c r="P89" s="13">
        <f t="shared" si="40"/>
        <v>1.7596286683944824</v>
      </c>
      <c r="Q89" s="13">
        <f t="shared" si="40"/>
        <v>1.4380459588444365</v>
      </c>
      <c r="R89" s="13">
        <f t="shared" si="40"/>
        <v>1.9648927935342015</v>
      </c>
      <c r="S89" s="13">
        <f t="shared" si="40"/>
        <v>1.3795778534189864</v>
      </c>
      <c r="T89" s="13">
        <f t="shared" si="40"/>
        <v>1.6501249417070989</v>
      </c>
      <c r="U89" s="13">
        <f t="shared" si="40"/>
        <v>1.5261753844457913</v>
      </c>
      <c r="V89" s="13">
        <f t="shared" si="40"/>
        <v>1.5203168567427807</v>
      </c>
      <c r="W89" s="13">
        <f t="shared" si="40"/>
        <v>0.6386666666666666</v>
      </c>
      <c r="X89" s="13">
        <f t="shared" si="23"/>
        <v>1.3795778534189864</v>
      </c>
      <c r="Y89" s="13">
        <f t="shared" si="24"/>
        <v>1.3939016865731499</v>
      </c>
    </row>
    <row r="90" spans="1:25">
      <c r="A90">
        <v>2018</v>
      </c>
      <c r="B90" s="13">
        <f>Australia!AF147/'Country Petrol Prices'!B$43</f>
        <v>1.0856264877966249</v>
      </c>
      <c r="C90" s="13">
        <f>Austria!AD85/'Country Petrol Prices'!C$43</f>
        <v>1.4062130920679441</v>
      </c>
      <c r="D90" s="13">
        <f>Belgium!AB88/'Country Petrol Prices'!D$43</f>
        <v>1.6833137153574458</v>
      </c>
      <c r="E90" s="13">
        <f>Canada!AB86/'Country Petrol Prices'!E$43</f>
        <v>0.96800097730357282</v>
      </c>
      <c r="F90" s="13">
        <f>China!AB85/'Country Petrol Prices'!F$43</f>
        <v>0.82740487310379796</v>
      </c>
      <c r="G90" s="13">
        <f>Denmark!AC86/'Country Petrol Prices'!G$43</f>
        <v>1.7856241687382455</v>
      </c>
      <c r="H90" s="13">
        <f>Finland!AB88/'Country Petrol Prices'!H$43</f>
        <v>1.7368326369755553</v>
      </c>
      <c r="I90" s="13">
        <f>France!AB89/'Country Petrol Prices'!I$43</f>
        <v>1.6752876148583933</v>
      </c>
      <c r="J90" s="13">
        <f>Germany!AA90/'Country Petrol Prices'!J$43</f>
        <v>1.6035707009135813</v>
      </c>
      <c r="K90" s="13">
        <f>India!AB90/'Country Petrol Prices'!K$43</f>
        <v>1.141392972748289</v>
      </c>
      <c r="L90" s="13">
        <f>Ireland!AB88/'Country Petrol Prices'!L$43</f>
        <v>1.6065869838324613</v>
      </c>
      <c r="M90" s="13">
        <f>Italy!AB88/'Country Petrol Prices'!M$43</f>
        <v>1.7959712501124805</v>
      </c>
      <c r="N90" s="13">
        <f>Japan!AA90/'Country Petrol Prices'!N$43</f>
        <v>1.3240483510157133</v>
      </c>
      <c r="O90" s="13">
        <f>Korea!AB93/'Country Petrol Prices'!O$43</f>
        <v>1.3852348086473871</v>
      </c>
      <c r="P90" s="13">
        <f>'Netherlands '!AD93/'Country Petrol Prices'!P$43</f>
        <v>1.8169043780252834</v>
      </c>
      <c r="Q90" s="13">
        <f>'New Zealand'!AC93/'Country Petrol Prices'!Q$43</f>
        <v>1.5782434745983263</v>
      </c>
      <c r="R90" s="13">
        <f>'Norway with subs'!AB85/'Country Petrol Prices'!R$43</f>
        <v>2.0681635270898795</v>
      </c>
      <c r="S90" s="13">
        <f>Spain!AB90/'Country Petrol Prices'!S$43</f>
        <v>1.4384689405557625</v>
      </c>
      <c r="T90" s="13">
        <f>Sweden!AC91/'Country Petrol Prices'!T$43</f>
        <v>1.7995039629862444</v>
      </c>
      <c r="U90" s="13">
        <f>Switzerland!AB90/'Country Petrol Prices'!U$43</f>
        <v>1.6329199675068899</v>
      </c>
      <c r="V90" s="13">
        <f>Britain!AB87/'Country Petrol Prices'!V$43</f>
        <v>1.5920742851265945</v>
      </c>
      <c r="W90" s="13">
        <f>USA!AD90</f>
        <v>0.70125815672771308</v>
      </c>
      <c r="X90" s="13">
        <f t="shared" si="23"/>
        <v>1.4384689405557625</v>
      </c>
      <c r="Y90" s="13">
        <f t="shared" si="24"/>
        <v>1.4822223594193018</v>
      </c>
    </row>
    <row r="91" spans="1:25">
      <c r="A91">
        <v>2019</v>
      </c>
      <c r="B91" s="13">
        <f>Australia!AF148/'Country Petrol Prices'!B$43</f>
        <v>1.0667041514308158</v>
      </c>
      <c r="C91" s="13">
        <f>Austria!AD86/'Country Petrol Prices'!C$43</f>
        <v>1.3921051288880031</v>
      </c>
      <c r="D91" s="13">
        <f>Belgium!AB89/'Country Petrol Prices'!D$43</f>
        <v>1.6505646800190228</v>
      </c>
      <c r="E91" s="13">
        <f>Canada!AB87/'Country Petrol Prices'!E$43</f>
        <v>0.9165233801249244</v>
      </c>
      <c r="F91" s="13">
        <f>China!AB86/'Country Petrol Prices'!F$43</f>
        <v>0.80192714976484336</v>
      </c>
      <c r="G91" s="13">
        <f>Denmark!AC87/'Country Petrol Prices'!G$43</f>
        <v>1.744530487852533</v>
      </c>
      <c r="H91" s="13">
        <f>Finland!AB89/'Country Petrol Prices'!H$43</f>
        <v>1.7136977294284952</v>
      </c>
      <c r="I91" s="13">
        <f>France!AB90/'Country Petrol Prices'!I$43</f>
        <v>1.6135370615896467</v>
      </c>
      <c r="J91" s="13">
        <f>Germany!AA91/'Country Petrol Prices'!J$43</f>
        <v>1.6160500088165841</v>
      </c>
      <c r="K91" s="13">
        <f>India!AB91/'Country Petrol Prices'!K$43</f>
        <v>1.1231837686123274</v>
      </c>
      <c r="L91" s="13">
        <f>Ireland!AB89/'Country Petrol Prices'!L$43</f>
        <v>1.5942249214639796</v>
      </c>
      <c r="M91" s="13">
        <f>Italy!AB89/'Country Petrol Prices'!M$43</f>
        <v>1.7893431639615363</v>
      </c>
      <c r="N91" s="13">
        <f>Japan!AA91/'Country Petrol Prices'!N$43</f>
        <v>1.2652546294533331</v>
      </c>
      <c r="O91" s="13">
        <f>Korea!AB94/'Country Petrol Prices'!O$43</f>
        <v>1.3934428721551684</v>
      </c>
      <c r="P91" s="13">
        <f>'Netherlands '!AD94/'Country Petrol Prices'!P$43</f>
        <v>1.8156811975404132</v>
      </c>
      <c r="Q91" s="13">
        <f>'New Zealand'!AC94/'Country Petrol Prices'!Q$43</f>
        <v>1.5518690560495125</v>
      </c>
      <c r="R91" s="13">
        <f>'Norway with subs'!AB86/'Country Petrol Prices'!R$43</f>
        <v>2.0381302736330631</v>
      </c>
      <c r="S91" s="13">
        <f>Spain!AB91/'Country Petrol Prices'!S$43</f>
        <v>1.4299446726124643</v>
      </c>
      <c r="T91" s="13">
        <f>Sweden!AC92/'Country Petrol Prices'!T$43</f>
        <v>1.7377063703372333</v>
      </c>
      <c r="U91" s="13">
        <f>Switzerland!AB91/'Country Petrol Prices'!U$43</f>
        <v>1.56545195041662</v>
      </c>
      <c r="V91" s="13">
        <f>Britain!AB88/'Country Petrol Prices'!V$43</f>
        <v>1.5694189598250516</v>
      </c>
      <c r="W91" s="13">
        <f>USA!AD91</f>
        <v>0.68577595796098922</v>
      </c>
      <c r="X91" s="13">
        <f t="shared" si="23"/>
        <v>1.4299446726124643</v>
      </c>
      <c r="Y91" s="13">
        <f t="shared" si="24"/>
        <v>1.4567396628064793</v>
      </c>
    </row>
    <row r="92" spans="1:25">
      <c r="A92">
        <v>2020</v>
      </c>
      <c r="B92" s="13">
        <f>Australia!AF149/'Country Petrol Prices'!B$43</f>
        <v>1.0683947142001997</v>
      </c>
      <c r="C92" s="13">
        <f>Austria!AD87/'Country Petrol Prices'!C$43</f>
        <v>1.3938336527975688</v>
      </c>
      <c r="D92" s="13">
        <f>Belgium!AB90/'Country Petrol Prices'!D$43</f>
        <v>1.6526336457720234</v>
      </c>
      <c r="E92" s="13">
        <f>Canada!AB88/'Country Petrol Prices'!E$43</f>
        <v>0.91792801496001186</v>
      </c>
      <c r="F92" s="13">
        <f>China!AB87/'Country Petrol Prices'!F$43</f>
        <v>0.80399958001171279</v>
      </c>
      <c r="G92" s="13">
        <f>Denmark!AC88/'Country Petrol Prices'!G$43</f>
        <v>1.7464679641620069</v>
      </c>
      <c r="H92" s="13">
        <f>Finland!AB90/'Country Petrol Prices'!H$43</f>
        <v>1.7154902850858798</v>
      </c>
      <c r="I92" s="13">
        <f>France!AB91/'Country Petrol Prices'!I$43</f>
        <v>1.6153208751709105</v>
      </c>
      <c r="J92" s="13">
        <f>Germany!AA92/'Country Petrol Prices'!J$43</f>
        <v>1.617794175884202</v>
      </c>
      <c r="K92" s="13">
        <f>India!AB92/'Country Petrol Prices'!K$43</f>
        <v>1.1253872159853371</v>
      </c>
      <c r="L92" s="13">
        <f>Ireland!AB90/'Country Petrol Prices'!L$43</f>
        <v>1.5959836490337869</v>
      </c>
      <c r="M92" s="13">
        <f>Italy!AB90/'Country Petrol Prices'!M$43</f>
        <v>1.7912929763410788</v>
      </c>
      <c r="N92" s="13">
        <f>Japan!AA92/'Country Petrol Prices'!N$43</f>
        <v>1.2672223555234978</v>
      </c>
      <c r="O92" s="13">
        <f>Korea!AB95/'Country Petrol Prices'!O$43</f>
        <v>1.3952508161618615</v>
      </c>
      <c r="P92" s="13">
        <f>'Netherlands '!AD95/'Country Petrol Prices'!P$43</f>
        <v>1.8174873703734085</v>
      </c>
      <c r="Q92" s="13">
        <f>'New Zealand'!AC95/'Country Petrol Prices'!Q$43</f>
        <v>1.5541316043198661</v>
      </c>
      <c r="R92" s="13">
        <f>'Norway with subs'!AB87/'Country Petrol Prices'!R$43</f>
        <v>2.0404105787388667</v>
      </c>
      <c r="S92" s="13">
        <f>Spain!AB92/'Country Petrol Prices'!S$43</f>
        <v>1.4316123815448969</v>
      </c>
      <c r="T92" s="13">
        <f>Sweden!AC93/'Country Petrol Prices'!T$43</f>
        <v>1.7396131479475907</v>
      </c>
      <c r="U92" s="13">
        <f>Switzerland!AB92/'Country Petrol Prices'!U$43</f>
        <v>1.5670811500857842</v>
      </c>
      <c r="V92" s="13">
        <f>Britain!AB89/'Country Petrol Prices'!V$43</f>
        <v>1.5712330853275389</v>
      </c>
      <c r="W92" s="13">
        <f>USA!AD92</f>
        <v>0.70237756205566781</v>
      </c>
      <c r="X92" s="13">
        <f t="shared" si="23"/>
        <v>1.4316123815448969</v>
      </c>
      <c r="Y92" s="13">
        <f t="shared" si="24"/>
        <v>1.459241703609939</v>
      </c>
    </row>
    <row r="93" spans="1:25">
      <c r="A93">
        <v>2021</v>
      </c>
      <c r="B93" s="13">
        <f>Australia!AF150/'Country Petrol Prices'!B$43</f>
        <v>1.1182025679916232</v>
      </c>
      <c r="C93" s="13">
        <f>Austria!AD88/'Country Petrol Prices'!C$43</f>
        <v>1.4447599287819857</v>
      </c>
      <c r="D93" s="13">
        <f>Belgium!AB91/'Country Petrol Prices'!D$43</f>
        <v>1.7135901187236142</v>
      </c>
      <c r="E93" s="13">
        <f>Canada!AB89/'Country Petrol Prices'!E$43</f>
        <v>0.95931177648805899</v>
      </c>
      <c r="F93" s="13">
        <f>China!AB88/'Country Petrol Prices'!F$43</f>
        <v>0.8650581248929613</v>
      </c>
      <c r="G93" s="13">
        <f>Denmark!AC89/'Country Petrol Prices'!G$43</f>
        <v>1.8035504567462906</v>
      </c>
      <c r="H93" s="13">
        <f>Finland!AB91/'Country Petrol Prices'!H$43</f>
        <v>1.7683030831155804</v>
      </c>
      <c r="I93" s="13">
        <f>France!AB92/'Country Petrol Prices'!I$43</f>
        <v>1.667876111602095</v>
      </c>
      <c r="J93" s="13">
        <f>Germany!AA93/'Country Petrol Prices'!J$43</f>
        <v>1.6691813351574341</v>
      </c>
      <c r="K93" s="13">
        <f>India!AB93/'Country Petrol Prices'!K$43</f>
        <v>1.1903058256811785</v>
      </c>
      <c r="L93" s="13">
        <f>Ireland!AB91/'Country Petrol Prices'!L$43</f>
        <v>1.6477997940727616</v>
      </c>
      <c r="M93" s="13">
        <f>Italy!AB91/'Country Petrol Prices'!M$43</f>
        <v>1.8487389178226701</v>
      </c>
      <c r="N93" s="13">
        <f>Japan!AA93/'Country Petrol Prices'!N$43</f>
        <v>1.3251960753872454</v>
      </c>
      <c r="O93" s="13">
        <f>Korea!AB96/'Country Petrol Prices'!O$43</f>
        <v>1.448516990230784</v>
      </c>
      <c r="P93" s="13">
        <f>'Netherlands '!AD96/'Country Petrol Prices'!P$43</f>
        <v>1.8707013616058439</v>
      </c>
      <c r="Q93" s="13">
        <f>'New Zealand'!AC96/'Country Petrol Prices'!Q$43</f>
        <v>1.6207914619049635</v>
      </c>
      <c r="R93" s="13">
        <f>'Norway with subs'!AB88/'Country Petrol Prices'!R$43</f>
        <v>2.1075935933932635</v>
      </c>
      <c r="S93" s="13">
        <f>Spain!AB93/'Country Petrol Prices'!S$43</f>
        <v>1.4807469089209631</v>
      </c>
      <c r="T93" s="13">
        <f>Sweden!AC94/'Country Petrol Prices'!T$43</f>
        <v>1.7957911864974756</v>
      </c>
      <c r="U93" s="13">
        <f>Switzerland!AB93/'Country Petrol Prices'!U$43</f>
        <v>1.6150811063064869</v>
      </c>
      <c r="V93" s="13">
        <f>Britain!AB90/'Country Petrol Prices'!V$43</f>
        <v>1.6246813804299403</v>
      </c>
      <c r="W93" s="13">
        <f>USA!AD93</f>
        <v>0.77051792492928828</v>
      </c>
      <c r="X93" s="13">
        <f t="shared" si="23"/>
        <v>1.4807469089209631</v>
      </c>
      <c r="Y93" s="13">
        <f t="shared" si="24"/>
        <v>1.5146540408523248</v>
      </c>
    </row>
    <row r="94" spans="1:25">
      <c r="A94">
        <v>2022</v>
      </c>
      <c r="B94" s="13">
        <f>Australia!AF151/'Country Petrol Prices'!B$43</f>
        <v>1.1552879399401335</v>
      </c>
      <c r="C94" s="13">
        <f>Austria!AD89/'Country Petrol Prices'!C$43</f>
        <v>1.4826780429561772</v>
      </c>
      <c r="D94" s="13">
        <f>Belgium!AB92/'Country Petrol Prices'!D$43</f>
        <v>1.7589764042187814</v>
      </c>
      <c r="E94" s="13">
        <f>Canada!AB90/'Country Petrol Prices'!E$43</f>
        <v>0.99012483250374206</v>
      </c>
      <c r="F94" s="13">
        <f>China!AB89/'Country Petrol Prices'!F$43</f>
        <v>0.91052040995825045</v>
      </c>
      <c r="G94" s="13">
        <f>Denmark!AC90/'Country Petrol Prices'!G$43</f>
        <v>1.8460522974821141</v>
      </c>
      <c r="H94" s="13">
        <f>Finland!AB92/'Country Petrol Prices'!H$43</f>
        <v>1.8076258426702247</v>
      </c>
      <c r="I94" s="13">
        <f>France!AB93/'Country Petrol Prices'!I$43</f>
        <v>1.7070070988366426</v>
      </c>
      <c r="J94" s="13">
        <f>Germany!AA94/'Country Petrol Prices'!J$43</f>
        <v>1.7074426086306007</v>
      </c>
      <c r="K94" s="13">
        <f>India!AB94/'Country Petrol Prices'!K$43</f>
        <v>1.2386421944199784</v>
      </c>
      <c r="L94" s="13">
        <f>Ireland!AB92/'Country Petrol Prices'!L$43</f>
        <v>1.6863804769456947</v>
      </c>
      <c r="M94" s="13">
        <f>Italy!AB92/'Country Petrol Prices'!M$43</f>
        <v>1.8915113712533782</v>
      </c>
      <c r="N94" s="13">
        <f>Japan!AA94/'Country Petrol Prices'!N$43</f>
        <v>1.3683614961136465</v>
      </c>
      <c r="O94" s="13">
        <f>Korea!AB97/'Country Petrol Prices'!O$43</f>
        <v>1.4881773194208814</v>
      </c>
      <c r="P94" s="13">
        <f>'Netherlands '!AD97/'Country Petrol Prices'!P$43</f>
        <v>1.9103228370860714</v>
      </c>
      <c r="Q94" s="13">
        <f>'New Zealand'!AC97/'Country Petrol Prices'!Q$43</f>
        <v>1.6704243094259654</v>
      </c>
      <c r="R94" s="13">
        <f>'Norway with subs'!AB89/'Country Petrol Prices'!R$43</f>
        <v>2.1576159673247739</v>
      </c>
      <c r="S94" s="13">
        <f>Spain!AB94/'Country Petrol Prices'!S$43</f>
        <v>1.5173309430551427</v>
      </c>
      <c r="T94" s="13">
        <f>Sweden!AC95/'Country Petrol Prices'!T$43</f>
        <v>1.8376195990141984</v>
      </c>
      <c r="U94" s="13">
        <f>Switzerland!AB94/'Country Petrol Prices'!U$43</f>
        <v>1.6508203742020955</v>
      </c>
      <c r="V94" s="13">
        <f>Britain!AB91/'Country Petrol Prices'!V$43</f>
        <v>1.6644773112521523</v>
      </c>
      <c r="W94" s="13">
        <f>USA!AD94</f>
        <v>0.82173917097471105</v>
      </c>
      <c r="X94" s="13">
        <f t="shared" si="23"/>
        <v>1.5173309430551427</v>
      </c>
      <c r="Y94" s="13">
        <f t="shared" si="24"/>
        <v>1.5559334691626303</v>
      </c>
    </row>
    <row r="95" spans="1:25">
      <c r="A95">
        <v>2023</v>
      </c>
      <c r="B95" s="13">
        <f>Australia!AF152/'Country Petrol Prices'!B$43</f>
        <v>1.1723533772898145</v>
      </c>
      <c r="C95" s="13">
        <f>Austria!AD90/'Country Petrol Prices'!C$43</f>
        <v>1.5001266801912609</v>
      </c>
      <c r="D95" s="13">
        <f>Belgium!AB93/'Country Petrol Prices'!D$43</f>
        <v>1.7798616420081683</v>
      </c>
      <c r="E95" s="13">
        <f>Canada!AB91/'Country Petrol Prices'!E$43</f>
        <v>1.0043039616147547</v>
      </c>
      <c r="F95" s="13">
        <f>China!AB90/'Country Petrol Prices'!F$43</f>
        <v>0.93144062018648266</v>
      </c>
      <c r="G95" s="13">
        <f>Denmark!AC91/'Country Petrol Prices'!G$43</f>
        <v>1.8656102110802395</v>
      </c>
      <c r="H95" s="13">
        <f>Finland!AB93/'Country Petrol Prices'!H$43</f>
        <v>1.8257208503333013</v>
      </c>
      <c r="I95" s="13">
        <f>France!AB94/'Country Petrol Prices'!I$43</f>
        <v>1.7250138593461368</v>
      </c>
      <c r="J95" s="13">
        <f>Germany!AA95/'Country Petrol Prices'!J$43</f>
        <v>1.7250491562009445</v>
      </c>
      <c r="K95" s="13">
        <f>India!AB95/'Country Petrol Prices'!K$43</f>
        <v>1.2608849610172324</v>
      </c>
      <c r="L95" s="13">
        <f>Ireland!AB93/'Country Petrol Prices'!L$43</f>
        <v>1.7041340059487227</v>
      </c>
      <c r="M95" s="13">
        <f>Italy!AB93/'Country Petrol Prices'!M$43</f>
        <v>1.9111938116864242</v>
      </c>
      <c r="N95" s="13">
        <f>Japan!AA95/'Country Petrol Prices'!N$43</f>
        <v>1.3882247668421095</v>
      </c>
      <c r="O95" s="13">
        <f>Korea!AB98/'Country Petrol Prices'!O$43</f>
        <v>1.5064276652445938</v>
      </c>
      <c r="P95" s="13">
        <f>'Netherlands '!AD98/'Country Petrol Prices'!P$43</f>
        <v>1.9285553037429657</v>
      </c>
      <c r="Q95" s="13">
        <f>'New Zealand'!AC98/'Country Petrol Prices'!Q$43</f>
        <v>1.6932636718309564</v>
      </c>
      <c r="R95" s="13">
        <f>'Norway with subs'!AB90/'Country Petrol Prices'!R$43</f>
        <v>2.180634576645875</v>
      </c>
      <c r="S95" s="13">
        <f>Spain!AB95/'Country Petrol Prices'!S$43</f>
        <v>1.5341656816518663</v>
      </c>
      <c r="T95" s="13">
        <f>Sweden!AC96/'Country Petrol Prices'!T$43</f>
        <v>1.856867623659382</v>
      </c>
      <c r="U95" s="13">
        <f>Switzerland!AB95/'Country Petrol Prices'!U$43</f>
        <v>1.6672663798682317</v>
      </c>
      <c r="V95" s="13">
        <f>Britain!AB92/'Country Petrol Prices'!V$43</f>
        <v>1.682790056373372</v>
      </c>
      <c r="W95" s="13">
        <f>USA!AD95</f>
        <v>0.85415904095508421</v>
      </c>
      <c r="X95" s="13">
        <f t="shared" si="23"/>
        <v>1.5341656816518663</v>
      </c>
      <c r="Y95" s="13">
        <f t="shared" si="24"/>
        <v>1.5753136341465122</v>
      </c>
    </row>
    <row r="96" spans="1:25">
      <c r="A96">
        <v>2024</v>
      </c>
      <c r="B96" s="13">
        <f>Australia!AF153/'Country Petrol Prices'!B$43</f>
        <v>1.176865265455185</v>
      </c>
      <c r="C96" s="13">
        <f>Austria!AD91/'Country Petrol Prices'!C$43</f>
        <v>1.5047398816129225</v>
      </c>
      <c r="D96" s="13">
        <f>Belgium!AB94/'Country Petrol Prices'!D$43</f>
        <v>1.7853834376282873</v>
      </c>
      <c r="E96" s="13">
        <f>Canada!AB92/'Country Petrol Prices'!E$43</f>
        <v>1.0080527459863682</v>
      </c>
      <c r="F96" s="13">
        <f>China!AB91/'Country Petrol Prices'!F$43</f>
        <v>0.93697166208196569</v>
      </c>
      <c r="G96" s="13">
        <f>Denmark!AC92/'Country Petrol Prices'!G$43</f>
        <v>1.8707810787875578</v>
      </c>
      <c r="H96" s="13">
        <f>Finland!AB94/'Country Petrol Prices'!H$43</f>
        <v>1.8305049440107397</v>
      </c>
      <c r="I96" s="13">
        <f>France!AB95/'Country Petrol Prices'!I$43</f>
        <v>1.7297746215800427</v>
      </c>
      <c r="J96" s="13">
        <f>Germany!AA96/'Country Petrol Prices'!J$43</f>
        <v>1.7297041071399633</v>
      </c>
      <c r="K96" s="13">
        <f>India!AB96/'Country Petrol Prices'!K$43</f>
        <v>1.2667656702729564</v>
      </c>
      <c r="L96" s="13">
        <f>Ireland!AB94/'Country Petrol Prices'!L$43</f>
        <v>1.7088278169399669</v>
      </c>
      <c r="M96" s="13">
        <f>Italy!AB94/'Country Petrol Prices'!M$43</f>
        <v>1.9163976027312009</v>
      </c>
      <c r="N96" s="13">
        <f>Japan!AA96/'Country Petrol Prices'!N$43</f>
        <v>1.3934763671550063</v>
      </c>
      <c r="O96" s="13">
        <f>Korea!AB99/'Country Petrol Prices'!O$43</f>
        <v>1.5112528283885942</v>
      </c>
      <c r="P96" s="13">
        <f>'Netherlands '!AD99/'Country Petrol Prices'!P$43</f>
        <v>1.9333757398589084</v>
      </c>
      <c r="Q96" s="13">
        <f>'New Zealand'!AC99/'Country Petrol Prices'!Q$43</f>
        <v>1.6993021135554878</v>
      </c>
      <c r="R96" s="13">
        <f>'Norway with subs'!AB91/'Country Petrol Prices'!R$43</f>
        <v>2.1867204090128438</v>
      </c>
      <c r="S96" s="13">
        <f>Spain!AB96/'Country Petrol Prices'!S$43</f>
        <v>1.538616575952743</v>
      </c>
      <c r="T96" s="13">
        <f>Sweden!AC97/'Country Petrol Prices'!T$43</f>
        <v>1.8619565606039123</v>
      </c>
      <c r="U96" s="13">
        <f>Switzerland!AB96/'Country Petrol Prices'!U$43</f>
        <v>1.6716144980448833</v>
      </c>
      <c r="V96" s="13">
        <f>Britain!AB93/'Country Petrol Prices'!V$43</f>
        <v>1.6876317171110859</v>
      </c>
      <c r="W96" s="13">
        <f>USA!AD96</f>
        <v>0.86509962099005722</v>
      </c>
      <c r="X96" s="13">
        <f t="shared" si="23"/>
        <v>1.538616575952743</v>
      </c>
      <c r="Y96" s="13">
        <f t="shared" si="24"/>
        <v>1.5805405148197142</v>
      </c>
    </row>
    <row r="97" spans="1:25">
      <c r="A97">
        <v>2025</v>
      </c>
      <c r="B97" s="13">
        <f>Australia!AF154/'Country Petrol Prices'!B$43</f>
        <v>1.2004733721463738</v>
      </c>
      <c r="C97" s="13">
        <f>Austria!AD92/'Country Petrol Prices'!C$43</f>
        <v>1.5288781021003925</v>
      </c>
      <c r="D97" s="13">
        <f>Belgium!AB95/'Country Petrol Prices'!D$43</f>
        <v>1.8142758071527001</v>
      </c>
      <c r="E97" s="13">
        <f>Canada!AB93/'Country Petrol Prices'!E$43</f>
        <v>1.0276679709572762</v>
      </c>
      <c r="F97" s="13">
        <f>China!AB92/'Country Petrol Prices'!F$43</f>
        <v>0.96591241202878375</v>
      </c>
      <c r="G97" s="13">
        <f>Denmark!AC93/'Country Petrol Prices'!G$43</f>
        <v>1.8978372450855883</v>
      </c>
      <c r="H97" s="13">
        <f>Finland!AB95/'Country Petrol Prices'!H$43</f>
        <v>1.8555373450406367</v>
      </c>
      <c r="I97" s="13">
        <f>France!AB96/'Country Petrol Prices'!I$43</f>
        <v>1.7546849426318949</v>
      </c>
      <c r="J97" s="13">
        <f>Germany!AA97/'Country Petrol Prices'!J$43</f>
        <v>1.7540607787556446</v>
      </c>
      <c r="K97" s="13">
        <f>India!AB97/'Country Petrol Prices'!K$43</f>
        <v>1.2975360277021493</v>
      </c>
      <c r="L97" s="13">
        <f>Ireland!AB95/'Country Petrol Prices'!L$43</f>
        <v>1.7333878207805031</v>
      </c>
      <c r="M97" s="13">
        <f>Italy!AB95/'Country Petrol Prices'!M$43</f>
        <v>1.9436260378521442</v>
      </c>
      <c r="N97" s="13">
        <f>Japan!AA97/'Country Petrol Prices'!N$43</f>
        <v>1.4209549605824576</v>
      </c>
      <c r="O97" s="13">
        <f>Korea!AB100/'Country Petrol Prices'!O$43</f>
        <v>1.5365001222333874</v>
      </c>
      <c r="P97" s="13">
        <f>'Netherlands '!AD100/'Country Petrol Prices'!P$43</f>
        <v>1.9585982998941216</v>
      </c>
      <c r="Q97" s="13">
        <f>'New Zealand'!AC100/'Country Petrol Prices'!Q$43</f>
        <v>1.7308977939571883</v>
      </c>
      <c r="R97" s="13">
        <f>'Norway with subs'!AB92/'Country Petrol Prices'!R$43</f>
        <v>2.2185640572944694</v>
      </c>
      <c r="S97" s="13">
        <f>Spain!AB97/'Country Petrol Prices'!S$43</f>
        <v>1.5619055369542114</v>
      </c>
      <c r="T97" s="13">
        <f>Sweden!AC98/'Country Petrol Prices'!T$43</f>
        <v>1.8885840305073793</v>
      </c>
      <c r="U97" s="13">
        <f>Switzerland!AB97/'Country Petrol Prices'!U$43</f>
        <v>1.6943656909064773</v>
      </c>
      <c r="V97" s="13">
        <f>Britain!AB94/'Country Petrol Prices'!V$43</f>
        <v>1.7129653333420456</v>
      </c>
      <c r="W97" s="13">
        <f>USA!AD97</f>
        <v>0.90092994339784749</v>
      </c>
      <c r="X97" s="13">
        <f t="shared" si="23"/>
        <v>1.5619055369542114</v>
      </c>
      <c r="Y97" s="13">
        <f t="shared" si="24"/>
        <v>1.6069586594894731</v>
      </c>
    </row>
    <row r="98" spans="1:25">
      <c r="A98">
        <v>2026</v>
      </c>
      <c r="B98" s="13">
        <f>Australia!AF155/'Country Petrol Prices'!B$43</f>
        <v>1.2419673703687257</v>
      </c>
      <c r="C98" s="13">
        <f>Austria!AD93/'Country Petrol Prices'!C$43</f>
        <v>1.5713038370862333</v>
      </c>
      <c r="D98" s="13">
        <f>Belgium!AB96/'Country Petrol Prices'!D$43</f>
        <v>1.8650575130034692</v>
      </c>
      <c r="E98" s="13">
        <f>Canada!AB94/'Country Petrol Prices'!E$43</f>
        <v>1.0621440143232463</v>
      </c>
      <c r="F98" s="13">
        <f>China!AB93/'Country Petrol Prices'!F$43</f>
        <v>1.0167791521090037</v>
      </c>
      <c r="G98" s="13">
        <f>Denmark!AC94/'Country Petrol Prices'!G$43</f>
        <v>1.9453916098196804</v>
      </c>
      <c r="H98" s="13">
        <f>Finland!AB96/'Country Petrol Prices'!H$43</f>
        <v>1.8995347065157704</v>
      </c>
      <c r="I98" s="13">
        <f>France!AB97/'Country Petrol Prices'!I$43</f>
        <v>1.7984677343213931</v>
      </c>
      <c r="J98" s="13">
        <f>Germany!AA98/'Country Petrol Prices'!J$43</f>
        <v>1.7968704670522802</v>
      </c>
      <c r="K98" s="13">
        <f>India!AB98/'Country Petrol Prices'!K$43</f>
        <v>1.3516185161104464</v>
      </c>
      <c r="L98" s="13">
        <f>Ireland!AB96/'Country Petrol Prices'!L$43</f>
        <v>1.776554889153696</v>
      </c>
      <c r="M98" s="13">
        <f>Italy!AB96/'Country Petrol Prices'!M$43</f>
        <v>1.9914831851145094</v>
      </c>
      <c r="N98" s="13">
        <f>Japan!AA98/'Country Petrol Prices'!N$43</f>
        <v>1.4692517902158542</v>
      </c>
      <c r="O98" s="13">
        <f>Korea!AB101/'Country Petrol Prices'!O$43</f>
        <v>1.580875182869065</v>
      </c>
      <c r="P98" s="13">
        <f>'Netherlands '!AD101/'Country Petrol Prices'!P$43</f>
        <v>2.0029298879775888</v>
      </c>
      <c r="Q98" s="13">
        <f>'New Zealand'!AC101/'Country Petrol Prices'!Q$43</f>
        <v>1.7864308836526643</v>
      </c>
      <c r="R98" s="13">
        <f>'Norway with subs'!AB93/'Country Petrol Prices'!R$43</f>
        <v>2.2745329794310392</v>
      </c>
      <c r="S98" s="13">
        <f>Spain!AB98/'Country Petrol Prices'!S$43</f>
        <v>1.60283859944143</v>
      </c>
      <c r="T98" s="13">
        <f>Sweden!AC99/'Country Petrol Prices'!T$43</f>
        <v>1.9353849113782102</v>
      </c>
      <c r="U98" s="13">
        <f>Switzerland!AB98/'Country Petrol Prices'!U$43</f>
        <v>1.7343535632294913</v>
      </c>
      <c r="V98" s="13">
        <f>Britain!AB95/'Country Petrol Prices'!V$43</f>
        <v>1.7574921156293137</v>
      </c>
      <c r="W98" s="13">
        <f>USA!AD98</f>
        <v>0.96091342278340164</v>
      </c>
      <c r="X98" s="13">
        <f t="shared" si="23"/>
        <v>1.60283859944143</v>
      </c>
      <c r="Y98" s="13">
        <f t="shared" si="24"/>
        <v>1.6532615187403452</v>
      </c>
    </row>
    <row r="99" spans="1:25">
      <c r="A99">
        <v>2027</v>
      </c>
      <c r="B99" s="13">
        <f>Australia!AF156/'Country Petrol Prices'!B$43</f>
        <v>1.2633523271318665</v>
      </c>
      <c r="C99" s="13">
        <f>Austria!AD94/'Country Petrol Prices'!C$43</f>
        <v>1.5931689874015849</v>
      </c>
      <c r="D99" s="13">
        <f>Belgium!AB97/'Country Petrol Prices'!D$43</f>
        <v>1.8912291192718726</v>
      </c>
      <c r="E99" s="13">
        <f>Canada!AB95/'Country Petrol Prices'!E$43</f>
        <v>1.0799120947283849</v>
      </c>
      <c r="F99" s="13">
        <f>China!AB94/'Country Petrol Prices'!F$43</f>
        <v>1.0429945828676483</v>
      </c>
      <c r="G99" s="13">
        <f>Denmark!AC95/'Country Petrol Prices'!G$43</f>
        <v>1.9698999261378067</v>
      </c>
      <c r="H99" s="13">
        <f>Finland!AB97/'Country Petrol Prices'!H$43</f>
        <v>1.9222098333569131</v>
      </c>
      <c r="I99" s="13">
        <f>France!AB98/'Country Petrol Prices'!I$43</f>
        <v>1.8210322773242689</v>
      </c>
      <c r="J99" s="13">
        <f>Germany!AA99/'Country Petrol Prices'!J$43</f>
        <v>1.8189334971888627</v>
      </c>
      <c r="K99" s="13">
        <f>India!AB99/'Country Petrol Prices'!K$43</f>
        <v>1.3794912621894555</v>
      </c>
      <c r="L99" s="13">
        <f>Ireland!AB97/'Country Petrol Prices'!L$43</f>
        <v>1.7988021039389652</v>
      </c>
      <c r="M99" s="13">
        <f>Italy!AB97/'Country Petrol Prices'!M$43</f>
        <v>2.0161475478864155</v>
      </c>
      <c r="N99" s="13">
        <f>Japan!AA99/'Country Petrol Prices'!N$43</f>
        <v>1.4941427541565275</v>
      </c>
      <c r="O99" s="13">
        <f>Korea!AB102/'Country Petrol Prices'!O$43</f>
        <v>1.603744966300648</v>
      </c>
      <c r="P99" s="13">
        <f>'Netherlands '!AD102/'Country Petrol Prices'!P$43</f>
        <v>2.025777266755747</v>
      </c>
      <c r="Q99" s="13">
        <f>'New Zealand'!AC102/'Country Petrol Prices'!Q$43</f>
        <v>1.8150512329305903</v>
      </c>
      <c r="R99" s="13">
        <f>'Norway with subs'!AB94/'Country Petrol Prices'!R$43</f>
        <v>2.3033779457212562</v>
      </c>
      <c r="S99" s="13">
        <f>Spain!AB99/'Country Petrol Prices'!S$43</f>
        <v>1.6239344641200129</v>
      </c>
      <c r="T99" s="13">
        <f>Sweden!AC100/'Country Petrol Prices'!T$43</f>
        <v>1.9595049011785777</v>
      </c>
      <c r="U99" s="13">
        <f>Switzerland!AB99/'Country Petrol Prices'!U$43</f>
        <v>1.7549623008135453</v>
      </c>
      <c r="V99" s="13">
        <f>Britain!AB96/'Country Petrol Prices'!V$43</f>
        <v>1.7804400925611215</v>
      </c>
      <c r="W99" s="13">
        <f>USA!AD99</f>
        <v>0.99562974657175718</v>
      </c>
      <c r="X99" s="13">
        <f t="shared" si="23"/>
        <v>1.6239344641200129</v>
      </c>
      <c r="Y99" s="13">
        <f t="shared" si="24"/>
        <v>1.6772901606371236</v>
      </c>
    </row>
    <row r="100" spans="1:25">
      <c r="A100">
        <v>2028</v>
      </c>
      <c r="B100" s="13">
        <f>Australia!AF157/'Country Petrol Prices'!B$43</f>
        <v>1.2768895383155261</v>
      </c>
      <c r="C100" s="13">
        <f>Austria!AD95/'Country Petrol Prices'!C$43</f>
        <v>1.6070101730845765</v>
      </c>
      <c r="D100" s="13">
        <f>Belgium!AB98/'Country Petrol Prices'!D$43</f>
        <v>1.9077963990188032</v>
      </c>
      <c r="E100" s="13">
        <f>Canada!AB96/'Country Petrol Prices'!E$43</f>
        <v>1.0911597329367158</v>
      </c>
      <c r="F100" s="13">
        <f>China!AB95/'Country Petrol Prices'!F$43</f>
        <v>1.059589604610319</v>
      </c>
      <c r="G100" s="13">
        <f>Denmark!AC96/'Country Petrol Prices'!G$43</f>
        <v>1.9854143018472898</v>
      </c>
      <c r="H100" s="13">
        <f>Finland!AB98/'Country Petrol Prices'!H$43</f>
        <v>1.936563754389566</v>
      </c>
      <c r="I100" s="13">
        <f>France!AB99/'Country Petrol Prices'!I$43</f>
        <v>1.8353161960282425</v>
      </c>
      <c r="J100" s="13">
        <f>Germany!AA100/'Country Petrol Prices'!J$43</f>
        <v>1.8328999457357757</v>
      </c>
      <c r="K100" s="13">
        <f>India!AB100/'Country Petrol Prices'!K$43</f>
        <v>1.3971354058797729</v>
      </c>
      <c r="L100" s="13">
        <f>Ireland!AB98/'Country Petrol Prices'!L$43</f>
        <v>1.8128851459638862</v>
      </c>
      <c r="M100" s="13">
        <f>Italy!AB98/'Country Petrol Prices'!M$43</f>
        <v>2.0317607048944848</v>
      </c>
      <c r="N100" s="13">
        <f>Japan!AA100/'Country Petrol Prices'!N$43</f>
        <v>1.5098993553581039</v>
      </c>
      <c r="O100" s="13">
        <f>Korea!AB103/'Country Petrol Prices'!O$43</f>
        <v>1.6182221098117129</v>
      </c>
      <c r="P100" s="13">
        <f>'Netherlands '!AD103/'Country Petrol Prices'!P$43</f>
        <v>2.0402402275621991</v>
      </c>
      <c r="Q100" s="13">
        <f>'New Zealand'!AC103/'Country Petrol Prices'!Q$43</f>
        <v>1.8331686280984489</v>
      </c>
      <c r="R100" s="13">
        <f>'Norway with subs'!AB95/'Country Petrol Prices'!R$43</f>
        <v>2.3216375290620688</v>
      </c>
      <c r="S100" s="13">
        <f>Spain!AB100/'Country Petrol Prices'!S$43</f>
        <v>1.6372886728013285</v>
      </c>
      <c r="T100" s="13">
        <f>Sweden!AC101/'Country Petrol Prices'!T$43</f>
        <v>1.9747734565136104</v>
      </c>
      <c r="U100" s="13">
        <f>Switzerland!AB100/'Country Petrol Prices'!U$43</f>
        <v>1.7680081458902499</v>
      </c>
      <c r="V100" s="13">
        <f>Britain!AB97/'Country Petrol Prices'!V$43</f>
        <v>1.7949667345087488</v>
      </c>
      <c r="W100" s="13">
        <f>USA!AD100</f>
        <v>1.0242091973088707</v>
      </c>
      <c r="X100" s="13">
        <f t="shared" si="23"/>
        <v>1.6372886728013285</v>
      </c>
      <c r="Y100" s="13">
        <f t="shared" si="24"/>
        <v>1.6927879840183315</v>
      </c>
    </row>
    <row r="101" spans="1:25">
      <c r="A101">
        <v>2029</v>
      </c>
      <c r="B101" s="13">
        <f>Australia!AF158/'Country Petrol Prices'!B$43</f>
        <v>1.2952383249232979</v>
      </c>
      <c r="C101" s="13">
        <f>Austria!AD96/'Country Petrol Prices'!C$43</f>
        <v>1.6257709768461606</v>
      </c>
      <c r="D101" s="13">
        <f>Belgium!AB99/'Country Petrol Prices'!D$43</f>
        <v>1.9302522414093413</v>
      </c>
      <c r="E101" s="13">
        <f>Canada!AB97/'Country Petrol Prices'!E$43</f>
        <v>1.1064051561281047</v>
      </c>
      <c r="F101" s="13">
        <f>China!AB96/'Country Petrol Prices'!F$43</f>
        <v>1.0820830494252416</v>
      </c>
      <c r="G101" s="13">
        <f>Denmark!AC97/'Country Petrol Prices'!G$43</f>
        <v>2.0064430030608547</v>
      </c>
      <c r="H101" s="13">
        <f>Finland!AB99/'Country Petrol Prices'!H$43</f>
        <v>1.9560195367098481</v>
      </c>
      <c r="I101" s="13">
        <f>France!AB100/'Country Petrol Prices'!I$43</f>
        <v>1.854677094862291</v>
      </c>
      <c r="J101" s="13">
        <f>Germany!AA101/'Country Petrol Prices'!J$43</f>
        <v>1.8518305349523396</v>
      </c>
      <c r="K101" s="13">
        <f>India!AB101/'Country Petrol Prices'!K$43</f>
        <v>1.4210508655012701</v>
      </c>
      <c r="L101" s="13">
        <f>Ireland!AB99/'Country Petrol Prices'!L$43</f>
        <v>1.8319737698612129</v>
      </c>
      <c r="M101" s="13">
        <f>Italy!AB99/'Country Petrol Prices'!M$43</f>
        <v>2.052923297567967</v>
      </c>
      <c r="N101" s="13">
        <f>Japan!AA101/'Country Petrol Prices'!N$43</f>
        <v>1.5312563770658298</v>
      </c>
      <c r="O101" s="13">
        <f>Korea!AB104/'Country Petrol Prices'!O$43</f>
        <v>1.6378449119805425</v>
      </c>
      <c r="P101" s="13">
        <f>'Netherlands '!AD104/'Country Petrol Prices'!P$43</f>
        <v>2.0598438060211448</v>
      </c>
      <c r="Q101" s="13">
        <f>'New Zealand'!AC104/'Country Petrol Prices'!Q$43</f>
        <v>1.8577255485241992</v>
      </c>
      <c r="R101" s="13">
        <f>'Norway with subs'!AB96/'Country Petrol Prices'!R$43</f>
        <v>2.3463871760699995</v>
      </c>
      <c r="S101" s="13">
        <f>Spain!AB101/'Country Petrol Prices'!S$43</f>
        <v>1.6553894117264096</v>
      </c>
      <c r="T101" s="13">
        <f>Sweden!AC102/'Country Petrol Prices'!T$43</f>
        <v>1.9954689646098163</v>
      </c>
      <c r="U101" s="13">
        <f>Switzerland!AB101/'Country Petrol Prices'!U$43</f>
        <v>1.7856909185221386</v>
      </c>
      <c r="V101" s="13">
        <f>Britain!AB98/'Country Petrol Prices'!V$43</f>
        <v>1.8146566285059895</v>
      </c>
      <c r="W101" s="13">
        <f>USA!AD101</f>
        <v>1.0591603473531603</v>
      </c>
      <c r="X101" s="13">
        <f t="shared" si="23"/>
        <v>1.6553894117264096</v>
      </c>
      <c r="Y101" s="13">
        <f t="shared" si="24"/>
        <v>1.7136296240588511</v>
      </c>
    </row>
    <row r="102" spans="1:25">
      <c r="A102">
        <v>2030</v>
      </c>
      <c r="B102" s="13">
        <f>Australia!AF159/'Country Petrol Prices'!B$43</f>
        <v>1.3092683401911824</v>
      </c>
      <c r="C102" s="13">
        <f>Austria!AD97/'Country Petrol Prices'!C$43</f>
        <v>1.6401160323988437</v>
      </c>
      <c r="D102" s="13">
        <f>Belgium!AB100/'Country Petrol Prices'!D$43</f>
        <v>1.9474226308376543</v>
      </c>
      <c r="E102" s="13">
        <f>Canada!AB98/'Country Petrol Prices'!E$43</f>
        <v>1.1180622495759049</v>
      </c>
      <c r="F102" s="13">
        <f>China!AB97/'Country Petrol Prices'!F$43</f>
        <v>1.0992821907595793</v>
      </c>
      <c r="G102" s="13">
        <f>Denmark!AC98/'Country Petrol Prices'!G$43</f>
        <v>2.0225221588871651</v>
      </c>
      <c r="H102" s="13">
        <f>Finland!AB100/'Country Petrol Prices'!H$43</f>
        <v>1.9708959930574608</v>
      </c>
      <c r="I102" s="13">
        <f>France!AB101/'Country Petrol Prices'!I$43</f>
        <v>1.8694810005399889</v>
      </c>
      <c r="J102" s="13">
        <f>Germany!AA102/'Country Petrol Prices'!J$43</f>
        <v>1.8663054133961248</v>
      </c>
      <c r="K102" s="13">
        <f>India!AB102/'Country Petrol Prices'!K$43</f>
        <v>1.4393373206658839</v>
      </c>
      <c r="L102" s="13">
        <f>Ireland!AB100/'Country Petrol Prices'!L$43</f>
        <v>1.8465694862127759</v>
      </c>
      <c r="M102" s="13">
        <f>Italy!AB100/'Country Petrol Prices'!M$43</f>
        <v>2.0691048306940445</v>
      </c>
      <c r="N102" s="13">
        <f>Japan!AA102/'Country Petrol Prices'!N$43</f>
        <v>1.5475865762796033</v>
      </c>
      <c r="O102" s="13">
        <f>Korea!AB105/'Country Petrol Prices'!O$43</f>
        <v>1.65284907655624</v>
      </c>
      <c r="P102" s="13">
        <f>'Netherlands '!AD105/'Country Petrol Prices'!P$43</f>
        <v>2.0748332715898195</v>
      </c>
      <c r="Q102" s="13">
        <f>'New Zealand'!AC105/'Country Petrol Prices'!Q$43</f>
        <v>1.8765024832540189</v>
      </c>
      <c r="R102" s="13">
        <f>'Norway with subs'!AB97/'Country Petrol Prices'!R$43</f>
        <v>2.3653114751432116</v>
      </c>
      <c r="S102" s="13">
        <f>Spain!AB102/'Country Petrol Prices'!S$43</f>
        <v>1.6692297625303867</v>
      </c>
      <c r="T102" s="13">
        <f>Sweden!AC103/'Country Petrol Prices'!T$43</f>
        <v>2.0112933512994196</v>
      </c>
      <c r="U102" s="13">
        <f>Switzerland!AB102/'Country Petrol Prices'!U$43</f>
        <v>1.7992116801565257</v>
      </c>
      <c r="V102" s="13">
        <f>Britain!AB99/'Country Petrol Prices'!V$43</f>
        <v>1.8297120934426905</v>
      </c>
      <c r="W102" s="13">
        <f>USA!AD102</f>
        <v>1.0781769035708035</v>
      </c>
      <c r="X102" s="13">
        <f t="shared" si="23"/>
        <v>1.6692297625303867</v>
      </c>
      <c r="Y102" s="13">
        <f t="shared" si="24"/>
        <v>1.7292306123291177</v>
      </c>
    </row>
    <row r="103" spans="1:25">
      <c r="P103" s="13"/>
    </row>
    <row r="106" spans="1:25">
      <c r="B106" s="13" t="s">
        <v>814</v>
      </c>
      <c r="C106" s="13"/>
      <c r="D106" s="13"/>
      <c r="E106" s="13"/>
      <c r="F106" s="13"/>
      <c r="G106" s="13"/>
      <c r="H106" s="13"/>
      <c r="I106" s="13"/>
      <c r="J106" s="13"/>
      <c r="K106" s="13"/>
      <c r="L106" s="13"/>
      <c r="M106" s="13"/>
      <c r="N106" s="13"/>
      <c r="O106" s="13"/>
      <c r="P106" s="13"/>
      <c r="Q106" s="13"/>
      <c r="R106" s="13"/>
      <c r="S106" s="13"/>
      <c r="T106" s="13"/>
      <c r="U106" s="13"/>
      <c r="V106" s="13"/>
      <c r="W106" s="13"/>
    </row>
    <row r="107" spans="1:25">
      <c r="B107" s="149" t="s">
        <v>255</v>
      </c>
      <c r="C107" s="149" t="s">
        <v>539</v>
      </c>
      <c r="D107" s="149" t="s">
        <v>540</v>
      </c>
      <c r="E107" s="149" t="s">
        <v>238</v>
      </c>
      <c r="F107" s="149" t="s">
        <v>239</v>
      </c>
      <c r="G107" s="149" t="s">
        <v>541</v>
      </c>
      <c r="H107" s="149" t="s">
        <v>542</v>
      </c>
      <c r="I107" s="149" t="s">
        <v>240</v>
      </c>
      <c r="J107" s="149" t="s">
        <v>241</v>
      </c>
      <c r="K107" s="149" t="s">
        <v>242</v>
      </c>
      <c r="L107" s="149" t="s">
        <v>544</v>
      </c>
      <c r="M107" s="7" t="s">
        <v>538</v>
      </c>
      <c r="N107" s="149" t="s">
        <v>243</v>
      </c>
      <c r="O107" s="149" t="s">
        <v>244</v>
      </c>
      <c r="P107" s="149" t="s">
        <v>245</v>
      </c>
      <c r="Q107" s="150" t="s">
        <v>331</v>
      </c>
      <c r="R107" s="149" t="s">
        <v>246</v>
      </c>
      <c r="S107" s="149" t="s">
        <v>545</v>
      </c>
      <c r="T107" s="149" t="s">
        <v>247</v>
      </c>
      <c r="U107" s="149" t="s">
        <v>546</v>
      </c>
      <c r="V107" s="149" t="s">
        <v>248</v>
      </c>
      <c r="W107" s="149" t="s">
        <v>249</v>
      </c>
    </row>
    <row r="108" spans="1:25">
      <c r="A108">
        <v>2009</v>
      </c>
      <c r="B108" s="12">
        <f t="shared" ref="B108:W108" si="41">B81/$W81</f>
        <v>1.5040628590922178</v>
      </c>
      <c r="C108" s="12">
        <f t="shared" si="41"/>
        <v>2.3361261876731572</v>
      </c>
      <c r="D108" s="12">
        <f t="shared" si="41"/>
        <v>2.9475954582721724</v>
      </c>
      <c r="E108" s="12">
        <f t="shared" si="41"/>
        <v>1.3385427781799315</v>
      </c>
      <c r="F108" s="12">
        <f t="shared" si="41"/>
        <v>1.4161766978162644</v>
      </c>
      <c r="G108" s="12">
        <f t="shared" si="41"/>
        <v>2.8481652426364281</v>
      </c>
      <c r="H108" s="12">
        <f t="shared" si="41"/>
        <v>2.8607901159145634</v>
      </c>
      <c r="I108" s="12">
        <f t="shared" si="41"/>
        <v>2.7034557128681702</v>
      </c>
      <c r="J108" s="12">
        <f t="shared" si="41"/>
        <v>2.8266902889427405</v>
      </c>
      <c r="K108" s="12">
        <f t="shared" si="41"/>
        <v>1.4363243490826807</v>
      </c>
      <c r="L108" s="12">
        <f t="shared" si="41"/>
        <v>2.4766073329184679</v>
      </c>
      <c r="M108" s="12">
        <f t="shared" si="41"/>
        <v>2.7594510673186288</v>
      </c>
      <c r="N108" s="12">
        <f t="shared" si="41"/>
        <v>2.0711800445842292</v>
      </c>
      <c r="O108" s="12">
        <f t="shared" si="41"/>
        <v>1.9975141657520448</v>
      </c>
      <c r="P108" s="12">
        <f t="shared" si="41"/>
        <v>3.0080704410786683</v>
      </c>
      <c r="Q108" s="12">
        <f t="shared" si="41"/>
        <v>1.6153402651584368</v>
      </c>
      <c r="R108" s="12">
        <f t="shared" si="41"/>
        <v>3.046011895862677</v>
      </c>
      <c r="S108" s="12">
        <f t="shared" si="41"/>
        <v>2.2442938063744045</v>
      </c>
      <c r="T108" s="12">
        <f t="shared" si="41"/>
        <v>2.5186643237391202</v>
      </c>
      <c r="U108" s="12">
        <f t="shared" si="41"/>
        <v>2.2329463619678553</v>
      </c>
      <c r="V108" s="12">
        <f t="shared" si="41"/>
        <v>2.4941323598001781</v>
      </c>
      <c r="W108" s="12">
        <f t="shared" si="41"/>
        <v>1</v>
      </c>
    </row>
    <row r="109" spans="1:25">
      <c r="A109">
        <v>2010</v>
      </c>
      <c r="B109" s="12">
        <f t="shared" ref="B109:B116" si="42">B82/$W82</f>
        <v>1.57840520956765</v>
      </c>
      <c r="C109" s="12">
        <f t="shared" ref="C109:Q109" si="43">C82/$W82</f>
        <v>2.1306093348162722</v>
      </c>
      <c r="D109" s="12">
        <f t="shared" si="43"/>
        <v>2.613451719875731</v>
      </c>
      <c r="E109" s="12">
        <f t="shared" si="43"/>
        <v>1.3574283646553724</v>
      </c>
      <c r="F109" s="12">
        <f t="shared" si="43"/>
        <v>1.3679148923586761</v>
      </c>
      <c r="G109" s="12">
        <f t="shared" si="43"/>
        <v>2.5884094283304955</v>
      </c>
      <c r="H109" s="12">
        <f t="shared" si="43"/>
        <v>2.5596214425944268</v>
      </c>
      <c r="I109" s="12">
        <f t="shared" si="43"/>
        <v>2.4124169721929825</v>
      </c>
      <c r="J109" s="12">
        <f t="shared" si="43"/>
        <v>2.4968713473355808</v>
      </c>
      <c r="K109" s="12">
        <f t="shared" si="43"/>
        <v>1.4723299207147997</v>
      </c>
      <c r="L109" s="12">
        <f t="shared" si="43"/>
        <v>2.3343181963074828</v>
      </c>
      <c r="M109" s="12">
        <f t="shared" si="43"/>
        <v>2.4465210811748772</v>
      </c>
      <c r="N109" s="12">
        <f t="shared" si="43"/>
        <v>2.0780265286364594</v>
      </c>
      <c r="O109" s="12">
        <f t="shared" si="43"/>
        <v>2.0101520963176056</v>
      </c>
      <c r="P109" s="12">
        <f t="shared" si="43"/>
        <v>2.6978145157783131</v>
      </c>
      <c r="Q109" s="12">
        <f t="shared" si="43"/>
        <v>1.7324380238505446</v>
      </c>
      <c r="R109" s="12">
        <f t="shared" ref="R109:W116" si="44">R82/$W82</f>
        <v>2.8578528136192896</v>
      </c>
      <c r="S109" s="12">
        <f t="shared" si="44"/>
        <v>2.0911203665214466</v>
      </c>
      <c r="T109" s="12">
        <f t="shared" si="44"/>
        <v>2.405983713740349</v>
      </c>
      <c r="U109" s="12">
        <f t="shared" si="44"/>
        <v>2.1474345414930367</v>
      </c>
      <c r="V109" s="12">
        <f t="shared" si="44"/>
        <v>2.4557627281127008</v>
      </c>
      <c r="W109" s="12">
        <f t="shared" si="44"/>
        <v>1</v>
      </c>
    </row>
    <row r="110" spans="1:25">
      <c r="A110">
        <v>2011</v>
      </c>
      <c r="B110" s="12">
        <f t="shared" si="42"/>
        <v>1.5775735847957406</v>
      </c>
      <c r="C110" s="12">
        <f t="shared" ref="C110:Q110" si="45">C83/$W83</f>
        <v>2.0391965601081048</v>
      </c>
      <c r="D110" s="12">
        <f t="shared" si="45"/>
        <v>2.4118522637673903</v>
      </c>
      <c r="E110" s="12">
        <f t="shared" si="45"/>
        <v>1.3348280801471548</v>
      </c>
      <c r="F110" s="12">
        <f t="shared" si="45"/>
        <v>1.2646905525480174</v>
      </c>
      <c r="G110" s="12">
        <f t="shared" si="45"/>
        <v>2.4190421025643256</v>
      </c>
      <c r="H110" s="12">
        <f t="shared" si="45"/>
        <v>2.343243272029194</v>
      </c>
      <c r="I110" s="12">
        <f t="shared" si="45"/>
        <v>2.250584655101405</v>
      </c>
      <c r="J110" s="12">
        <f t="shared" si="45"/>
        <v>2.2938776874789646</v>
      </c>
      <c r="K110" s="12">
        <f t="shared" si="45"/>
        <v>1.428990064934748</v>
      </c>
      <c r="L110" s="12">
        <f t="shared" si="45"/>
        <v>2.2255948167819151</v>
      </c>
      <c r="M110" s="12">
        <f t="shared" si="45"/>
        <v>2.3304089619846526</v>
      </c>
      <c r="N110" s="12">
        <f t="shared" si="45"/>
        <v>1.9656411579479312</v>
      </c>
      <c r="O110" s="12">
        <f t="shared" si="45"/>
        <v>1.7837123496633174</v>
      </c>
      <c r="P110" s="12">
        <f t="shared" si="45"/>
        <v>2.4621530227597996</v>
      </c>
      <c r="Q110" s="12">
        <f t="shared" si="45"/>
        <v>1.7814532325754846</v>
      </c>
      <c r="R110" s="12">
        <f t="shared" si="44"/>
        <v>2.6266295778920705</v>
      </c>
      <c r="S110" s="12">
        <f t="shared" si="44"/>
        <v>1.9792138966595361</v>
      </c>
      <c r="T110" s="12">
        <f t="shared" si="44"/>
        <v>2.3181731081344426</v>
      </c>
      <c r="U110" s="12">
        <f t="shared" si="44"/>
        <v>2.0974050650156646</v>
      </c>
      <c r="V110" s="12">
        <f t="shared" si="44"/>
        <v>2.309849600337412</v>
      </c>
      <c r="W110" s="12">
        <f t="shared" si="44"/>
        <v>1</v>
      </c>
    </row>
    <row r="111" spans="1:25">
      <c r="A111">
        <v>2012</v>
      </c>
      <c r="B111" s="12">
        <f t="shared" si="42"/>
        <v>1.5557350962427188</v>
      </c>
      <c r="C111" s="12">
        <f t="shared" ref="C111:Q111" si="46">C84/$W84</f>
        <v>1.9558082619798847</v>
      </c>
      <c r="D111" s="12">
        <f t="shared" si="46"/>
        <v>2.3081850509452835</v>
      </c>
      <c r="E111" s="12">
        <f t="shared" si="46"/>
        <v>1.3212585069908205</v>
      </c>
      <c r="F111" s="12">
        <f t="shared" si="46"/>
        <v>1.3065792397927805</v>
      </c>
      <c r="G111" s="12">
        <f t="shared" si="46"/>
        <v>2.2937733282488022</v>
      </c>
      <c r="H111" s="12">
        <f t="shared" si="46"/>
        <v>2.2538915127640484</v>
      </c>
      <c r="I111" s="12">
        <f t="shared" si="46"/>
        <v>2.1131610882352447</v>
      </c>
      <c r="J111" s="12">
        <f t="shared" si="46"/>
        <v>2.2276264881729246</v>
      </c>
      <c r="K111" s="12">
        <f t="shared" si="46"/>
        <v>1.3150460834636108</v>
      </c>
      <c r="L111" s="12">
        <f t="shared" si="46"/>
        <v>2.1799472090983403</v>
      </c>
      <c r="M111" s="12">
        <f t="shared" si="46"/>
        <v>2.4123731293844366</v>
      </c>
      <c r="N111" s="12">
        <f t="shared" si="46"/>
        <v>1.9201786871005095</v>
      </c>
      <c r="O111" s="12">
        <f t="shared" si="46"/>
        <v>1.8237005450689887</v>
      </c>
      <c r="P111" s="12">
        <f t="shared" si="46"/>
        <v>2.3748648021281951</v>
      </c>
      <c r="Q111" s="12">
        <f t="shared" si="46"/>
        <v>1.8237690370000379</v>
      </c>
      <c r="R111" s="12">
        <f t="shared" si="44"/>
        <v>2.6413781103184268</v>
      </c>
      <c r="S111" s="12">
        <f t="shared" si="44"/>
        <v>1.9232542231672201</v>
      </c>
      <c r="T111" s="12">
        <f t="shared" si="44"/>
        <v>2.3074025083049761</v>
      </c>
      <c r="U111" s="12">
        <f t="shared" si="44"/>
        <v>1.9715916589780553</v>
      </c>
      <c r="V111" s="12">
        <f t="shared" si="44"/>
        <v>2.2625876036103301</v>
      </c>
      <c r="W111" s="12">
        <f t="shared" si="44"/>
        <v>1</v>
      </c>
    </row>
    <row r="112" spans="1:25">
      <c r="A112">
        <v>2013</v>
      </c>
      <c r="B112" s="12">
        <f t="shared" si="42"/>
        <v>1.514302289029648</v>
      </c>
      <c r="C112" s="12">
        <f t="shared" ref="C112:Q112" si="47">C85/$W85</f>
        <v>2.0007371177277102</v>
      </c>
      <c r="D112" s="12">
        <f t="shared" si="47"/>
        <v>2.3619460748484244</v>
      </c>
      <c r="E112" s="12">
        <f t="shared" si="47"/>
        <v>1.3238331453349204</v>
      </c>
      <c r="F112" s="12">
        <f t="shared" si="47"/>
        <v>1.3248608482090363</v>
      </c>
      <c r="G112" s="12">
        <f t="shared" si="47"/>
        <v>2.4074783325096685</v>
      </c>
      <c r="H112" s="12">
        <f t="shared" si="47"/>
        <v>2.3591673432840627</v>
      </c>
      <c r="I112" s="12">
        <f t="shared" si="47"/>
        <v>2.2078662887163301</v>
      </c>
      <c r="J112" s="12">
        <f t="shared" si="47"/>
        <v>2.2996634703793033</v>
      </c>
      <c r="K112" s="12">
        <f t="shared" si="47"/>
        <v>1.2752441297181725</v>
      </c>
      <c r="L112" s="12">
        <f t="shared" si="47"/>
        <v>2.2809525801372867</v>
      </c>
      <c r="M112" s="12">
        <f t="shared" si="47"/>
        <v>2.511731755941546</v>
      </c>
      <c r="N112" s="12">
        <f t="shared" si="47"/>
        <v>1.7216957262782777</v>
      </c>
      <c r="O112" s="12">
        <f t="shared" si="47"/>
        <v>1.8122849829413739</v>
      </c>
      <c r="P112" s="12">
        <f t="shared" si="47"/>
        <v>2.4957917529437097</v>
      </c>
      <c r="Q112" s="12">
        <f t="shared" si="47"/>
        <v>1.9041048793601403</v>
      </c>
      <c r="R112" s="12">
        <f t="shared" si="44"/>
        <v>2.8176135094163341</v>
      </c>
      <c r="S112" s="12">
        <f t="shared" si="44"/>
        <v>2.0565280075877177</v>
      </c>
      <c r="T112" s="12">
        <f t="shared" si="44"/>
        <v>2.3980773068357704</v>
      </c>
      <c r="U112" s="12">
        <f t="shared" si="44"/>
        <v>2.0437677798685949</v>
      </c>
      <c r="V112" s="12">
        <f t="shared" si="44"/>
        <v>2.2726569195112885</v>
      </c>
      <c r="W112" s="12">
        <f t="shared" si="44"/>
        <v>1</v>
      </c>
    </row>
    <row r="113" spans="1:23">
      <c r="A113">
        <v>2014</v>
      </c>
      <c r="B113" s="12">
        <f t="shared" si="42"/>
        <v>1.4869953060221073</v>
      </c>
      <c r="C113" s="12">
        <f t="shared" ref="C113:Q113" si="48">C86/$W86</f>
        <v>2.0056701845007385</v>
      </c>
      <c r="D113" s="12">
        <f t="shared" si="48"/>
        <v>2.3698785514951304</v>
      </c>
      <c r="E113" s="12">
        <f t="shared" si="48"/>
        <v>1.2951659423945616</v>
      </c>
      <c r="F113" s="12">
        <f t="shared" si="48"/>
        <v>1.3168261114237478</v>
      </c>
      <c r="G113" s="12">
        <f t="shared" si="48"/>
        <v>2.4465640133217721</v>
      </c>
      <c r="H113" s="12">
        <f t="shared" si="48"/>
        <v>2.3885170947470118</v>
      </c>
      <c r="I113" s="12">
        <f t="shared" si="48"/>
        <v>2.2170087147997726</v>
      </c>
      <c r="J113" s="12">
        <f t="shared" si="48"/>
        <v>2.2931692901039278</v>
      </c>
      <c r="K113" s="12">
        <f t="shared" si="48"/>
        <v>1.2886958408331697</v>
      </c>
      <c r="L113" s="12">
        <f t="shared" si="48"/>
        <v>2.2733925056370552</v>
      </c>
      <c r="M113" s="12">
        <f t="shared" si="48"/>
        <v>2.5503057000797127</v>
      </c>
      <c r="N113" s="12">
        <f t="shared" si="48"/>
        <v>1.7283472861690532</v>
      </c>
      <c r="O113" s="12">
        <f t="shared" si="48"/>
        <v>1.8388321722910075</v>
      </c>
      <c r="P113" s="12">
        <f t="shared" si="48"/>
        <v>2.5290598800985555</v>
      </c>
      <c r="Q113" s="12">
        <f t="shared" si="48"/>
        <v>2.0154340741137124</v>
      </c>
      <c r="R113" s="12">
        <f t="shared" si="44"/>
        <v>2.8017642048992348</v>
      </c>
      <c r="S113" s="12">
        <f t="shared" si="44"/>
        <v>2.0694983219047316</v>
      </c>
      <c r="T113" s="12">
        <f t="shared" si="44"/>
        <v>2.3370062317882434</v>
      </c>
      <c r="U113" s="12">
        <f t="shared" si="44"/>
        <v>2.0824964912887611</v>
      </c>
      <c r="V113" s="12">
        <f t="shared" si="44"/>
        <v>2.3573950132963679</v>
      </c>
      <c r="W113" s="12">
        <f t="shared" si="44"/>
        <v>1</v>
      </c>
    </row>
    <row r="114" spans="1:23">
      <c r="A114">
        <v>2015</v>
      </c>
      <c r="B114" s="12">
        <f t="shared" si="42"/>
        <v>1.4935980936180986</v>
      </c>
      <c r="C114" s="12">
        <f t="shared" ref="C114:Q114" si="49">C87/$W87</f>
        <v>2.0738368419428492</v>
      </c>
      <c r="D114" s="12">
        <f t="shared" si="49"/>
        <v>2.4493006407829339</v>
      </c>
      <c r="E114" s="12">
        <f t="shared" si="49"/>
        <v>1.2881065667523937</v>
      </c>
      <c r="F114" s="12">
        <f t="shared" si="49"/>
        <v>1.2503256056264653</v>
      </c>
      <c r="G114" s="12">
        <f t="shared" si="49"/>
        <v>2.5915848456069375</v>
      </c>
      <c r="H114" s="12">
        <f t="shared" si="49"/>
        <v>2.5327412831822476</v>
      </c>
      <c r="I114" s="12">
        <f t="shared" si="49"/>
        <v>2.3400169094954393</v>
      </c>
      <c r="J114" s="12">
        <f t="shared" si="49"/>
        <v>2.4101813353569956</v>
      </c>
      <c r="K114" s="12">
        <f t="shared" si="49"/>
        <v>1.5084845417007411</v>
      </c>
      <c r="L114" s="12">
        <f t="shared" si="49"/>
        <v>2.3618051881832236</v>
      </c>
      <c r="M114" s="12">
        <f t="shared" si="49"/>
        <v>2.6528204571138603</v>
      </c>
      <c r="N114" s="12">
        <f t="shared" si="49"/>
        <v>1.776755512590358</v>
      </c>
      <c r="O114" s="12">
        <f t="shared" si="49"/>
        <v>2.1055497024618939</v>
      </c>
      <c r="P114" s="12">
        <f t="shared" si="49"/>
        <v>2.6970934338424848</v>
      </c>
      <c r="Q114" s="12">
        <f t="shared" si="49"/>
        <v>2.1360789457293659</v>
      </c>
      <c r="R114" s="12">
        <f t="shared" si="44"/>
        <v>2.916314721347498</v>
      </c>
      <c r="S114" s="12">
        <f t="shared" si="44"/>
        <v>2.1250321143744104</v>
      </c>
      <c r="T114" s="12">
        <f t="shared" si="44"/>
        <v>2.4316207002030827</v>
      </c>
      <c r="U114" s="12">
        <f t="shared" si="44"/>
        <v>2.3533308017460017</v>
      </c>
      <c r="V114" s="12">
        <f t="shared" si="44"/>
        <v>2.6490760588227893</v>
      </c>
      <c r="W114" s="12">
        <f t="shared" si="44"/>
        <v>1</v>
      </c>
    </row>
    <row r="115" spans="1:23">
      <c r="A115">
        <v>2016</v>
      </c>
      <c r="B115" s="12">
        <f t="shared" si="42"/>
        <v>1.5070510080224144</v>
      </c>
      <c r="C115" s="12">
        <f t="shared" ref="C115:Q115" si="50">C88/$W88</f>
        <v>2.1295303469761793</v>
      </c>
      <c r="D115" s="12">
        <f t="shared" si="50"/>
        <v>2.516077133063118</v>
      </c>
      <c r="E115" s="12">
        <f t="shared" si="50"/>
        <v>1.3207112881131819</v>
      </c>
      <c r="F115" s="12">
        <f t="shared" si="50"/>
        <v>1.2874062661965633</v>
      </c>
      <c r="G115" s="12">
        <f t="shared" si="50"/>
        <v>2.7082183680307836</v>
      </c>
      <c r="H115" s="12">
        <f t="shared" si="50"/>
        <v>2.6457510970817393</v>
      </c>
      <c r="I115" s="12">
        <f t="shared" si="50"/>
        <v>2.4930948379515327</v>
      </c>
      <c r="J115" s="12">
        <f t="shared" si="50"/>
        <v>2.5012430094380553</v>
      </c>
      <c r="K115" s="12">
        <f t="shared" si="50"/>
        <v>1.6281819912446027</v>
      </c>
      <c r="L115" s="12">
        <f t="shared" si="50"/>
        <v>2.4583197771469676</v>
      </c>
      <c r="M115" s="12">
        <f t="shared" si="50"/>
        <v>2.7653053855973897</v>
      </c>
      <c r="N115" s="12">
        <f t="shared" si="50"/>
        <v>1.9425898805093988</v>
      </c>
      <c r="O115" s="12">
        <f t="shared" si="50"/>
        <v>2.0869329133221557</v>
      </c>
      <c r="P115" s="12">
        <f t="shared" si="50"/>
        <v>2.8299979508051103</v>
      </c>
      <c r="Q115" s="12">
        <f t="shared" si="50"/>
        <v>2.2780554953799053</v>
      </c>
      <c r="R115" s="12">
        <f t="shared" si="44"/>
        <v>3.0548138566239782</v>
      </c>
      <c r="S115" s="12">
        <f t="shared" si="44"/>
        <v>2.2024224336670937</v>
      </c>
      <c r="T115" s="12">
        <f t="shared" si="44"/>
        <v>2.6526431096944991</v>
      </c>
      <c r="U115" s="12">
        <f t="shared" si="44"/>
        <v>2.4609217511811301</v>
      </c>
      <c r="V115" s="12">
        <f t="shared" si="44"/>
        <v>2.5499979152315602</v>
      </c>
      <c r="W115" s="12">
        <f t="shared" si="44"/>
        <v>1</v>
      </c>
    </row>
    <row r="116" spans="1:23">
      <c r="A116">
        <v>2017</v>
      </c>
      <c r="B116" s="12">
        <f t="shared" si="42"/>
        <v>1.5417622443115677</v>
      </c>
      <c r="C116" s="12">
        <f t="shared" ref="C116:Q116" si="51">C89/$W89</f>
        <v>2.0900807606731702</v>
      </c>
      <c r="D116" s="12">
        <f t="shared" si="51"/>
        <v>2.4917315969824023</v>
      </c>
      <c r="E116" s="12">
        <f t="shared" si="51"/>
        <v>1.3476487072988912</v>
      </c>
      <c r="F116" s="12">
        <f t="shared" si="51"/>
        <v>1.1273486430062631</v>
      </c>
      <c r="G116" s="12">
        <f t="shared" si="51"/>
        <v>2.6423245613540147</v>
      </c>
      <c r="H116" s="12">
        <f t="shared" si="51"/>
        <v>2.5993231582661838</v>
      </c>
      <c r="I116" s="12">
        <f t="shared" si="51"/>
        <v>2.4414381338256059</v>
      </c>
      <c r="J116" s="12">
        <f t="shared" si="51"/>
        <v>2.438782575310551</v>
      </c>
      <c r="K116" s="12">
        <f t="shared" si="51"/>
        <v>1.6464959545222406</v>
      </c>
      <c r="L116" s="12">
        <f t="shared" si="51"/>
        <v>2.4208895072411925</v>
      </c>
      <c r="M116" s="12">
        <f t="shared" si="51"/>
        <v>2.7117207374794874</v>
      </c>
      <c r="N116" s="12">
        <f t="shared" si="51"/>
        <v>1.8665447306644554</v>
      </c>
      <c r="O116" s="12">
        <f t="shared" si="51"/>
        <v>2.0745117381386322</v>
      </c>
      <c r="P116" s="12">
        <f t="shared" si="51"/>
        <v>2.7551597104297745</v>
      </c>
      <c r="Q116" s="12">
        <f t="shared" si="51"/>
        <v>2.2516377226165503</v>
      </c>
      <c r="R116" s="12">
        <f t="shared" si="44"/>
        <v>3.0765544783938439</v>
      </c>
      <c r="S116" s="12">
        <f t="shared" si="44"/>
        <v>2.1600905846852609</v>
      </c>
      <c r="T116" s="12">
        <f t="shared" si="44"/>
        <v>2.5837029358670653</v>
      </c>
      <c r="U116" s="12">
        <f t="shared" si="44"/>
        <v>2.3896274286729509</v>
      </c>
      <c r="V116" s="12">
        <f t="shared" si="44"/>
        <v>2.3804543685951685</v>
      </c>
      <c r="W116" s="12">
        <f t="shared" si="44"/>
        <v>1</v>
      </c>
    </row>
    <row r="121" spans="1:23">
      <c r="B121" s="149" t="s">
        <v>255</v>
      </c>
      <c r="C121" s="149" t="s">
        <v>539</v>
      </c>
      <c r="D121" s="149" t="s">
        <v>540</v>
      </c>
      <c r="E121" s="149" t="s">
        <v>238</v>
      </c>
      <c r="F121" s="149" t="s">
        <v>541</v>
      </c>
      <c r="G121" s="149" t="s">
        <v>542</v>
      </c>
      <c r="H121" s="149" t="s">
        <v>240</v>
      </c>
      <c r="I121" s="149" t="s">
        <v>241</v>
      </c>
      <c r="J121" s="149" t="s">
        <v>242</v>
      </c>
      <c r="K121" s="149" t="s">
        <v>544</v>
      </c>
      <c r="L121" s="7" t="s">
        <v>538</v>
      </c>
      <c r="M121" s="149" t="s">
        <v>243</v>
      </c>
      <c r="N121" s="149" t="s">
        <v>244</v>
      </c>
      <c r="O121" s="149" t="s">
        <v>245</v>
      </c>
      <c r="P121" s="150" t="s">
        <v>331</v>
      </c>
      <c r="Q121" s="149" t="s">
        <v>246</v>
      </c>
      <c r="R121" s="149" t="s">
        <v>545</v>
      </c>
      <c r="S121" s="149" t="s">
        <v>247</v>
      </c>
      <c r="T121" s="149" t="s">
        <v>546</v>
      </c>
      <c r="U121" s="149" t="s">
        <v>248</v>
      </c>
      <c r="V121" s="149" t="s">
        <v>249</v>
      </c>
    </row>
    <row r="122" spans="1:23">
      <c r="A122" t="s">
        <v>815</v>
      </c>
      <c r="B122" s="12">
        <f>AVERAGE(B108:B116)</f>
        <v>1.5288317434113514</v>
      </c>
      <c r="C122" s="12">
        <f>AVERAGE(C108:C116)</f>
        <v>2.0846217329331185</v>
      </c>
      <c r="D122" s="12">
        <f>AVERAGE(D108:D116)</f>
        <v>2.4966687211147316</v>
      </c>
      <c r="E122" s="12">
        <f>AVERAGE(E108:E116)</f>
        <v>1.3252803755408031</v>
      </c>
      <c r="F122" s="12">
        <f t="shared" ref="F122:V122" si="52">AVERAGE(G108:G116)</f>
        <v>2.5495066914003588</v>
      </c>
      <c r="G122" s="12">
        <f t="shared" si="52"/>
        <v>2.5047829244292754</v>
      </c>
      <c r="H122" s="12">
        <f t="shared" si="52"/>
        <v>2.3532270347984983</v>
      </c>
      <c r="I122" s="12">
        <f t="shared" si="52"/>
        <v>2.4209006102798938</v>
      </c>
      <c r="J122" s="12">
        <f t="shared" si="52"/>
        <v>1.4444214306905294</v>
      </c>
      <c r="K122" s="12">
        <f t="shared" si="52"/>
        <v>2.3346474570502149</v>
      </c>
      <c r="L122" s="12">
        <f t="shared" si="52"/>
        <v>2.5711820306749549</v>
      </c>
      <c r="M122" s="12">
        <f t="shared" si="52"/>
        <v>1.8967732838311855</v>
      </c>
      <c r="N122" s="12">
        <f t="shared" si="52"/>
        <v>1.9481322962174465</v>
      </c>
      <c r="O122" s="12">
        <f t="shared" si="52"/>
        <v>2.6500006122071795</v>
      </c>
      <c r="P122" s="12">
        <f t="shared" si="52"/>
        <v>1.9487012973093532</v>
      </c>
      <c r="Q122" s="12">
        <f t="shared" si="52"/>
        <v>2.8709925742637057</v>
      </c>
      <c r="R122" s="12">
        <f t="shared" si="52"/>
        <v>2.0946059727713133</v>
      </c>
      <c r="S122" s="12">
        <f t="shared" si="52"/>
        <v>2.4392526598119502</v>
      </c>
      <c r="T122" s="12">
        <f t="shared" si="52"/>
        <v>2.1977246533568948</v>
      </c>
      <c r="U122" s="12">
        <f t="shared" si="52"/>
        <v>2.4146569519241989</v>
      </c>
      <c r="V122" s="12">
        <f t="shared" si="52"/>
        <v>1</v>
      </c>
    </row>
    <row r="123" spans="1:23">
      <c r="A123" t="s">
        <v>249</v>
      </c>
      <c r="B123">
        <v>1</v>
      </c>
      <c r="C123">
        <v>1</v>
      </c>
      <c r="D123">
        <v>1</v>
      </c>
      <c r="E123">
        <v>1</v>
      </c>
      <c r="F123">
        <v>1</v>
      </c>
      <c r="G123">
        <v>1</v>
      </c>
      <c r="H123">
        <v>1</v>
      </c>
      <c r="I123">
        <v>1</v>
      </c>
      <c r="J123">
        <v>1</v>
      </c>
      <c r="K123">
        <v>1</v>
      </c>
      <c r="L123">
        <v>1</v>
      </c>
      <c r="M123">
        <v>1</v>
      </c>
      <c r="N123">
        <v>1</v>
      </c>
      <c r="O123">
        <v>1</v>
      </c>
      <c r="P123">
        <v>1</v>
      </c>
      <c r="Q123">
        <v>1</v>
      </c>
      <c r="R123">
        <v>1</v>
      </c>
      <c r="S123">
        <v>1</v>
      </c>
      <c r="T123">
        <v>1</v>
      </c>
      <c r="U123">
        <v>1</v>
      </c>
      <c r="V123">
        <v>1</v>
      </c>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
  <sheetViews>
    <sheetView workbookViewId="0">
      <selection activeCell="K33" sqref="K33"/>
    </sheetView>
  </sheetViews>
  <sheetFormatPr defaultRowHeight="15"/>
  <cols>
    <col min="3" max="3" width="27" customWidth="1"/>
  </cols>
  <sheetData>
    <row r="1" spans="1:16">
      <c r="N1" s="2">
        <v>0</v>
      </c>
      <c r="O1" t="s">
        <v>9</v>
      </c>
    </row>
    <row r="2" spans="1:16">
      <c r="A2" t="s">
        <v>8</v>
      </c>
      <c r="N2" s="6">
        <v>0</v>
      </c>
      <c r="O2" t="s">
        <v>10</v>
      </c>
    </row>
    <row r="3" spans="1:16">
      <c r="B3" s="4" t="s">
        <v>7</v>
      </c>
      <c r="C3" s="4"/>
      <c r="D3" s="7">
        <v>2007</v>
      </c>
      <c r="E3" s="7">
        <f>D3+1</f>
        <v>2008</v>
      </c>
      <c r="F3" s="7">
        <f t="shared" ref="F3:N3" si="0">E3+1</f>
        <v>2009</v>
      </c>
      <c r="G3" s="7">
        <f t="shared" si="0"/>
        <v>2010</v>
      </c>
      <c r="H3" s="7">
        <f t="shared" si="0"/>
        <v>2011</v>
      </c>
      <c r="I3" s="7">
        <f t="shared" si="0"/>
        <v>2012</v>
      </c>
      <c r="J3" s="7">
        <f t="shared" si="0"/>
        <v>2013</v>
      </c>
      <c r="K3" s="7">
        <f t="shared" si="0"/>
        <v>2014</v>
      </c>
      <c r="L3" s="7">
        <f t="shared" si="0"/>
        <v>2015</v>
      </c>
      <c r="M3" s="7">
        <f t="shared" si="0"/>
        <v>2016</v>
      </c>
      <c r="N3" s="7">
        <f t="shared" si="0"/>
        <v>2017</v>
      </c>
    </row>
    <row r="4" spans="1:16">
      <c r="B4" s="1" t="s">
        <v>0</v>
      </c>
      <c r="C4" s="1" t="s">
        <v>1</v>
      </c>
      <c r="D4" s="2">
        <v>3</v>
      </c>
      <c r="E4" s="2">
        <v>3</v>
      </c>
      <c r="F4" s="2">
        <v>3</v>
      </c>
      <c r="G4" s="2">
        <v>3</v>
      </c>
      <c r="H4" s="2">
        <v>4</v>
      </c>
      <c r="I4" s="2">
        <v>4</v>
      </c>
      <c r="J4" s="2">
        <v>4</v>
      </c>
      <c r="K4" s="2">
        <v>5</v>
      </c>
      <c r="L4" s="2">
        <v>6</v>
      </c>
      <c r="M4" s="2">
        <v>7</v>
      </c>
      <c r="N4" s="2">
        <v>8</v>
      </c>
    </row>
    <row r="5" spans="1:16">
      <c r="C5" s="1" t="s">
        <v>2</v>
      </c>
      <c r="D5">
        <v>0</v>
      </c>
      <c r="E5">
        <v>0</v>
      </c>
      <c r="F5">
        <v>0</v>
      </c>
      <c r="G5" s="2">
        <v>3</v>
      </c>
      <c r="H5" s="2">
        <v>6</v>
      </c>
      <c r="I5" s="2">
        <v>9</v>
      </c>
      <c r="J5" s="5">
        <v>142</v>
      </c>
      <c r="K5" s="5">
        <v>345</v>
      </c>
      <c r="L5" s="1">
        <v>1553</v>
      </c>
      <c r="M5">
        <v>2399</v>
      </c>
      <c r="N5" s="6">
        <v>3008</v>
      </c>
    </row>
    <row r="6" spans="1:16">
      <c r="C6" s="1" t="s">
        <v>3</v>
      </c>
      <c r="D6" s="2">
        <v>3</v>
      </c>
      <c r="E6" s="2">
        <v>3</v>
      </c>
      <c r="F6" s="2">
        <v>3</v>
      </c>
      <c r="G6" s="2">
        <v>6</v>
      </c>
      <c r="H6" s="2">
        <v>10</v>
      </c>
      <c r="I6" s="2">
        <v>13</v>
      </c>
      <c r="J6" s="6">
        <v>146</v>
      </c>
      <c r="K6" s="8">
        <v>350</v>
      </c>
      <c r="L6" s="3">
        <v>1559</v>
      </c>
      <c r="M6">
        <v>2406</v>
      </c>
      <c r="N6">
        <v>3016</v>
      </c>
    </row>
    <row r="7" spans="1:16">
      <c r="B7" s="1" t="s">
        <v>5</v>
      </c>
      <c r="C7" s="1" t="s">
        <v>4</v>
      </c>
      <c r="D7" s="2">
        <v>97</v>
      </c>
      <c r="E7" s="2">
        <v>104</v>
      </c>
      <c r="F7" s="2">
        <v>116</v>
      </c>
      <c r="G7" s="2">
        <v>128</v>
      </c>
      <c r="H7" s="2">
        <v>140</v>
      </c>
      <c r="I7" s="2">
        <v>152</v>
      </c>
      <c r="J7" s="2">
        <v>164</v>
      </c>
      <c r="K7" s="2">
        <v>168</v>
      </c>
      <c r="L7" s="2">
        <v>170</v>
      </c>
      <c r="M7" s="2">
        <v>173</v>
      </c>
      <c r="N7" s="2">
        <v>175</v>
      </c>
    </row>
    <row r="8" spans="1:16">
      <c r="C8" s="1" t="s">
        <v>2</v>
      </c>
      <c r="D8">
        <v>0</v>
      </c>
      <c r="E8">
        <v>0</v>
      </c>
      <c r="F8">
        <v>0</v>
      </c>
      <c r="G8" s="5">
        <v>25</v>
      </c>
      <c r="H8">
        <v>161</v>
      </c>
      <c r="I8">
        <v>279</v>
      </c>
      <c r="J8">
        <v>474</v>
      </c>
      <c r="K8">
        <v>650</v>
      </c>
      <c r="L8" s="8">
        <v>1252</v>
      </c>
      <c r="M8" s="6">
        <v>2070</v>
      </c>
      <c r="N8" s="6">
        <v>2775</v>
      </c>
    </row>
    <row r="9" spans="1:16">
      <c r="C9" s="1" t="s">
        <v>3</v>
      </c>
      <c r="D9" s="66">
        <v>97</v>
      </c>
      <c r="E9" s="66">
        <v>104</v>
      </c>
      <c r="F9" s="66">
        <v>116</v>
      </c>
      <c r="G9" s="66">
        <v>153</v>
      </c>
      <c r="H9" s="6">
        <v>301</v>
      </c>
      <c r="I9" s="6">
        <v>431</v>
      </c>
      <c r="J9">
        <v>638</v>
      </c>
      <c r="K9">
        <v>818</v>
      </c>
      <c r="L9" s="6">
        <v>1422</v>
      </c>
      <c r="M9" s="6">
        <v>2243</v>
      </c>
      <c r="N9" s="6">
        <v>2950</v>
      </c>
    </row>
    <row r="10" spans="1:16" s="33" customFormat="1">
      <c r="C10" s="64"/>
      <c r="D10" s="67"/>
      <c r="E10" s="67"/>
      <c r="F10" s="67"/>
      <c r="G10" s="67"/>
      <c r="H10" s="65"/>
      <c r="I10" s="65"/>
      <c r="J10" s="65"/>
      <c r="K10" s="65"/>
      <c r="L10" s="65"/>
      <c r="M10" s="65"/>
      <c r="N10" s="65"/>
    </row>
    <row r="11" spans="1:16" s="33" customFormat="1">
      <c r="B11" s="1" t="s">
        <v>2</v>
      </c>
      <c r="C11" s="64" t="s">
        <v>186</v>
      </c>
      <c r="D11" s="68">
        <v>0</v>
      </c>
      <c r="E11" s="67">
        <f>E8-D8</f>
        <v>0</v>
      </c>
      <c r="F11" s="67">
        <f t="shared" ref="F11:N11" si="1">F8-E8</f>
        <v>0</v>
      </c>
      <c r="G11" s="67">
        <f t="shared" si="1"/>
        <v>25</v>
      </c>
      <c r="H11" s="67">
        <f t="shared" si="1"/>
        <v>136</v>
      </c>
      <c r="I11" s="67">
        <f t="shared" si="1"/>
        <v>118</v>
      </c>
      <c r="J11" s="67">
        <f t="shared" si="1"/>
        <v>195</v>
      </c>
      <c r="K11" s="142">
        <f t="shared" si="1"/>
        <v>176</v>
      </c>
      <c r="L11" s="67">
        <f t="shared" si="1"/>
        <v>602</v>
      </c>
      <c r="M11" s="67">
        <f t="shared" si="1"/>
        <v>818</v>
      </c>
      <c r="N11" s="67">
        <f t="shared" si="1"/>
        <v>705</v>
      </c>
    </row>
    <row r="12" spans="1:16" s="33" customFormat="1">
      <c r="C12" s="85" t="s">
        <v>257</v>
      </c>
      <c r="D12" s="67">
        <v>0</v>
      </c>
      <c r="E12" s="67">
        <f t="shared" ref="E12:N12" si="2">E11/1000</f>
        <v>0</v>
      </c>
      <c r="F12" s="67">
        <f t="shared" si="2"/>
        <v>0</v>
      </c>
      <c r="G12" s="67">
        <f t="shared" si="2"/>
        <v>2.5000000000000001E-2</v>
      </c>
      <c r="H12" s="67">
        <f t="shared" si="2"/>
        <v>0.13600000000000001</v>
      </c>
      <c r="I12" s="67">
        <f t="shared" si="2"/>
        <v>0.11799999999999999</v>
      </c>
      <c r="J12" s="67">
        <f t="shared" si="2"/>
        <v>0.19500000000000001</v>
      </c>
      <c r="K12" s="67">
        <f t="shared" si="2"/>
        <v>0.17599999999999999</v>
      </c>
      <c r="L12" s="67">
        <f t="shared" si="2"/>
        <v>0.60199999999999998</v>
      </c>
      <c r="M12" s="67">
        <f t="shared" si="2"/>
        <v>0.81799999999999995</v>
      </c>
      <c r="N12" s="67">
        <f t="shared" si="2"/>
        <v>0.70499999999999996</v>
      </c>
    </row>
    <row r="13" spans="1:16" s="33" customFormat="1">
      <c r="C13" s="85"/>
      <c r="D13" s="67"/>
      <c r="E13" s="67"/>
      <c r="F13" s="67"/>
      <c r="G13" s="67"/>
      <c r="H13" s="67"/>
      <c r="I13" s="67"/>
      <c r="J13" s="67"/>
      <c r="K13" s="67"/>
      <c r="L13" s="67"/>
      <c r="M13" s="67"/>
      <c r="N13" s="67"/>
    </row>
    <row r="14" spans="1:16" s="33" customFormat="1">
      <c r="B14" s="1" t="s">
        <v>2</v>
      </c>
      <c r="C14" s="64" t="s">
        <v>332</v>
      </c>
      <c r="D14" s="68">
        <v>0</v>
      </c>
      <c r="E14" s="67">
        <f>E5-D5</f>
        <v>0</v>
      </c>
      <c r="F14" s="67">
        <f t="shared" ref="F14:N14" si="3">F5-E5</f>
        <v>0</v>
      </c>
      <c r="G14" s="67">
        <f t="shared" si="3"/>
        <v>3</v>
      </c>
      <c r="H14" s="67">
        <f t="shared" si="3"/>
        <v>3</v>
      </c>
      <c r="I14" s="67">
        <f t="shared" si="3"/>
        <v>3</v>
      </c>
      <c r="J14" s="67">
        <f t="shared" si="3"/>
        <v>133</v>
      </c>
      <c r="K14" s="142">
        <f t="shared" si="3"/>
        <v>203</v>
      </c>
      <c r="L14" s="67">
        <f t="shared" si="3"/>
        <v>1208</v>
      </c>
      <c r="M14" s="67">
        <f t="shared" si="3"/>
        <v>846</v>
      </c>
      <c r="N14" s="67">
        <f t="shared" si="3"/>
        <v>609</v>
      </c>
      <c r="P14" s="33" t="s">
        <v>700</v>
      </c>
    </row>
    <row r="15" spans="1:16" s="33" customFormat="1">
      <c r="C15" s="85" t="s">
        <v>257</v>
      </c>
      <c r="D15" s="67">
        <v>0</v>
      </c>
      <c r="E15" s="67">
        <f t="shared" ref="E15:N15" si="4">E14/1000</f>
        <v>0</v>
      </c>
      <c r="F15" s="67">
        <f t="shared" si="4"/>
        <v>0</v>
      </c>
      <c r="G15" s="67">
        <f t="shared" si="4"/>
        <v>3.0000000000000001E-3</v>
      </c>
      <c r="H15" s="67">
        <f t="shared" si="4"/>
        <v>3.0000000000000001E-3</v>
      </c>
      <c r="I15" s="67">
        <f t="shared" si="4"/>
        <v>3.0000000000000001E-3</v>
      </c>
      <c r="J15" s="67">
        <f t="shared" si="4"/>
        <v>0.13300000000000001</v>
      </c>
      <c r="K15" s="67">
        <f t="shared" si="4"/>
        <v>0.20300000000000001</v>
      </c>
      <c r="L15" s="67">
        <f t="shared" si="4"/>
        <v>1.208</v>
      </c>
      <c r="M15" s="67">
        <f t="shared" si="4"/>
        <v>0.84599999999999997</v>
      </c>
      <c r="N15" s="67">
        <f t="shared" si="4"/>
        <v>0.60899999999999999</v>
      </c>
    </row>
    <row r="16" spans="1:16" s="33" customFormat="1">
      <c r="C16" s="85"/>
      <c r="D16" s="67"/>
      <c r="E16" s="67"/>
      <c r="F16" s="67"/>
      <c r="G16" s="67"/>
      <c r="H16" s="67"/>
      <c r="I16" s="67"/>
      <c r="J16" s="67"/>
      <c r="K16" s="67"/>
      <c r="L16" s="67"/>
      <c r="M16" s="67"/>
      <c r="N16" s="67"/>
    </row>
    <row r="17" spans="2:14" s="33" customFormat="1">
      <c r="C17" s="85"/>
      <c r="D17" s="67"/>
      <c r="E17" s="67"/>
      <c r="F17" s="67"/>
      <c r="G17" s="67"/>
      <c r="H17" s="67"/>
      <c r="I17" s="67"/>
      <c r="J17" s="67"/>
      <c r="K17" s="67"/>
      <c r="L17" s="67"/>
      <c r="M17" s="67"/>
      <c r="N17" s="67"/>
    </row>
    <row r="19" spans="2:14">
      <c r="B19" t="s">
        <v>6</v>
      </c>
      <c r="C19" s="1" t="s">
        <v>4</v>
      </c>
      <c r="D19" s="2">
        <v>100</v>
      </c>
      <c r="E19" s="2">
        <v>107</v>
      </c>
      <c r="F19" s="2">
        <v>119</v>
      </c>
      <c r="G19" s="2">
        <v>131</v>
      </c>
      <c r="H19" s="2">
        <v>144</v>
      </c>
      <c r="I19" s="2">
        <v>156</v>
      </c>
      <c r="J19" s="2">
        <v>168</v>
      </c>
      <c r="K19" s="2">
        <v>173</v>
      </c>
      <c r="L19" s="2">
        <v>176</v>
      </c>
      <c r="M19" s="2">
        <v>180</v>
      </c>
      <c r="N19" s="2">
        <v>183</v>
      </c>
    </row>
    <row r="20" spans="2:14">
      <c r="C20" s="1" t="s">
        <v>2</v>
      </c>
      <c r="D20">
        <v>0</v>
      </c>
      <c r="E20">
        <v>0</v>
      </c>
      <c r="F20">
        <v>0</v>
      </c>
      <c r="G20" s="6">
        <v>28</v>
      </c>
      <c r="H20" s="6">
        <v>167</v>
      </c>
      <c r="I20">
        <v>288</v>
      </c>
      <c r="J20">
        <v>616</v>
      </c>
      <c r="K20">
        <v>995</v>
      </c>
      <c r="L20" s="6">
        <v>2805</v>
      </c>
      <c r="M20" s="6">
        <v>4469</v>
      </c>
      <c r="N20" s="6">
        <v>5783</v>
      </c>
    </row>
    <row r="21" spans="2:14">
      <c r="C21" s="1" t="s">
        <v>3</v>
      </c>
      <c r="D21" s="2">
        <v>100</v>
      </c>
      <c r="E21" s="2">
        <v>107</v>
      </c>
      <c r="F21" s="2">
        <v>119</v>
      </c>
      <c r="G21" s="2">
        <v>159</v>
      </c>
      <c r="H21" s="5">
        <v>311</v>
      </c>
      <c r="I21" s="5">
        <v>444</v>
      </c>
      <c r="J21" s="5">
        <v>784</v>
      </c>
      <c r="K21" s="5">
        <v>1168</v>
      </c>
      <c r="L21" s="5">
        <v>2981</v>
      </c>
      <c r="M21" s="5">
        <v>4649</v>
      </c>
      <c r="N21" s="5">
        <v>5966</v>
      </c>
    </row>
    <row r="22" spans="2:14">
      <c r="D22" s="5"/>
      <c r="E22" s="5"/>
      <c r="F22" s="5"/>
      <c r="G22" s="5"/>
      <c r="H22" s="5"/>
      <c r="I22" s="5"/>
      <c r="J22" s="5"/>
      <c r="K22" s="5"/>
      <c r="L22" s="5"/>
    </row>
    <row r="23" spans="2:14">
      <c r="B23" s="1" t="s">
        <v>2</v>
      </c>
      <c r="C23" t="s">
        <v>256</v>
      </c>
      <c r="D23" s="68">
        <v>0</v>
      </c>
      <c r="E23" s="67">
        <f>E20-D20</f>
        <v>0</v>
      </c>
      <c r="F23" s="67">
        <f t="shared" ref="F23:N23" si="5">F20-E20</f>
        <v>0</v>
      </c>
      <c r="G23" s="67">
        <f t="shared" si="5"/>
        <v>28</v>
      </c>
      <c r="H23" s="67">
        <f t="shared" si="5"/>
        <v>139</v>
      </c>
      <c r="I23" s="67">
        <f t="shared" si="5"/>
        <v>121</v>
      </c>
      <c r="J23" s="67">
        <f t="shared" si="5"/>
        <v>328</v>
      </c>
      <c r="K23" s="142">
        <f t="shared" si="5"/>
        <v>379</v>
      </c>
      <c r="L23" s="67">
        <f t="shared" si="5"/>
        <v>1810</v>
      </c>
      <c r="M23" s="67">
        <f t="shared" si="5"/>
        <v>1664</v>
      </c>
      <c r="N23" s="67">
        <f t="shared" si="5"/>
        <v>1314</v>
      </c>
    </row>
    <row r="24" spans="2:14">
      <c r="C24" s="85" t="s">
        <v>257</v>
      </c>
      <c r="D24" s="67">
        <v>0</v>
      </c>
      <c r="E24" s="67">
        <f t="shared" ref="E24:N24" si="6">E23/1000</f>
        <v>0</v>
      </c>
      <c r="F24" s="67">
        <f t="shared" si="6"/>
        <v>0</v>
      </c>
      <c r="G24" s="67">
        <f t="shared" si="6"/>
        <v>2.8000000000000001E-2</v>
      </c>
      <c r="H24" s="67">
        <f t="shared" si="6"/>
        <v>0.13900000000000001</v>
      </c>
      <c r="I24" s="67">
        <f t="shared" si="6"/>
        <v>0.121</v>
      </c>
      <c r="J24" s="67">
        <f t="shared" si="6"/>
        <v>0.32800000000000001</v>
      </c>
      <c r="K24" s="67">
        <f t="shared" si="6"/>
        <v>0.379</v>
      </c>
      <c r="L24" s="67">
        <f t="shared" si="6"/>
        <v>1.81</v>
      </c>
      <c r="M24" s="67">
        <f t="shared" si="6"/>
        <v>1.6639999999999999</v>
      </c>
      <c r="N24" s="67">
        <f t="shared" si="6"/>
        <v>1.3140000000000001</v>
      </c>
    </row>
  </sheetData>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T167"/>
  <sheetViews>
    <sheetView zoomScale="75" zoomScaleNormal="75" workbookViewId="0">
      <pane xSplit="1" ySplit="2" topLeftCell="B141" activePane="bottomRight" state="frozen"/>
      <selection pane="topRight" activeCell="B1" sqref="B1"/>
      <selection pane="bottomLeft" activeCell="A3" sqref="A3"/>
      <selection pane="bottomRight" activeCell="AB154" sqref="AB154"/>
    </sheetView>
  </sheetViews>
  <sheetFormatPr defaultRowHeight="15"/>
  <cols>
    <col min="1" max="1" width="9.140625" style="3"/>
    <col min="2" max="25" width="12.140625" style="3" customWidth="1"/>
    <col min="26" max="26" width="16" style="3" customWidth="1"/>
    <col min="27" max="27" width="16.140625" style="3" customWidth="1"/>
    <col min="28" max="28" width="17.5703125" style="3" customWidth="1"/>
    <col min="29" max="29" width="14.28515625" style="3" customWidth="1"/>
    <col min="30" max="43" width="9.140625" style="3"/>
    <col min="44" max="44" width="10.28515625" style="3" customWidth="1"/>
    <col min="45" max="16384" width="9.140625" style="3"/>
  </cols>
  <sheetData>
    <row r="1" spans="1:72">
      <c r="B1" s="3" t="s">
        <v>367</v>
      </c>
      <c r="Z1" s="3" t="s">
        <v>914</v>
      </c>
      <c r="AY1" s="3" t="s">
        <v>367</v>
      </c>
    </row>
    <row r="2" spans="1:72">
      <c r="B2" s="168" t="s">
        <v>255</v>
      </c>
      <c r="C2" s="168" t="s">
        <v>539</v>
      </c>
      <c r="D2" s="168" t="s">
        <v>540</v>
      </c>
      <c r="E2" s="168" t="s">
        <v>238</v>
      </c>
      <c r="F2" s="168" t="s">
        <v>239</v>
      </c>
      <c r="G2" s="168" t="s">
        <v>541</v>
      </c>
      <c r="H2" s="168" t="s">
        <v>542</v>
      </c>
      <c r="I2" s="168" t="s">
        <v>240</v>
      </c>
      <c r="J2" s="168" t="s">
        <v>241</v>
      </c>
      <c r="K2" s="168" t="s">
        <v>242</v>
      </c>
      <c r="L2" s="168" t="s">
        <v>544</v>
      </c>
      <c r="M2" s="169" t="s">
        <v>538</v>
      </c>
      <c r="N2" s="168" t="s">
        <v>243</v>
      </c>
      <c r="O2" s="168" t="s">
        <v>244</v>
      </c>
      <c r="P2" s="168" t="s">
        <v>245</v>
      </c>
      <c r="Q2" s="170" t="s">
        <v>331</v>
      </c>
      <c r="R2" s="168" t="s">
        <v>246</v>
      </c>
      <c r="S2" s="168" t="s">
        <v>545</v>
      </c>
      <c r="T2" s="168" t="s">
        <v>247</v>
      </c>
      <c r="U2" s="168" t="s">
        <v>546</v>
      </c>
      <c r="V2" s="168" t="s">
        <v>248</v>
      </c>
      <c r="W2" s="168" t="s">
        <v>249</v>
      </c>
      <c r="X2" s="168"/>
      <c r="Z2" s="168" t="s">
        <v>255</v>
      </c>
      <c r="AA2" s="168" t="s">
        <v>539</v>
      </c>
      <c r="AB2" s="168" t="s">
        <v>540</v>
      </c>
      <c r="AC2" s="168" t="s">
        <v>238</v>
      </c>
      <c r="AD2" s="168" t="s">
        <v>239</v>
      </c>
      <c r="AE2" s="168" t="s">
        <v>541</v>
      </c>
      <c r="AF2" s="168" t="s">
        <v>542</v>
      </c>
      <c r="AG2" s="168" t="s">
        <v>240</v>
      </c>
      <c r="AH2" s="168" t="s">
        <v>241</v>
      </c>
      <c r="AI2" s="168" t="s">
        <v>242</v>
      </c>
      <c r="AJ2" s="168" t="s">
        <v>544</v>
      </c>
      <c r="AK2" s="169" t="s">
        <v>538</v>
      </c>
      <c r="AL2" s="168" t="s">
        <v>243</v>
      </c>
      <c r="AM2" s="168" t="s">
        <v>244</v>
      </c>
      <c r="AN2" s="168" t="s">
        <v>245</v>
      </c>
      <c r="AO2" s="170" t="s">
        <v>331</v>
      </c>
      <c r="AP2" s="168" t="s">
        <v>246</v>
      </c>
      <c r="AQ2" s="168" t="s">
        <v>545</v>
      </c>
      <c r="AR2" s="168" t="s">
        <v>247</v>
      </c>
      <c r="AS2" s="168" t="s">
        <v>546</v>
      </c>
      <c r="AT2" s="168" t="s">
        <v>248</v>
      </c>
      <c r="AU2" s="168" t="s">
        <v>249</v>
      </c>
      <c r="AY2" s="168" t="s">
        <v>255</v>
      </c>
      <c r="AZ2" s="168" t="s">
        <v>539</v>
      </c>
      <c r="BA2" s="168" t="s">
        <v>540</v>
      </c>
      <c r="BB2" s="168" t="s">
        <v>238</v>
      </c>
      <c r="BC2" s="168" t="s">
        <v>239</v>
      </c>
      <c r="BD2" s="168" t="s">
        <v>541</v>
      </c>
      <c r="BE2" s="168" t="s">
        <v>542</v>
      </c>
      <c r="BF2" s="168" t="s">
        <v>240</v>
      </c>
      <c r="BG2" s="168" t="s">
        <v>241</v>
      </c>
      <c r="BH2" s="168" t="s">
        <v>242</v>
      </c>
      <c r="BI2" s="168" t="s">
        <v>544</v>
      </c>
      <c r="BJ2" s="169" t="s">
        <v>538</v>
      </c>
      <c r="BK2" s="168" t="s">
        <v>243</v>
      </c>
      <c r="BL2" s="168" t="s">
        <v>244</v>
      </c>
      <c r="BM2" s="168" t="s">
        <v>245</v>
      </c>
      <c r="BN2" s="170" t="s">
        <v>331</v>
      </c>
      <c r="BO2" s="168" t="s">
        <v>246</v>
      </c>
      <c r="BP2" s="168" t="s">
        <v>545</v>
      </c>
      <c r="BQ2" s="168" t="s">
        <v>247</v>
      </c>
      <c r="BR2" s="168" t="s">
        <v>546</v>
      </c>
      <c r="BS2" s="168" t="s">
        <v>248</v>
      </c>
      <c r="BT2" s="168" t="s">
        <v>249</v>
      </c>
    </row>
    <row r="3" spans="1:72">
      <c r="A3" s="3">
        <v>2009</v>
      </c>
      <c r="B3" s="3">
        <f>Australia!O3</f>
        <v>45075.890373517621</v>
      </c>
      <c r="C3" s="3">
        <f>Austria!O3</f>
        <v>27012.449163204627</v>
      </c>
      <c r="D3" s="3">
        <f>Belgium!O3</f>
        <v>16888.946639338224</v>
      </c>
      <c r="E3" s="3">
        <f>Canada!O3</f>
        <v>40233.935326119863</v>
      </c>
      <c r="F3" s="3">
        <f>China!P3</f>
        <v>198899.60723427459</v>
      </c>
      <c r="G3" s="3">
        <f>Denmark!O3</f>
        <v>204100.95397607581</v>
      </c>
      <c r="H3" s="3">
        <f>Finland!O3</f>
        <v>27612.332348841366</v>
      </c>
      <c r="I3" s="3">
        <f>France!P3</f>
        <v>21540.410736725793</v>
      </c>
      <c r="J3" s="3">
        <f>Germany!Q3</f>
        <v>27044.380743608912</v>
      </c>
      <c r="K3" s="3">
        <f>India!O3</f>
        <v>1766493.9963058305</v>
      </c>
      <c r="L3" s="3">
        <f>Ireland!P3</f>
        <v>27330.089308557417</v>
      </c>
      <c r="M3" s="3">
        <f>Italy!N3</f>
        <v>27012.449163204627</v>
      </c>
      <c r="N3" s="3">
        <f>Japan!O3</f>
        <v>2770175.6282026875</v>
      </c>
      <c r="O3" s="3">
        <f>Korea!P3</f>
        <v>55.131027072698338</v>
      </c>
      <c r="P3" s="3">
        <f>'Netherlands '!P4</f>
        <v>25349.428753511253</v>
      </c>
      <c r="Q3" s="3">
        <f>'New Zealand'!M3</f>
        <v>59936.620545788144</v>
      </c>
      <c r="R3" s="3">
        <f>'Norway with subs'!AB4</f>
        <v>202476.36058427417</v>
      </c>
      <c r="S3" s="3">
        <f>Spain!O3</f>
        <v>27172.214470474653</v>
      </c>
      <c r="T3" s="3">
        <f>Sweden!N3</f>
        <v>283120.28276710183</v>
      </c>
      <c r="U3" s="3">
        <f>Switzerland!N3</f>
        <v>38366.489686100416</v>
      </c>
      <c r="V3" s="3">
        <f>Britain!P3</f>
        <v>23045.440014279044</v>
      </c>
      <c r="W3" s="3">
        <f>USA!O3</f>
        <v>21936.055885885999</v>
      </c>
      <c r="Y3" s="3">
        <v>2009</v>
      </c>
      <c r="Z3" s="84">
        <f>Australia!W3</f>
        <v>1.28218881008452</v>
      </c>
      <c r="AA3" s="84">
        <f>Austria!AX3</f>
        <v>0</v>
      </c>
      <c r="AB3" s="84">
        <f>Belgium!AS3</f>
        <v>0</v>
      </c>
      <c r="AC3" s="84">
        <f>Canada!AV3</f>
        <v>0</v>
      </c>
      <c r="AD3" s="84">
        <f>China!AU3</f>
        <v>0</v>
      </c>
      <c r="AE3" s="84">
        <f>Denmark!AU3</f>
        <v>0</v>
      </c>
      <c r="AF3" s="84">
        <f>Finland!AT3</f>
        <v>0</v>
      </c>
      <c r="AG3" s="84">
        <f>France!AU3</f>
        <v>0</v>
      </c>
      <c r="AH3" s="84">
        <f>Germany!AV3</f>
        <v>0</v>
      </c>
      <c r="AI3" s="84">
        <f>India!AT3</f>
        <v>0</v>
      </c>
      <c r="AJ3" s="84">
        <f>Ireland!AU3</f>
        <v>0</v>
      </c>
      <c r="AK3" s="84">
        <f>Italy!AT3</f>
        <v>0</v>
      </c>
      <c r="AL3" s="84">
        <f>Japan!AT3</f>
        <v>0</v>
      </c>
      <c r="AM3" s="84">
        <f>Korea!AV3</f>
        <v>0</v>
      </c>
      <c r="AN3" s="84">
        <f>'Netherlands '!AU4</f>
        <v>0</v>
      </c>
      <c r="AO3" s="84">
        <f>'New Zealand'!AT3</f>
        <v>0</v>
      </c>
      <c r="AP3" s="84">
        <f>'Norway with subs'!AZ4</f>
        <v>0</v>
      </c>
      <c r="AQ3" s="84">
        <f>Spain!AT3</f>
        <v>0</v>
      </c>
      <c r="AR3" s="84">
        <f>Sweden!AT3</f>
        <v>0</v>
      </c>
      <c r="AS3" s="84">
        <f>Switzerland!AU3</f>
        <v>0</v>
      </c>
      <c r="AT3" s="84">
        <f>Britain!AN3</f>
        <v>0</v>
      </c>
      <c r="AU3" s="84">
        <f>USA!AU3</f>
        <v>0</v>
      </c>
      <c r="AX3" s="3">
        <v>2009</v>
      </c>
      <c r="AY3" s="3">
        <f>Australia!BO3</f>
        <v>0</v>
      </c>
      <c r="AZ3" s="3">
        <f>Austria!BW3</f>
        <v>0</v>
      </c>
      <c r="BA3" s="3">
        <f>Belgium!BR3</f>
        <v>0</v>
      </c>
      <c r="BB3" s="3">
        <f>Canada!BU3</f>
        <v>0</v>
      </c>
      <c r="BC3" s="3">
        <f>China!BT3</f>
        <v>0</v>
      </c>
      <c r="BD3" s="3">
        <f>Denmark!BT3</f>
        <v>0</v>
      </c>
      <c r="BE3" s="3">
        <f>Finland!BS3</f>
        <v>0</v>
      </c>
      <c r="BF3" s="3">
        <f>France!BT3</f>
        <v>0</v>
      </c>
      <c r="BG3" s="3">
        <f>Germany!BU3</f>
        <v>0</v>
      </c>
      <c r="BH3" s="3">
        <f>India!BS3</f>
        <v>0</v>
      </c>
      <c r="BI3" s="3">
        <f>Ireland!BT3</f>
        <v>0</v>
      </c>
      <c r="BJ3" s="3">
        <f>Italy!BS3</f>
        <v>0</v>
      </c>
      <c r="BK3" s="3">
        <f>Japan!BS3</f>
        <v>0</v>
      </c>
      <c r="BL3" s="3">
        <f>Korea!BU3</f>
        <v>0</v>
      </c>
      <c r="BM3" s="3">
        <f>'Netherlands '!BT4</f>
        <v>0</v>
      </c>
      <c r="BN3" s="3">
        <f>'New Zealand'!BS3</f>
        <v>0</v>
      </c>
      <c r="BO3" s="3">
        <f>'Norway with subs'!BW4</f>
        <v>0</v>
      </c>
      <c r="BP3" s="3">
        <f>Spain!BS3</f>
        <v>0</v>
      </c>
      <c r="BQ3" s="3">
        <f>Sweden!BS3</f>
        <v>0</v>
      </c>
      <c r="BR3" s="3">
        <f>Switzerland!BT3</f>
        <v>0</v>
      </c>
      <c r="BS3" s="3">
        <f>Britain!BM3</f>
        <v>0</v>
      </c>
      <c r="BT3" s="3">
        <f>USA!BT3</f>
        <v>0</v>
      </c>
    </row>
    <row r="4" spans="1:72">
      <c r="A4" s="3">
        <v>2010</v>
      </c>
      <c r="B4" s="3">
        <f>Australia!O4</f>
        <v>39050.162600889547</v>
      </c>
      <c r="C4" s="3">
        <f>Austria!O4</f>
        <v>28762.166532298244</v>
      </c>
      <c r="D4" s="3">
        <f>Belgium!O4</f>
        <v>18874.626611742544</v>
      </c>
      <c r="E4" s="3">
        <f>Canada!O4</f>
        <v>34986.412240594131</v>
      </c>
      <c r="F4" s="3">
        <f>China!P4</f>
        <v>201029.32452816062</v>
      </c>
      <c r="G4" s="3">
        <f>Denmark!O4</f>
        <v>216651.94500415513</v>
      </c>
      <c r="H4" s="3">
        <f>Finland!O4</f>
        <v>29400.588424990714</v>
      </c>
      <c r="I4" s="3">
        <f>France!P4</f>
        <v>23879.659741529795</v>
      </c>
      <c r="J4" s="3">
        <f>Germany!Q4</f>
        <v>29265.178870486016</v>
      </c>
      <c r="K4" s="3">
        <f>India!O4</f>
        <v>1411576.0750938365</v>
      </c>
      <c r="L4" s="3">
        <f>Ireland!P4</f>
        <v>29408.100976247442</v>
      </c>
      <c r="M4" s="3">
        <f>Italy!N4</f>
        <v>28762.166532298244</v>
      </c>
      <c r="N4" s="3">
        <f>Japan!O4</f>
        <v>2600346.8118189783</v>
      </c>
      <c r="O4" s="3">
        <f>Korea!P4</f>
        <v>50.484856771192412</v>
      </c>
      <c r="P4" s="3">
        <f>'Netherlands '!P5</f>
        <v>27084.565144529093</v>
      </c>
      <c r="Q4" s="3">
        <f>'New Zealand'!M4</f>
        <v>53500.648086082998</v>
      </c>
      <c r="R4" s="3">
        <f>'Norway with subs'!AB5</f>
        <v>196574.77162953335</v>
      </c>
      <c r="S4" s="3">
        <f>Spain!O4</f>
        <v>22945.881558385649</v>
      </c>
      <c r="T4" s="3">
        <f>Sweden!N4</f>
        <v>269860.84898115863</v>
      </c>
      <c r="U4" s="3">
        <f>Switzerland!N4</f>
        <v>37439.309240117014</v>
      </c>
      <c r="V4" s="3">
        <f>Britain!P4</f>
        <v>24050.409446251124</v>
      </c>
      <c r="W4" s="3">
        <f>USA!O4</f>
        <v>22534.484216240518</v>
      </c>
      <c r="Y4" s="3">
        <v>2010</v>
      </c>
      <c r="Z4" s="84">
        <f>Australia!W4</f>
        <v>1.087025445453969</v>
      </c>
      <c r="AA4" s="84">
        <f>Austria!AX4</f>
        <v>0</v>
      </c>
      <c r="AB4" s="84">
        <f>Belgium!AS4</f>
        <v>0</v>
      </c>
      <c r="AC4" s="84">
        <f>Canada!AV4</f>
        <v>0</v>
      </c>
      <c r="AD4" s="84">
        <f>China!AU4</f>
        <v>0</v>
      </c>
      <c r="AE4" s="84">
        <f>Denmark!AU4</f>
        <v>0</v>
      </c>
      <c r="AF4" s="84">
        <f>Finland!AT4</f>
        <v>0</v>
      </c>
      <c r="AG4" s="84">
        <f>France!AU4</f>
        <v>0</v>
      </c>
      <c r="AH4" s="84">
        <f>Germany!AV4</f>
        <v>0</v>
      </c>
      <c r="AI4" s="84">
        <f>India!AT4</f>
        <v>0</v>
      </c>
      <c r="AJ4" s="84">
        <f>Ireland!AU4</f>
        <v>0</v>
      </c>
      <c r="AK4" s="84">
        <f>Italy!AT4</f>
        <v>0</v>
      </c>
      <c r="AL4" s="84">
        <f>Japan!AT4</f>
        <v>0</v>
      </c>
      <c r="AM4" s="84">
        <f>Korea!AV4</f>
        <v>0</v>
      </c>
      <c r="AN4" s="84">
        <f>'Netherlands '!AU5</f>
        <v>0</v>
      </c>
      <c r="AO4" s="84">
        <f>'New Zealand'!AT4</f>
        <v>0</v>
      </c>
      <c r="AP4" s="84">
        <f>'Norway with subs'!AZ5</f>
        <v>0</v>
      </c>
      <c r="AQ4" s="84">
        <f>Spain!AT4</f>
        <v>0</v>
      </c>
      <c r="AR4" s="84">
        <f>Sweden!AT4</f>
        <v>0</v>
      </c>
      <c r="AS4" s="84">
        <f>Switzerland!AU4</f>
        <v>0</v>
      </c>
      <c r="AT4" s="84">
        <f>Britain!AN4</f>
        <v>0</v>
      </c>
      <c r="AU4" s="84">
        <f>USA!AU4</f>
        <v>0</v>
      </c>
      <c r="AX4" s="3">
        <v>2010</v>
      </c>
      <c r="AY4" s="3">
        <f>Australia!BO4</f>
        <v>0</v>
      </c>
      <c r="AZ4" s="3">
        <f>Austria!BW4</f>
        <v>0</v>
      </c>
      <c r="BA4" s="3">
        <f>Belgium!BR4</f>
        <v>0</v>
      </c>
      <c r="BB4" s="3">
        <f>Canada!BU4</f>
        <v>0</v>
      </c>
      <c r="BC4" s="3">
        <f>China!BT4</f>
        <v>0</v>
      </c>
      <c r="BD4" s="3">
        <f>Denmark!BT4</f>
        <v>0</v>
      </c>
      <c r="BE4" s="3">
        <f>Finland!BS4</f>
        <v>0</v>
      </c>
      <c r="BF4" s="3">
        <f>France!BT4</f>
        <v>0</v>
      </c>
      <c r="BG4" s="3">
        <f>Germany!BU4</f>
        <v>0</v>
      </c>
      <c r="BH4" s="3">
        <f>India!BS4</f>
        <v>0</v>
      </c>
      <c r="BI4" s="3">
        <f>Ireland!BT4</f>
        <v>0</v>
      </c>
      <c r="BJ4" s="3">
        <f>Italy!BS4</f>
        <v>0</v>
      </c>
      <c r="BK4" s="3">
        <f>Japan!BS4</f>
        <v>0</v>
      </c>
      <c r="BL4" s="3">
        <f>Korea!BU4</f>
        <v>0</v>
      </c>
      <c r="BM4" s="3">
        <f>'Netherlands '!BT5</f>
        <v>0</v>
      </c>
      <c r="BN4" s="3">
        <f>'New Zealand'!BS4</f>
        <v>0</v>
      </c>
      <c r="BO4" s="3">
        <f>'Norway with subs'!BW5</f>
        <v>0</v>
      </c>
      <c r="BP4" s="3">
        <f>Spain!BS4</f>
        <v>0</v>
      </c>
      <c r="BQ4" s="3">
        <f>Sweden!BS4</f>
        <v>0</v>
      </c>
      <c r="BR4" s="3">
        <f>Switzerland!BT4</f>
        <v>0</v>
      </c>
      <c r="BS4" s="3">
        <f>Britain!BM4</f>
        <v>0</v>
      </c>
      <c r="BT4" s="3">
        <f>USA!BT4</f>
        <v>0</v>
      </c>
    </row>
    <row r="5" spans="1:72">
      <c r="A5" s="3">
        <v>2011</v>
      </c>
      <c r="B5" s="3">
        <f>Australia!O5</f>
        <v>34775.011410863139</v>
      </c>
      <c r="C5" s="3">
        <f>Austria!O5</f>
        <v>27205.879597376701</v>
      </c>
      <c r="D5" s="3">
        <f>Belgium!O5</f>
        <v>17649.239012425849</v>
      </c>
      <c r="E5" s="3">
        <f>Canada!O5</f>
        <v>33423.934248978207</v>
      </c>
      <c r="F5" s="3">
        <f>China!P5</f>
        <v>194472.67191177761</v>
      </c>
      <c r="G5" s="3">
        <f>Denmark!O5</f>
        <v>206949.27796794617</v>
      </c>
      <c r="H5" s="3">
        <f>Finland!O5</f>
        <v>28022.555612943517</v>
      </c>
      <c r="I5" s="3">
        <f>France!P5</f>
        <v>22950.007507408973</v>
      </c>
      <c r="J5" s="3">
        <f>Germany!Q5</f>
        <v>28145.903682950651</v>
      </c>
      <c r="K5" s="3">
        <f>India!O5</f>
        <v>1445634.6305375793</v>
      </c>
      <c r="L5" s="3">
        <f>Ireland!P5</f>
        <v>27032.991327843552</v>
      </c>
      <c r="M5" s="3">
        <f>Italy!N5</f>
        <v>27205.879597376701</v>
      </c>
      <c r="N5" s="3">
        <f>Japan!O5</f>
        <v>2355690.0809065453</v>
      </c>
      <c r="O5" s="3">
        <f>Korea!P5</f>
        <v>36.26159528818247</v>
      </c>
      <c r="P5" s="3">
        <f>'Netherlands '!P6</f>
        <v>25541.247267398561</v>
      </c>
      <c r="Q5" s="3">
        <f>'New Zealand'!M5</f>
        <v>49433.362440679368</v>
      </c>
      <c r="R5" s="3">
        <f>'Norway with subs'!AB6</f>
        <v>182980.3492968379</v>
      </c>
      <c r="S5" s="3">
        <f>Spain!O5</f>
        <v>22325.145267367981</v>
      </c>
      <c r="T5" s="3">
        <f>Sweden!N5</f>
        <v>243674.76869383975</v>
      </c>
      <c r="U5" s="3">
        <f>Switzerland!N5</f>
        <v>32318.274419469555</v>
      </c>
      <c r="V5" s="3">
        <f>Britain!P5</f>
        <v>18465.78247646421</v>
      </c>
      <c r="W5" s="3">
        <f>USA!O5</f>
        <v>22841.837877204933</v>
      </c>
      <c r="Y5" s="3">
        <v>2011</v>
      </c>
      <c r="Z5" s="84">
        <f>Australia!W5</f>
        <v>0.96091479088091858</v>
      </c>
      <c r="AA5" s="84">
        <f>Austria!AX5</f>
        <v>0</v>
      </c>
      <c r="AB5" s="84">
        <f>Belgium!AS5</f>
        <v>0</v>
      </c>
      <c r="AC5" s="84">
        <f>Canada!AV5</f>
        <v>0</v>
      </c>
      <c r="AD5" s="84">
        <f>China!AU5</f>
        <v>0</v>
      </c>
      <c r="AE5" s="84">
        <f>Denmark!AU5</f>
        <v>0</v>
      </c>
      <c r="AF5" s="84">
        <f>Finland!AT5</f>
        <v>0</v>
      </c>
      <c r="AG5" s="84">
        <f>France!AU5</f>
        <v>0</v>
      </c>
      <c r="AH5" s="84">
        <f>Germany!AV5</f>
        <v>0</v>
      </c>
      <c r="AI5" s="84">
        <f>India!AT5</f>
        <v>0</v>
      </c>
      <c r="AJ5" s="84">
        <f>Ireland!AU5</f>
        <v>0</v>
      </c>
      <c r="AK5" s="84">
        <f>Italy!AT5</f>
        <v>0</v>
      </c>
      <c r="AL5" s="84">
        <f>Japan!AT5</f>
        <v>0</v>
      </c>
      <c r="AM5" s="84">
        <f>Korea!AV5</f>
        <v>0</v>
      </c>
      <c r="AN5" s="84">
        <f>'Netherlands '!AU6</f>
        <v>0</v>
      </c>
      <c r="AO5" s="84">
        <f>'New Zealand'!AT5</f>
        <v>0</v>
      </c>
      <c r="AP5" s="84">
        <f>'Norway with subs'!AZ6</f>
        <v>0</v>
      </c>
      <c r="AQ5" s="84">
        <f>Spain!AT5</f>
        <v>0</v>
      </c>
      <c r="AR5" s="84">
        <f>Sweden!AT5</f>
        <v>0</v>
      </c>
      <c r="AS5" s="84">
        <f>Switzerland!AU5</f>
        <v>0</v>
      </c>
      <c r="AT5" s="84">
        <f>Britain!AN5</f>
        <v>0</v>
      </c>
      <c r="AU5" s="84">
        <f>USA!AU5</f>
        <v>0</v>
      </c>
      <c r="AX5" s="3">
        <v>2011</v>
      </c>
      <c r="AY5" s="3">
        <f>Australia!BO5</f>
        <v>0</v>
      </c>
      <c r="AZ5" s="3">
        <f>Austria!BW5</f>
        <v>0</v>
      </c>
      <c r="BA5" s="3">
        <f>Belgium!BR5</f>
        <v>0</v>
      </c>
      <c r="BB5" s="3">
        <f>Canada!BU5</f>
        <v>0</v>
      </c>
      <c r="BC5" s="3">
        <f>China!BT5</f>
        <v>0</v>
      </c>
      <c r="BD5" s="3">
        <f>Denmark!BT5</f>
        <v>0</v>
      </c>
      <c r="BE5" s="3">
        <f>Finland!BS5</f>
        <v>0</v>
      </c>
      <c r="BF5" s="3">
        <f>France!BT5</f>
        <v>0</v>
      </c>
      <c r="BG5" s="3">
        <f>Germany!BU5</f>
        <v>0</v>
      </c>
      <c r="BH5" s="3">
        <f>India!BS5</f>
        <v>0</v>
      </c>
      <c r="BI5" s="3">
        <f>Ireland!BT5</f>
        <v>0</v>
      </c>
      <c r="BJ5" s="3">
        <f>Italy!BS5</f>
        <v>0</v>
      </c>
      <c r="BK5" s="3">
        <f>Japan!BS5</f>
        <v>0</v>
      </c>
      <c r="BL5" s="3">
        <f>Korea!BU5</f>
        <v>0</v>
      </c>
      <c r="BM5" s="3">
        <f>'Netherlands '!BT6</f>
        <v>0</v>
      </c>
      <c r="BN5" s="3">
        <f>'New Zealand'!BS5</f>
        <v>0</v>
      </c>
      <c r="BO5" s="3">
        <f>'Norway with subs'!BW6</f>
        <v>0</v>
      </c>
      <c r="BP5" s="3">
        <f>Spain!BS5</f>
        <v>0</v>
      </c>
      <c r="BQ5" s="3">
        <f>Sweden!BS5</f>
        <v>0</v>
      </c>
      <c r="BR5" s="3">
        <f>Switzerland!BT5</f>
        <v>0</v>
      </c>
      <c r="BS5" s="3">
        <f>Britain!BM5</f>
        <v>0</v>
      </c>
      <c r="BT5" s="3">
        <f>USA!BT5</f>
        <v>0</v>
      </c>
    </row>
    <row r="6" spans="1:72">
      <c r="A6" s="3">
        <v>2012</v>
      </c>
      <c r="B6" s="3">
        <f>Australia!O6</f>
        <v>35735.706114243818</v>
      </c>
      <c r="C6" s="3">
        <f>Austria!O6</f>
        <v>30092.757559327554</v>
      </c>
      <c r="D6" s="3">
        <f>Belgium!O6</f>
        <v>20828.271838197747</v>
      </c>
      <c r="E6" s="3">
        <f>Canada!O6</f>
        <v>32075.72461466516</v>
      </c>
      <c r="F6" s="3">
        <f>China!P6</f>
        <v>197048.23934209667</v>
      </c>
      <c r="G6" s="3">
        <f>Denmark!O6</f>
        <v>229362.34973450148</v>
      </c>
      <c r="H6" s="3">
        <f>Finland!O6</f>
        <v>31049.12227651618</v>
      </c>
      <c r="I6" s="3">
        <f>France!P6</f>
        <v>26313.893072466679</v>
      </c>
      <c r="J6" s="3">
        <f>Germany!Q6</f>
        <v>31611.95514228618</v>
      </c>
      <c r="K6" s="3">
        <f>India!O6</f>
        <v>1691874.0197418598</v>
      </c>
      <c r="L6" s="3">
        <f>Ireland!P6</f>
        <v>26097.080754460316</v>
      </c>
      <c r="M6" s="3">
        <f>Italy!N6</f>
        <v>30331.447205655284</v>
      </c>
      <c r="N6" s="3">
        <f>Japan!O6</f>
        <v>2452706.0868240586</v>
      </c>
      <c r="O6" s="3">
        <f>Korea!P6</f>
        <v>38.140073021524948</v>
      </c>
      <c r="P6" s="3">
        <f>'Netherlands '!P7</f>
        <v>28404.067912999824</v>
      </c>
      <c r="Q6" s="3">
        <f>'New Zealand'!M6</f>
        <v>49894.346866534601</v>
      </c>
      <c r="R6" s="3">
        <f>'Norway with subs'!AB7</f>
        <v>193973.80251824815</v>
      </c>
      <c r="S6" s="3">
        <f>Spain!O6</f>
        <v>24810.221279867383</v>
      </c>
      <c r="T6" s="3">
        <f>Sweden!N6</f>
        <v>220023.37320749619</v>
      </c>
      <c r="U6" s="3">
        <f>Switzerland!N6</f>
        <v>35091.713825923427</v>
      </c>
      <c r="V6" s="3">
        <f>Britain!P6</f>
        <v>19242.682907588252</v>
      </c>
      <c r="W6" s="3">
        <f>USA!O6</f>
        <v>23928.626692113739</v>
      </c>
      <c r="Y6" s="3">
        <v>2012</v>
      </c>
      <c r="Z6" s="84">
        <f>Australia!W6</f>
        <v>0.96223237911955739</v>
      </c>
      <c r="AA6" s="84">
        <f>Austria!AX6</f>
        <v>0</v>
      </c>
      <c r="AB6" s="84">
        <f>Belgium!AS6</f>
        <v>0</v>
      </c>
      <c r="AC6" s="84">
        <f>Canada!AV6</f>
        <v>0</v>
      </c>
      <c r="AD6" s="84">
        <f>China!AU6</f>
        <v>0</v>
      </c>
      <c r="AE6" s="84">
        <f>Denmark!AU6</f>
        <v>0</v>
      </c>
      <c r="AF6" s="84">
        <f>Finland!AT6</f>
        <v>0</v>
      </c>
      <c r="AG6" s="84">
        <f>France!AU6</f>
        <v>0</v>
      </c>
      <c r="AH6" s="84">
        <f>Germany!AV6</f>
        <v>0</v>
      </c>
      <c r="AI6" s="84">
        <f>India!AT6</f>
        <v>0</v>
      </c>
      <c r="AJ6" s="84">
        <f>Ireland!AU6</f>
        <v>0</v>
      </c>
      <c r="AK6" s="84">
        <f>Italy!AT6</f>
        <v>0</v>
      </c>
      <c r="AL6" s="84">
        <f>Japan!AT6</f>
        <v>0</v>
      </c>
      <c r="AM6" s="84">
        <f>Korea!AV6</f>
        <v>0</v>
      </c>
      <c r="AN6" s="84">
        <f>'Netherlands '!AU7</f>
        <v>0</v>
      </c>
      <c r="AO6" s="84">
        <f>'New Zealand'!AT6</f>
        <v>0</v>
      </c>
      <c r="AP6" s="84">
        <f>'Norway with subs'!AZ7</f>
        <v>0</v>
      </c>
      <c r="AQ6" s="84">
        <f>Spain!AT6</f>
        <v>0</v>
      </c>
      <c r="AR6" s="84">
        <f>Sweden!AT6</f>
        <v>0</v>
      </c>
      <c r="AS6" s="84">
        <f>Switzerland!AU6</f>
        <v>0</v>
      </c>
      <c r="AT6" s="84">
        <f>Britain!AN6</f>
        <v>0</v>
      </c>
      <c r="AU6" s="84">
        <f>USA!AU6</f>
        <v>0</v>
      </c>
      <c r="AX6" s="3">
        <v>2012</v>
      </c>
      <c r="AY6" s="3">
        <f>Australia!BO6</f>
        <v>0</v>
      </c>
      <c r="AZ6" s="3">
        <f>Austria!BW6</f>
        <v>0</v>
      </c>
      <c r="BA6" s="3">
        <f>Belgium!BR6</f>
        <v>0</v>
      </c>
      <c r="BB6" s="3">
        <f>Canada!BU6</f>
        <v>0</v>
      </c>
      <c r="BC6" s="3">
        <f>China!BT6</f>
        <v>0</v>
      </c>
      <c r="BD6" s="3">
        <f>Denmark!BT6</f>
        <v>0</v>
      </c>
      <c r="BE6" s="3">
        <f>Finland!BS6</f>
        <v>0</v>
      </c>
      <c r="BF6" s="3">
        <f>France!BT6</f>
        <v>0</v>
      </c>
      <c r="BG6" s="3">
        <f>Germany!BU6</f>
        <v>0</v>
      </c>
      <c r="BH6" s="3">
        <f>India!BS6</f>
        <v>0</v>
      </c>
      <c r="BI6" s="3">
        <f>Ireland!BT6</f>
        <v>0</v>
      </c>
      <c r="BJ6" s="3">
        <f>Italy!BS6</f>
        <v>0</v>
      </c>
      <c r="BK6" s="3">
        <f>Japan!BS6</f>
        <v>0</v>
      </c>
      <c r="BL6" s="3">
        <f>Korea!BU6</f>
        <v>0</v>
      </c>
      <c r="BM6" s="3">
        <f>'Netherlands '!BT7</f>
        <v>0</v>
      </c>
      <c r="BN6" s="3">
        <f>'New Zealand'!BS6</f>
        <v>0</v>
      </c>
      <c r="BO6" s="3">
        <f>'Norway with subs'!BW7</f>
        <v>0</v>
      </c>
      <c r="BP6" s="3">
        <f>Spain!BS6</f>
        <v>0</v>
      </c>
      <c r="BQ6" s="3">
        <f>Sweden!BS6</f>
        <v>0</v>
      </c>
      <c r="BR6" s="3">
        <f>Switzerland!BT6</f>
        <v>0</v>
      </c>
      <c r="BS6" s="3">
        <f>Britain!BM6</f>
        <v>0</v>
      </c>
      <c r="BT6" s="3">
        <f>USA!BT6</f>
        <v>0</v>
      </c>
    </row>
    <row r="7" spans="1:72">
      <c r="A7" s="3">
        <v>2013</v>
      </c>
      <c r="B7" s="3">
        <f>Australia!O7</f>
        <v>38857.40912069843</v>
      </c>
      <c r="C7" s="3">
        <f>Austria!O7</f>
        <v>29541.902656778773</v>
      </c>
      <c r="D7" s="3">
        <f>Belgium!O7</f>
        <v>24557.956205695493</v>
      </c>
      <c r="E7" s="3">
        <f>Canada!O7</f>
        <v>33698.06796302626</v>
      </c>
      <c r="F7" s="3">
        <f>China!P7</f>
        <v>172045.54782722949</v>
      </c>
      <c r="G7" s="3">
        <f>Denmark!O7</f>
        <v>224513.56367980185</v>
      </c>
      <c r="H7" s="3">
        <f>Finland!O7</f>
        <v>30711.692563343648</v>
      </c>
      <c r="I7" s="3">
        <f>France!P7</f>
        <v>23633.477804349437</v>
      </c>
      <c r="J7" s="3">
        <f>Germany!Q7</f>
        <v>25674.354887065183</v>
      </c>
      <c r="K7" s="3">
        <f>India!O7</f>
        <v>2299738.3444620376</v>
      </c>
      <c r="L7" s="3">
        <f>Ireland!P7</f>
        <v>25471.105278656429</v>
      </c>
      <c r="M7" s="3">
        <f>Italy!N7</f>
        <v>29776.001845585262</v>
      </c>
      <c r="N7" s="3">
        <f>Japan!O7</f>
        <v>2193847.6665414684</v>
      </c>
      <c r="O7" s="3">
        <f>Korea!P7</f>
        <v>37.522473476007185</v>
      </c>
      <c r="P7" s="3">
        <f>'Netherlands '!P8</f>
        <v>28326.001845585262</v>
      </c>
      <c r="Q7" s="3">
        <f>'New Zealand'!M7</f>
        <v>50016.86620387085</v>
      </c>
      <c r="R7" s="3">
        <f>'Norway with subs'!AB8</f>
        <v>197799.65420324559</v>
      </c>
      <c r="S7" s="3">
        <f>Spain!O7</f>
        <v>25144.166387310252</v>
      </c>
      <c r="T7" s="3">
        <f>Sweden!N7</f>
        <v>212552.69581379471</v>
      </c>
      <c r="U7" s="3">
        <f>Switzerland!N7</f>
        <v>33972.787385640957</v>
      </c>
      <c r="V7" s="3">
        <f>Britain!P7</f>
        <v>19892.824287111252</v>
      </c>
      <c r="W7" s="3">
        <f>USA!O7</f>
        <v>24382.209851024934</v>
      </c>
      <c r="Y7" s="3">
        <v>2013</v>
      </c>
      <c r="Z7" s="84">
        <f>Australia!W7</f>
        <v>1.0416214574020224</v>
      </c>
      <c r="AA7" s="84">
        <f>Austria!AX7</f>
        <v>0</v>
      </c>
      <c r="AB7" s="84">
        <f>Belgium!AS7</f>
        <v>0</v>
      </c>
      <c r="AC7" s="84">
        <f>Canada!AV7</f>
        <v>0</v>
      </c>
      <c r="AD7" s="84">
        <f>China!AU7</f>
        <v>0</v>
      </c>
      <c r="AE7" s="84">
        <f>Denmark!AU7</f>
        <v>0</v>
      </c>
      <c r="AF7" s="84">
        <f>Finland!AT7</f>
        <v>0</v>
      </c>
      <c r="AG7" s="84">
        <f>France!AU7</f>
        <v>0</v>
      </c>
      <c r="AH7" s="84">
        <f>Germany!AV7</f>
        <v>0</v>
      </c>
      <c r="AI7" s="84">
        <f>India!AT7</f>
        <v>0</v>
      </c>
      <c r="AJ7" s="84">
        <f>Ireland!AU7</f>
        <v>0</v>
      </c>
      <c r="AK7" s="84">
        <f>Italy!AT7</f>
        <v>0</v>
      </c>
      <c r="AL7" s="84">
        <f>Japan!AT7</f>
        <v>0</v>
      </c>
      <c r="AM7" s="84">
        <f>Korea!AV7</f>
        <v>0</v>
      </c>
      <c r="AN7" s="84">
        <f>'Netherlands '!AU8</f>
        <v>0</v>
      </c>
      <c r="AO7" s="84">
        <f>'New Zealand'!AT7</f>
        <v>0</v>
      </c>
      <c r="AP7" s="84">
        <f>'Norway with subs'!AZ8</f>
        <v>0</v>
      </c>
      <c r="AQ7" s="84">
        <f>Spain!AT7</f>
        <v>0</v>
      </c>
      <c r="AR7" s="84">
        <f>Sweden!AT7</f>
        <v>0</v>
      </c>
      <c r="AS7" s="84">
        <f>Switzerland!AU7</f>
        <v>0</v>
      </c>
      <c r="AT7" s="84">
        <f>Britain!AN7</f>
        <v>0</v>
      </c>
      <c r="AU7" s="84">
        <f>USA!AU7</f>
        <v>0</v>
      </c>
      <c r="AX7" s="3">
        <v>2013</v>
      </c>
      <c r="AY7" s="3">
        <f>Australia!BO7</f>
        <v>0</v>
      </c>
      <c r="AZ7" s="3">
        <f>Austria!BW7</f>
        <v>0</v>
      </c>
      <c r="BA7" s="3">
        <f>Belgium!BR7</f>
        <v>0</v>
      </c>
      <c r="BB7" s="3">
        <f>Canada!BU7</f>
        <v>0</v>
      </c>
      <c r="BC7" s="3">
        <f>China!BT7</f>
        <v>0</v>
      </c>
      <c r="BD7" s="3">
        <f>Denmark!BT7</f>
        <v>0</v>
      </c>
      <c r="BE7" s="3">
        <f>Finland!BS7</f>
        <v>0</v>
      </c>
      <c r="BF7" s="3">
        <f>France!BT7</f>
        <v>0</v>
      </c>
      <c r="BG7" s="3">
        <f>Germany!BU7</f>
        <v>0</v>
      </c>
      <c r="BH7" s="3">
        <f>India!BS7</f>
        <v>0</v>
      </c>
      <c r="BI7" s="3">
        <f>Ireland!BT7</f>
        <v>0</v>
      </c>
      <c r="BJ7" s="3">
        <f>Italy!BS7</f>
        <v>0</v>
      </c>
      <c r="BK7" s="3">
        <f>Japan!BS7</f>
        <v>0</v>
      </c>
      <c r="BL7" s="3">
        <f>Korea!BU7</f>
        <v>0</v>
      </c>
      <c r="BM7" s="3">
        <f>'Netherlands '!BT8</f>
        <v>0</v>
      </c>
      <c r="BN7" s="3">
        <f>'New Zealand'!BS7</f>
        <v>0</v>
      </c>
      <c r="BO7" s="3">
        <f>'Norway with subs'!BW8</f>
        <v>0</v>
      </c>
      <c r="BP7" s="3">
        <f>Spain!BS7</f>
        <v>0</v>
      </c>
      <c r="BQ7" s="3">
        <f>Sweden!BS7</f>
        <v>0</v>
      </c>
      <c r="BR7" s="3">
        <f>Switzerland!BT7</f>
        <v>0</v>
      </c>
      <c r="BS7" s="3">
        <f>Britain!BM7</f>
        <v>0</v>
      </c>
      <c r="BT7" s="3">
        <f>USA!BT7</f>
        <v>0</v>
      </c>
    </row>
    <row r="8" spans="1:72">
      <c r="A8" s="3">
        <v>2014</v>
      </c>
      <c r="B8" s="3">
        <f>Australia!O8</f>
        <v>44360.382904390346</v>
      </c>
      <c r="C8" s="3">
        <f>Austria!O8</f>
        <v>31934.941645743558</v>
      </c>
      <c r="D8" s="3">
        <f>Belgium!O8</f>
        <v>26990.208679386385</v>
      </c>
      <c r="E8" s="3">
        <f>Canada!O8</f>
        <v>39344.241140588601</v>
      </c>
      <c r="F8" s="3">
        <f>China!P8</f>
        <v>190596.22750313292</v>
      </c>
      <c r="G8" s="3">
        <f>Denmark!O8</f>
        <v>241348.35953563821</v>
      </c>
      <c r="H8" s="3">
        <f>Finland!O8</f>
        <v>33186.275291072569</v>
      </c>
      <c r="I8" s="3">
        <f>France!P8</f>
        <v>26791.932204333607</v>
      </c>
      <c r="J8" s="3">
        <f>Germany!Q8</f>
        <v>27989.801886406531</v>
      </c>
      <c r="K8" s="3">
        <f>India!O8</f>
        <v>2402593.091663376</v>
      </c>
      <c r="L8" s="3">
        <f>Ireland!P8</f>
        <v>28443.388269219144</v>
      </c>
      <c r="M8" s="3">
        <f>Italy!N8</f>
        <v>29443.024006505952</v>
      </c>
      <c r="N8" s="3">
        <f>Japan!O8</f>
        <v>2909235.0625468153</v>
      </c>
      <c r="O8" s="3">
        <f>Korea!P8</f>
        <v>39.153771010553456</v>
      </c>
      <c r="P8" s="3">
        <f>'Netherlands '!P9</f>
        <v>31755.14754764954</v>
      </c>
      <c r="Q8" s="3">
        <f>'New Zealand'!M8</f>
        <v>52991.355464014319</v>
      </c>
      <c r="R8" s="3">
        <f>'Norway with subs'!AB9</f>
        <v>227303.63173402447</v>
      </c>
      <c r="S8" s="3">
        <f>Spain!O8</f>
        <v>27498.420032940223</v>
      </c>
      <c r="T8" s="3">
        <f>Sweden!N8</f>
        <v>246254.9913137728</v>
      </c>
      <c r="U8" s="3">
        <f>Switzerland!N8</f>
        <v>36147.870763402032</v>
      </c>
      <c r="V8" s="3">
        <f>Britain!P8</f>
        <v>20499.985476030302</v>
      </c>
      <c r="W8" s="3">
        <f>USA!O8</f>
        <v>27077.833989882325</v>
      </c>
      <c r="Y8" s="3">
        <v>2014</v>
      </c>
      <c r="Z8" s="84">
        <f>Australia!W8</f>
        <v>1.1123470522803114</v>
      </c>
      <c r="AA8" s="84">
        <f>Austria!AX8</f>
        <v>0</v>
      </c>
      <c r="AB8" s="84">
        <f>Belgium!AS8</f>
        <v>0</v>
      </c>
      <c r="AC8" s="84">
        <f>Canada!AV8</f>
        <v>0</v>
      </c>
      <c r="AD8" s="84">
        <f>China!AU8</f>
        <v>0</v>
      </c>
      <c r="AE8" s="84">
        <f>Denmark!AU8</f>
        <v>0</v>
      </c>
      <c r="AF8" s="84">
        <f>Finland!AT8</f>
        <v>0</v>
      </c>
      <c r="AG8" s="84">
        <f>France!AU8</f>
        <v>0</v>
      </c>
      <c r="AH8" s="84">
        <f>Germany!AV8</f>
        <v>0</v>
      </c>
      <c r="AI8" s="84">
        <f>India!AT8</f>
        <v>0</v>
      </c>
      <c r="AJ8" s="84">
        <f>Ireland!AU8</f>
        <v>0</v>
      </c>
      <c r="AK8" s="84">
        <f>Italy!AT8</f>
        <v>0</v>
      </c>
      <c r="AL8" s="84">
        <f>Japan!AT8</f>
        <v>0</v>
      </c>
      <c r="AM8" s="84">
        <f>Korea!AV8</f>
        <v>0</v>
      </c>
      <c r="AN8" s="84">
        <f>'Netherlands '!AU9</f>
        <v>0</v>
      </c>
      <c r="AO8" s="84">
        <f>'New Zealand'!AT8</f>
        <v>0</v>
      </c>
      <c r="AP8" s="84">
        <f>'Norway with subs'!AZ9</f>
        <v>0</v>
      </c>
      <c r="AQ8" s="84">
        <f>Spain!AT8</f>
        <v>0</v>
      </c>
      <c r="AR8" s="84">
        <f>Sweden!AT8</f>
        <v>0</v>
      </c>
      <c r="AS8" s="84">
        <f>Switzerland!AU8</f>
        <v>0</v>
      </c>
      <c r="AT8" s="84">
        <f>Britain!AN8</f>
        <v>0</v>
      </c>
      <c r="AU8" s="84">
        <f>USA!AU8</f>
        <v>0</v>
      </c>
      <c r="AX8" s="3">
        <v>2014</v>
      </c>
      <c r="AY8" s="3">
        <f>Australia!BO8</f>
        <v>0</v>
      </c>
      <c r="AZ8" s="3">
        <f>Austria!BW8</f>
        <v>0</v>
      </c>
      <c r="BA8" s="3">
        <f>Belgium!BR8</f>
        <v>0</v>
      </c>
      <c r="BB8" s="3">
        <f>Canada!BU8</f>
        <v>0</v>
      </c>
      <c r="BC8" s="3">
        <f>China!BT8</f>
        <v>0</v>
      </c>
      <c r="BD8" s="3">
        <f>Denmark!BT8</f>
        <v>0</v>
      </c>
      <c r="BE8" s="3">
        <f>Finland!BS8</f>
        <v>0</v>
      </c>
      <c r="BF8" s="3">
        <f>France!BT8</f>
        <v>0</v>
      </c>
      <c r="BG8" s="3">
        <f>Germany!BU8</f>
        <v>0</v>
      </c>
      <c r="BH8" s="3">
        <f>India!BS8</f>
        <v>0</v>
      </c>
      <c r="BI8" s="3">
        <f>Ireland!BT8</f>
        <v>0</v>
      </c>
      <c r="BJ8" s="3">
        <f>Italy!BS8</f>
        <v>0</v>
      </c>
      <c r="BK8" s="3">
        <f>Japan!BS8</f>
        <v>0</v>
      </c>
      <c r="BL8" s="3">
        <f>Korea!BU8</f>
        <v>0</v>
      </c>
      <c r="BM8" s="3">
        <f>'Netherlands '!BT9</f>
        <v>0</v>
      </c>
      <c r="BN8" s="3">
        <f>'New Zealand'!BS8</f>
        <v>0</v>
      </c>
      <c r="BO8" s="3">
        <f>'Norway with subs'!BW9</f>
        <v>0</v>
      </c>
      <c r="BP8" s="3">
        <f>Spain!BS8</f>
        <v>0</v>
      </c>
      <c r="BQ8" s="3">
        <f>Sweden!BS8</f>
        <v>0</v>
      </c>
      <c r="BR8" s="3">
        <f>Switzerland!BT8</f>
        <v>0</v>
      </c>
      <c r="BS8" s="3">
        <f>Britain!BM8</f>
        <v>0</v>
      </c>
      <c r="BT8" s="3">
        <f>USA!BT8</f>
        <v>0</v>
      </c>
    </row>
    <row r="9" spans="1:72">
      <c r="A9" s="3">
        <v>2015</v>
      </c>
      <c r="B9" s="3">
        <f>Australia!O9</f>
        <v>47612.93621201635</v>
      </c>
      <c r="C9" s="3">
        <f>Austria!O9</f>
        <v>34063.320234879102</v>
      </c>
      <c r="D9" s="3">
        <f>Belgium!O9</f>
        <v>29164.873033633958</v>
      </c>
      <c r="E9" s="3">
        <f>Canada!O9</f>
        <v>41098.152606716634</v>
      </c>
      <c r="F9" s="3">
        <f>China!P9</f>
        <v>163478.95500996787</v>
      </c>
      <c r="G9" s="3">
        <f>Denmark!O9</f>
        <v>258024.35423433108</v>
      </c>
      <c r="H9" s="3">
        <f>Finland!O9</f>
        <v>35431.720796400899</v>
      </c>
      <c r="I9" s="3">
        <f>France!P9</f>
        <v>28395.062111009578</v>
      </c>
      <c r="J9" s="3">
        <f>Germany!Q9</f>
        <v>30089.526234543147</v>
      </c>
      <c r="K9" s="3">
        <f>India!O9</f>
        <v>2345300.4299529907</v>
      </c>
      <c r="L9" s="3">
        <f>Ireland!P9</f>
        <v>31037.054956350883</v>
      </c>
      <c r="M9" s="3">
        <f>Italy!N9</f>
        <v>34606.875572127086</v>
      </c>
      <c r="N9" s="3">
        <f>Japan!O9</f>
        <v>3056798.6265457966</v>
      </c>
      <c r="O9" s="3">
        <f>Korea!P9</f>
        <v>37.027898979275214</v>
      </c>
      <c r="P9" s="3">
        <f>'Netherlands '!P10</f>
        <v>33972.208577999059</v>
      </c>
      <c r="Q9" s="3">
        <f>'New Zealand'!M9</f>
        <v>55324.116485142134</v>
      </c>
      <c r="R9" s="3">
        <f>'Norway with subs'!AB10</f>
        <v>259622.43871298182</v>
      </c>
      <c r="S9" s="3">
        <f>Spain!O9</f>
        <v>29699.077873934064</v>
      </c>
      <c r="T9" s="3">
        <f>Sweden!N9</f>
        <v>275236.41946580372</v>
      </c>
      <c r="U9" s="3">
        <f>Switzerland!N9</f>
        <v>33442.401408083824</v>
      </c>
      <c r="V9" s="3">
        <f>Britain!P9</f>
        <v>19721.846308650463</v>
      </c>
      <c r="W9" s="3">
        <f>USA!O9</f>
        <v>23343.765573699748</v>
      </c>
      <c r="Y9" s="3">
        <v>2015</v>
      </c>
      <c r="Z9" s="84">
        <f>Australia!W9</f>
        <v>1.3396146375226059</v>
      </c>
      <c r="AA9" s="84">
        <f>Austria!AX9</f>
        <v>0</v>
      </c>
      <c r="AB9" s="84">
        <f>Belgium!AS9</f>
        <v>0</v>
      </c>
      <c r="AC9" s="84">
        <f>Canada!AV9</f>
        <v>0</v>
      </c>
      <c r="AD9" s="84">
        <f>China!AU9</f>
        <v>0</v>
      </c>
      <c r="AE9" s="84">
        <f>Denmark!AU9</f>
        <v>0</v>
      </c>
      <c r="AF9" s="84">
        <f>Finland!AT9</f>
        <v>0</v>
      </c>
      <c r="AG9" s="84">
        <f>France!AU9</f>
        <v>0</v>
      </c>
      <c r="AH9" s="84">
        <f>Germany!AV9</f>
        <v>0</v>
      </c>
      <c r="AI9" s="84">
        <f>India!AT9</f>
        <v>0</v>
      </c>
      <c r="AJ9" s="84">
        <f>Ireland!AU9</f>
        <v>0</v>
      </c>
      <c r="AK9" s="84">
        <f>Italy!AT9</f>
        <v>0</v>
      </c>
      <c r="AL9" s="84">
        <f>Japan!AT9</f>
        <v>0</v>
      </c>
      <c r="AM9" s="84">
        <f>Korea!AV9</f>
        <v>0</v>
      </c>
      <c r="AN9" s="84">
        <f>'Netherlands '!AU10</f>
        <v>0</v>
      </c>
      <c r="AO9" s="84">
        <f>'New Zealand'!AT9</f>
        <v>0</v>
      </c>
      <c r="AP9" s="84">
        <f>'Norway with subs'!AZ10</f>
        <v>0</v>
      </c>
      <c r="AQ9" s="84">
        <f>Spain!AT9</f>
        <v>0</v>
      </c>
      <c r="AR9" s="84">
        <f>Sweden!AT9</f>
        <v>0</v>
      </c>
      <c r="AS9" s="84">
        <f>Switzerland!AU9</f>
        <v>0</v>
      </c>
      <c r="AT9" s="84">
        <f>Britain!AN9</f>
        <v>0</v>
      </c>
      <c r="AU9" s="84">
        <f>USA!AU9</f>
        <v>0</v>
      </c>
      <c r="AX9" s="3">
        <v>2015</v>
      </c>
      <c r="AY9" s="3">
        <f>Australia!BO9</f>
        <v>0</v>
      </c>
      <c r="AZ9" s="3">
        <f>Austria!BW9</f>
        <v>0</v>
      </c>
      <c r="BA9" s="3">
        <f>Belgium!BR9</f>
        <v>0</v>
      </c>
      <c r="BB9" s="3">
        <f>Canada!BU9</f>
        <v>0</v>
      </c>
      <c r="BC9" s="3">
        <f>China!BT9</f>
        <v>0</v>
      </c>
      <c r="BD9" s="3">
        <f>Denmark!BT9</f>
        <v>0</v>
      </c>
      <c r="BE9" s="3">
        <f>Finland!BS9</f>
        <v>0</v>
      </c>
      <c r="BF9" s="3">
        <f>France!BT9</f>
        <v>0</v>
      </c>
      <c r="BG9" s="3">
        <f>Germany!BU9</f>
        <v>0</v>
      </c>
      <c r="BH9" s="3">
        <f>India!BS9</f>
        <v>0</v>
      </c>
      <c r="BI9" s="3">
        <f>Ireland!BT9</f>
        <v>0</v>
      </c>
      <c r="BJ9" s="3">
        <f>Italy!BS9</f>
        <v>0</v>
      </c>
      <c r="BK9" s="3">
        <f>Japan!BS9</f>
        <v>0</v>
      </c>
      <c r="BL9" s="3">
        <f>Korea!BU9</f>
        <v>0</v>
      </c>
      <c r="BM9" s="3">
        <f>'Netherlands '!BT10</f>
        <v>0</v>
      </c>
      <c r="BN9" s="3">
        <f>'New Zealand'!BS9</f>
        <v>0</v>
      </c>
      <c r="BO9" s="3">
        <f>'Norway with subs'!BW10</f>
        <v>0</v>
      </c>
      <c r="BP9" s="3">
        <f>Spain!BS9</f>
        <v>0</v>
      </c>
      <c r="BQ9" s="3">
        <f>Sweden!BS9</f>
        <v>0</v>
      </c>
      <c r="BR9" s="3">
        <f>Switzerland!BT9</f>
        <v>0</v>
      </c>
      <c r="BS9" s="3">
        <f>Britain!BM9</f>
        <v>0</v>
      </c>
      <c r="BT9" s="3">
        <f>USA!BT9</f>
        <v>0</v>
      </c>
    </row>
    <row r="10" spans="1:72">
      <c r="A10" s="3">
        <v>2016</v>
      </c>
      <c r="B10" s="3">
        <f>Australia!O10</f>
        <v>47800.780190339538</v>
      </c>
      <c r="C10" s="3">
        <f>Austria!O10</f>
        <v>34092.894775190842</v>
      </c>
      <c r="D10" s="3">
        <f>Belgium!O10</f>
        <v>30301.718898317431</v>
      </c>
      <c r="E10" s="3">
        <f>Canada!O10</f>
        <v>41701.951618608487</v>
      </c>
      <c r="F10" s="3">
        <f>China!P10</f>
        <v>175531.24305909476</v>
      </c>
      <c r="G10" s="3">
        <f>Denmark!O10</f>
        <v>329035.26903037704</v>
      </c>
      <c r="H10" s="3">
        <f>Finland!O10</f>
        <v>35412.505359047755</v>
      </c>
      <c r="I10" s="3">
        <f>France!P10</f>
        <v>28186.670996424124</v>
      </c>
      <c r="J10" s="3">
        <f>Germany!Q10</f>
        <v>29743.867678563533</v>
      </c>
      <c r="K10" s="3">
        <f>India!O10</f>
        <v>2512346.9352733344</v>
      </c>
      <c r="L10" s="3">
        <f>Ireland!P10</f>
        <v>31073.530222735368</v>
      </c>
      <c r="M10" s="3">
        <f>Italy!N10</f>
        <v>34636.943021444022</v>
      </c>
      <c r="N10" s="3">
        <f>Japan!O10</f>
        <v>2741332.4247324816</v>
      </c>
      <c r="O10" s="3">
        <f>Korea!P10</f>
        <v>36.207024202798934</v>
      </c>
      <c r="P10" s="3">
        <f>'Netherlands '!P11</f>
        <v>34003.015390823792</v>
      </c>
      <c r="Q10" s="3">
        <f>'New Zealand'!M10</f>
        <v>54707.136577315032</v>
      </c>
      <c r="R10" s="3">
        <f>'Norway with subs'!AB11</f>
        <v>270386.0631059283</v>
      </c>
      <c r="S10" s="3">
        <f>Spain!O10</f>
        <v>29539.433483168737</v>
      </c>
      <c r="T10" s="3">
        <f>Sweden!N10</f>
        <v>280378.23884013738</v>
      </c>
      <c r="U10" s="3">
        <f>Switzerland!N10</f>
        <v>34176.214719242322</v>
      </c>
      <c r="V10" s="3">
        <f>Britain!P10</f>
        <v>22945.387214294511</v>
      </c>
      <c r="W10" s="3">
        <f>USA!O10</f>
        <v>23461.241176470587</v>
      </c>
      <c r="Y10" s="3">
        <v>2016</v>
      </c>
      <c r="Z10" s="84">
        <f>Australia!W10</f>
        <v>1.3451557578271249</v>
      </c>
      <c r="AA10" s="84">
        <f>Austria!AX10</f>
        <v>0</v>
      </c>
      <c r="AB10" s="84">
        <f>Belgium!AS10</f>
        <v>0</v>
      </c>
      <c r="AC10" s="84">
        <f>Canada!AV10</f>
        <v>0</v>
      </c>
      <c r="AD10" s="84">
        <f>China!AU10</f>
        <v>0</v>
      </c>
      <c r="AE10" s="84">
        <f>Denmark!AU10</f>
        <v>0</v>
      </c>
      <c r="AF10" s="84">
        <f>Finland!AT10</f>
        <v>0</v>
      </c>
      <c r="AG10" s="84">
        <f>France!AU10</f>
        <v>0</v>
      </c>
      <c r="AH10" s="84">
        <f>Germany!AV10</f>
        <v>0</v>
      </c>
      <c r="AI10" s="84">
        <f>India!AT10</f>
        <v>0</v>
      </c>
      <c r="AJ10" s="84">
        <f>Ireland!AU10</f>
        <v>0</v>
      </c>
      <c r="AK10" s="84">
        <f>Italy!AT10</f>
        <v>0</v>
      </c>
      <c r="AL10" s="84">
        <f>Japan!AT10</f>
        <v>0</v>
      </c>
      <c r="AM10" s="84">
        <f>Korea!AV10</f>
        <v>0</v>
      </c>
      <c r="AN10" s="84">
        <f>'Netherlands '!AU11</f>
        <v>0</v>
      </c>
      <c r="AO10" s="84">
        <f>'New Zealand'!AT10</f>
        <v>0</v>
      </c>
      <c r="AP10" s="84">
        <f>'Norway with subs'!AZ11</f>
        <v>0</v>
      </c>
      <c r="AQ10" s="84">
        <f>Spain!AT10</f>
        <v>0</v>
      </c>
      <c r="AR10" s="84">
        <f>Sweden!AT10</f>
        <v>0</v>
      </c>
      <c r="AS10" s="84">
        <f>Switzerland!AU10</f>
        <v>0</v>
      </c>
      <c r="AT10" s="84">
        <f>Britain!AN10</f>
        <v>0</v>
      </c>
      <c r="AU10" s="84">
        <f>USA!AU10</f>
        <v>0</v>
      </c>
      <c r="AX10" s="3">
        <v>2016</v>
      </c>
      <c r="AY10" s="3">
        <f>Australia!BO10</f>
        <v>0</v>
      </c>
      <c r="AZ10" s="3">
        <f>Austria!BW10</f>
        <v>0</v>
      </c>
      <c r="BA10" s="3">
        <f>Belgium!BR10</f>
        <v>0</v>
      </c>
      <c r="BB10" s="3">
        <f>Canada!BU10</f>
        <v>0</v>
      </c>
      <c r="BC10" s="3">
        <f>China!BT10</f>
        <v>0</v>
      </c>
      <c r="BD10" s="3">
        <f>Denmark!BT10</f>
        <v>0</v>
      </c>
      <c r="BE10" s="3">
        <f>Finland!BS10</f>
        <v>0</v>
      </c>
      <c r="BF10" s="3">
        <f>France!BT10</f>
        <v>0</v>
      </c>
      <c r="BG10" s="3">
        <f>Germany!BU10</f>
        <v>0</v>
      </c>
      <c r="BH10" s="3">
        <f>India!BS10</f>
        <v>0</v>
      </c>
      <c r="BI10" s="3">
        <f>Ireland!BT10</f>
        <v>0</v>
      </c>
      <c r="BJ10" s="3">
        <f>Italy!BS10</f>
        <v>0</v>
      </c>
      <c r="BK10" s="3">
        <f>Japan!BS10</f>
        <v>0</v>
      </c>
      <c r="BL10" s="3">
        <f>Korea!BU10</f>
        <v>0</v>
      </c>
      <c r="BM10" s="3">
        <f>'Netherlands '!BT11</f>
        <v>0</v>
      </c>
      <c r="BN10" s="3">
        <f>'New Zealand'!BS10</f>
        <v>0</v>
      </c>
      <c r="BO10" s="3">
        <f>'Norway with subs'!BW11</f>
        <v>0</v>
      </c>
      <c r="BP10" s="3">
        <f>Spain!BS10</f>
        <v>0</v>
      </c>
      <c r="BQ10" s="3">
        <f>Sweden!BS10</f>
        <v>0</v>
      </c>
      <c r="BR10" s="3">
        <f>Switzerland!BT10</f>
        <v>0</v>
      </c>
      <c r="BS10" s="3">
        <f>Britain!BM10</f>
        <v>0</v>
      </c>
      <c r="BT10" s="3">
        <f>USA!BT10</f>
        <v>0</v>
      </c>
    </row>
    <row r="11" spans="1:72">
      <c r="A11" s="3">
        <v>2017</v>
      </c>
      <c r="B11" s="3">
        <f>Australia!O11</f>
        <v>46274.62783592278</v>
      </c>
      <c r="C11" s="3">
        <f>Austria!O11</f>
        <v>29204.40421244231</v>
      </c>
      <c r="D11" s="3">
        <f>Belgium!O11</f>
        <v>30469.024247545996</v>
      </c>
      <c r="E11" s="3">
        <f>Canada!O11</f>
        <v>40566.372691354823</v>
      </c>
      <c r="F11" s="3">
        <f>China!P11</f>
        <v>180589.75336149876</v>
      </c>
      <c r="G11" s="3">
        <f>Denmark!O11</f>
        <v>371774.06838648987</v>
      </c>
      <c r="H11" s="3">
        <f>Finland!O11</f>
        <v>34444.622648532328</v>
      </c>
      <c r="I11" s="3">
        <f>France!P11</f>
        <v>27977.870933714708</v>
      </c>
      <c r="J11" s="3">
        <f>Germany!Q11</f>
        <v>29216.68191602976</v>
      </c>
      <c r="K11" s="3">
        <f>India!O11</f>
        <v>2435970.4406134151</v>
      </c>
      <c r="L11" s="3">
        <f>Ireland!P11</f>
        <v>30013.765195345513</v>
      </c>
      <c r="M11" s="3">
        <f>Italy!N11</f>
        <v>33733.644282649679</v>
      </c>
      <c r="N11" s="3">
        <f>Japan!O11</f>
        <v>2812574.8390013101</v>
      </c>
      <c r="O11" s="3">
        <f>Korea!P11</f>
        <v>34.687546331432912</v>
      </c>
      <c r="P11" s="3">
        <f>'Netherlands '!P12</f>
        <v>33077.50438796074</v>
      </c>
      <c r="Q11" s="3">
        <f>'New Zealand'!M11</f>
        <v>54131.794599334244</v>
      </c>
      <c r="R11" s="3">
        <f>'Norway with subs'!AB12</f>
        <v>266430.38078928791</v>
      </c>
      <c r="S11" s="3">
        <f>Spain!O11</f>
        <v>28725.969414288506</v>
      </c>
      <c r="T11" s="3">
        <f>Sweden!N11</f>
        <v>280248.22669781226</v>
      </c>
      <c r="U11" s="3">
        <f>Switzerland!N11</f>
        <v>34211.634416058143</v>
      </c>
      <c r="V11" s="3">
        <f>Britain!P11</f>
        <v>23958.044594682451</v>
      </c>
      <c r="W11" s="3">
        <f>USA!O11</f>
        <v>23652.941176470587</v>
      </c>
      <c r="Y11" s="3">
        <v>2017</v>
      </c>
      <c r="Z11" s="84">
        <f>Australia!W11</f>
        <v>1.3001365143340053</v>
      </c>
      <c r="AA11" s="84">
        <f>Austria!AX11</f>
        <v>0</v>
      </c>
      <c r="AB11" s="84">
        <f>Belgium!AS11</f>
        <v>0</v>
      </c>
      <c r="AC11" s="84">
        <f>Canada!AV11</f>
        <v>0</v>
      </c>
      <c r="AD11" s="84">
        <f>China!AU11</f>
        <v>0</v>
      </c>
      <c r="AE11" s="84">
        <f>Denmark!AU11</f>
        <v>0</v>
      </c>
      <c r="AF11" s="84">
        <f>Finland!AT11</f>
        <v>0</v>
      </c>
      <c r="AG11" s="84">
        <f>France!AU11</f>
        <v>0</v>
      </c>
      <c r="AH11" s="84">
        <f>Germany!AV11</f>
        <v>0</v>
      </c>
      <c r="AI11" s="84">
        <f>India!AT11</f>
        <v>0</v>
      </c>
      <c r="AJ11" s="84">
        <f>Ireland!AU11</f>
        <v>0</v>
      </c>
      <c r="AK11" s="84">
        <f>Italy!AT11</f>
        <v>0</v>
      </c>
      <c r="AL11" s="84">
        <f>Japan!AT11</f>
        <v>0</v>
      </c>
      <c r="AM11" s="84">
        <f>Korea!AV11</f>
        <v>0</v>
      </c>
      <c r="AN11" s="84">
        <f>'Netherlands '!AU12</f>
        <v>0</v>
      </c>
      <c r="AO11" s="84">
        <f>'New Zealand'!AT11</f>
        <v>0</v>
      </c>
      <c r="AP11" s="84">
        <f>'Norway with subs'!AZ12</f>
        <v>0</v>
      </c>
      <c r="AQ11" s="84">
        <f>Spain!AT11</f>
        <v>0</v>
      </c>
      <c r="AR11" s="84">
        <f>Sweden!AT11</f>
        <v>0</v>
      </c>
      <c r="AS11" s="84">
        <f>Switzerland!AU11</f>
        <v>0</v>
      </c>
      <c r="AT11" s="84">
        <f>Britain!AN11</f>
        <v>0</v>
      </c>
      <c r="AU11" s="84">
        <f>USA!AU11</f>
        <v>0</v>
      </c>
      <c r="AX11" s="3">
        <v>2017</v>
      </c>
      <c r="AY11" s="3">
        <f>Australia!BO11</f>
        <v>0</v>
      </c>
      <c r="AZ11" s="3">
        <f>Austria!BW11</f>
        <v>0</v>
      </c>
      <c r="BA11" s="3">
        <f>Belgium!BR11</f>
        <v>0</v>
      </c>
      <c r="BB11" s="3">
        <f>Canada!BU11</f>
        <v>0</v>
      </c>
      <c r="BC11" s="3">
        <f>China!BT11</f>
        <v>0</v>
      </c>
      <c r="BD11" s="3">
        <f>Denmark!BT11</f>
        <v>0</v>
      </c>
      <c r="BE11" s="3">
        <f>Finland!BS11</f>
        <v>0</v>
      </c>
      <c r="BF11" s="3">
        <f>France!BT11</f>
        <v>0</v>
      </c>
      <c r="BG11" s="3">
        <f>Germany!BU11</f>
        <v>0</v>
      </c>
      <c r="BH11" s="3">
        <f>India!BS11</f>
        <v>0</v>
      </c>
      <c r="BI11" s="3">
        <f>Ireland!BT11</f>
        <v>0</v>
      </c>
      <c r="BJ11" s="3">
        <f>Italy!BS11</f>
        <v>0</v>
      </c>
      <c r="BK11" s="3">
        <f>Japan!BS11</f>
        <v>0</v>
      </c>
      <c r="BL11" s="3">
        <f>Korea!BU11</f>
        <v>0</v>
      </c>
      <c r="BM11" s="3">
        <f>'Netherlands '!BT12</f>
        <v>0</v>
      </c>
      <c r="BN11" s="3">
        <f>'New Zealand'!BS11</f>
        <v>0</v>
      </c>
      <c r="BO11" s="3">
        <f>'Norway with subs'!BW12</f>
        <v>0</v>
      </c>
      <c r="BP11" s="3">
        <f>Spain!BS11</f>
        <v>0</v>
      </c>
      <c r="BQ11" s="3">
        <f>Sweden!BS11</f>
        <v>0</v>
      </c>
      <c r="BR11" s="3">
        <f>Switzerland!BT11</f>
        <v>0</v>
      </c>
      <c r="BS11" s="3">
        <f>Britain!BM11</f>
        <v>0</v>
      </c>
      <c r="BT11" s="3">
        <f>USA!BT11</f>
        <v>0</v>
      </c>
    </row>
    <row r="12" spans="1:72">
      <c r="A12" s="3">
        <v>2018</v>
      </c>
      <c r="B12" s="3">
        <f>Australia!O12</f>
        <v>48868.249848293483</v>
      </c>
      <c r="C12" s="3">
        <f>Austria!O12</f>
        <v>28735.447570276523</v>
      </c>
      <c r="D12" s="3">
        <f>Belgium!O12</f>
        <v>30945.084211238609</v>
      </c>
      <c r="E12" s="3">
        <f>Canada!O12</f>
        <v>42542.16311070478</v>
      </c>
      <c r="F12" s="3">
        <f>China!P12</f>
        <v>185343.27589771608</v>
      </c>
      <c r="G12" s="3">
        <f>Denmark!O12</f>
        <v>423612.84468769439</v>
      </c>
      <c r="H12" s="3">
        <f>Finland!O12</f>
        <v>31840.925134487225</v>
      </c>
      <c r="I12" s="3">
        <f>France!P12</f>
        <v>27495.211389304168</v>
      </c>
      <c r="J12" s="3">
        <f>Germany!Q12</f>
        <v>28750.969463226436</v>
      </c>
      <c r="K12" s="3">
        <f>India!O12</f>
        <v>2489904.5361726456</v>
      </c>
      <c r="L12" s="3">
        <f>Ireland!P12</f>
        <v>27276.917920689808</v>
      </c>
      <c r="M12" s="3">
        <f>Italy!N12</f>
        <v>33174.008582550203</v>
      </c>
      <c r="N12" s="3">
        <f>Japan!O12</f>
        <v>2761735.0294596031</v>
      </c>
      <c r="O12" s="3">
        <f>Korea!P12</f>
        <v>35.760167296655254</v>
      </c>
      <c r="P12" s="3">
        <f>'Netherlands '!P13</f>
        <v>32504.107154252255</v>
      </c>
      <c r="Q12" s="3">
        <f>'New Zealand'!M12</f>
        <v>55067.832959644598</v>
      </c>
      <c r="R12" s="3">
        <f>'Norway with subs'!AB13</f>
        <v>263278.60176818678</v>
      </c>
      <c r="S12" s="3">
        <f>Spain!O12</f>
        <v>27519.703461683388</v>
      </c>
      <c r="T12" s="3">
        <f>Sweden!N12</f>
        <v>266096.18501142913</v>
      </c>
      <c r="U12" s="3">
        <f>Switzerland!N12</f>
        <v>34761.398704488587</v>
      </c>
      <c r="V12" s="3">
        <f>Britain!P12</f>
        <v>26180.74130999823</v>
      </c>
      <c r="W12" s="3">
        <f>USA!O12</f>
        <v>24319.576552346047</v>
      </c>
      <c r="Y12" s="3">
        <v>2018</v>
      </c>
      <c r="Z12" s="84">
        <f>Australia!W12</f>
        <v>1.35</v>
      </c>
      <c r="AA12" s="84">
        <f>Austria!AX12</f>
        <v>0</v>
      </c>
      <c r="AB12" s="84">
        <f>Belgium!AS12</f>
        <v>0</v>
      </c>
      <c r="AC12" s="84">
        <f>Canada!AV12</f>
        <v>0</v>
      </c>
      <c r="AD12" s="84">
        <f>China!AU12</f>
        <v>0</v>
      </c>
      <c r="AE12" s="84">
        <f>Denmark!AU12</f>
        <v>0</v>
      </c>
      <c r="AF12" s="84">
        <f>Finland!AT12</f>
        <v>0</v>
      </c>
      <c r="AG12" s="84">
        <f>France!AU12</f>
        <v>0</v>
      </c>
      <c r="AH12" s="84">
        <f>Germany!AV12</f>
        <v>0</v>
      </c>
      <c r="AI12" s="84">
        <f>India!AT12</f>
        <v>0</v>
      </c>
      <c r="AJ12" s="84">
        <f>Ireland!AU12</f>
        <v>0</v>
      </c>
      <c r="AK12" s="84">
        <f>Italy!AT12</f>
        <v>0</v>
      </c>
      <c r="AL12" s="84">
        <f>Japan!AT12</f>
        <v>0</v>
      </c>
      <c r="AM12" s="84">
        <f>Korea!AV12</f>
        <v>0</v>
      </c>
      <c r="AN12" s="84">
        <f>'Netherlands '!AU13</f>
        <v>0</v>
      </c>
      <c r="AO12" s="84">
        <f>'New Zealand'!AT12</f>
        <v>0</v>
      </c>
      <c r="AP12" s="84">
        <f>'Norway with subs'!AZ13</f>
        <v>0</v>
      </c>
      <c r="AQ12" s="84">
        <f>Spain!AT12</f>
        <v>0</v>
      </c>
      <c r="AR12" s="84">
        <f>Sweden!AT12</f>
        <v>0</v>
      </c>
      <c r="AS12" s="84">
        <f>Switzerland!AU12</f>
        <v>0</v>
      </c>
      <c r="AT12" s="84">
        <f>Britain!AN12</f>
        <v>0</v>
      </c>
      <c r="AU12" s="84">
        <f>USA!AU12</f>
        <v>0</v>
      </c>
      <c r="AX12" s="3">
        <v>2018</v>
      </c>
      <c r="AY12" s="3">
        <f>Australia!BO12</f>
        <v>0</v>
      </c>
      <c r="AZ12" s="3">
        <f>Austria!BW12</f>
        <v>0</v>
      </c>
      <c r="BA12" s="3">
        <f>Belgium!BR12</f>
        <v>0</v>
      </c>
      <c r="BB12" s="3">
        <f>Canada!BU12</f>
        <v>0</v>
      </c>
      <c r="BC12" s="3">
        <f>China!BT12</f>
        <v>0</v>
      </c>
      <c r="BD12" s="3">
        <f>Denmark!BT12</f>
        <v>0</v>
      </c>
      <c r="BE12" s="3">
        <f>Finland!BS12</f>
        <v>0</v>
      </c>
      <c r="BF12" s="3">
        <f>France!BT12</f>
        <v>0</v>
      </c>
      <c r="BG12" s="3">
        <f>Germany!BU12</f>
        <v>0</v>
      </c>
      <c r="BH12" s="3">
        <f>India!BS12</f>
        <v>0</v>
      </c>
      <c r="BI12" s="3">
        <f>Ireland!BT12</f>
        <v>0</v>
      </c>
      <c r="BJ12" s="3">
        <f>Italy!BS12</f>
        <v>0</v>
      </c>
      <c r="BK12" s="3">
        <f>Japan!BS12</f>
        <v>0</v>
      </c>
      <c r="BL12" s="3">
        <f>Korea!BU12</f>
        <v>0</v>
      </c>
      <c r="BM12" s="3">
        <f>'Netherlands '!BT13</f>
        <v>0</v>
      </c>
      <c r="BN12" s="3">
        <f>'New Zealand'!BS12</f>
        <v>0</v>
      </c>
      <c r="BO12" s="3">
        <f>'Norway with subs'!BW13</f>
        <v>0</v>
      </c>
      <c r="BP12" s="3">
        <f>Spain!BS12</f>
        <v>0</v>
      </c>
      <c r="BQ12" s="3">
        <f>Sweden!BS12</f>
        <v>0</v>
      </c>
      <c r="BR12" s="3">
        <f>Switzerland!BT12</f>
        <v>0</v>
      </c>
      <c r="BS12" s="3">
        <f>Britain!BM12</f>
        <v>0</v>
      </c>
      <c r="BT12" s="3">
        <f>USA!BT12</f>
        <v>0</v>
      </c>
    </row>
    <row r="13" spans="1:72">
      <c r="A13" s="3">
        <v>2019</v>
      </c>
      <c r="B13" s="3">
        <f>Australia!O13</f>
        <v>49754.402428574467</v>
      </c>
      <c r="C13" s="3">
        <f>Austria!O13</f>
        <v>29407.802584812162</v>
      </c>
      <c r="D13" s="3">
        <f>Belgium!O13</f>
        <v>32542.29093544625</v>
      </c>
      <c r="E13" s="3">
        <f>Canada!O13</f>
        <v>45210.029852588705</v>
      </c>
      <c r="F13" s="3">
        <f>China!P13</f>
        <v>190320.36885599038</v>
      </c>
      <c r="G13" s="3">
        <f>Denmark!O13</f>
        <v>429468.81197859324</v>
      </c>
      <c r="H13" s="3">
        <f>Finland!O13</f>
        <v>32467.964076003176</v>
      </c>
      <c r="I13" s="3">
        <f>France!P13</f>
        <v>28163.081554826156</v>
      </c>
      <c r="J13" s="3">
        <f>Germany!Q13</f>
        <v>29429.000377659482</v>
      </c>
      <c r="K13" s="3">
        <f>India!O13</f>
        <v>2541412.9905669009</v>
      </c>
      <c r="L13" s="3">
        <f>Ireland!P13</f>
        <v>27996.749701829554</v>
      </c>
      <c r="M13" s="3">
        <f>Italy!N13</f>
        <v>33776.394833452447</v>
      </c>
      <c r="N13" s="3">
        <f>Japan!O13</f>
        <v>2815794.9273361848</v>
      </c>
      <c r="O13" s="3">
        <f>Korea!P13</f>
        <v>39.694134648659848</v>
      </c>
      <c r="P13" s="3">
        <f>'Netherlands '!P14</f>
        <v>33121.306181816035</v>
      </c>
      <c r="Q13" s="3">
        <f>'New Zealand'!M13</f>
        <v>56068.131054199737</v>
      </c>
      <c r="R13" s="3">
        <f>'Norway with subs'!AB14</f>
        <v>268018.69029987656</v>
      </c>
      <c r="S13" s="3">
        <f>Spain!O13</f>
        <v>28220.847428689176</v>
      </c>
      <c r="T13" s="3">
        <f>Sweden!N13</f>
        <v>273304.73434876907</v>
      </c>
      <c r="U13" s="3">
        <f>Switzerland!N13</f>
        <v>35393.926858227154</v>
      </c>
      <c r="V13" s="3">
        <f>Britain!P13</f>
        <v>26847.919545800371</v>
      </c>
      <c r="W13" s="3">
        <f>USA!O13</f>
        <v>27473.317379971733</v>
      </c>
      <c r="Y13" s="3">
        <v>2019</v>
      </c>
      <c r="Z13" s="84">
        <f>Australia!W13</f>
        <v>1.35</v>
      </c>
      <c r="AA13" s="84">
        <f>Austria!AX13</f>
        <v>0</v>
      </c>
      <c r="AB13" s="84">
        <f>Belgium!AS13</f>
        <v>0</v>
      </c>
      <c r="AC13" s="84">
        <f>Canada!AV13</f>
        <v>0</v>
      </c>
      <c r="AD13" s="84">
        <f>China!AU13</f>
        <v>0</v>
      </c>
      <c r="AE13" s="84">
        <f>Denmark!AU13</f>
        <v>0</v>
      </c>
      <c r="AF13" s="84">
        <f>Finland!AT13</f>
        <v>0</v>
      </c>
      <c r="AG13" s="84">
        <f>France!AU13</f>
        <v>0</v>
      </c>
      <c r="AH13" s="84">
        <f>Germany!AV13</f>
        <v>0</v>
      </c>
      <c r="AI13" s="84">
        <f>India!AT13</f>
        <v>0</v>
      </c>
      <c r="AJ13" s="84">
        <f>Ireland!AU13</f>
        <v>0</v>
      </c>
      <c r="AK13" s="84">
        <f>Italy!AT13</f>
        <v>0</v>
      </c>
      <c r="AL13" s="84">
        <f>Japan!AT13</f>
        <v>0</v>
      </c>
      <c r="AM13" s="84">
        <f>Korea!AV13</f>
        <v>0</v>
      </c>
      <c r="AN13" s="84">
        <f>'Netherlands '!AU14</f>
        <v>0</v>
      </c>
      <c r="AO13" s="84">
        <f>'New Zealand'!AT13</f>
        <v>0</v>
      </c>
      <c r="AP13" s="84">
        <f>'Norway with subs'!AZ14</f>
        <v>0</v>
      </c>
      <c r="AQ13" s="84">
        <f>Spain!AT13</f>
        <v>0</v>
      </c>
      <c r="AR13" s="84">
        <f>Sweden!AT13</f>
        <v>0</v>
      </c>
      <c r="AS13" s="84">
        <f>Switzerland!AU13</f>
        <v>0</v>
      </c>
      <c r="AT13" s="84">
        <f>Britain!AN13</f>
        <v>0</v>
      </c>
      <c r="AU13" s="84">
        <f>USA!AU13</f>
        <v>0</v>
      </c>
      <c r="AX13" s="3">
        <v>2019</v>
      </c>
      <c r="AY13" s="3">
        <f>Australia!BO13</f>
        <v>0</v>
      </c>
      <c r="AZ13" s="3">
        <f>Austria!BW13</f>
        <v>0</v>
      </c>
      <c r="BA13" s="3">
        <f>Belgium!BR13</f>
        <v>0</v>
      </c>
      <c r="BB13" s="3">
        <f>Canada!BU13</f>
        <v>0</v>
      </c>
      <c r="BC13" s="3">
        <f>China!BT13</f>
        <v>0</v>
      </c>
      <c r="BD13" s="3">
        <f>Denmark!BT13</f>
        <v>0</v>
      </c>
      <c r="BE13" s="3">
        <f>Finland!BS13</f>
        <v>0</v>
      </c>
      <c r="BF13" s="3">
        <f>France!BT13</f>
        <v>0</v>
      </c>
      <c r="BG13" s="3">
        <f>Germany!BU13</f>
        <v>0</v>
      </c>
      <c r="BH13" s="3">
        <f>India!BS13</f>
        <v>0</v>
      </c>
      <c r="BI13" s="3">
        <f>Ireland!BT13</f>
        <v>0</v>
      </c>
      <c r="BJ13" s="3">
        <f>Italy!BS13</f>
        <v>0</v>
      </c>
      <c r="BK13" s="3">
        <f>Japan!BS13</f>
        <v>0</v>
      </c>
      <c r="BL13" s="3">
        <f>Korea!BU13</f>
        <v>0</v>
      </c>
      <c r="BM13" s="3">
        <f>'Netherlands '!BT14</f>
        <v>0</v>
      </c>
      <c r="BN13" s="3">
        <f>'New Zealand'!BS13</f>
        <v>0</v>
      </c>
      <c r="BO13" s="3">
        <f>'Norway with subs'!BW14</f>
        <v>0</v>
      </c>
      <c r="BP13" s="3">
        <f>Spain!BS13</f>
        <v>0</v>
      </c>
      <c r="BQ13" s="3">
        <f>Sweden!BS13</f>
        <v>0</v>
      </c>
      <c r="BR13" s="3">
        <f>Switzerland!BT13</f>
        <v>0</v>
      </c>
      <c r="BS13" s="3">
        <f>Britain!BM13</f>
        <v>0</v>
      </c>
      <c r="BT13" s="3">
        <f>USA!BT13</f>
        <v>0</v>
      </c>
    </row>
    <row r="14" spans="1:72">
      <c r="A14" s="3">
        <v>2020</v>
      </c>
      <c r="B14" s="3">
        <f>Australia!O14</f>
        <v>49468.995214784947</v>
      </c>
      <c r="C14" s="3">
        <f>Austria!O14</f>
        <v>29295.186869934292</v>
      </c>
      <c r="D14" s="3">
        <f>Belgium!O14</f>
        <v>33319.001362442687</v>
      </c>
      <c r="E14" s="3">
        <f>Canada!O14</f>
        <v>44987.808424879026</v>
      </c>
      <c r="F14" s="3">
        <f>China!P14</f>
        <v>188717.37376733191</v>
      </c>
      <c r="G14" s="3">
        <f>Denmark!O14</f>
        <v>427948.69817194639</v>
      </c>
      <c r="H14" s="3">
        <f>Finland!O14</f>
        <v>32285.437735654959</v>
      </c>
      <c r="I14" s="3">
        <f>France!P14</f>
        <v>28027.407040611859</v>
      </c>
      <c r="J14" s="3">
        <f>Germany!Q14</f>
        <v>29309.338040079903</v>
      </c>
      <c r="K14" s="3">
        <f>India!O14</f>
        <v>2529437.9684069557</v>
      </c>
      <c r="L14" s="3">
        <f>Ireland!P14</f>
        <v>27810.722478064828</v>
      </c>
      <c r="M14" s="3">
        <f>Italy!N14</f>
        <v>33582.381538991802</v>
      </c>
      <c r="N14" s="3">
        <f>Japan!O14</f>
        <v>2799733.0820030738</v>
      </c>
      <c r="O14" s="3">
        <f>Korea!P14</f>
        <v>39.393327512690696</v>
      </c>
      <c r="P14" s="3">
        <f>'Netherlands '!P15</f>
        <v>32922.52206863914</v>
      </c>
      <c r="Q14" s="3">
        <f>'New Zealand'!M14</f>
        <v>55745.960472655628</v>
      </c>
      <c r="R14" s="3">
        <f>'Norway with subs'!AB15</f>
        <v>266492.02831067803</v>
      </c>
      <c r="S14" s="3">
        <f>Spain!O14</f>
        <v>28130.126357235993</v>
      </c>
      <c r="T14" s="3">
        <f>Sweden!N14</f>
        <v>272335.22415491357</v>
      </c>
      <c r="U14" s="3">
        <f>Switzerland!N14</f>
        <v>35190.205623285081</v>
      </c>
      <c r="V14" s="3">
        <f>Britain!P14</f>
        <v>26775.099266882578</v>
      </c>
      <c r="W14" s="3">
        <f>USA!O14</f>
        <v>29812.00696769348</v>
      </c>
      <c r="Y14" s="3">
        <v>2020</v>
      </c>
      <c r="Z14" s="84">
        <f>Australia!W14</f>
        <v>1.35</v>
      </c>
      <c r="AA14" s="84">
        <f>Austria!AX14</f>
        <v>0</v>
      </c>
      <c r="AB14" s="84">
        <f>Belgium!AS14</f>
        <v>0</v>
      </c>
      <c r="AC14" s="84">
        <f>Canada!AV14</f>
        <v>0</v>
      </c>
      <c r="AD14" s="84">
        <f>China!AU14</f>
        <v>0</v>
      </c>
      <c r="AE14" s="84">
        <f>Denmark!AU14</f>
        <v>0</v>
      </c>
      <c r="AF14" s="84">
        <f>Finland!AT14</f>
        <v>0</v>
      </c>
      <c r="AG14" s="84">
        <f>France!AU14</f>
        <v>0</v>
      </c>
      <c r="AH14" s="84">
        <f>Germany!AV14</f>
        <v>0</v>
      </c>
      <c r="AI14" s="84">
        <f>India!AT14</f>
        <v>0</v>
      </c>
      <c r="AJ14" s="84">
        <f>Ireland!AU14</f>
        <v>0</v>
      </c>
      <c r="AK14" s="84">
        <f>Italy!AT14</f>
        <v>0</v>
      </c>
      <c r="AL14" s="84">
        <f>Japan!AT14</f>
        <v>0</v>
      </c>
      <c r="AM14" s="84">
        <f>Korea!AV14</f>
        <v>0</v>
      </c>
      <c r="AN14" s="84">
        <f>'Netherlands '!AU15</f>
        <v>0</v>
      </c>
      <c r="AO14" s="84">
        <f>'New Zealand'!AT14</f>
        <v>0</v>
      </c>
      <c r="AP14" s="84">
        <f>'Norway with subs'!AZ15</f>
        <v>0</v>
      </c>
      <c r="AQ14" s="84">
        <f>Spain!AT14</f>
        <v>0</v>
      </c>
      <c r="AR14" s="84">
        <f>Sweden!AT14</f>
        <v>0</v>
      </c>
      <c r="AS14" s="84">
        <f>Switzerland!AU14</f>
        <v>0</v>
      </c>
      <c r="AT14" s="84">
        <f>Britain!AN14</f>
        <v>0</v>
      </c>
      <c r="AU14" s="84">
        <f>USA!AU14</f>
        <v>0</v>
      </c>
      <c r="AX14" s="3">
        <v>2020</v>
      </c>
      <c r="AY14" s="3">
        <f>Australia!BO14</f>
        <v>0</v>
      </c>
      <c r="AZ14" s="3">
        <f>Austria!BW14</f>
        <v>0</v>
      </c>
      <c r="BA14" s="3">
        <f>Belgium!BR14</f>
        <v>0</v>
      </c>
      <c r="BB14" s="3">
        <f>Canada!BU14</f>
        <v>0</v>
      </c>
      <c r="BC14" s="3">
        <f>China!BT14</f>
        <v>0</v>
      </c>
      <c r="BD14" s="3">
        <f>Denmark!BT14</f>
        <v>0</v>
      </c>
      <c r="BE14" s="3">
        <f>Finland!BS14</f>
        <v>0</v>
      </c>
      <c r="BF14" s="3">
        <f>France!BT14</f>
        <v>0</v>
      </c>
      <c r="BG14" s="3">
        <f>Germany!BU14</f>
        <v>0</v>
      </c>
      <c r="BH14" s="3">
        <f>India!BS14</f>
        <v>0</v>
      </c>
      <c r="BI14" s="3">
        <f>Ireland!BT14</f>
        <v>0</v>
      </c>
      <c r="BJ14" s="3">
        <f>Italy!BS14</f>
        <v>0</v>
      </c>
      <c r="BK14" s="3">
        <f>Japan!BS14</f>
        <v>0</v>
      </c>
      <c r="BL14" s="3">
        <f>Korea!BU14</f>
        <v>0</v>
      </c>
      <c r="BM14" s="3">
        <f>'Netherlands '!BT15</f>
        <v>0</v>
      </c>
      <c r="BN14" s="3">
        <f>'New Zealand'!BS14</f>
        <v>0</v>
      </c>
      <c r="BO14" s="3">
        <f>'Norway with subs'!BW15</f>
        <v>0</v>
      </c>
      <c r="BP14" s="3">
        <f>Spain!BS14</f>
        <v>0</v>
      </c>
      <c r="BQ14" s="3">
        <f>Sweden!BS14</f>
        <v>0</v>
      </c>
      <c r="BR14" s="3">
        <f>Switzerland!BT14</f>
        <v>0</v>
      </c>
      <c r="BS14" s="3">
        <f>Britain!BM14</f>
        <v>0</v>
      </c>
      <c r="BT14" s="3">
        <f>USA!BT14</f>
        <v>0</v>
      </c>
    </row>
    <row r="15" spans="1:72">
      <c r="A15" s="3">
        <v>2021</v>
      </c>
      <c r="B15" s="3">
        <f>Australia!O15</f>
        <v>48280.33434014571</v>
      </c>
      <c r="C15" s="3">
        <f>Austria!O15</f>
        <v>28577.031973761408</v>
      </c>
      <c r="D15" s="3">
        <f>Belgium!O15</f>
        <v>32517.600045126095</v>
      </c>
      <c r="E15" s="3">
        <f>Canada!O15</f>
        <v>43894.704983524971</v>
      </c>
      <c r="F15" s="3">
        <f>China!P15</f>
        <v>182041.23717348787</v>
      </c>
      <c r="G15" s="3">
        <f>Denmark!O15</f>
        <v>421617.74464428733</v>
      </c>
      <c r="H15" s="3">
        <f>Finland!O15</f>
        <v>31478.725276768942</v>
      </c>
      <c r="I15" s="3">
        <f>France!P15</f>
        <v>27272.077497488794</v>
      </c>
      <c r="J15" s="3">
        <f>Germany!Q15</f>
        <v>28574.392947123662</v>
      </c>
      <c r="K15" s="3">
        <f>India!O15</f>
        <v>2468500.5270247036</v>
      </c>
      <c r="L15" s="3">
        <f>Ireland!P15</f>
        <v>26926.266045770448</v>
      </c>
      <c r="M15" s="3">
        <f>Italy!N15</f>
        <v>32774.357070292426</v>
      </c>
      <c r="N15" s="3">
        <f>Japan!O15</f>
        <v>2729607.4312902624</v>
      </c>
      <c r="O15" s="3">
        <f>Korea!P15</f>
        <v>38.140529208852008</v>
      </c>
      <c r="P15" s="3">
        <f>'Netherlands '!P16</f>
        <v>32094.628145791419</v>
      </c>
      <c r="Q15" s="3">
        <f>'New Zealand'!M15</f>
        <v>54404.187921932069</v>
      </c>
      <c r="R15" s="3">
        <f>'Norway with subs'!AB16</f>
        <v>320547.22066940309</v>
      </c>
      <c r="S15" s="3">
        <f>Spain!O15</f>
        <v>27428.47195057265</v>
      </c>
      <c r="T15" s="3">
        <f>Sweden!N15</f>
        <v>265056.70828620991</v>
      </c>
      <c r="U15" s="3">
        <f>Switzerland!N15</f>
        <v>34341.749629150945</v>
      </c>
      <c r="V15" s="3">
        <f>Britain!P15</f>
        <v>26131.194261209414</v>
      </c>
      <c r="W15" s="3">
        <f>USA!O15</f>
        <v>31522.104639754263</v>
      </c>
      <c r="Y15" s="3">
        <v>2021</v>
      </c>
      <c r="Z15" s="84">
        <f>Australia!W15</f>
        <v>1.35</v>
      </c>
      <c r="AA15" s="84">
        <f>Austria!AX15</f>
        <v>0</v>
      </c>
      <c r="AB15" s="84">
        <f>Belgium!AS15</f>
        <v>0</v>
      </c>
      <c r="AC15" s="84">
        <f>Canada!AV15</f>
        <v>0</v>
      </c>
      <c r="AD15" s="84">
        <f>China!AU15</f>
        <v>0</v>
      </c>
      <c r="AE15" s="84">
        <f>Denmark!AU15</f>
        <v>0</v>
      </c>
      <c r="AF15" s="84">
        <f>Finland!AT15</f>
        <v>0</v>
      </c>
      <c r="AG15" s="84">
        <f>France!AU15</f>
        <v>0</v>
      </c>
      <c r="AH15" s="84">
        <f>Germany!AV15</f>
        <v>0</v>
      </c>
      <c r="AI15" s="84">
        <f>India!AT15</f>
        <v>0</v>
      </c>
      <c r="AJ15" s="84">
        <f>Ireland!AU15</f>
        <v>0</v>
      </c>
      <c r="AK15" s="84">
        <f>Italy!AT15</f>
        <v>0</v>
      </c>
      <c r="AL15" s="84">
        <f>Japan!AT15</f>
        <v>0</v>
      </c>
      <c r="AM15" s="84">
        <f>Korea!AV15</f>
        <v>0</v>
      </c>
      <c r="AN15" s="84">
        <f>'Netherlands '!AU16</f>
        <v>0</v>
      </c>
      <c r="AO15" s="84">
        <f>'New Zealand'!AT15</f>
        <v>0</v>
      </c>
      <c r="AP15" s="84">
        <f>'Norway with subs'!AZ16</f>
        <v>0</v>
      </c>
      <c r="AQ15" s="84">
        <f>Spain!AT15</f>
        <v>0</v>
      </c>
      <c r="AR15" s="84">
        <f>Sweden!AT15</f>
        <v>0</v>
      </c>
      <c r="AS15" s="84">
        <f>Switzerland!AU15</f>
        <v>0</v>
      </c>
      <c r="AT15" s="84">
        <f>Britain!AN15</f>
        <v>0</v>
      </c>
      <c r="AU15" s="84">
        <f>USA!AU15</f>
        <v>0</v>
      </c>
      <c r="AX15" s="3">
        <v>2021</v>
      </c>
      <c r="AY15" s="3">
        <f>Australia!BO15</f>
        <v>0</v>
      </c>
      <c r="AZ15" s="3">
        <f>Austria!BW15</f>
        <v>0</v>
      </c>
      <c r="BA15" s="3">
        <f>Belgium!BR15</f>
        <v>0</v>
      </c>
      <c r="BB15" s="3">
        <f>Canada!BU15</f>
        <v>0</v>
      </c>
      <c r="BC15" s="3">
        <f>China!BT15</f>
        <v>0</v>
      </c>
      <c r="BD15" s="3">
        <f>Denmark!BT15</f>
        <v>0</v>
      </c>
      <c r="BE15" s="3">
        <f>Finland!BS15</f>
        <v>0</v>
      </c>
      <c r="BF15" s="3">
        <f>France!BT15</f>
        <v>0</v>
      </c>
      <c r="BG15" s="3">
        <f>Germany!BU15</f>
        <v>0</v>
      </c>
      <c r="BH15" s="3">
        <f>India!BS15</f>
        <v>0</v>
      </c>
      <c r="BI15" s="3">
        <f>Ireland!BT15</f>
        <v>0</v>
      </c>
      <c r="BJ15" s="3">
        <f>Italy!BS15</f>
        <v>0</v>
      </c>
      <c r="BK15" s="3">
        <f>Japan!BS15</f>
        <v>0</v>
      </c>
      <c r="BL15" s="3">
        <f>Korea!BU15</f>
        <v>0</v>
      </c>
      <c r="BM15" s="3">
        <f>'Netherlands '!BT16</f>
        <v>0</v>
      </c>
      <c r="BN15" s="3">
        <f>'New Zealand'!BS15</f>
        <v>0</v>
      </c>
      <c r="BO15" s="3">
        <f>'Norway with subs'!BW16</f>
        <v>0</v>
      </c>
      <c r="BP15" s="3">
        <f>Spain!BS15</f>
        <v>0</v>
      </c>
      <c r="BQ15" s="3">
        <f>Sweden!BS15</f>
        <v>0</v>
      </c>
      <c r="BR15" s="3">
        <f>Switzerland!BT15</f>
        <v>0</v>
      </c>
      <c r="BS15" s="3">
        <f>Britain!BM15</f>
        <v>0</v>
      </c>
      <c r="BT15" s="3">
        <f>USA!BT15</f>
        <v>0</v>
      </c>
    </row>
    <row r="16" spans="1:72">
      <c r="A16" s="3">
        <v>2022</v>
      </c>
      <c r="B16" s="3">
        <f>Australia!O16</f>
        <v>48945.064557435449</v>
      </c>
      <c r="C16" s="3">
        <f>Austria!O16</f>
        <v>29096.55466991854</v>
      </c>
      <c r="D16" s="3">
        <f>Belgium!O16</f>
        <v>32965.764600014656</v>
      </c>
      <c r="E16" s="3">
        <f>Canada!O16</f>
        <v>44585.288586101764</v>
      </c>
      <c r="F16" s="3">
        <f>China!P16</f>
        <v>185774.70718446039</v>
      </c>
      <c r="G16" s="3">
        <f>Denmark!O16</f>
        <v>425158.17926603701</v>
      </c>
      <c r="H16" s="3">
        <f>Finland!O16</f>
        <v>31952.451287590902</v>
      </c>
      <c r="I16" s="3">
        <f>France!P16</f>
        <v>27786.363060634114</v>
      </c>
      <c r="J16" s="3">
        <f>Germany!Q16</f>
        <v>29098.090883026085</v>
      </c>
      <c r="K16" s="3">
        <f>India!O16</f>
        <v>2507774.1493567256</v>
      </c>
      <c r="L16" s="3">
        <f>Ireland!P16</f>
        <v>27474.562647980918</v>
      </c>
      <c r="M16" s="3">
        <f>Italy!N16</f>
        <v>33226.225464477589</v>
      </c>
      <c r="N16" s="3">
        <f>Japan!O16</f>
        <v>2770401.0626873076</v>
      </c>
      <c r="O16" s="3">
        <f>Korea!P16</f>
        <v>38.841126752271329</v>
      </c>
      <c r="P16" s="3">
        <f>'Netherlands '!P17</f>
        <v>32557.608057866382</v>
      </c>
      <c r="Q16" s="3">
        <f>'New Zealand'!M16</f>
        <v>55154.542188843203</v>
      </c>
      <c r="R16" s="3">
        <f>'Norway with subs'!AB17</f>
        <v>324974.39799333876</v>
      </c>
      <c r="S16" s="3">
        <f>Spain!O16</f>
        <v>27974.465958828459</v>
      </c>
      <c r="T16" s="3">
        <f>Sweden!N16</f>
        <v>270669.3380973746</v>
      </c>
      <c r="U16" s="3">
        <f>Switzerland!N16</f>
        <v>34816.228388715346</v>
      </c>
      <c r="V16" s="3">
        <f>Britain!P16</f>
        <v>26651.032755581437</v>
      </c>
      <c r="W16" s="3">
        <f>USA!O16</f>
        <v>32019.101459082125</v>
      </c>
      <c r="Y16" s="3">
        <v>2022</v>
      </c>
      <c r="Z16" s="84">
        <f>Australia!W16</f>
        <v>1.35</v>
      </c>
      <c r="AA16" s="84">
        <f>Austria!AX16</f>
        <v>0</v>
      </c>
      <c r="AB16" s="84">
        <f>Belgium!AS16</f>
        <v>0</v>
      </c>
      <c r="AC16" s="84">
        <f>Canada!AV16</f>
        <v>0</v>
      </c>
      <c r="AD16" s="84">
        <f>China!AU16</f>
        <v>0</v>
      </c>
      <c r="AE16" s="84">
        <f>Denmark!AU16</f>
        <v>0</v>
      </c>
      <c r="AF16" s="84">
        <f>Finland!AT16</f>
        <v>0</v>
      </c>
      <c r="AG16" s="84">
        <f>France!AU16</f>
        <v>0</v>
      </c>
      <c r="AH16" s="84">
        <f>Germany!AV16</f>
        <v>0</v>
      </c>
      <c r="AI16" s="84">
        <f>India!AT16</f>
        <v>0</v>
      </c>
      <c r="AJ16" s="84">
        <f>Ireland!AU16</f>
        <v>0</v>
      </c>
      <c r="AK16" s="84">
        <f>Italy!AT16</f>
        <v>0</v>
      </c>
      <c r="AL16" s="84">
        <f>Japan!AT16</f>
        <v>0</v>
      </c>
      <c r="AM16" s="84">
        <f>Korea!AV16</f>
        <v>0</v>
      </c>
      <c r="AN16" s="84">
        <f>'Netherlands '!AU17</f>
        <v>0</v>
      </c>
      <c r="AO16" s="84">
        <f>'New Zealand'!AT16</f>
        <v>0</v>
      </c>
      <c r="AP16" s="84">
        <f>'Norway with subs'!AZ17</f>
        <v>0</v>
      </c>
      <c r="AQ16" s="84">
        <f>Spain!AT16</f>
        <v>0</v>
      </c>
      <c r="AR16" s="84">
        <f>Sweden!AT16</f>
        <v>0</v>
      </c>
      <c r="AS16" s="84">
        <f>Switzerland!AU16</f>
        <v>0</v>
      </c>
      <c r="AT16" s="84">
        <f>Britain!AN16</f>
        <v>0</v>
      </c>
      <c r="AU16" s="84">
        <f>USA!AU16</f>
        <v>0</v>
      </c>
      <c r="AX16" s="3">
        <v>2022</v>
      </c>
      <c r="AY16" s="3">
        <f>Australia!BO16</f>
        <v>0</v>
      </c>
      <c r="AZ16" s="3">
        <f>Austria!BW16</f>
        <v>0</v>
      </c>
      <c r="BA16" s="3">
        <f>Belgium!BR16</f>
        <v>0</v>
      </c>
      <c r="BB16" s="3">
        <f>Canada!BU16</f>
        <v>0</v>
      </c>
      <c r="BC16" s="3">
        <f>China!BT16</f>
        <v>0</v>
      </c>
      <c r="BD16" s="3">
        <f>Denmark!BT16</f>
        <v>0</v>
      </c>
      <c r="BE16" s="3">
        <f>Finland!BS16</f>
        <v>0</v>
      </c>
      <c r="BF16" s="3">
        <f>France!BT16</f>
        <v>0</v>
      </c>
      <c r="BG16" s="3">
        <f>Germany!BU16</f>
        <v>0</v>
      </c>
      <c r="BH16" s="3">
        <f>India!BS16</f>
        <v>0</v>
      </c>
      <c r="BI16" s="3">
        <f>Ireland!BT16</f>
        <v>0</v>
      </c>
      <c r="BJ16" s="3">
        <f>Italy!BS16</f>
        <v>0</v>
      </c>
      <c r="BK16" s="3">
        <f>Japan!BS16</f>
        <v>0</v>
      </c>
      <c r="BL16" s="3">
        <f>Korea!BU16</f>
        <v>0</v>
      </c>
      <c r="BM16" s="3">
        <f>'Netherlands '!BT17</f>
        <v>0</v>
      </c>
      <c r="BN16" s="3">
        <f>'New Zealand'!BS16</f>
        <v>0</v>
      </c>
      <c r="BO16" s="3">
        <f>'Norway with subs'!BW17</f>
        <v>0</v>
      </c>
      <c r="BP16" s="3">
        <f>Spain!BS16</f>
        <v>0</v>
      </c>
      <c r="BQ16" s="3">
        <f>Sweden!BS16</f>
        <v>0</v>
      </c>
      <c r="BR16" s="3">
        <f>Switzerland!BT16</f>
        <v>0</v>
      </c>
      <c r="BS16" s="3">
        <f>Britain!BM16</f>
        <v>0</v>
      </c>
      <c r="BT16" s="3">
        <f>USA!BT16</f>
        <v>0</v>
      </c>
    </row>
    <row r="17" spans="1:72">
      <c r="A17" s="3">
        <v>2023</v>
      </c>
      <c r="B17" s="3">
        <f>Australia!O17</f>
        <v>48516.538816290689</v>
      </c>
      <c r="C17" s="3">
        <f>Austria!O17</f>
        <v>28883.560621806188</v>
      </c>
      <c r="D17" s="3">
        <f>Belgium!O17</f>
        <v>32676.850326158616</v>
      </c>
      <c r="E17" s="3">
        <f>Canada!O17</f>
        <v>44222.069058971923</v>
      </c>
      <c r="F17" s="3">
        <f>China!P17</f>
        <v>183367.88414275055</v>
      </c>
      <c r="G17" s="3">
        <f>Denmark!O17</f>
        <v>422875.79863883212</v>
      </c>
      <c r="H17" s="3">
        <f>Finland!O17</f>
        <v>31670.716220186845</v>
      </c>
      <c r="I17" s="3">
        <f>France!P17</f>
        <v>27550.788091996612</v>
      </c>
      <c r="J17" s="3">
        <f>Germany!Q17</f>
        <v>28877.389970773733</v>
      </c>
      <c r="K17" s="3">
        <f>India!O17</f>
        <v>2487807.7268979973</v>
      </c>
      <c r="L17" s="3">
        <f>Ireland!P17</f>
        <v>27177.538695291638</v>
      </c>
      <c r="M17" s="3">
        <f>Italy!N17</f>
        <v>32934.923469350011</v>
      </c>
      <c r="N17" s="3">
        <f>Japan!O17</f>
        <v>2745759.442060621</v>
      </c>
      <c r="O17" s="3">
        <f>Korea!P17</f>
        <v>38.389478739695583</v>
      </c>
      <c r="P17" s="3">
        <f>'Netherlands '!P18</f>
        <v>32259.14289892419</v>
      </c>
      <c r="Q17" s="3">
        <f>'New Zealand'!M17</f>
        <v>54670.817950068202</v>
      </c>
      <c r="R17" s="3">
        <f>'Norway with subs'!AB18</f>
        <v>322120.36880288919</v>
      </c>
      <c r="S17" s="3">
        <f>Spain!O17</f>
        <v>27781.500540766112</v>
      </c>
      <c r="T17" s="3">
        <f>Sweden!N17</f>
        <v>268650.23390004929</v>
      </c>
      <c r="U17" s="3">
        <f>Switzerland!N17</f>
        <v>34510.350369616433</v>
      </c>
      <c r="V17" s="3">
        <f>Britain!P17</f>
        <v>26480.349129214221</v>
      </c>
      <c r="W17" s="3">
        <f>USA!O17</f>
        <v>31755.531881467308</v>
      </c>
      <c r="Y17" s="3">
        <v>2023</v>
      </c>
      <c r="Z17" s="84">
        <f>Australia!W17</f>
        <v>1.35</v>
      </c>
      <c r="AA17" s="84">
        <f>Austria!AX17</f>
        <v>0</v>
      </c>
      <c r="AB17" s="84">
        <f>Belgium!AS17</f>
        <v>0</v>
      </c>
      <c r="AC17" s="84">
        <f>Canada!AV17</f>
        <v>0</v>
      </c>
      <c r="AD17" s="84">
        <f>China!AU17</f>
        <v>0</v>
      </c>
      <c r="AE17" s="84">
        <f>Denmark!AU17</f>
        <v>0</v>
      </c>
      <c r="AF17" s="84">
        <f>Finland!AT17</f>
        <v>0</v>
      </c>
      <c r="AG17" s="84">
        <f>France!AU17</f>
        <v>0</v>
      </c>
      <c r="AH17" s="84">
        <f>Germany!AV17</f>
        <v>0</v>
      </c>
      <c r="AI17" s="84">
        <f>India!AT17</f>
        <v>0</v>
      </c>
      <c r="AJ17" s="84">
        <f>Ireland!AU17</f>
        <v>0</v>
      </c>
      <c r="AK17" s="84">
        <f>Italy!AT17</f>
        <v>0</v>
      </c>
      <c r="AL17" s="84">
        <f>Japan!AT17</f>
        <v>0</v>
      </c>
      <c r="AM17" s="84">
        <f>Korea!AV17</f>
        <v>0</v>
      </c>
      <c r="AN17" s="84">
        <f>'Netherlands '!AU18</f>
        <v>0</v>
      </c>
      <c r="AO17" s="84">
        <f>'New Zealand'!AT17</f>
        <v>0</v>
      </c>
      <c r="AP17" s="84">
        <f>'Norway with subs'!AZ18</f>
        <v>0</v>
      </c>
      <c r="AQ17" s="84">
        <f>Spain!AT17</f>
        <v>0</v>
      </c>
      <c r="AR17" s="84">
        <f>Sweden!AT17</f>
        <v>0</v>
      </c>
      <c r="AS17" s="84">
        <f>Switzerland!AU17</f>
        <v>0</v>
      </c>
      <c r="AT17" s="84">
        <f>Britain!AN17</f>
        <v>0</v>
      </c>
      <c r="AU17" s="84">
        <f>USA!AU17</f>
        <v>0</v>
      </c>
      <c r="AX17" s="3">
        <v>2023</v>
      </c>
      <c r="AY17" s="3">
        <f>Australia!BO17</f>
        <v>0</v>
      </c>
      <c r="AZ17" s="3">
        <f>Austria!BW17</f>
        <v>0</v>
      </c>
      <c r="BA17" s="3">
        <f>Belgium!BR17</f>
        <v>0</v>
      </c>
      <c r="BB17" s="3">
        <f>Canada!BU17</f>
        <v>0</v>
      </c>
      <c r="BC17" s="3">
        <f>China!BT17</f>
        <v>0</v>
      </c>
      <c r="BD17" s="3">
        <f>Denmark!BT17</f>
        <v>0</v>
      </c>
      <c r="BE17" s="3">
        <f>Finland!BS17</f>
        <v>0</v>
      </c>
      <c r="BF17" s="3">
        <f>France!BT17</f>
        <v>0</v>
      </c>
      <c r="BG17" s="3">
        <f>Germany!BU17</f>
        <v>0</v>
      </c>
      <c r="BH17" s="3">
        <f>India!BS17</f>
        <v>0</v>
      </c>
      <c r="BI17" s="3">
        <f>Ireland!BT17</f>
        <v>0</v>
      </c>
      <c r="BJ17" s="3">
        <f>Italy!BS17</f>
        <v>0</v>
      </c>
      <c r="BK17" s="3">
        <f>Japan!BS17</f>
        <v>0</v>
      </c>
      <c r="BL17" s="3">
        <f>Korea!BU17</f>
        <v>0</v>
      </c>
      <c r="BM17" s="3">
        <f>'Netherlands '!BT18</f>
        <v>0</v>
      </c>
      <c r="BN17" s="3">
        <f>'New Zealand'!BS17</f>
        <v>0</v>
      </c>
      <c r="BO17" s="3">
        <f>'Norway with subs'!BW18</f>
        <v>0</v>
      </c>
      <c r="BP17" s="3">
        <f>Spain!BS17</f>
        <v>0</v>
      </c>
      <c r="BQ17" s="3">
        <f>Sweden!BS17</f>
        <v>0</v>
      </c>
      <c r="BR17" s="3">
        <f>Switzerland!BT17</f>
        <v>0</v>
      </c>
      <c r="BS17" s="3">
        <f>Britain!BM17</f>
        <v>0</v>
      </c>
      <c r="BT17" s="3">
        <f>USA!BT17</f>
        <v>0</v>
      </c>
    </row>
    <row r="18" spans="1:72">
      <c r="A18" s="3">
        <v>2024</v>
      </c>
      <c r="B18" s="3">
        <f>Australia!O18</f>
        <v>46859.989502607605</v>
      </c>
      <c r="C18" s="3">
        <f>Austria!O18</f>
        <v>27847.970888505588</v>
      </c>
      <c r="D18" s="3">
        <f>Belgium!O18</f>
        <v>31559.996200217578</v>
      </c>
      <c r="E18" s="3">
        <f>Canada!O18</f>
        <v>42675.291533533033</v>
      </c>
      <c r="F18" s="3">
        <f>China!P18</f>
        <v>174063.84315970453</v>
      </c>
      <c r="G18" s="3">
        <f>Denmark!O18</f>
        <v>414052.81392976944</v>
      </c>
      <c r="H18" s="3">
        <f>Finland!O18</f>
        <v>30540.407099324253</v>
      </c>
      <c r="I18" s="3">
        <f>France!P18</f>
        <v>26472.995835676804</v>
      </c>
      <c r="J18" s="3">
        <f>Germany!Q18</f>
        <v>27820.699279094475</v>
      </c>
      <c r="K18" s="3">
        <f>India!O18</f>
        <v>2401310.4745865134</v>
      </c>
      <c r="L18" s="3">
        <f>Ireland!P18</f>
        <v>25931.004772726617</v>
      </c>
      <c r="M18" s="3">
        <f>Italy!N18</f>
        <v>31808.839144021029</v>
      </c>
      <c r="N18" s="3">
        <f>Japan!O18</f>
        <v>2647616.853612917</v>
      </c>
      <c r="O18" s="3">
        <f>Korea!P18</f>
        <v>36.643545803998371</v>
      </c>
      <c r="P18" s="3">
        <f>'Netherlands '!P19</f>
        <v>31105.367975431382</v>
      </c>
      <c r="Q18" s="3">
        <f>'New Zealand'!M18</f>
        <v>52800.888144652097</v>
      </c>
      <c r="R18" s="3">
        <f>'Norway with subs'!AB19</f>
        <v>311087.5657697721</v>
      </c>
      <c r="S18" s="3">
        <f>Spain!O18</f>
        <v>26758.750824195115</v>
      </c>
      <c r="T18" s="3">
        <f>Sweden!N18</f>
        <v>258061.0526895799</v>
      </c>
      <c r="U18" s="3">
        <f>Switzerland!N18</f>
        <v>33327.919598350592</v>
      </c>
      <c r="V18" s="3">
        <f>Britain!P18</f>
        <v>25534.397124530806</v>
      </c>
      <c r="W18" s="3">
        <f>USA!O18</f>
        <v>30637.775813632299</v>
      </c>
      <c r="Y18" s="3">
        <v>2024</v>
      </c>
      <c r="Z18" s="84">
        <f>Australia!W18</f>
        <v>1.35</v>
      </c>
      <c r="AA18" s="84">
        <f>Austria!AX18</f>
        <v>0</v>
      </c>
      <c r="AB18" s="84">
        <f>Belgium!AS18</f>
        <v>0</v>
      </c>
      <c r="AC18" s="84">
        <f>Canada!AV18</f>
        <v>0</v>
      </c>
      <c r="AD18" s="84">
        <f>China!AU18</f>
        <v>0</v>
      </c>
      <c r="AE18" s="84">
        <f>Denmark!AU18</f>
        <v>0</v>
      </c>
      <c r="AF18" s="84">
        <f>Finland!AT18</f>
        <v>0</v>
      </c>
      <c r="AG18" s="84">
        <f>France!AU18</f>
        <v>0</v>
      </c>
      <c r="AH18" s="84">
        <f>Germany!AV18</f>
        <v>0</v>
      </c>
      <c r="AI18" s="84">
        <f>India!AT18</f>
        <v>0</v>
      </c>
      <c r="AJ18" s="84">
        <f>Ireland!AU18</f>
        <v>0</v>
      </c>
      <c r="AK18" s="84">
        <f>Italy!AT18</f>
        <v>0</v>
      </c>
      <c r="AL18" s="84">
        <f>Japan!AT18</f>
        <v>0</v>
      </c>
      <c r="AM18" s="84">
        <f>Korea!AV18</f>
        <v>0</v>
      </c>
      <c r="AN18" s="84">
        <f>'Netherlands '!AU19</f>
        <v>0</v>
      </c>
      <c r="AO18" s="84">
        <f>'New Zealand'!AT18</f>
        <v>0</v>
      </c>
      <c r="AP18" s="84">
        <f>'Norway with subs'!AZ19</f>
        <v>0</v>
      </c>
      <c r="AQ18" s="84">
        <f>Spain!AT18</f>
        <v>0</v>
      </c>
      <c r="AR18" s="84">
        <f>Sweden!AT18</f>
        <v>0</v>
      </c>
      <c r="AS18" s="84">
        <f>Switzerland!AU18</f>
        <v>0</v>
      </c>
      <c r="AT18" s="84">
        <f>Britain!AN18</f>
        <v>0</v>
      </c>
      <c r="AU18" s="84">
        <f>USA!AU18</f>
        <v>0</v>
      </c>
      <c r="AX18" s="3">
        <v>2024</v>
      </c>
      <c r="AY18" s="3">
        <f>Australia!BO18</f>
        <v>0</v>
      </c>
      <c r="AZ18" s="3">
        <f>Austria!BW18</f>
        <v>0</v>
      </c>
      <c r="BA18" s="3">
        <f>Belgium!BR18</f>
        <v>0</v>
      </c>
      <c r="BB18" s="3">
        <f>Canada!BU18</f>
        <v>0</v>
      </c>
      <c r="BC18" s="3">
        <f>China!BT18</f>
        <v>0</v>
      </c>
      <c r="BD18" s="3">
        <f>Denmark!BT18</f>
        <v>0</v>
      </c>
      <c r="BE18" s="3">
        <f>Finland!BS18</f>
        <v>0</v>
      </c>
      <c r="BF18" s="3">
        <f>France!BT18</f>
        <v>0</v>
      </c>
      <c r="BG18" s="3">
        <f>Germany!BU18</f>
        <v>0</v>
      </c>
      <c r="BH18" s="3">
        <f>India!BS18</f>
        <v>0</v>
      </c>
      <c r="BI18" s="3">
        <f>Ireland!BT18</f>
        <v>0</v>
      </c>
      <c r="BJ18" s="3">
        <f>Italy!BS18</f>
        <v>0</v>
      </c>
      <c r="BK18" s="3">
        <f>Japan!BS18</f>
        <v>0</v>
      </c>
      <c r="BL18" s="3">
        <f>Korea!BU18</f>
        <v>0</v>
      </c>
      <c r="BM18" s="3">
        <f>'Netherlands '!BT19</f>
        <v>0</v>
      </c>
      <c r="BN18" s="3">
        <f>'New Zealand'!BS18</f>
        <v>0</v>
      </c>
      <c r="BO18" s="3">
        <f>'Norway with subs'!BW19</f>
        <v>0</v>
      </c>
      <c r="BP18" s="3">
        <f>Spain!BS18</f>
        <v>0</v>
      </c>
      <c r="BQ18" s="3">
        <f>Sweden!BS18</f>
        <v>0</v>
      </c>
      <c r="BR18" s="3">
        <f>Switzerland!BT18</f>
        <v>0</v>
      </c>
      <c r="BS18" s="3">
        <f>Britain!BM18</f>
        <v>0</v>
      </c>
      <c r="BT18" s="3">
        <f>USA!BT18</f>
        <v>0</v>
      </c>
    </row>
    <row r="19" spans="1:72">
      <c r="A19" s="3">
        <v>2025</v>
      </c>
      <c r="B19" s="3">
        <f>Australia!O19</f>
        <v>45437.819827042353</v>
      </c>
      <c r="C19" s="3">
        <f>Austria!O19</f>
        <v>26967.627389491787</v>
      </c>
      <c r="D19" s="3">
        <f>Belgium!O19</f>
        <v>30601.162040061001</v>
      </c>
      <c r="E19" s="3">
        <f>Canada!O19</f>
        <v>41353.217051774234</v>
      </c>
      <c r="F19" s="3">
        <f>China!P19</f>
        <v>166076.19990815222</v>
      </c>
      <c r="G19" s="3">
        <f>Denmark!O19</f>
        <v>406478.16390422522</v>
      </c>
      <c r="H19" s="3">
        <f>Finland!O19</f>
        <v>29571.929822404905</v>
      </c>
      <c r="I19" s="3">
        <f>France!P19</f>
        <v>25555.249006360005</v>
      </c>
      <c r="J19" s="3">
        <f>Germany!Q19</f>
        <v>26922.147704405903</v>
      </c>
      <c r="K19" s="3">
        <f>India!O19</f>
        <v>2327419.9123960575</v>
      </c>
      <c r="L19" s="3">
        <f>Ireland!P19</f>
        <v>24865.555693045259</v>
      </c>
      <c r="M19" s="3">
        <f>Italy!N19</f>
        <v>30842.08073460696</v>
      </c>
      <c r="N19" s="3">
        <f>Japan!O19</f>
        <v>2563497.0251017106</v>
      </c>
      <c r="O19" s="3">
        <f>Korea!P19</f>
        <v>35.144639097020494</v>
      </c>
      <c r="P19" s="3">
        <f>'Netherlands '!P20</f>
        <v>30114.836818244836</v>
      </c>
      <c r="Q19" s="3">
        <f>'New Zealand'!M19</f>
        <v>51195.528471545986</v>
      </c>
      <c r="R19" s="3">
        <f>'Norway with subs'!AB20</f>
        <v>301615.7572455224</v>
      </c>
      <c r="S19" s="3">
        <f>Spain!O19</f>
        <v>25892.212083193146</v>
      </c>
      <c r="T19" s="3">
        <f>Sweden!N19</f>
        <v>249087.62836052687</v>
      </c>
      <c r="U19" s="3">
        <f>Switzerland!N19</f>
        <v>32312.787013730653</v>
      </c>
      <c r="V19" s="3">
        <f>Britain!P19</f>
        <v>24733.53148899704</v>
      </c>
      <c r="W19" s="3">
        <f>USA!O19</f>
        <v>29682.013314614196</v>
      </c>
      <c r="Y19" s="3">
        <v>2025</v>
      </c>
      <c r="Z19" s="84">
        <f>Australia!W19</f>
        <v>1.35</v>
      </c>
      <c r="AA19" s="84">
        <f>Austria!AX19</f>
        <v>0</v>
      </c>
      <c r="AB19" s="84">
        <f>Belgium!AS19</f>
        <v>0</v>
      </c>
      <c r="AC19" s="84">
        <f>Canada!AV19</f>
        <v>0</v>
      </c>
      <c r="AD19" s="84">
        <f>China!AU19</f>
        <v>0</v>
      </c>
      <c r="AE19" s="84">
        <f>Denmark!AU19</f>
        <v>0</v>
      </c>
      <c r="AF19" s="84">
        <f>Finland!AT19</f>
        <v>0</v>
      </c>
      <c r="AG19" s="84">
        <f>France!AU19</f>
        <v>0</v>
      </c>
      <c r="AH19" s="84">
        <f>Germany!AV19</f>
        <v>0</v>
      </c>
      <c r="AI19" s="84">
        <f>India!AT19</f>
        <v>0</v>
      </c>
      <c r="AJ19" s="84">
        <f>Ireland!AU19</f>
        <v>0</v>
      </c>
      <c r="AK19" s="84">
        <f>Italy!AT19</f>
        <v>0</v>
      </c>
      <c r="AL19" s="84">
        <f>Japan!AT19</f>
        <v>0</v>
      </c>
      <c r="AM19" s="84">
        <f>Korea!AV19</f>
        <v>0</v>
      </c>
      <c r="AN19" s="84">
        <f>'Netherlands '!AU20</f>
        <v>0</v>
      </c>
      <c r="AO19" s="84">
        <f>'New Zealand'!AT19</f>
        <v>0</v>
      </c>
      <c r="AP19" s="84">
        <f>'Norway with subs'!AZ20</f>
        <v>0</v>
      </c>
      <c r="AQ19" s="84">
        <f>Spain!AT19</f>
        <v>0</v>
      </c>
      <c r="AR19" s="84">
        <f>Sweden!AT19</f>
        <v>0</v>
      </c>
      <c r="AS19" s="84">
        <f>Switzerland!AU19</f>
        <v>0</v>
      </c>
      <c r="AT19" s="84">
        <f>Britain!AN19</f>
        <v>0</v>
      </c>
      <c r="AU19" s="84">
        <f>USA!AU19</f>
        <v>0</v>
      </c>
      <c r="AX19" s="3">
        <v>2025</v>
      </c>
      <c r="AY19" s="3">
        <f>Australia!BO19</f>
        <v>0</v>
      </c>
      <c r="AZ19" s="3">
        <f>Austria!BW19</f>
        <v>0</v>
      </c>
      <c r="BA19" s="3">
        <f>Belgium!BR19</f>
        <v>0</v>
      </c>
      <c r="BB19" s="3">
        <f>Canada!BU19</f>
        <v>0</v>
      </c>
      <c r="BC19" s="3">
        <f>China!BT19</f>
        <v>0</v>
      </c>
      <c r="BD19" s="3">
        <f>Denmark!BT19</f>
        <v>0</v>
      </c>
      <c r="BE19" s="3">
        <f>Finland!BS19</f>
        <v>0</v>
      </c>
      <c r="BF19" s="3">
        <f>France!BT19</f>
        <v>0</v>
      </c>
      <c r="BG19" s="3">
        <f>Germany!BU19</f>
        <v>0</v>
      </c>
      <c r="BH19" s="3">
        <f>India!BS19</f>
        <v>0</v>
      </c>
      <c r="BI19" s="3">
        <f>Ireland!BT19</f>
        <v>0</v>
      </c>
      <c r="BJ19" s="3">
        <f>Italy!BS19</f>
        <v>0</v>
      </c>
      <c r="BK19" s="3">
        <f>Japan!BS19</f>
        <v>0</v>
      </c>
      <c r="BL19" s="3">
        <f>Korea!BU19</f>
        <v>0</v>
      </c>
      <c r="BM19" s="3">
        <f>'Netherlands '!BT20</f>
        <v>0</v>
      </c>
      <c r="BN19" s="3">
        <f>'New Zealand'!BS19</f>
        <v>0</v>
      </c>
      <c r="BO19" s="3">
        <f>'Norway with subs'!BW20</f>
        <v>0</v>
      </c>
      <c r="BP19" s="3">
        <f>Spain!BS19</f>
        <v>0</v>
      </c>
      <c r="BQ19" s="3">
        <f>Sweden!BS19</f>
        <v>0</v>
      </c>
      <c r="BR19" s="3">
        <f>Switzerland!BT19</f>
        <v>0</v>
      </c>
      <c r="BS19" s="3">
        <f>Britain!BM19</f>
        <v>0</v>
      </c>
      <c r="BT19" s="3">
        <f>USA!BT19</f>
        <v>0</v>
      </c>
    </row>
    <row r="20" spans="1:72">
      <c r="A20" s="3">
        <v>2026</v>
      </c>
      <c r="B20" s="3">
        <f>Australia!O20</f>
        <v>44627.618608857214</v>
      </c>
      <c r="C20" s="3">
        <f>Austria!O20</f>
        <v>26495.028466260614</v>
      </c>
      <c r="D20" s="3">
        <f>Belgium!O20</f>
        <v>30054.920183028284</v>
      </c>
      <c r="E20" s="3">
        <f>Canada!O20</f>
        <v>40619.470144938772</v>
      </c>
      <c r="F20" s="3">
        <f>China!P20</f>
        <v>161525.68923138382</v>
      </c>
      <c r="G20" s="3">
        <f>Denmark!O20</f>
        <v>402162.93289946992</v>
      </c>
      <c r="H20" s="3">
        <f>Finland!O20</f>
        <v>29026.169226486498</v>
      </c>
      <c r="I20" s="3">
        <f>France!P20</f>
        <v>25056.333727355479</v>
      </c>
      <c r="J20" s="3">
        <f>Germany!Q20</f>
        <v>26438.431784792992</v>
      </c>
      <c r="K20" s="3">
        <f>India!O20</f>
        <v>2286570.5130988108</v>
      </c>
      <c r="L20" s="3">
        <f>Ireland!P20</f>
        <v>24273.108474916935</v>
      </c>
      <c r="M20" s="3">
        <f>Italy!N20</f>
        <v>30291.324482061576</v>
      </c>
      <c r="N20" s="3">
        <f>Japan!O20</f>
        <v>2515998.3784233173</v>
      </c>
      <c r="O20" s="3">
        <f>Korea!P20</f>
        <v>34.290721269348722</v>
      </c>
      <c r="P20" s="3">
        <f>'Netherlands '!P21</f>
        <v>29550.537379161451</v>
      </c>
      <c r="Q20" s="3">
        <f>'New Zealand'!M20</f>
        <v>50280.965051215069</v>
      </c>
      <c r="R20" s="3">
        <f>'Norway with subs'!AB21</f>
        <v>296219.72684449912</v>
      </c>
      <c r="S20" s="3">
        <f>Spain!O20</f>
        <v>25436.491429725171</v>
      </c>
      <c r="T20" s="3">
        <f>Sweden!N20</f>
        <v>244360.13376614882</v>
      </c>
      <c r="U20" s="3">
        <f>Switzerland!N20</f>
        <v>31734.472294460887</v>
      </c>
      <c r="V20" s="3">
        <f>Britain!P20</f>
        <v>24315.429707414503</v>
      </c>
      <c r="W20" s="3">
        <f>USA!O20</f>
        <v>29150.636064379163</v>
      </c>
      <c r="Y20" s="3">
        <v>2026</v>
      </c>
      <c r="Z20" s="84">
        <f>Australia!W20</f>
        <v>1.35</v>
      </c>
      <c r="AA20" s="84">
        <f>Austria!AX20</f>
        <v>0</v>
      </c>
      <c r="AB20" s="84">
        <f>Belgium!AS20</f>
        <v>0</v>
      </c>
      <c r="AC20" s="84">
        <f>Canada!AV20</f>
        <v>0</v>
      </c>
      <c r="AD20" s="84">
        <f>China!AU20</f>
        <v>0</v>
      </c>
      <c r="AE20" s="84">
        <f>Denmark!AU20</f>
        <v>0</v>
      </c>
      <c r="AF20" s="84">
        <f>Finland!AT20</f>
        <v>0</v>
      </c>
      <c r="AG20" s="84">
        <f>France!AU20</f>
        <v>0</v>
      </c>
      <c r="AH20" s="84">
        <f>Germany!AV20</f>
        <v>0</v>
      </c>
      <c r="AI20" s="84">
        <f>India!AT20</f>
        <v>0</v>
      </c>
      <c r="AJ20" s="84">
        <f>Ireland!AU20</f>
        <v>0</v>
      </c>
      <c r="AK20" s="84">
        <f>Italy!AT20</f>
        <v>0</v>
      </c>
      <c r="AL20" s="84">
        <f>Japan!AT20</f>
        <v>0</v>
      </c>
      <c r="AM20" s="84">
        <f>Korea!AV20</f>
        <v>0</v>
      </c>
      <c r="AN20" s="84">
        <f>'Netherlands '!AU21</f>
        <v>0</v>
      </c>
      <c r="AO20" s="84">
        <f>'New Zealand'!AT20</f>
        <v>0</v>
      </c>
      <c r="AP20" s="84">
        <f>'Norway with subs'!AZ21</f>
        <v>0</v>
      </c>
      <c r="AQ20" s="84">
        <f>Spain!AT20</f>
        <v>0</v>
      </c>
      <c r="AR20" s="84">
        <f>Sweden!AT20</f>
        <v>0</v>
      </c>
      <c r="AS20" s="84">
        <f>Switzerland!AU20</f>
        <v>0</v>
      </c>
      <c r="AT20" s="84">
        <f>Britain!AN20</f>
        <v>0</v>
      </c>
      <c r="AU20" s="84">
        <f>USA!AU20</f>
        <v>0</v>
      </c>
      <c r="AX20" s="3">
        <v>2026</v>
      </c>
      <c r="AY20" s="3">
        <f>Australia!BO20</f>
        <v>0</v>
      </c>
      <c r="AZ20" s="3">
        <f>Austria!BW20</f>
        <v>0</v>
      </c>
      <c r="BA20" s="3">
        <f>Belgium!BR20</f>
        <v>0</v>
      </c>
      <c r="BB20" s="3">
        <f>Canada!BU20</f>
        <v>0</v>
      </c>
      <c r="BC20" s="3">
        <f>China!BT20</f>
        <v>0</v>
      </c>
      <c r="BD20" s="3">
        <f>Denmark!BT20</f>
        <v>0</v>
      </c>
      <c r="BE20" s="3">
        <f>Finland!BS20</f>
        <v>0</v>
      </c>
      <c r="BF20" s="3">
        <f>France!BT20</f>
        <v>0</v>
      </c>
      <c r="BG20" s="3">
        <f>Germany!BU20</f>
        <v>0</v>
      </c>
      <c r="BH20" s="3">
        <f>India!BS20</f>
        <v>0</v>
      </c>
      <c r="BI20" s="3">
        <f>Ireland!BT20</f>
        <v>0</v>
      </c>
      <c r="BJ20" s="3">
        <f>Italy!BS20</f>
        <v>0</v>
      </c>
      <c r="BK20" s="3">
        <f>Japan!BS20</f>
        <v>0</v>
      </c>
      <c r="BL20" s="3">
        <f>Korea!BU20</f>
        <v>0</v>
      </c>
      <c r="BM20" s="3">
        <f>'Netherlands '!BT21</f>
        <v>0</v>
      </c>
      <c r="BN20" s="3">
        <f>'New Zealand'!BS20</f>
        <v>0</v>
      </c>
      <c r="BO20" s="3">
        <f>'Norway with subs'!BW21</f>
        <v>0</v>
      </c>
      <c r="BP20" s="3">
        <f>Spain!BS20</f>
        <v>0</v>
      </c>
      <c r="BQ20" s="3">
        <f>Sweden!BS20</f>
        <v>0</v>
      </c>
      <c r="BR20" s="3">
        <f>Switzerland!BT20</f>
        <v>0</v>
      </c>
      <c r="BS20" s="3">
        <f>Britain!BM20</f>
        <v>0</v>
      </c>
      <c r="BT20" s="3">
        <f>USA!BT20</f>
        <v>0</v>
      </c>
    </row>
    <row r="21" spans="1:72">
      <c r="A21" s="3">
        <v>2027</v>
      </c>
      <c r="B21" s="3">
        <f>Australia!O21</f>
        <v>43817.41739067209</v>
      </c>
      <c r="C21" s="3">
        <f>Austria!O21</f>
        <v>26021.020967797846</v>
      </c>
      <c r="D21" s="3">
        <f>Belgium!O21</f>
        <v>29508.67832599557</v>
      </c>
      <c r="E21" s="3">
        <f>Canada!O21</f>
        <v>39884.767915835611</v>
      </c>
      <c r="F21" s="3">
        <f>China!P21</f>
        <v>156975.17855461541</v>
      </c>
      <c r="G21" s="3">
        <f>Denmark!O21</f>
        <v>397847.70189471467</v>
      </c>
      <c r="H21" s="3">
        <f>Finland!O21</f>
        <v>28480.304230213365</v>
      </c>
      <c r="I21" s="3">
        <f>France!P21</f>
        <v>24556.843905837581</v>
      </c>
      <c r="J21" s="3">
        <f>Germany!Q21</f>
        <v>25953.569313388238</v>
      </c>
      <c r="K21" s="3">
        <f>India!O21</f>
        <v>2245648.3902597497</v>
      </c>
      <c r="L21" s="3">
        <f>Ireland!P21</f>
        <v>23680.546302093113</v>
      </c>
      <c r="M21" s="3">
        <f>Italy!N21</f>
        <v>29740.568229516193</v>
      </c>
      <c r="N21" s="3">
        <f>Japan!O21</f>
        <v>2468495.0945604402</v>
      </c>
      <c r="O21" s="3">
        <f>Korea!P21</f>
        <v>33.436803441676965</v>
      </c>
      <c r="P21" s="3">
        <f>'Netherlands '!P22</f>
        <v>28986.23794007807</v>
      </c>
      <c r="Q21" s="3">
        <f>'New Zealand'!M21</f>
        <v>49366.401630884167</v>
      </c>
      <c r="R21" s="3">
        <f>'Norway with subs'!AB22</f>
        <v>290823.69644347596</v>
      </c>
      <c r="S21" s="3">
        <f>Spain!O21</f>
        <v>24979.030666812447</v>
      </c>
      <c r="T21" s="3">
        <f>Sweden!N21</f>
        <v>239616.53990233719</v>
      </c>
      <c r="U21" s="3">
        <f>Switzerland!N21</f>
        <v>31156.157575191122</v>
      </c>
      <c r="V21" s="3">
        <f>Britain!P21</f>
        <v>23895.037520623308</v>
      </c>
      <c r="W21" s="3">
        <f>USA!O21</f>
        <v>28618.437180599925</v>
      </c>
      <c r="Y21" s="3">
        <v>2027</v>
      </c>
      <c r="Z21" s="84">
        <f>Australia!W21</f>
        <v>1.35</v>
      </c>
      <c r="AA21" s="84">
        <f>Austria!AX21</f>
        <v>0</v>
      </c>
      <c r="AB21" s="84">
        <f>Belgium!AS21</f>
        <v>0</v>
      </c>
      <c r="AC21" s="84">
        <f>Canada!AV21</f>
        <v>0</v>
      </c>
      <c r="AD21" s="84">
        <f>China!AU21</f>
        <v>0</v>
      </c>
      <c r="AE21" s="84">
        <f>Denmark!AU21</f>
        <v>0</v>
      </c>
      <c r="AF21" s="84">
        <f>Finland!AT21</f>
        <v>0</v>
      </c>
      <c r="AG21" s="84">
        <f>France!AU21</f>
        <v>0</v>
      </c>
      <c r="AH21" s="84">
        <f>Germany!AV21</f>
        <v>0</v>
      </c>
      <c r="AI21" s="84">
        <f>India!AT21</f>
        <v>0</v>
      </c>
      <c r="AJ21" s="84">
        <f>Ireland!AU21</f>
        <v>0</v>
      </c>
      <c r="AK21" s="84">
        <f>Italy!AT21</f>
        <v>0</v>
      </c>
      <c r="AL21" s="84">
        <f>Japan!AT21</f>
        <v>0</v>
      </c>
      <c r="AM21" s="84">
        <f>Korea!AV21</f>
        <v>0</v>
      </c>
      <c r="AN21" s="84">
        <f>'Netherlands '!AU22</f>
        <v>0</v>
      </c>
      <c r="AO21" s="84">
        <f>'New Zealand'!AT21</f>
        <v>0</v>
      </c>
      <c r="AP21" s="84">
        <f>'Norway with subs'!AZ22</f>
        <v>0</v>
      </c>
      <c r="AQ21" s="84">
        <f>Spain!AT21</f>
        <v>0</v>
      </c>
      <c r="AR21" s="84">
        <f>Sweden!AT21</f>
        <v>0</v>
      </c>
      <c r="AS21" s="84">
        <f>Switzerland!AU21</f>
        <v>0</v>
      </c>
      <c r="AT21" s="84">
        <f>Britain!AN21</f>
        <v>0</v>
      </c>
      <c r="AU21" s="84">
        <f>USA!AU21</f>
        <v>0</v>
      </c>
      <c r="AX21" s="3">
        <v>2027</v>
      </c>
      <c r="AY21" s="3">
        <f>Australia!BO21</f>
        <v>0</v>
      </c>
      <c r="AZ21" s="3">
        <f>Austria!BW21</f>
        <v>0</v>
      </c>
      <c r="BA21" s="3">
        <f>Belgium!BR21</f>
        <v>0</v>
      </c>
      <c r="BB21" s="3">
        <f>Canada!BU21</f>
        <v>0</v>
      </c>
      <c r="BC21" s="3">
        <f>China!BT21</f>
        <v>0</v>
      </c>
      <c r="BD21" s="3">
        <f>Denmark!BT21</f>
        <v>0</v>
      </c>
      <c r="BE21" s="3">
        <f>Finland!BS21</f>
        <v>0</v>
      </c>
      <c r="BF21" s="3">
        <f>France!BT21</f>
        <v>0</v>
      </c>
      <c r="BG21" s="3">
        <f>Germany!BU21</f>
        <v>0</v>
      </c>
      <c r="BH21" s="3">
        <f>India!BS21</f>
        <v>0</v>
      </c>
      <c r="BI21" s="3">
        <f>Ireland!BT21</f>
        <v>0</v>
      </c>
      <c r="BJ21" s="3">
        <f>Italy!BS21</f>
        <v>0</v>
      </c>
      <c r="BK21" s="3">
        <f>Japan!BS21</f>
        <v>0</v>
      </c>
      <c r="BL21" s="3">
        <f>Korea!BU21</f>
        <v>0</v>
      </c>
      <c r="BM21" s="3">
        <f>'Netherlands '!BT22</f>
        <v>0</v>
      </c>
      <c r="BN21" s="3">
        <f>'New Zealand'!BS21</f>
        <v>0</v>
      </c>
      <c r="BO21" s="3">
        <f>'Norway with subs'!BW22</f>
        <v>0</v>
      </c>
      <c r="BP21" s="3">
        <f>Spain!BS21</f>
        <v>0</v>
      </c>
      <c r="BQ21" s="3">
        <f>Sweden!BS21</f>
        <v>0</v>
      </c>
      <c r="BR21" s="3">
        <f>Switzerland!BT21</f>
        <v>0</v>
      </c>
      <c r="BS21" s="3">
        <f>Britain!BM21</f>
        <v>0</v>
      </c>
      <c r="BT21" s="3">
        <f>USA!BT21</f>
        <v>0</v>
      </c>
    </row>
    <row r="22" spans="1:72">
      <c r="A22" s="3">
        <v>2028</v>
      </c>
      <c r="B22" s="3">
        <f>Australia!O22</f>
        <v>42905.941020213824</v>
      </c>
      <c r="C22" s="3">
        <f>Austria!O22</f>
        <v>25477.917662789681</v>
      </c>
      <c r="D22" s="3">
        <f>Belgium!O22</f>
        <v>28894.156236833765</v>
      </c>
      <c r="E22" s="3">
        <f>Canada!O22</f>
        <v>39051.605792893068</v>
      </c>
      <c r="F22" s="3">
        <f>China!P22</f>
        <v>151855.85404325093</v>
      </c>
      <c r="G22" s="3">
        <f>Denmark!O22</f>
        <v>392993.06701436493</v>
      </c>
      <c r="H22" s="3">
        <f>Finland!O22</f>
        <v>27864.362480313015</v>
      </c>
      <c r="I22" s="3">
        <f>France!P22</f>
        <v>23987.376568255153</v>
      </c>
      <c r="J22" s="3">
        <f>Germany!Q22</f>
        <v>25398.735367431382</v>
      </c>
      <c r="K22" s="3">
        <f>India!O22</f>
        <v>2199174.9673251514</v>
      </c>
      <c r="L22" s="3">
        <f>Ireland!P22</f>
        <v>23009.573016922572</v>
      </c>
      <c r="M22" s="3">
        <f>Italy!N22</f>
        <v>29120.967445402639</v>
      </c>
      <c r="N22" s="3">
        <f>Japan!O22</f>
        <v>2414925.9553484404</v>
      </c>
      <c r="O22" s="3">
        <f>Korea!P22</f>
        <v>32.476145885546231</v>
      </c>
      <c r="P22" s="3">
        <f>'Netherlands '!P23</f>
        <v>28351.401071109263</v>
      </c>
      <c r="Q22" s="3">
        <f>'New Zealand'!M22</f>
        <v>48337.517783011906</v>
      </c>
      <c r="R22" s="3">
        <f>'Norway with subs'!AB23</f>
        <v>284753.16224232485</v>
      </c>
      <c r="S22" s="3">
        <f>Spain!O22</f>
        <v>24451.583012840903</v>
      </c>
      <c r="T22" s="3">
        <f>Sweden!N22</f>
        <v>234151.75557950462</v>
      </c>
      <c r="U22" s="3">
        <f>Switzerland!N22</f>
        <v>30505.553516012631</v>
      </c>
      <c r="V22" s="3">
        <f>Britain!P22</f>
        <v>23408.679456892536</v>
      </c>
      <c r="W22" s="3">
        <f>USA!O22</f>
        <v>28015.066570928007</v>
      </c>
      <c r="Y22" s="3">
        <v>2028</v>
      </c>
      <c r="Z22" s="84">
        <f>Australia!W22</f>
        <v>1.35</v>
      </c>
      <c r="AA22" s="84">
        <f>Austria!AX22</f>
        <v>0</v>
      </c>
      <c r="AB22" s="84">
        <f>Belgium!AS22</f>
        <v>0</v>
      </c>
      <c r="AC22" s="84">
        <f>Canada!AV22</f>
        <v>0</v>
      </c>
      <c r="AD22" s="84">
        <f>China!AU22</f>
        <v>0</v>
      </c>
      <c r="AE22" s="84">
        <f>Denmark!AU22</f>
        <v>0</v>
      </c>
      <c r="AF22" s="84">
        <f>Finland!AT22</f>
        <v>0</v>
      </c>
      <c r="AG22" s="84">
        <f>France!AU22</f>
        <v>0</v>
      </c>
      <c r="AH22" s="84">
        <f>Germany!AV22</f>
        <v>0</v>
      </c>
      <c r="AI22" s="84">
        <f>India!AT22</f>
        <v>0</v>
      </c>
      <c r="AJ22" s="84">
        <f>Ireland!AU22</f>
        <v>0</v>
      </c>
      <c r="AK22" s="84">
        <f>Italy!AT22</f>
        <v>0</v>
      </c>
      <c r="AL22" s="84">
        <f>Japan!AT22</f>
        <v>0</v>
      </c>
      <c r="AM22" s="84">
        <f>Korea!AV22</f>
        <v>0</v>
      </c>
      <c r="AN22" s="84">
        <f>'Netherlands '!AU23</f>
        <v>0</v>
      </c>
      <c r="AO22" s="84">
        <f>'New Zealand'!AT22</f>
        <v>0</v>
      </c>
      <c r="AP22" s="84">
        <f>'Norway with subs'!AZ23</f>
        <v>0</v>
      </c>
      <c r="AQ22" s="84">
        <f>Spain!AT22</f>
        <v>0</v>
      </c>
      <c r="AR22" s="84">
        <f>Sweden!AT22</f>
        <v>0</v>
      </c>
      <c r="AS22" s="84">
        <f>Switzerland!AU22</f>
        <v>0</v>
      </c>
      <c r="AT22" s="84">
        <f>Britain!AN22</f>
        <v>0</v>
      </c>
      <c r="AU22" s="84">
        <f>USA!AU22</f>
        <v>0</v>
      </c>
      <c r="AX22" s="3">
        <v>2028</v>
      </c>
      <c r="AY22" s="3">
        <f>Australia!BO22</f>
        <v>0</v>
      </c>
      <c r="AZ22" s="3">
        <f>Austria!BW22</f>
        <v>0</v>
      </c>
      <c r="BA22" s="3">
        <f>Belgium!BR22</f>
        <v>0</v>
      </c>
      <c r="BB22" s="3">
        <f>Canada!BU22</f>
        <v>0</v>
      </c>
      <c r="BC22" s="3">
        <f>China!BT22</f>
        <v>0</v>
      </c>
      <c r="BD22" s="3">
        <f>Denmark!BT22</f>
        <v>0</v>
      </c>
      <c r="BE22" s="3">
        <f>Finland!BS22</f>
        <v>0</v>
      </c>
      <c r="BF22" s="3">
        <f>France!BT22</f>
        <v>0</v>
      </c>
      <c r="BG22" s="3">
        <f>Germany!BU22</f>
        <v>0</v>
      </c>
      <c r="BH22" s="3">
        <f>India!BS22</f>
        <v>0</v>
      </c>
      <c r="BI22" s="3">
        <f>Ireland!BT22</f>
        <v>0</v>
      </c>
      <c r="BJ22" s="3">
        <f>Italy!BS22</f>
        <v>0</v>
      </c>
      <c r="BK22" s="3">
        <f>Japan!BS22</f>
        <v>0</v>
      </c>
      <c r="BL22" s="3">
        <f>Korea!BU22</f>
        <v>0</v>
      </c>
      <c r="BM22" s="3">
        <f>'Netherlands '!BT23</f>
        <v>0</v>
      </c>
      <c r="BN22" s="3">
        <f>'New Zealand'!BS22</f>
        <v>0</v>
      </c>
      <c r="BO22" s="3">
        <f>'Norway with subs'!BW23</f>
        <v>0</v>
      </c>
      <c r="BP22" s="3">
        <f>Spain!BS22</f>
        <v>0</v>
      </c>
      <c r="BQ22" s="3">
        <f>Sweden!BS22</f>
        <v>0</v>
      </c>
      <c r="BR22" s="3">
        <f>Switzerland!BT22</f>
        <v>0</v>
      </c>
      <c r="BS22" s="3">
        <f>Britain!BM22</f>
        <v>0</v>
      </c>
      <c r="BT22" s="3">
        <f>USA!BT22</f>
        <v>0</v>
      </c>
    </row>
    <row r="23" spans="1:72">
      <c r="A23" s="3">
        <v>2029</v>
      </c>
      <c r="B23" s="3">
        <f>Australia!O23</f>
        <v>42095.7398020287</v>
      </c>
      <c r="C23" s="3">
        <f>Austria!O23</f>
        <v>25001.17853316804</v>
      </c>
      <c r="D23" s="3">
        <f>Belgium!O23</f>
        <v>28347.914379801059</v>
      </c>
      <c r="E23" s="3">
        <f>Canada!O23</f>
        <v>38315.051462517047</v>
      </c>
      <c r="F23" s="3">
        <f>China!P23</f>
        <v>147305.34336648264</v>
      </c>
      <c r="G23" s="3">
        <f>Denmark!O23</f>
        <v>388677.83600960969</v>
      </c>
      <c r="H23" s="3">
        <f>Finland!O23</f>
        <v>27318.291009066583</v>
      </c>
      <c r="I23" s="3">
        <f>France!P23</f>
        <v>23486.755174362093</v>
      </c>
      <c r="J23" s="3">
        <f>Germany!Q23</f>
        <v>24911.638283508673</v>
      </c>
      <c r="K23" s="3">
        <f>India!O23</f>
        <v>2158112.6549443668</v>
      </c>
      <c r="L23" s="3">
        <f>Ireland!P23</f>
        <v>22416.782101952649</v>
      </c>
      <c r="M23" s="3">
        <f>Italy!N23</f>
        <v>28570.211192857267</v>
      </c>
      <c r="N23" s="3">
        <f>Japan!O23</f>
        <v>2367413.4620935475</v>
      </c>
      <c r="O23" s="3">
        <f>Korea!P23</f>
        <v>31.622228057874466</v>
      </c>
      <c r="P23" s="3">
        <f>'Netherlands '!P24</f>
        <v>27787.101632025886</v>
      </c>
      <c r="Q23" s="3">
        <f>'New Zealand'!M23</f>
        <v>47422.954362681005</v>
      </c>
      <c r="R23" s="3">
        <f>'Norway with subs'!AB24</f>
        <v>279357.13184130163</v>
      </c>
      <c r="S23" s="3">
        <f>Spain!O23</f>
        <v>23990.741739556979</v>
      </c>
      <c r="T23" s="3">
        <f>Sweden!N23</f>
        <v>229376.80752608649</v>
      </c>
      <c r="U23" s="3">
        <f>Switzerland!N23</f>
        <v>29927.238796742866</v>
      </c>
      <c r="V23" s="3">
        <f>Britain!P23</f>
        <v>22983.876545046292</v>
      </c>
      <c r="W23" s="3">
        <f>USA!O23</f>
        <v>27481.287965735773</v>
      </c>
      <c r="Y23" s="3">
        <v>2029</v>
      </c>
      <c r="Z23" s="84">
        <f>Australia!W23</f>
        <v>1.35</v>
      </c>
      <c r="AA23" s="84">
        <f>Austria!AX23</f>
        <v>0</v>
      </c>
      <c r="AB23" s="84">
        <f>Belgium!AS23</f>
        <v>0</v>
      </c>
      <c r="AC23" s="84">
        <f>Canada!AV23</f>
        <v>0</v>
      </c>
      <c r="AD23" s="84">
        <f>China!AU23</f>
        <v>0</v>
      </c>
      <c r="AE23" s="84">
        <f>Denmark!AU23</f>
        <v>0</v>
      </c>
      <c r="AF23" s="84">
        <f>Finland!AT23</f>
        <v>0</v>
      </c>
      <c r="AG23" s="84">
        <f>France!AU23</f>
        <v>0</v>
      </c>
      <c r="AH23" s="84">
        <f>Germany!AV23</f>
        <v>0</v>
      </c>
      <c r="AI23" s="84">
        <f>India!AT23</f>
        <v>0</v>
      </c>
      <c r="AJ23" s="84">
        <f>Ireland!AU23</f>
        <v>0</v>
      </c>
      <c r="AK23" s="84">
        <f>Italy!AT23</f>
        <v>0</v>
      </c>
      <c r="AL23" s="84">
        <f>Japan!AT23</f>
        <v>0</v>
      </c>
      <c r="AM23" s="84">
        <f>Korea!AV23</f>
        <v>0</v>
      </c>
      <c r="AN23" s="84">
        <f>'Netherlands '!AU24</f>
        <v>0</v>
      </c>
      <c r="AO23" s="84">
        <f>'New Zealand'!AT23</f>
        <v>0</v>
      </c>
      <c r="AP23" s="84">
        <f>'Norway with subs'!AZ24</f>
        <v>0</v>
      </c>
      <c r="AQ23" s="84">
        <f>Spain!AT23</f>
        <v>0</v>
      </c>
      <c r="AR23" s="84">
        <f>Sweden!AT23</f>
        <v>0</v>
      </c>
      <c r="AS23" s="84">
        <f>Switzerland!AU23</f>
        <v>0</v>
      </c>
      <c r="AT23" s="84">
        <f>Britain!AN23</f>
        <v>0</v>
      </c>
      <c r="AU23" s="84">
        <f>USA!AU23</f>
        <v>0</v>
      </c>
      <c r="AX23" s="3">
        <v>2029</v>
      </c>
      <c r="AY23" s="3">
        <f>Australia!BO23</f>
        <v>0</v>
      </c>
      <c r="AZ23" s="3">
        <f>Austria!BW23</f>
        <v>0</v>
      </c>
      <c r="BA23" s="3">
        <f>Belgium!BR23</f>
        <v>0</v>
      </c>
      <c r="BB23" s="3">
        <f>Canada!BU23</f>
        <v>0</v>
      </c>
      <c r="BC23" s="3">
        <f>China!BT23</f>
        <v>0</v>
      </c>
      <c r="BD23" s="3">
        <f>Denmark!BT23</f>
        <v>0</v>
      </c>
      <c r="BE23" s="3">
        <f>Finland!BS23</f>
        <v>0</v>
      </c>
      <c r="BF23" s="3">
        <f>France!BT23</f>
        <v>0</v>
      </c>
      <c r="BG23" s="3">
        <f>Germany!BU23</f>
        <v>0</v>
      </c>
      <c r="BH23" s="3">
        <f>India!BS23</f>
        <v>0</v>
      </c>
      <c r="BI23" s="3">
        <f>Ireland!BT23</f>
        <v>0</v>
      </c>
      <c r="BJ23" s="3">
        <f>Italy!BS23</f>
        <v>0</v>
      </c>
      <c r="BK23" s="3">
        <f>Japan!BS23</f>
        <v>0</v>
      </c>
      <c r="BL23" s="3">
        <f>Korea!BU23</f>
        <v>0</v>
      </c>
      <c r="BM23" s="3">
        <f>'Netherlands '!BT24</f>
        <v>0</v>
      </c>
      <c r="BN23" s="3">
        <f>'New Zealand'!BS23</f>
        <v>0</v>
      </c>
      <c r="BO23" s="3">
        <f>'Norway with subs'!BW24</f>
        <v>0</v>
      </c>
      <c r="BP23" s="3">
        <f>Spain!BS23</f>
        <v>0</v>
      </c>
      <c r="BQ23" s="3">
        <f>Sweden!BS23</f>
        <v>0</v>
      </c>
      <c r="BR23" s="3">
        <f>Switzerland!BT23</f>
        <v>0</v>
      </c>
      <c r="BS23" s="3">
        <f>Britain!BM23</f>
        <v>0</v>
      </c>
      <c r="BT23" s="3">
        <f>USA!BT23</f>
        <v>0</v>
      </c>
    </row>
    <row r="24" spans="1:72">
      <c r="A24" s="3">
        <v>2030</v>
      </c>
      <c r="B24" s="3">
        <f>Australia!O24</f>
        <v>41184.263431570427</v>
      </c>
      <c r="C24" s="3">
        <f>Austria!O24</f>
        <v>24455.399257197016</v>
      </c>
      <c r="D24" s="3">
        <f>Belgium!O24</f>
        <v>27733.392290639254</v>
      </c>
      <c r="E24" s="3">
        <f>Canada!O24</f>
        <v>37480.075332451212</v>
      </c>
      <c r="F24" s="3">
        <f>China!P24</f>
        <v>142186.01885511819</v>
      </c>
      <c r="G24" s="3">
        <f>Denmark!O24</f>
        <v>383823.20112926007</v>
      </c>
      <c r="H24" s="3">
        <f>Finland!O24</f>
        <v>26702.144321227464</v>
      </c>
      <c r="I24" s="3">
        <f>France!P24</f>
        <v>22916.167800775333</v>
      </c>
      <c r="J24" s="3">
        <f>Germany!Q24</f>
        <v>24354.60794231105</v>
      </c>
      <c r="K24" s="3">
        <f>India!O24</f>
        <v>2111502.4483804144</v>
      </c>
      <c r="L24" s="3">
        <f>Ireland!P24</f>
        <v>21745.580849723989</v>
      </c>
      <c r="M24" s="3">
        <f>Italy!N24</f>
        <v>27950.610408743712</v>
      </c>
      <c r="N24" s="3">
        <f>Japan!O24</f>
        <v>2313835.1565711917</v>
      </c>
      <c r="O24" s="3">
        <f>Korea!P24</f>
        <v>30.661570501743732</v>
      </c>
      <c r="P24" s="3">
        <f>'Netherlands '!P25</f>
        <v>27152.264763057083</v>
      </c>
      <c r="Q24" s="3">
        <f>'New Zealand'!M24</f>
        <v>46394.070514808744</v>
      </c>
      <c r="R24" s="3">
        <f>'Norway with subs'!AB25</f>
        <v>273286.59764015052</v>
      </c>
      <c r="S24" s="3">
        <f>Spain!O24</f>
        <v>23514.01552448298</v>
      </c>
      <c r="T24" s="3">
        <f>Sweden!N24</f>
        <v>223881.22038411011</v>
      </c>
      <c r="U24" s="3">
        <f>Switzerland!N24</f>
        <v>29276.634737564382</v>
      </c>
      <c r="V24" s="3">
        <f>Britain!P24</f>
        <v>22493.217852361682</v>
      </c>
      <c r="W24" s="3">
        <f>USA!O24</f>
        <v>26876.378716331703</v>
      </c>
      <c r="Y24" s="3">
        <v>2030</v>
      </c>
      <c r="Z24" s="84">
        <f>Australia!W24</f>
        <v>1.35</v>
      </c>
      <c r="AA24" s="84">
        <f>Austria!AX24</f>
        <v>0</v>
      </c>
      <c r="AB24" s="84">
        <f>Belgium!AS24</f>
        <v>0</v>
      </c>
      <c r="AC24" s="84">
        <f>Canada!AV24</f>
        <v>0</v>
      </c>
      <c r="AD24" s="84">
        <f>China!AU24</f>
        <v>0</v>
      </c>
      <c r="AE24" s="84">
        <f>Denmark!AU24</f>
        <v>0</v>
      </c>
      <c r="AF24" s="84">
        <f>Finland!AT24</f>
        <v>0</v>
      </c>
      <c r="AG24" s="84">
        <f>France!AU24</f>
        <v>0</v>
      </c>
      <c r="AH24" s="84">
        <f>Germany!AV24</f>
        <v>0</v>
      </c>
      <c r="AI24" s="84">
        <f>India!AT24</f>
        <v>0</v>
      </c>
      <c r="AJ24" s="84">
        <f>Ireland!AU24</f>
        <v>0</v>
      </c>
      <c r="AK24" s="84">
        <f>Italy!AT24</f>
        <v>0</v>
      </c>
      <c r="AL24" s="84">
        <f>Japan!AT24</f>
        <v>0</v>
      </c>
      <c r="AM24" s="84">
        <f>Korea!AV24</f>
        <v>0</v>
      </c>
      <c r="AN24" s="84">
        <f>'Netherlands '!AU25</f>
        <v>0</v>
      </c>
      <c r="AO24" s="84">
        <f>'New Zealand'!AT24</f>
        <v>0</v>
      </c>
      <c r="AP24" s="84">
        <f>'Norway with subs'!AZ25</f>
        <v>0</v>
      </c>
      <c r="AQ24" s="84">
        <f>Spain!AT24</f>
        <v>0</v>
      </c>
      <c r="AR24" s="84">
        <f>Sweden!AT24</f>
        <v>0</v>
      </c>
      <c r="AS24" s="84">
        <f>Switzerland!AU24</f>
        <v>0</v>
      </c>
      <c r="AT24" s="84">
        <f>Britain!AN24</f>
        <v>0</v>
      </c>
      <c r="AU24" s="84">
        <f>USA!AU24</f>
        <v>0</v>
      </c>
      <c r="AX24" s="3">
        <v>2030</v>
      </c>
      <c r="AY24" s="3">
        <f>Australia!BO24</f>
        <v>0</v>
      </c>
      <c r="AZ24" s="3">
        <f>Austria!BW24</f>
        <v>0</v>
      </c>
      <c r="BA24" s="3">
        <f>Belgium!BR24</f>
        <v>0</v>
      </c>
      <c r="BB24" s="3">
        <f>Canada!BU24</f>
        <v>0</v>
      </c>
      <c r="BC24" s="3">
        <f>China!BT24</f>
        <v>0</v>
      </c>
      <c r="BD24" s="3">
        <f>Denmark!BT24</f>
        <v>0</v>
      </c>
      <c r="BE24" s="3">
        <f>Finland!BS24</f>
        <v>0</v>
      </c>
      <c r="BF24" s="3">
        <f>France!BT24</f>
        <v>0</v>
      </c>
      <c r="BG24" s="3">
        <f>Germany!BU24</f>
        <v>0</v>
      </c>
      <c r="BH24" s="3">
        <f>India!BS24</f>
        <v>0</v>
      </c>
      <c r="BI24" s="3">
        <f>Ireland!BT24</f>
        <v>0</v>
      </c>
      <c r="BJ24" s="3">
        <f>Italy!BS24</f>
        <v>0</v>
      </c>
      <c r="BK24" s="3">
        <f>Japan!BS24</f>
        <v>0</v>
      </c>
      <c r="BL24" s="3">
        <f>Korea!BU24</f>
        <v>0</v>
      </c>
      <c r="BM24" s="3">
        <f>'Netherlands '!BT25</f>
        <v>0</v>
      </c>
      <c r="BN24" s="3">
        <f>'New Zealand'!BS24</f>
        <v>0</v>
      </c>
      <c r="BO24" s="3">
        <f>'Norway with subs'!BW25</f>
        <v>0</v>
      </c>
      <c r="BP24" s="3">
        <f>Spain!BS24</f>
        <v>0</v>
      </c>
      <c r="BQ24" s="3">
        <f>Sweden!BS24</f>
        <v>0</v>
      </c>
      <c r="BR24" s="3">
        <f>Switzerland!BT24</f>
        <v>0</v>
      </c>
      <c r="BS24" s="3">
        <f>Britain!BM24</f>
        <v>0</v>
      </c>
      <c r="BT24" s="3">
        <f>USA!BT24</f>
        <v>0</v>
      </c>
    </row>
    <row r="27" spans="1:72">
      <c r="B27" s="3" t="s">
        <v>366</v>
      </c>
      <c r="Z27" s="3" t="s">
        <v>914</v>
      </c>
      <c r="AY27" s="3" t="s">
        <v>366</v>
      </c>
    </row>
    <row r="28" spans="1:72">
      <c r="B28" s="168" t="s">
        <v>255</v>
      </c>
      <c r="C28" s="168" t="s">
        <v>539</v>
      </c>
      <c r="D28" s="168" t="s">
        <v>540</v>
      </c>
      <c r="E28" s="168" t="s">
        <v>238</v>
      </c>
      <c r="F28" s="168" t="s">
        <v>239</v>
      </c>
      <c r="G28" s="168" t="s">
        <v>541</v>
      </c>
      <c r="H28" s="168" t="s">
        <v>542</v>
      </c>
      <c r="I28" s="168" t="s">
        <v>240</v>
      </c>
      <c r="J28" s="168" t="s">
        <v>241</v>
      </c>
      <c r="K28" s="168" t="s">
        <v>242</v>
      </c>
      <c r="L28" s="168" t="s">
        <v>544</v>
      </c>
      <c r="M28" s="169" t="s">
        <v>538</v>
      </c>
      <c r="N28" s="168" t="s">
        <v>243</v>
      </c>
      <c r="O28" s="168" t="s">
        <v>244</v>
      </c>
      <c r="P28" s="168" t="s">
        <v>245</v>
      </c>
      <c r="Q28" s="170" t="s">
        <v>331</v>
      </c>
      <c r="R28" s="168" t="s">
        <v>246</v>
      </c>
      <c r="S28" s="168" t="s">
        <v>545</v>
      </c>
      <c r="T28" s="168" t="s">
        <v>247</v>
      </c>
      <c r="U28" s="168" t="s">
        <v>546</v>
      </c>
      <c r="V28" s="168" t="s">
        <v>248</v>
      </c>
      <c r="W28" s="168" t="s">
        <v>249</v>
      </c>
      <c r="X28" s="168"/>
      <c r="Z28" s="168" t="s">
        <v>255</v>
      </c>
      <c r="AA28" s="168" t="s">
        <v>539</v>
      </c>
      <c r="AB28" s="168" t="s">
        <v>540</v>
      </c>
      <c r="AC28" s="168" t="s">
        <v>238</v>
      </c>
      <c r="AD28" s="168" t="s">
        <v>239</v>
      </c>
      <c r="AE28" s="168" t="s">
        <v>541</v>
      </c>
      <c r="AF28" s="168" t="s">
        <v>542</v>
      </c>
      <c r="AG28" s="168" t="s">
        <v>240</v>
      </c>
      <c r="AH28" s="168" t="s">
        <v>241</v>
      </c>
      <c r="AI28" s="168" t="s">
        <v>242</v>
      </c>
      <c r="AJ28" s="168" t="s">
        <v>544</v>
      </c>
      <c r="AK28" s="169" t="s">
        <v>538</v>
      </c>
      <c r="AL28" s="168" t="s">
        <v>243</v>
      </c>
      <c r="AM28" s="168" t="s">
        <v>244</v>
      </c>
      <c r="AN28" s="168" t="s">
        <v>245</v>
      </c>
      <c r="AO28" s="170" t="s">
        <v>331</v>
      </c>
      <c r="AP28" s="168" t="s">
        <v>246</v>
      </c>
      <c r="AQ28" s="168" t="s">
        <v>545</v>
      </c>
      <c r="AR28" s="168" t="s">
        <v>247</v>
      </c>
      <c r="AS28" s="168" t="s">
        <v>546</v>
      </c>
      <c r="AT28" s="168" t="s">
        <v>248</v>
      </c>
      <c r="AU28" s="168" t="s">
        <v>249</v>
      </c>
      <c r="AY28" s="168" t="s">
        <v>255</v>
      </c>
      <c r="AZ28" s="168" t="s">
        <v>539</v>
      </c>
      <c r="BA28" s="168" t="s">
        <v>540</v>
      </c>
      <c r="BB28" s="168" t="s">
        <v>238</v>
      </c>
      <c r="BC28" s="168" t="s">
        <v>239</v>
      </c>
      <c r="BD28" s="168" t="s">
        <v>541</v>
      </c>
      <c r="BE28" s="168" t="s">
        <v>542</v>
      </c>
      <c r="BF28" s="168" t="s">
        <v>240</v>
      </c>
      <c r="BG28" s="168" t="s">
        <v>241</v>
      </c>
      <c r="BH28" s="168" t="s">
        <v>242</v>
      </c>
      <c r="BI28" s="168" t="s">
        <v>544</v>
      </c>
      <c r="BJ28" s="169" t="s">
        <v>538</v>
      </c>
      <c r="BK28" s="168" t="s">
        <v>243</v>
      </c>
      <c r="BL28" s="168" t="s">
        <v>244</v>
      </c>
      <c r="BM28" s="168" t="s">
        <v>245</v>
      </c>
      <c r="BN28" s="170" t="s">
        <v>331</v>
      </c>
      <c r="BO28" s="168" t="s">
        <v>246</v>
      </c>
      <c r="BP28" s="168" t="s">
        <v>545</v>
      </c>
      <c r="BQ28" s="168" t="s">
        <v>247</v>
      </c>
      <c r="BR28" s="168" t="s">
        <v>546</v>
      </c>
      <c r="BS28" s="168" t="s">
        <v>248</v>
      </c>
      <c r="BT28" s="168" t="s">
        <v>249</v>
      </c>
    </row>
    <row r="29" spans="1:72">
      <c r="A29" s="3">
        <v>2009</v>
      </c>
      <c r="B29" s="3">
        <f>Australia!P3</f>
        <v>45075.890373517621</v>
      </c>
      <c r="C29" s="3">
        <f>Austria!P3</f>
        <v>27012.449163204627</v>
      </c>
      <c r="D29" s="3">
        <f>Belgium!P3</f>
        <v>27225.469572897997</v>
      </c>
      <c r="E29" s="3">
        <f>Canada!P3</f>
        <v>40233.935326119863</v>
      </c>
      <c r="F29" s="3">
        <f>China!Q3</f>
        <v>210609.09402331882</v>
      </c>
      <c r="G29" s="3">
        <f>Denmark!P3</f>
        <v>204100.95397607581</v>
      </c>
      <c r="H29" s="3">
        <f>Finland!P3</f>
        <v>27612.332348841366</v>
      </c>
      <c r="I29" s="3">
        <f>France!Q3</f>
        <v>23710.503109435245</v>
      </c>
      <c r="J29" s="3">
        <f>Germany!R3</f>
        <v>27044.380743608912</v>
      </c>
      <c r="K29" s="3">
        <f>India!P3</f>
        <v>1766493.9963058305</v>
      </c>
      <c r="L29" s="3">
        <f>Ireland!Q3</f>
        <v>32535.003284505292</v>
      </c>
      <c r="M29" s="3">
        <f>Italy!O3</f>
        <v>27012.449163204627</v>
      </c>
      <c r="N29" s="3">
        <f>Japan!P3</f>
        <v>2800273.4888497833</v>
      </c>
      <c r="O29" s="3">
        <f>Korea!Q3</f>
        <v>55.131027072698338</v>
      </c>
      <c r="P29" s="3">
        <f>'Netherlands '!Q4</f>
        <v>25799.428753511253</v>
      </c>
      <c r="Q29" s="3">
        <f>'New Zealand'!N3</f>
        <v>59936.620545788144</v>
      </c>
      <c r="R29" s="3">
        <f>'Norway with subs'!AC4</f>
        <v>297343.94167259504</v>
      </c>
      <c r="S29" s="3">
        <f>Spain!P3</f>
        <v>25172.214470474653</v>
      </c>
      <c r="T29" s="3">
        <f>Sweden!O3</f>
        <v>283120.28276710183</v>
      </c>
      <c r="U29" s="3">
        <f>Switzerland!O3</f>
        <v>38366.489686100416</v>
      </c>
      <c r="V29" s="3">
        <f>Britain!Q3</f>
        <v>23045.440014279044</v>
      </c>
      <c r="W29" s="3">
        <f>USA!P3</f>
        <v>28507.036126651554</v>
      </c>
      <c r="Y29" s="3">
        <v>2009</v>
      </c>
      <c r="Z29" s="84">
        <f>Z3</f>
        <v>1.28218881008452</v>
      </c>
      <c r="AA29" s="84">
        <f>Austria!AY3</f>
        <v>0</v>
      </c>
      <c r="AB29" s="84">
        <f>Belgium!AT3</f>
        <v>0</v>
      </c>
      <c r="AC29" s="84">
        <f>Canada!AW3</f>
        <v>0</v>
      </c>
      <c r="AD29" s="84">
        <f>China!AV3</f>
        <v>0</v>
      </c>
      <c r="AE29" s="84">
        <f>Denmark!AV3</f>
        <v>0</v>
      </c>
      <c r="AF29" s="84">
        <f>Finland!AU3</f>
        <v>0</v>
      </c>
      <c r="AG29" s="84">
        <f>France!AV3</f>
        <v>0</v>
      </c>
      <c r="AH29" s="84">
        <f>Germany!AW3</f>
        <v>0</v>
      </c>
      <c r="AI29" s="84">
        <f>India!AU3</f>
        <v>0</v>
      </c>
      <c r="AJ29" s="84">
        <f>Ireland!AV3</f>
        <v>0</v>
      </c>
      <c r="AK29" s="84">
        <f>Italy!AU3</f>
        <v>0</v>
      </c>
      <c r="AL29" s="84">
        <f>Japan!AU3</f>
        <v>0</v>
      </c>
      <c r="AM29" s="84">
        <f>Korea!AW3</f>
        <v>0</v>
      </c>
      <c r="AN29" s="84">
        <f>'Netherlands '!AV4</f>
        <v>0</v>
      </c>
      <c r="AO29" s="84">
        <f>'New Zealand'!AU3</f>
        <v>0</v>
      </c>
      <c r="AP29" s="84">
        <f>'Norway with subs'!BA4</f>
        <v>0</v>
      </c>
      <c r="AQ29" s="84">
        <f>Spain!AU3</f>
        <v>0</v>
      </c>
      <c r="AR29" s="84">
        <f>Sweden!AU3</f>
        <v>0</v>
      </c>
      <c r="AS29" s="84">
        <f>Switzerland!AV3</f>
        <v>0</v>
      </c>
      <c r="AT29" s="84">
        <f>Britain!AO3</f>
        <v>0</v>
      </c>
      <c r="AU29" s="84">
        <f>USA!AV3</f>
        <v>0</v>
      </c>
      <c r="AX29" s="3">
        <v>2009</v>
      </c>
      <c r="AY29" s="3">
        <f>Australia!BP3</f>
        <v>0</v>
      </c>
      <c r="AZ29" s="3">
        <f>Austria!BX3</f>
        <v>0</v>
      </c>
      <c r="BA29" s="3">
        <f>Belgium!BS3</f>
        <v>0</v>
      </c>
      <c r="BB29" s="3">
        <f>Canada!BV3</f>
        <v>0</v>
      </c>
      <c r="BC29" s="3">
        <f>China!BU3</f>
        <v>0</v>
      </c>
      <c r="BD29" s="3">
        <f>Denmark!BU3</f>
        <v>0</v>
      </c>
      <c r="BE29" s="3">
        <f>Finland!BT3</f>
        <v>0</v>
      </c>
      <c r="BF29" s="3">
        <f>France!BU3</f>
        <v>0</v>
      </c>
      <c r="BG29" s="3">
        <f>Germany!BV3</f>
        <v>0</v>
      </c>
      <c r="BH29" s="3">
        <f>India!BT3</f>
        <v>0</v>
      </c>
      <c r="BI29" s="3">
        <f>Ireland!BU3</f>
        <v>0</v>
      </c>
      <c r="BJ29" s="3">
        <f>Italy!BT3</f>
        <v>0</v>
      </c>
      <c r="BK29" s="3">
        <f>Japan!BT3</f>
        <v>0</v>
      </c>
      <c r="BL29" s="3">
        <f>Korea!BV3</f>
        <v>0</v>
      </c>
      <c r="BM29" s="3">
        <f>'Netherlands '!BU4</f>
        <v>0</v>
      </c>
      <c r="BN29" s="3">
        <f>'New Zealand'!BT3</f>
        <v>0</v>
      </c>
      <c r="BO29" s="3">
        <f>'Norway with subs'!BX4</f>
        <v>0</v>
      </c>
      <c r="BP29" s="3">
        <f>Spain!BT3</f>
        <v>0</v>
      </c>
      <c r="BQ29" s="3">
        <f>Sweden!BT3</f>
        <v>0</v>
      </c>
      <c r="BR29" s="3">
        <f>Switzerland!BU3</f>
        <v>0</v>
      </c>
      <c r="BS29" s="3">
        <f>Britain!BN3</f>
        <v>0</v>
      </c>
      <c r="BT29" s="3">
        <f>USA!BU3</f>
        <v>0</v>
      </c>
    </row>
    <row r="30" spans="1:72">
      <c r="A30" s="3">
        <v>2010</v>
      </c>
      <c r="B30" s="3">
        <f>Australia!P4</f>
        <v>39050.162600889547</v>
      </c>
      <c r="C30" s="3">
        <f>Austria!P4</f>
        <v>28762.166532298244</v>
      </c>
      <c r="D30" s="3">
        <f>Belgium!P4</f>
        <v>28989.767920067396</v>
      </c>
      <c r="E30" s="3">
        <f>Canada!P4</f>
        <v>35642.89205221802</v>
      </c>
      <c r="F30" s="3">
        <f>China!Q4</f>
        <v>212445.4735935402</v>
      </c>
      <c r="G30" s="3">
        <f>Denmark!P4</f>
        <v>216651.94500415513</v>
      </c>
      <c r="H30" s="3">
        <f>Finland!P4</f>
        <v>29400.588424990714</v>
      </c>
      <c r="I30" s="3">
        <f>France!Q4</f>
        <v>26017.057642362925</v>
      </c>
      <c r="J30" s="3">
        <f>Germany!R4</f>
        <v>29265.178870486016</v>
      </c>
      <c r="K30" s="3">
        <f>India!P4</f>
        <v>1411576.0750938365</v>
      </c>
      <c r="L30" s="3">
        <f>Ireland!Q4</f>
        <v>34662.732510213507</v>
      </c>
      <c r="M30" s="3">
        <f>Italy!O4</f>
        <v>28762.166532298244</v>
      </c>
      <c r="N30" s="3">
        <f>Japan!P4</f>
        <v>2628282.8865573313</v>
      </c>
      <c r="O30" s="3">
        <f>Korea!Q4</f>
        <v>50.484856771192412</v>
      </c>
      <c r="P30" s="3">
        <f>'Netherlands '!Q5</f>
        <v>27534.565144529093</v>
      </c>
      <c r="Q30" s="3">
        <f>'New Zealand'!N4</f>
        <v>53500.648086082998</v>
      </c>
      <c r="R30" s="3">
        <f>'Norway with subs'!AC5</f>
        <v>288358.57891409443</v>
      </c>
      <c r="S30" s="3">
        <f>Spain!P4</f>
        <v>26828.491646977647</v>
      </c>
      <c r="T30" s="3">
        <f>Sweden!O4</f>
        <v>269860.84898115863</v>
      </c>
      <c r="U30" s="3">
        <f>Switzerland!O4</f>
        <v>37439.309240117014</v>
      </c>
      <c r="V30" s="3">
        <f>Britain!Q4</f>
        <v>24050.409446251124</v>
      </c>
      <c r="W30" s="3">
        <f>USA!P4</f>
        <v>28999.053940831953</v>
      </c>
      <c r="Y30" s="3">
        <v>2010</v>
      </c>
      <c r="Z30" s="84">
        <f t="shared" ref="Z30:Z50" si="0">Z4</f>
        <v>1.087025445453969</v>
      </c>
      <c r="AA30" s="84">
        <f>Austria!AY4</f>
        <v>0</v>
      </c>
      <c r="AB30" s="84">
        <f>Belgium!AT4</f>
        <v>0</v>
      </c>
      <c r="AC30" s="84">
        <f>Canada!AW4</f>
        <v>0</v>
      </c>
      <c r="AD30" s="84">
        <f>China!AV4</f>
        <v>0</v>
      </c>
      <c r="AE30" s="84">
        <f>Denmark!AV4</f>
        <v>0</v>
      </c>
      <c r="AF30" s="84">
        <f>Finland!AU4</f>
        <v>0</v>
      </c>
      <c r="AG30" s="84">
        <f>France!AV4</f>
        <v>0</v>
      </c>
      <c r="AH30" s="84">
        <f>Germany!AW4</f>
        <v>0</v>
      </c>
      <c r="AI30" s="84">
        <f>India!AU4</f>
        <v>0</v>
      </c>
      <c r="AJ30" s="84">
        <f>Ireland!AV4</f>
        <v>0</v>
      </c>
      <c r="AK30" s="84">
        <f>Italy!AU4</f>
        <v>0</v>
      </c>
      <c r="AL30" s="84">
        <f>Japan!AU4</f>
        <v>0</v>
      </c>
      <c r="AM30" s="84">
        <f>Korea!AW4</f>
        <v>0</v>
      </c>
      <c r="AN30" s="84">
        <f>'Netherlands '!AV5</f>
        <v>0</v>
      </c>
      <c r="AO30" s="84">
        <f>'New Zealand'!AU4</f>
        <v>0</v>
      </c>
      <c r="AP30" s="84">
        <f>'Norway with subs'!BA5</f>
        <v>0</v>
      </c>
      <c r="AQ30" s="84">
        <f>Spain!AU4</f>
        <v>0</v>
      </c>
      <c r="AR30" s="84">
        <f>Sweden!AU4</f>
        <v>0</v>
      </c>
      <c r="AS30" s="84">
        <f>Switzerland!AV4</f>
        <v>0</v>
      </c>
      <c r="AT30" s="84">
        <f>Britain!AO4</f>
        <v>0</v>
      </c>
      <c r="AU30" s="84">
        <f>USA!AV4</f>
        <v>0</v>
      </c>
      <c r="AX30" s="3">
        <v>2010</v>
      </c>
      <c r="AY30" s="3">
        <f>Australia!BP4</f>
        <v>0</v>
      </c>
      <c r="AZ30" s="3">
        <f>Austria!BX4</f>
        <v>0</v>
      </c>
      <c r="BA30" s="3">
        <f>Belgium!BS4</f>
        <v>0</v>
      </c>
      <c r="BB30" s="3">
        <f>Canada!BV4</f>
        <v>0</v>
      </c>
      <c r="BC30" s="3">
        <f>China!BU4</f>
        <v>0</v>
      </c>
      <c r="BD30" s="3">
        <f>Denmark!BU4</f>
        <v>0</v>
      </c>
      <c r="BE30" s="3">
        <f>Finland!BT4</f>
        <v>0</v>
      </c>
      <c r="BF30" s="3">
        <f>France!BU4</f>
        <v>0</v>
      </c>
      <c r="BG30" s="3">
        <f>Germany!BV4</f>
        <v>0</v>
      </c>
      <c r="BH30" s="3">
        <f>India!BT4</f>
        <v>0</v>
      </c>
      <c r="BI30" s="3">
        <f>Ireland!BU4</f>
        <v>0</v>
      </c>
      <c r="BJ30" s="3">
        <f>Italy!BT4</f>
        <v>0</v>
      </c>
      <c r="BK30" s="3">
        <f>Japan!BT4</f>
        <v>0</v>
      </c>
      <c r="BL30" s="3">
        <f>Korea!BV4</f>
        <v>0</v>
      </c>
      <c r="BM30" s="3">
        <f>'Netherlands '!BU5</f>
        <v>0</v>
      </c>
      <c r="BN30" s="3">
        <f>'New Zealand'!BT4</f>
        <v>0</v>
      </c>
      <c r="BO30" s="3">
        <f>'Norway with subs'!BX5</f>
        <v>0</v>
      </c>
      <c r="BP30" s="3">
        <f>Spain!BT4</f>
        <v>0</v>
      </c>
      <c r="BQ30" s="3">
        <f>Sweden!BT4</f>
        <v>0</v>
      </c>
      <c r="BR30" s="3">
        <f>Switzerland!BU4</f>
        <v>0</v>
      </c>
      <c r="BS30" s="3">
        <f>Britain!BN4</f>
        <v>0</v>
      </c>
      <c r="BT30" s="3">
        <f>USA!BU4</f>
        <v>0</v>
      </c>
    </row>
    <row r="31" spans="1:72">
      <c r="A31" s="3">
        <v>2011</v>
      </c>
      <c r="B31" s="3">
        <f>Australia!P5</f>
        <v>34775.011410863139</v>
      </c>
      <c r="C31" s="3">
        <f>Austria!P5</f>
        <v>27205.879597376701</v>
      </c>
      <c r="D31" s="3">
        <f>Belgium!P5</f>
        <v>27420.511927354841</v>
      </c>
      <c r="E31" s="3">
        <f>Canada!P5</f>
        <v>34061.837522241643</v>
      </c>
      <c r="F31" s="3">
        <f>China!Q5</f>
        <v>205033.99757666042</v>
      </c>
      <c r="G31" s="3">
        <f>Denmark!P5</f>
        <v>206949.27796794617</v>
      </c>
      <c r="H31" s="3">
        <f>Finland!P5</f>
        <v>28022.555612943517</v>
      </c>
      <c r="I31" s="3">
        <f>France!Q5</f>
        <v>25043.084809363892</v>
      </c>
      <c r="J31" s="3">
        <f>Germany!R5</f>
        <v>28145.903682950651</v>
      </c>
      <c r="K31" s="3">
        <f>India!P5</f>
        <v>1445634.6305375791</v>
      </c>
      <c r="L31" s="3">
        <f>Ireland!Q5</f>
        <v>29350.975164394185</v>
      </c>
      <c r="M31" s="3">
        <f>Italy!O5</f>
        <v>27205.879597376701</v>
      </c>
      <c r="N31" s="3">
        <f>Japan!P5</f>
        <v>2395648.2241335865</v>
      </c>
      <c r="O31" s="3">
        <f>Korea!Q5</f>
        <v>36.26159528818247</v>
      </c>
      <c r="P31" s="3">
        <f>'Netherlands '!Q6</f>
        <v>25991.247267398561</v>
      </c>
      <c r="Q31" s="3">
        <f>'New Zealand'!N5</f>
        <v>49433.362440679368</v>
      </c>
      <c r="R31" s="3">
        <f>'Norway with subs'!AC6</f>
        <v>268114.29956432665</v>
      </c>
      <c r="S31" s="3">
        <f>Spain!P5</f>
        <v>25756.92031393608</v>
      </c>
      <c r="T31" s="3">
        <f>Sweden!O5</f>
        <v>243674.76869383975</v>
      </c>
      <c r="U31" s="3">
        <f>Switzerland!O5</f>
        <v>32318.274419469555</v>
      </c>
      <c r="V31" s="3">
        <f>Britain!Q5</f>
        <v>20866.171617136424</v>
      </c>
      <c r="W31" s="3">
        <f>USA!P5</f>
        <v>29110.042762846879</v>
      </c>
      <c r="Y31" s="3">
        <v>2011</v>
      </c>
      <c r="Z31" s="84">
        <f t="shared" si="0"/>
        <v>0.96091479088091858</v>
      </c>
      <c r="AA31" s="84">
        <f>Austria!AY5</f>
        <v>0</v>
      </c>
      <c r="AB31" s="84">
        <f>Belgium!AT5</f>
        <v>0</v>
      </c>
      <c r="AC31" s="84">
        <f>Canada!AW5</f>
        <v>0</v>
      </c>
      <c r="AD31" s="84">
        <f>China!AV5</f>
        <v>0</v>
      </c>
      <c r="AE31" s="84">
        <f>Denmark!AV5</f>
        <v>0</v>
      </c>
      <c r="AF31" s="84">
        <f>Finland!AU5</f>
        <v>0</v>
      </c>
      <c r="AG31" s="84">
        <f>France!AV5</f>
        <v>0</v>
      </c>
      <c r="AH31" s="84">
        <f>Germany!AW5</f>
        <v>0</v>
      </c>
      <c r="AI31" s="84">
        <f>India!AU5</f>
        <v>0</v>
      </c>
      <c r="AJ31" s="84">
        <f>Ireland!AV5</f>
        <v>0</v>
      </c>
      <c r="AK31" s="84">
        <f>Italy!AU5</f>
        <v>0</v>
      </c>
      <c r="AL31" s="84">
        <f>Japan!AU5</f>
        <v>0</v>
      </c>
      <c r="AM31" s="84">
        <f>Korea!AW5</f>
        <v>0</v>
      </c>
      <c r="AN31" s="84">
        <f>'Netherlands '!AV6</f>
        <v>0</v>
      </c>
      <c r="AO31" s="84">
        <f>'New Zealand'!AU5</f>
        <v>0</v>
      </c>
      <c r="AP31" s="84">
        <f>'Norway with subs'!BA6</f>
        <v>0</v>
      </c>
      <c r="AQ31" s="84">
        <f>Spain!AU5</f>
        <v>0</v>
      </c>
      <c r="AR31" s="84">
        <f>Sweden!AU5</f>
        <v>0</v>
      </c>
      <c r="AS31" s="84">
        <f>Switzerland!AV5</f>
        <v>0</v>
      </c>
      <c r="AT31" s="84">
        <f>Britain!AO5</f>
        <v>0</v>
      </c>
      <c r="AU31" s="84">
        <f>USA!AV5</f>
        <v>0</v>
      </c>
      <c r="AX31" s="3">
        <v>2011</v>
      </c>
      <c r="AY31" s="3">
        <f>Australia!BP5</f>
        <v>0</v>
      </c>
      <c r="AZ31" s="3">
        <f>Austria!BX5</f>
        <v>0</v>
      </c>
      <c r="BA31" s="3">
        <f>Belgium!BS5</f>
        <v>0</v>
      </c>
      <c r="BB31" s="3">
        <f>Canada!BV5</f>
        <v>0</v>
      </c>
      <c r="BC31" s="3">
        <f>China!BU5</f>
        <v>0</v>
      </c>
      <c r="BD31" s="3">
        <f>Denmark!BU5</f>
        <v>0</v>
      </c>
      <c r="BE31" s="3">
        <f>Finland!BT5</f>
        <v>0</v>
      </c>
      <c r="BF31" s="3">
        <f>France!BU5</f>
        <v>0</v>
      </c>
      <c r="BG31" s="3">
        <f>Germany!BV5</f>
        <v>0</v>
      </c>
      <c r="BH31" s="3">
        <f>India!BT5</f>
        <v>0</v>
      </c>
      <c r="BI31" s="3">
        <f>Ireland!BU5</f>
        <v>0</v>
      </c>
      <c r="BJ31" s="3">
        <f>Italy!BT5</f>
        <v>0</v>
      </c>
      <c r="BK31" s="3">
        <f>Japan!BT5</f>
        <v>0</v>
      </c>
      <c r="BL31" s="3">
        <f>Korea!BV5</f>
        <v>0</v>
      </c>
      <c r="BM31" s="3">
        <f>'Netherlands '!BU6</f>
        <v>0</v>
      </c>
      <c r="BN31" s="3">
        <f>'New Zealand'!BT5</f>
        <v>0</v>
      </c>
      <c r="BO31" s="3">
        <f>'Norway with subs'!BX6</f>
        <v>0</v>
      </c>
      <c r="BP31" s="3">
        <f>Spain!BT5</f>
        <v>0</v>
      </c>
      <c r="BQ31" s="3">
        <f>Sweden!BT5</f>
        <v>0</v>
      </c>
      <c r="BR31" s="3">
        <f>Switzerland!BU5</f>
        <v>0</v>
      </c>
      <c r="BS31" s="3">
        <f>Britain!BN5</f>
        <v>0</v>
      </c>
      <c r="BT31" s="3">
        <f>USA!BU5</f>
        <v>0</v>
      </c>
    </row>
    <row r="32" spans="1:72">
      <c r="A32" s="3">
        <v>2012</v>
      </c>
      <c r="B32" s="3">
        <f>Australia!P6</f>
        <v>35735.706114243818</v>
      </c>
      <c r="C32" s="3">
        <f>Austria!P6</f>
        <v>30092.757559327554</v>
      </c>
      <c r="D32" s="3">
        <f>Belgium!P6</f>
        <v>30331.447205655284</v>
      </c>
      <c r="E32" s="3">
        <f>Canada!P6</f>
        <v>34409.703891085548</v>
      </c>
      <c r="F32" s="3">
        <f>China!Q6</f>
        <v>207166.46636119499</v>
      </c>
      <c r="G32" s="3">
        <f>Denmark!P6</f>
        <v>229362.34973450148</v>
      </c>
      <c r="H32" s="3">
        <f>Finland!P6</f>
        <v>31049.12227651618</v>
      </c>
      <c r="I32" s="3">
        <f>France!Q6</f>
        <v>28366.8214713456</v>
      </c>
      <c r="J32" s="3">
        <f>Germany!R6</f>
        <v>31611.95514228618</v>
      </c>
      <c r="K32" s="3">
        <f>India!P6</f>
        <v>1691874.0197418598</v>
      </c>
      <c r="L32" s="3">
        <f>Ireland!Q6</f>
        <v>32722.984527922348</v>
      </c>
      <c r="M32" s="3">
        <f>Italy!O6</f>
        <v>30331.447205655284</v>
      </c>
      <c r="N32" s="3">
        <f>Japan!P6</f>
        <v>2465980.0739915576</v>
      </c>
      <c r="O32" s="3">
        <f>Korea!Q6</f>
        <v>38.140073021524948</v>
      </c>
      <c r="P32" s="3">
        <f>'Netherlands '!Q7</f>
        <v>28854.067912999824</v>
      </c>
      <c r="Q32" s="3">
        <f>'New Zealand'!N6</f>
        <v>49894.346866534601</v>
      </c>
      <c r="R32" s="3">
        <f>'Norway with subs'!AC7</f>
        <v>283438.09547253331</v>
      </c>
      <c r="S32" s="3">
        <f>Spain!P6</f>
        <v>28758.642006047419</v>
      </c>
      <c r="T32" s="3">
        <f>Sweden!O6</f>
        <v>220023.37320749619</v>
      </c>
      <c r="U32" s="3">
        <f>Switzerland!O6</f>
        <v>35091.713825923427</v>
      </c>
      <c r="V32" s="3">
        <f>Britain!Q6</f>
        <v>21760.418409675913</v>
      </c>
      <c r="W32" s="3">
        <f>USA!P6</f>
        <v>30073.02857829885</v>
      </c>
      <c r="Y32" s="3">
        <v>2012</v>
      </c>
      <c r="Z32" s="84">
        <f t="shared" si="0"/>
        <v>0.96223237911955739</v>
      </c>
      <c r="AA32" s="84">
        <f>Austria!AY6</f>
        <v>0</v>
      </c>
      <c r="AB32" s="84">
        <f>Belgium!AT6</f>
        <v>0</v>
      </c>
      <c r="AC32" s="84">
        <f>Canada!AW6</f>
        <v>0</v>
      </c>
      <c r="AD32" s="84">
        <f>China!AV6</f>
        <v>0</v>
      </c>
      <c r="AE32" s="84">
        <f>Denmark!AV6</f>
        <v>0</v>
      </c>
      <c r="AF32" s="84">
        <f>Finland!AU6</f>
        <v>0</v>
      </c>
      <c r="AG32" s="84">
        <f>France!AV6</f>
        <v>0</v>
      </c>
      <c r="AH32" s="84">
        <f>Germany!AW6</f>
        <v>0</v>
      </c>
      <c r="AI32" s="84">
        <f>India!AU6</f>
        <v>0</v>
      </c>
      <c r="AJ32" s="84">
        <f>Ireland!AV6</f>
        <v>0</v>
      </c>
      <c r="AK32" s="84">
        <f>Italy!AU6</f>
        <v>0</v>
      </c>
      <c r="AL32" s="84">
        <f>Japan!AU6</f>
        <v>0</v>
      </c>
      <c r="AM32" s="84">
        <f>Korea!AW6</f>
        <v>0</v>
      </c>
      <c r="AN32" s="84">
        <f>'Netherlands '!AV7</f>
        <v>0</v>
      </c>
      <c r="AO32" s="84">
        <f>'New Zealand'!AU6</f>
        <v>0</v>
      </c>
      <c r="AP32" s="84">
        <f>'Norway with subs'!BA7</f>
        <v>0</v>
      </c>
      <c r="AQ32" s="84">
        <f>Spain!AU6</f>
        <v>0</v>
      </c>
      <c r="AR32" s="84">
        <f>Sweden!AU6</f>
        <v>0</v>
      </c>
      <c r="AS32" s="84">
        <f>Switzerland!AV6</f>
        <v>0</v>
      </c>
      <c r="AT32" s="84">
        <f>Britain!AO6</f>
        <v>0</v>
      </c>
      <c r="AU32" s="84">
        <f>USA!AV6</f>
        <v>0</v>
      </c>
      <c r="AX32" s="3">
        <v>2012</v>
      </c>
      <c r="AY32" s="3">
        <f>Australia!BP6</f>
        <v>0</v>
      </c>
      <c r="AZ32" s="3">
        <f>Austria!BX6</f>
        <v>0</v>
      </c>
      <c r="BA32" s="3">
        <f>Belgium!BS6</f>
        <v>0</v>
      </c>
      <c r="BB32" s="3">
        <f>Canada!BV6</f>
        <v>0</v>
      </c>
      <c r="BC32" s="3">
        <f>China!BU6</f>
        <v>0</v>
      </c>
      <c r="BD32" s="3">
        <f>Denmark!BU6</f>
        <v>0</v>
      </c>
      <c r="BE32" s="3">
        <f>Finland!BT6</f>
        <v>0</v>
      </c>
      <c r="BF32" s="3">
        <f>France!BU6</f>
        <v>0</v>
      </c>
      <c r="BG32" s="3">
        <f>Germany!BV6</f>
        <v>0</v>
      </c>
      <c r="BH32" s="3">
        <f>India!BT6</f>
        <v>0</v>
      </c>
      <c r="BI32" s="3">
        <f>Ireland!BU6</f>
        <v>0</v>
      </c>
      <c r="BJ32" s="3">
        <f>Italy!BT6</f>
        <v>0</v>
      </c>
      <c r="BK32" s="3">
        <f>Japan!BT6</f>
        <v>0</v>
      </c>
      <c r="BL32" s="3">
        <f>Korea!BV6</f>
        <v>0</v>
      </c>
      <c r="BM32" s="3">
        <f>'Netherlands '!BU7</f>
        <v>0</v>
      </c>
      <c r="BN32" s="3">
        <f>'New Zealand'!BT6</f>
        <v>0</v>
      </c>
      <c r="BO32" s="3">
        <f>'Norway with subs'!BX7</f>
        <v>0</v>
      </c>
      <c r="BP32" s="3">
        <f>Spain!BT6</f>
        <v>0</v>
      </c>
      <c r="BQ32" s="3">
        <f>Sweden!BT6</f>
        <v>0</v>
      </c>
      <c r="BR32" s="3">
        <f>Switzerland!BU6</f>
        <v>0</v>
      </c>
      <c r="BS32" s="3">
        <f>Britain!BN6</f>
        <v>0</v>
      </c>
      <c r="BT32" s="3">
        <f>USA!BU6</f>
        <v>0</v>
      </c>
    </row>
    <row r="33" spans="1:72">
      <c r="A33" s="3">
        <v>2013</v>
      </c>
      <c r="B33" s="3">
        <f>Australia!P7</f>
        <v>38857.40912069843</v>
      </c>
      <c r="C33" s="3">
        <f>Austria!P7</f>
        <v>29541.902656778773</v>
      </c>
      <c r="D33" s="3">
        <f>Belgium!P7</f>
        <v>29776.001845585262</v>
      </c>
      <c r="E33" s="3">
        <f>Canada!P7</f>
        <v>36010.351199800985</v>
      </c>
      <c r="F33" s="3">
        <f>China!Q7</f>
        <v>206632.14142241271</v>
      </c>
      <c r="G33" s="3">
        <f>Denmark!P7</f>
        <v>224513.56367980185</v>
      </c>
      <c r="H33" s="3">
        <f>Finland!P7</f>
        <v>30711.692563343648</v>
      </c>
      <c r="I33" s="3">
        <f>France!Q7</f>
        <v>27704.17979138712</v>
      </c>
      <c r="J33" s="3">
        <f>Germany!R7</f>
        <v>28259.370955318773</v>
      </c>
      <c r="K33" s="3">
        <f>India!P7</f>
        <v>2299738.3444620376</v>
      </c>
      <c r="L33" s="3">
        <f>Ireland!Q7</f>
        <v>32148.784361211234</v>
      </c>
      <c r="M33" s="3">
        <f>Italy!O7</f>
        <v>29776.001845585262</v>
      </c>
      <c r="N33" s="3">
        <f>Japan!P7</f>
        <v>2209716.1744277808</v>
      </c>
      <c r="O33" s="3">
        <f>Korea!Q7</f>
        <v>37.522473476007185</v>
      </c>
      <c r="P33" s="3">
        <f>'Netherlands '!Q8</f>
        <v>28776.001845585262</v>
      </c>
      <c r="Q33" s="3">
        <f>'New Zealand'!N7</f>
        <v>50016.86620387085</v>
      </c>
      <c r="R33" s="3">
        <f>'Norway with subs'!AC8</f>
        <v>201456.04430307265</v>
      </c>
      <c r="S33" s="3">
        <f>Spain!P7</f>
        <v>28925.11045217764</v>
      </c>
      <c r="T33" s="3">
        <f>Sweden!O7</f>
        <v>212552.69581379471</v>
      </c>
      <c r="U33" s="3">
        <f>Switzerland!O7</f>
        <v>33972.787385640957</v>
      </c>
      <c r="V33" s="3">
        <f>Britain!Q7</f>
        <v>22493.193492230574</v>
      </c>
      <c r="W33" s="3">
        <f>USA!P7</f>
        <v>30440.982563772071</v>
      </c>
      <c r="Y33" s="3">
        <v>2013</v>
      </c>
      <c r="Z33" s="84">
        <f t="shared" si="0"/>
        <v>1.0416214574020224</v>
      </c>
      <c r="AA33" s="84">
        <f>Austria!AY7</f>
        <v>0</v>
      </c>
      <c r="AB33" s="84">
        <f>Belgium!AT7</f>
        <v>0</v>
      </c>
      <c r="AC33" s="84">
        <f>Canada!AW7</f>
        <v>0</v>
      </c>
      <c r="AD33" s="84">
        <f>China!AV7</f>
        <v>0</v>
      </c>
      <c r="AE33" s="84">
        <f>Denmark!AV7</f>
        <v>0</v>
      </c>
      <c r="AF33" s="84">
        <f>Finland!AU7</f>
        <v>0</v>
      </c>
      <c r="AG33" s="84">
        <f>France!AV7</f>
        <v>0</v>
      </c>
      <c r="AH33" s="84">
        <f>Germany!AW7</f>
        <v>0</v>
      </c>
      <c r="AI33" s="84">
        <f>India!AU7</f>
        <v>0</v>
      </c>
      <c r="AJ33" s="84">
        <f>Ireland!AV7</f>
        <v>0</v>
      </c>
      <c r="AK33" s="84">
        <f>Italy!AU7</f>
        <v>0</v>
      </c>
      <c r="AL33" s="84">
        <f>Japan!AU7</f>
        <v>0</v>
      </c>
      <c r="AM33" s="84">
        <f>Korea!AW7</f>
        <v>0</v>
      </c>
      <c r="AN33" s="84">
        <f>'Netherlands '!AV8</f>
        <v>0</v>
      </c>
      <c r="AO33" s="84">
        <f>'New Zealand'!AU7</f>
        <v>0</v>
      </c>
      <c r="AP33" s="84">
        <f>'Norway with subs'!BA8</f>
        <v>0</v>
      </c>
      <c r="AQ33" s="84">
        <f>Spain!AU7</f>
        <v>0</v>
      </c>
      <c r="AR33" s="84">
        <f>Sweden!AU7</f>
        <v>2011</v>
      </c>
      <c r="AS33" s="84">
        <f>Switzerland!AV7</f>
        <v>0</v>
      </c>
      <c r="AT33" s="84">
        <f>Britain!AO7</f>
        <v>0</v>
      </c>
      <c r="AU33" s="84">
        <f>USA!AV7</f>
        <v>0</v>
      </c>
      <c r="AX33" s="3">
        <v>2013</v>
      </c>
      <c r="AY33" s="3">
        <f>Australia!BP7</f>
        <v>0</v>
      </c>
      <c r="AZ33" s="3">
        <f>Austria!BX7</f>
        <v>0</v>
      </c>
      <c r="BA33" s="3">
        <f>Belgium!BS7</f>
        <v>0</v>
      </c>
      <c r="BB33" s="3">
        <f>Canada!BV7</f>
        <v>0</v>
      </c>
      <c r="BC33" s="3">
        <f>China!BU7</f>
        <v>0</v>
      </c>
      <c r="BD33" s="3">
        <f>Denmark!BU7</f>
        <v>0</v>
      </c>
      <c r="BE33" s="3">
        <f>Finland!BT7</f>
        <v>0</v>
      </c>
      <c r="BF33" s="3">
        <f>France!BU7</f>
        <v>0</v>
      </c>
      <c r="BG33" s="3">
        <f>Germany!BV7</f>
        <v>0</v>
      </c>
      <c r="BH33" s="3">
        <f>India!BT7</f>
        <v>0</v>
      </c>
      <c r="BI33" s="3">
        <f>Ireland!BU7</f>
        <v>0</v>
      </c>
      <c r="BJ33" s="3">
        <f>Italy!BT7</f>
        <v>0</v>
      </c>
      <c r="BK33" s="3">
        <f>Japan!BT7</f>
        <v>0</v>
      </c>
      <c r="BL33" s="3">
        <f>Korea!BV7</f>
        <v>0</v>
      </c>
      <c r="BM33" s="3">
        <f>'Netherlands '!BU8</f>
        <v>0</v>
      </c>
      <c r="BN33" s="3">
        <f>'New Zealand'!BT7</f>
        <v>0</v>
      </c>
      <c r="BO33" s="3">
        <f>'Norway with subs'!BX8</f>
        <v>0</v>
      </c>
      <c r="BP33" s="3">
        <f>Spain!BT7</f>
        <v>0</v>
      </c>
      <c r="BQ33" s="3">
        <f>Sweden!BT7</f>
        <v>0</v>
      </c>
      <c r="BR33" s="3">
        <f>Switzerland!BU7</f>
        <v>0</v>
      </c>
      <c r="BS33" s="3">
        <f>Britain!BN7</f>
        <v>0</v>
      </c>
      <c r="BT33" s="3">
        <f>USA!BU7</f>
        <v>0</v>
      </c>
    </row>
    <row r="34" spans="1:72">
      <c r="A34" s="3">
        <v>2014</v>
      </c>
      <c r="B34" s="3">
        <f>Australia!P8</f>
        <v>44360.382904390346</v>
      </c>
      <c r="C34" s="3">
        <f>Austria!P8</f>
        <v>31934.941645743558</v>
      </c>
      <c r="D34" s="3">
        <f>Belgium!P8</f>
        <v>32188.982826124753</v>
      </c>
      <c r="E34" s="3">
        <f>Canada!P8</f>
        <v>41613.26240208064</v>
      </c>
      <c r="F34" s="3">
        <f>China!Q8</f>
        <v>224344.53390060822</v>
      </c>
      <c r="G34" s="3">
        <f>Denmark!P8</f>
        <v>241348.35953563821</v>
      </c>
      <c r="H34" s="3">
        <f>Finland!P8</f>
        <v>33186.275291072569</v>
      </c>
      <c r="I34" s="3">
        <f>France!Q8</f>
        <v>30133.297390536103</v>
      </c>
      <c r="J34" s="3">
        <f>Germany!R8</f>
        <v>30551.587412408502</v>
      </c>
      <c r="K34" s="3">
        <f>India!P8</f>
        <v>2402593.091663376</v>
      </c>
      <c r="L34" s="3">
        <f>Ireland!Q8</f>
        <v>34597.908791762246</v>
      </c>
      <c r="M34" s="3">
        <f>Italy!O8</f>
        <v>29443.024006505952</v>
      </c>
      <c r="N34" s="3">
        <f>Japan!P8</f>
        <v>2909235.0625468153</v>
      </c>
      <c r="O34" s="3">
        <f>Korea!Q8</f>
        <v>39.153771010553456</v>
      </c>
      <c r="P34" s="3">
        <f>'Netherlands '!Q9</f>
        <v>31755.14754764954</v>
      </c>
      <c r="Q34" s="3">
        <f>'New Zealand'!N8</f>
        <v>52991.355464014319</v>
      </c>
      <c r="R34" s="3">
        <f>'Norway with subs'!AC9</f>
        <v>231524.38021688431</v>
      </c>
      <c r="S34" s="3">
        <f>Spain!P8</f>
        <v>31429.925632937029</v>
      </c>
      <c r="T34" s="3">
        <f>Sweden!O8</f>
        <v>246254.9913137728</v>
      </c>
      <c r="U34" s="3">
        <f>Switzerland!O8</f>
        <v>36147.870763402032</v>
      </c>
      <c r="V34" s="3">
        <f>Britain!Q8</f>
        <v>23081.72719055969</v>
      </c>
      <c r="W34" s="3">
        <f>USA!P8</f>
        <v>33038.263865308909</v>
      </c>
      <c r="Y34" s="3">
        <v>2014</v>
      </c>
      <c r="Z34" s="84">
        <f t="shared" si="0"/>
        <v>1.1123470522803114</v>
      </c>
      <c r="AA34" s="84">
        <f>Austria!AY8</f>
        <v>0</v>
      </c>
      <c r="AB34" s="84">
        <f>Belgium!AT8</f>
        <v>0</v>
      </c>
      <c r="AC34" s="84">
        <f>Canada!AW8</f>
        <v>0</v>
      </c>
      <c r="AD34" s="84">
        <f>China!AV8</f>
        <v>0</v>
      </c>
      <c r="AE34" s="84">
        <f>Denmark!AV8</f>
        <v>0</v>
      </c>
      <c r="AF34" s="84">
        <f>Finland!AU8</f>
        <v>0</v>
      </c>
      <c r="AG34" s="84">
        <f>France!AV8</f>
        <v>0</v>
      </c>
      <c r="AH34" s="84">
        <f>Germany!AW8</f>
        <v>0</v>
      </c>
      <c r="AI34" s="84">
        <f>India!AU8</f>
        <v>0</v>
      </c>
      <c r="AJ34" s="84">
        <f>Ireland!AV8</f>
        <v>0</v>
      </c>
      <c r="AK34" s="84">
        <f>Italy!AU8</f>
        <v>0</v>
      </c>
      <c r="AL34" s="84">
        <f>Japan!AU8</f>
        <v>0</v>
      </c>
      <c r="AM34" s="84">
        <f>Korea!AW8</f>
        <v>0</v>
      </c>
      <c r="AN34" s="84">
        <f>'Netherlands '!AV9</f>
        <v>0</v>
      </c>
      <c r="AO34" s="84">
        <f>'New Zealand'!AU8</f>
        <v>0</v>
      </c>
      <c r="AP34" s="84">
        <f>'Norway with subs'!BA9</f>
        <v>0</v>
      </c>
      <c r="AQ34" s="84">
        <f>Spain!AU8</f>
        <v>0</v>
      </c>
      <c r="AR34" s="84">
        <f>Sweden!AU8</f>
        <v>2012</v>
      </c>
      <c r="AS34" s="84">
        <f>Switzerland!AV8</f>
        <v>0</v>
      </c>
      <c r="AT34" s="84">
        <f>Britain!AO8</f>
        <v>0</v>
      </c>
      <c r="AU34" s="84">
        <f>USA!AV8</f>
        <v>0</v>
      </c>
      <c r="AX34" s="3">
        <v>2014</v>
      </c>
      <c r="AY34" s="3">
        <f>Australia!BP8</f>
        <v>0</v>
      </c>
      <c r="AZ34" s="3">
        <f>Austria!BX8</f>
        <v>0</v>
      </c>
      <c r="BA34" s="3">
        <f>Belgium!BS8</f>
        <v>0</v>
      </c>
      <c r="BB34" s="3">
        <f>Canada!BV8</f>
        <v>0</v>
      </c>
      <c r="BC34" s="3">
        <f>China!BU8</f>
        <v>0</v>
      </c>
      <c r="BD34" s="3">
        <f>Denmark!BU8</f>
        <v>0</v>
      </c>
      <c r="BE34" s="3">
        <f>Finland!BT8</f>
        <v>0</v>
      </c>
      <c r="BF34" s="3">
        <f>France!BU8</f>
        <v>0</v>
      </c>
      <c r="BG34" s="3">
        <f>Germany!BV8</f>
        <v>0</v>
      </c>
      <c r="BH34" s="3">
        <f>India!BT8</f>
        <v>0</v>
      </c>
      <c r="BI34" s="3">
        <f>Ireland!BU8</f>
        <v>0</v>
      </c>
      <c r="BJ34" s="3">
        <f>Italy!BT8</f>
        <v>0</v>
      </c>
      <c r="BK34" s="3">
        <f>Japan!BT8</f>
        <v>0</v>
      </c>
      <c r="BL34" s="3">
        <f>Korea!BV8</f>
        <v>0</v>
      </c>
      <c r="BM34" s="3">
        <f>'Netherlands '!BU9</f>
        <v>0</v>
      </c>
      <c r="BN34" s="3">
        <f>'New Zealand'!BT8</f>
        <v>0</v>
      </c>
      <c r="BO34" s="3">
        <f>'Norway with subs'!BX9</f>
        <v>0</v>
      </c>
      <c r="BP34" s="3">
        <f>Spain!BT8</f>
        <v>0</v>
      </c>
      <c r="BQ34" s="3">
        <f>Sweden!BT8</f>
        <v>0</v>
      </c>
      <c r="BR34" s="3">
        <f>Switzerland!BU8</f>
        <v>0</v>
      </c>
      <c r="BS34" s="3">
        <f>Britain!BN8</f>
        <v>0</v>
      </c>
      <c r="BT34" s="3">
        <f>USA!BU8</f>
        <v>0</v>
      </c>
    </row>
    <row r="35" spans="1:72">
      <c r="A35" s="3">
        <v>2015</v>
      </c>
      <c r="B35" s="3">
        <f>Australia!P9</f>
        <v>47612.93621201635</v>
      </c>
      <c r="C35" s="3">
        <f>Austria!P9</f>
        <v>34063.320234879102</v>
      </c>
      <c r="D35" s="3">
        <f>Belgium!P9</f>
        <v>34335.09790350309</v>
      </c>
      <c r="E35" s="3">
        <f>Canada!P9</f>
        <v>43341.926053953102</v>
      </c>
      <c r="F35" s="3">
        <f>China!Q9</f>
        <v>197623.48027872111</v>
      </c>
      <c r="G35" s="3">
        <f>Denmark!P9</f>
        <v>258024.35423433108</v>
      </c>
      <c r="H35" s="3">
        <f>Finland!P9</f>
        <v>35431.720796400899</v>
      </c>
      <c r="I35" s="3">
        <f>France!Q9</f>
        <v>31735.164338440813</v>
      </c>
      <c r="J35" s="3">
        <f>Germany!R9</f>
        <v>32389.741264707289</v>
      </c>
      <c r="K35" s="3">
        <f>India!P9</f>
        <v>2345300.4299529907</v>
      </c>
      <c r="L35" s="3">
        <f>Ireland!Q9</f>
        <v>31768.113240751074</v>
      </c>
      <c r="M35" s="3">
        <f>Italy!O9</f>
        <v>34606.875572127086</v>
      </c>
      <c r="N35" s="3">
        <f>Japan!P9</f>
        <v>3056798.6265457966</v>
      </c>
      <c r="O35" s="3">
        <f>Korea!Q9</f>
        <v>37.027898979275214</v>
      </c>
      <c r="P35" s="3">
        <f>'Netherlands '!Q10</f>
        <v>34787.54158387104</v>
      </c>
      <c r="Q35" s="3">
        <f>'New Zealand'!N9</f>
        <v>55324.116485142134</v>
      </c>
      <c r="R35" s="3">
        <f>'Norway with subs'!AC10</f>
        <v>264460.03782028198</v>
      </c>
      <c r="S35" s="3">
        <f>Spain!P9</f>
        <v>33650.387177622732</v>
      </c>
      <c r="T35" s="3">
        <f>Sweden!O9</f>
        <v>275236.41946580372</v>
      </c>
      <c r="U35" s="3">
        <f>Switzerland!O9</f>
        <v>33442.401408083824</v>
      </c>
      <c r="V35" s="3">
        <f>Britain!Q9</f>
        <v>22215.387305447552</v>
      </c>
      <c r="W35" s="3">
        <f>USA!P9</f>
        <v>29291.294431025563</v>
      </c>
      <c r="Y35" s="3">
        <v>2015</v>
      </c>
      <c r="Z35" s="84">
        <f t="shared" si="0"/>
        <v>1.3396146375226059</v>
      </c>
      <c r="AA35" s="84">
        <f>Austria!AY9</f>
        <v>0</v>
      </c>
      <c r="AB35" s="84">
        <f>Belgium!AT9</f>
        <v>0</v>
      </c>
      <c r="AC35" s="84">
        <f>Canada!AW9</f>
        <v>0</v>
      </c>
      <c r="AD35" s="84">
        <f>China!AV9</f>
        <v>0</v>
      </c>
      <c r="AE35" s="84">
        <f>Denmark!AV9</f>
        <v>0</v>
      </c>
      <c r="AF35" s="84">
        <f>Finland!AU9</f>
        <v>0</v>
      </c>
      <c r="AG35" s="84">
        <f>France!AV9</f>
        <v>0</v>
      </c>
      <c r="AH35" s="84">
        <f>Germany!AW9</f>
        <v>0</v>
      </c>
      <c r="AI35" s="84">
        <f>India!AU9</f>
        <v>0</v>
      </c>
      <c r="AJ35" s="84">
        <f>Ireland!AV9</f>
        <v>0</v>
      </c>
      <c r="AK35" s="84">
        <f>Italy!AU9</f>
        <v>0</v>
      </c>
      <c r="AL35" s="84">
        <f>Japan!AU9</f>
        <v>0</v>
      </c>
      <c r="AM35" s="84">
        <f>Korea!AW9</f>
        <v>0</v>
      </c>
      <c r="AN35" s="84">
        <f>'Netherlands '!AV10</f>
        <v>0</v>
      </c>
      <c r="AO35" s="84">
        <f>'New Zealand'!AU9</f>
        <v>0</v>
      </c>
      <c r="AP35" s="84">
        <f>'Norway with subs'!BA10</f>
        <v>0</v>
      </c>
      <c r="AQ35" s="84">
        <f>Spain!AU9</f>
        <v>0</v>
      </c>
      <c r="AR35" s="84">
        <f>Sweden!AU9</f>
        <v>2013</v>
      </c>
      <c r="AS35" s="84">
        <f>Switzerland!AV9</f>
        <v>0</v>
      </c>
      <c r="AT35" s="84">
        <f>Britain!AO9</f>
        <v>0</v>
      </c>
      <c r="AU35" s="84">
        <f>USA!AV9</f>
        <v>0</v>
      </c>
      <c r="AX35" s="3">
        <v>2015</v>
      </c>
      <c r="AY35" s="3">
        <f>Australia!BP9</f>
        <v>0</v>
      </c>
      <c r="AZ35" s="3">
        <f>Austria!BX9</f>
        <v>0</v>
      </c>
      <c r="BA35" s="3">
        <f>Belgium!BS9</f>
        <v>0</v>
      </c>
      <c r="BB35" s="3">
        <f>Canada!BV9</f>
        <v>0</v>
      </c>
      <c r="BC35" s="3">
        <f>China!BU9</f>
        <v>0</v>
      </c>
      <c r="BD35" s="3">
        <f>Denmark!BU9</f>
        <v>0</v>
      </c>
      <c r="BE35" s="3">
        <f>Finland!BT9</f>
        <v>0</v>
      </c>
      <c r="BF35" s="3">
        <f>France!BU9</f>
        <v>0</v>
      </c>
      <c r="BG35" s="3">
        <f>Germany!BV9</f>
        <v>0</v>
      </c>
      <c r="BH35" s="3">
        <f>India!BT9</f>
        <v>0</v>
      </c>
      <c r="BI35" s="3">
        <f>Ireland!BU9</f>
        <v>0</v>
      </c>
      <c r="BJ35" s="3">
        <f>Italy!BT9</f>
        <v>0</v>
      </c>
      <c r="BK35" s="3">
        <f>Japan!BT9</f>
        <v>0</v>
      </c>
      <c r="BL35" s="3">
        <f>Korea!BV9</f>
        <v>0</v>
      </c>
      <c r="BM35" s="3">
        <f>'Netherlands '!BU10</f>
        <v>0</v>
      </c>
      <c r="BN35" s="3">
        <f>'New Zealand'!BT9</f>
        <v>0</v>
      </c>
      <c r="BO35" s="3">
        <f>'Norway with subs'!BX10</f>
        <v>0</v>
      </c>
      <c r="BP35" s="3">
        <f>Spain!BT9</f>
        <v>0</v>
      </c>
      <c r="BQ35" s="3">
        <f>Sweden!BT9</f>
        <v>0</v>
      </c>
      <c r="BR35" s="3">
        <f>Switzerland!BU9</f>
        <v>0</v>
      </c>
      <c r="BS35" s="3">
        <f>Britain!BN9</f>
        <v>0</v>
      </c>
      <c r="BT35" s="3">
        <f>USA!BU9</f>
        <v>0</v>
      </c>
    </row>
    <row r="36" spans="1:72">
      <c r="A36" s="3">
        <v>2016</v>
      </c>
      <c r="B36" s="3">
        <f>Australia!P10</f>
        <v>47800.780190339538</v>
      </c>
      <c r="C36" s="3">
        <f>Austria!P10</f>
        <v>34092.894775190842</v>
      </c>
      <c r="D36" s="3">
        <f>Belgium!P10</f>
        <v>34364.918898317432</v>
      </c>
      <c r="E36" s="3">
        <f>Canada!P10</f>
        <v>44226.090507497378</v>
      </c>
      <c r="F36" s="3">
        <f>China!Q10</f>
        <v>211485.28230609477</v>
      </c>
      <c r="G36" s="3">
        <f>Denmark!P10</f>
        <v>329035.26903037704</v>
      </c>
      <c r="H36" s="3">
        <f>Finland!P10</f>
        <v>35412.505359047755</v>
      </c>
      <c r="I36" s="3">
        <f>France!Q10</f>
        <v>33541.260996424127</v>
      </c>
      <c r="J36" s="3">
        <f>Germany!R10</f>
        <v>32033.017678563534</v>
      </c>
      <c r="K36" s="3">
        <f>India!P10</f>
        <v>2512346.9352733344</v>
      </c>
      <c r="L36" s="3">
        <f>Ireland!Q10</f>
        <v>31798.427144570611</v>
      </c>
      <c r="M36" s="3">
        <f>Italy!O10</f>
        <v>34636.943021444022</v>
      </c>
      <c r="N36" s="3">
        <f>Japan!P10</f>
        <v>2741332.4247324816</v>
      </c>
      <c r="O36" s="3">
        <f>Korea!Q10</f>
        <v>36.207024202798934</v>
      </c>
      <c r="P36" s="3">
        <f>'Netherlands '!Q11</f>
        <v>36995.280745216289</v>
      </c>
      <c r="Q36" s="3">
        <f>'New Zealand'!N10</f>
        <v>54707.136577315032</v>
      </c>
      <c r="R36" s="3">
        <f>'Norway with subs'!AC11</f>
        <v>275424.44997296855</v>
      </c>
      <c r="S36" s="3">
        <f>Spain!P10</f>
        <v>33617.833483168739</v>
      </c>
      <c r="T36" s="3">
        <f>Sweden!O10</f>
        <v>300736.23884013738</v>
      </c>
      <c r="U36" s="3">
        <f>Switzerland!O10</f>
        <v>34176.214719242322</v>
      </c>
      <c r="V36" s="3">
        <f>Britain!Q10</f>
        <v>25509.387214294511</v>
      </c>
      <c r="W36" s="3">
        <f>USA!P10</f>
        <v>29333.716176470589</v>
      </c>
      <c r="Y36" s="3">
        <v>2016</v>
      </c>
      <c r="Z36" s="84">
        <f t="shared" si="0"/>
        <v>1.3451557578271249</v>
      </c>
      <c r="AA36" s="84">
        <f>Austria!AY10</f>
        <v>0</v>
      </c>
      <c r="AB36" s="84">
        <f>Belgium!AT10</f>
        <v>0</v>
      </c>
      <c r="AC36" s="84">
        <f>Canada!AW10</f>
        <v>0</v>
      </c>
      <c r="AD36" s="84">
        <f>China!AV10</f>
        <v>0</v>
      </c>
      <c r="AE36" s="84">
        <f>Denmark!AV10</f>
        <v>0</v>
      </c>
      <c r="AF36" s="84">
        <f>Finland!AU10</f>
        <v>0</v>
      </c>
      <c r="AG36" s="84">
        <f>France!AV10</f>
        <v>0</v>
      </c>
      <c r="AH36" s="84">
        <f>Germany!AW10</f>
        <v>0</v>
      </c>
      <c r="AI36" s="84">
        <f>India!AU10</f>
        <v>0</v>
      </c>
      <c r="AJ36" s="84">
        <f>Ireland!AV10</f>
        <v>0</v>
      </c>
      <c r="AK36" s="84">
        <f>Italy!AU10</f>
        <v>0</v>
      </c>
      <c r="AL36" s="84">
        <f>Japan!AU10</f>
        <v>0</v>
      </c>
      <c r="AM36" s="84">
        <f>Korea!AW10</f>
        <v>0</v>
      </c>
      <c r="AN36" s="84">
        <f>'Netherlands '!AV11</f>
        <v>0</v>
      </c>
      <c r="AO36" s="84">
        <f>'New Zealand'!AU10</f>
        <v>0</v>
      </c>
      <c r="AP36" s="84">
        <f>'Norway with subs'!BA11</f>
        <v>0</v>
      </c>
      <c r="AQ36" s="84">
        <f>Spain!AU10</f>
        <v>0</v>
      </c>
      <c r="AR36" s="84">
        <f>Sweden!AU10</f>
        <v>2014</v>
      </c>
      <c r="AS36" s="84">
        <f>Switzerland!AV10</f>
        <v>0</v>
      </c>
      <c r="AT36" s="84">
        <f>Britain!AO10</f>
        <v>0</v>
      </c>
      <c r="AU36" s="84">
        <f>USA!AV10</f>
        <v>0</v>
      </c>
      <c r="AX36" s="3">
        <v>2016</v>
      </c>
      <c r="AY36" s="3">
        <f>Australia!BP10</f>
        <v>0</v>
      </c>
      <c r="AZ36" s="3">
        <f>Austria!BX10</f>
        <v>0</v>
      </c>
      <c r="BA36" s="3">
        <f>Belgium!BS10</f>
        <v>0</v>
      </c>
      <c r="BB36" s="3">
        <f>Canada!BV10</f>
        <v>0</v>
      </c>
      <c r="BC36" s="3">
        <f>China!BU10</f>
        <v>0</v>
      </c>
      <c r="BD36" s="3">
        <f>Denmark!BU10</f>
        <v>0</v>
      </c>
      <c r="BE36" s="3">
        <f>Finland!BT10</f>
        <v>0</v>
      </c>
      <c r="BF36" s="3">
        <f>France!BU10</f>
        <v>0</v>
      </c>
      <c r="BG36" s="3">
        <f>Germany!BV10</f>
        <v>0</v>
      </c>
      <c r="BH36" s="3">
        <f>India!BT10</f>
        <v>0</v>
      </c>
      <c r="BI36" s="3">
        <f>Ireland!BU10</f>
        <v>0</v>
      </c>
      <c r="BJ36" s="3">
        <f>Italy!BT10</f>
        <v>0</v>
      </c>
      <c r="BK36" s="3">
        <f>Japan!BT10</f>
        <v>0</v>
      </c>
      <c r="BL36" s="3">
        <f>Korea!BV10</f>
        <v>0</v>
      </c>
      <c r="BM36" s="3">
        <f>'Netherlands '!BU11</f>
        <v>0</v>
      </c>
      <c r="BN36" s="3">
        <f>'New Zealand'!BT10</f>
        <v>0</v>
      </c>
      <c r="BO36" s="3">
        <f>'Norway with subs'!BX11</f>
        <v>0</v>
      </c>
      <c r="BP36" s="3">
        <f>Spain!BT10</f>
        <v>0</v>
      </c>
      <c r="BQ36" s="3">
        <f>Sweden!BT10</f>
        <v>0</v>
      </c>
      <c r="BR36" s="3">
        <f>Switzerland!BU10</f>
        <v>0</v>
      </c>
      <c r="BS36" s="3">
        <f>Britain!BN10</f>
        <v>0</v>
      </c>
      <c r="BT36" s="3">
        <f>USA!BU10</f>
        <v>0</v>
      </c>
    </row>
    <row r="37" spans="1:72">
      <c r="A37" s="3">
        <v>2017</v>
      </c>
      <c r="B37" s="3">
        <f>Australia!P11</f>
        <v>46274.62783592278</v>
      </c>
      <c r="C37" s="3">
        <f>Austria!P11</f>
        <v>31704.40421244231</v>
      </c>
      <c r="D37" s="3">
        <f>Belgium!P11</f>
        <v>33469.024247545996</v>
      </c>
      <c r="E37" s="3">
        <f>Canada!P11</f>
        <v>43344.150469132597</v>
      </c>
      <c r="F37" s="3">
        <f>China!Q11</f>
        <v>216374.29336149874</v>
      </c>
      <c r="G37" s="3">
        <f>Denmark!P11</f>
        <v>371774.06838648987</v>
      </c>
      <c r="H37" s="3">
        <f>Finland!P11</f>
        <v>34444.622648532328</v>
      </c>
      <c r="I37" s="3">
        <f>France!Q11</f>
        <v>32977.870933714708</v>
      </c>
      <c r="J37" s="3">
        <f>Germany!R11</f>
        <v>31466.68191602976</v>
      </c>
      <c r="K37" s="3">
        <f>India!P11</f>
        <v>2435970.4406134151</v>
      </c>
      <c r="L37" s="3">
        <f>Ireland!Q11</f>
        <v>30898.264317753368</v>
      </c>
      <c r="M37" s="3">
        <f>Italy!O11</f>
        <v>33733.644282649679</v>
      </c>
      <c r="N37" s="3">
        <f>Japan!P11</f>
        <v>2812574.8390013101</v>
      </c>
      <c r="O37" s="3">
        <f>Korea!Q11</f>
        <v>34.687546331432912</v>
      </c>
      <c r="P37" s="3">
        <f>'Netherlands '!Q12</f>
        <v>35988.324774101282</v>
      </c>
      <c r="Q37" s="3">
        <f>'New Zealand'!N11</f>
        <v>54131.794599334244</v>
      </c>
      <c r="R37" s="3">
        <f>'Norway with subs'!AC12</f>
        <v>271388.16799134261</v>
      </c>
      <c r="S37" s="3">
        <f>Spain!P11</f>
        <v>32725.969414288506</v>
      </c>
      <c r="T37" s="3">
        <f>Sweden!O11</f>
        <v>300248.22669781226</v>
      </c>
      <c r="U37" s="3">
        <f>Switzerland!O11</f>
        <v>34211.634416058143</v>
      </c>
      <c r="V37" s="3">
        <f>Britain!Q11</f>
        <v>26458.044594682451</v>
      </c>
      <c r="W37" s="3">
        <f>USA!P11</f>
        <v>29402.941176470587</v>
      </c>
      <c r="Y37" s="3">
        <v>2017</v>
      </c>
      <c r="Z37" s="84">
        <f t="shared" si="0"/>
        <v>1.3001365143340053</v>
      </c>
      <c r="AA37" s="84">
        <f>Austria!AY11</f>
        <v>0</v>
      </c>
      <c r="AB37" s="84">
        <f>Belgium!AT11</f>
        <v>0</v>
      </c>
      <c r="AC37" s="84">
        <f>Canada!AW11</f>
        <v>0</v>
      </c>
      <c r="AD37" s="84">
        <f>China!AV11</f>
        <v>0</v>
      </c>
      <c r="AE37" s="84">
        <f>Denmark!AV11</f>
        <v>0</v>
      </c>
      <c r="AF37" s="84">
        <f>Finland!AU11</f>
        <v>0</v>
      </c>
      <c r="AG37" s="84">
        <f>France!AV11</f>
        <v>0</v>
      </c>
      <c r="AH37" s="84">
        <f>Germany!AW11</f>
        <v>0</v>
      </c>
      <c r="AI37" s="84">
        <f>India!AU11</f>
        <v>0</v>
      </c>
      <c r="AJ37" s="84">
        <f>Ireland!AV11</f>
        <v>0</v>
      </c>
      <c r="AK37" s="84">
        <f>Italy!AU11</f>
        <v>0</v>
      </c>
      <c r="AL37" s="84">
        <f>Japan!AU11</f>
        <v>0</v>
      </c>
      <c r="AM37" s="84">
        <f>Korea!AW11</f>
        <v>0</v>
      </c>
      <c r="AN37" s="84">
        <f>'Netherlands '!AV12</f>
        <v>0</v>
      </c>
      <c r="AO37" s="84">
        <f>'New Zealand'!AU11</f>
        <v>0</v>
      </c>
      <c r="AP37" s="84">
        <f>'Norway with subs'!BA12</f>
        <v>0</v>
      </c>
      <c r="AQ37" s="84">
        <f>Spain!AU11</f>
        <v>0</v>
      </c>
      <c r="AR37" s="84">
        <f>Sweden!AU11</f>
        <v>2015</v>
      </c>
      <c r="AS37" s="84">
        <f>Switzerland!AV11</f>
        <v>0</v>
      </c>
      <c r="AT37" s="84">
        <f>Britain!AO11</f>
        <v>0</v>
      </c>
      <c r="AU37" s="84">
        <f>USA!AV11</f>
        <v>0</v>
      </c>
      <c r="AX37" s="3">
        <v>2017</v>
      </c>
      <c r="AY37" s="3">
        <f>Australia!BP11</f>
        <v>0</v>
      </c>
      <c r="AZ37" s="3">
        <f>Austria!BX11</f>
        <v>0</v>
      </c>
      <c r="BA37" s="3">
        <f>Belgium!BS11</f>
        <v>0</v>
      </c>
      <c r="BB37" s="3">
        <f>Canada!BV11</f>
        <v>0</v>
      </c>
      <c r="BC37" s="3">
        <f>China!BU11</f>
        <v>0</v>
      </c>
      <c r="BD37" s="3">
        <f>Denmark!BU11</f>
        <v>0</v>
      </c>
      <c r="BE37" s="3">
        <f>Finland!BT11</f>
        <v>0</v>
      </c>
      <c r="BF37" s="3">
        <f>France!BU11</f>
        <v>0</v>
      </c>
      <c r="BG37" s="3">
        <f>Germany!BV11</f>
        <v>0</v>
      </c>
      <c r="BH37" s="3">
        <f>India!BT11</f>
        <v>0</v>
      </c>
      <c r="BI37" s="3">
        <f>Ireland!BU11</f>
        <v>0</v>
      </c>
      <c r="BJ37" s="3">
        <f>Italy!BT11</f>
        <v>0</v>
      </c>
      <c r="BK37" s="3">
        <f>Japan!BT11</f>
        <v>0</v>
      </c>
      <c r="BL37" s="3">
        <f>Korea!BV11</f>
        <v>0</v>
      </c>
      <c r="BM37" s="3">
        <f>'Netherlands '!BU12</f>
        <v>0</v>
      </c>
      <c r="BN37" s="3">
        <f>'New Zealand'!BT11</f>
        <v>0</v>
      </c>
      <c r="BO37" s="3">
        <f>'Norway with subs'!BX12</f>
        <v>0</v>
      </c>
      <c r="BP37" s="3">
        <f>Spain!BT11</f>
        <v>0</v>
      </c>
      <c r="BQ37" s="3">
        <f>Sweden!BT11</f>
        <v>0</v>
      </c>
      <c r="BR37" s="3">
        <f>Switzerland!BU11</f>
        <v>0</v>
      </c>
      <c r="BS37" s="3">
        <f>Britain!BN11</f>
        <v>0</v>
      </c>
      <c r="BT37" s="3">
        <f>USA!BU11</f>
        <v>0</v>
      </c>
    </row>
    <row r="38" spans="1:72">
      <c r="A38" s="3">
        <v>2018</v>
      </c>
      <c r="B38" s="3">
        <f>Australia!P12</f>
        <v>48868.249848293483</v>
      </c>
      <c r="C38" s="3">
        <f>Austria!P12</f>
        <v>31184.507131405051</v>
      </c>
      <c r="D38" s="3">
        <f>Belgium!P12</f>
        <v>32913.975725316181</v>
      </c>
      <c r="E38" s="3">
        <f>Canada!P12</f>
        <v>44827.504279493551</v>
      </c>
      <c r="F38" s="3">
        <f>China!Q12</f>
        <v>221383.27589771608</v>
      </c>
      <c r="G38" s="3">
        <f>Denmark!P12</f>
        <v>423612.84468769439</v>
      </c>
      <c r="H38" s="3">
        <f>Finland!P12</f>
        <v>31840.925134487225</v>
      </c>
      <c r="I38" s="3">
        <f>France!Q12</f>
        <v>32444.236431370879</v>
      </c>
      <c r="J38" s="3">
        <f>Germany!R12</f>
        <v>30962.48902288832</v>
      </c>
      <c r="K38" s="3">
        <f>India!P12</f>
        <v>2489904.5361726456</v>
      </c>
      <c r="L38" s="3">
        <f>Ireland!Q12</f>
        <v>28189.822585097685</v>
      </c>
      <c r="M38" s="3">
        <f>Italy!O12</f>
        <v>33174.008582550203</v>
      </c>
      <c r="N38" s="3">
        <f>Japan!P12</f>
        <v>2761735.0294596031</v>
      </c>
      <c r="O38" s="3">
        <f>Korea!Q12</f>
        <v>35.760167296655254</v>
      </c>
      <c r="P38" s="3">
        <f>'Netherlands '!Q13</f>
        <v>35364.468583826456</v>
      </c>
      <c r="Q38" s="3">
        <f>'New Zealand'!N12</f>
        <v>55067.832959644598</v>
      </c>
      <c r="R38" s="3">
        <f>'Norway with subs'!AC13</f>
        <v>268173.33790435654</v>
      </c>
      <c r="S38" s="3">
        <f>Spain!P12</f>
        <v>30952.422174904259</v>
      </c>
      <c r="T38" s="3">
        <f>Sweden!O12</f>
        <v>305392.77603215812</v>
      </c>
      <c r="U38" s="3">
        <f>Switzerland!O12</f>
        <v>34761.398704488587</v>
      </c>
      <c r="V38" s="3">
        <f>Britain!Q12</f>
        <v>28130.819313118354</v>
      </c>
      <c r="W38" s="3">
        <f>USA!P12</f>
        <v>30050.072315470621</v>
      </c>
      <c r="Y38" s="3">
        <v>2018</v>
      </c>
      <c r="Z38" s="84">
        <f t="shared" si="0"/>
        <v>1.35</v>
      </c>
      <c r="AA38" s="84">
        <f>Austria!AY12</f>
        <v>0</v>
      </c>
      <c r="AB38" s="84">
        <f>Belgium!AT12</f>
        <v>0</v>
      </c>
      <c r="AC38" s="84">
        <f>Canada!AW12</f>
        <v>0</v>
      </c>
      <c r="AD38" s="84">
        <f>China!AV12</f>
        <v>0</v>
      </c>
      <c r="AE38" s="84">
        <f>Denmark!AV12</f>
        <v>0</v>
      </c>
      <c r="AF38" s="84">
        <f>Finland!AU12</f>
        <v>0</v>
      </c>
      <c r="AG38" s="84">
        <f>France!AV12</f>
        <v>0</v>
      </c>
      <c r="AH38" s="84">
        <f>Germany!AW12</f>
        <v>0</v>
      </c>
      <c r="AI38" s="84">
        <f>India!AU12</f>
        <v>0</v>
      </c>
      <c r="AJ38" s="84">
        <f>Ireland!AV12</f>
        <v>0</v>
      </c>
      <c r="AK38" s="84">
        <f>Italy!AU12</f>
        <v>0</v>
      </c>
      <c r="AL38" s="84">
        <f>Japan!AU12</f>
        <v>0</v>
      </c>
      <c r="AM38" s="84">
        <f>Korea!AW12</f>
        <v>0</v>
      </c>
      <c r="AN38" s="84">
        <f>'Netherlands '!AV13</f>
        <v>0</v>
      </c>
      <c r="AO38" s="84">
        <f>'New Zealand'!AU12</f>
        <v>0</v>
      </c>
      <c r="AP38" s="84">
        <f>'Norway with subs'!BA13</f>
        <v>0</v>
      </c>
      <c r="AQ38" s="84">
        <f>Spain!AU12</f>
        <v>0</v>
      </c>
      <c r="AR38" s="84">
        <f>Sweden!AU12</f>
        <v>2016</v>
      </c>
      <c r="AS38" s="84">
        <f>Switzerland!AV12</f>
        <v>0</v>
      </c>
      <c r="AT38" s="84">
        <f>Britain!AO12</f>
        <v>0</v>
      </c>
      <c r="AU38" s="84">
        <f>USA!AV12</f>
        <v>0</v>
      </c>
      <c r="AX38" s="3">
        <v>2018</v>
      </c>
      <c r="AY38" s="3">
        <f>Australia!BP12</f>
        <v>0</v>
      </c>
      <c r="AZ38" s="3">
        <f>Austria!BX12</f>
        <v>0</v>
      </c>
      <c r="BA38" s="3">
        <f>Belgium!BS12</f>
        <v>0</v>
      </c>
      <c r="BB38" s="3">
        <f>Canada!BV12</f>
        <v>0</v>
      </c>
      <c r="BC38" s="3">
        <f>China!BU12</f>
        <v>0</v>
      </c>
      <c r="BD38" s="3">
        <f>Denmark!BU12</f>
        <v>0</v>
      </c>
      <c r="BE38" s="3">
        <f>Finland!BT12</f>
        <v>0</v>
      </c>
      <c r="BF38" s="3">
        <f>France!BU12</f>
        <v>0</v>
      </c>
      <c r="BG38" s="3">
        <f>Germany!BV12</f>
        <v>0</v>
      </c>
      <c r="BH38" s="3">
        <f>India!BT12</f>
        <v>0</v>
      </c>
      <c r="BI38" s="3">
        <f>Ireland!BU12</f>
        <v>0</v>
      </c>
      <c r="BJ38" s="3">
        <f>Italy!BT12</f>
        <v>0</v>
      </c>
      <c r="BK38" s="3">
        <f>Japan!BT12</f>
        <v>0</v>
      </c>
      <c r="BL38" s="3">
        <f>Korea!BV12</f>
        <v>0</v>
      </c>
      <c r="BM38" s="3">
        <f>'Netherlands '!BU13</f>
        <v>0</v>
      </c>
      <c r="BN38" s="3">
        <f>'New Zealand'!BT12</f>
        <v>0</v>
      </c>
      <c r="BO38" s="3">
        <f>'Norway with subs'!BX13</f>
        <v>0</v>
      </c>
      <c r="BP38" s="3">
        <f>Spain!BT12</f>
        <v>0</v>
      </c>
      <c r="BQ38" s="3">
        <f>Sweden!BT12</f>
        <v>0</v>
      </c>
      <c r="BR38" s="3">
        <f>Switzerland!BU12</f>
        <v>0</v>
      </c>
      <c r="BS38" s="3">
        <f>Britain!BN12</f>
        <v>0</v>
      </c>
      <c r="BT38" s="3">
        <f>USA!BU12</f>
        <v>0</v>
      </c>
    </row>
    <row r="39" spans="1:72">
      <c r="A39" s="3">
        <v>2019</v>
      </c>
      <c r="B39" s="3">
        <f>Australia!P13</f>
        <v>49754.402428574467</v>
      </c>
      <c r="C39" s="3">
        <f>Austria!P13</f>
        <v>31806.959678394182</v>
      </c>
      <c r="D39" s="3">
        <f>Belgium!P13</f>
        <v>33511.424383997917</v>
      </c>
      <c r="E39" s="3">
        <f>Canada!P13</f>
        <v>46728.900784692618</v>
      </c>
      <c r="F39" s="3">
        <f>China!Q13</f>
        <v>226360.36885599038</v>
      </c>
      <c r="G39" s="3">
        <f>Denmark!P13</f>
        <v>429468.81197859324</v>
      </c>
      <c r="H39" s="3">
        <f>Finland!P13</f>
        <v>32467.964076003176</v>
      </c>
      <c r="I39" s="3">
        <f>France!Q13</f>
        <v>33061.651328226842</v>
      </c>
      <c r="J39" s="3">
        <f>Germany!R13</f>
        <v>31602.697605555968</v>
      </c>
      <c r="K39" s="3">
        <f>India!P13</f>
        <v>2541412.9905669009</v>
      </c>
      <c r="L39" s="3">
        <f>Ireland!Q13</f>
        <v>28770.185035743016</v>
      </c>
      <c r="M39" s="3">
        <f>Italy!O13</f>
        <v>33776.394833452447</v>
      </c>
      <c r="N39" s="3">
        <f>Japan!P13</f>
        <v>2815794.9273361848</v>
      </c>
      <c r="O39" s="3">
        <f>Korea!Q13</f>
        <v>39.694134648659848</v>
      </c>
      <c r="P39" s="3">
        <f>'Netherlands '!Q14</f>
        <v>36035.981125815844</v>
      </c>
      <c r="Q39" s="3">
        <f>'New Zealand'!N13</f>
        <v>56068.131054199737</v>
      </c>
      <c r="R39" s="3">
        <f>'Norway with subs'!AC14</f>
        <v>273006.3693484324</v>
      </c>
      <c r="S39" s="3">
        <f>Spain!P13</f>
        <v>31587.578218431103</v>
      </c>
      <c r="T39" s="3">
        <f>Sweden!O13</f>
        <v>311910.2859950299</v>
      </c>
      <c r="U39" s="3">
        <f>Switzerland!O13</f>
        <v>35393.926858227154</v>
      </c>
      <c r="V39" s="3">
        <f>Britain!Q13</f>
        <v>28749.321654926855</v>
      </c>
      <c r="W39" s="3">
        <f>USA!P13</f>
        <v>31518.149459895671</v>
      </c>
      <c r="Y39" s="3">
        <v>2019</v>
      </c>
      <c r="Z39" s="84">
        <f t="shared" si="0"/>
        <v>1.35</v>
      </c>
      <c r="AA39" s="84">
        <f>Austria!AY13</f>
        <v>0</v>
      </c>
      <c r="AB39" s="84">
        <f>Belgium!AT13</f>
        <v>0</v>
      </c>
      <c r="AC39" s="84">
        <f>Canada!AW13</f>
        <v>0</v>
      </c>
      <c r="AD39" s="84">
        <f>China!AV13</f>
        <v>0</v>
      </c>
      <c r="AE39" s="84">
        <f>Denmark!AV13</f>
        <v>0</v>
      </c>
      <c r="AF39" s="84">
        <f>Finland!AU13</f>
        <v>0</v>
      </c>
      <c r="AG39" s="84">
        <f>France!AV13</f>
        <v>0</v>
      </c>
      <c r="AH39" s="84">
        <f>Germany!AW13</f>
        <v>0</v>
      </c>
      <c r="AI39" s="84">
        <f>India!AU13</f>
        <v>0</v>
      </c>
      <c r="AJ39" s="84">
        <f>Ireland!AV13</f>
        <v>0</v>
      </c>
      <c r="AK39" s="84">
        <f>Italy!AU13</f>
        <v>0</v>
      </c>
      <c r="AL39" s="84">
        <f>Japan!AU13</f>
        <v>0</v>
      </c>
      <c r="AM39" s="84">
        <f>Korea!AW13</f>
        <v>0</v>
      </c>
      <c r="AN39" s="84">
        <f>'Netherlands '!AV14</f>
        <v>0</v>
      </c>
      <c r="AO39" s="84">
        <f>'New Zealand'!AU13</f>
        <v>0</v>
      </c>
      <c r="AP39" s="84">
        <f>'Norway with subs'!BA14</f>
        <v>0</v>
      </c>
      <c r="AQ39" s="84">
        <f>Spain!AU13</f>
        <v>0</v>
      </c>
      <c r="AR39" s="84">
        <f>Sweden!AU13</f>
        <v>2017</v>
      </c>
      <c r="AS39" s="84">
        <f>Switzerland!AV13</f>
        <v>0</v>
      </c>
      <c r="AT39" s="84">
        <f>Britain!AO13</f>
        <v>0</v>
      </c>
      <c r="AU39" s="84">
        <f>USA!AV13</f>
        <v>0</v>
      </c>
      <c r="AX39" s="3">
        <v>2019</v>
      </c>
      <c r="AY39" s="3">
        <f>Australia!BP13</f>
        <v>0</v>
      </c>
      <c r="AZ39" s="3">
        <f>Austria!BX13</f>
        <v>0</v>
      </c>
      <c r="BA39" s="3">
        <f>Belgium!BS13</f>
        <v>0</v>
      </c>
      <c r="BB39" s="3">
        <f>Canada!BV13</f>
        <v>0</v>
      </c>
      <c r="BC39" s="3">
        <f>China!BU13</f>
        <v>0</v>
      </c>
      <c r="BD39" s="3">
        <f>Denmark!BU13</f>
        <v>0</v>
      </c>
      <c r="BE39" s="3">
        <f>Finland!BT13</f>
        <v>0</v>
      </c>
      <c r="BF39" s="3">
        <f>France!BU13</f>
        <v>0</v>
      </c>
      <c r="BG39" s="3">
        <f>Germany!BV13</f>
        <v>0</v>
      </c>
      <c r="BH39" s="3">
        <f>India!BT13</f>
        <v>0</v>
      </c>
      <c r="BI39" s="3">
        <f>Ireland!BU13</f>
        <v>0</v>
      </c>
      <c r="BJ39" s="3">
        <f>Italy!BT13</f>
        <v>0</v>
      </c>
      <c r="BK39" s="3">
        <f>Japan!BT13</f>
        <v>0</v>
      </c>
      <c r="BL39" s="3">
        <f>Korea!BV13</f>
        <v>0</v>
      </c>
      <c r="BM39" s="3">
        <f>'Netherlands '!BU14</f>
        <v>0</v>
      </c>
      <c r="BN39" s="3">
        <f>'New Zealand'!BT13</f>
        <v>0</v>
      </c>
      <c r="BO39" s="3">
        <f>'Norway with subs'!BX14</f>
        <v>0</v>
      </c>
      <c r="BP39" s="3">
        <f>Spain!BT13</f>
        <v>0</v>
      </c>
      <c r="BQ39" s="3">
        <f>Sweden!BT13</f>
        <v>0</v>
      </c>
      <c r="BR39" s="3">
        <f>Switzerland!BU13</f>
        <v>0</v>
      </c>
      <c r="BS39" s="3">
        <f>Britain!BN13</f>
        <v>0</v>
      </c>
      <c r="BT39" s="3">
        <f>USA!BU13</f>
        <v>0</v>
      </c>
    </row>
    <row r="40" spans="1:72">
      <c r="A40" s="3">
        <v>2020</v>
      </c>
      <c r="B40" s="3">
        <f>Australia!P14</f>
        <v>49468.995214784947</v>
      </c>
      <c r="C40" s="3">
        <f>Austria!P14</f>
        <v>31645.458317408844</v>
      </c>
      <c r="D40" s="3">
        <f>Belgium!P14</f>
        <v>33319.001362442687</v>
      </c>
      <c r="E40" s="3">
        <f>Canada!P14</f>
        <v>46475.439112542015</v>
      </c>
      <c r="F40" s="3">
        <f>China!Q14</f>
        <v>224757.37376733191</v>
      </c>
      <c r="G40" s="3">
        <f>Denmark!P14</f>
        <v>427948.69817194639</v>
      </c>
      <c r="H40" s="3">
        <f>Finland!P14</f>
        <v>32285.437735654959</v>
      </c>
      <c r="I40" s="3">
        <f>France!Q14</f>
        <v>32876.03593638607</v>
      </c>
      <c r="J40" s="3">
        <f>Germany!R14</f>
        <v>31445.859789535851</v>
      </c>
      <c r="K40" s="3">
        <f>India!P14</f>
        <v>2529437.9684069557</v>
      </c>
      <c r="L40" s="3">
        <f>Ireland!Q14</f>
        <v>28597.765778159875</v>
      </c>
      <c r="M40" s="3">
        <f>Italy!O14</f>
        <v>33582.381538991802</v>
      </c>
      <c r="N40" s="3">
        <f>Japan!P14</f>
        <v>2799733.0820030738</v>
      </c>
      <c r="O40" s="3">
        <f>Korea!Q14</f>
        <v>39.393327512690696</v>
      </c>
      <c r="P40" s="3">
        <f>'Netherlands '!Q15</f>
        <v>35819.704010679387</v>
      </c>
      <c r="Q40" s="3">
        <f>'New Zealand'!N14</f>
        <v>55745.960472655628</v>
      </c>
      <c r="R40" s="3">
        <f>'Norway with subs'!AC15</f>
        <v>271449.77281042602</v>
      </c>
      <c r="S40" s="3">
        <f>Spain!P14</f>
        <v>31432.137724185708</v>
      </c>
      <c r="T40" s="3">
        <f>Sweden!O14</f>
        <v>310261.88850923214</v>
      </c>
      <c r="U40" s="3">
        <f>Switzerland!O14</f>
        <v>35190.205623285081</v>
      </c>
      <c r="V40" s="3">
        <f>Britain!Q14</f>
        <v>28629.040480929463</v>
      </c>
      <c r="W40" s="3">
        <f>USA!P14</f>
        <v>32171.66939416399</v>
      </c>
      <c r="Y40" s="3">
        <v>2020</v>
      </c>
      <c r="Z40" s="84">
        <f t="shared" si="0"/>
        <v>1.35</v>
      </c>
      <c r="AA40" s="84">
        <f>Austria!AY14</f>
        <v>0</v>
      </c>
      <c r="AB40" s="84">
        <f>Belgium!AT14</f>
        <v>0</v>
      </c>
      <c r="AC40" s="84">
        <f>Canada!AW14</f>
        <v>0</v>
      </c>
      <c r="AD40" s="84">
        <f>China!AV14</f>
        <v>0</v>
      </c>
      <c r="AE40" s="84">
        <f>Denmark!AV14</f>
        <v>0</v>
      </c>
      <c r="AF40" s="84">
        <f>Finland!AU14</f>
        <v>0</v>
      </c>
      <c r="AG40" s="84">
        <f>France!AV14</f>
        <v>0</v>
      </c>
      <c r="AH40" s="84">
        <f>Germany!AW14</f>
        <v>0</v>
      </c>
      <c r="AI40" s="84">
        <f>India!AU14</f>
        <v>0</v>
      </c>
      <c r="AJ40" s="84">
        <f>Ireland!AV14</f>
        <v>0</v>
      </c>
      <c r="AK40" s="84">
        <f>Italy!AU14</f>
        <v>0</v>
      </c>
      <c r="AL40" s="84">
        <f>Japan!AU14</f>
        <v>0</v>
      </c>
      <c r="AM40" s="84">
        <f>Korea!AW14</f>
        <v>0</v>
      </c>
      <c r="AN40" s="84">
        <f>'Netherlands '!AV15</f>
        <v>0</v>
      </c>
      <c r="AO40" s="84">
        <f>'New Zealand'!AU14</f>
        <v>0</v>
      </c>
      <c r="AP40" s="84">
        <f>'Norway with subs'!BA15</f>
        <v>0</v>
      </c>
      <c r="AQ40" s="84">
        <f>Spain!AU14</f>
        <v>0</v>
      </c>
      <c r="AR40" s="84">
        <f>Sweden!AU14</f>
        <v>0</v>
      </c>
      <c r="AS40" s="84">
        <f>Switzerland!AV14</f>
        <v>0</v>
      </c>
      <c r="AT40" s="84">
        <f>Britain!AO14</f>
        <v>0</v>
      </c>
      <c r="AU40" s="84">
        <f>USA!AV14</f>
        <v>0</v>
      </c>
      <c r="AX40" s="3">
        <v>2020</v>
      </c>
      <c r="AY40" s="3">
        <f>Australia!BP14</f>
        <v>0</v>
      </c>
      <c r="AZ40" s="3">
        <f>Austria!BX14</f>
        <v>0</v>
      </c>
      <c r="BA40" s="3">
        <f>Belgium!BS14</f>
        <v>0</v>
      </c>
      <c r="BB40" s="3">
        <f>Canada!BV14</f>
        <v>0</v>
      </c>
      <c r="BC40" s="3">
        <f>China!BU14</f>
        <v>0</v>
      </c>
      <c r="BD40" s="3">
        <f>Denmark!BU14</f>
        <v>0</v>
      </c>
      <c r="BE40" s="3">
        <f>Finland!BT14</f>
        <v>0</v>
      </c>
      <c r="BF40" s="3">
        <f>France!BU14</f>
        <v>0</v>
      </c>
      <c r="BG40" s="3">
        <f>Germany!BV14</f>
        <v>0</v>
      </c>
      <c r="BH40" s="3">
        <f>India!BT14</f>
        <v>0</v>
      </c>
      <c r="BI40" s="3">
        <f>Ireland!BU14</f>
        <v>0</v>
      </c>
      <c r="BJ40" s="3">
        <f>Italy!BT14</f>
        <v>0</v>
      </c>
      <c r="BK40" s="3">
        <f>Japan!BT14</f>
        <v>0</v>
      </c>
      <c r="BL40" s="3">
        <f>Korea!BV14</f>
        <v>0</v>
      </c>
      <c r="BM40" s="3">
        <f>'Netherlands '!BU15</f>
        <v>0</v>
      </c>
      <c r="BN40" s="3">
        <f>'New Zealand'!BT14</f>
        <v>0</v>
      </c>
      <c r="BO40" s="3">
        <f>'Norway with subs'!BX15</f>
        <v>0</v>
      </c>
      <c r="BP40" s="3">
        <f>Spain!BT14</f>
        <v>0</v>
      </c>
      <c r="BQ40" s="3">
        <f>Sweden!BT14</f>
        <v>0</v>
      </c>
      <c r="BR40" s="3">
        <f>Switzerland!BU14</f>
        <v>0</v>
      </c>
      <c r="BS40" s="3">
        <f>Britain!BN14</f>
        <v>0</v>
      </c>
      <c r="BT40" s="3">
        <f>USA!BU14</f>
        <v>0</v>
      </c>
    </row>
    <row r="41" spans="1:72">
      <c r="A41" s="3">
        <v>2021</v>
      </c>
      <c r="B41" s="3">
        <f>Australia!P15</f>
        <v>48280.33434014571</v>
      </c>
      <c r="C41" s="3">
        <f>Austria!P15</f>
        <v>30879.413877635379</v>
      </c>
      <c r="D41" s="3">
        <f>Belgium!P15</f>
        <v>32517.600045126095</v>
      </c>
      <c r="E41" s="3">
        <f>Canada!P15</f>
        <v>45351.73797829773</v>
      </c>
      <c r="F41" s="3">
        <f>China!Q15</f>
        <v>218081.23717348787</v>
      </c>
      <c r="G41" s="3">
        <f>Denmark!P15</f>
        <v>421617.74464428733</v>
      </c>
      <c r="H41" s="3">
        <f>Finland!P15</f>
        <v>31478.725276768942</v>
      </c>
      <c r="I41" s="3">
        <f>France!Q15</f>
        <v>32071.274662463762</v>
      </c>
      <c r="J41" s="3">
        <f>Germany!R15</f>
        <v>30674.375008708044</v>
      </c>
      <c r="K41" s="3">
        <f>India!P15</f>
        <v>2468500.5270247036</v>
      </c>
      <c r="L41" s="3">
        <f>Ireland!Q15</f>
        <v>27844.955586517965</v>
      </c>
      <c r="M41" s="3">
        <f>Italy!O15</f>
        <v>32774.357070292426</v>
      </c>
      <c r="N41" s="3">
        <f>Japan!P15</f>
        <v>2729607.4312902624</v>
      </c>
      <c r="O41" s="3">
        <f>Korea!Q15</f>
        <v>38.140529208852008</v>
      </c>
      <c r="P41" s="3">
        <f>'Netherlands '!Q16</f>
        <v>34918.955422621068</v>
      </c>
      <c r="Q41" s="3">
        <f>'New Zealand'!N15</f>
        <v>54404.187921932069</v>
      </c>
      <c r="R41" s="3">
        <f>'Norway with subs'!AC16</f>
        <v>325380.29408429877</v>
      </c>
      <c r="S41" s="3">
        <f>Spain!P15</f>
        <v>30667.008010743022</v>
      </c>
      <c r="T41" s="3">
        <f>Sweden!O15</f>
        <v>302316.42373401276</v>
      </c>
      <c r="U41" s="3">
        <f>Switzerland!O15</f>
        <v>34341.749629150945</v>
      </c>
      <c r="V41" s="3">
        <f>Britain!Q15</f>
        <v>27938.859251504738</v>
      </c>
      <c r="W41" s="3">
        <f>USA!P15</f>
        <v>32197.078594954262</v>
      </c>
      <c r="Y41" s="3">
        <v>2021</v>
      </c>
      <c r="Z41" s="84">
        <f t="shared" si="0"/>
        <v>1.35</v>
      </c>
      <c r="AA41" s="84">
        <f>Austria!AY15</f>
        <v>0</v>
      </c>
      <c r="AB41" s="84">
        <f>Belgium!AT15</f>
        <v>0</v>
      </c>
      <c r="AC41" s="84">
        <f>Canada!AW15</f>
        <v>0</v>
      </c>
      <c r="AD41" s="84">
        <f>China!AV15</f>
        <v>0</v>
      </c>
      <c r="AE41" s="84">
        <f>Denmark!AV15</f>
        <v>0</v>
      </c>
      <c r="AF41" s="84">
        <f>Finland!AU15</f>
        <v>0</v>
      </c>
      <c r="AG41" s="84">
        <f>France!AV15</f>
        <v>0</v>
      </c>
      <c r="AH41" s="84">
        <f>Germany!AW15</f>
        <v>0</v>
      </c>
      <c r="AI41" s="84">
        <f>India!AU15</f>
        <v>0</v>
      </c>
      <c r="AJ41" s="84">
        <f>Ireland!AV15</f>
        <v>0</v>
      </c>
      <c r="AK41" s="84">
        <f>Italy!AU15</f>
        <v>0</v>
      </c>
      <c r="AL41" s="84">
        <f>Japan!AU15</f>
        <v>0</v>
      </c>
      <c r="AM41" s="84">
        <f>Korea!AW15</f>
        <v>0</v>
      </c>
      <c r="AN41" s="84">
        <f>'Netherlands '!AV16</f>
        <v>0</v>
      </c>
      <c r="AO41" s="84">
        <f>'New Zealand'!AU15</f>
        <v>0</v>
      </c>
      <c r="AP41" s="84">
        <f>'Norway with subs'!BA16</f>
        <v>0</v>
      </c>
      <c r="AQ41" s="84">
        <f>Spain!AU15</f>
        <v>0</v>
      </c>
      <c r="AR41" s="84">
        <f>Sweden!AU15</f>
        <v>0</v>
      </c>
      <c r="AS41" s="84">
        <f>Switzerland!AV15</f>
        <v>0</v>
      </c>
      <c r="AT41" s="84">
        <f>Britain!AO15</f>
        <v>0</v>
      </c>
      <c r="AU41" s="84">
        <f>USA!AV15</f>
        <v>0</v>
      </c>
      <c r="AX41" s="3">
        <v>2021</v>
      </c>
      <c r="AY41" s="3">
        <f>Australia!BP15</f>
        <v>0</v>
      </c>
      <c r="AZ41" s="3">
        <f>Austria!BX15</f>
        <v>0</v>
      </c>
      <c r="BA41" s="3">
        <f>Belgium!BS15</f>
        <v>0</v>
      </c>
      <c r="BB41" s="3">
        <f>Canada!BV15</f>
        <v>0</v>
      </c>
      <c r="BC41" s="3">
        <f>China!BU15</f>
        <v>0</v>
      </c>
      <c r="BD41" s="3">
        <f>Denmark!BU15</f>
        <v>0</v>
      </c>
      <c r="BE41" s="3">
        <f>Finland!BT15</f>
        <v>0</v>
      </c>
      <c r="BF41" s="3">
        <f>France!BU15</f>
        <v>0</v>
      </c>
      <c r="BG41" s="3">
        <f>Germany!BV15</f>
        <v>0</v>
      </c>
      <c r="BH41" s="3">
        <f>India!BT15</f>
        <v>0</v>
      </c>
      <c r="BI41" s="3">
        <f>Ireland!BU15</f>
        <v>0</v>
      </c>
      <c r="BJ41" s="3">
        <f>Italy!BT15</f>
        <v>0</v>
      </c>
      <c r="BK41" s="3">
        <f>Japan!BT15</f>
        <v>0</v>
      </c>
      <c r="BL41" s="3">
        <f>Korea!BV15</f>
        <v>0</v>
      </c>
      <c r="BM41" s="3">
        <f>'Netherlands '!BU16</f>
        <v>0</v>
      </c>
      <c r="BN41" s="3">
        <f>'New Zealand'!BT15</f>
        <v>0</v>
      </c>
      <c r="BO41" s="3">
        <f>'Norway with subs'!BX16</f>
        <v>0</v>
      </c>
      <c r="BP41" s="3">
        <f>Spain!BT15</f>
        <v>0</v>
      </c>
      <c r="BQ41" s="3">
        <f>Sweden!BT15</f>
        <v>0</v>
      </c>
      <c r="BR41" s="3">
        <f>Switzerland!BU15</f>
        <v>0</v>
      </c>
      <c r="BS41" s="3">
        <f>Britain!BN15</f>
        <v>0</v>
      </c>
      <c r="BT41" s="3">
        <f>USA!BU15</f>
        <v>0</v>
      </c>
    </row>
    <row r="42" spans="1:72">
      <c r="A42" s="3">
        <v>2022</v>
      </c>
      <c r="B42" s="3">
        <f>Australia!P16</f>
        <v>48945.064557435449</v>
      </c>
      <c r="C42" s="3">
        <f>Austria!P16</f>
        <v>31352.022835939282</v>
      </c>
      <c r="D42" s="3">
        <f>Belgium!P16</f>
        <v>32965.764600014656</v>
      </c>
      <c r="E42" s="3">
        <f>Canada!P16</f>
        <v>46012.353223489386</v>
      </c>
      <c r="F42" s="3">
        <f>China!Q16</f>
        <v>221814.70718446039</v>
      </c>
      <c r="G42" s="3">
        <f>Denmark!P16</f>
        <v>425158.17926603701</v>
      </c>
      <c r="H42" s="3">
        <f>Finland!P16</f>
        <v>31952.451287590902</v>
      </c>
      <c r="I42" s="3">
        <f>France!Q16</f>
        <v>32536.632450889454</v>
      </c>
      <c r="J42" s="3">
        <f>Germany!R16</f>
        <v>31162.158173751835</v>
      </c>
      <c r="K42" s="3">
        <f>India!P16</f>
        <v>2507774.1493567256</v>
      </c>
      <c r="L42" s="3">
        <f>Ireland!Q16</f>
        <v>28282.939498784745</v>
      </c>
      <c r="M42" s="3">
        <f>Italy!O16</f>
        <v>33226.225464477589</v>
      </c>
      <c r="N42" s="3">
        <f>Japan!P16</f>
        <v>2770401.0626873076</v>
      </c>
      <c r="O42" s="3">
        <f>Korea!Q16</f>
        <v>38.841126752271329</v>
      </c>
      <c r="P42" s="3">
        <f>'Netherlands '!Q17</f>
        <v>35422.677566958628</v>
      </c>
      <c r="Q42" s="3">
        <f>'New Zealand'!N16</f>
        <v>55154.542188843203</v>
      </c>
      <c r="R42" s="3">
        <f>'Norway with subs'!AC17</f>
        <v>329877.19073617039</v>
      </c>
      <c r="S42" s="3">
        <f>Spain!P16</f>
        <v>31150.746912310584</v>
      </c>
      <c r="T42" s="3">
        <f>Sweden!O16</f>
        <v>307273.83308490075</v>
      </c>
      <c r="U42" s="3">
        <f>Switzerland!O16</f>
        <v>34816.228388715346</v>
      </c>
      <c r="V42" s="3">
        <f>Britain!Q16</f>
        <v>28413.576622874072</v>
      </c>
      <c r="W42" s="3">
        <f>USA!P16</f>
        <v>32676.522278406177</v>
      </c>
      <c r="Y42" s="3">
        <v>2022</v>
      </c>
      <c r="Z42" s="84">
        <f t="shared" si="0"/>
        <v>1.35</v>
      </c>
      <c r="AA42" s="84">
        <f>Austria!AY16</f>
        <v>0</v>
      </c>
      <c r="AB42" s="84">
        <f>Belgium!AT16</f>
        <v>0</v>
      </c>
      <c r="AC42" s="84">
        <f>Canada!AW16</f>
        <v>0</v>
      </c>
      <c r="AD42" s="84">
        <f>China!AV16</f>
        <v>0</v>
      </c>
      <c r="AE42" s="84">
        <f>Denmark!AV16</f>
        <v>0</v>
      </c>
      <c r="AF42" s="84">
        <f>Finland!AU16</f>
        <v>0</v>
      </c>
      <c r="AG42" s="84">
        <f>France!AV16</f>
        <v>0</v>
      </c>
      <c r="AH42" s="84">
        <f>Germany!AW16</f>
        <v>0</v>
      </c>
      <c r="AI42" s="84">
        <f>India!AU16</f>
        <v>0</v>
      </c>
      <c r="AJ42" s="84">
        <f>Ireland!AV16</f>
        <v>0</v>
      </c>
      <c r="AK42" s="84">
        <f>Italy!AU16</f>
        <v>0</v>
      </c>
      <c r="AL42" s="84">
        <f>Japan!AU16</f>
        <v>0</v>
      </c>
      <c r="AM42" s="84">
        <f>Korea!AW16</f>
        <v>0</v>
      </c>
      <c r="AN42" s="84">
        <f>'Netherlands '!AV17</f>
        <v>0</v>
      </c>
      <c r="AO42" s="84">
        <f>'New Zealand'!AU16</f>
        <v>0</v>
      </c>
      <c r="AP42" s="84">
        <f>'Norway with subs'!BA17</f>
        <v>0</v>
      </c>
      <c r="AQ42" s="84">
        <f>Spain!AU16</f>
        <v>0</v>
      </c>
      <c r="AR42" s="84">
        <f>Sweden!AU16</f>
        <v>0</v>
      </c>
      <c r="AS42" s="84">
        <f>Switzerland!AV16</f>
        <v>0</v>
      </c>
      <c r="AT42" s="84">
        <f>Britain!AO16</f>
        <v>0</v>
      </c>
      <c r="AU42" s="84">
        <f>USA!AV16</f>
        <v>0</v>
      </c>
      <c r="AX42" s="3">
        <v>2022</v>
      </c>
      <c r="AY42" s="3">
        <f>Australia!BP16</f>
        <v>0</v>
      </c>
      <c r="AZ42" s="3">
        <f>Austria!BX16</f>
        <v>0</v>
      </c>
      <c r="BA42" s="3">
        <f>Belgium!BS16</f>
        <v>0</v>
      </c>
      <c r="BB42" s="3">
        <f>Canada!BV16</f>
        <v>0</v>
      </c>
      <c r="BC42" s="3">
        <f>China!BU16</f>
        <v>0</v>
      </c>
      <c r="BD42" s="3">
        <f>Denmark!BU16</f>
        <v>0</v>
      </c>
      <c r="BE42" s="3">
        <f>Finland!BT16</f>
        <v>0</v>
      </c>
      <c r="BF42" s="3">
        <f>France!BU16</f>
        <v>0</v>
      </c>
      <c r="BG42" s="3">
        <f>Germany!BV16</f>
        <v>0</v>
      </c>
      <c r="BH42" s="3">
        <f>India!BT16</f>
        <v>0</v>
      </c>
      <c r="BI42" s="3">
        <f>Ireland!BU16</f>
        <v>0</v>
      </c>
      <c r="BJ42" s="3">
        <f>Italy!BT16</f>
        <v>0</v>
      </c>
      <c r="BK42" s="3">
        <f>Japan!BT16</f>
        <v>0</v>
      </c>
      <c r="BL42" s="3">
        <f>Korea!BV16</f>
        <v>0</v>
      </c>
      <c r="BM42" s="3">
        <f>'Netherlands '!BU17</f>
        <v>0</v>
      </c>
      <c r="BN42" s="3">
        <f>'New Zealand'!BT16</f>
        <v>0</v>
      </c>
      <c r="BO42" s="3">
        <f>'Norway with subs'!BX17</f>
        <v>0</v>
      </c>
      <c r="BP42" s="3">
        <f>Spain!BT16</f>
        <v>0</v>
      </c>
      <c r="BQ42" s="3">
        <f>Sweden!BT16</f>
        <v>0</v>
      </c>
      <c r="BR42" s="3">
        <f>Switzerland!BU16</f>
        <v>0</v>
      </c>
      <c r="BS42" s="3">
        <f>Britain!BN16</f>
        <v>0</v>
      </c>
      <c r="BT42" s="3">
        <f>USA!BU16</f>
        <v>0</v>
      </c>
    </row>
    <row r="43" spans="1:72">
      <c r="A43" s="3">
        <v>2023</v>
      </c>
      <c r="B43" s="3">
        <f>Australia!P17</f>
        <v>48516.538816290689</v>
      </c>
      <c r="C43" s="3">
        <f>Austria!P17</f>
        <v>31093.070972531834</v>
      </c>
      <c r="D43" s="3">
        <f>Belgium!P17</f>
        <v>32676.850326158616</v>
      </c>
      <c r="E43" s="3">
        <f>Canada!P17</f>
        <v>45619.781730262439</v>
      </c>
      <c r="F43" s="3">
        <f>China!Q17</f>
        <v>219407.88414275055</v>
      </c>
      <c r="G43" s="3">
        <f>Denmark!P17</f>
        <v>422875.79863883212</v>
      </c>
      <c r="H43" s="3">
        <f>Finland!P17</f>
        <v>31670.716220186845</v>
      </c>
      <c r="I43" s="3">
        <f>France!Q17</f>
        <v>32252.628525783941</v>
      </c>
      <c r="J43" s="3">
        <f>Germany!R17</f>
        <v>30906.156720061874</v>
      </c>
      <c r="K43" s="3">
        <f>India!P17</f>
        <v>2487807.7268979973</v>
      </c>
      <c r="L43" s="3">
        <f>Ireland!Q17</f>
        <v>28018.453449634297</v>
      </c>
      <c r="M43" s="3">
        <f>Italy!O17</f>
        <v>32934.923469350011</v>
      </c>
      <c r="N43" s="3">
        <f>Japan!P17</f>
        <v>2745759.442060621</v>
      </c>
      <c r="O43" s="3">
        <f>Korea!Q17</f>
        <v>38.389478739695583</v>
      </c>
      <c r="P43" s="3">
        <f>'Netherlands '!Q18</f>
        <v>35097.947474029519</v>
      </c>
      <c r="Q43" s="3">
        <f>'New Zealand'!N17</f>
        <v>54670.817950068202</v>
      </c>
      <c r="R43" s="3">
        <f>'Norway with subs'!AC18</f>
        <v>326978.21620413894</v>
      </c>
      <c r="S43" s="3">
        <f>Spain!P17</f>
        <v>30896.723131470433</v>
      </c>
      <c r="T43" s="3">
        <f>Sweden!O17</f>
        <v>304611.03062617773</v>
      </c>
      <c r="U43" s="3">
        <f>Switzerland!O17</f>
        <v>34510.350369616433</v>
      </c>
      <c r="V43" s="3">
        <f>Britain!Q17</f>
        <v>28198.898141785041</v>
      </c>
      <c r="W43" s="3">
        <f>USA!P17</f>
        <v>32395.85604560878</v>
      </c>
      <c r="Y43" s="3">
        <v>2023</v>
      </c>
      <c r="Z43" s="84">
        <f t="shared" si="0"/>
        <v>1.35</v>
      </c>
      <c r="AA43" s="84">
        <f>Austria!AY17</f>
        <v>0</v>
      </c>
      <c r="AB43" s="84">
        <f>Belgium!AT17</f>
        <v>0</v>
      </c>
      <c r="AC43" s="84">
        <f>Canada!AW17</f>
        <v>0</v>
      </c>
      <c r="AD43" s="84">
        <f>China!AV17</f>
        <v>0</v>
      </c>
      <c r="AE43" s="84">
        <f>Denmark!AV17</f>
        <v>0</v>
      </c>
      <c r="AF43" s="84">
        <f>Finland!AU17</f>
        <v>0</v>
      </c>
      <c r="AG43" s="84">
        <f>France!AV17</f>
        <v>0</v>
      </c>
      <c r="AH43" s="84">
        <f>Germany!AW17</f>
        <v>0</v>
      </c>
      <c r="AI43" s="84">
        <f>India!AU17</f>
        <v>0</v>
      </c>
      <c r="AJ43" s="84">
        <f>Ireland!AV17</f>
        <v>0</v>
      </c>
      <c r="AK43" s="84">
        <f>Italy!AU17</f>
        <v>0</v>
      </c>
      <c r="AL43" s="84">
        <f>Japan!AU17</f>
        <v>0</v>
      </c>
      <c r="AM43" s="84">
        <f>Korea!AW17</f>
        <v>0</v>
      </c>
      <c r="AN43" s="84">
        <f>'Netherlands '!AV18</f>
        <v>0</v>
      </c>
      <c r="AO43" s="84">
        <f>'New Zealand'!AU17</f>
        <v>0</v>
      </c>
      <c r="AP43" s="84">
        <f>'Norway with subs'!BA18</f>
        <v>0</v>
      </c>
      <c r="AQ43" s="84">
        <f>Spain!AU17</f>
        <v>0</v>
      </c>
      <c r="AR43" s="84">
        <f>Sweden!AU17</f>
        <v>0</v>
      </c>
      <c r="AS43" s="84">
        <f>Switzerland!AV17</f>
        <v>0</v>
      </c>
      <c r="AT43" s="84">
        <f>Britain!AO17</f>
        <v>0</v>
      </c>
      <c r="AU43" s="84">
        <f>USA!AV17</f>
        <v>0</v>
      </c>
      <c r="AX43" s="3">
        <v>2023</v>
      </c>
      <c r="AY43" s="3">
        <f>Australia!BP17</f>
        <v>0</v>
      </c>
      <c r="AZ43" s="3">
        <f>Austria!BX17</f>
        <v>0</v>
      </c>
      <c r="BA43" s="3">
        <f>Belgium!BS17</f>
        <v>0</v>
      </c>
      <c r="BB43" s="3">
        <f>Canada!BV17</f>
        <v>0</v>
      </c>
      <c r="BC43" s="3">
        <f>China!BU17</f>
        <v>0</v>
      </c>
      <c r="BD43" s="3">
        <f>Denmark!BU17</f>
        <v>0</v>
      </c>
      <c r="BE43" s="3">
        <f>Finland!BT17</f>
        <v>0</v>
      </c>
      <c r="BF43" s="3">
        <f>France!BU17</f>
        <v>0</v>
      </c>
      <c r="BG43" s="3">
        <f>Germany!BV17</f>
        <v>0</v>
      </c>
      <c r="BH43" s="3">
        <f>India!BT17</f>
        <v>0</v>
      </c>
      <c r="BI43" s="3">
        <f>Ireland!BU17</f>
        <v>0</v>
      </c>
      <c r="BJ43" s="3">
        <f>Italy!BT17</f>
        <v>0</v>
      </c>
      <c r="BK43" s="3">
        <f>Japan!BT17</f>
        <v>0</v>
      </c>
      <c r="BL43" s="3">
        <f>Korea!BV17</f>
        <v>0</v>
      </c>
      <c r="BM43" s="3">
        <f>'Netherlands '!BU18</f>
        <v>0</v>
      </c>
      <c r="BN43" s="3">
        <f>'New Zealand'!BT17</f>
        <v>0</v>
      </c>
      <c r="BO43" s="3">
        <f>'Norway with subs'!BX18</f>
        <v>0</v>
      </c>
      <c r="BP43" s="3">
        <f>Spain!BT17</f>
        <v>0</v>
      </c>
      <c r="BQ43" s="3">
        <f>Sweden!BT17</f>
        <v>0</v>
      </c>
      <c r="BR43" s="3">
        <f>Switzerland!BU17</f>
        <v>0</v>
      </c>
      <c r="BS43" s="3">
        <f>Britain!BN17</f>
        <v>0</v>
      </c>
      <c r="BT43" s="3">
        <f>USA!BU17</f>
        <v>0</v>
      </c>
    </row>
    <row r="44" spans="1:72">
      <c r="A44" s="3">
        <v>2024</v>
      </c>
      <c r="B44" s="3">
        <f>Australia!P18</f>
        <v>46859.989502607605</v>
      </c>
      <c r="C44" s="3">
        <f>Austria!P18</f>
        <v>30012.459868448426</v>
      </c>
      <c r="D44" s="3">
        <f>Belgium!P18</f>
        <v>31559.996200217578</v>
      </c>
      <c r="E44" s="3">
        <f>Canada!P18</f>
        <v>44044.255952035011</v>
      </c>
      <c r="F44" s="3">
        <f>China!Q18</f>
        <v>210103.84315970453</v>
      </c>
      <c r="G44" s="3">
        <f>Denmark!P18</f>
        <v>414052.81392976944</v>
      </c>
      <c r="H44" s="3">
        <f>Finland!P18</f>
        <v>30540.407099324253</v>
      </c>
      <c r="I44" s="3">
        <f>France!Q18</f>
        <v>31126.901045799867</v>
      </c>
      <c r="J44" s="3">
        <f>Germany!R18</f>
        <v>29814.769211557752</v>
      </c>
      <c r="K44" s="3">
        <f>India!P18</f>
        <v>2401310.4745865134</v>
      </c>
      <c r="L44" s="3">
        <f>Ireland!Q18</f>
        <v>26964.907384260627</v>
      </c>
      <c r="M44" s="3">
        <f>Italy!O18</f>
        <v>31808.839144021029</v>
      </c>
      <c r="N44" s="3">
        <f>Japan!P18</f>
        <v>2647616.853612917</v>
      </c>
      <c r="O44" s="3">
        <f>Korea!Q18</f>
        <v>36.643545803998371</v>
      </c>
      <c r="P44" s="3">
        <f>'Netherlands '!Q19</f>
        <v>33842.640357269345</v>
      </c>
      <c r="Q44" s="3">
        <f>'New Zealand'!N18</f>
        <v>52800.888144652097</v>
      </c>
      <c r="R44" s="3">
        <f>'Norway with subs'!AC19</f>
        <v>315771.66824136651</v>
      </c>
      <c r="S44" s="3">
        <f>Spain!P18</f>
        <v>29814.088790754864</v>
      </c>
      <c r="T44" s="3">
        <f>Sweden!O18</f>
        <v>293389.47073273588</v>
      </c>
      <c r="U44" s="3">
        <f>Switzerland!O18</f>
        <v>33327.919598350592</v>
      </c>
      <c r="V44" s="3">
        <f>Britain!Q18</f>
        <v>27210.04943787989</v>
      </c>
      <c r="W44" s="3">
        <f>USA!P18</f>
        <v>31261.447932207808</v>
      </c>
      <c r="Y44" s="3">
        <v>2024</v>
      </c>
      <c r="Z44" s="84">
        <f t="shared" si="0"/>
        <v>1.35</v>
      </c>
      <c r="AA44" s="84">
        <f>Austria!AY18</f>
        <v>0</v>
      </c>
      <c r="AB44" s="84">
        <f>Belgium!AT18</f>
        <v>0</v>
      </c>
      <c r="AC44" s="84">
        <f>Canada!AW18</f>
        <v>0</v>
      </c>
      <c r="AD44" s="84">
        <f>China!AV18</f>
        <v>0</v>
      </c>
      <c r="AE44" s="84">
        <f>Denmark!AV18</f>
        <v>0</v>
      </c>
      <c r="AF44" s="84">
        <f>Finland!AU18</f>
        <v>0</v>
      </c>
      <c r="AG44" s="84">
        <f>France!AV18</f>
        <v>0</v>
      </c>
      <c r="AH44" s="84">
        <f>Germany!AW18</f>
        <v>0</v>
      </c>
      <c r="AI44" s="84">
        <f>India!AU18</f>
        <v>0</v>
      </c>
      <c r="AJ44" s="84">
        <f>Ireland!AV18</f>
        <v>0</v>
      </c>
      <c r="AK44" s="84">
        <f>Italy!AU18</f>
        <v>0</v>
      </c>
      <c r="AL44" s="84">
        <f>Japan!AU18</f>
        <v>0</v>
      </c>
      <c r="AM44" s="84">
        <f>Korea!AW18</f>
        <v>0</v>
      </c>
      <c r="AN44" s="84">
        <f>'Netherlands '!AV19</f>
        <v>0</v>
      </c>
      <c r="AO44" s="84">
        <f>'New Zealand'!AU18</f>
        <v>0</v>
      </c>
      <c r="AP44" s="84">
        <f>'Norway with subs'!BA19</f>
        <v>0</v>
      </c>
      <c r="AQ44" s="84">
        <f>Spain!AU18</f>
        <v>0</v>
      </c>
      <c r="AR44" s="84">
        <f>Sweden!AU18</f>
        <v>0</v>
      </c>
      <c r="AS44" s="84">
        <f>Switzerland!AV18</f>
        <v>0</v>
      </c>
      <c r="AT44" s="84">
        <f>Britain!AO18</f>
        <v>0</v>
      </c>
      <c r="AU44" s="84">
        <f>USA!AV18</f>
        <v>0</v>
      </c>
      <c r="AX44" s="3">
        <v>2024</v>
      </c>
      <c r="AY44" s="3">
        <f>Australia!BP18</f>
        <v>0</v>
      </c>
      <c r="AZ44" s="3">
        <f>Austria!BX18</f>
        <v>0</v>
      </c>
      <c r="BA44" s="3">
        <f>Belgium!BS18</f>
        <v>0</v>
      </c>
      <c r="BB44" s="3">
        <f>Canada!BV18</f>
        <v>0</v>
      </c>
      <c r="BC44" s="3">
        <f>China!BU18</f>
        <v>0</v>
      </c>
      <c r="BD44" s="3">
        <f>Denmark!BU18</f>
        <v>0</v>
      </c>
      <c r="BE44" s="3">
        <f>Finland!BT18</f>
        <v>0</v>
      </c>
      <c r="BF44" s="3">
        <f>France!BU18</f>
        <v>0</v>
      </c>
      <c r="BG44" s="3">
        <f>Germany!BV18</f>
        <v>0</v>
      </c>
      <c r="BH44" s="3">
        <f>India!BT18</f>
        <v>0</v>
      </c>
      <c r="BI44" s="3">
        <f>Ireland!BU18</f>
        <v>0</v>
      </c>
      <c r="BJ44" s="3">
        <f>Italy!BT18</f>
        <v>0</v>
      </c>
      <c r="BK44" s="3">
        <f>Japan!BT18</f>
        <v>0</v>
      </c>
      <c r="BL44" s="3">
        <f>Korea!BV18</f>
        <v>0</v>
      </c>
      <c r="BM44" s="3">
        <f>'Netherlands '!BU19</f>
        <v>0</v>
      </c>
      <c r="BN44" s="3">
        <f>'New Zealand'!BT18</f>
        <v>0</v>
      </c>
      <c r="BO44" s="3">
        <f>'Norway with subs'!BX19</f>
        <v>0</v>
      </c>
      <c r="BP44" s="3">
        <f>Spain!BT18</f>
        <v>0</v>
      </c>
      <c r="BQ44" s="3">
        <f>Sweden!BT18</f>
        <v>0</v>
      </c>
      <c r="BR44" s="3">
        <f>Switzerland!BU18</f>
        <v>0</v>
      </c>
      <c r="BS44" s="3">
        <f>Britain!BN18</f>
        <v>0</v>
      </c>
      <c r="BT44" s="3">
        <f>USA!BU18</f>
        <v>0</v>
      </c>
    </row>
    <row r="45" spans="1:72">
      <c r="A45" s="3">
        <v>2025</v>
      </c>
      <c r="B45" s="3">
        <f>Australia!P19</f>
        <v>45437.819827042353</v>
      </c>
      <c r="C45" s="3">
        <f>Austria!P19</f>
        <v>29088.01236200632</v>
      </c>
      <c r="D45" s="3">
        <f>Belgium!P19</f>
        <v>30601.162040061001</v>
      </c>
      <c r="E45" s="3">
        <f>Canada!P19</f>
        <v>42694.024513578326</v>
      </c>
      <c r="F45" s="3">
        <f>China!Q19</f>
        <v>202116.19990815222</v>
      </c>
      <c r="G45" s="3">
        <f>Denmark!P19</f>
        <v>406478.16390422522</v>
      </c>
      <c r="H45" s="3">
        <f>Finland!P19</f>
        <v>29571.929822404905</v>
      </c>
      <c r="I45" s="3">
        <f>France!Q19</f>
        <v>30161.707692020762</v>
      </c>
      <c r="J45" s="3">
        <f>Germany!R19</f>
        <v>28882.114219506431</v>
      </c>
      <c r="K45" s="3">
        <f>India!P19</f>
        <v>2327419.9123960575</v>
      </c>
      <c r="L45" s="3">
        <f>Ireland!Q19</f>
        <v>26061.917059434392</v>
      </c>
      <c r="M45" s="3">
        <f>Italy!O19</f>
        <v>30842.08073460696</v>
      </c>
      <c r="N45" s="3">
        <f>Japan!P19</f>
        <v>2563497.0251017106</v>
      </c>
      <c r="O45" s="3">
        <f>Korea!Q19</f>
        <v>35.144639097020494</v>
      </c>
      <c r="P45" s="3">
        <f>'Netherlands '!Q20</f>
        <v>32764.942458250382</v>
      </c>
      <c r="Q45" s="3">
        <f>'New Zealand'!N19</f>
        <v>51195.528471545986</v>
      </c>
      <c r="R45" s="3">
        <f>'Norway with subs'!AC20</f>
        <v>306150.69737815222</v>
      </c>
      <c r="S45" s="3">
        <f>Spain!P19</f>
        <v>28888.816601199964</v>
      </c>
      <c r="T45" s="3">
        <f>Sweden!O19</f>
        <v>283794.7882418079</v>
      </c>
      <c r="U45" s="3">
        <f>Switzerland!O19</f>
        <v>32312.787013730653</v>
      </c>
      <c r="V45" s="3">
        <f>Britain!Q19</f>
        <v>26367.357847566742</v>
      </c>
      <c r="W45" s="3">
        <f>USA!P19</f>
        <v>30289.466434878639</v>
      </c>
      <c r="Y45" s="3">
        <v>2025</v>
      </c>
      <c r="Z45" s="84">
        <f t="shared" si="0"/>
        <v>1.35</v>
      </c>
      <c r="AA45" s="84">
        <f>Austria!AY19</f>
        <v>0</v>
      </c>
      <c r="AB45" s="84">
        <f>Belgium!AT19</f>
        <v>0</v>
      </c>
      <c r="AC45" s="84">
        <f>Canada!AW19</f>
        <v>0</v>
      </c>
      <c r="AD45" s="84">
        <f>China!AV19</f>
        <v>0</v>
      </c>
      <c r="AE45" s="84">
        <f>Denmark!AV19</f>
        <v>0</v>
      </c>
      <c r="AF45" s="84">
        <f>Finland!AU19</f>
        <v>0</v>
      </c>
      <c r="AG45" s="84">
        <f>France!AV19</f>
        <v>0</v>
      </c>
      <c r="AH45" s="84">
        <f>Germany!AW19</f>
        <v>0</v>
      </c>
      <c r="AI45" s="84">
        <f>India!AU19</f>
        <v>0</v>
      </c>
      <c r="AJ45" s="84">
        <f>Ireland!AV19</f>
        <v>0</v>
      </c>
      <c r="AK45" s="84">
        <f>Italy!AU19</f>
        <v>0</v>
      </c>
      <c r="AL45" s="84">
        <f>Japan!AU19</f>
        <v>0</v>
      </c>
      <c r="AM45" s="84">
        <f>Korea!AW19</f>
        <v>0</v>
      </c>
      <c r="AN45" s="84">
        <f>'Netherlands '!AV20</f>
        <v>0</v>
      </c>
      <c r="AO45" s="84">
        <f>'New Zealand'!AU19</f>
        <v>0</v>
      </c>
      <c r="AP45" s="84">
        <f>'Norway with subs'!BA20</f>
        <v>0</v>
      </c>
      <c r="AQ45" s="84">
        <f>Spain!AU19</f>
        <v>0</v>
      </c>
      <c r="AR45" s="84">
        <f>Sweden!AU19</f>
        <v>0</v>
      </c>
      <c r="AS45" s="84">
        <f>Switzerland!AV19</f>
        <v>0</v>
      </c>
      <c r="AT45" s="84">
        <f>Britain!AO19</f>
        <v>0</v>
      </c>
      <c r="AU45" s="84">
        <f>USA!AV19</f>
        <v>0</v>
      </c>
      <c r="AX45" s="3">
        <v>2025</v>
      </c>
      <c r="AY45" s="3">
        <f>Australia!BP19</f>
        <v>0</v>
      </c>
      <c r="AZ45" s="3">
        <f>Austria!BX19</f>
        <v>0</v>
      </c>
      <c r="BA45" s="3">
        <f>Belgium!BS19</f>
        <v>0</v>
      </c>
      <c r="BB45" s="3">
        <f>Canada!BV19</f>
        <v>0</v>
      </c>
      <c r="BC45" s="3">
        <f>China!BU19</f>
        <v>0</v>
      </c>
      <c r="BD45" s="3">
        <f>Denmark!BU19</f>
        <v>0</v>
      </c>
      <c r="BE45" s="3">
        <f>Finland!BT19</f>
        <v>0</v>
      </c>
      <c r="BF45" s="3">
        <f>France!BU19</f>
        <v>0</v>
      </c>
      <c r="BG45" s="3">
        <f>Germany!BV19</f>
        <v>0</v>
      </c>
      <c r="BH45" s="3">
        <f>India!BT19</f>
        <v>0</v>
      </c>
      <c r="BI45" s="3">
        <f>Ireland!BU19</f>
        <v>0</v>
      </c>
      <c r="BJ45" s="3">
        <f>Italy!BT19</f>
        <v>0</v>
      </c>
      <c r="BK45" s="3">
        <f>Japan!BT19</f>
        <v>0</v>
      </c>
      <c r="BL45" s="3">
        <f>Korea!BV19</f>
        <v>0</v>
      </c>
      <c r="BM45" s="3">
        <f>'Netherlands '!BU20</f>
        <v>0</v>
      </c>
      <c r="BN45" s="3">
        <f>'New Zealand'!BT19</f>
        <v>0</v>
      </c>
      <c r="BO45" s="3">
        <f>'Norway with subs'!BX20</f>
        <v>0</v>
      </c>
      <c r="BP45" s="3">
        <f>Spain!BT19</f>
        <v>0</v>
      </c>
      <c r="BQ45" s="3">
        <f>Sweden!BT19</f>
        <v>0</v>
      </c>
      <c r="BR45" s="3">
        <f>Switzerland!BU19</f>
        <v>0</v>
      </c>
      <c r="BS45" s="3">
        <f>Britain!BN19</f>
        <v>0</v>
      </c>
      <c r="BT45" s="3">
        <f>USA!BU19</f>
        <v>0</v>
      </c>
    </row>
    <row r="46" spans="1:72">
      <c r="A46" s="3">
        <v>2026</v>
      </c>
      <c r="B46" s="3">
        <f>Australia!P20</f>
        <v>44627.618608857214</v>
      </c>
      <c r="C46" s="3">
        <f>Austria!P20</f>
        <v>28572.208102344601</v>
      </c>
      <c r="D46" s="3">
        <f>Belgium!P20</f>
        <v>30054.920183028284</v>
      </c>
      <c r="E46" s="3">
        <f>Canada!P20</f>
        <v>41932.699784315941</v>
      </c>
      <c r="F46" s="3">
        <f>China!Q20</f>
        <v>197565.68923138382</v>
      </c>
      <c r="G46" s="3">
        <f>Denmark!P20</f>
        <v>402162.93289946992</v>
      </c>
      <c r="H46" s="3">
        <f>Finland!P20</f>
        <v>29026.169226486498</v>
      </c>
      <c r="I46" s="3">
        <f>France!Q20</f>
        <v>29615.829605471637</v>
      </c>
      <c r="J46" s="3">
        <f>Germany!R20</f>
        <v>28364.878133427286</v>
      </c>
      <c r="K46" s="3">
        <f>India!P20</f>
        <v>2286570.5130988108</v>
      </c>
      <c r="L46" s="3">
        <f>Ireland!Q20</f>
        <v>25552.088984821316</v>
      </c>
      <c r="M46" s="3">
        <f>Italy!O20</f>
        <v>30291.324482061576</v>
      </c>
      <c r="N46" s="3">
        <f>Japan!P20</f>
        <v>2515998.3784233173</v>
      </c>
      <c r="O46" s="3">
        <f>Korea!Q20</f>
        <v>34.290721269348722</v>
      </c>
      <c r="P46" s="3">
        <f>'Netherlands '!Q21</f>
        <v>32150.984668527657</v>
      </c>
      <c r="Q46" s="3">
        <f>'New Zealand'!N20</f>
        <v>50280.965051215069</v>
      </c>
      <c r="R46" s="3">
        <f>'Norway with subs'!AC21</f>
        <v>300669.69012041989</v>
      </c>
      <c r="S46" s="3">
        <f>Spain!P20</f>
        <v>28375.491545463516</v>
      </c>
      <c r="T46" s="3">
        <f>Sweden!O20</f>
        <v>278456.96044979262</v>
      </c>
      <c r="U46" s="3">
        <f>Switzerland!O20</f>
        <v>31734.472294460887</v>
      </c>
      <c r="V46" s="3">
        <f>Britain!Q20</f>
        <v>25908.474128796814</v>
      </c>
      <c r="W46" s="3">
        <f>USA!P20</f>
        <v>29742.291971912469</v>
      </c>
      <c r="Y46" s="3">
        <v>2026</v>
      </c>
      <c r="Z46" s="84">
        <f t="shared" si="0"/>
        <v>1.35</v>
      </c>
      <c r="AA46" s="84">
        <f>Austria!AY20</f>
        <v>0</v>
      </c>
      <c r="AB46" s="84">
        <f>Belgium!AT20</f>
        <v>0</v>
      </c>
      <c r="AC46" s="84">
        <f>Canada!AW20</f>
        <v>0</v>
      </c>
      <c r="AD46" s="84">
        <f>China!AV20</f>
        <v>0</v>
      </c>
      <c r="AE46" s="84">
        <f>Denmark!AV20</f>
        <v>0</v>
      </c>
      <c r="AF46" s="84">
        <f>Finland!AU20</f>
        <v>0</v>
      </c>
      <c r="AG46" s="84">
        <f>France!AV20</f>
        <v>0</v>
      </c>
      <c r="AH46" s="84">
        <f>Germany!AW20</f>
        <v>0</v>
      </c>
      <c r="AI46" s="84">
        <f>India!AU20</f>
        <v>0</v>
      </c>
      <c r="AJ46" s="84">
        <f>Ireland!AV20</f>
        <v>0</v>
      </c>
      <c r="AK46" s="84">
        <f>Italy!AU20</f>
        <v>0</v>
      </c>
      <c r="AL46" s="84">
        <f>Japan!AU20</f>
        <v>0</v>
      </c>
      <c r="AM46" s="84">
        <f>Korea!AW20</f>
        <v>0</v>
      </c>
      <c r="AN46" s="84">
        <f>'Netherlands '!AV21</f>
        <v>0</v>
      </c>
      <c r="AO46" s="84">
        <f>'New Zealand'!AU20</f>
        <v>0</v>
      </c>
      <c r="AP46" s="84">
        <f>'Norway with subs'!BA21</f>
        <v>0</v>
      </c>
      <c r="AQ46" s="84">
        <f>Spain!AU20</f>
        <v>0</v>
      </c>
      <c r="AR46" s="84">
        <f>Sweden!AU20</f>
        <v>0</v>
      </c>
      <c r="AS46" s="84">
        <f>Switzerland!AV20</f>
        <v>0</v>
      </c>
      <c r="AT46" s="84">
        <f>Britain!AO20</f>
        <v>0</v>
      </c>
      <c r="AU46" s="84">
        <f>USA!AV20</f>
        <v>0</v>
      </c>
      <c r="AX46" s="3">
        <v>2026</v>
      </c>
      <c r="AY46" s="3">
        <f>Australia!BP20</f>
        <v>0</v>
      </c>
      <c r="AZ46" s="3">
        <f>Austria!BX20</f>
        <v>0</v>
      </c>
      <c r="BA46" s="3">
        <f>Belgium!BS20</f>
        <v>0</v>
      </c>
      <c r="BB46" s="3">
        <f>Canada!BV20</f>
        <v>0</v>
      </c>
      <c r="BC46" s="3">
        <f>China!BU20</f>
        <v>0</v>
      </c>
      <c r="BD46" s="3">
        <f>Denmark!BU20</f>
        <v>0</v>
      </c>
      <c r="BE46" s="3">
        <f>Finland!BT20</f>
        <v>0</v>
      </c>
      <c r="BF46" s="3">
        <f>France!BU20</f>
        <v>0</v>
      </c>
      <c r="BG46" s="3">
        <f>Germany!BV20</f>
        <v>0</v>
      </c>
      <c r="BH46" s="3">
        <f>India!BT20</f>
        <v>0</v>
      </c>
      <c r="BI46" s="3">
        <f>Ireland!BU20</f>
        <v>0</v>
      </c>
      <c r="BJ46" s="3">
        <f>Italy!BT20</f>
        <v>0</v>
      </c>
      <c r="BK46" s="3">
        <f>Japan!BT20</f>
        <v>0</v>
      </c>
      <c r="BL46" s="3">
        <f>Korea!BV20</f>
        <v>0</v>
      </c>
      <c r="BM46" s="3">
        <f>'Netherlands '!BU21</f>
        <v>0</v>
      </c>
      <c r="BN46" s="3">
        <f>'New Zealand'!BT20</f>
        <v>0</v>
      </c>
      <c r="BO46" s="3">
        <f>'Norway with subs'!BX21</f>
        <v>0</v>
      </c>
      <c r="BP46" s="3">
        <f>Spain!BT20</f>
        <v>0</v>
      </c>
      <c r="BQ46" s="3">
        <f>Sweden!BT20</f>
        <v>0</v>
      </c>
      <c r="BR46" s="3">
        <f>Switzerland!BU20</f>
        <v>0</v>
      </c>
      <c r="BS46" s="3">
        <f>Britain!BN20</f>
        <v>0</v>
      </c>
      <c r="BT46" s="3">
        <f>USA!BU20</f>
        <v>0</v>
      </c>
    </row>
    <row r="47" spans="1:72">
      <c r="A47" s="3">
        <v>2027</v>
      </c>
      <c r="B47" s="3">
        <f>Australia!P21</f>
        <v>43817.41739067209</v>
      </c>
      <c r="C47" s="3">
        <f>Austria!P21</f>
        <v>28055.875626971032</v>
      </c>
      <c r="D47" s="3">
        <f>Belgium!P21</f>
        <v>29508.67832599557</v>
      </c>
      <c r="E47" s="3">
        <f>Canada!P21</f>
        <v>41170.986955382301</v>
      </c>
      <c r="F47" s="3">
        <f>China!Q21</f>
        <v>193015.17855461541</v>
      </c>
      <c r="G47" s="3">
        <f>Denmark!P21</f>
        <v>397847.70189471467</v>
      </c>
      <c r="H47" s="3">
        <f>Finland!P21</f>
        <v>28480.304230213365</v>
      </c>
      <c r="I47" s="3">
        <f>France!Q21</f>
        <v>29069.855761836945</v>
      </c>
      <c r="J47" s="3">
        <f>Germany!R21</f>
        <v>27847.068771452214</v>
      </c>
      <c r="K47" s="3">
        <f>India!P21</f>
        <v>2245648.3902597497</v>
      </c>
      <c r="L47" s="3">
        <f>Ireland!Q21</f>
        <v>25042.224524183723</v>
      </c>
      <c r="M47" s="3">
        <f>Italy!O21</f>
        <v>29740.568229516193</v>
      </c>
      <c r="N47" s="3">
        <f>Japan!P21</f>
        <v>2468495.0945604402</v>
      </c>
      <c r="O47" s="3">
        <f>Korea!Q21</f>
        <v>33.436803441676965</v>
      </c>
      <c r="P47" s="3">
        <f>'Netherlands '!Q22</f>
        <v>31537.026878804936</v>
      </c>
      <c r="Q47" s="3">
        <f>'New Zealand'!N21</f>
        <v>49366.401630884167</v>
      </c>
      <c r="R47" s="3">
        <f>'Norway with subs'!AC22</f>
        <v>295188.68286268768</v>
      </c>
      <c r="S47" s="3">
        <f>Spain!P21</f>
        <v>27861.533722656251</v>
      </c>
      <c r="T47" s="3">
        <f>Sweden!O21</f>
        <v>273113.76623463287</v>
      </c>
      <c r="U47" s="3">
        <f>Switzerland!O21</f>
        <v>31156.157575191122</v>
      </c>
      <c r="V47" s="3">
        <f>Britain!Q21</f>
        <v>25448.317962688743</v>
      </c>
      <c r="W47" s="3">
        <f>USA!P21</f>
        <v>29194.706692174201</v>
      </c>
      <c r="Y47" s="3">
        <v>2027</v>
      </c>
      <c r="Z47" s="84">
        <f t="shared" si="0"/>
        <v>1.35</v>
      </c>
      <c r="AA47" s="84">
        <f>Austria!AY21</f>
        <v>0</v>
      </c>
      <c r="AB47" s="84">
        <f>Belgium!AT21</f>
        <v>0</v>
      </c>
      <c r="AC47" s="84">
        <f>Canada!AW21</f>
        <v>0</v>
      </c>
      <c r="AD47" s="84">
        <f>China!AV21</f>
        <v>0</v>
      </c>
      <c r="AE47" s="84">
        <f>Denmark!AV21</f>
        <v>0</v>
      </c>
      <c r="AF47" s="84">
        <f>Finland!AU21</f>
        <v>0</v>
      </c>
      <c r="AG47" s="84">
        <f>France!AV21</f>
        <v>0</v>
      </c>
      <c r="AH47" s="84">
        <f>Germany!AW21</f>
        <v>0</v>
      </c>
      <c r="AI47" s="84">
        <f>India!AU21</f>
        <v>0</v>
      </c>
      <c r="AJ47" s="84">
        <f>Ireland!AV21</f>
        <v>0</v>
      </c>
      <c r="AK47" s="84">
        <f>Italy!AU21</f>
        <v>0</v>
      </c>
      <c r="AL47" s="84">
        <f>Japan!AU21</f>
        <v>0</v>
      </c>
      <c r="AM47" s="84">
        <f>Korea!AW21</f>
        <v>0</v>
      </c>
      <c r="AN47" s="84">
        <f>'Netherlands '!AV22</f>
        <v>0</v>
      </c>
      <c r="AO47" s="84">
        <f>'New Zealand'!AU21</f>
        <v>0</v>
      </c>
      <c r="AP47" s="84">
        <f>'Norway with subs'!BA22</f>
        <v>0</v>
      </c>
      <c r="AQ47" s="84">
        <f>Spain!AU21</f>
        <v>0</v>
      </c>
      <c r="AR47" s="84">
        <f>Sweden!AU21</f>
        <v>0</v>
      </c>
      <c r="AS47" s="84">
        <f>Switzerland!AV21</f>
        <v>0</v>
      </c>
      <c r="AT47" s="84">
        <f>Britain!AO21</f>
        <v>0</v>
      </c>
      <c r="AU47" s="84">
        <f>USA!AV21</f>
        <v>0</v>
      </c>
      <c r="AX47" s="3">
        <v>2027</v>
      </c>
      <c r="AY47" s="3">
        <f>Australia!BP21</f>
        <v>0</v>
      </c>
      <c r="AZ47" s="3">
        <f>Austria!BX21</f>
        <v>0</v>
      </c>
      <c r="BA47" s="3">
        <f>Belgium!BS21</f>
        <v>0</v>
      </c>
      <c r="BB47" s="3">
        <f>Canada!BV21</f>
        <v>0</v>
      </c>
      <c r="BC47" s="3">
        <f>China!BU21</f>
        <v>0</v>
      </c>
      <c r="BD47" s="3">
        <f>Denmark!BU21</f>
        <v>0</v>
      </c>
      <c r="BE47" s="3">
        <f>Finland!BT21</f>
        <v>0</v>
      </c>
      <c r="BF47" s="3">
        <f>France!BU21</f>
        <v>0</v>
      </c>
      <c r="BG47" s="3">
        <f>Germany!BV21</f>
        <v>0</v>
      </c>
      <c r="BH47" s="3">
        <f>India!BT21</f>
        <v>0</v>
      </c>
      <c r="BI47" s="3">
        <f>Ireland!BU21</f>
        <v>0</v>
      </c>
      <c r="BJ47" s="3">
        <f>Italy!BT21</f>
        <v>0</v>
      </c>
      <c r="BK47" s="3">
        <f>Japan!BT21</f>
        <v>0</v>
      </c>
      <c r="BL47" s="3">
        <f>Korea!BV21</f>
        <v>0</v>
      </c>
      <c r="BM47" s="3">
        <f>'Netherlands '!BU22</f>
        <v>0</v>
      </c>
      <c r="BN47" s="3">
        <f>'New Zealand'!BT21</f>
        <v>0</v>
      </c>
      <c r="BO47" s="3">
        <f>'Norway with subs'!BX22</f>
        <v>0</v>
      </c>
      <c r="BP47" s="3">
        <f>Spain!BT21</f>
        <v>0</v>
      </c>
      <c r="BQ47" s="3">
        <f>Sweden!BT21</f>
        <v>0</v>
      </c>
      <c r="BR47" s="3">
        <f>Switzerland!BU21</f>
        <v>0</v>
      </c>
      <c r="BS47" s="3">
        <f>Britain!BN21</f>
        <v>0</v>
      </c>
      <c r="BT47" s="3">
        <f>USA!BU21</f>
        <v>0</v>
      </c>
    </row>
    <row r="48" spans="1:72">
      <c r="A48" s="3">
        <v>2028</v>
      </c>
      <c r="B48" s="3">
        <f>Australia!P22</f>
        <v>42905.941020213824</v>
      </c>
      <c r="C48" s="3">
        <f>Austria!P22</f>
        <v>27471.309766211689</v>
      </c>
      <c r="D48" s="3">
        <f>Belgium!P22</f>
        <v>28894.156236833765</v>
      </c>
      <c r="E48" s="3">
        <f>Canada!P22</f>
        <v>40311.36978853136</v>
      </c>
      <c r="F48" s="3">
        <f>China!Q22</f>
        <v>187895.85404325093</v>
      </c>
      <c r="G48" s="3">
        <f>Denmark!P22</f>
        <v>392993.06701436493</v>
      </c>
      <c r="H48" s="3">
        <f>Finland!P22</f>
        <v>27864.362480313015</v>
      </c>
      <c r="I48" s="3">
        <f>France!Q22</f>
        <v>28454.378306352122</v>
      </c>
      <c r="J48" s="3">
        <f>Germany!R22</f>
        <v>27259.851406417012</v>
      </c>
      <c r="K48" s="3">
        <f>India!P22</f>
        <v>2199174.9673251514</v>
      </c>
      <c r="L48" s="3">
        <f>Ireland!Q22</f>
        <v>24467.253021745597</v>
      </c>
      <c r="M48" s="3">
        <f>Italy!O22</f>
        <v>29120.967445402639</v>
      </c>
      <c r="N48" s="3">
        <f>Japan!P22</f>
        <v>2414925.9553484404</v>
      </c>
      <c r="O48" s="3">
        <f>Korea!Q22</f>
        <v>32.476145885546231</v>
      </c>
      <c r="P48" s="3">
        <f>'Netherlands '!Q23</f>
        <v>30846.324365366876</v>
      </c>
      <c r="Q48" s="3">
        <f>'New Zealand'!N22</f>
        <v>48337.517783011906</v>
      </c>
      <c r="R48" s="3">
        <f>'Norway with subs'!AC23</f>
        <v>289022.54969773896</v>
      </c>
      <c r="S48" s="3">
        <f>Spain!P22</f>
        <v>27278.675064472725</v>
      </c>
      <c r="T48" s="3">
        <f>Sweden!O22</f>
        <v>267059.92566722998</v>
      </c>
      <c r="U48" s="3">
        <f>Switzerland!O22</f>
        <v>30505.553516012631</v>
      </c>
      <c r="V48" s="3">
        <f>Britain!Q22</f>
        <v>24923.188468266791</v>
      </c>
      <c r="W48" s="3">
        <f>USA!P22</f>
        <v>28576.349819758507</v>
      </c>
      <c r="Y48" s="3">
        <v>2028</v>
      </c>
      <c r="Z48" s="84">
        <f t="shared" si="0"/>
        <v>1.35</v>
      </c>
      <c r="AA48" s="84">
        <f>Austria!AY22</f>
        <v>0</v>
      </c>
      <c r="AB48" s="84">
        <f>Belgium!AT22</f>
        <v>0</v>
      </c>
      <c r="AC48" s="84">
        <f>Canada!AW22</f>
        <v>0</v>
      </c>
      <c r="AD48" s="84">
        <f>China!AV22</f>
        <v>0</v>
      </c>
      <c r="AE48" s="84">
        <f>Denmark!AV22</f>
        <v>0</v>
      </c>
      <c r="AF48" s="84">
        <f>Finland!AU22</f>
        <v>0</v>
      </c>
      <c r="AG48" s="84">
        <f>France!AV22</f>
        <v>0</v>
      </c>
      <c r="AH48" s="84">
        <f>Germany!AW22</f>
        <v>0</v>
      </c>
      <c r="AI48" s="84">
        <f>India!AU22</f>
        <v>0</v>
      </c>
      <c r="AJ48" s="84">
        <f>Ireland!AV22</f>
        <v>0</v>
      </c>
      <c r="AK48" s="84">
        <f>Italy!AU22</f>
        <v>0</v>
      </c>
      <c r="AL48" s="84">
        <f>Japan!AU22</f>
        <v>0</v>
      </c>
      <c r="AM48" s="84">
        <f>Korea!AW22</f>
        <v>0</v>
      </c>
      <c r="AN48" s="84">
        <f>'Netherlands '!AV23</f>
        <v>0</v>
      </c>
      <c r="AO48" s="84">
        <f>'New Zealand'!AU22</f>
        <v>0</v>
      </c>
      <c r="AP48" s="84">
        <f>'Norway with subs'!BA23</f>
        <v>0</v>
      </c>
      <c r="AQ48" s="84">
        <f>Spain!AU22</f>
        <v>0</v>
      </c>
      <c r="AR48" s="84">
        <f>Sweden!AU22</f>
        <v>0</v>
      </c>
      <c r="AS48" s="84">
        <f>Switzerland!AV22</f>
        <v>0</v>
      </c>
      <c r="AT48" s="84">
        <f>Britain!AO22</f>
        <v>0</v>
      </c>
      <c r="AU48" s="84">
        <f>USA!AV22</f>
        <v>0</v>
      </c>
      <c r="AX48" s="3">
        <v>2028</v>
      </c>
      <c r="AY48" s="3">
        <f>Australia!BP22</f>
        <v>0</v>
      </c>
      <c r="AZ48" s="3">
        <f>Austria!BX22</f>
        <v>0</v>
      </c>
      <c r="BA48" s="3">
        <f>Belgium!BS22</f>
        <v>0</v>
      </c>
      <c r="BB48" s="3">
        <f>Canada!BV22</f>
        <v>0</v>
      </c>
      <c r="BC48" s="3">
        <f>China!BU22</f>
        <v>0</v>
      </c>
      <c r="BD48" s="3">
        <f>Denmark!BU22</f>
        <v>0</v>
      </c>
      <c r="BE48" s="3">
        <f>Finland!BT22</f>
        <v>0</v>
      </c>
      <c r="BF48" s="3">
        <f>France!BU22</f>
        <v>0</v>
      </c>
      <c r="BG48" s="3">
        <f>Germany!BV22</f>
        <v>0</v>
      </c>
      <c r="BH48" s="3">
        <f>India!BT22</f>
        <v>0</v>
      </c>
      <c r="BI48" s="3">
        <f>Ireland!BU22</f>
        <v>0</v>
      </c>
      <c r="BJ48" s="3">
        <f>Italy!BT22</f>
        <v>0</v>
      </c>
      <c r="BK48" s="3">
        <f>Japan!BT22</f>
        <v>0</v>
      </c>
      <c r="BL48" s="3">
        <f>Korea!BV22</f>
        <v>0</v>
      </c>
      <c r="BM48" s="3">
        <f>'Netherlands '!BU23</f>
        <v>0</v>
      </c>
      <c r="BN48" s="3">
        <f>'New Zealand'!BT22</f>
        <v>0</v>
      </c>
      <c r="BO48" s="3">
        <f>'Norway with subs'!BX23</f>
        <v>0</v>
      </c>
      <c r="BP48" s="3">
        <f>Spain!BT22</f>
        <v>0</v>
      </c>
      <c r="BQ48" s="3">
        <f>Sweden!BT22</f>
        <v>0</v>
      </c>
      <c r="BR48" s="3">
        <f>Switzerland!BU22</f>
        <v>0</v>
      </c>
      <c r="BS48" s="3">
        <f>Britain!BN22</f>
        <v>0</v>
      </c>
      <c r="BT48" s="3">
        <f>USA!BU22</f>
        <v>0</v>
      </c>
    </row>
    <row r="49" spans="1:72">
      <c r="A49" s="3">
        <v>2029</v>
      </c>
      <c r="B49" s="3">
        <f>Australia!P23</f>
        <v>42095.7398020287</v>
      </c>
      <c r="C49" s="3">
        <f>Austria!P23</f>
        <v>26953.952929153547</v>
      </c>
      <c r="D49" s="3">
        <f>Belgium!P23</f>
        <v>28347.914379801059</v>
      </c>
      <c r="E49" s="3">
        <f>Canada!P23</f>
        <v>39548.904543455625</v>
      </c>
      <c r="F49" s="3">
        <f>China!Q23</f>
        <v>183345.34336648264</v>
      </c>
      <c r="G49" s="3">
        <f>Denmark!P23</f>
        <v>388677.83600960969</v>
      </c>
      <c r="H49" s="3">
        <f>Finland!P23</f>
        <v>27318.291009066583</v>
      </c>
      <c r="I49" s="3">
        <f>France!Q23</f>
        <v>27908.215867321578</v>
      </c>
      <c r="J49" s="3">
        <f>Germany!R23</f>
        <v>26740.92473818297</v>
      </c>
      <c r="K49" s="3">
        <f>India!P23</f>
        <v>2158112.6549443668</v>
      </c>
      <c r="L49" s="3">
        <f>Ireland!Q23</f>
        <v>23957.316158521062</v>
      </c>
      <c r="M49" s="3">
        <f>Italy!O23</f>
        <v>28570.211192857267</v>
      </c>
      <c r="N49" s="3">
        <f>Japan!P23</f>
        <v>2367413.4620935479</v>
      </c>
      <c r="O49" s="3">
        <f>Korea!Q23</f>
        <v>31.622228057874466</v>
      </c>
      <c r="P49" s="3">
        <f>'Netherlands '!Q24</f>
        <v>30232.366575644166</v>
      </c>
      <c r="Q49" s="3">
        <f>'New Zealand'!N23</f>
        <v>47422.954362681005</v>
      </c>
      <c r="R49" s="3">
        <f>'Norway with subs'!AC24</f>
        <v>283541.54244000668</v>
      </c>
      <c r="S49" s="3">
        <f>Spain!P23</f>
        <v>26763.487965166849</v>
      </c>
      <c r="T49" s="3">
        <f>Sweden!O23</f>
        <v>261706.28005553473</v>
      </c>
      <c r="U49" s="3">
        <f>Switzerland!O23</f>
        <v>29927.238796742866</v>
      </c>
      <c r="V49" s="3">
        <f>Britain!Q23</f>
        <v>24460.58189935036</v>
      </c>
      <c r="W49" s="3">
        <f>USA!P23</f>
        <v>28027.974679313738</v>
      </c>
      <c r="Y49" s="3">
        <v>2029</v>
      </c>
      <c r="Z49" s="84">
        <f t="shared" si="0"/>
        <v>1.35</v>
      </c>
      <c r="AA49" s="84">
        <f>Austria!AY23</f>
        <v>0</v>
      </c>
      <c r="AB49" s="84">
        <f>Belgium!AT23</f>
        <v>0</v>
      </c>
      <c r="AC49" s="84">
        <f>Canada!AW23</f>
        <v>0</v>
      </c>
      <c r="AD49" s="84">
        <f>China!AV23</f>
        <v>0</v>
      </c>
      <c r="AE49" s="84">
        <f>Denmark!AV23</f>
        <v>0</v>
      </c>
      <c r="AF49" s="84">
        <f>Finland!AU23</f>
        <v>0</v>
      </c>
      <c r="AG49" s="84">
        <f>France!AV23</f>
        <v>0</v>
      </c>
      <c r="AH49" s="84">
        <f>Germany!AW23</f>
        <v>0</v>
      </c>
      <c r="AI49" s="84">
        <f>India!AU23</f>
        <v>0</v>
      </c>
      <c r="AJ49" s="84">
        <f>Ireland!AV23</f>
        <v>0</v>
      </c>
      <c r="AK49" s="84">
        <f>Italy!AU23</f>
        <v>0</v>
      </c>
      <c r="AL49" s="84">
        <f>Japan!AU23</f>
        <v>0</v>
      </c>
      <c r="AM49" s="84">
        <f>Korea!AW23</f>
        <v>0</v>
      </c>
      <c r="AN49" s="84">
        <f>'Netherlands '!AV24</f>
        <v>0</v>
      </c>
      <c r="AO49" s="84">
        <f>'New Zealand'!AU23</f>
        <v>0</v>
      </c>
      <c r="AP49" s="84">
        <f>'Norway with subs'!BA24</f>
        <v>0</v>
      </c>
      <c r="AQ49" s="84">
        <f>Spain!AU23</f>
        <v>0</v>
      </c>
      <c r="AR49" s="84">
        <f>Sweden!AU23</f>
        <v>0</v>
      </c>
      <c r="AS49" s="84">
        <f>Switzerland!AV23</f>
        <v>0</v>
      </c>
      <c r="AT49" s="84">
        <f>Britain!AO23</f>
        <v>0</v>
      </c>
      <c r="AU49" s="84">
        <f>USA!AV23</f>
        <v>0</v>
      </c>
      <c r="AX49" s="3">
        <v>2029</v>
      </c>
      <c r="AY49" s="3">
        <f>Australia!BP23</f>
        <v>0</v>
      </c>
      <c r="AZ49" s="3">
        <f>Austria!BX23</f>
        <v>0</v>
      </c>
      <c r="BA49" s="3">
        <f>Belgium!BS23</f>
        <v>0</v>
      </c>
      <c r="BB49" s="3">
        <f>Canada!BV23</f>
        <v>0</v>
      </c>
      <c r="BC49" s="3">
        <f>China!BU23</f>
        <v>0</v>
      </c>
      <c r="BD49" s="3">
        <f>Denmark!BU23</f>
        <v>0</v>
      </c>
      <c r="BE49" s="3">
        <f>Finland!BT23</f>
        <v>0</v>
      </c>
      <c r="BF49" s="3">
        <f>France!BU23</f>
        <v>0</v>
      </c>
      <c r="BG49" s="3">
        <f>Germany!BV23</f>
        <v>0</v>
      </c>
      <c r="BH49" s="3">
        <f>India!BT23</f>
        <v>0</v>
      </c>
      <c r="BI49" s="3">
        <f>Ireland!BU23</f>
        <v>0</v>
      </c>
      <c r="BJ49" s="3">
        <f>Italy!BT23</f>
        <v>0</v>
      </c>
      <c r="BK49" s="3">
        <f>Japan!BT23</f>
        <v>0</v>
      </c>
      <c r="BL49" s="3">
        <f>Korea!BV23</f>
        <v>0</v>
      </c>
      <c r="BM49" s="3">
        <f>'Netherlands '!BU24</f>
        <v>0</v>
      </c>
      <c r="BN49" s="3">
        <f>'New Zealand'!BT23</f>
        <v>0</v>
      </c>
      <c r="BO49" s="3">
        <f>'Norway with subs'!BX24</f>
        <v>0</v>
      </c>
      <c r="BP49" s="3">
        <f>Spain!BT23</f>
        <v>0</v>
      </c>
      <c r="BQ49" s="3">
        <f>Sweden!BT23</f>
        <v>0</v>
      </c>
      <c r="BR49" s="3">
        <f>Switzerland!BU23</f>
        <v>0</v>
      </c>
      <c r="BS49" s="3">
        <f>Britain!BN23</f>
        <v>0</v>
      </c>
      <c r="BT49" s="3">
        <f>USA!BU23</f>
        <v>0</v>
      </c>
    </row>
    <row r="50" spans="1:72">
      <c r="A50" s="3">
        <v>2030</v>
      </c>
      <c r="B50" s="3">
        <f>Australia!P24</f>
        <v>41184.263431570427</v>
      </c>
      <c r="C50" s="3">
        <f>Austria!P24</f>
        <v>26368.383579283131</v>
      </c>
      <c r="D50" s="3">
        <f>Belgium!P24</f>
        <v>27733.392290639254</v>
      </c>
      <c r="E50" s="3">
        <f>Canada!P24</f>
        <v>38688.55043621084</v>
      </c>
      <c r="F50" s="3">
        <f>China!Q24</f>
        <v>178226.01885511816</v>
      </c>
      <c r="G50" s="3">
        <f>Denmark!P24</f>
        <v>383823.20112926007</v>
      </c>
      <c r="H50" s="3">
        <f>Finland!P24</f>
        <v>26702.144321227464</v>
      </c>
      <c r="I50" s="3">
        <f>France!Q24</f>
        <v>27292.551739169361</v>
      </c>
      <c r="J50" s="3">
        <f>Germany!R24</f>
        <v>26152.609175527381</v>
      </c>
      <c r="K50" s="3">
        <f>India!P24</f>
        <v>2111502.4483804144</v>
      </c>
      <c r="L50" s="3">
        <f>Ireland!Q24</f>
        <v>23382.272498830644</v>
      </c>
      <c r="M50" s="3">
        <f>Italy!O24</f>
        <v>27950.610408743712</v>
      </c>
      <c r="N50" s="3">
        <f>Japan!P24</f>
        <v>2313835.1565711917</v>
      </c>
      <c r="O50" s="3">
        <f>Korea!Q24</f>
        <v>30.661570501743732</v>
      </c>
      <c r="P50" s="3">
        <f>'Netherlands '!Q25</f>
        <v>29541.664062206106</v>
      </c>
      <c r="Q50" s="3">
        <f>'New Zealand'!N24</f>
        <v>46394.070514808744</v>
      </c>
      <c r="R50" s="3">
        <f>'Norway with subs'!AC25</f>
        <v>277375.40927505796</v>
      </c>
      <c r="S50" s="3">
        <f>Spain!P24</f>
        <v>26179.423661143166</v>
      </c>
      <c r="T50" s="3">
        <f>Sweden!O24</f>
        <v>255642.17188175058</v>
      </c>
      <c r="U50" s="3">
        <f>Switzerland!O24</f>
        <v>29276.634737564382</v>
      </c>
      <c r="V50" s="3">
        <f>Britain!Q24</f>
        <v>23933.063166620719</v>
      </c>
      <c r="W50" s="3">
        <f>USA!P24</f>
        <v>27408.84848703197</v>
      </c>
      <c r="Y50" s="3">
        <v>2030</v>
      </c>
      <c r="Z50" s="84">
        <f t="shared" si="0"/>
        <v>1.35</v>
      </c>
      <c r="AA50" s="84">
        <f>Austria!AY24</f>
        <v>0</v>
      </c>
      <c r="AB50" s="84">
        <f>Belgium!AT24</f>
        <v>0</v>
      </c>
      <c r="AC50" s="84">
        <f>Canada!AW24</f>
        <v>0</v>
      </c>
      <c r="AD50" s="84">
        <f>China!AV24</f>
        <v>0</v>
      </c>
      <c r="AE50" s="84">
        <f>Denmark!AV24</f>
        <v>0</v>
      </c>
      <c r="AF50" s="84">
        <f>Finland!AU24</f>
        <v>0</v>
      </c>
      <c r="AG50" s="84">
        <f>France!AV24</f>
        <v>0</v>
      </c>
      <c r="AH50" s="84">
        <f>Germany!AW24</f>
        <v>0</v>
      </c>
      <c r="AI50" s="84">
        <f>India!AU24</f>
        <v>0</v>
      </c>
      <c r="AJ50" s="84">
        <f>Ireland!AV24</f>
        <v>0</v>
      </c>
      <c r="AK50" s="84">
        <f>Italy!AU24</f>
        <v>0</v>
      </c>
      <c r="AL50" s="84">
        <f>Japan!AU24</f>
        <v>0</v>
      </c>
      <c r="AM50" s="84">
        <f>Korea!AW24</f>
        <v>0</v>
      </c>
      <c r="AN50" s="84">
        <f>'Netherlands '!AV25</f>
        <v>0</v>
      </c>
      <c r="AO50" s="84">
        <f>'New Zealand'!AU24</f>
        <v>0</v>
      </c>
      <c r="AP50" s="84">
        <f>'Norway with subs'!BA25</f>
        <v>0</v>
      </c>
      <c r="AQ50" s="84">
        <f>Spain!AU24</f>
        <v>0</v>
      </c>
      <c r="AR50" s="84">
        <f>Sweden!AU24</f>
        <v>0</v>
      </c>
      <c r="AS50" s="84">
        <f>Switzerland!AV24</f>
        <v>0</v>
      </c>
      <c r="AT50" s="84">
        <f>Britain!AO24</f>
        <v>0</v>
      </c>
      <c r="AU50" s="84">
        <f>USA!AV24</f>
        <v>0</v>
      </c>
      <c r="AX50" s="3">
        <v>2030</v>
      </c>
      <c r="AY50" s="3">
        <f>Australia!BP24</f>
        <v>0</v>
      </c>
      <c r="AZ50" s="3">
        <f>Austria!BX24</f>
        <v>0</v>
      </c>
      <c r="BA50" s="3">
        <f>Belgium!BS24</f>
        <v>0</v>
      </c>
      <c r="BB50" s="3">
        <f>Canada!BV24</f>
        <v>0</v>
      </c>
      <c r="BC50" s="3">
        <f>China!BU24</f>
        <v>0</v>
      </c>
      <c r="BD50" s="3">
        <f>Denmark!BU24</f>
        <v>0</v>
      </c>
      <c r="BE50" s="3">
        <f>Finland!BT24</f>
        <v>0</v>
      </c>
      <c r="BF50" s="3">
        <f>France!BU24</f>
        <v>0</v>
      </c>
      <c r="BG50" s="3">
        <f>Germany!BV24</f>
        <v>0</v>
      </c>
      <c r="BH50" s="3">
        <f>India!BT24</f>
        <v>0</v>
      </c>
      <c r="BI50" s="3">
        <f>Ireland!BU24</f>
        <v>0</v>
      </c>
      <c r="BJ50" s="3">
        <f>Italy!BT24</f>
        <v>0</v>
      </c>
      <c r="BK50" s="3">
        <f>Japan!BT24</f>
        <v>0</v>
      </c>
      <c r="BL50" s="3">
        <f>Korea!BV24</f>
        <v>0</v>
      </c>
      <c r="BM50" s="3">
        <f>'Netherlands '!BU25</f>
        <v>0</v>
      </c>
      <c r="BN50" s="3">
        <f>'New Zealand'!BT24</f>
        <v>0</v>
      </c>
      <c r="BO50" s="3">
        <f>'Norway with subs'!BX25</f>
        <v>0</v>
      </c>
      <c r="BP50" s="3">
        <f>Spain!BT24</f>
        <v>0</v>
      </c>
      <c r="BQ50" s="3">
        <f>Sweden!BT24</f>
        <v>0</v>
      </c>
      <c r="BR50" s="3">
        <f>Switzerland!BU24</f>
        <v>0</v>
      </c>
      <c r="BS50" s="3">
        <f>Britain!BN24</f>
        <v>0</v>
      </c>
      <c r="BT50" s="3">
        <f>USA!BU24</f>
        <v>0</v>
      </c>
    </row>
    <row r="53" spans="1:72">
      <c r="B53" s="3" t="s">
        <v>812</v>
      </c>
      <c r="Z53" s="3" t="s">
        <v>914</v>
      </c>
      <c r="AY53" s="3" t="s">
        <v>812</v>
      </c>
    </row>
    <row r="54" spans="1:72">
      <c r="B54" s="168" t="s">
        <v>255</v>
      </c>
      <c r="C54" s="168" t="s">
        <v>539</v>
      </c>
      <c r="D54" s="168" t="s">
        <v>540</v>
      </c>
      <c r="E54" s="168" t="s">
        <v>238</v>
      </c>
      <c r="F54" s="168" t="s">
        <v>239</v>
      </c>
      <c r="G54" s="168" t="s">
        <v>541</v>
      </c>
      <c r="H54" s="168" t="s">
        <v>542</v>
      </c>
      <c r="I54" s="168" t="s">
        <v>240</v>
      </c>
      <c r="J54" s="168" t="s">
        <v>241</v>
      </c>
      <c r="K54" s="168" t="s">
        <v>242</v>
      </c>
      <c r="L54" s="168" t="s">
        <v>544</v>
      </c>
      <c r="M54" s="169" t="s">
        <v>538</v>
      </c>
      <c r="N54" s="168" t="s">
        <v>243</v>
      </c>
      <c r="O54" s="168" t="s">
        <v>244</v>
      </c>
      <c r="P54" s="168" t="s">
        <v>245</v>
      </c>
      <c r="Q54" s="170" t="s">
        <v>331</v>
      </c>
      <c r="R54" s="168" t="s">
        <v>246</v>
      </c>
      <c r="S54" s="168" t="s">
        <v>545</v>
      </c>
      <c r="T54" s="168" t="s">
        <v>247</v>
      </c>
      <c r="U54" s="168" t="s">
        <v>546</v>
      </c>
      <c r="V54" s="168" t="s">
        <v>248</v>
      </c>
      <c r="W54" s="168" t="s">
        <v>249</v>
      </c>
      <c r="X54" s="168"/>
      <c r="Z54" s="168" t="s">
        <v>255</v>
      </c>
      <c r="AA54" s="168" t="s">
        <v>539</v>
      </c>
      <c r="AB54" s="168" t="s">
        <v>540</v>
      </c>
      <c r="AC54" s="168" t="s">
        <v>238</v>
      </c>
      <c r="AD54" s="168" t="s">
        <v>239</v>
      </c>
      <c r="AE54" s="168" t="s">
        <v>541</v>
      </c>
      <c r="AF54" s="168" t="s">
        <v>542</v>
      </c>
      <c r="AG54" s="168" t="s">
        <v>240</v>
      </c>
      <c r="AH54" s="168" t="s">
        <v>241</v>
      </c>
      <c r="AI54" s="168" t="s">
        <v>242</v>
      </c>
      <c r="AJ54" s="168" t="s">
        <v>544</v>
      </c>
      <c r="AK54" s="169" t="s">
        <v>538</v>
      </c>
      <c r="AL54" s="168" t="s">
        <v>243</v>
      </c>
      <c r="AM54" s="168" t="s">
        <v>244</v>
      </c>
      <c r="AN54" s="168" t="s">
        <v>245</v>
      </c>
      <c r="AO54" s="170" t="s">
        <v>331</v>
      </c>
      <c r="AP54" s="168" t="s">
        <v>246</v>
      </c>
      <c r="AQ54" s="168" t="s">
        <v>545</v>
      </c>
      <c r="AR54" s="168" t="s">
        <v>247</v>
      </c>
      <c r="AS54" s="168" t="s">
        <v>546</v>
      </c>
      <c r="AT54" s="168" t="s">
        <v>248</v>
      </c>
      <c r="AU54" s="168" t="s">
        <v>249</v>
      </c>
      <c r="AY54" s="168" t="s">
        <v>255</v>
      </c>
      <c r="AZ54" s="168" t="s">
        <v>539</v>
      </c>
      <c r="BA54" s="168" t="s">
        <v>540</v>
      </c>
      <c r="BB54" s="168" t="s">
        <v>238</v>
      </c>
      <c r="BC54" s="168" t="s">
        <v>239</v>
      </c>
      <c r="BD54" s="168" t="s">
        <v>541</v>
      </c>
      <c r="BE54" s="168" t="s">
        <v>542</v>
      </c>
      <c r="BF54" s="168" t="s">
        <v>240</v>
      </c>
      <c r="BG54" s="168" t="s">
        <v>241</v>
      </c>
      <c r="BH54" s="168" t="s">
        <v>242</v>
      </c>
      <c r="BI54" s="168" t="s">
        <v>544</v>
      </c>
      <c r="BJ54" s="169" t="s">
        <v>538</v>
      </c>
      <c r="BK54" s="168" t="s">
        <v>243</v>
      </c>
      <c r="BL54" s="168" t="s">
        <v>244</v>
      </c>
      <c r="BM54" s="168" t="s">
        <v>245</v>
      </c>
      <c r="BN54" s="170" t="s">
        <v>331</v>
      </c>
      <c r="BO54" s="168" t="s">
        <v>246</v>
      </c>
      <c r="BP54" s="168" t="s">
        <v>545</v>
      </c>
      <c r="BQ54" s="168" t="s">
        <v>247</v>
      </c>
      <c r="BR54" s="168" t="s">
        <v>546</v>
      </c>
      <c r="BS54" s="168" t="s">
        <v>248</v>
      </c>
      <c r="BT54" s="168" t="s">
        <v>249</v>
      </c>
    </row>
    <row r="55" spans="1:72">
      <c r="A55" s="3">
        <v>2009</v>
      </c>
      <c r="B55" s="3">
        <f>Australia!Q3</f>
        <v>33324.087174096676</v>
      </c>
      <c r="C55" s="3">
        <f>Austria!Q3</f>
        <v>20809.935012527625</v>
      </c>
      <c r="D55" s="3">
        <f>Belgium!Q3</f>
        <v>20033.263158333335</v>
      </c>
      <c r="E55" s="3">
        <f>Canada!Q3</f>
        <v>29709.183466029579</v>
      </c>
      <c r="F55" s="3">
        <f>China!R3</f>
        <v>199533.50999999998</v>
      </c>
      <c r="G55" s="3">
        <f>Denmark!Q3</f>
        <v>292065.03049999999</v>
      </c>
      <c r="H55" s="3">
        <f>Finland!Q3</f>
        <v>23675.674641666672</v>
      </c>
      <c r="I55" s="3">
        <f>France!R3</f>
        <v>19831.319183269236</v>
      </c>
      <c r="J55" s="3">
        <f>Germany!S3</f>
        <v>19892.516928204626</v>
      </c>
      <c r="K55" s="3">
        <f>India!Q3</f>
        <v>1297289.9483999999</v>
      </c>
      <c r="L55" s="3">
        <f>Ireland!R3</f>
        <v>24159.949804791671</v>
      </c>
      <c r="M55" s="3">
        <f>Italy!P3</f>
        <v>19867.699000000004</v>
      </c>
      <c r="N55" s="3">
        <f>Japan!Q3</f>
        <v>2259717.915</v>
      </c>
      <c r="O55" s="3">
        <f>Korea!R3</f>
        <v>44.891112615000004</v>
      </c>
      <c r="P55" s="3">
        <f>'Netherlands '!R4</f>
        <v>22185.597216666669</v>
      </c>
      <c r="Q55" s="3">
        <f>'New Zealand'!O3</f>
        <v>44079.138461538474</v>
      </c>
      <c r="R55" s="3">
        <f>'Norway with subs'!AD4</f>
        <v>232856.85990000007</v>
      </c>
      <c r="S55" s="3">
        <f>Spain!Q3</f>
        <v>19991.872118750005</v>
      </c>
      <c r="T55" s="3">
        <f>Sweden!P3</f>
        <v>220047.32499999998</v>
      </c>
      <c r="U55" s="3">
        <f>Switzerland!P3</f>
        <v>28692.309588073113</v>
      </c>
      <c r="V55" s="3">
        <f>Britain!R3</f>
        <v>16978.757550000002</v>
      </c>
      <c r="W55" s="3">
        <f>USA!Q3</f>
        <v>24380</v>
      </c>
      <c r="Y55" s="3">
        <v>2009</v>
      </c>
      <c r="Z55" s="84">
        <f>Z29</f>
        <v>1.28218881008452</v>
      </c>
      <c r="AA55" s="84">
        <f>Austria!AZ3</f>
        <v>0</v>
      </c>
      <c r="AB55" s="84">
        <f>Belgium!AU3</f>
        <v>0</v>
      </c>
      <c r="AC55" s="84">
        <f>Canada!AX3</f>
        <v>0</v>
      </c>
      <c r="AD55" s="84">
        <f>China!AW3</f>
        <v>0</v>
      </c>
      <c r="AE55" s="84">
        <f>Denmark!AW3</f>
        <v>0</v>
      </c>
      <c r="AF55" s="84">
        <f>Finland!AV3</f>
        <v>0</v>
      </c>
      <c r="AG55" s="84">
        <f>France!AW3</f>
        <v>0</v>
      </c>
      <c r="AH55" s="84">
        <f>Germany!AX3</f>
        <v>0</v>
      </c>
      <c r="AI55" s="84">
        <f>India!AV3</f>
        <v>0</v>
      </c>
      <c r="AJ55" s="84">
        <f>Ireland!AW3</f>
        <v>0</v>
      </c>
      <c r="AK55" s="84">
        <f>Italy!AV3</f>
        <v>0</v>
      </c>
      <c r="AL55" s="84">
        <f>Japan!AV3</f>
        <v>0</v>
      </c>
      <c r="AM55" s="84">
        <f>Korea!AX3</f>
        <v>0</v>
      </c>
      <c r="AN55" s="84">
        <f>'Netherlands '!AW4</f>
        <v>0</v>
      </c>
      <c r="AO55" s="84">
        <f>'New Zealand'!AV3</f>
        <v>0</v>
      </c>
      <c r="AP55" s="84">
        <f>'Norway with subs'!BB4</f>
        <v>0</v>
      </c>
      <c r="AQ55" s="84">
        <f>Spain!AV3</f>
        <v>0</v>
      </c>
      <c r="AR55" s="84">
        <v>0</v>
      </c>
      <c r="AS55" s="84">
        <f>Switzerland!AW3</f>
        <v>0</v>
      </c>
      <c r="AT55" s="84">
        <f>Britain!AP3</f>
        <v>0</v>
      </c>
      <c r="AU55" s="84">
        <f>USA!AW3</f>
        <v>0</v>
      </c>
      <c r="AX55" s="3">
        <v>2009</v>
      </c>
      <c r="AY55" s="3">
        <f>Australia!BQ3</f>
        <v>0</v>
      </c>
      <c r="AZ55" s="3">
        <f>Austria!BY3</f>
        <v>0</v>
      </c>
      <c r="BA55" s="3">
        <f>Belgium!BT3</f>
        <v>0</v>
      </c>
      <c r="BB55" s="3">
        <f>Canada!BW3</f>
        <v>0</v>
      </c>
      <c r="BC55" s="3">
        <f>China!BV3</f>
        <v>0</v>
      </c>
      <c r="BD55" s="3">
        <f>Denmark!BV3</f>
        <v>0</v>
      </c>
      <c r="BE55" s="3">
        <f>Finland!BU3</f>
        <v>0</v>
      </c>
      <c r="BF55" s="3">
        <f>France!BV3</f>
        <v>0</v>
      </c>
      <c r="BG55" s="3">
        <f>Germany!BW3</f>
        <v>0</v>
      </c>
      <c r="BH55" s="3">
        <f>India!BU3</f>
        <v>0</v>
      </c>
      <c r="BI55" s="3">
        <f>Ireland!BV3</f>
        <v>0</v>
      </c>
      <c r="BJ55" s="3">
        <f>Italy!BU3</f>
        <v>0</v>
      </c>
      <c r="BK55" s="3">
        <f>Japan!BU3</f>
        <v>0</v>
      </c>
      <c r="BL55" s="3">
        <f>Korea!BW3</f>
        <v>0</v>
      </c>
      <c r="BM55" s="3">
        <f>'Netherlands '!BV4</f>
        <v>0</v>
      </c>
      <c r="BN55" s="3">
        <f>'New Zealand'!BU3</f>
        <v>0</v>
      </c>
      <c r="BO55" s="3">
        <f>'Norway with subs'!BY4</f>
        <v>0</v>
      </c>
      <c r="BP55" s="3">
        <f>Spain!BU3</f>
        <v>0</v>
      </c>
      <c r="BQ55" s="3">
        <f>Sweden!BU3</f>
        <v>0</v>
      </c>
      <c r="BR55" s="3">
        <f>Switzerland!BV3</f>
        <v>0</v>
      </c>
      <c r="BS55" s="3">
        <f>Britain!BO3</f>
        <v>0</v>
      </c>
      <c r="BT55" s="3">
        <f>USA!BV3</f>
        <v>0</v>
      </c>
    </row>
    <row r="56" spans="1:72">
      <c r="A56" s="3">
        <v>2010</v>
      </c>
      <c r="B56" s="3">
        <f>Australia!Q4</f>
        <v>28251.791327348656</v>
      </c>
      <c r="C56" s="3">
        <f>Austria!Q4</f>
        <v>21932.386237471084</v>
      </c>
      <c r="D56" s="3">
        <f>Belgium!Q4</f>
        <v>21113.822072051669</v>
      </c>
      <c r="E56" s="3">
        <f>Canada!Q4</f>
        <v>26773.930728968222</v>
      </c>
      <c r="F56" s="3">
        <f>China!R4</f>
        <v>197737.09500000003</v>
      </c>
      <c r="G56" s="3">
        <f>Denmark!Q4</f>
        <v>310529.21199999994</v>
      </c>
      <c r="H56" s="3">
        <f>Finland!Q4</f>
        <v>24952.6988124247</v>
      </c>
      <c r="I56" s="3">
        <f>France!R4</f>
        <v>21292.751778436344</v>
      </c>
      <c r="J56" s="3">
        <f>Germany!S4</f>
        <v>21324.970467372612</v>
      </c>
      <c r="K56" s="3">
        <f>India!Q4</f>
        <v>1225310.4387000001</v>
      </c>
      <c r="L56" s="3">
        <f>Ireland!R4</f>
        <v>25463.094924497025</v>
      </c>
      <c r="M56" s="3">
        <f>Italy!P4</f>
        <v>20939.327674761986</v>
      </c>
      <c r="N56" s="3">
        <f>Japan!Q4</f>
        <v>2103283.3603579937</v>
      </c>
      <c r="O56" s="3">
        <f>Korea!R4</f>
        <v>40.701759164983287</v>
      </c>
      <c r="P56" s="3">
        <f>'Netherlands '!R5</f>
        <v>23382.249236817552</v>
      </c>
      <c r="Q56" s="3">
        <f>'New Zealand'!O4</f>
        <v>38981.966164242585</v>
      </c>
      <c r="R56" s="3">
        <f>'Norway with subs'!AD5</f>
        <v>223896.86322445946</v>
      </c>
      <c r="S56" s="3">
        <f>Spain!Q4</f>
        <v>21070.198472729251</v>
      </c>
      <c r="T56" s="3">
        <f>Sweden!P4</f>
        <v>206893.31755222165</v>
      </c>
      <c r="U56" s="3">
        <f>Switzerland!P4</f>
        <v>27591.803750756379</v>
      </c>
      <c r="V56" s="3">
        <f>Britain!R4</f>
        <v>17518.647242125859</v>
      </c>
      <c r="W56" s="3">
        <f>USA!Q4</f>
        <v>24380</v>
      </c>
      <c r="Y56" s="3">
        <v>2010</v>
      </c>
      <c r="Z56" s="84">
        <f t="shared" ref="Z56:Z76" si="1">Z30</f>
        <v>1.087025445453969</v>
      </c>
      <c r="AA56" s="84">
        <f>Austria!AZ4</f>
        <v>0</v>
      </c>
      <c r="AB56" s="84">
        <f>Belgium!AU4</f>
        <v>0</v>
      </c>
      <c r="AC56" s="84">
        <f>Canada!AX4</f>
        <v>0</v>
      </c>
      <c r="AD56" s="84">
        <f>China!AW4</f>
        <v>0</v>
      </c>
      <c r="AE56" s="84">
        <f>Denmark!AW4</f>
        <v>0</v>
      </c>
      <c r="AF56" s="84">
        <f>Finland!AV4</f>
        <v>0</v>
      </c>
      <c r="AG56" s="84">
        <f>France!AW4</f>
        <v>0</v>
      </c>
      <c r="AH56" s="84">
        <f>Germany!AX4</f>
        <v>0</v>
      </c>
      <c r="AI56" s="84">
        <f>India!AV4</f>
        <v>0</v>
      </c>
      <c r="AJ56" s="84">
        <f>Ireland!AW4</f>
        <v>0</v>
      </c>
      <c r="AK56" s="84">
        <f>Italy!AV4</f>
        <v>0</v>
      </c>
      <c r="AL56" s="84">
        <f>Japan!AV4</f>
        <v>0</v>
      </c>
      <c r="AM56" s="84">
        <f>Korea!AX4</f>
        <v>0</v>
      </c>
      <c r="AN56" s="84">
        <f>'Netherlands '!AW5</f>
        <v>0</v>
      </c>
      <c r="AO56" s="84">
        <f>'New Zealand'!AV4</f>
        <v>0</v>
      </c>
      <c r="AP56" s="84">
        <f>'Norway with subs'!BB5</f>
        <v>0</v>
      </c>
      <c r="AQ56" s="84">
        <f>Spain!AV4</f>
        <v>0</v>
      </c>
      <c r="AR56" s="84">
        <v>0</v>
      </c>
      <c r="AS56" s="84">
        <f>Switzerland!AW4</f>
        <v>0</v>
      </c>
      <c r="AT56" s="84">
        <f>Britain!AP4</f>
        <v>0</v>
      </c>
      <c r="AU56" s="84">
        <f>USA!AW4</f>
        <v>0</v>
      </c>
      <c r="AX56" s="3">
        <v>2010</v>
      </c>
      <c r="AY56" s="3">
        <f>Australia!BQ4</f>
        <v>0</v>
      </c>
      <c r="AZ56" s="3">
        <f>Austria!BY4</f>
        <v>0</v>
      </c>
      <c r="BA56" s="3">
        <f>Belgium!BT4</f>
        <v>0</v>
      </c>
      <c r="BB56" s="3">
        <f>Canada!BW4</f>
        <v>0</v>
      </c>
      <c r="BC56" s="3">
        <f>China!BV4</f>
        <v>0</v>
      </c>
      <c r="BD56" s="3">
        <f>Denmark!BV4</f>
        <v>0</v>
      </c>
      <c r="BE56" s="3">
        <f>Finland!BU4</f>
        <v>0</v>
      </c>
      <c r="BF56" s="3">
        <f>France!BV4</f>
        <v>0</v>
      </c>
      <c r="BG56" s="3">
        <f>Germany!BW4</f>
        <v>0</v>
      </c>
      <c r="BH56" s="3">
        <f>India!BU4</f>
        <v>0</v>
      </c>
      <c r="BI56" s="3">
        <f>Ireland!BV4</f>
        <v>0</v>
      </c>
      <c r="BJ56" s="3">
        <f>Italy!BU4</f>
        <v>0</v>
      </c>
      <c r="BK56" s="3">
        <f>Japan!BU4</f>
        <v>0</v>
      </c>
      <c r="BL56" s="3">
        <f>Korea!BW4</f>
        <v>0</v>
      </c>
      <c r="BM56" s="3">
        <f>'Netherlands '!BV5</f>
        <v>0</v>
      </c>
      <c r="BN56" s="3">
        <f>'New Zealand'!BU4</f>
        <v>0</v>
      </c>
      <c r="BO56" s="3">
        <f>'Norway with subs'!BY5</f>
        <v>0</v>
      </c>
      <c r="BP56" s="3">
        <f>Spain!BU4</f>
        <v>0</v>
      </c>
      <c r="BQ56" s="3">
        <f>Sweden!BU4</f>
        <v>0</v>
      </c>
      <c r="BR56" s="3">
        <f>Switzerland!BV4</f>
        <v>0</v>
      </c>
      <c r="BS56" s="3">
        <f>Britain!BO4</f>
        <v>0</v>
      </c>
      <c r="BT56" s="3">
        <f>USA!BV4</f>
        <v>0</v>
      </c>
    </row>
    <row r="57" spans="1:72">
      <c r="A57" s="3">
        <v>2011</v>
      </c>
      <c r="B57" s="3">
        <f>Australia!Q5</f>
        <v>24974.175414995072</v>
      </c>
      <c r="C57" s="3">
        <f>Austria!Q5</f>
        <v>20682.64700083217</v>
      </c>
      <c r="D57" s="3">
        <f>Belgium!Q5</f>
        <v>19910.725810972042</v>
      </c>
      <c r="E57" s="3">
        <f>Canada!Q5</f>
        <v>25673.036090358019</v>
      </c>
      <c r="F57" s="3">
        <f>China!R5</f>
        <v>188661.54799999998</v>
      </c>
      <c r="G57" s="3">
        <f>Denmark!Q5</f>
        <v>292156.71655000001</v>
      </c>
      <c r="H57" s="3">
        <f>Finland!Q5</f>
        <v>23695.409229586563</v>
      </c>
      <c r="I57" s="3">
        <f>France!R5</f>
        <v>20495.07058442714</v>
      </c>
      <c r="J57" s="3">
        <f>Germany!S5</f>
        <v>20466.859490262166</v>
      </c>
      <c r="K57" s="3">
        <f>India!Q5</f>
        <v>1250205.4662000001</v>
      </c>
      <c r="L57" s="3">
        <f>Ireland!R5</f>
        <v>24012.1707765793</v>
      </c>
      <c r="M57" s="3">
        <f>Italy!P5</f>
        <v>19746.174357988803</v>
      </c>
      <c r="N57" s="3">
        <f>Japan!Q5</f>
        <v>1922392.6778292938</v>
      </c>
      <c r="O57" s="3">
        <f>Korea!R5</f>
        <v>38.828753022077009</v>
      </c>
      <c r="P57" s="3">
        <f>'Netherlands '!R6</f>
        <v>22049.894699754164</v>
      </c>
      <c r="Q57" s="3">
        <f>'New Zealand'!O5</f>
        <v>35949.012161485429</v>
      </c>
      <c r="R57" s="3">
        <f>'Norway with subs'!AD6</f>
        <v>207675.24231917708</v>
      </c>
      <c r="S57" s="3">
        <f>Spain!Q5</f>
        <v>20198.690853692711</v>
      </c>
      <c r="T57" s="3">
        <f>Sweden!P5</f>
        <v>186817.32266527714</v>
      </c>
      <c r="U57" s="3">
        <f>Switzerland!P5</f>
        <v>23665.677054926655</v>
      </c>
      <c r="V57" s="3">
        <f>Britain!R5</f>
        <v>17195.051288826966</v>
      </c>
      <c r="W57" s="3">
        <f>USA!Q5</f>
        <v>24380</v>
      </c>
      <c r="Y57" s="3">
        <v>2011</v>
      </c>
      <c r="Z57" s="84">
        <f t="shared" si="1"/>
        <v>0.96091479088091858</v>
      </c>
      <c r="AA57" s="84">
        <f>Austria!AZ5</f>
        <v>0</v>
      </c>
      <c r="AB57" s="84">
        <f>Belgium!AU5</f>
        <v>0</v>
      </c>
      <c r="AC57" s="84">
        <f>Canada!AX5</f>
        <v>0</v>
      </c>
      <c r="AD57" s="84">
        <f>China!AW5</f>
        <v>0</v>
      </c>
      <c r="AE57" s="84">
        <f>Denmark!AW5</f>
        <v>0</v>
      </c>
      <c r="AF57" s="84">
        <f>Finland!AV5</f>
        <v>0</v>
      </c>
      <c r="AG57" s="84">
        <f>France!AW5</f>
        <v>0</v>
      </c>
      <c r="AH57" s="84">
        <f>Germany!AX5</f>
        <v>0</v>
      </c>
      <c r="AI57" s="84">
        <f>India!AV5</f>
        <v>0</v>
      </c>
      <c r="AJ57" s="84">
        <f>Ireland!AW5</f>
        <v>0</v>
      </c>
      <c r="AK57" s="84">
        <f>Italy!AV5</f>
        <v>0</v>
      </c>
      <c r="AL57" s="84">
        <f>Japan!AV5</f>
        <v>0</v>
      </c>
      <c r="AM57" s="84">
        <f>Korea!AX5</f>
        <v>0</v>
      </c>
      <c r="AN57" s="84">
        <f>'Netherlands '!AW6</f>
        <v>0</v>
      </c>
      <c r="AO57" s="84">
        <f>'New Zealand'!AV5</f>
        <v>0</v>
      </c>
      <c r="AP57" s="84">
        <f>'Norway with subs'!BB6</f>
        <v>0</v>
      </c>
      <c r="AQ57" s="84">
        <f>Spain!AV5</f>
        <v>0</v>
      </c>
      <c r="AR57" s="84">
        <v>0</v>
      </c>
      <c r="AS57" s="84">
        <f>Switzerland!AW5</f>
        <v>0</v>
      </c>
      <c r="AT57" s="84">
        <f>Britain!AP5</f>
        <v>0</v>
      </c>
      <c r="AU57" s="84">
        <f>USA!AW5</f>
        <v>0</v>
      </c>
      <c r="AX57" s="3">
        <v>2011</v>
      </c>
      <c r="AY57" s="3">
        <f>Australia!BQ5</f>
        <v>0</v>
      </c>
      <c r="AZ57" s="3">
        <f>Austria!BY5</f>
        <v>0</v>
      </c>
      <c r="BA57" s="3">
        <f>Belgium!BT5</f>
        <v>0</v>
      </c>
      <c r="BB57" s="3">
        <f>Canada!BW5</f>
        <v>0</v>
      </c>
      <c r="BC57" s="3">
        <f>China!BV5</f>
        <v>0</v>
      </c>
      <c r="BD57" s="3">
        <f>Denmark!BV5</f>
        <v>0</v>
      </c>
      <c r="BE57" s="3">
        <f>Finland!BU5</f>
        <v>0</v>
      </c>
      <c r="BF57" s="3">
        <f>France!BV5</f>
        <v>0</v>
      </c>
      <c r="BG57" s="3">
        <f>Germany!BW5</f>
        <v>0</v>
      </c>
      <c r="BH57" s="3">
        <f>India!BU5</f>
        <v>0</v>
      </c>
      <c r="BI57" s="3">
        <f>Ireland!BV5</f>
        <v>0</v>
      </c>
      <c r="BJ57" s="3">
        <f>Italy!BU5</f>
        <v>0</v>
      </c>
      <c r="BK57" s="3">
        <f>Japan!BU5</f>
        <v>0</v>
      </c>
      <c r="BL57" s="3">
        <f>Korea!BW5</f>
        <v>0</v>
      </c>
      <c r="BM57" s="3">
        <f>'Netherlands '!BV6</f>
        <v>0</v>
      </c>
      <c r="BN57" s="3">
        <f>'New Zealand'!BU5</f>
        <v>0</v>
      </c>
      <c r="BO57" s="3">
        <f>'Norway with subs'!BY6</f>
        <v>0</v>
      </c>
      <c r="BP57" s="3">
        <f>Spain!BU5</f>
        <v>0</v>
      </c>
      <c r="BQ57" s="3">
        <f>Sweden!BU5</f>
        <v>0</v>
      </c>
      <c r="BR57" s="3">
        <f>Switzerland!BV5</f>
        <v>0</v>
      </c>
      <c r="BS57" s="3">
        <f>Britain!BO5</f>
        <v>0</v>
      </c>
      <c r="BT57" s="3">
        <f>USA!BV5</f>
        <v>0</v>
      </c>
    </row>
    <row r="58" spans="1:72">
      <c r="A58" s="3">
        <v>2012</v>
      </c>
      <c r="B58" s="3">
        <f>Australia!Q6</f>
        <v>25008.419533317297</v>
      </c>
      <c r="C58" s="3">
        <f>Austria!Q6</f>
        <v>22372.616099640534</v>
      </c>
      <c r="D58" s="3">
        <f>Belgium!Q6</f>
        <v>21537.621602116909</v>
      </c>
      <c r="E58" s="3">
        <f>Canada!Q6</f>
        <v>25954.154598668905</v>
      </c>
      <c r="F58" s="3">
        <f>China!R6</f>
        <v>184388.125</v>
      </c>
      <c r="G58" s="3">
        <f>Denmark!Q6</f>
        <v>322674.70239999995</v>
      </c>
      <c r="H58" s="3">
        <f>Finland!Q6</f>
        <v>26699.530911715177</v>
      </c>
      <c r="I58" s="3">
        <f>France!R6</f>
        <v>22368.93129101978</v>
      </c>
      <c r="J58" s="3">
        <f>Germany!S6</f>
        <v>22492.528577563193</v>
      </c>
      <c r="K58" s="3">
        <f>India!Q6</f>
        <v>1432619.5862999998</v>
      </c>
      <c r="L58" s="3">
        <f>Ireland!R6</f>
        <v>26343.537166225644</v>
      </c>
      <c r="M58" s="3">
        <f>Italy!P6</f>
        <v>21537.621602116909</v>
      </c>
      <c r="N58" s="3">
        <f>Japan!Q6</f>
        <v>1930508.9006495068</v>
      </c>
      <c r="O58" s="3">
        <f>Korea!R6</f>
        <v>39.385886956940098</v>
      </c>
      <c r="P58" s="3">
        <f>'Netherlands '!R7</f>
        <v>23851.580947798895</v>
      </c>
      <c r="Q58" s="3">
        <f>'New Zealand'!O6</f>
        <v>35491.815148091264</v>
      </c>
      <c r="R58" s="3">
        <f>'Norway with subs'!AD7</f>
        <v>215488.03912435955</v>
      </c>
      <c r="S58" s="3">
        <f>Spain!Q6</f>
        <v>21849.116129420254</v>
      </c>
      <c r="T58" s="3">
        <f>Sweden!P6</f>
        <v>194655.82221578571</v>
      </c>
      <c r="U58" s="3">
        <f>Switzerland!P6</f>
        <v>25087.472150203288</v>
      </c>
      <c r="V58" s="3">
        <f>Britain!R6</f>
        <v>17335.70363242723</v>
      </c>
      <c r="W58" s="3">
        <f>USA!Q6</f>
        <v>24380</v>
      </c>
      <c r="Y58" s="3">
        <v>2012</v>
      </c>
      <c r="Z58" s="84">
        <f t="shared" si="1"/>
        <v>0.96223237911955739</v>
      </c>
      <c r="AA58" s="84">
        <f>Austria!AZ6</f>
        <v>0</v>
      </c>
      <c r="AB58" s="84">
        <f>Belgium!AU6</f>
        <v>0</v>
      </c>
      <c r="AC58" s="84">
        <f>Canada!AX6</f>
        <v>0</v>
      </c>
      <c r="AD58" s="84">
        <f>China!AW6</f>
        <v>0</v>
      </c>
      <c r="AE58" s="84">
        <f>Denmark!AW6</f>
        <v>0</v>
      </c>
      <c r="AF58" s="84">
        <f>Finland!AV6</f>
        <v>0</v>
      </c>
      <c r="AG58" s="84">
        <f>France!AW6</f>
        <v>0</v>
      </c>
      <c r="AH58" s="84">
        <f>Germany!AX6</f>
        <v>0</v>
      </c>
      <c r="AI58" s="84">
        <f>India!AV6</f>
        <v>0</v>
      </c>
      <c r="AJ58" s="84">
        <f>Ireland!AW6</f>
        <v>0</v>
      </c>
      <c r="AK58" s="84">
        <f>Italy!AV6</f>
        <v>0</v>
      </c>
      <c r="AL58" s="84">
        <f>Japan!AV6</f>
        <v>0</v>
      </c>
      <c r="AM58" s="84">
        <f>Korea!AX6</f>
        <v>0</v>
      </c>
      <c r="AN58" s="84">
        <f>'Netherlands '!AW7</f>
        <v>0</v>
      </c>
      <c r="AO58" s="84">
        <f>'New Zealand'!AV6</f>
        <v>0</v>
      </c>
      <c r="AP58" s="84">
        <f>'Norway with subs'!BB7</f>
        <v>0</v>
      </c>
      <c r="AQ58" s="84">
        <f>Spain!AV6</f>
        <v>0</v>
      </c>
      <c r="AR58" s="84">
        <v>0</v>
      </c>
      <c r="AS58" s="84">
        <f>Switzerland!AW6</f>
        <v>0</v>
      </c>
      <c r="AT58" s="84">
        <f>Britain!AP6</f>
        <v>0</v>
      </c>
      <c r="AU58" s="84">
        <f>USA!AW6</f>
        <v>0</v>
      </c>
      <c r="AX58" s="3">
        <v>2012</v>
      </c>
      <c r="AY58" s="3">
        <f>Australia!BQ6</f>
        <v>0</v>
      </c>
      <c r="AZ58" s="3">
        <f>Austria!BY6</f>
        <v>0</v>
      </c>
      <c r="BA58" s="3">
        <f>Belgium!BT6</f>
        <v>0</v>
      </c>
      <c r="BB58" s="3">
        <f>Canada!BW6</f>
        <v>0</v>
      </c>
      <c r="BC58" s="3">
        <f>China!BV6</f>
        <v>0</v>
      </c>
      <c r="BD58" s="3">
        <f>Denmark!BV6</f>
        <v>0</v>
      </c>
      <c r="BE58" s="3">
        <f>Finland!BU6</f>
        <v>0</v>
      </c>
      <c r="BF58" s="3">
        <f>France!BV6</f>
        <v>0</v>
      </c>
      <c r="BG58" s="3">
        <f>Germany!BW6</f>
        <v>0</v>
      </c>
      <c r="BH58" s="3">
        <f>India!BU6</f>
        <v>0</v>
      </c>
      <c r="BI58" s="3">
        <f>Ireland!BV6</f>
        <v>0</v>
      </c>
      <c r="BJ58" s="3">
        <f>Italy!BU6</f>
        <v>0</v>
      </c>
      <c r="BK58" s="3">
        <f>Japan!BU6</f>
        <v>0</v>
      </c>
      <c r="BL58" s="3">
        <f>Korea!BW6</f>
        <v>0</v>
      </c>
      <c r="BM58" s="3">
        <f>'Netherlands '!BV7</f>
        <v>0</v>
      </c>
      <c r="BN58" s="3">
        <f>'New Zealand'!BU6</f>
        <v>0</v>
      </c>
      <c r="BO58" s="3">
        <f>'Norway with subs'!BY7</f>
        <v>0</v>
      </c>
      <c r="BP58" s="3">
        <f>Spain!BU6</f>
        <v>0</v>
      </c>
      <c r="BQ58" s="3">
        <f>Sweden!BU6</f>
        <v>0</v>
      </c>
      <c r="BR58" s="3">
        <f>Switzerland!BV6</f>
        <v>0</v>
      </c>
      <c r="BS58" s="3">
        <f>Britain!BO6</f>
        <v>0</v>
      </c>
      <c r="BT58" s="3">
        <f>USA!BV6</f>
        <v>0</v>
      </c>
    </row>
    <row r="59" spans="1:72">
      <c r="A59" s="3">
        <v>2013</v>
      </c>
      <c r="B59" s="3">
        <f>Australia!Q7</f>
        <v>27071.741677878563</v>
      </c>
      <c r="C59" s="3">
        <f>Austria!Q7</f>
        <v>21714.207265309669</v>
      </c>
      <c r="D59" s="3">
        <f>Belgium!Q7</f>
        <v>20918.94171259928</v>
      </c>
      <c r="E59" s="3">
        <f>Canada!Q7</f>
        <v>26869.606006683731</v>
      </c>
      <c r="F59" s="3">
        <f>China!R7</f>
        <v>180903.37200000006</v>
      </c>
      <c r="G59" s="3">
        <f>Denmark!Q7</f>
        <v>310047.70239999995</v>
      </c>
      <c r="H59" s="3">
        <f>Finland!Q7</f>
        <v>26105.456186797452</v>
      </c>
      <c r="I59" s="3">
        <f>France!R7</f>
        <v>21643.567747660527</v>
      </c>
      <c r="J59" s="3">
        <f>Germany!S7</f>
        <v>21707.951308332271</v>
      </c>
      <c r="K59" s="3">
        <f>India!Q7</f>
        <v>1615011.24</v>
      </c>
      <c r="L59" s="3">
        <f>Ireland!R7</f>
        <v>25586.804739377636</v>
      </c>
      <c r="M59" s="3">
        <f>Italy!P7</f>
        <v>20918.94171259928</v>
      </c>
      <c r="N59" s="3">
        <f>Japan!Q7</f>
        <v>2359113.6235406455</v>
      </c>
      <c r="O59" s="3">
        <f>Korea!R7</f>
        <v>38.493205067922396</v>
      </c>
      <c r="P59" s="3">
        <f>'Netherlands '!R8</f>
        <v>23512.198949698366</v>
      </c>
      <c r="Q59" s="3">
        <f>'New Zealand'!O7</f>
        <v>35196.416160022425</v>
      </c>
      <c r="R59" s="3">
        <f>'Norway with subs'!AD8</f>
        <v>217371.61670038628</v>
      </c>
      <c r="S59" s="3">
        <f>Spain!Q7</f>
        <v>21740.139837680657</v>
      </c>
      <c r="T59" s="3">
        <f>Sweden!P7</f>
        <v>187267.89072954422</v>
      </c>
      <c r="U59" s="3">
        <f>Switzerland!P7</f>
        <v>24868.779807975159</v>
      </c>
      <c r="V59" s="3">
        <f>Britain!R7</f>
        <v>17659.639772579314</v>
      </c>
      <c r="W59" s="3">
        <f>USA!Q7</f>
        <v>24380</v>
      </c>
      <c r="Y59" s="3">
        <v>2013</v>
      </c>
      <c r="Z59" s="84">
        <f t="shared" si="1"/>
        <v>1.0416214574020224</v>
      </c>
      <c r="AA59" s="84">
        <f>Austria!AZ7</f>
        <v>0</v>
      </c>
      <c r="AB59" s="84">
        <f>Belgium!AU7</f>
        <v>0</v>
      </c>
      <c r="AC59" s="84">
        <f>Canada!AX7</f>
        <v>0</v>
      </c>
      <c r="AD59" s="84">
        <f>China!AW7</f>
        <v>0</v>
      </c>
      <c r="AE59" s="84">
        <f>Denmark!AW7</f>
        <v>0</v>
      </c>
      <c r="AF59" s="84">
        <f>Finland!AV7</f>
        <v>0</v>
      </c>
      <c r="AG59" s="84">
        <f>France!AW7</f>
        <v>0</v>
      </c>
      <c r="AH59" s="84">
        <f>Germany!AX7</f>
        <v>0</v>
      </c>
      <c r="AI59" s="84">
        <f>India!AV7</f>
        <v>0</v>
      </c>
      <c r="AJ59" s="84">
        <f>Ireland!AW7</f>
        <v>0</v>
      </c>
      <c r="AK59" s="84">
        <f>Italy!AV7</f>
        <v>0</v>
      </c>
      <c r="AL59" s="84">
        <f>Japan!AV7</f>
        <v>0</v>
      </c>
      <c r="AM59" s="84">
        <f>Korea!AX7</f>
        <v>0</v>
      </c>
      <c r="AN59" s="84">
        <f>'Netherlands '!AW8</f>
        <v>0</v>
      </c>
      <c r="AO59" s="84">
        <f>'New Zealand'!AV7</f>
        <v>0</v>
      </c>
      <c r="AP59" s="84">
        <f>'Norway with subs'!BB8</f>
        <v>0</v>
      </c>
      <c r="AQ59" s="84">
        <f>Spain!AV7</f>
        <v>0</v>
      </c>
      <c r="AR59" s="84">
        <v>0</v>
      </c>
      <c r="AS59" s="84">
        <f>Switzerland!AW7</f>
        <v>0</v>
      </c>
      <c r="AT59" s="84">
        <f>Britain!AP7</f>
        <v>0</v>
      </c>
      <c r="AU59" s="84">
        <f>USA!AW7</f>
        <v>0</v>
      </c>
      <c r="AX59" s="3">
        <v>2013</v>
      </c>
      <c r="AY59" s="3">
        <f>Australia!BQ7</f>
        <v>0</v>
      </c>
      <c r="AZ59" s="3">
        <f>Austria!BY7</f>
        <v>0</v>
      </c>
      <c r="BA59" s="3">
        <f>Belgium!BT7</f>
        <v>0</v>
      </c>
      <c r="BB59" s="3">
        <f>Canada!BW7</f>
        <v>0</v>
      </c>
      <c r="BC59" s="3">
        <f>China!BV7</f>
        <v>0</v>
      </c>
      <c r="BD59" s="3">
        <f>Denmark!BV7</f>
        <v>0</v>
      </c>
      <c r="BE59" s="3">
        <f>Finland!BU7</f>
        <v>0</v>
      </c>
      <c r="BF59" s="3">
        <f>France!BV7</f>
        <v>0</v>
      </c>
      <c r="BG59" s="3">
        <f>Germany!BW7</f>
        <v>0</v>
      </c>
      <c r="BH59" s="3">
        <f>India!BU7</f>
        <v>0</v>
      </c>
      <c r="BI59" s="3">
        <f>Ireland!BV7</f>
        <v>0</v>
      </c>
      <c r="BJ59" s="3">
        <f>Italy!BU7</f>
        <v>0</v>
      </c>
      <c r="BK59" s="3">
        <f>Japan!BU7</f>
        <v>0</v>
      </c>
      <c r="BL59" s="3">
        <f>Korea!BW7</f>
        <v>0</v>
      </c>
      <c r="BM59" s="3">
        <f>'Netherlands '!BV8</f>
        <v>0</v>
      </c>
      <c r="BN59" s="3">
        <f>'New Zealand'!BU7</f>
        <v>0</v>
      </c>
      <c r="BO59" s="3">
        <f>'Norway with subs'!BY8</f>
        <v>0</v>
      </c>
      <c r="BP59" s="3">
        <f>Spain!BU7</f>
        <v>0</v>
      </c>
      <c r="BQ59" s="3">
        <f>Sweden!BU7</f>
        <v>0</v>
      </c>
      <c r="BR59" s="3">
        <f>Switzerland!BV7</f>
        <v>0</v>
      </c>
      <c r="BS59" s="3">
        <f>Britain!BO7</f>
        <v>0</v>
      </c>
      <c r="BT59" s="3">
        <f>USA!BV7</f>
        <v>0</v>
      </c>
    </row>
    <row r="60" spans="1:72">
      <c r="A60" s="3">
        <v>2014</v>
      </c>
      <c r="B60" s="3">
        <f>Australia!Q8</f>
        <v>28909.899888765292</v>
      </c>
      <c r="C60" s="3">
        <f>Austria!Q8</f>
        <v>21855.458876866549</v>
      </c>
      <c r="D60" s="3">
        <f>Belgium!Q8</f>
        <v>21078.103540971446</v>
      </c>
      <c r="E60" s="3">
        <f>Canada!Q8</f>
        <v>28762.218483500186</v>
      </c>
      <c r="F60" s="3">
        <f>China!R8</f>
        <v>179431.18799999997</v>
      </c>
      <c r="G60" s="3">
        <f>Denmark!Q8</f>
        <v>310176.07689999999</v>
      </c>
      <c r="H60" s="3">
        <f>Finland!Q8</f>
        <v>26304.079625509821</v>
      </c>
      <c r="I60" s="3">
        <f>France!R8</f>
        <v>21751.417825691937</v>
      </c>
      <c r="J60" s="3">
        <f>Germany!S8</f>
        <v>21711.969359148392</v>
      </c>
      <c r="K60" s="3">
        <f>India!Q8</f>
        <v>1683470.2800000003</v>
      </c>
      <c r="L60" s="3">
        <f>Ireland!R8</f>
        <v>25781.482017055983</v>
      </c>
      <c r="M60" s="3">
        <f>Italy!P8</f>
        <v>21252.302743789391</v>
      </c>
      <c r="N60" s="3">
        <f>Japan!Q8</f>
        <v>2562613.1813125694</v>
      </c>
      <c r="O60" s="3">
        <f>Korea!R8</f>
        <v>36.988747875417133</v>
      </c>
      <c r="P60" s="3">
        <f>'Netherlands '!R9</f>
        <v>23691.091583240632</v>
      </c>
      <c r="Q60" s="3">
        <f>'New Zealand'!O8</f>
        <v>34748.440370711724</v>
      </c>
      <c r="R60" s="3">
        <f>'Norway with subs'!AD9</f>
        <v>232984.6960340486</v>
      </c>
      <c r="S60" s="3">
        <f>Spain!Q8</f>
        <v>21905.549754356689</v>
      </c>
      <c r="T60" s="3">
        <f>Sweden!P8</f>
        <v>197041.19387656776</v>
      </c>
      <c r="U60" s="3">
        <f>Switzerland!P8</f>
        <v>24638.031516499814</v>
      </c>
      <c r="V60" s="3">
        <f>Britain!R8</f>
        <v>16774.905450500552</v>
      </c>
      <c r="W60" s="3">
        <f>USA!Q8</f>
        <v>24380</v>
      </c>
      <c r="Y60" s="3">
        <v>2014</v>
      </c>
      <c r="Z60" s="84">
        <f t="shared" si="1"/>
        <v>1.1123470522803114</v>
      </c>
      <c r="AA60" s="84">
        <f>Austria!AZ8</f>
        <v>0</v>
      </c>
      <c r="AB60" s="84">
        <f>Belgium!AU8</f>
        <v>0</v>
      </c>
      <c r="AC60" s="84">
        <f>Canada!AX8</f>
        <v>0</v>
      </c>
      <c r="AD60" s="84">
        <f>China!AW8</f>
        <v>0</v>
      </c>
      <c r="AE60" s="84">
        <f>Denmark!AW8</f>
        <v>0</v>
      </c>
      <c r="AF60" s="84">
        <f>Finland!AV8</f>
        <v>0</v>
      </c>
      <c r="AG60" s="84">
        <f>France!AW8</f>
        <v>0</v>
      </c>
      <c r="AH60" s="84">
        <f>Germany!AX8</f>
        <v>0</v>
      </c>
      <c r="AI60" s="84">
        <f>India!AV8</f>
        <v>0</v>
      </c>
      <c r="AJ60" s="84">
        <f>Ireland!AW8</f>
        <v>0</v>
      </c>
      <c r="AK60" s="84">
        <f>Italy!AV8</f>
        <v>0</v>
      </c>
      <c r="AL60" s="84">
        <f>Japan!AV8</f>
        <v>0</v>
      </c>
      <c r="AM60" s="84">
        <f>Korea!AX8</f>
        <v>0</v>
      </c>
      <c r="AN60" s="84">
        <f>'Netherlands '!AW9</f>
        <v>0</v>
      </c>
      <c r="AO60" s="84">
        <f>'New Zealand'!AV8</f>
        <v>0</v>
      </c>
      <c r="AP60" s="84">
        <f>'Norway with subs'!BB9</f>
        <v>0</v>
      </c>
      <c r="AQ60" s="84">
        <f>Spain!AV8</f>
        <v>0</v>
      </c>
      <c r="AR60" s="84">
        <v>0</v>
      </c>
      <c r="AS60" s="84">
        <f>Switzerland!AW8</f>
        <v>0</v>
      </c>
      <c r="AT60" s="84">
        <f>Britain!AP8</f>
        <v>0</v>
      </c>
      <c r="AU60" s="84">
        <f>USA!AW8</f>
        <v>0</v>
      </c>
      <c r="AX60" s="3">
        <v>2014</v>
      </c>
      <c r="AY60" s="3">
        <f>Australia!BQ8</f>
        <v>0</v>
      </c>
      <c r="AZ60" s="3">
        <f>Austria!BY8</f>
        <v>0</v>
      </c>
      <c r="BA60" s="3">
        <f>Belgium!BT8</f>
        <v>0</v>
      </c>
      <c r="BB60" s="3">
        <f>Canada!BW8</f>
        <v>0</v>
      </c>
      <c r="BC60" s="3">
        <f>China!BV8</f>
        <v>0</v>
      </c>
      <c r="BD60" s="3">
        <f>Denmark!BV8</f>
        <v>0</v>
      </c>
      <c r="BE60" s="3">
        <f>Finland!BU8</f>
        <v>0</v>
      </c>
      <c r="BF60" s="3">
        <f>France!BV8</f>
        <v>0</v>
      </c>
      <c r="BG60" s="3">
        <f>Germany!BW8</f>
        <v>0</v>
      </c>
      <c r="BH60" s="3">
        <f>India!BU8</f>
        <v>0</v>
      </c>
      <c r="BI60" s="3">
        <f>Ireland!BV8</f>
        <v>0</v>
      </c>
      <c r="BJ60" s="3">
        <f>Italy!BU8</f>
        <v>0</v>
      </c>
      <c r="BK60" s="3">
        <f>Japan!BU8</f>
        <v>0</v>
      </c>
      <c r="BL60" s="3">
        <f>Korea!BW8</f>
        <v>0</v>
      </c>
      <c r="BM60" s="3">
        <f>'Netherlands '!BV9</f>
        <v>0</v>
      </c>
      <c r="BN60" s="3">
        <f>'New Zealand'!BU8</f>
        <v>0</v>
      </c>
      <c r="BO60" s="3">
        <f>'Norway with subs'!BY9</f>
        <v>0</v>
      </c>
      <c r="BP60" s="3">
        <f>Spain!BU8</f>
        <v>0</v>
      </c>
      <c r="BQ60" s="3">
        <f>Sweden!BU8</f>
        <v>0</v>
      </c>
      <c r="BR60" s="3">
        <f>Switzerland!BV8</f>
        <v>0</v>
      </c>
      <c r="BS60" s="3">
        <f>Britain!BO8</f>
        <v>0</v>
      </c>
      <c r="BT60" s="3">
        <f>USA!BV8</f>
        <v>0</v>
      </c>
    </row>
    <row r="61" spans="1:72">
      <c r="A61" s="3">
        <v>2015</v>
      </c>
      <c r="B61" s="3">
        <f>Australia!Q9</f>
        <v>34816.584429212533</v>
      </c>
      <c r="C61" s="3">
        <f>Austria!Q9</f>
        <v>26115.731451505424</v>
      </c>
      <c r="D61" s="3">
        <f>Belgium!Q9</f>
        <v>25211.908392685706</v>
      </c>
      <c r="E61" s="3">
        <f>Canada!Q9</f>
        <v>33464.540400544778</v>
      </c>
      <c r="F61" s="3">
        <f>China!R9</f>
        <v>181931.56400000001</v>
      </c>
      <c r="G61" s="3">
        <f>Denmark!Q9</f>
        <v>387889.72005</v>
      </c>
      <c r="H61" s="3">
        <f>Finland!Q9</f>
        <v>31462.794771037534</v>
      </c>
      <c r="I61" s="3">
        <f>France!R9</f>
        <v>25546.576030105181</v>
      </c>
      <c r="J61" s="3">
        <f>Germany!S9</f>
        <v>25483.966492734766</v>
      </c>
      <c r="K61" s="3">
        <f>India!Q9</f>
        <v>1843084.875</v>
      </c>
      <c r="L61" s="3">
        <f>Ireland!R9</f>
        <v>30837.706133202348</v>
      </c>
      <c r="M61" s="3">
        <f>Italy!P9</f>
        <v>25420.271271964099</v>
      </c>
      <c r="N61" s="3">
        <f>Japan!Q9</f>
        <v>3004104.3113264418</v>
      </c>
      <c r="O61" s="3">
        <f>Korea!R9</f>
        <v>39.821301791176417</v>
      </c>
      <c r="P61" s="3">
        <f>'Netherlands '!R10</f>
        <v>28337.351581861618</v>
      </c>
      <c r="Q61" s="3">
        <f>'New Zealand'!O9</f>
        <v>40646.415414216586</v>
      </c>
      <c r="R61" s="3">
        <f>'Norway with subs'!AD10</f>
        <v>298560.49157220888</v>
      </c>
      <c r="S61" s="3">
        <f>Spain!Q9</f>
        <v>26201.632069258078</v>
      </c>
      <c r="T61" s="3">
        <f>Sweden!P9</f>
        <v>242537.45491552469</v>
      </c>
      <c r="U61" s="3">
        <f>Switzerland!P9</f>
        <v>25413.451169806074</v>
      </c>
      <c r="V61" s="3">
        <f>Britain!R9</f>
        <v>18090.142668958892</v>
      </c>
      <c r="W61" s="3">
        <f>USA!Q9</f>
        <v>24380</v>
      </c>
      <c r="Y61" s="3">
        <v>2015</v>
      </c>
      <c r="Z61" s="84">
        <f t="shared" si="1"/>
        <v>1.3396146375226059</v>
      </c>
      <c r="AA61" s="84">
        <f>Austria!AZ9</f>
        <v>0</v>
      </c>
      <c r="AB61" s="84">
        <f>Belgium!AU9</f>
        <v>0</v>
      </c>
      <c r="AC61" s="84">
        <f>Canada!AX9</f>
        <v>0</v>
      </c>
      <c r="AD61" s="84">
        <f>China!AW9</f>
        <v>0</v>
      </c>
      <c r="AE61" s="84">
        <f>Denmark!AW9</f>
        <v>0</v>
      </c>
      <c r="AF61" s="84">
        <f>Finland!AV9</f>
        <v>0</v>
      </c>
      <c r="AG61" s="84">
        <f>France!AW9</f>
        <v>0</v>
      </c>
      <c r="AH61" s="84">
        <f>Germany!AX9</f>
        <v>0</v>
      </c>
      <c r="AI61" s="84">
        <f>India!AV9</f>
        <v>0</v>
      </c>
      <c r="AJ61" s="84">
        <f>Ireland!AW9</f>
        <v>0</v>
      </c>
      <c r="AK61" s="84">
        <f>Italy!AV9</f>
        <v>0</v>
      </c>
      <c r="AL61" s="84">
        <f>Japan!AV9</f>
        <v>0</v>
      </c>
      <c r="AM61" s="84">
        <f>Korea!AX9</f>
        <v>0</v>
      </c>
      <c r="AN61" s="84">
        <f>'Netherlands '!AW10</f>
        <v>0</v>
      </c>
      <c r="AO61" s="84">
        <f>'New Zealand'!AV9</f>
        <v>0</v>
      </c>
      <c r="AP61" s="84">
        <f>'Norway with subs'!BB10</f>
        <v>0</v>
      </c>
      <c r="AQ61" s="84">
        <f>Spain!AV9</f>
        <v>0</v>
      </c>
      <c r="AR61" s="84">
        <v>0</v>
      </c>
      <c r="AS61" s="84">
        <f>Switzerland!AW9</f>
        <v>0</v>
      </c>
      <c r="AT61" s="84">
        <f>Britain!AP9</f>
        <v>0</v>
      </c>
      <c r="AU61" s="84">
        <f>USA!AW9</f>
        <v>0</v>
      </c>
      <c r="AX61" s="3">
        <v>2015</v>
      </c>
      <c r="AY61" s="3">
        <f>Australia!BQ9</f>
        <v>0</v>
      </c>
      <c r="AZ61" s="3">
        <f>Austria!BY9</f>
        <v>0</v>
      </c>
      <c r="BA61" s="3">
        <f>Belgium!BT9</f>
        <v>0</v>
      </c>
      <c r="BB61" s="3">
        <f>Canada!BW9</f>
        <v>0</v>
      </c>
      <c r="BC61" s="3">
        <f>China!BV9</f>
        <v>0</v>
      </c>
      <c r="BD61" s="3">
        <f>Denmark!BV9</f>
        <v>0</v>
      </c>
      <c r="BE61" s="3">
        <f>Finland!BU9</f>
        <v>0</v>
      </c>
      <c r="BF61" s="3">
        <f>France!BV9</f>
        <v>0</v>
      </c>
      <c r="BG61" s="3">
        <f>Germany!BW9</f>
        <v>0</v>
      </c>
      <c r="BH61" s="3">
        <f>India!BU9</f>
        <v>0</v>
      </c>
      <c r="BI61" s="3">
        <f>Ireland!BV9</f>
        <v>0</v>
      </c>
      <c r="BJ61" s="3">
        <f>Italy!BU9</f>
        <v>0</v>
      </c>
      <c r="BK61" s="3">
        <f>Japan!BU9</f>
        <v>0</v>
      </c>
      <c r="BL61" s="3">
        <f>Korea!BW9</f>
        <v>0</v>
      </c>
      <c r="BM61" s="3">
        <f>'Netherlands '!BV10</f>
        <v>0</v>
      </c>
      <c r="BN61" s="3">
        <f>'New Zealand'!BU9</f>
        <v>0</v>
      </c>
      <c r="BO61" s="3">
        <f>'Norway with subs'!BY10</f>
        <v>0</v>
      </c>
      <c r="BP61" s="3">
        <f>Spain!BU9</f>
        <v>0</v>
      </c>
      <c r="BQ61" s="3">
        <f>Sweden!BU9</f>
        <v>0</v>
      </c>
      <c r="BR61" s="3">
        <f>Switzerland!BV9</f>
        <v>0</v>
      </c>
      <c r="BS61" s="3">
        <f>Britain!BO9</f>
        <v>0</v>
      </c>
      <c r="BT61" s="3">
        <f>USA!BV9</f>
        <v>0</v>
      </c>
    </row>
    <row r="62" spans="1:72">
      <c r="A62" s="3">
        <v>2016</v>
      </c>
      <c r="B62" s="3">
        <f>Australia!Q10</f>
        <v>34960.598145926975</v>
      </c>
      <c r="C62" s="3">
        <f>Austria!Q10</f>
        <v>26116.002877442952</v>
      </c>
      <c r="D62" s="3">
        <f>Belgium!Q10</f>
        <v>25234.7711553767</v>
      </c>
      <c r="E62" s="3">
        <f>Canada!Q10</f>
        <v>34377.338833525762</v>
      </c>
      <c r="F62" s="3">
        <f>China!R10</f>
        <v>194021.58300000004</v>
      </c>
      <c r="G62" s="3">
        <f>Denmark!Q10</f>
        <v>371158.3088</v>
      </c>
      <c r="H62" s="3">
        <f>Finland!Q10</f>
        <v>31491.325987288277</v>
      </c>
      <c r="I62" s="3">
        <f>France!R10</f>
        <v>25377.863430591831</v>
      </c>
      <c r="J62" s="3">
        <f>Germany!S10</f>
        <v>25201.995220232046</v>
      </c>
      <c r="K62" s="3">
        <f>India!Q10</f>
        <v>1961661.8120000002</v>
      </c>
      <c r="L62" s="3">
        <f>Ireland!R10</f>
        <v>30865.670504097121</v>
      </c>
      <c r="M62" s="3">
        <f>Italy!P10</f>
        <v>25443.322983107086</v>
      </c>
      <c r="N62" s="3">
        <f>Japan!Q10</f>
        <v>2706256.5884608049</v>
      </c>
      <c r="O62" s="3">
        <f>Korea!R10</f>
        <v>40.76877827909739</v>
      </c>
      <c r="P62" s="3">
        <f>'Netherlands '!R11</f>
        <v>28363.048571332489</v>
      </c>
      <c r="Q62" s="3">
        <f>'New Zealand'!O10</f>
        <v>40181.983120285695</v>
      </c>
      <c r="R62" s="3">
        <f>'Norway with subs'!AD11</f>
        <v>310952.4428108345</v>
      </c>
      <c r="S62" s="3">
        <f>Spain!Q10</f>
        <v>26225.392337096033</v>
      </c>
      <c r="T62" s="3">
        <f>Sweden!P10</f>
        <v>246172.24977743867</v>
      </c>
      <c r="U62" s="3">
        <f>Switzerland!P10</f>
        <v>25999.403514759135</v>
      </c>
      <c r="V62" s="3">
        <f>Britain!R10</f>
        <v>20602.930197625799</v>
      </c>
      <c r="W62" s="3">
        <f>USA!Q10</f>
        <v>24380</v>
      </c>
      <c r="Y62" s="3">
        <v>2016</v>
      </c>
      <c r="Z62" s="84">
        <f t="shared" si="1"/>
        <v>1.3451557578271249</v>
      </c>
      <c r="AA62" s="84">
        <f>Austria!AZ10</f>
        <v>0</v>
      </c>
      <c r="AB62" s="84">
        <f>Belgium!AU10</f>
        <v>0</v>
      </c>
      <c r="AC62" s="84">
        <f>Canada!AX10</f>
        <v>0</v>
      </c>
      <c r="AD62" s="84">
        <f>China!AW10</f>
        <v>0</v>
      </c>
      <c r="AE62" s="84">
        <f>Denmark!AW10</f>
        <v>0</v>
      </c>
      <c r="AF62" s="84">
        <f>Finland!AV10</f>
        <v>0</v>
      </c>
      <c r="AG62" s="84">
        <f>France!AW10</f>
        <v>0</v>
      </c>
      <c r="AH62" s="84">
        <f>Germany!AX10</f>
        <v>0</v>
      </c>
      <c r="AI62" s="84">
        <f>India!AV10</f>
        <v>0</v>
      </c>
      <c r="AJ62" s="84">
        <f>Ireland!AW10</f>
        <v>0</v>
      </c>
      <c r="AK62" s="84">
        <f>Italy!AV10</f>
        <v>0</v>
      </c>
      <c r="AL62" s="84">
        <f>Japan!AV10</f>
        <v>0</v>
      </c>
      <c r="AM62" s="84">
        <f>Korea!AX10</f>
        <v>0</v>
      </c>
      <c r="AN62" s="84">
        <f>'Netherlands '!AW11</f>
        <v>0</v>
      </c>
      <c r="AO62" s="84">
        <f>'New Zealand'!AV10</f>
        <v>0</v>
      </c>
      <c r="AP62" s="84">
        <f>'Norway with subs'!BB11</f>
        <v>0</v>
      </c>
      <c r="AQ62" s="84">
        <f>Spain!AV10</f>
        <v>0</v>
      </c>
      <c r="AR62" s="84">
        <v>0</v>
      </c>
      <c r="AS62" s="84">
        <f>Switzerland!AW10</f>
        <v>0</v>
      </c>
      <c r="AT62" s="84">
        <f>Britain!AP10</f>
        <v>0</v>
      </c>
      <c r="AU62" s="84">
        <f>USA!AW10</f>
        <v>0</v>
      </c>
      <c r="AX62" s="3">
        <v>2016</v>
      </c>
      <c r="AY62" s="3">
        <f>Australia!BQ10</f>
        <v>0</v>
      </c>
      <c r="AZ62" s="3">
        <f>Austria!BY10</f>
        <v>0</v>
      </c>
      <c r="BA62" s="3">
        <f>Belgium!BT10</f>
        <v>0</v>
      </c>
      <c r="BB62" s="3">
        <f>Canada!BW10</f>
        <v>0</v>
      </c>
      <c r="BC62" s="3">
        <f>China!BV10</f>
        <v>0</v>
      </c>
      <c r="BD62" s="3">
        <f>Denmark!BV10</f>
        <v>0</v>
      </c>
      <c r="BE62" s="3">
        <f>Finland!BU10</f>
        <v>0</v>
      </c>
      <c r="BF62" s="3">
        <f>France!BV10</f>
        <v>0</v>
      </c>
      <c r="BG62" s="3">
        <f>Germany!BW10</f>
        <v>0</v>
      </c>
      <c r="BH62" s="3">
        <f>India!BU10</f>
        <v>0</v>
      </c>
      <c r="BI62" s="3">
        <f>Ireland!BV10</f>
        <v>0</v>
      </c>
      <c r="BJ62" s="3">
        <f>Italy!BU10</f>
        <v>0</v>
      </c>
      <c r="BK62" s="3">
        <f>Japan!BU10</f>
        <v>0</v>
      </c>
      <c r="BL62" s="3">
        <f>Korea!BW10</f>
        <v>0</v>
      </c>
      <c r="BM62" s="3">
        <f>'Netherlands '!BV11</f>
        <v>0</v>
      </c>
      <c r="BN62" s="3">
        <f>'New Zealand'!BU10</f>
        <v>0</v>
      </c>
      <c r="BO62" s="3">
        <f>'Norway with subs'!BY11</f>
        <v>0</v>
      </c>
      <c r="BP62" s="3">
        <f>Spain!BU10</f>
        <v>0</v>
      </c>
      <c r="BQ62" s="3">
        <f>Sweden!BU10</f>
        <v>0</v>
      </c>
      <c r="BR62" s="3">
        <f>Switzerland!BV10</f>
        <v>0</v>
      </c>
      <c r="BS62" s="3">
        <f>Britain!BO10</f>
        <v>0</v>
      </c>
      <c r="BT62" s="3">
        <f>USA!BV10</f>
        <v>0</v>
      </c>
    </row>
    <row r="63" spans="1:72">
      <c r="A63" s="3">
        <v>2017</v>
      </c>
      <c r="B63" s="3">
        <f>Australia!Q11</f>
        <v>33790.548007540798</v>
      </c>
      <c r="C63" s="3">
        <f>Austria!Q11</f>
        <v>25382.616256197471</v>
      </c>
      <c r="D63" s="3">
        <f>Belgium!Q11</f>
        <v>24547.918589785266</v>
      </c>
      <c r="E63" s="3">
        <f>Canada!Q11</f>
        <v>33664.959804112768</v>
      </c>
      <c r="F63" s="3">
        <f>China!R11</f>
        <v>197220.07799999998</v>
      </c>
      <c r="G63" s="3">
        <f>Denmark!Q11</f>
        <v>362783.71785000002</v>
      </c>
      <c r="H63" s="3">
        <f>Finland!Q11</f>
        <v>30634.179397170039</v>
      </c>
      <c r="I63" s="3">
        <f>France!R11</f>
        <v>24938.034382514612</v>
      </c>
      <c r="J63" s="3">
        <f>Germany!S11</f>
        <v>24737.789468956151</v>
      </c>
      <c r="K63" s="3">
        <f>India!Q11</f>
        <v>1900574.939</v>
      </c>
      <c r="L63" s="3">
        <f>Ireland!R11</f>
        <v>30025.553316431564</v>
      </c>
      <c r="M63" s="3">
        <f>Italy!P11</f>
        <v>24750.793950031424</v>
      </c>
      <c r="N63" s="3">
        <f>Japan!Q11</f>
        <v>2781763.5051680435</v>
      </c>
      <c r="O63" s="3">
        <f>Korea!R11</f>
        <v>39.509163092374699</v>
      </c>
      <c r="P63" s="3">
        <f>'Netherlands '!R12</f>
        <v>27591.048993477652</v>
      </c>
      <c r="Q63" s="3">
        <f>'New Zealand'!O11</f>
        <v>39729.992427687132</v>
      </c>
      <c r="R63" s="3">
        <f>'Norway with subs'!AD12</f>
        <v>305978.10015347507</v>
      </c>
      <c r="S63" s="3">
        <f>Spain!Q11</f>
        <v>25511.576550954524</v>
      </c>
      <c r="T63" s="3">
        <f>Sweden!P11</f>
        <v>245523.6404683227</v>
      </c>
      <c r="U63" s="3">
        <f>Switzerland!P11</f>
        <v>26021.474162194445</v>
      </c>
      <c r="V63" s="3">
        <f>Britain!R11</f>
        <v>21281.167522589876</v>
      </c>
      <c r="W63" s="3">
        <f>USA!Q11</f>
        <v>24380</v>
      </c>
      <c r="Y63" s="3">
        <v>2017</v>
      </c>
      <c r="Z63" s="84">
        <f t="shared" si="1"/>
        <v>1.3001365143340053</v>
      </c>
      <c r="AA63" s="84">
        <f>Austria!AZ11</f>
        <v>0</v>
      </c>
      <c r="AB63" s="84">
        <f>Belgium!AU11</f>
        <v>0</v>
      </c>
      <c r="AC63" s="84">
        <f>Canada!AX11</f>
        <v>0</v>
      </c>
      <c r="AD63" s="84">
        <f>China!AW11</f>
        <v>0</v>
      </c>
      <c r="AE63" s="84">
        <f>Denmark!AW11</f>
        <v>0</v>
      </c>
      <c r="AF63" s="84">
        <f>Finland!AV11</f>
        <v>0</v>
      </c>
      <c r="AG63" s="84">
        <f>France!AW11</f>
        <v>0</v>
      </c>
      <c r="AH63" s="84">
        <f>Germany!AX11</f>
        <v>0</v>
      </c>
      <c r="AI63" s="84">
        <f>India!AV11</f>
        <v>0</v>
      </c>
      <c r="AJ63" s="84">
        <f>Ireland!AW11</f>
        <v>0</v>
      </c>
      <c r="AK63" s="84">
        <f>Italy!AV11</f>
        <v>0</v>
      </c>
      <c r="AL63" s="84">
        <f>Japan!AV11</f>
        <v>0</v>
      </c>
      <c r="AM63" s="84">
        <f>Korea!AX11</f>
        <v>0</v>
      </c>
      <c r="AN63" s="84">
        <f>'Netherlands '!AW12</f>
        <v>0</v>
      </c>
      <c r="AO63" s="84">
        <f>'New Zealand'!AV11</f>
        <v>0</v>
      </c>
      <c r="AP63" s="84">
        <f>'Norway with subs'!BB12</f>
        <v>0</v>
      </c>
      <c r="AQ63" s="84">
        <f>Spain!AV11</f>
        <v>0</v>
      </c>
      <c r="AR63" s="84">
        <v>0</v>
      </c>
      <c r="AS63" s="84">
        <f>Switzerland!AW11</f>
        <v>0</v>
      </c>
      <c r="AT63" s="84">
        <f>Britain!AP11</f>
        <v>0</v>
      </c>
      <c r="AU63" s="84">
        <f>USA!AW11</f>
        <v>0</v>
      </c>
      <c r="AX63" s="3">
        <v>2017</v>
      </c>
      <c r="AY63" s="3">
        <f>Australia!BQ11</f>
        <v>0</v>
      </c>
      <c r="AZ63" s="3">
        <f>Austria!BY11</f>
        <v>0</v>
      </c>
      <c r="BA63" s="3">
        <f>Belgium!BT11</f>
        <v>0</v>
      </c>
      <c r="BB63" s="3">
        <f>Canada!BW11</f>
        <v>0</v>
      </c>
      <c r="BC63" s="3">
        <f>China!BV11</f>
        <v>0</v>
      </c>
      <c r="BD63" s="3">
        <f>Denmark!BV11</f>
        <v>0</v>
      </c>
      <c r="BE63" s="3">
        <f>Finland!BU11</f>
        <v>0</v>
      </c>
      <c r="BF63" s="3">
        <f>France!BV11</f>
        <v>0</v>
      </c>
      <c r="BG63" s="3">
        <f>Germany!BW11</f>
        <v>0</v>
      </c>
      <c r="BH63" s="3">
        <f>India!BU11</f>
        <v>0</v>
      </c>
      <c r="BI63" s="3">
        <f>Ireland!BV11</f>
        <v>0</v>
      </c>
      <c r="BJ63" s="3">
        <f>Italy!BU11</f>
        <v>0</v>
      </c>
      <c r="BK63" s="3">
        <f>Japan!BU11</f>
        <v>0</v>
      </c>
      <c r="BL63" s="3">
        <f>Korea!BW11</f>
        <v>0</v>
      </c>
      <c r="BM63" s="3">
        <f>'Netherlands '!BV12</f>
        <v>0</v>
      </c>
      <c r="BN63" s="3">
        <f>'New Zealand'!BU11</f>
        <v>0</v>
      </c>
      <c r="BO63" s="3">
        <f>'Norway with subs'!BY12</f>
        <v>0</v>
      </c>
      <c r="BP63" s="3">
        <f>Spain!BU11</f>
        <v>0</v>
      </c>
      <c r="BQ63" s="3">
        <f>Sweden!BU11</f>
        <v>0</v>
      </c>
      <c r="BR63" s="3">
        <f>Switzerland!BV11</f>
        <v>0</v>
      </c>
      <c r="BS63" s="3">
        <f>Britain!BO11</f>
        <v>0</v>
      </c>
      <c r="BT63" s="3">
        <f>USA!BV11</f>
        <v>0</v>
      </c>
    </row>
    <row r="64" spans="1:72">
      <c r="A64" s="3">
        <v>2018</v>
      </c>
      <c r="B64" s="3">
        <f>Australia!Q12</f>
        <v>35086.5</v>
      </c>
      <c r="C64" s="3">
        <f>Austria!Q12</f>
        <v>24438.339550977111</v>
      </c>
      <c r="D64" s="3">
        <f>Belgium!Q12</f>
        <v>23655.5</v>
      </c>
      <c r="E64" s="3">
        <f>Canada!Q12</f>
        <v>33787.000000000007</v>
      </c>
      <c r="F64" s="3">
        <f>China!R12</f>
        <v>197064</v>
      </c>
      <c r="G64" s="3">
        <f>Denmark!Q12</f>
        <v>356975</v>
      </c>
      <c r="H64" s="3">
        <f>Finland!Q12</f>
        <v>29520.5</v>
      </c>
      <c r="I64" s="3">
        <f>France!R12</f>
        <v>24046.5</v>
      </c>
      <c r="J64" s="3">
        <f>Germany!S12</f>
        <v>23851</v>
      </c>
      <c r="K64" s="3">
        <f>India!Q12</f>
        <v>1898650</v>
      </c>
      <c r="L64" s="3">
        <f>Ireland!R12</f>
        <v>28934</v>
      </c>
      <c r="M64" s="3">
        <f>Italy!P12</f>
        <v>23851</v>
      </c>
      <c r="N64" s="3">
        <f>Japan!Q12</f>
        <v>2732400</v>
      </c>
      <c r="O64" s="3">
        <f>Korea!R12</f>
        <v>39.549937499999999</v>
      </c>
      <c r="P64" s="3">
        <f>'Netherlands '!R13</f>
        <v>26588</v>
      </c>
      <c r="Q64" s="3">
        <f>'New Zealand'!O12</f>
        <v>39605.999999999993</v>
      </c>
      <c r="R64" s="3">
        <f>'Norway with subs'!AD13</f>
        <v>296240</v>
      </c>
      <c r="S64" s="3">
        <f>Spain!Q12</f>
        <v>24584.125</v>
      </c>
      <c r="T64" s="3">
        <f>Sweden!P12</f>
        <v>244375</v>
      </c>
      <c r="U64" s="3">
        <f>Switzerland!P12</f>
        <v>25946.044444444444</v>
      </c>
      <c r="V64" s="3">
        <f>Britain!R12</f>
        <v>22080.000000000004</v>
      </c>
      <c r="W64" s="3">
        <f>USA!Q12</f>
        <v>24380</v>
      </c>
      <c r="Y64" s="3">
        <v>2018</v>
      </c>
      <c r="Z64" s="84">
        <f t="shared" si="1"/>
        <v>1.35</v>
      </c>
      <c r="AA64" s="84">
        <f>Austria!AZ12</f>
        <v>0</v>
      </c>
      <c r="AB64" s="84">
        <f>Belgium!AU12</f>
        <v>0</v>
      </c>
      <c r="AC64" s="84">
        <f>Canada!AX12</f>
        <v>0</v>
      </c>
      <c r="AD64" s="84">
        <f>China!AW12</f>
        <v>0</v>
      </c>
      <c r="AE64" s="84">
        <f>Denmark!AW12</f>
        <v>0</v>
      </c>
      <c r="AF64" s="84">
        <f>Finland!AV12</f>
        <v>0</v>
      </c>
      <c r="AG64" s="84">
        <f>France!AW12</f>
        <v>0</v>
      </c>
      <c r="AH64" s="84">
        <f>Germany!AX12</f>
        <v>0</v>
      </c>
      <c r="AI64" s="84">
        <f>India!AV12</f>
        <v>0</v>
      </c>
      <c r="AJ64" s="84">
        <f>Ireland!AW12</f>
        <v>0</v>
      </c>
      <c r="AK64" s="84">
        <f>Italy!AV12</f>
        <v>0</v>
      </c>
      <c r="AL64" s="84">
        <f>Japan!AV12</f>
        <v>0</v>
      </c>
      <c r="AM64" s="84">
        <f>Korea!AX12</f>
        <v>0</v>
      </c>
      <c r="AN64" s="84">
        <f>'Netherlands '!AW13</f>
        <v>0</v>
      </c>
      <c r="AO64" s="84">
        <f>'New Zealand'!AV12</f>
        <v>0</v>
      </c>
      <c r="AP64" s="84">
        <f>'Norway with subs'!BB13</f>
        <v>0</v>
      </c>
      <c r="AQ64" s="84">
        <f>Spain!AV12</f>
        <v>0</v>
      </c>
      <c r="AR64" s="84">
        <v>0</v>
      </c>
      <c r="AS64" s="84">
        <f>Switzerland!AW12</f>
        <v>0</v>
      </c>
      <c r="AT64" s="84">
        <f>Britain!AP12</f>
        <v>0</v>
      </c>
      <c r="AU64" s="84">
        <f>USA!AW12</f>
        <v>0</v>
      </c>
      <c r="AX64" s="3">
        <v>2018</v>
      </c>
      <c r="AY64" s="3">
        <f>Australia!BQ12</f>
        <v>0</v>
      </c>
      <c r="AZ64" s="3">
        <f>Austria!BY12</f>
        <v>0</v>
      </c>
      <c r="BA64" s="3">
        <f>Belgium!BT12</f>
        <v>0</v>
      </c>
      <c r="BB64" s="3">
        <f>Canada!BW12</f>
        <v>0</v>
      </c>
      <c r="BC64" s="3">
        <f>China!BV12</f>
        <v>0</v>
      </c>
      <c r="BD64" s="3">
        <f>Denmark!BV12</f>
        <v>0</v>
      </c>
      <c r="BE64" s="3">
        <f>Finland!BU12</f>
        <v>0</v>
      </c>
      <c r="BF64" s="3">
        <f>France!BV12</f>
        <v>0</v>
      </c>
      <c r="BG64" s="3">
        <f>Germany!BW12</f>
        <v>0</v>
      </c>
      <c r="BH64" s="3">
        <f>India!BU12</f>
        <v>0</v>
      </c>
      <c r="BI64" s="3">
        <f>Ireland!BV12</f>
        <v>0</v>
      </c>
      <c r="BJ64" s="3">
        <f>Italy!BU12</f>
        <v>0</v>
      </c>
      <c r="BK64" s="3">
        <f>Japan!BU12</f>
        <v>0</v>
      </c>
      <c r="BL64" s="3">
        <f>Korea!BW12</f>
        <v>0</v>
      </c>
      <c r="BM64" s="3">
        <f>'Netherlands '!BV13</f>
        <v>0</v>
      </c>
      <c r="BN64" s="3">
        <f>'New Zealand'!BU12</f>
        <v>0</v>
      </c>
      <c r="BO64" s="3">
        <f>'Norway with subs'!BY13</f>
        <v>0</v>
      </c>
      <c r="BP64" s="3">
        <f>Spain!BU12</f>
        <v>0</v>
      </c>
      <c r="BQ64" s="3">
        <f>Sweden!BU12</f>
        <v>0</v>
      </c>
      <c r="BR64" s="3">
        <f>Switzerland!BV12</f>
        <v>0</v>
      </c>
      <c r="BS64" s="3">
        <f>Britain!BO12</f>
        <v>0</v>
      </c>
      <c r="BT64" s="3">
        <f>USA!BV12</f>
        <v>0</v>
      </c>
    </row>
    <row r="65" spans="1:72">
      <c r="A65" s="3">
        <v>2019</v>
      </c>
      <c r="B65" s="3">
        <f>Australia!Q13</f>
        <v>35086.5</v>
      </c>
      <c r="C65" s="3">
        <f>Austria!Q13</f>
        <v>24417.039159383276</v>
      </c>
      <c r="D65" s="3">
        <f>Belgium!Q13</f>
        <v>23655.5</v>
      </c>
      <c r="E65" s="3">
        <f>Canada!Q13</f>
        <v>33787.000000000007</v>
      </c>
      <c r="F65" s="3">
        <f>China!R13</f>
        <v>197064</v>
      </c>
      <c r="G65" s="3">
        <f>Denmark!Q13</f>
        <v>356975</v>
      </c>
      <c r="H65" s="3">
        <f>Finland!Q13</f>
        <v>29520.5</v>
      </c>
      <c r="I65" s="3">
        <f>France!R13</f>
        <v>24046.5</v>
      </c>
      <c r="J65" s="3">
        <f>Germany!S13</f>
        <v>23851</v>
      </c>
      <c r="K65" s="3">
        <f>India!Q13</f>
        <v>1898650</v>
      </c>
      <c r="L65" s="3">
        <f>Ireland!R13</f>
        <v>28934</v>
      </c>
      <c r="M65" s="3">
        <f>Italy!P13</f>
        <v>23851</v>
      </c>
      <c r="N65" s="3">
        <f>Japan!Q13</f>
        <v>2732400</v>
      </c>
      <c r="O65" s="3">
        <f>Korea!R13</f>
        <v>39.549937499999999</v>
      </c>
      <c r="P65" s="3">
        <f>'Netherlands '!R14</f>
        <v>26588</v>
      </c>
      <c r="Q65" s="3">
        <f>'New Zealand'!O13</f>
        <v>39605.999999999993</v>
      </c>
      <c r="R65" s="3">
        <f>'Norway with subs'!AD14</f>
        <v>296240</v>
      </c>
      <c r="S65" s="3">
        <f>Spain!Q13</f>
        <v>24584.125</v>
      </c>
      <c r="T65" s="3">
        <f>Sweden!P13</f>
        <v>244375</v>
      </c>
      <c r="U65" s="3">
        <f>Switzerland!P13</f>
        <v>25946.044444444444</v>
      </c>
      <c r="V65" s="3">
        <f>Britain!R13</f>
        <v>22080.000000000004</v>
      </c>
      <c r="W65" s="3">
        <f>USA!Q13</f>
        <v>24380</v>
      </c>
      <c r="Y65" s="3">
        <v>2019</v>
      </c>
      <c r="Z65" s="84">
        <f t="shared" si="1"/>
        <v>1.35</v>
      </c>
      <c r="AA65" s="84">
        <f>Austria!AZ13</f>
        <v>0</v>
      </c>
      <c r="AB65" s="84">
        <f>Belgium!AU13</f>
        <v>0</v>
      </c>
      <c r="AC65" s="84">
        <f>Canada!AX13</f>
        <v>0</v>
      </c>
      <c r="AD65" s="84">
        <f>China!AW13</f>
        <v>0</v>
      </c>
      <c r="AE65" s="84">
        <f>Denmark!AW13</f>
        <v>0</v>
      </c>
      <c r="AF65" s="84">
        <f>Finland!AV13</f>
        <v>0</v>
      </c>
      <c r="AG65" s="84">
        <f>France!AW13</f>
        <v>0</v>
      </c>
      <c r="AH65" s="84">
        <f>Germany!AX13</f>
        <v>0</v>
      </c>
      <c r="AI65" s="84">
        <f>India!AV13</f>
        <v>0</v>
      </c>
      <c r="AJ65" s="84">
        <f>Ireland!AW13</f>
        <v>0</v>
      </c>
      <c r="AK65" s="84">
        <f>Italy!AV13</f>
        <v>0</v>
      </c>
      <c r="AL65" s="84">
        <f>Japan!AV13</f>
        <v>0</v>
      </c>
      <c r="AM65" s="84">
        <f>Korea!AX13</f>
        <v>0</v>
      </c>
      <c r="AN65" s="84">
        <f>'Netherlands '!AW14</f>
        <v>0</v>
      </c>
      <c r="AO65" s="84">
        <f>'New Zealand'!AV13</f>
        <v>0</v>
      </c>
      <c r="AP65" s="84">
        <f>'Norway with subs'!BB14</f>
        <v>0</v>
      </c>
      <c r="AQ65" s="84">
        <f>Spain!AV13</f>
        <v>0</v>
      </c>
      <c r="AR65" s="84">
        <v>0</v>
      </c>
      <c r="AS65" s="84">
        <f>Switzerland!AW13</f>
        <v>0</v>
      </c>
      <c r="AT65" s="84">
        <f>Britain!AP13</f>
        <v>0</v>
      </c>
      <c r="AU65" s="84">
        <f>USA!AW13</f>
        <v>0</v>
      </c>
      <c r="AX65" s="3">
        <v>2019</v>
      </c>
      <c r="AY65" s="3">
        <f>Australia!BQ13</f>
        <v>0</v>
      </c>
      <c r="AZ65" s="3">
        <f>Austria!BY13</f>
        <v>0</v>
      </c>
      <c r="BA65" s="3">
        <f>Belgium!BT13</f>
        <v>0</v>
      </c>
      <c r="BB65" s="3">
        <f>Canada!BW13</f>
        <v>0</v>
      </c>
      <c r="BC65" s="3">
        <f>China!BV13</f>
        <v>0</v>
      </c>
      <c r="BD65" s="3">
        <f>Denmark!BV13</f>
        <v>0</v>
      </c>
      <c r="BE65" s="3">
        <f>Finland!BU13</f>
        <v>0</v>
      </c>
      <c r="BF65" s="3">
        <f>France!BV13</f>
        <v>0</v>
      </c>
      <c r="BG65" s="3">
        <f>Germany!BW13</f>
        <v>0</v>
      </c>
      <c r="BH65" s="3">
        <f>India!BU13</f>
        <v>0</v>
      </c>
      <c r="BI65" s="3">
        <f>Ireland!BV13</f>
        <v>0</v>
      </c>
      <c r="BJ65" s="3">
        <f>Italy!BU13</f>
        <v>0</v>
      </c>
      <c r="BK65" s="3">
        <f>Japan!BU13</f>
        <v>0</v>
      </c>
      <c r="BL65" s="3">
        <f>Korea!BW13</f>
        <v>0</v>
      </c>
      <c r="BM65" s="3">
        <f>'Netherlands '!BV14</f>
        <v>0</v>
      </c>
      <c r="BN65" s="3">
        <f>'New Zealand'!BU13</f>
        <v>0</v>
      </c>
      <c r="BO65" s="3">
        <f>'Norway with subs'!BY14</f>
        <v>0</v>
      </c>
      <c r="BP65" s="3">
        <f>Spain!BU13</f>
        <v>0</v>
      </c>
      <c r="BQ65" s="3">
        <f>Sweden!BU13</f>
        <v>0</v>
      </c>
      <c r="BR65" s="3">
        <f>Switzerland!BV13</f>
        <v>0</v>
      </c>
      <c r="BS65" s="3">
        <f>Britain!BO13</f>
        <v>0</v>
      </c>
      <c r="BT65" s="3">
        <f>USA!BV13</f>
        <v>0</v>
      </c>
    </row>
    <row r="66" spans="1:72">
      <c r="A66" s="3">
        <v>2020</v>
      </c>
      <c r="B66" s="3">
        <f>Australia!Q14</f>
        <v>35086.5</v>
      </c>
      <c r="C66" s="3">
        <f>Austria!Q14</f>
        <v>24395.94966275572</v>
      </c>
      <c r="D66" s="3">
        <f>Belgium!Q14</f>
        <v>23655.5</v>
      </c>
      <c r="E66" s="3">
        <f>Canada!Q14</f>
        <v>33787.000000000007</v>
      </c>
      <c r="F66" s="3">
        <f>China!R14</f>
        <v>197064</v>
      </c>
      <c r="G66" s="3">
        <f>Denmark!Q14</f>
        <v>356975</v>
      </c>
      <c r="H66" s="3">
        <f>Finland!Q14</f>
        <v>29520.5</v>
      </c>
      <c r="I66" s="3">
        <f>France!R14</f>
        <v>24046.5</v>
      </c>
      <c r="J66" s="3">
        <f>Germany!S14</f>
        <v>23851</v>
      </c>
      <c r="K66" s="3">
        <f>India!Q14</f>
        <v>1898650</v>
      </c>
      <c r="L66" s="3">
        <f>Ireland!R14</f>
        <v>28934</v>
      </c>
      <c r="M66" s="3">
        <f>Italy!P14</f>
        <v>23851</v>
      </c>
      <c r="N66" s="3">
        <f>Japan!Q14</f>
        <v>2732400</v>
      </c>
      <c r="O66" s="3">
        <f>Korea!R14</f>
        <v>39.549937499999999</v>
      </c>
      <c r="P66" s="3">
        <f>'Netherlands '!R15</f>
        <v>26588</v>
      </c>
      <c r="Q66" s="3">
        <f>'New Zealand'!O14</f>
        <v>39605.999999999993</v>
      </c>
      <c r="R66" s="3">
        <f>'Norway with subs'!AD15</f>
        <v>296240</v>
      </c>
      <c r="S66" s="3">
        <f>Spain!Q14</f>
        <v>24584.125</v>
      </c>
      <c r="T66" s="3">
        <f>Sweden!P14</f>
        <v>244375</v>
      </c>
      <c r="U66" s="3">
        <f>Switzerland!P14</f>
        <v>25946.044444444444</v>
      </c>
      <c r="V66" s="3">
        <f>Britain!R14</f>
        <v>22080.000000000004</v>
      </c>
      <c r="W66" s="3">
        <f>USA!Q14</f>
        <v>24380</v>
      </c>
      <c r="Y66" s="3">
        <v>2020</v>
      </c>
      <c r="Z66" s="84">
        <f t="shared" si="1"/>
        <v>1.35</v>
      </c>
      <c r="AA66" s="84">
        <f>Austria!AZ14</f>
        <v>0</v>
      </c>
      <c r="AB66" s="84">
        <f>Belgium!AU14</f>
        <v>0</v>
      </c>
      <c r="AC66" s="84">
        <f>Canada!AX14</f>
        <v>0</v>
      </c>
      <c r="AD66" s="84">
        <f>China!AW14</f>
        <v>0</v>
      </c>
      <c r="AE66" s="84">
        <f>Denmark!AW14</f>
        <v>0</v>
      </c>
      <c r="AF66" s="84">
        <f>Finland!AV14</f>
        <v>0</v>
      </c>
      <c r="AG66" s="84">
        <f>France!AW14</f>
        <v>0</v>
      </c>
      <c r="AH66" s="84">
        <f>Germany!AX14</f>
        <v>0</v>
      </c>
      <c r="AI66" s="84">
        <f>India!AV14</f>
        <v>0</v>
      </c>
      <c r="AJ66" s="84">
        <f>Ireland!AW14</f>
        <v>0</v>
      </c>
      <c r="AK66" s="84">
        <f>Italy!AV14</f>
        <v>0</v>
      </c>
      <c r="AL66" s="84">
        <f>Japan!AV14</f>
        <v>0</v>
      </c>
      <c r="AM66" s="84">
        <f>Korea!AX14</f>
        <v>0</v>
      </c>
      <c r="AN66" s="84">
        <f>'Netherlands '!AW15</f>
        <v>0</v>
      </c>
      <c r="AO66" s="84">
        <f>'New Zealand'!AV14</f>
        <v>0</v>
      </c>
      <c r="AP66" s="84">
        <f>'Norway with subs'!BB15</f>
        <v>0</v>
      </c>
      <c r="AQ66" s="84">
        <f>Spain!AV14</f>
        <v>0</v>
      </c>
      <c r="AR66" s="84">
        <f>Sweden!AV14</f>
        <v>0</v>
      </c>
      <c r="AS66" s="84">
        <f>Switzerland!AW14</f>
        <v>0</v>
      </c>
      <c r="AT66" s="84">
        <f>Britain!AP14</f>
        <v>0</v>
      </c>
      <c r="AU66" s="84">
        <f>USA!AW14</f>
        <v>0</v>
      </c>
      <c r="AX66" s="3">
        <v>2020</v>
      </c>
      <c r="AY66" s="3">
        <f>Australia!BQ14</f>
        <v>0</v>
      </c>
      <c r="AZ66" s="3">
        <f>Austria!BY14</f>
        <v>0</v>
      </c>
      <c r="BA66" s="3">
        <f>Belgium!BT14</f>
        <v>0</v>
      </c>
      <c r="BB66" s="3">
        <f>Canada!BW14</f>
        <v>0</v>
      </c>
      <c r="BC66" s="3">
        <f>China!BV14</f>
        <v>0</v>
      </c>
      <c r="BD66" s="3">
        <f>Denmark!BV14</f>
        <v>0</v>
      </c>
      <c r="BE66" s="3">
        <f>Finland!BU14</f>
        <v>0</v>
      </c>
      <c r="BF66" s="3">
        <f>France!BV14</f>
        <v>0</v>
      </c>
      <c r="BG66" s="3">
        <f>Germany!BW14</f>
        <v>0</v>
      </c>
      <c r="BH66" s="3">
        <f>India!BU14</f>
        <v>0</v>
      </c>
      <c r="BI66" s="3">
        <f>Ireland!BV14</f>
        <v>0</v>
      </c>
      <c r="BJ66" s="3">
        <f>Italy!BU14</f>
        <v>0</v>
      </c>
      <c r="BK66" s="3">
        <f>Japan!BU14</f>
        <v>0</v>
      </c>
      <c r="BL66" s="3">
        <f>Korea!BW14</f>
        <v>0</v>
      </c>
      <c r="BM66" s="3">
        <f>'Netherlands '!BV15</f>
        <v>0</v>
      </c>
      <c r="BN66" s="3">
        <f>'New Zealand'!BU14</f>
        <v>0</v>
      </c>
      <c r="BO66" s="3">
        <f>'Norway with subs'!BY15</f>
        <v>0</v>
      </c>
      <c r="BP66" s="3">
        <f>Spain!BU14</f>
        <v>0</v>
      </c>
      <c r="BQ66" s="3">
        <f>Sweden!BU14</f>
        <v>0</v>
      </c>
      <c r="BR66" s="3">
        <f>Switzerland!BV14</f>
        <v>0</v>
      </c>
      <c r="BS66" s="3">
        <f>Britain!BO14</f>
        <v>0</v>
      </c>
      <c r="BT66" s="3">
        <f>USA!BV14</f>
        <v>0</v>
      </c>
    </row>
    <row r="67" spans="1:72">
      <c r="A67" s="3">
        <v>2021</v>
      </c>
      <c r="B67" s="3">
        <f>Australia!Q15</f>
        <v>35086.5</v>
      </c>
      <c r="C67" s="3">
        <f>Austria!Q15</f>
        <v>24375.068973025463</v>
      </c>
      <c r="D67" s="3">
        <f>Belgium!Q15</f>
        <v>23655.5</v>
      </c>
      <c r="E67" s="3">
        <f>Canada!Q15</f>
        <v>33787.000000000007</v>
      </c>
      <c r="F67" s="3">
        <f>China!R15</f>
        <v>197064</v>
      </c>
      <c r="G67" s="3">
        <f>Denmark!Q15</f>
        <v>356975</v>
      </c>
      <c r="H67" s="3">
        <f>Finland!Q15</f>
        <v>29520.5</v>
      </c>
      <c r="I67" s="3">
        <f>France!R15</f>
        <v>24046.5</v>
      </c>
      <c r="J67" s="3">
        <f>Germany!S15</f>
        <v>23851</v>
      </c>
      <c r="K67" s="3">
        <f>India!Q15</f>
        <v>1898650</v>
      </c>
      <c r="L67" s="3">
        <f>Ireland!R15</f>
        <v>28934</v>
      </c>
      <c r="M67" s="3">
        <f>Italy!P15</f>
        <v>23851</v>
      </c>
      <c r="N67" s="3">
        <f>Japan!Q15</f>
        <v>2732400</v>
      </c>
      <c r="O67" s="3">
        <f>Korea!R15</f>
        <v>39.549937499999999</v>
      </c>
      <c r="P67" s="3">
        <f>'Netherlands '!R16</f>
        <v>26588</v>
      </c>
      <c r="Q67" s="3">
        <f>'New Zealand'!O15</f>
        <v>39605.999999999993</v>
      </c>
      <c r="R67" s="3">
        <f>'Norway with subs'!AD16</f>
        <v>296240</v>
      </c>
      <c r="S67" s="3">
        <f>Spain!Q15</f>
        <v>24584.125</v>
      </c>
      <c r="T67" s="3">
        <f>Sweden!P15</f>
        <v>244375</v>
      </c>
      <c r="U67" s="3">
        <f>Switzerland!P15</f>
        <v>25946.044444444444</v>
      </c>
      <c r="V67" s="3">
        <f>Britain!R15</f>
        <v>22080.000000000004</v>
      </c>
      <c r="W67" s="3">
        <f>USA!Q15</f>
        <v>24380</v>
      </c>
      <c r="Y67" s="3">
        <v>2021</v>
      </c>
      <c r="Z67" s="84">
        <f t="shared" si="1"/>
        <v>1.35</v>
      </c>
      <c r="AA67" s="84">
        <f>Austria!AZ15</f>
        <v>0</v>
      </c>
      <c r="AB67" s="84">
        <f>Belgium!AU15</f>
        <v>0</v>
      </c>
      <c r="AC67" s="84">
        <f>Canada!AX15</f>
        <v>0</v>
      </c>
      <c r="AD67" s="84">
        <f>China!AW15</f>
        <v>0</v>
      </c>
      <c r="AE67" s="84">
        <f>Denmark!AW15</f>
        <v>0</v>
      </c>
      <c r="AF67" s="84">
        <f>Finland!AV15</f>
        <v>0</v>
      </c>
      <c r="AG67" s="84">
        <f>France!AW15</f>
        <v>0</v>
      </c>
      <c r="AH67" s="84">
        <f>Germany!AX15</f>
        <v>0</v>
      </c>
      <c r="AI67" s="84">
        <f>India!AV15</f>
        <v>0</v>
      </c>
      <c r="AJ67" s="84">
        <f>Ireland!AW15</f>
        <v>0</v>
      </c>
      <c r="AK67" s="84">
        <f>Italy!AV15</f>
        <v>0</v>
      </c>
      <c r="AL67" s="84">
        <f>Japan!AV15</f>
        <v>0</v>
      </c>
      <c r="AM67" s="84">
        <f>Korea!AX15</f>
        <v>0</v>
      </c>
      <c r="AN67" s="84">
        <f>'Netherlands '!AW16</f>
        <v>0</v>
      </c>
      <c r="AO67" s="84">
        <f>'New Zealand'!AV15</f>
        <v>0</v>
      </c>
      <c r="AP67" s="84">
        <f>'Norway with subs'!BB16</f>
        <v>0</v>
      </c>
      <c r="AQ67" s="84">
        <f>Spain!AV15</f>
        <v>0</v>
      </c>
      <c r="AR67" s="84">
        <f>Sweden!AV15</f>
        <v>0</v>
      </c>
      <c r="AS67" s="84">
        <f>Switzerland!AW15</f>
        <v>0</v>
      </c>
      <c r="AT67" s="84">
        <f>Britain!AP15</f>
        <v>0</v>
      </c>
      <c r="AU67" s="84">
        <f>USA!AW15</f>
        <v>0</v>
      </c>
      <c r="AX67" s="3">
        <v>2021</v>
      </c>
      <c r="AY67" s="3">
        <f>Australia!BQ15</f>
        <v>0</v>
      </c>
      <c r="AZ67" s="3">
        <f>Austria!BY15</f>
        <v>0</v>
      </c>
      <c r="BA67" s="3">
        <f>Belgium!BT15</f>
        <v>0</v>
      </c>
      <c r="BB67" s="3">
        <f>Canada!BW15</f>
        <v>0</v>
      </c>
      <c r="BC67" s="3">
        <f>China!BV15</f>
        <v>0</v>
      </c>
      <c r="BD67" s="3">
        <f>Denmark!BV15</f>
        <v>0</v>
      </c>
      <c r="BE67" s="3">
        <f>Finland!BU15</f>
        <v>0</v>
      </c>
      <c r="BF67" s="3">
        <f>France!BV15</f>
        <v>0</v>
      </c>
      <c r="BG67" s="3">
        <f>Germany!BW15</f>
        <v>0</v>
      </c>
      <c r="BH67" s="3">
        <f>India!BU15</f>
        <v>0</v>
      </c>
      <c r="BI67" s="3">
        <f>Ireland!BV15</f>
        <v>0</v>
      </c>
      <c r="BJ67" s="3">
        <f>Italy!BU15</f>
        <v>0</v>
      </c>
      <c r="BK67" s="3">
        <f>Japan!BU15</f>
        <v>0</v>
      </c>
      <c r="BL67" s="3">
        <f>Korea!BW15</f>
        <v>0</v>
      </c>
      <c r="BM67" s="3">
        <f>'Netherlands '!BV16</f>
        <v>0</v>
      </c>
      <c r="BN67" s="3">
        <f>'New Zealand'!BU15</f>
        <v>0</v>
      </c>
      <c r="BO67" s="3">
        <f>'Norway with subs'!BY16</f>
        <v>0</v>
      </c>
      <c r="BP67" s="3">
        <f>Spain!BU15</f>
        <v>0</v>
      </c>
      <c r="BQ67" s="3">
        <f>Sweden!BU15</f>
        <v>0</v>
      </c>
      <c r="BR67" s="3">
        <f>Switzerland!BV15</f>
        <v>0</v>
      </c>
      <c r="BS67" s="3">
        <f>Britain!BO15</f>
        <v>0</v>
      </c>
      <c r="BT67" s="3">
        <f>USA!BV15</f>
        <v>0</v>
      </c>
    </row>
    <row r="68" spans="1:72">
      <c r="A68" s="3">
        <v>2022</v>
      </c>
      <c r="B68" s="3">
        <f>Australia!Q16</f>
        <v>35086.5</v>
      </c>
      <c r="C68" s="3">
        <f>Austria!Q16</f>
        <v>24354.395022797489</v>
      </c>
      <c r="D68" s="3">
        <f>Belgium!Q16</f>
        <v>23655.5</v>
      </c>
      <c r="E68" s="3">
        <f>Canada!Q16</f>
        <v>33787.000000000007</v>
      </c>
      <c r="F68" s="3">
        <f>China!R16</f>
        <v>197064</v>
      </c>
      <c r="G68" s="3">
        <f>Denmark!Q16</f>
        <v>356975</v>
      </c>
      <c r="H68" s="3">
        <f>Finland!Q16</f>
        <v>29520.5</v>
      </c>
      <c r="I68" s="3">
        <f>France!R16</f>
        <v>24046.5</v>
      </c>
      <c r="J68" s="3">
        <f>Germany!S16</f>
        <v>23851</v>
      </c>
      <c r="K68" s="3">
        <f>India!Q16</f>
        <v>1898650</v>
      </c>
      <c r="L68" s="3">
        <f>Ireland!R16</f>
        <v>28934</v>
      </c>
      <c r="M68" s="3">
        <f>Italy!P16</f>
        <v>23851</v>
      </c>
      <c r="N68" s="3">
        <f>Japan!Q16</f>
        <v>2732400</v>
      </c>
      <c r="O68" s="3">
        <f>Korea!R16</f>
        <v>39.549937499999999</v>
      </c>
      <c r="P68" s="3">
        <f>'Netherlands '!R17</f>
        <v>26588</v>
      </c>
      <c r="Q68" s="3">
        <f>'New Zealand'!O16</f>
        <v>39605.999999999993</v>
      </c>
      <c r="R68" s="3">
        <f>'Norway with subs'!AD17</f>
        <v>296240</v>
      </c>
      <c r="S68" s="3">
        <f>Spain!Q16</f>
        <v>24584.125</v>
      </c>
      <c r="T68" s="3">
        <f>Sweden!P16</f>
        <v>244375</v>
      </c>
      <c r="U68" s="3">
        <f>Switzerland!P16</f>
        <v>25946.044444444444</v>
      </c>
      <c r="V68" s="3">
        <f>Britain!R16</f>
        <v>22080.000000000004</v>
      </c>
      <c r="W68" s="3">
        <f>USA!Q16</f>
        <v>24380</v>
      </c>
      <c r="Y68" s="3">
        <v>2022</v>
      </c>
      <c r="Z68" s="84">
        <f t="shared" si="1"/>
        <v>1.35</v>
      </c>
      <c r="AA68" s="84">
        <f>Austria!AZ16</f>
        <v>0</v>
      </c>
      <c r="AB68" s="84">
        <f>Belgium!AU16</f>
        <v>0</v>
      </c>
      <c r="AC68" s="84">
        <f>Canada!AX16</f>
        <v>0</v>
      </c>
      <c r="AD68" s="84">
        <f>China!AW16</f>
        <v>0</v>
      </c>
      <c r="AE68" s="84">
        <f>Denmark!AW16</f>
        <v>0</v>
      </c>
      <c r="AF68" s="84">
        <f>Finland!AV16</f>
        <v>0</v>
      </c>
      <c r="AG68" s="84">
        <f>France!AW16</f>
        <v>0</v>
      </c>
      <c r="AH68" s="84">
        <f>Germany!AX16</f>
        <v>0</v>
      </c>
      <c r="AI68" s="84">
        <f>India!AV16</f>
        <v>0</v>
      </c>
      <c r="AJ68" s="84">
        <f>Ireland!AW16</f>
        <v>0</v>
      </c>
      <c r="AK68" s="84">
        <f>Italy!AV16</f>
        <v>0</v>
      </c>
      <c r="AL68" s="84">
        <f>Japan!AV16</f>
        <v>0</v>
      </c>
      <c r="AM68" s="84">
        <f>Korea!AX16</f>
        <v>0</v>
      </c>
      <c r="AN68" s="84">
        <f>'Netherlands '!AW17</f>
        <v>0</v>
      </c>
      <c r="AO68" s="84">
        <f>'New Zealand'!AV16</f>
        <v>0</v>
      </c>
      <c r="AP68" s="84">
        <f>'Norway with subs'!BB17</f>
        <v>0</v>
      </c>
      <c r="AQ68" s="84">
        <f>Spain!AV16</f>
        <v>0</v>
      </c>
      <c r="AR68" s="84">
        <f>Sweden!AV16</f>
        <v>0</v>
      </c>
      <c r="AS68" s="84">
        <f>Switzerland!AW16</f>
        <v>0</v>
      </c>
      <c r="AT68" s="84">
        <f>Britain!AP16</f>
        <v>0</v>
      </c>
      <c r="AU68" s="84">
        <f>USA!AW16</f>
        <v>0</v>
      </c>
      <c r="AX68" s="3">
        <v>2022</v>
      </c>
      <c r="AY68" s="3">
        <f>Australia!BQ16</f>
        <v>0</v>
      </c>
      <c r="AZ68" s="3">
        <f>Austria!BY16</f>
        <v>0</v>
      </c>
      <c r="BA68" s="3">
        <f>Belgium!BT16</f>
        <v>0</v>
      </c>
      <c r="BB68" s="3">
        <f>Canada!BW16</f>
        <v>0</v>
      </c>
      <c r="BC68" s="3">
        <f>China!BV16</f>
        <v>0</v>
      </c>
      <c r="BD68" s="3">
        <f>Denmark!BV16</f>
        <v>0</v>
      </c>
      <c r="BE68" s="3">
        <f>Finland!BU16</f>
        <v>0</v>
      </c>
      <c r="BF68" s="3">
        <f>France!BV16</f>
        <v>0</v>
      </c>
      <c r="BG68" s="3">
        <f>Germany!BW16</f>
        <v>0</v>
      </c>
      <c r="BH68" s="3">
        <f>India!BU16</f>
        <v>0</v>
      </c>
      <c r="BI68" s="3">
        <f>Ireland!BV16</f>
        <v>0</v>
      </c>
      <c r="BJ68" s="3">
        <f>Italy!BU16</f>
        <v>0</v>
      </c>
      <c r="BK68" s="3">
        <f>Japan!BU16</f>
        <v>0</v>
      </c>
      <c r="BL68" s="3">
        <f>Korea!BW16</f>
        <v>0</v>
      </c>
      <c r="BM68" s="3">
        <f>'Netherlands '!BV17</f>
        <v>0</v>
      </c>
      <c r="BN68" s="3">
        <f>'New Zealand'!BU16</f>
        <v>0</v>
      </c>
      <c r="BO68" s="3">
        <f>'Norway with subs'!BY17</f>
        <v>0</v>
      </c>
      <c r="BP68" s="3">
        <f>Spain!BU16</f>
        <v>0</v>
      </c>
      <c r="BQ68" s="3">
        <f>Sweden!BU16</f>
        <v>0</v>
      </c>
      <c r="BR68" s="3">
        <f>Switzerland!BV16</f>
        <v>0</v>
      </c>
      <c r="BS68" s="3">
        <f>Britain!BO16</f>
        <v>0</v>
      </c>
      <c r="BT68" s="3">
        <f>USA!BV16</f>
        <v>0</v>
      </c>
    </row>
    <row r="69" spans="1:72">
      <c r="A69" s="3">
        <v>2023</v>
      </c>
      <c r="B69" s="3">
        <f>Australia!Q17</f>
        <v>35086.5</v>
      </c>
      <c r="C69" s="3">
        <f>Austria!Q17</f>
        <v>24333.925765146028</v>
      </c>
      <c r="D69" s="3">
        <f>Belgium!Q17</f>
        <v>23655.5</v>
      </c>
      <c r="E69" s="3">
        <f>Canada!Q17</f>
        <v>33787.000000000007</v>
      </c>
      <c r="F69" s="3">
        <f>China!R17</f>
        <v>197064</v>
      </c>
      <c r="G69" s="3">
        <f>Denmark!Q17</f>
        <v>356975</v>
      </c>
      <c r="H69" s="3">
        <f>Finland!Q17</f>
        <v>29520.5</v>
      </c>
      <c r="I69" s="3">
        <f>France!R17</f>
        <v>24046.5</v>
      </c>
      <c r="J69" s="3">
        <f>Germany!S17</f>
        <v>23851</v>
      </c>
      <c r="K69" s="3">
        <f>India!Q17</f>
        <v>1898650</v>
      </c>
      <c r="L69" s="3">
        <f>Ireland!R17</f>
        <v>28934</v>
      </c>
      <c r="M69" s="3">
        <f>Italy!P17</f>
        <v>23851</v>
      </c>
      <c r="N69" s="3">
        <f>Japan!Q17</f>
        <v>2732400</v>
      </c>
      <c r="O69" s="3">
        <f>Korea!R17</f>
        <v>39.549937499999999</v>
      </c>
      <c r="P69" s="3">
        <f>'Netherlands '!R18</f>
        <v>26588</v>
      </c>
      <c r="Q69" s="3">
        <f>'New Zealand'!O17</f>
        <v>39605.999999999993</v>
      </c>
      <c r="R69" s="3">
        <f>'Norway with subs'!AD18</f>
        <v>296240</v>
      </c>
      <c r="S69" s="3">
        <f>Spain!Q17</f>
        <v>24584.125</v>
      </c>
      <c r="T69" s="3">
        <f>Sweden!P17</f>
        <v>244375</v>
      </c>
      <c r="U69" s="3">
        <f>Switzerland!P17</f>
        <v>25946.044444444444</v>
      </c>
      <c r="V69" s="3">
        <f>Britain!R17</f>
        <v>22080.000000000004</v>
      </c>
      <c r="W69" s="3">
        <f>USA!Q17</f>
        <v>24380</v>
      </c>
      <c r="Y69" s="3">
        <v>2023</v>
      </c>
      <c r="Z69" s="84">
        <f t="shared" si="1"/>
        <v>1.35</v>
      </c>
      <c r="AA69" s="84">
        <f>Austria!AZ17</f>
        <v>0</v>
      </c>
      <c r="AB69" s="84">
        <f>Belgium!AU17</f>
        <v>0</v>
      </c>
      <c r="AC69" s="84">
        <f>Canada!AX17</f>
        <v>0</v>
      </c>
      <c r="AD69" s="84">
        <f>China!AW17</f>
        <v>0</v>
      </c>
      <c r="AE69" s="84">
        <f>Denmark!AW17</f>
        <v>0</v>
      </c>
      <c r="AF69" s="84">
        <f>Finland!AV17</f>
        <v>0</v>
      </c>
      <c r="AG69" s="84">
        <f>France!AW17</f>
        <v>0</v>
      </c>
      <c r="AH69" s="84">
        <f>Germany!AX17</f>
        <v>0</v>
      </c>
      <c r="AI69" s="84">
        <f>India!AV17</f>
        <v>0</v>
      </c>
      <c r="AJ69" s="84">
        <f>Ireland!AW17</f>
        <v>0</v>
      </c>
      <c r="AK69" s="84">
        <f>Italy!AV17</f>
        <v>0</v>
      </c>
      <c r="AL69" s="84">
        <f>Japan!AV17</f>
        <v>0</v>
      </c>
      <c r="AM69" s="84">
        <f>Korea!AX17</f>
        <v>0</v>
      </c>
      <c r="AN69" s="84">
        <f>'Netherlands '!AW18</f>
        <v>0</v>
      </c>
      <c r="AO69" s="84">
        <f>'New Zealand'!AV17</f>
        <v>0</v>
      </c>
      <c r="AP69" s="84">
        <f>'Norway with subs'!BB18</f>
        <v>0</v>
      </c>
      <c r="AQ69" s="84">
        <f>Spain!AV17</f>
        <v>0</v>
      </c>
      <c r="AR69" s="84">
        <f>Sweden!AV17</f>
        <v>0</v>
      </c>
      <c r="AS69" s="84">
        <f>Switzerland!AW17</f>
        <v>0</v>
      </c>
      <c r="AT69" s="84">
        <f>Britain!AP17</f>
        <v>0</v>
      </c>
      <c r="AU69" s="84">
        <f>USA!AW17</f>
        <v>0</v>
      </c>
      <c r="AX69" s="3">
        <v>2023</v>
      </c>
      <c r="AY69" s="3">
        <f>Australia!BQ17</f>
        <v>0</v>
      </c>
      <c r="AZ69" s="3">
        <f>Austria!BY17</f>
        <v>0</v>
      </c>
      <c r="BA69" s="3">
        <f>Belgium!BT17</f>
        <v>0</v>
      </c>
      <c r="BB69" s="3">
        <f>Canada!BW17</f>
        <v>0</v>
      </c>
      <c r="BC69" s="3">
        <f>China!BV17</f>
        <v>0</v>
      </c>
      <c r="BD69" s="3">
        <f>Denmark!BV17</f>
        <v>0</v>
      </c>
      <c r="BE69" s="3">
        <f>Finland!BU17</f>
        <v>0</v>
      </c>
      <c r="BF69" s="3">
        <f>France!BV17</f>
        <v>0</v>
      </c>
      <c r="BG69" s="3">
        <f>Germany!BW17</f>
        <v>0</v>
      </c>
      <c r="BH69" s="3">
        <f>India!BU17</f>
        <v>0</v>
      </c>
      <c r="BI69" s="3">
        <f>Ireland!BV17</f>
        <v>0</v>
      </c>
      <c r="BJ69" s="3">
        <f>Italy!BU17</f>
        <v>0</v>
      </c>
      <c r="BK69" s="3">
        <f>Japan!BU17</f>
        <v>0</v>
      </c>
      <c r="BL69" s="3">
        <f>Korea!BW17</f>
        <v>0</v>
      </c>
      <c r="BM69" s="3">
        <f>'Netherlands '!BV18</f>
        <v>0</v>
      </c>
      <c r="BN69" s="3">
        <f>'New Zealand'!BU17</f>
        <v>0</v>
      </c>
      <c r="BO69" s="3">
        <f>'Norway with subs'!BY18</f>
        <v>0</v>
      </c>
      <c r="BP69" s="3">
        <f>Spain!BU17</f>
        <v>0</v>
      </c>
      <c r="BQ69" s="3">
        <f>Sweden!BU17</f>
        <v>0</v>
      </c>
      <c r="BR69" s="3">
        <f>Switzerland!BV17</f>
        <v>0</v>
      </c>
      <c r="BS69" s="3">
        <f>Britain!BO17</f>
        <v>0</v>
      </c>
      <c r="BT69" s="3">
        <f>USA!BV17</f>
        <v>0</v>
      </c>
    </row>
    <row r="70" spans="1:72">
      <c r="A70" s="3">
        <v>2024</v>
      </c>
      <c r="B70" s="3">
        <f>Australia!Q18</f>
        <v>35086.5</v>
      </c>
      <c r="C70" s="3">
        <f>Austria!Q18</f>
        <v>24313.65917341191</v>
      </c>
      <c r="D70" s="3">
        <f>Belgium!Q18</f>
        <v>23655.5</v>
      </c>
      <c r="E70" s="3">
        <f>Canada!Q18</f>
        <v>33787.000000000007</v>
      </c>
      <c r="F70" s="3">
        <f>China!R18</f>
        <v>197064</v>
      </c>
      <c r="G70" s="3">
        <f>Denmark!Q18</f>
        <v>356975</v>
      </c>
      <c r="H70" s="3">
        <f>Finland!Q18</f>
        <v>29520.5</v>
      </c>
      <c r="I70" s="3">
        <f>France!R18</f>
        <v>24046.5</v>
      </c>
      <c r="J70" s="3">
        <f>Germany!S18</f>
        <v>23851</v>
      </c>
      <c r="K70" s="3">
        <f>India!Q18</f>
        <v>1898650</v>
      </c>
      <c r="L70" s="3">
        <f>Ireland!R18</f>
        <v>28934</v>
      </c>
      <c r="M70" s="3">
        <f>Italy!P18</f>
        <v>23851</v>
      </c>
      <c r="N70" s="3">
        <f>Japan!Q18</f>
        <v>2732400</v>
      </c>
      <c r="O70" s="3">
        <f>Korea!R18</f>
        <v>39.549937499999999</v>
      </c>
      <c r="P70" s="3">
        <f>'Netherlands '!R19</f>
        <v>26588</v>
      </c>
      <c r="Q70" s="3">
        <f>'New Zealand'!O18</f>
        <v>39605.999999999993</v>
      </c>
      <c r="R70" s="3">
        <f>'Norway with subs'!AD19</f>
        <v>296240</v>
      </c>
      <c r="S70" s="3">
        <f>Spain!Q18</f>
        <v>24584.125</v>
      </c>
      <c r="T70" s="3">
        <f>Sweden!P18</f>
        <v>244375</v>
      </c>
      <c r="U70" s="3">
        <f>Switzerland!P18</f>
        <v>25946.044444444444</v>
      </c>
      <c r="V70" s="3">
        <f>Britain!R18</f>
        <v>22080.000000000004</v>
      </c>
      <c r="W70" s="3">
        <f>USA!Q18</f>
        <v>24380</v>
      </c>
      <c r="Y70" s="3">
        <v>2024</v>
      </c>
      <c r="Z70" s="84">
        <f t="shared" si="1"/>
        <v>1.35</v>
      </c>
      <c r="AA70" s="84">
        <f>Austria!AZ18</f>
        <v>0</v>
      </c>
      <c r="AB70" s="84">
        <f>Belgium!AU18</f>
        <v>0</v>
      </c>
      <c r="AC70" s="84">
        <f>Canada!AX18</f>
        <v>0</v>
      </c>
      <c r="AD70" s="84">
        <f>China!AW18</f>
        <v>0</v>
      </c>
      <c r="AE70" s="84">
        <f>Denmark!AW18</f>
        <v>0</v>
      </c>
      <c r="AF70" s="84">
        <f>Finland!AV18</f>
        <v>0</v>
      </c>
      <c r="AG70" s="84">
        <f>France!AW18</f>
        <v>0</v>
      </c>
      <c r="AH70" s="84">
        <f>Germany!AX18</f>
        <v>0</v>
      </c>
      <c r="AI70" s="84">
        <f>India!AV18</f>
        <v>0</v>
      </c>
      <c r="AJ70" s="84">
        <f>Ireland!AW18</f>
        <v>0</v>
      </c>
      <c r="AK70" s="84">
        <f>Italy!AV18</f>
        <v>0</v>
      </c>
      <c r="AL70" s="84">
        <f>Japan!AV18</f>
        <v>0</v>
      </c>
      <c r="AM70" s="84">
        <f>Korea!AX18</f>
        <v>0</v>
      </c>
      <c r="AN70" s="84">
        <f>'Netherlands '!AW19</f>
        <v>0</v>
      </c>
      <c r="AO70" s="84">
        <f>'New Zealand'!AV18</f>
        <v>0</v>
      </c>
      <c r="AP70" s="84">
        <f>'Norway with subs'!BB19</f>
        <v>0</v>
      </c>
      <c r="AQ70" s="84">
        <f>Spain!AV18</f>
        <v>0</v>
      </c>
      <c r="AR70" s="84">
        <f>Sweden!AV18</f>
        <v>0</v>
      </c>
      <c r="AS70" s="84">
        <f>Switzerland!AW18</f>
        <v>0</v>
      </c>
      <c r="AT70" s="84">
        <f>Britain!AP18</f>
        <v>0</v>
      </c>
      <c r="AU70" s="84">
        <f>USA!AW18</f>
        <v>0</v>
      </c>
      <c r="AX70" s="3">
        <v>2024</v>
      </c>
      <c r="AY70" s="3">
        <f>Australia!BQ18</f>
        <v>0</v>
      </c>
      <c r="AZ70" s="3">
        <f>Austria!BY18</f>
        <v>0</v>
      </c>
      <c r="BA70" s="3">
        <f>Belgium!BT18</f>
        <v>0</v>
      </c>
      <c r="BB70" s="3">
        <f>Canada!BW18</f>
        <v>0</v>
      </c>
      <c r="BC70" s="3">
        <f>China!BV18</f>
        <v>0</v>
      </c>
      <c r="BD70" s="3">
        <f>Denmark!BV18</f>
        <v>0</v>
      </c>
      <c r="BE70" s="3">
        <f>Finland!BU18</f>
        <v>0</v>
      </c>
      <c r="BF70" s="3">
        <f>France!BV18</f>
        <v>0</v>
      </c>
      <c r="BG70" s="3">
        <f>Germany!BW18</f>
        <v>0</v>
      </c>
      <c r="BH70" s="3">
        <f>India!BU18</f>
        <v>0</v>
      </c>
      <c r="BI70" s="3">
        <f>Ireland!BV18</f>
        <v>0</v>
      </c>
      <c r="BJ70" s="3">
        <f>Italy!BU18</f>
        <v>0</v>
      </c>
      <c r="BK70" s="3">
        <f>Japan!BU18</f>
        <v>0</v>
      </c>
      <c r="BL70" s="3">
        <f>Korea!BW18</f>
        <v>0</v>
      </c>
      <c r="BM70" s="3">
        <f>'Netherlands '!BV19</f>
        <v>0</v>
      </c>
      <c r="BN70" s="3">
        <f>'New Zealand'!BU18</f>
        <v>0</v>
      </c>
      <c r="BO70" s="3">
        <f>'Norway with subs'!BY19</f>
        <v>0</v>
      </c>
      <c r="BP70" s="3">
        <f>Spain!BU18</f>
        <v>0</v>
      </c>
      <c r="BQ70" s="3">
        <f>Sweden!BU18</f>
        <v>0</v>
      </c>
      <c r="BR70" s="3">
        <f>Switzerland!BV18</f>
        <v>0</v>
      </c>
      <c r="BS70" s="3">
        <f>Britain!BO18</f>
        <v>0</v>
      </c>
      <c r="BT70" s="3">
        <f>USA!BV18</f>
        <v>0</v>
      </c>
    </row>
    <row r="71" spans="1:72">
      <c r="A71" s="3">
        <v>2025</v>
      </c>
      <c r="B71" s="3">
        <f>Australia!Q19</f>
        <v>35086.5</v>
      </c>
      <c r="C71" s="3">
        <f>Austria!Q19</f>
        <v>24293.59324100189</v>
      </c>
      <c r="D71" s="3">
        <f>Belgium!Q19</f>
        <v>23655.5</v>
      </c>
      <c r="E71" s="3">
        <f>Canada!Q19</f>
        <v>33787.000000000007</v>
      </c>
      <c r="F71" s="3">
        <f>China!R19</f>
        <v>197064</v>
      </c>
      <c r="G71" s="3">
        <f>Denmark!Q19</f>
        <v>356975</v>
      </c>
      <c r="H71" s="3">
        <f>Finland!Q19</f>
        <v>29520.5</v>
      </c>
      <c r="I71" s="3">
        <f>France!R19</f>
        <v>24046.5</v>
      </c>
      <c r="J71" s="3">
        <f>Germany!S19</f>
        <v>23851</v>
      </c>
      <c r="K71" s="3">
        <f>India!Q19</f>
        <v>1898650</v>
      </c>
      <c r="L71" s="3">
        <f>Ireland!R19</f>
        <v>28934</v>
      </c>
      <c r="M71" s="3">
        <f>Italy!P19</f>
        <v>23851</v>
      </c>
      <c r="N71" s="3">
        <f>Japan!Q19</f>
        <v>2732400</v>
      </c>
      <c r="O71" s="3">
        <f>Korea!R19</f>
        <v>39.549937499999999</v>
      </c>
      <c r="P71" s="3">
        <f>'Netherlands '!R20</f>
        <v>26588</v>
      </c>
      <c r="Q71" s="3">
        <f>'New Zealand'!O19</f>
        <v>39605.999999999993</v>
      </c>
      <c r="R71" s="3">
        <f>'Norway with subs'!AD20</f>
        <v>296240</v>
      </c>
      <c r="S71" s="3">
        <f>Spain!Q19</f>
        <v>24584.125</v>
      </c>
      <c r="T71" s="3">
        <f>Sweden!P19</f>
        <v>244375</v>
      </c>
      <c r="U71" s="3">
        <f>Switzerland!P19</f>
        <v>25946.044444444444</v>
      </c>
      <c r="V71" s="3">
        <f>Britain!R19</f>
        <v>22080.000000000004</v>
      </c>
      <c r="W71" s="3">
        <f>USA!Q19</f>
        <v>24380</v>
      </c>
      <c r="Y71" s="3">
        <v>2025</v>
      </c>
      <c r="Z71" s="84">
        <f t="shared" si="1"/>
        <v>1.35</v>
      </c>
      <c r="AA71" s="84">
        <f>Austria!AZ19</f>
        <v>0</v>
      </c>
      <c r="AB71" s="84">
        <f>Belgium!AU19</f>
        <v>0</v>
      </c>
      <c r="AC71" s="84">
        <f>Canada!AX19</f>
        <v>0</v>
      </c>
      <c r="AD71" s="84">
        <f>China!AW19</f>
        <v>0</v>
      </c>
      <c r="AE71" s="84">
        <f>Denmark!AW19</f>
        <v>0</v>
      </c>
      <c r="AF71" s="84">
        <f>Finland!AV19</f>
        <v>0</v>
      </c>
      <c r="AG71" s="84">
        <f>France!AW19</f>
        <v>0</v>
      </c>
      <c r="AH71" s="84">
        <f>Germany!AX19</f>
        <v>0</v>
      </c>
      <c r="AI71" s="84">
        <f>India!AV19</f>
        <v>0</v>
      </c>
      <c r="AJ71" s="84">
        <f>Ireland!AW19</f>
        <v>0</v>
      </c>
      <c r="AK71" s="84">
        <f>Italy!AV19</f>
        <v>0</v>
      </c>
      <c r="AL71" s="84">
        <f>Japan!AV19</f>
        <v>0</v>
      </c>
      <c r="AM71" s="84">
        <f>Korea!AX19</f>
        <v>0</v>
      </c>
      <c r="AN71" s="84">
        <f>'Netherlands '!AW20</f>
        <v>0</v>
      </c>
      <c r="AO71" s="84">
        <f>'New Zealand'!AV19</f>
        <v>0</v>
      </c>
      <c r="AP71" s="84">
        <f>'Norway with subs'!BB20</f>
        <v>0</v>
      </c>
      <c r="AQ71" s="84">
        <f>Spain!AV19</f>
        <v>0</v>
      </c>
      <c r="AR71" s="84">
        <f>Sweden!AV19</f>
        <v>0</v>
      </c>
      <c r="AS71" s="84">
        <f>Switzerland!AW19</f>
        <v>0</v>
      </c>
      <c r="AT71" s="84">
        <f>Britain!AP19</f>
        <v>0</v>
      </c>
      <c r="AU71" s="84">
        <f>USA!AW19</f>
        <v>0</v>
      </c>
      <c r="AX71" s="3">
        <v>2025</v>
      </c>
      <c r="AY71" s="3">
        <f>Australia!BQ19</f>
        <v>0</v>
      </c>
      <c r="AZ71" s="3">
        <f>Austria!BY19</f>
        <v>0</v>
      </c>
      <c r="BA71" s="3">
        <f>Belgium!BT19</f>
        <v>0</v>
      </c>
      <c r="BB71" s="3">
        <f>Canada!BW19</f>
        <v>0</v>
      </c>
      <c r="BC71" s="3">
        <f>China!BV19</f>
        <v>0</v>
      </c>
      <c r="BD71" s="3">
        <f>Denmark!BV19</f>
        <v>0</v>
      </c>
      <c r="BE71" s="3">
        <f>Finland!BU19</f>
        <v>0</v>
      </c>
      <c r="BF71" s="3">
        <f>France!BV19</f>
        <v>0</v>
      </c>
      <c r="BG71" s="3">
        <f>Germany!BW19</f>
        <v>0</v>
      </c>
      <c r="BH71" s="3">
        <f>India!BU19</f>
        <v>0</v>
      </c>
      <c r="BI71" s="3">
        <f>Ireland!BV19</f>
        <v>0</v>
      </c>
      <c r="BJ71" s="3">
        <f>Italy!BU19</f>
        <v>0</v>
      </c>
      <c r="BK71" s="3">
        <f>Japan!BU19</f>
        <v>0</v>
      </c>
      <c r="BL71" s="3">
        <f>Korea!BW19</f>
        <v>0</v>
      </c>
      <c r="BM71" s="3">
        <f>'Netherlands '!BV20</f>
        <v>0</v>
      </c>
      <c r="BN71" s="3">
        <f>'New Zealand'!BU19</f>
        <v>0</v>
      </c>
      <c r="BO71" s="3">
        <f>'Norway with subs'!BY20</f>
        <v>0</v>
      </c>
      <c r="BP71" s="3">
        <f>Spain!BU19</f>
        <v>0</v>
      </c>
      <c r="BQ71" s="3">
        <f>Sweden!BU19</f>
        <v>0</v>
      </c>
      <c r="BR71" s="3">
        <f>Switzerland!BV19</f>
        <v>0</v>
      </c>
      <c r="BS71" s="3">
        <f>Britain!BO19</f>
        <v>0</v>
      </c>
      <c r="BT71" s="3">
        <f>USA!BV19</f>
        <v>0</v>
      </c>
    </row>
    <row r="72" spans="1:72">
      <c r="A72" s="3">
        <v>2026</v>
      </c>
      <c r="B72" s="3">
        <f>Australia!Q20</f>
        <v>35086.5</v>
      </c>
      <c r="C72" s="3">
        <f>Austria!Q20</f>
        <v>24273.725981189993</v>
      </c>
      <c r="D72" s="3">
        <f>Belgium!Q20</f>
        <v>23655.5</v>
      </c>
      <c r="E72" s="3">
        <f>Canada!Q20</f>
        <v>33787.000000000007</v>
      </c>
      <c r="F72" s="3">
        <f>China!R20</f>
        <v>197064</v>
      </c>
      <c r="G72" s="3">
        <f>Denmark!Q20</f>
        <v>356975</v>
      </c>
      <c r="H72" s="3">
        <f>Finland!Q20</f>
        <v>29520.5</v>
      </c>
      <c r="I72" s="3">
        <f>France!R20</f>
        <v>24046.5</v>
      </c>
      <c r="J72" s="3">
        <f>Germany!S20</f>
        <v>23851</v>
      </c>
      <c r="K72" s="3">
        <f>India!Q20</f>
        <v>1898650</v>
      </c>
      <c r="L72" s="3">
        <f>Ireland!R20</f>
        <v>28934</v>
      </c>
      <c r="M72" s="3">
        <f>Italy!P20</f>
        <v>23851</v>
      </c>
      <c r="N72" s="3">
        <f>Japan!Q20</f>
        <v>2732400</v>
      </c>
      <c r="O72" s="3">
        <f>Korea!R20</f>
        <v>39.549937499999999</v>
      </c>
      <c r="P72" s="3">
        <f>'Netherlands '!R21</f>
        <v>26588</v>
      </c>
      <c r="Q72" s="3">
        <f>'New Zealand'!O20</f>
        <v>39605.999999999993</v>
      </c>
      <c r="R72" s="3">
        <f>'Norway with subs'!AD21</f>
        <v>296240</v>
      </c>
      <c r="S72" s="3">
        <f>Spain!Q20</f>
        <v>24584.125</v>
      </c>
      <c r="T72" s="3">
        <f>Sweden!P20</f>
        <v>244375</v>
      </c>
      <c r="U72" s="3">
        <f>Switzerland!P20</f>
        <v>25946.044444444444</v>
      </c>
      <c r="V72" s="3">
        <f>Britain!R20</f>
        <v>22080.000000000004</v>
      </c>
      <c r="W72" s="3">
        <f>USA!Q20</f>
        <v>24380</v>
      </c>
      <c r="Y72" s="3">
        <v>2026</v>
      </c>
      <c r="Z72" s="84">
        <f t="shared" si="1"/>
        <v>1.35</v>
      </c>
      <c r="AA72" s="84">
        <f>Austria!AZ20</f>
        <v>0</v>
      </c>
      <c r="AB72" s="84">
        <f>Belgium!AU20</f>
        <v>0</v>
      </c>
      <c r="AC72" s="84">
        <f>Canada!AX20</f>
        <v>0</v>
      </c>
      <c r="AD72" s="84">
        <f>China!AW20</f>
        <v>0</v>
      </c>
      <c r="AE72" s="84">
        <f>Denmark!AW20</f>
        <v>0</v>
      </c>
      <c r="AF72" s="84">
        <f>Finland!AV20</f>
        <v>0</v>
      </c>
      <c r="AG72" s="84">
        <f>France!AW20</f>
        <v>0</v>
      </c>
      <c r="AH72" s="84">
        <f>Germany!AX20</f>
        <v>0</v>
      </c>
      <c r="AI72" s="84">
        <f>India!AV20</f>
        <v>0</v>
      </c>
      <c r="AJ72" s="84">
        <f>Ireland!AW20</f>
        <v>0</v>
      </c>
      <c r="AK72" s="84">
        <f>Italy!AV20</f>
        <v>0</v>
      </c>
      <c r="AL72" s="84">
        <f>Japan!AV20</f>
        <v>0</v>
      </c>
      <c r="AM72" s="84">
        <f>Korea!AX20</f>
        <v>0</v>
      </c>
      <c r="AN72" s="84">
        <f>'Netherlands '!AW21</f>
        <v>0</v>
      </c>
      <c r="AO72" s="84">
        <f>'New Zealand'!AV20</f>
        <v>0</v>
      </c>
      <c r="AP72" s="84">
        <f>'Norway with subs'!BB21</f>
        <v>0</v>
      </c>
      <c r="AQ72" s="84">
        <f>Spain!AV20</f>
        <v>0</v>
      </c>
      <c r="AR72" s="84">
        <f>Sweden!AV20</f>
        <v>0</v>
      </c>
      <c r="AS72" s="84">
        <f>Switzerland!AW20</f>
        <v>0</v>
      </c>
      <c r="AT72" s="84">
        <f>Britain!AP20</f>
        <v>0</v>
      </c>
      <c r="AU72" s="84">
        <f>USA!AW20</f>
        <v>0</v>
      </c>
      <c r="AX72" s="3">
        <v>2026</v>
      </c>
      <c r="AY72" s="3">
        <f>Australia!BQ20</f>
        <v>0</v>
      </c>
      <c r="AZ72" s="3">
        <f>Austria!BY20</f>
        <v>0</v>
      </c>
      <c r="BA72" s="3">
        <f>Belgium!BT20</f>
        <v>0</v>
      </c>
      <c r="BB72" s="3">
        <f>Canada!BW20</f>
        <v>0</v>
      </c>
      <c r="BC72" s="3">
        <f>China!BV20</f>
        <v>0</v>
      </c>
      <c r="BD72" s="3">
        <f>Denmark!BV20</f>
        <v>0</v>
      </c>
      <c r="BE72" s="3">
        <f>Finland!BU20</f>
        <v>0</v>
      </c>
      <c r="BF72" s="3">
        <f>France!BV20</f>
        <v>0</v>
      </c>
      <c r="BG72" s="3">
        <f>Germany!BW20</f>
        <v>0</v>
      </c>
      <c r="BH72" s="3">
        <f>India!BU20</f>
        <v>0</v>
      </c>
      <c r="BI72" s="3">
        <f>Ireland!BV20</f>
        <v>0</v>
      </c>
      <c r="BJ72" s="3">
        <f>Italy!BU20</f>
        <v>0</v>
      </c>
      <c r="BK72" s="3">
        <f>Japan!BU20</f>
        <v>0</v>
      </c>
      <c r="BL72" s="3">
        <f>Korea!BW20</f>
        <v>0</v>
      </c>
      <c r="BM72" s="3">
        <f>'Netherlands '!BV21</f>
        <v>0</v>
      </c>
      <c r="BN72" s="3">
        <f>'New Zealand'!BU20</f>
        <v>0</v>
      </c>
      <c r="BO72" s="3">
        <f>'Norway with subs'!BY21</f>
        <v>0</v>
      </c>
      <c r="BP72" s="3">
        <f>Spain!BU20</f>
        <v>0</v>
      </c>
      <c r="BQ72" s="3">
        <f>Sweden!BU20</f>
        <v>0</v>
      </c>
      <c r="BR72" s="3">
        <f>Switzerland!BV20</f>
        <v>0</v>
      </c>
      <c r="BS72" s="3">
        <f>Britain!BO20</f>
        <v>0</v>
      </c>
      <c r="BT72" s="3">
        <f>USA!BV20</f>
        <v>0</v>
      </c>
    </row>
    <row r="73" spans="1:72">
      <c r="A73" s="3">
        <v>2027</v>
      </c>
      <c r="B73" s="3">
        <f>Australia!Q21</f>
        <v>35086.5</v>
      </c>
      <c r="C73" s="3">
        <f>Austria!Q21</f>
        <v>24254.055426920786</v>
      </c>
      <c r="D73" s="3">
        <f>Belgium!Q21</f>
        <v>23655.5</v>
      </c>
      <c r="E73" s="3">
        <f>Canada!Q21</f>
        <v>33787.000000000007</v>
      </c>
      <c r="F73" s="3">
        <f>China!R21</f>
        <v>197064</v>
      </c>
      <c r="G73" s="3">
        <f>Denmark!Q21</f>
        <v>356975</v>
      </c>
      <c r="H73" s="3">
        <f>Finland!Q21</f>
        <v>29520.5</v>
      </c>
      <c r="I73" s="3">
        <f>France!R21</f>
        <v>24046.5</v>
      </c>
      <c r="J73" s="3">
        <f>Germany!S21</f>
        <v>23851</v>
      </c>
      <c r="K73" s="3">
        <f>India!Q21</f>
        <v>1898650</v>
      </c>
      <c r="L73" s="3">
        <f>Ireland!R21</f>
        <v>28934</v>
      </c>
      <c r="M73" s="3">
        <f>Italy!P21</f>
        <v>23851</v>
      </c>
      <c r="N73" s="3">
        <f>Japan!Q21</f>
        <v>2732400</v>
      </c>
      <c r="O73" s="3">
        <f>Korea!R21</f>
        <v>39.549937499999999</v>
      </c>
      <c r="P73" s="3">
        <f>'Netherlands '!R22</f>
        <v>26588</v>
      </c>
      <c r="Q73" s="3">
        <f>'New Zealand'!O21</f>
        <v>39605.999999999993</v>
      </c>
      <c r="R73" s="3">
        <f>'Norway with subs'!AD22</f>
        <v>296240</v>
      </c>
      <c r="S73" s="3">
        <f>Spain!Q21</f>
        <v>24584.125</v>
      </c>
      <c r="T73" s="3">
        <f>Sweden!P21</f>
        <v>244375</v>
      </c>
      <c r="U73" s="3">
        <f>Switzerland!P21</f>
        <v>25946.044444444444</v>
      </c>
      <c r="V73" s="3">
        <f>Britain!R21</f>
        <v>22080.000000000004</v>
      </c>
      <c r="W73" s="3">
        <f>USA!Q21</f>
        <v>24380</v>
      </c>
      <c r="Y73" s="3">
        <v>2027</v>
      </c>
      <c r="Z73" s="84">
        <f t="shared" si="1"/>
        <v>1.35</v>
      </c>
      <c r="AA73" s="84">
        <f>Austria!AZ21</f>
        <v>0</v>
      </c>
      <c r="AB73" s="84">
        <f>Belgium!AU21</f>
        <v>0</v>
      </c>
      <c r="AC73" s="84">
        <f>Canada!AX21</f>
        <v>0</v>
      </c>
      <c r="AD73" s="84">
        <f>China!AW21</f>
        <v>0</v>
      </c>
      <c r="AE73" s="84">
        <f>Denmark!AW21</f>
        <v>0</v>
      </c>
      <c r="AF73" s="84">
        <f>Finland!AV21</f>
        <v>0</v>
      </c>
      <c r="AG73" s="84">
        <f>France!AW21</f>
        <v>0</v>
      </c>
      <c r="AH73" s="84">
        <f>Germany!AX21</f>
        <v>0</v>
      </c>
      <c r="AI73" s="84">
        <f>India!AV21</f>
        <v>0</v>
      </c>
      <c r="AJ73" s="84">
        <f>Ireland!AW21</f>
        <v>0</v>
      </c>
      <c r="AK73" s="84">
        <f>Italy!AV21</f>
        <v>0</v>
      </c>
      <c r="AL73" s="84">
        <f>Japan!AV21</f>
        <v>0</v>
      </c>
      <c r="AM73" s="84">
        <f>Korea!AX21</f>
        <v>0</v>
      </c>
      <c r="AN73" s="84">
        <f>'Netherlands '!AW22</f>
        <v>0</v>
      </c>
      <c r="AO73" s="84">
        <f>'New Zealand'!AV21</f>
        <v>0</v>
      </c>
      <c r="AP73" s="84">
        <f>'Norway with subs'!BB22</f>
        <v>0</v>
      </c>
      <c r="AQ73" s="84">
        <f>Spain!AV21</f>
        <v>0</v>
      </c>
      <c r="AR73" s="84">
        <f>Sweden!AV21</f>
        <v>0</v>
      </c>
      <c r="AS73" s="84">
        <f>Switzerland!AW21</f>
        <v>0</v>
      </c>
      <c r="AT73" s="84">
        <f>Britain!AP21</f>
        <v>0</v>
      </c>
      <c r="AU73" s="84">
        <f>USA!AW21</f>
        <v>0</v>
      </c>
      <c r="AX73" s="3">
        <v>2027</v>
      </c>
      <c r="AY73" s="3">
        <f>Australia!BQ21</f>
        <v>0</v>
      </c>
      <c r="AZ73" s="3">
        <f>Austria!BY21</f>
        <v>0</v>
      </c>
      <c r="BA73" s="3">
        <f>Belgium!BT21</f>
        <v>0</v>
      </c>
      <c r="BB73" s="3">
        <f>Canada!BW21</f>
        <v>0</v>
      </c>
      <c r="BC73" s="3">
        <f>China!BV21</f>
        <v>0</v>
      </c>
      <c r="BD73" s="3">
        <f>Denmark!BV21</f>
        <v>0</v>
      </c>
      <c r="BE73" s="3">
        <f>Finland!BU21</f>
        <v>0</v>
      </c>
      <c r="BF73" s="3">
        <f>France!BV21</f>
        <v>0</v>
      </c>
      <c r="BG73" s="3">
        <f>Germany!BW21</f>
        <v>0</v>
      </c>
      <c r="BH73" s="3">
        <f>India!BU21</f>
        <v>0</v>
      </c>
      <c r="BI73" s="3">
        <f>Ireland!BV21</f>
        <v>0</v>
      </c>
      <c r="BJ73" s="3">
        <f>Italy!BU21</f>
        <v>0</v>
      </c>
      <c r="BK73" s="3">
        <f>Japan!BU21</f>
        <v>0</v>
      </c>
      <c r="BL73" s="3">
        <f>Korea!BW21</f>
        <v>0</v>
      </c>
      <c r="BM73" s="3">
        <f>'Netherlands '!BV22</f>
        <v>0</v>
      </c>
      <c r="BN73" s="3">
        <f>'New Zealand'!BU21</f>
        <v>0</v>
      </c>
      <c r="BO73" s="3">
        <f>'Norway with subs'!BY22</f>
        <v>0</v>
      </c>
      <c r="BP73" s="3">
        <f>Spain!BU21</f>
        <v>0</v>
      </c>
      <c r="BQ73" s="3">
        <f>Sweden!BU21</f>
        <v>0</v>
      </c>
      <c r="BR73" s="3">
        <f>Switzerland!BV21</f>
        <v>0</v>
      </c>
      <c r="BS73" s="3">
        <f>Britain!BO21</f>
        <v>0</v>
      </c>
      <c r="BT73" s="3">
        <f>USA!BV21</f>
        <v>0</v>
      </c>
    </row>
    <row r="74" spans="1:72">
      <c r="A74" s="3">
        <v>2028</v>
      </c>
      <c r="B74" s="3">
        <f>Australia!Q22</f>
        <v>35086.5</v>
      </c>
      <c r="C74" s="3">
        <f>Austria!Q22</f>
        <v>24234.579630614637</v>
      </c>
      <c r="D74" s="3">
        <f>Belgium!Q22</f>
        <v>23655.5</v>
      </c>
      <c r="E74" s="3">
        <f>Canada!Q22</f>
        <v>33787.000000000007</v>
      </c>
      <c r="F74" s="3">
        <f>China!R22</f>
        <v>197064</v>
      </c>
      <c r="G74" s="3">
        <f>Denmark!Q22</f>
        <v>356975</v>
      </c>
      <c r="H74" s="3">
        <f>Finland!Q22</f>
        <v>29520.5</v>
      </c>
      <c r="I74" s="3">
        <f>France!R22</f>
        <v>24046.5</v>
      </c>
      <c r="J74" s="3">
        <f>Germany!S22</f>
        <v>23851</v>
      </c>
      <c r="K74" s="3">
        <f>India!Q22</f>
        <v>1898650</v>
      </c>
      <c r="L74" s="3">
        <f>Ireland!R22</f>
        <v>28934</v>
      </c>
      <c r="M74" s="3">
        <f>Italy!P22</f>
        <v>23851</v>
      </c>
      <c r="N74" s="3">
        <f>Japan!Q22</f>
        <v>2732400</v>
      </c>
      <c r="O74" s="3">
        <f>Korea!R22</f>
        <v>39.549937499999999</v>
      </c>
      <c r="P74" s="3">
        <f>'Netherlands '!R23</f>
        <v>26588</v>
      </c>
      <c r="Q74" s="3">
        <f>'New Zealand'!O22</f>
        <v>39605.999999999993</v>
      </c>
      <c r="R74" s="3">
        <f>'Norway with subs'!AD23</f>
        <v>296240</v>
      </c>
      <c r="S74" s="3">
        <f>Spain!Q22</f>
        <v>24584.125</v>
      </c>
      <c r="T74" s="3">
        <f>Sweden!P22</f>
        <v>244375</v>
      </c>
      <c r="U74" s="3">
        <f>Switzerland!P22</f>
        <v>25946.044444444444</v>
      </c>
      <c r="V74" s="3">
        <f>Britain!R22</f>
        <v>22080.000000000004</v>
      </c>
      <c r="W74" s="3">
        <f>USA!Q22</f>
        <v>24380</v>
      </c>
      <c r="Y74" s="3">
        <v>2028</v>
      </c>
      <c r="Z74" s="84">
        <f t="shared" si="1"/>
        <v>1.35</v>
      </c>
      <c r="AA74" s="84">
        <f>Austria!AZ22</f>
        <v>0</v>
      </c>
      <c r="AB74" s="84">
        <f>Belgium!AU22</f>
        <v>0</v>
      </c>
      <c r="AC74" s="84">
        <f>Canada!AX22</f>
        <v>0</v>
      </c>
      <c r="AD74" s="84">
        <f>China!AW22</f>
        <v>0</v>
      </c>
      <c r="AE74" s="84">
        <f>Denmark!AW22</f>
        <v>0</v>
      </c>
      <c r="AF74" s="84">
        <f>Finland!AV22</f>
        <v>0</v>
      </c>
      <c r="AG74" s="84">
        <f>France!AW22</f>
        <v>0</v>
      </c>
      <c r="AH74" s="84">
        <f>Germany!AX22</f>
        <v>0</v>
      </c>
      <c r="AI74" s="84">
        <f>India!AV22</f>
        <v>0</v>
      </c>
      <c r="AJ74" s="84">
        <f>Ireland!AW22</f>
        <v>0</v>
      </c>
      <c r="AK74" s="84">
        <f>Italy!AV22</f>
        <v>0</v>
      </c>
      <c r="AL74" s="84">
        <f>Japan!AV22</f>
        <v>0</v>
      </c>
      <c r="AM74" s="84">
        <f>Korea!AX22</f>
        <v>0</v>
      </c>
      <c r="AN74" s="84">
        <f>'Netherlands '!AW23</f>
        <v>0</v>
      </c>
      <c r="AO74" s="84">
        <f>'New Zealand'!AV22</f>
        <v>0</v>
      </c>
      <c r="AP74" s="84">
        <f>'Norway with subs'!BB23</f>
        <v>0</v>
      </c>
      <c r="AQ74" s="84">
        <f>Spain!AV22</f>
        <v>0</v>
      </c>
      <c r="AR74" s="84">
        <f>Sweden!AV22</f>
        <v>0</v>
      </c>
      <c r="AS74" s="84">
        <f>Switzerland!AW22</f>
        <v>0</v>
      </c>
      <c r="AT74" s="84">
        <f>Britain!AP22</f>
        <v>0</v>
      </c>
      <c r="AU74" s="84">
        <f>USA!AW22</f>
        <v>0</v>
      </c>
      <c r="AX74" s="3">
        <v>2028</v>
      </c>
      <c r="AY74" s="3">
        <f>Australia!BQ22</f>
        <v>0</v>
      </c>
      <c r="AZ74" s="3">
        <f>Austria!BY22</f>
        <v>0</v>
      </c>
      <c r="BA74" s="3">
        <f>Belgium!BT22</f>
        <v>0</v>
      </c>
      <c r="BB74" s="3">
        <f>Canada!BW22</f>
        <v>0</v>
      </c>
      <c r="BC74" s="3">
        <f>China!BV22</f>
        <v>0</v>
      </c>
      <c r="BD74" s="3">
        <f>Denmark!BV22</f>
        <v>0</v>
      </c>
      <c r="BE74" s="3">
        <f>Finland!BU22</f>
        <v>0</v>
      </c>
      <c r="BF74" s="3">
        <f>France!BV22</f>
        <v>0</v>
      </c>
      <c r="BG74" s="3">
        <f>Germany!BW22</f>
        <v>0</v>
      </c>
      <c r="BH74" s="3">
        <f>India!BU22</f>
        <v>0</v>
      </c>
      <c r="BI74" s="3">
        <f>Ireland!BV22</f>
        <v>0</v>
      </c>
      <c r="BJ74" s="3">
        <f>Italy!BU22</f>
        <v>0</v>
      </c>
      <c r="BK74" s="3">
        <f>Japan!BU22</f>
        <v>0</v>
      </c>
      <c r="BL74" s="3">
        <f>Korea!BW22</f>
        <v>0</v>
      </c>
      <c r="BM74" s="3">
        <f>'Netherlands '!BV23</f>
        <v>0</v>
      </c>
      <c r="BN74" s="3">
        <f>'New Zealand'!BU22</f>
        <v>0</v>
      </c>
      <c r="BO74" s="3">
        <f>'Norway with subs'!BY23</f>
        <v>0</v>
      </c>
      <c r="BP74" s="3">
        <f>Spain!BU22</f>
        <v>0</v>
      </c>
      <c r="BQ74" s="3">
        <f>Sweden!BU22</f>
        <v>0</v>
      </c>
      <c r="BR74" s="3">
        <f>Switzerland!BV22</f>
        <v>0</v>
      </c>
      <c r="BS74" s="3">
        <f>Britain!BO22</f>
        <v>0</v>
      </c>
      <c r="BT74" s="3">
        <f>USA!BV22</f>
        <v>0</v>
      </c>
    </row>
    <row r="75" spans="1:72">
      <c r="A75" s="3">
        <v>2029</v>
      </c>
      <c r="B75" s="3">
        <f>Australia!Q23</f>
        <v>35086.5</v>
      </c>
      <c r="C75" s="3">
        <f>Austria!Q23</f>
        <v>24215.296663974888</v>
      </c>
      <c r="D75" s="3">
        <f>Belgium!Q23</f>
        <v>23655.5</v>
      </c>
      <c r="E75" s="3">
        <f>Canada!Q23</f>
        <v>33787.000000000007</v>
      </c>
      <c r="F75" s="3">
        <f>China!R23</f>
        <v>197064</v>
      </c>
      <c r="G75" s="3">
        <f>Denmark!Q23</f>
        <v>356975</v>
      </c>
      <c r="H75" s="3">
        <f>Finland!Q23</f>
        <v>29520.5</v>
      </c>
      <c r="I75" s="3">
        <f>France!R23</f>
        <v>24046.5</v>
      </c>
      <c r="J75" s="3">
        <f>Germany!S23</f>
        <v>23851</v>
      </c>
      <c r="K75" s="3">
        <f>India!Q23</f>
        <v>1898650</v>
      </c>
      <c r="L75" s="3">
        <f>Ireland!R23</f>
        <v>28934</v>
      </c>
      <c r="M75" s="3">
        <f>Italy!P23</f>
        <v>23851</v>
      </c>
      <c r="N75" s="3">
        <f>Japan!Q23</f>
        <v>2732400</v>
      </c>
      <c r="O75" s="3">
        <f>Korea!R23</f>
        <v>39.549937499999999</v>
      </c>
      <c r="P75" s="3">
        <f>'Netherlands '!R24</f>
        <v>26588</v>
      </c>
      <c r="Q75" s="3">
        <f>'New Zealand'!O23</f>
        <v>39605.999999999993</v>
      </c>
      <c r="R75" s="3">
        <f>'Norway with subs'!AD24</f>
        <v>296240</v>
      </c>
      <c r="S75" s="3">
        <f>Spain!Q23</f>
        <v>24584.125</v>
      </c>
      <c r="T75" s="3">
        <f>Sweden!P23</f>
        <v>244375</v>
      </c>
      <c r="U75" s="3">
        <f>Switzerland!P23</f>
        <v>25946.044444444444</v>
      </c>
      <c r="V75" s="3">
        <f>Britain!R23</f>
        <v>22080.000000000004</v>
      </c>
      <c r="W75" s="3">
        <f>USA!Q23</f>
        <v>24380</v>
      </c>
      <c r="Y75" s="3">
        <v>2029</v>
      </c>
      <c r="Z75" s="84">
        <f t="shared" si="1"/>
        <v>1.35</v>
      </c>
      <c r="AA75" s="84">
        <f>Austria!AZ23</f>
        <v>0</v>
      </c>
      <c r="AB75" s="84">
        <f>Belgium!AU23</f>
        <v>0</v>
      </c>
      <c r="AC75" s="84">
        <f>Canada!AX23</f>
        <v>0</v>
      </c>
      <c r="AD75" s="84">
        <f>China!AW23</f>
        <v>0</v>
      </c>
      <c r="AE75" s="84">
        <f>Denmark!AW23</f>
        <v>0</v>
      </c>
      <c r="AF75" s="84">
        <f>Finland!AV23</f>
        <v>0</v>
      </c>
      <c r="AG75" s="84">
        <f>France!AW23</f>
        <v>0</v>
      </c>
      <c r="AH75" s="84">
        <f>Germany!AX23</f>
        <v>0</v>
      </c>
      <c r="AI75" s="84">
        <f>India!AV23</f>
        <v>0</v>
      </c>
      <c r="AJ75" s="84">
        <f>Ireland!AW23</f>
        <v>0</v>
      </c>
      <c r="AK75" s="84">
        <f>Italy!AV23</f>
        <v>0</v>
      </c>
      <c r="AL75" s="84">
        <f>Japan!AV23</f>
        <v>0</v>
      </c>
      <c r="AM75" s="84">
        <f>Korea!AX23</f>
        <v>0</v>
      </c>
      <c r="AN75" s="84">
        <f>'Netherlands '!AW24</f>
        <v>0</v>
      </c>
      <c r="AO75" s="84">
        <f>'New Zealand'!AV23</f>
        <v>0</v>
      </c>
      <c r="AP75" s="84">
        <f>'Norway with subs'!BB24</f>
        <v>0</v>
      </c>
      <c r="AQ75" s="84">
        <f>Spain!AV23</f>
        <v>0</v>
      </c>
      <c r="AR75" s="84">
        <f>Sweden!AV23</f>
        <v>0</v>
      </c>
      <c r="AS75" s="84">
        <f>Switzerland!AW23</f>
        <v>0</v>
      </c>
      <c r="AT75" s="84">
        <f>Britain!AP23</f>
        <v>0</v>
      </c>
      <c r="AU75" s="84">
        <f>USA!AW23</f>
        <v>0</v>
      </c>
      <c r="AX75" s="3">
        <v>2029</v>
      </c>
      <c r="AY75" s="3">
        <f>Australia!BQ23</f>
        <v>0</v>
      </c>
      <c r="AZ75" s="3">
        <f>Austria!BY23</f>
        <v>0</v>
      </c>
      <c r="BA75" s="3">
        <f>Belgium!BT23</f>
        <v>0</v>
      </c>
      <c r="BB75" s="3">
        <f>Canada!BW23</f>
        <v>0</v>
      </c>
      <c r="BC75" s="3">
        <f>China!BV23</f>
        <v>0</v>
      </c>
      <c r="BD75" s="3">
        <f>Denmark!BV23</f>
        <v>0</v>
      </c>
      <c r="BE75" s="3">
        <f>Finland!BU23</f>
        <v>0</v>
      </c>
      <c r="BF75" s="3">
        <f>France!BV23</f>
        <v>0</v>
      </c>
      <c r="BG75" s="3">
        <f>Germany!BW23</f>
        <v>0</v>
      </c>
      <c r="BH75" s="3">
        <f>India!BU23</f>
        <v>0</v>
      </c>
      <c r="BI75" s="3">
        <f>Ireland!BV23</f>
        <v>0</v>
      </c>
      <c r="BJ75" s="3">
        <f>Italy!BU23</f>
        <v>0</v>
      </c>
      <c r="BK75" s="3">
        <f>Japan!BU23</f>
        <v>0</v>
      </c>
      <c r="BL75" s="3">
        <f>Korea!BW23</f>
        <v>0</v>
      </c>
      <c r="BM75" s="3">
        <f>'Netherlands '!BV24</f>
        <v>0</v>
      </c>
      <c r="BN75" s="3">
        <f>'New Zealand'!BU23</f>
        <v>0</v>
      </c>
      <c r="BO75" s="3">
        <f>'Norway with subs'!BY24</f>
        <v>0</v>
      </c>
      <c r="BP75" s="3">
        <f>Spain!BU23</f>
        <v>0</v>
      </c>
      <c r="BQ75" s="3">
        <f>Sweden!BU23</f>
        <v>0</v>
      </c>
      <c r="BR75" s="3">
        <f>Switzerland!BV23</f>
        <v>0</v>
      </c>
      <c r="BS75" s="3">
        <f>Britain!BO23</f>
        <v>0</v>
      </c>
      <c r="BT75" s="3">
        <f>USA!BV23</f>
        <v>0</v>
      </c>
    </row>
    <row r="76" spans="1:72">
      <c r="A76" s="3">
        <v>2030</v>
      </c>
      <c r="B76" s="3">
        <f>Australia!Q24</f>
        <v>35086.5</v>
      </c>
      <c r="C76" s="3">
        <f>Austria!Q24</f>
        <v>24196.204617796921</v>
      </c>
      <c r="D76" s="3">
        <f>Belgium!Q24</f>
        <v>23655.5</v>
      </c>
      <c r="E76" s="3">
        <f>Canada!Q24</f>
        <v>33787.000000000007</v>
      </c>
      <c r="F76" s="3">
        <f>China!R24</f>
        <v>197064</v>
      </c>
      <c r="G76" s="3">
        <f>Denmark!Q24</f>
        <v>356975</v>
      </c>
      <c r="H76" s="3">
        <f>Finland!Q24</f>
        <v>29520.5</v>
      </c>
      <c r="I76" s="3">
        <f>France!R24</f>
        <v>24046.5</v>
      </c>
      <c r="J76" s="3">
        <f>Germany!S24</f>
        <v>23851</v>
      </c>
      <c r="K76" s="3">
        <f>India!Q24</f>
        <v>1898650</v>
      </c>
      <c r="L76" s="3">
        <f>Ireland!R24</f>
        <v>28934</v>
      </c>
      <c r="M76" s="3">
        <f>Italy!P24</f>
        <v>23851</v>
      </c>
      <c r="N76" s="3">
        <f>Japan!Q24</f>
        <v>2732400</v>
      </c>
      <c r="O76" s="3">
        <f>Korea!R24</f>
        <v>39.549937499999999</v>
      </c>
      <c r="P76" s="3">
        <f>'Netherlands '!R25</f>
        <v>26588</v>
      </c>
      <c r="Q76" s="3">
        <f>'New Zealand'!O24</f>
        <v>39605.999999999993</v>
      </c>
      <c r="R76" s="3">
        <f>'Norway with subs'!AD25</f>
        <v>296240</v>
      </c>
      <c r="S76" s="3">
        <f>Spain!Q24</f>
        <v>24584.125</v>
      </c>
      <c r="T76" s="3">
        <f>Sweden!P24</f>
        <v>244375</v>
      </c>
      <c r="U76" s="3">
        <f>Switzerland!P24</f>
        <v>25946.044444444444</v>
      </c>
      <c r="V76" s="3">
        <f>Britain!R24</f>
        <v>22080.000000000004</v>
      </c>
      <c r="W76" s="3">
        <f>USA!Q24</f>
        <v>24380</v>
      </c>
      <c r="Y76" s="3">
        <v>2030</v>
      </c>
      <c r="Z76" s="84">
        <f t="shared" si="1"/>
        <v>1.35</v>
      </c>
      <c r="AA76" s="84">
        <f>Austria!AZ24</f>
        <v>0</v>
      </c>
      <c r="AB76" s="84">
        <f>Belgium!AU24</f>
        <v>0</v>
      </c>
      <c r="AC76" s="84">
        <f>Canada!AX24</f>
        <v>0</v>
      </c>
      <c r="AD76" s="84">
        <f>China!AW24</f>
        <v>0</v>
      </c>
      <c r="AE76" s="84">
        <f>Denmark!AW24</f>
        <v>0</v>
      </c>
      <c r="AF76" s="84">
        <f>Finland!AV24</f>
        <v>0</v>
      </c>
      <c r="AG76" s="84">
        <f>France!AW24</f>
        <v>0</v>
      </c>
      <c r="AH76" s="84">
        <f>Germany!AX24</f>
        <v>0</v>
      </c>
      <c r="AI76" s="84">
        <f>India!AV24</f>
        <v>0</v>
      </c>
      <c r="AJ76" s="84">
        <f>Ireland!AW24</f>
        <v>0</v>
      </c>
      <c r="AK76" s="84">
        <f>Italy!AV24</f>
        <v>0</v>
      </c>
      <c r="AL76" s="84">
        <f>Japan!AV24</f>
        <v>0</v>
      </c>
      <c r="AM76" s="84">
        <f>Korea!AX24</f>
        <v>0</v>
      </c>
      <c r="AN76" s="84">
        <f>'Netherlands '!AW25</f>
        <v>0</v>
      </c>
      <c r="AO76" s="84">
        <f>'New Zealand'!AV24</f>
        <v>0</v>
      </c>
      <c r="AP76" s="84">
        <f>'Norway with subs'!BB25</f>
        <v>0</v>
      </c>
      <c r="AQ76" s="84">
        <f>Spain!AV24</f>
        <v>0</v>
      </c>
      <c r="AR76" s="84">
        <f>Sweden!AV24</f>
        <v>0</v>
      </c>
      <c r="AS76" s="84">
        <f>Switzerland!AW24</f>
        <v>0</v>
      </c>
      <c r="AT76" s="84">
        <f>Britain!AP24</f>
        <v>0</v>
      </c>
      <c r="AU76" s="84">
        <f>USA!AW24</f>
        <v>0</v>
      </c>
      <c r="AX76" s="3">
        <v>2030</v>
      </c>
      <c r="AY76" s="3">
        <f>Australia!BQ24</f>
        <v>0</v>
      </c>
      <c r="AZ76" s="3">
        <f>Austria!BY24</f>
        <v>0</v>
      </c>
      <c r="BA76" s="3">
        <f>Belgium!BT24</f>
        <v>0</v>
      </c>
      <c r="BB76" s="3">
        <f>Canada!BW24</f>
        <v>0</v>
      </c>
      <c r="BC76" s="3">
        <f>China!BV24</f>
        <v>0</v>
      </c>
      <c r="BD76" s="3">
        <f>Denmark!BV24</f>
        <v>0</v>
      </c>
      <c r="BE76" s="3">
        <f>Finland!BU24</f>
        <v>0</v>
      </c>
      <c r="BF76" s="3">
        <f>France!BV24</f>
        <v>0</v>
      </c>
      <c r="BG76" s="3">
        <f>Germany!BW24</f>
        <v>0</v>
      </c>
      <c r="BH76" s="3">
        <f>India!BU24</f>
        <v>0</v>
      </c>
      <c r="BI76" s="3">
        <f>Ireland!BV24</f>
        <v>0</v>
      </c>
      <c r="BJ76" s="3">
        <f>Italy!BU24</f>
        <v>0</v>
      </c>
      <c r="BK76" s="3">
        <f>Japan!BU24</f>
        <v>0</v>
      </c>
      <c r="BL76" s="3">
        <f>Korea!BW24</f>
        <v>0</v>
      </c>
      <c r="BM76" s="3">
        <f>'Netherlands '!BV25</f>
        <v>0</v>
      </c>
      <c r="BN76" s="3">
        <f>'New Zealand'!BU24</f>
        <v>0</v>
      </c>
      <c r="BO76" s="3">
        <f>'Norway with subs'!BY25</f>
        <v>0</v>
      </c>
      <c r="BP76" s="3">
        <f>Spain!BU24</f>
        <v>0</v>
      </c>
      <c r="BQ76" s="3">
        <f>Sweden!BU24</f>
        <v>0</v>
      </c>
      <c r="BR76" s="3">
        <f>Switzerland!BV24</f>
        <v>0</v>
      </c>
      <c r="BS76" s="3">
        <f>Britain!BO24</f>
        <v>0</v>
      </c>
      <c r="BT76" s="3">
        <f>USA!BV24</f>
        <v>0</v>
      </c>
    </row>
    <row r="79" spans="1:72">
      <c r="B79" s="3" t="s">
        <v>831</v>
      </c>
      <c r="AB79" s="224" t="s">
        <v>831</v>
      </c>
      <c r="AC79" s="223" t="s">
        <v>832</v>
      </c>
      <c r="AD79" s="223"/>
    </row>
    <row r="80" spans="1:72">
      <c r="B80" s="168" t="s">
        <v>255</v>
      </c>
      <c r="C80" s="168" t="s">
        <v>539</v>
      </c>
      <c r="D80" s="168" t="s">
        <v>540</v>
      </c>
      <c r="E80" s="168" t="s">
        <v>238</v>
      </c>
      <c r="F80" s="168" t="s">
        <v>239</v>
      </c>
      <c r="G80" s="168" t="s">
        <v>541</v>
      </c>
      <c r="H80" s="168" t="s">
        <v>542</v>
      </c>
      <c r="I80" s="168" t="s">
        <v>240</v>
      </c>
      <c r="J80" s="168" t="s">
        <v>241</v>
      </c>
      <c r="K80" s="168" t="s">
        <v>242</v>
      </c>
      <c r="L80" s="168" t="s">
        <v>544</v>
      </c>
      <c r="M80" s="169" t="s">
        <v>538</v>
      </c>
      <c r="N80" s="168" t="s">
        <v>243</v>
      </c>
      <c r="O80" s="168" t="s">
        <v>244</v>
      </c>
      <c r="P80" s="168" t="s">
        <v>245</v>
      </c>
      <c r="Q80" s="170" t="s">
        <v>331</v>
      </c>
      <c r="R80" s="168" t="s">
        <v>246</v>
      </c>
      <c r="S80" s="168" t="s">
        <v>545</v>
      </c>
      <c r="T80" s="168" t="s">
        <v>247</v>
      </c>
      <c r="U80" s="168" t="s">
        <v>546</v>
      </c>
      <c r="V80" s="168" t="s">
        <v>248</v>
      </c>
      <c r="W80" s="168" t="s">
        <v>249</v>
      </c>
      <c r="X80" s="168" t="s">
        <v>609</v>
      </c>
      <c r="Y80" s="168" t="s">
        <v>813</v>
      </c>
      <c r="Z80" s="3" t="s">
        <v>830</v>
      </c>
      <c r="AA80" s="3" t="s">
        <v>848</v>
      </c>
      <c r="AB80" s="224" t="s">
        <v>911</v>
      </c>
      <c r="AC80" s="223" t="s">
        <v>912</v>
      </c>
    </row>
    <row r="81" spans="1:29">
      <c r="A81" s="3">
        <v>2009</v>
      </c>
      <c r="B81" s="13">
        <f>B3/B55</f>
        <v>1.3526519162558128</v>
      </c>
      <c r="C81" s="13">
        <f t="shared" ref="C81:W81" si="2">C3/C55</f>
        <v>1.2980554310690098</v>
      </c>
      <c r="D81" s="13">
        <f t="shared" si="2"/>
        <v>0.8430452146440679</v>
      </c>
      <c r="E81" s="13">
        <f t="shared" si="2"/>
        <v>1.3542592098542399</v>
      </c>
      <c r="F81" s="13">
        <f t="shared" si="2"/>
        <v>0.9968230761553516</v>
      </c>
      <c r="G81" s="13">
        <f t="shared" si="2"/>
        <v>0.69882023748843092</v>
      </c>
      <c r="H81" s="13">
        <f t="shared" si="2"/>
        <v>1.1662743624735659</v>
      </c>
      <c r="I81" s="13">
        <f t="shared" si="2"/>
        <v>1.0861814354184989</v>
      </c>
      <c r="J81" s="13">
        <f t="shared" si="2"/>
        <v>1.3595253351406733</v>
      </c>
      <c r="K81" s="13">
        <f t="shared" si="2"/>
        <v>1.3616801690975244</v>
      </c>
      <c r="L81" s="13">
        <f t="shared" si="2"/>
        <v>1.1312146560477128</v>
      </c>
      <c r="M81" s="13">
        <f t="shared" si="2"/>
        <v>1.3596163885513175</v>
      </c>
      <c r="N81" s="13">
        <f t="shared" si="2"/>
        <v>1.225894440104347</v>
      </c>
      <c r="O81" s="13">
        <f t="shared" si="2"/>
        <v>1.228105606237007</v>
      </c>
      <c r="P81" s="13">
        <f t="shared" si="2"/>
        <v>1.1426074541039533</v>
      </c>
      <c r="Q81" s="13">
        <f t="shared" si="2"/>
        <v>1.3597502727528628</v>
      </c>
      <c r="R81" s="13">
        <f t="shared" si="2"/>
        <v>0.86953143949131351</v>
      </c>
      <c r="S81" s="13">
        <f t="shared" si="2"/>
        <v>1.3591630793291409</v>
      </c>
      <c r="T81" s="13">
        <f t="shared" si="2"/>
        <v>1.2866336037809223</v>
      </c>
      <c r="U81" s="13">
        <f t="shared" si="2"/>
        <v>1.3371697934713729</v>
      </c>
      <c r="V81" s="13">
        <f t="shared" si="2"/>
        <v>1.3573101533733274</v>
      </c>
      <c r="W81" s="13">
        <f t="shared" si="2"/>
        <v>0.89975618892067266</v>
      </c>
      <c r="X81" s="20">
        <f>S81</f>
        <v>1.3591630793291409</v>
      </c>
      <c r="Y81" s="13">
        <v>1</v>
      </c>
      <c r="Z81" s="13">
        <f>MEDIAN(B81:X81)</f>
        <v>1.2866336037809223</v>
      </c>
      <c r="AA81" s="84">
        <f>B81*B146+C81*C146+D81*D146+E81*E146+F81*F146+G81*G146+H81*H146+I81*I146+J81*J146+K81*K146+L81*L146+M81*M146+N81*N146+O81*O146+P81*P146+Q81*Q146+R81*R146+S81*S146+T81*T146+U81*U146+V81*V146+W81*W146+X81*X146</f>
        <v>1.1341594874123231</v>
      </c>
      <c r="AB81" s="84">
        <f>AA81</f>
        <v>1.1341594874123231</v>
      </c>
      <c r="AC81" s="84">
        <f>AB107</f>
        <v>1.2078067073353769</v>
      </c>
    </row>
    <row r="82" spans="1:29">
      <c r="A82" s="3">
        <v>2010</v>
      </c>
      <c r="B82" s="13">
        <f t="shared" ref="B82:Q102" si="3">B4/B56</f>
        <v>1.3822189944850582</v>
      </c>
      <c r="C82" s="13">
        <f t="shared" ref="C82:W82" si="4">C4/C56</f>
        <v>1.3114016058662419</v>
      </c>
      <c r="D82" s="13">
        <f t="shared" si="4"/>
        <v>0.89394646536909372</v>
      </c>
      <c r="E82" s="13">
        <f t="shared" si="4"/>
        <v>1.3067342481296691</v>
      </c>
      <c r="F82" s="13">
        <f t="shared" si="4"/>
        <v>1.0166495291546616</v>
      </c>
      <c r="G82" s="13">
        <f t="shared" si="4"/>
        <v>0.69768619708523649</v>
      </c>
      <c r="H82" s="13">
        <f t="shared" si="4"/>
        <v>1.1782528473573879</v>
      </c>
      <c r="I82" s="13">
        <f t="shared" si="4"/>
        <v>1.1214924209896286</v>
      </c>
      <c r="J82" s="13">
        <f t="shared" si="4"/>
        <v>1.3723432309208583</v>
      </c>
      <c r="K82" s="13">
        <f t="shared" si="4"/>
        <v>1.1520150571731487</v>
      </c>
      <c r="L82" s="13">
        <f t="shared" si="4"/>
        <v>1.1549303438347978</v>
      </c>
      <c r="M82" s="13">
        <f t="shared" si="4"/>
        <v>1.3735955126661048</v>
      </c>
      <c r="N82" s="13">
        <f t="shared" si="4"/>
        <v>1.2363273826197061</v>
      </c>
      <c r="O82" s="13">
        <f t="shared" si="4"/>
        <v>1.2403605595166944</v>
      </c>
      <c r="P82" s="13">
        <f t="shared" si="4"/>
        <v>1.1583387410772226</v>
      </c>
      <c r="Q82" s="13">
        <f t="shared" si="4"/>
        <v>1.3724461167676587</v>
      </c>
      <c r="R82" s="13">
        <f t="shared" si="4"/>
        <v>0.87797019037495239</v>
      </c>
      <c r="S82" s="13">
        <f t="shared" si="4"/>
        <v>1.0890206652815377</v>
      </c>
      <c r="T82" s="13">
        <f t="shared" si="4"/>
        <v>1.3043478260869563</v>
      </c>
      <c r="U82" s="13">
        <f t="shared" si="4"/>
        <v>1.3568996640566018</v>
      </c>
      <c r="V82" s="13">
        <f t="shared" si="4"/>
        <v>1.3728462656876153</v>
      </c>
      <c r="W82" s="13">
        <f t="shared" si="4"/>
        <v>0.92430205973094826</v>
      </c>
      <c r="X82" s="20">
        <f t="shared" ref="X82:X89" si="5">S82</f>
        <v>1.0890206652815377</v>
      </c>
      <c r="Y82" s="13">
        <v>1</v>
      </c>
      <c r="Z82" s="13">
        <f t="shared" ref="Z82:Z89" si="6">MEDIAN(B82:X82)</f>
        <v>1.1782528473573879</v>
      </c>
      <c r="AA82" s="84">
        <f t="shared" ref="AA82:AA102" si="7">B82*B147+C82*C147+D82*D147+E82*E147+F82*F147+G82*G147+H82*H147+I82*I147+J82*J147+K82*K147+L82*L147+M82*M147+N82*N147+O82*O147+P82*P147+Q82*Q147+R82*R147+S82*S147+T82*T147+U82*U147+V82*V147+W82*W147+X82*X147</f>
        <v>1.1102658421736264</v>
      </c>
      <c r="AB82" s="84">
        <f t="shared" ref="AB82:AB87" si="8">AVERAGE(AA81:AA83)</f>
        <v>1.1117338074569731</v>
      </c>
      <c r="AC82" s="84">
        <f t="shared" ref="AC82:AC102" si="9">AB108</f>
        <v>1.2088287518481786</v>
      </c>
    </row>
    <row r="83" spans="1:29">
      <c r="A83" s="3">
        <v>2011</v>
      </c>
      <c r="B83" s="13">
        <f t="shared" si="3"/>
        <v>1.3924388226240862</v>
      </c>
      <c r="C83" s="13">
        <f t="shared" ref="C83:W83" si="10">C5/C57</f>
        <v>1.3153964091869899</v>
      </c>
      <c r="D83" s="13">
        <f t="shared" si="10"/>
        <v>0.88641866599860597</v>
      </c>
      <c r="E83" s="13">
        <f t="shared" si="10"/>
        <v>1.3019081238128738</v>
      </c>
      <c r="F83" s="13">
        <f t="shared" si="10"/>
        <v>1.0308018458100303</v>
      </c>
      <c r="G83" s="13">
        <f t="shared" si="10"/>
        <v>0.70835023206638703</v>
      </c>
      <c r="H83" s="13">
        <f t="shared" si="10"/>
        <v>1.1826153893959339</v>
      </c>
      <c r="I83" s="13">
        <f t="shared" si="10"/>
        <v>1.1197818232861896</v>
      </c>
      <c r="J83" s="13">
        <f t="shared" si="10"/>
        <v>1.3751940641573301</v>
      </c>
      <c r="K83" s="13">
        <f t="shared" si="10"/>
        <v>1.1563176370773567</v>
      </c>
      <c r="L83" s="13">
        <f t="shared" si="10"/>
        <v>1.1258037259259652</v>
      </c>
      <c r="M83" s="13">
        <f t="shared" si="10"/>
        <v>1.3777797716229467</v>
      </c>
      <c r="N83" s="13">
        <f t="shared" si="10"/>
        <v>1.2253948467836018</v>
      </c>
      <c r="O83" s="13">
        <f t="shared" si="10"/>
        <v>0.93388513577979393</v>
      </c>
      <c r="P83" s="13">
        <f t="shared" si="10"/>
        <v>1.1583387410772226</v>
      </c>
      <c r="Q83" s="13">
        <f t="shared" si="10"/>
        <v>1.3750965455913311</v>
      </c>
      <c r="R83" s="13">
        <f t="shared" si="10"/>
        <v>0.88108889270303348</v>
      </c>
      <c r="S83" s="13">
        <f t="shared" si="10"/>
        <v>1.1052768433894078</v>
      </c>
      <c r="T83" s="13">
        <f t="shared" si="10"/>
        <v>1.3043478260869565</v>
      </c>
      <c r="U83" s="13">
        <f t="shared" si="10"/>
        <v>1.3656179937071198</v>
      </c>
      <c r="V83" s="13">
        <f t="shared" si="10"/>
        <v>1.0739009826893009</v>
      </c>
      <c r="W83" s="13">
        <f t="shared" si="10"/>
        <v>0.93690885468436969</v>
      </c>
      <c r="X83" s="20">
        <f t="shared" si="5"/>
        <v>1.1052768433894078</v>
      </c>
      <c r="Y83" s="13">
        <v>1</v>
      </c>
      <c r="Z83" s="13">
        <f t="shared" si="6"/>
        <v>1.1563176370773567</v>
      </c>
      <c r="AA83" s="84">
        <f>B83*B148+C83*C148+D83*D148+E83*E148+F83*F148+G83*G148+H83*H148+I83*I148+J83*J148+K83*K148+L83*L148+M83*M148+N83*N148+O83*O148+P83*P148+Q83*Q148+R83*R148+S83*S148+T83*T148+U83*U148+V83*V148+W83*W148+X83*X148</f>
        <v>1.0907760927849703</v>
      </c>
      <c r="AB83" s="84">
        <f t="shared" si="8"/>
        <v>1.107526888140326</v>
      </c>
      <c r="AC83" s="84">
        <f t="shared" si="9"/>
        <v>1.2094501364783021</v>
      </c>
    </row>
    <row r="84" spans="1:29">
      <c r="A84" s="3">
        <v>2012</v>
      </c>
      <c r="B84" s="13">
        <f t="shared" si="3"/>
        <v>1.4289470018941086</v>
      </c>
      <c r="C84" s="13">
        <f t="shared" ref="C84:W84" si="11">C6/C58</f>
        <v>1.3450710200945637</v>
      </c>
      <c r="D84" s="13">
        <f t="shared" si="11"/>
        <v>0.96706461943553501</v>
      </c>
      <c r="E84" s="13">
        <f t="shared" si="11"/>
        <v>1.2358608905069175</v>
      </c>
      <c r="F84" s="13">
        <f t="shared" si="11"/>
        <v>1.0686601392692543</v>
      </c>
      <c r="G84" s="13">
        <f t="shared" si="11"/>
        <v>0.71081602625970686</v>
      </c>
      <c r="H84" s="13">
        <f t="shared" si="11"/>
        <v>1.1629089057475723</v>
      </c>
      <c r="I84" s="13">
        <f t="shared" si="11"/>
        <v>1.1763589744240772</v>
      </c>
      <c r="J84" s="13">
        <f t="shared" si="11"/>
        <v>1.4054424798561698</v>
      </c>
      <c r="K84" s="13">
        <f t="shared" si="11"/>
        <v>1.1809653001544056</v>
      </c>
      <c r="L84" s="13">
        <f t="shared" si="11"/>
        <v>0.99064452088532351</v>
      </c>
      <c r="M84" s="13">
        <f t="shared" si="11"/>
        <v>1.4083006826842031</v>
      </c>
      <c r="N84" s="13">
        <f t="shared" si="11"/>
        <v>1.2704971657985424</v>
      </c>
      <c r="O84" s="13">
        <f t="shared" si="11"/>
        <v>0.96836902678420889</v>
      </c>
      <c r="P84" s="13">
        <f t="shared" si="11"/>
        <v>1.1908673045683811</v>
      </c>
      <c r="Q84" s="13">
        <f t="shared" si="11"/>
        <v>1.4057986794518145</v>
      </c>
      <c r="R84" s="13">
        <f t="shared" si="11"/>
        <v>0.90016041403720137</v>
      </c>
      <c r="S84" s="13">
        <f t="shared" si="11"/>
        <v>1.1355251687485859</v>
      </c>
      <c r="T84" s="13">
        <f t="shared" si="11"/>
        <v>1.1303200217848572</v>
      </c>
      <c r="U84" s="13">
        <f t="shared" si="11"/>
        <v>1.3987744008572451</v>
      </c>
      <c r="V84" s="13">
        <f t="shared" si="11"/>
        <v>1.1100029924135257</v>
      </c>
      <c r="W84" s="13">
        <f t="shared" si="11"/>
        <v>0.98148591846241751</v>
      </c>
      <c r="X84" s="20">
        <f t="shared" si="5"/>
        <v>1.1355251687485859</v>
      </c>
      <c r="Y84" s="13">
        <v>1</v>
      </c>
      <c r="Z84" s="13">
        <f t="shared" si="6"/>
        <v>1.1629089057475723</v>
      </c>
      <c r="AA84" s="84">
        <f t="shared" si="7"/>
        <v>1.1215387294623813</v>
      </c>
      <c r="AB84" s="84">
        <f t="shared" si="8"/>
        <v>1.0894521846320508</v>
      </c>
      <c r="AC84" s="84">
        <f t="shared" si="9"/>
        <v>1.2096431347370971</v>
      </c>
    </row>
    <row r="85" spans="1:29">
      <c r="A85" s="3">
        <v>2013</v>
      </c>
      <c r="B85" s="13">
        <f t="shared" si="3"/>
        <v>1.4353494349589788</v>
      </c>
      <c r="C85" s="13">
        <f t="shared" ref="C85:W85" si="12">C7/C59</f>
        <v>1.3604872743374117</v>
      </c>
      <c r="D85" s="13">
        <f t="shared" si="12"/>
        <v>1.1739578676154765</v>
      </c>
      <c r="E85" s="13">
        <f t="shared" si="12"/>
        <v>1.2541333116177427</v>
      </c>
      <c r="F85" s="13">
        <f t="shared" si="12"/>
        <v>0.95103560494842199</v>
      </c>
      <c r="G85" s="13">
        <f t="shared" si="12"/>
        <v>0.72412587463767608</v>
      </c>
      <c r="H85" s="13">
        <f t="shared" si="12"/>
        <v>1.1764472661801539</v>
      </c>
      <c r="I85" s="13">
        <f t="shared" si="12"/>
        <v>1.0919400202355272</v>
      </c>
      <c r="J85" s="13">
        <f t="shared" si="12"/>
        <v>1.182716624079144</v>
      </c>
      <c r="K85" s="13">
        <f t="shared" si="12"/>
        <v>1.4239766804731573</v>
      </c>
      <c r="L85" s="13">
        <f t="shared" si="12"/>
        <v>0.99547815907848991</v>
      </c>
      <c r="M85" s="13">
        <f t="shared" si="12"/>
        <v>1.4233990540569008</v>
      </c>
      <c r="N85" s="13">
        <f t="shared" si="12"/>
        <v>0.92994574091300453</v>
      </c>
      <c r="O85" s="13">
        <f t="shared" si="12"/>
        <v>0.97478174160342512</v>
      </c>
      <c r="P85" s="13">
        <f t="shared" si="12"/>
        <v>1.2047363968885034</v>
      </c>
      <c r="Q85" s="13">
        <f t="shared" si="12"/>
        <v>1.4210783841305445</v>
      </c>
      <c r="R85" s="13">
        <f t="shared" si="12"/>
        <v>0.90996081827869157</v>
      </c>
      <c r="S85" s="13">
        <f t="shared" si="12"/>
        <v>1.1565779509720371</v>
      </c>
      <c r="T85" s="13">
        <f t="shared" si="12"/>
        <v>1.1350194365181765</v>
      </c>
      <c r="U85" s="13">
        <f t="shared" si="12"/>
        <v>1.366081796049609</v>
      </c>
      <c r="V85" s="13">
        <f t="shared" si="12"/>
        <v>1.1264569687315749</v>
      </c>
      <c r="W85" s="13">
        <f t="shared" si="12"/>
        <v>1.0000906419616462</v>
      </c>
      <c r="X85" s="20">
        <f t="shared" si="5"/>
        <v>1.1565779509720371</v>
      </c>
      <c r="Y85" s="13">
        <v>1</v>
      </c>
      <c r="Z85" s="13">
        <f t="shared" si="6"/>
        <v>1.1565779509720371</v>
      </c>
      <c r="AA85" s="84">
        <f t="shared" si="7"/>
        <v>1.0560417316488009</v>
      </c>
      <c r="AB85" s="84">
        <f t="shared" si="8"/>
        <v>1.1130909169419165</v>
      </c>
      <c r="AC85" s="84">
        <f t="shared" si="9"/>
        <v>1.219663612496793</v>
      </c>
    </row>
    <row r="86" spans="1:29">
      <c r="A86" s="3">
        <v>2014</v>
      </c>
      <c r="B86" s="13">
        <f t="shared" si="3"/>
        <v>1.5344357149306243</v>
      </c>
      <c r="C86" s="13">
        <f t="shared" ref="C86:W86" si="13">C8/C60</f>
        <v>1.46118833860523</v>
      </c>
      <c r="D86" s="13">
        <f t="shared" si="13"/>
        <v>1.2804856294079321</v>
      </c>
      <c r="E86" s="13">
        <f t="shared" si="13"/>
        <v>1.3679139932532995</v>
      </c>
      <c r="F86" s="13">
        <f t="shared" si="13"/>
        <v>1.0622246312225998</v>
      </c>
      <c r="G86" s="13">
        <f t="shared" si="13"/>
        <v>0.77810114160882993</v>
      </c>
      <c r="H86" s="13">
        <f t="shared" si="13"/>
        <v>1.2616398582860264</v>
      </c>
      <c r="I86" s="13">
        <f t="shared" si="13"/>
        <v>1.2317326814755041</v>
      </c>
      <c r="J86" s="13">
        <f t="shared" si="13"/>
        <v>1.2891415524503289</v>
      </c>
      <c r="K86" s="13">
        <f t="shared" si="13"/>
        <v>1.4271669183630469</v>
      </c>
      <c r="L86" s="13">
        <f t="shared" si="13"/>
        <v>1.1032487678715348</v>
      </c>
      <c r="M86" s="13">
        <f t="shared" si="13"/>
        <v>1.385403942408554</v>
      </c>
      <c r="N86" s="13">
        <f t="shared" si="13"/>
        <v>1.1352611013483924</v>
      </c>
      <c r="O86" s="13">
        <f t="shared" si="13"/>
        <v>1.0585319390217911</v>
      </c>
      <c r="P86" s="13">
        <f t="shared" si="13"/>
        <v>1.3403834701358177</v>
      </c>
      <c r="Q86" s="13">
        <f t="shared" si="13"/>
        <v>1.5249995366318347</v>
      </c>
      <c r="R86" s="13">
        <f t="shared" si="13"/>
        <v>0.97561614819887621</v>
      </c>
      <c r="S86" s="13">
        <f t="shared" si="13"/>
        <v>1.2553175036144069</v>
      </c>
      <c r="T86" s="13">
        <f t="shared" si="13"/>
        <v>1.2497640035008819</v>
      </c>
      <c r="U86" s="13">
        <f t="shared" si="13"/>
        <v>1.4671574203967637</v>
      </c>
      <c r="V86" s="13">
        <f t="shared" si="13"/>
        <v>1.2220626540353225</v>
      </c>
      <c r="W86" s="13">
        <f t="shared" si="13"/>
        <v>1.1106576698064941</v>
      </c>
      <c r="X86" s="20">
        <f t="shared" si="5"/>
        <v>1.2553175036144069</v>
      </c>
      <c r="Y86" s="13">
        <v>1</v>
      </c>
      <c r="Z86" s="13">
        <f t="shared" si="6"/>
        <v>1.2553175036144069</v>
      </c>
      <c r="AA86" s="84">
        <f t="shared" si="7"/>
        <v>1.1616922897145678</v>
      </c>
      <c r="AB86" s="84">
        <f t="shared" si="8"/>
        <v>1.078807331408618</v>
      </c>
      <c r="AC86" s="84">
        <f t="shared" si="9"/>
        <v>1.2296840902564887</v>
      </c>
    </row>
    <row r="87" spans="1:29">
      <c r="A87" s="3">
        <v>2015</v>
      </c>
      <c r="B87" s="13">
        <f t="shared" si="3"/>
        <v>1.3675361036296012</v>
      </c>
      <c r="C87" s="13">
        <f t="shared" ref="C87:W87" si="14">C9/C61</f>
        <v>1.3043218911226606</v>
      </c>
      <c r="D87" s="13">
        <f t="shared" si="14"/>
        <v>1.156789584484412</v>
      </c>
      <c r="E87" s="13">
        <f t="shared" si="14"/>
        <v>1.2281104749924368</v>
      </c>
      <c r="F87" s="13">
        <f t="shared" si="14"/>
        <v>0.8985739000735895</v>
      </c>
      <c r="G87" s="13">
        <f t="shared" si="14"/>
        <v>0.66520028992021507</v>
      </c>
      <c r="H87" s="13">
        <f t="shared" si="14"/>
        <v>1.1261466457206428</v>
      </c>
      <c r="I87" s="13">
        <f t="shared" si="14"/>
        <v>1.1115016774673685</v>
      </c>
      <c r="J87" s="13">
        <f t="shared" si="14"/>
        <v>1.180723818763511</v>
      </c>
      <c r="K87" s="13">
        <f t="shared" si="14"/>
        <v>1.2724863959143449</v>
      </c>
      <c r="L87" s="13">
        <f t="shared" si="14"/>
        <v>1.0064644504454208</v>
      </c>
      <c r="M87" s="13">
        <f t="shared" si="14"/>
        <v>1.3613889168167475</v>
      </c>
      <c r="N87" s="13">
        <f t="shared" si="14"/>
        <v>1.0175407741404585</v>
      </c>
      <c r="O87" s="13">
        <f t="shared" si="14"/>
        <v>0.929851544619263</v>
      </c>
      <c r="P87" s="13">
        <f t="shared" si="14"/>
        <v>1.1988491048593348</v>
      </c>
      <c r="Q87" s="13">
        <f t="shared" si="14"/>
        <v>1.3611069001128164</v>
      </c>
      <c r="R87" s="13">
        <f t="shared" si="14"/>
        <v>0.86958069149008743</v>
      </c>
      <c r="S87" s="13">
        <f t="shared" si="14"/>
        <v>1.1334819829326388</v>
      </c>
      <c r="T87" s="13">
        <f t="shared" si="14"/>
        <v>1.1348202674991703</v>
      </c>
      <c r="U87" s="13">
        <f t="shared" si="14"/>
        <v>1.3159330932516955</v>
      </c>
      <c r="V87" s="13">
        <f t="shared" si="14"/>
        <v>1.0901984948129477</v>
      </c>
      <c r="W87" s="13">
        <f t="shared" si="14"/>
        <v>0.9574965370672579</v>
      </c>
      <c r="X87" s="20">
        <f t="shared" si="5"/>
        <v>1.1334819829326388</v>
      </c>
      <c r="Y87" s="13">
        <v>1</v>
      </c>
      <c r="Z87" s="13">
        <f t="shared" si="6"/>
        <v>1.1334819829326388</v>
      </c>
      <c r="AA87" s="84">
        <f t="shared" si="7"/>
        <v>1.0186879728624845</v>
      </c>
      <c r="AB87" s="84">
        <f t="shared" si="8"/>
        <v>1.0666872939411156</v>
      </c>
      <c r="AC87" s="84">
        <f t="shared" si="9"/>
        <v>1.2165140276849118</v>
      </c>
    </row>
    <row r="88" spans="1:29">
      <c r="A88" s="3">
        <v>2016</v>
      </c>
      <c r="B88" s="13">
        <f t="shared" si="3"/>
        <v>1.3672758112094396</v>
      </c>
      <c r="C88" s="13">
        <f t="shared" ref="C88:W88" si="15">C10/C62</f>
        <v>1.3054407650045763</v>
      </c>
      <c r="D88" s="13">
        <f t="shared" si="15"/>
        <v>1.2007923001061624</v>
      </c>
      <c r="E88" s="13">
        <f t="shared" si="15"/>
        <v>1.2130651479613528</v>
      </c>
      <c r="F88" s="13">
        <f t="shared" si="15"/>
        <v>0.90469957179503435</v>
      </c>
      <c r="G88" s="13">
        <f t="shared" si="15"/>
        <v>0.88650923670330362</v>
      </c>
      <c r="H88" s="13">
        <f t="shared" si="15"/>
        <v>1.1245161722736696</v>
      </c>
      <c r="I88" s="13">
        <f t="shared" si="15"/>
        <v>1.1106794342051036</v>
      </c>
      <c r="J88" s="13">
        <f t="shared" si="15"/>
        <v>1.1802187651668663</v>
      </c>
      <c r="K88" s="13">
        <f t="shared" si="15"/>
        <v>1.2807237822058057</v>
      </c>
      <c r="L88" s="13">
        <f t="shared" si="15"/>
        <v>1.0067343334923067</v>
      </c>
      <c r="M88" s="13">
        <f t="shared" si="15"/>
        <v>1.3613372374528663</v>
      </c>
      <c r="N88" s="13">
        <f t="shared" si="15"/>
        <v>1.0129610164909109</v>
      </c>
      <c r="O88" s="13">
        <f t="shared" si="15"/>
        <v>0.88810667699999934</v>
      </c>
      <c r="P88" s="13">
        <f t="shared" si="15"/>
        <v>1.1988491048593348</v>
      </c>
      <c r="Q88" s="13">
        <f t="shared" si="15"/>
        <v>1.3614842356970773</v>
      </c>
      <c r="R88" s="13">
        <f t="shared" si="15"/>
        <v>0.86954153072987939</v>
      </c>
      <c r="S88" s="13">
        <f t="shared" si="15"/>
        <v>1.1263676479449638</v>
      </c>
      <c r="T88" s="13">
        <f t="shared" si="15"/>
        <v>1.1389514419014488</v>
      </c>
      <c r="U88" s="13">
        <f t="shared" si="15"/>
        <v>1.3144999538101496</v>
      </c>
      <c r="V88" s="13">
        <f t="shared" si="15"/>
        <v>1.1136953333433439</v>
      </c>
      <c r="W88" s="13">
        <f t="shared" si="15"/>
        <v>0.96231506056072957</v>
      </c>
      <c r="X88" s="20">
        <f t="shared" si="5"/>
        <v>1.1263676479449638</v>
      </c>
      <c r="Y88" s="13">
        <v>1</v>
      </c>
      <c r="Z88" s="13">
        <f t="shared" si="6"/>
        <v>1.1263676479449638</v>
      </c>
      <c r="AA88" s="84">
        <f t="shared" si="7"/>
        <v>1.0196816192462943</v>
      </c>
      <c r="AB88" s="84">
        <f>AA88</f>
        <v>1.0196816192462943</v>
      </c>
      <c r="AC88" s="84">
        <f t="shared" si="9"/>
        <v>1.1689452896764281</v>
      </c>
    </row>
    <row r="89" spans="1:29">
      <c r="A89" s="3">
        <v>2017</v>
      </c>
      <c r="B89" s="13">
        <f t="shared" si="3"/>
        <v>1.3694547903039631</v>
      </c>
      <c r="C89" s="13">
        <f t="shared" ref="C89:W89" si="16">C11/C63</f>
        <v>1.1505671408207065</v>
      </c>
      <c r="D89" s="13">
        <f t="shared" si="16"/>
        <v>1.2412060165550893</v>
      </c>
      <c r="E89" s="13">
        <f t="shared" si="16"/>
        <v>1.2050028554140417</v>
      </c>
      <c r="F89" s="13">
        <f t="shared" si="16"/>
        <v>0.91567631040840969</v>
      </c>
      <c r="G89" s="13">
        <f t="shared" si="16"/>
        <v>1.0247815712065862</v>
      </c>
      <c r="H89" s="13">
        <f t="shared" si="16"/>
        <v>1.1243853540831028</v>
      </c>
      <c r="I89" s="13">
        <f t="shared" si="16"/>
        <v>1.1218955954817147</v>
      </c>
      <c r="J89" s="13">
        <f t="shared" si="16"/>
        <v>1.1810546755883036</v>
      </c>
      <c r="K89" s="13">
        <f t="shared" si="16"/>
        <v>1.2817018632767603</v>
      </c>
      <c r="L89" s="13">
        <f t="shared" si="16"/>
        <v>0.99960739704071999</v>
      </c>
      <c r="M89" s="13">
        <f t="shared" si="16"/>
        <v>1.3629318053696959</v>
      </c>
      <c r="N89" s="13">
        <f t="shared" si="16"/>
        <v>1.0110761873811431</v>
      </c>
      <c r="O89" s="13">
        <f t="shared" si="16"/>
        <v>0.87796206288479028</v>
      </c>
      <c r="P89" s="13">
        <f t="shared" si="16"/>
        <v>1.198849104859335</v>
      </c>
      <c r="Q89" s="13">
        <f t="shared" si="16"/>
        <v>1.3624919435325828</v>
      </c>
      <c r="R89" s="13">
        <f t="shared" si="16"/>
        <v>0.87074983685319152</v>
      </c>
      <c r="S89" s="13">
        <f t="shared" si="16"/>
        <v>1.1259974214809438</v>
      </c>
      <c r="T89" s="13">
        <f t="shared" si="16"/>
        <v>1.1414307239956785</v>
      </c>
      <c r="U89" s="13">
        <f t="shared" si="16"/>
        <v>1.3147462054921875</v>
      </c>
      <c r="V89" s="13">
        <f t="shared" si="16"/>
        <v>1.1257861942607745</v>
      </c>
      <c r="W89" s="13">
        <f t="shared" si="16"/>
        <v>0.97017806302176324</v>
      </c>
      <c r="X89" s="20">
        <f t="shared" si="5"/>
        <v>1.1259974214809438</v>
      </c>
      <c r="Y89" s="13">
        <v>1</v>
      </c>
      <c r="Z89" s="13">
        <f t="shared" si="6"/>
        <v>1.1259974214809438</v>
      </c>
      <c r="AA89" s="84">
        <f t="shared" si="7"/>
        <v>1.0233110583208087</v>
      </c>
      <c r="AB89" s="84">
        <f t="shared" ref="AB89:AB102" si="17">AA89</f>
        <v>1.0233110583208087</v>
      </c>
      <c r="AC89" s="84">
        <f t="shared" si="9"/>
        <v>1.1708082266466149</v>
      </c>
    </row>
    <row r="90" spans="1:29">
      <c r="A90" s="3">
        <v>2018</v>
      </c>
      <c r="B90" s="13">
        <f t="shared" si="3"/>
        <v>1.392793520251193</v>
      </c>
      <c r="C90" s="13">
        <f t="shared" si="3"/>
        <v>1.1758346965568536</v>
      </c>
      <c r="D90" s="13">
        <f t="shared" si="3"/>
        <v>1.3081559980232338</v>
      </c>
      <c r="E90" s="13">
        <f t="shared" si="3"/>
        <v>1.2591281590761172</v>
      </c>
      <c r="F90" s="13">
        <f t="shared" si="3"/>
        <v>0.94052326095946537</v>
      </c>
      <c r="G90" s="13">
        <f t="shared" si="3"/>
        <v>1.1866737017653741</v>
      </c>
      <c r="H90" s="13">
        <f t="shared" si="3"/>
        <v>1.078603856116503</v>
      </c>
      <c r="I90" s="13">
        <f t="shared" si="3"/>
        <v>1.1434184346704996</v>
      </c>
      <c r="J90" s="13">
        <f t="shared" si="3"/>
        <v>1.2054408395130785</v>
      </c>
      <c r="K90" s="13">
        <f t="shared" si="3"/>
        <v>1.3114078614661184</v>
      </c>
      <c r="L90" s="13">
        <f t="shared" si="3"/>
        <v>0.94272889751468192</v>
      </c>
      <c r="M90" s="13">
        <f t="shared" si="3"/>
        <v>1.3908854380340532</v>
      </c>
      <c r="N90" s="13">
        <f t="shared" si="3"/>
        <v>1.0107359938001768</v>
      </c>
      <c r="O90" s="13">
        <f t="shared" si="3"/>
        <v>0.90417759311643042</v>
      </c>
      <c r="P90" s="13">
        <f t="shared" si="3"/>
        <v>1.2225104240353639</v>
      </c>
      <c r="Q90" s="13">
        <f t="shared" si="3"/>
        <v>1.3903911770854065</v>
      </c>
      <c r="R90" s="13">
        <f t="shared" ref="R90:W90" si="18">R12/R64</f>
        <v>0.88873414045431676</v>
      </c>
      <c r="S90" s="13">
        <f t="shared" si="18"/>
        <v>1.119409515762037</v>
      </c>
      <c r="T90" s="13">
        <f t="shared" si="18"/>
        <v>1.0888846445480476</v>
      </c>
      <c r="U90" s="13">
        <f t="shared" si="18"/>
        <v>1.3397571556203698</v>
      </c>
      <c r="V90" s="13">
        <f t="shared" si="18"/>
        <v>1.1857219796194849</v>
      </c>
      <c r="W90" s="13">
        <f t="shared" si="18"/>
        <v>0.99752159771722915</v>
      </c>
      <c r="X90" s="20">
        <f t="shared" ref="X90:X102" si="19">S90</f>
        <v>1.119409515762037</v>
      </c>
      <c r="Y90" s="13">
        <v>1</v>
      </c>
      <c r="Z90" s="13">
        <f t="shared" ref="Z90:Z102" si="20">MEDIAN(B90:X90)</f>
        <v>1.1758346965568536</v>
      </c>
      <c r="AA90" s="84">
        <f t="shared" si="7"/>
        <v>1.0465372838847229</v>
      </c>
      <c r="AB90" s="84">
        <f t="shared" si="17"/>
        <v>1.0465372838847229</v>
      </c>
      <c r="AC90" s="84">
        <f t="shared" si="9"/>
        <v>1.1922758916232998</v>
      </c>
    </row>
    <row r="91" spans="1:29">
      <c r="A91" s="3">
        <v>2019</v>
      </c>
      <c r="B91" s="13">
        <f t="shared" si="3"/>
        <v>1.4180497464430613</v>
      </c>
      <c r="C91" s="13">
        <f t="shared" si="3"/>
        <v>1.2043967490428082</v>
      </c>
      <c r="D91" s="13">
        <f t="shared" si="3"/>
        <v>1.3756754638644819</v>
      </c>
      <c r="E91" s="13">
        <f t="shared" si="3"/>
        <v>1.3380894975164619</v>
      </c>
      <c r="F91" s="13">
        <f t="shared" si="3"/>
        <v>0.96577948715133344</v>
      </c>
      <c r="G91" s="13">
        <f t="shared" si="3"/>
        <v>1.2030781202565817</v>
      </c>
      <c r="H91" s="13">
        <f t="shared" si="3"/>
        <v>1.099844652902328</v>
      </c>
      <c r="I91" s="13">
        <f t="shared" si="3"/>
        <v>1.1711925458934214</v>
      </c>
      <c r="J91" s="13">
        <f t="shared" si="3"/>
        <v>1.2338686167313522</v>
      </c>
      <c r="K91" s="13">
        <f t="shared" si="3"/>
        <v>1.3385368501655919</v>
      </c>
      <c r="L91" s="13">
        <f t="shared" si="3"/>
        <v>0.96760730289035579</v>
      </c>
      <c r="M91" s="13">
        <f t="shared" si="3"/>
        <v>1.4161416642259212</v>
      </c>
      <c r="N91" s="13">
        <f t="shared" si="3"/>
        <v>1.0305207609926017</v>
      </c>
      <c r="O91" s="13">
        <f t="shared" si="3"/>
        <v>1.0036459513661646</v>
      </c>
      <c r="P91" s="13">
        <f t="shared" si="3"/>
        <v>1.2457238672264193</v>
      </c>
      <c r="Q91" s="13">
        <f t="shared" si="3"/>
        <v>1.4156474032772748</v>
      </c>
      <c r="R91" s="13">
        <f t="shared" ref="R91:W91" si="21">R13/R65</f>
        <v>0.90473497940817094</v>
      </c>
      <c r="S91" s="13">
        <f t="shared" si="21"/>
        <v>1.1479297078374429</v>
      </c>
      <c r="T91" s="13">
        <f t="shared" si="21"/>
        <v>1.1183825446496944</v>
      </c>
      <c r="U91" s="13">
        <f t="shared" si="21"/>
        <v>1.3641357523306674</v>
      </c>
      <c r="V91" s="13">
        <f t="shared" si="21"/>
        <v>1.2159383852264658</v>
      </c>
      <c r="W91" s="13">
        <f t="shared" si="21"/>
        <v>1.1268793018856331</v>
      </c>
      <c r="X91" s="20">
        <f t="shared" si="19"/>
        <v>1.1479297078374429</v>
      </c>
      <c r="Y91" s="13">
        <v>1</v>
      </c>
      <c r="Z91" s="13">
        <f t="shared" si="20"/>
        <v>1.2030781202565817</v>
      </c>
      <c r="AA91" s="84">
        <f t="shared" si="7"/>
        <v>1.0945846547618083</v>
      </c>
      <c r="AB91" s="84">
        <f t="shared" si="17"/>
        <v>1.0945846547618083</v>
      </c>
      <c r="AC91" s="84">
        <f t="shared" si="9"/>
        <v>1.225975650914541</v>
      </c>
    </row>
    <row r="92" spans="1:29">
      <c r="A92" s="3">
        <v>2020</v>
      </c>
      <c r="B92" s="13">
        <f t="shared" si="3"/>
        <v>1.4099153581800679</v>
      </c>
      <c r="C92" s="13">
        <f t="shared" si="3"/>
        <v>1.2008217460236046</v>
      </c>
      <c r="D92" s="13">
        <f t="shared" si="3"/>
        <v>1.4085097065140322</v>
      </c>
      <c r="E92" s="13">
        <f t="shared" si="3"/>
        <v>1.3315123693988522</v>
      </c>
      <c r="F92" s="13">
        <f t="shared" si="3"/>
        <v>0.95764509888834037</v>
      </c>
      <c r="G92" s="13">
        <f t="shared" si="3"/>
        <v>1.1988198001875381</v>
      </c>
      <c r="H92" s="13">
        <f t="shared" si="3"/>
        <v>1.0936616160178507</v>
      </c>
      <c r="I92" s="13">
        <f t="shared" si="3"/>
        <v>1.165550372844774</v>
      </c>
      <c r="J92" s="13">
        <f t="shared" si="3"/>
        <v>1.2288515383036309</v>
      </c>
      <c r="K92" s="13">
        <f t="shared" si="3"/>
        <v>1.3322297255454958</v>
      </c>
      <c r="L92" s="13">
        <f t="shared" si="3"/>
        <v>0.96117793869028922</v>
      </c>
      <c r="M92" s="13">
        <f t="shared" si="3"/>
        <v>1.4080072759629283</v>
      </c>
      <c r="N92" s="13">
        <f t="shared" si="3"/>
        <v>1.0246424688929416</v>
      </c>
      <c r="O92" s="13">
        <f t="shared" si="3"/>
        <v>0.99604019633888674</v>
      </c>
      <c r="P92" s="13">
        <f t="shared" si="3"/>
        <v>1.238247407425874</v>
      </c>
      <c r="Q92" s="13">
        <f t="shared" si="3"/>
        <v>1.4075130150142816</v>
      </c>
      <c r="R92" s="13">
        <f t="shared" ref="R92:W92" si="22">R14/R66</f>
        <v>0.89958151603658532</v>
      </c>
      <c r="S92" s="13">
        <f t="shared" si="22"/>
        <v>1.1442394780060707</v>
      </c>
      <c r="T92" s="13">
        <f t="shared" si="22"/>
        <v>1.1144152395085978</v>
      </c>
      <c r="U92" s="13">
        <f t="shared" si="22"/>
        <v>1.3562840262080871</v>
      </c>
      <c r="V92" s="13">
        <f t="shared" si="22"/>
        <v>1.2126403653479427</v>
      </c>
      <c r="W92" s="13">
        <f t="shared" si="22"/>
        <v>1.2228058641383708</v>
      </c>
      <c r="X92" s="20">
        <f t="shared" si="19"/>
        <v>1.1442394780060707</v>
      </c>
      <c r="Y92" s="13">
        <v>1</v>
      </c>
      <c r="Z92" s="13">
        <f t="shared" si="20"/>
        <v>1.2008217460236046</v>
      </c>
      <c r="AA92" s="84">
        <f t="shared" si="7"/>
        <v>1.1078196994035434</v>
      </c>
      <c r="AB92" s="84">
        <f t="shared" si="17"/>
        <v>1.1078196994035434</v>
      </c>
      <c r="AC92" s="84">
        <f t="shared" si="9"/>
        <v>1.2251608664735061</v>
      </c>
    </row>
    <row r="93" spans="1:29">
      <c r="A93" s="3">
        <v>2021</v>
      </c>
      <c r="B93" s="13">
        <f t="shared" si="3"/>
        <v>1.376037345991926</v>
      </c>
      <c r="C93" s="13">
        <f t="shared" si="3"/>
        <v>1.1723877378720866</v>
      </c>
      <c r="D93" s="13">
        <f t="shared" si="3"/>
        <v>1.3746316943258903</v>
      </c>
      <c r="E93" s="13">
        <f t="shared" si="3"/>
        <v>1.2991595875196069</v>
      </c>
      <c r="F93" s="13">
        <f t="shared" si="3"/>
        <v>0.92376708670019825</v>
      </c>
      <c r="G93" s="13">
        <f t="shared" si="3"/>
        <v>1.1810847948575875</v>
      </c>
      <c r="H93" s="13">
        <f t="shared" si="3"/>
        <v>1.0663344210555019</v>
      </c>
      <c r="I93" s="13">
        <f t="shared" si="3"/>
        <v>1.1341391677578356</v>
      </c>
      <c r="J93" s="13">
        <f t="shared" si="3"/>
        <v>1.1980375224151467</v>
      </c>
      <c r="K93" s="13">
        <f t="shared" si="3"/>
        <v>1.3001345835328806</v>
      </c>
      <c r="L93" s="13">
        <f t="shared" si="3"/>
        <v>0.93060987232219694</v>
      </c>
      <c r="M93" s="13">
        <f t="shared" si="3"/>
        <v>1.3741292637747862</v>
      </c>
      <c r="N93" s="13">
        <f t="shared" si="3"/>
        <v>0.99897797953823098</v>
      </c>
      <c r="O93" s="13">
        <f t="shared" si="3"/>
        <v>0.96436383012873306</v>
      </c>
      <c r="P93" s="13">
        <f t="shared" si="3"/>
        <v>1.2071095285764788</v>
      </c>
      <c r="Q93" s="13">
        <f t="shared" si="3"/>
        <v>1.3736350028261395</v>
      </c>
      <c r="R93" s="13">
        <f t="shared" ref="R93:W93" si="23">R15/R67</f>
        <v>1.0820524597265835</v>
      </c>
      <c r="S93" s="13">
        <f t="shared" si="23"/>
        <v>1.1156985229522161</v>
      </c>
      <c r="T93" s="13">
        <f t="shared" si="23"/>
        <v>1.0846310313502197</v>
      </c>
      <c r="U93" s="13">
        <f t="shared" si="23"/>
        <v>1.323583242242699</v>
      </c>
      <c r="V93" s="13">
        <f t="shared" si="23"/>
        <v>1.183478000960571</v>
      </c>
      <c r="W93" s="13">
        <f t="shared" si="23"/>
        <v>1.2929493289480829</v>
      </c>
      <c r="X93" s="20">
        <f t="shared" si="19"/>
        <v>1.1156985229522161</v>
      </c>
      <c r="Y93" s="13">
        <v>1</v>
      </c>
      <c r="Z93" s="13">
        <f t="shared" si="20"/>
        <v>1.1810847948575875</v>
      </c>
      <c r="AA93" s="84">
        <f t="shared" si="7"/>
        <v>1.096003196350571</v>
      </c>
      <c r="AB93" s="84">
        <f t="shared" si="17"/>
        <v>1.096003196350571</v>
      </c>
      <c r="AC93" s="84">
        <f t="shared" si="9"/>
        <v>1.2219352516042092</v>
      </c>
    </row>
    <row r="94" spans="1:29">
      <c r="A94" s="3">
        <v>2022</v>
      </c>
      <c r="B94" s="13">
        <f t="shared" si="3"/>
        <v>1.3949828155397503</v>
      </c>
      <c r="C94" s="13">
        <f t="shared" si="3"/>
        <v>1.1947147380455168</v>
      </c>
      <c r="D94" s="13">
        <f t="shared" si="3"/>
        <v>1.3935771638737147</v>
      </c>
      <c r="E94" s="13">
        <f t="shared" si="3"/>
        <v>1.3195989163317772</v>
      </c>
      <c r="F94" s="13">
        <f t="shared" si="3"/>
        <v>0.94271255624802297</v>
      </c>
      <c r="G94" s="13">
        <f t="shared" si="3"/>
        <v>1.1910026732013081</v>
      </c>
      <c r="H94" s="13">
        <f t="shared" si="3"/>
        <v>1.0823817783435545</v>
      </c>
      <c r="I94" s="13">
        <f t="shared" si="3"/>
        <v>1.1555262953292211</v>
      </c>
      <c r="J94" s="13">
        <f t="shared" si="3"/>
        <v>1.2199945865173822</v>
      </c>
      <c r="K94" s="13">
        <f t="shared" si="3"/>
        <v>1.3208196083305115</v>
      </c>
      <c r="L94" s="13">
        <f t="shared" si="3"/>
        <v>0.94955977908277178</v>
      </c>
      <c r="M94" s="13">
        <f t="shared" si="3"/>
        <v>1.3930747333226108</v>
      </c>
      <c r="N94" s="13">
        <f t="shared" si="3"/>
        <v>1.0139075767410728</v>
      </c>
      <c r="O94" s="13">
        <f t="shared" si="3"/>
        <v>0.98207808172317168</v>
      </c>
      <c r="P94" s="13">
        <f t="shared" si="3"/>
        <v>1.2245226439696999</v>
      </c>
      <c r="Q94" s="13">
        <f t="shared" si="3"/>
        <v>1.3925804723739639</v>
      </c>
      <c r="R94" s="13">
        <f t="shared" ref="R94:W94" si="24">R16/R68</f>
        <v>1.096997022661824</v>
      </c>
      <c r="S94" s="13">
        <f t="shared" si="24"/>
        <v>1.1379077334999095</v>
      </c>
      <c r="T94" s="13">
        <f t="shared" si="24"/>
        <v>1.1075983144649599</v>
      </c>
      <c r="U94" s="13">
        <f t="shared" si="24"/>
        <v>1.3418703750108691</v>
      </c>
      <c r="V94" s="13">
        <f t="shared" si="24"/>
        <v>1.2070214110317679</v>
      </c>
      <c r="W94" s="13">
        <f t="shared" si="24"/>
        <v>1.3133347604217442</v>
      </c>
      <c r="X94" s="20">
        <f t="shared" si="19"/>
        <v>1.1379077334999095</v>
      </c>
      <c r="Y94" s="13">
        <v>1</v>
      </c>
      <c r="Z94" s="13">
        <f t="shared" si="20"/>
        <v>1.1947147380455168</v>
      </c>
      <c r="AA94" s="84">
        <f t="shared" si="7"/>
        <v>1.1156664814479202</v>
      </c>
      <c r="AB94" s="84">
        <f t="shared" si="17"/>
        <v>1.1156664814479202</v>
      </c>
      <c r="AC94" s="84">
        <f t="shared" si="9"/>
        <v>1.2187096367349122</v>
      </c>
    </row>
    <row r="95" spans="1:29">
      <c r="A95" s="3">
        <v>2023</v>
      </c>
      <c r="B95" s="13">
        <f t="shared" si="3"/>
        <v>1.3827694075011954</v>
      </c>
      <c r="C95" s="13">
        <f t="shared" si="3"/>
        <v>1.1869667434909617</v>
      </c>
      <c r="D95" s="13">
        <f t="shared" si="3"/>
        <v>1.3813637558351595</v>
      </c>
      <c r="E95" s="13">
        <f t="shared" si="3"/>
        <v>1.3088486417548735</v>
      </c>
      <c r="F95" s="13">
        <f t="shared" si="3"/>
        <v>0.93049914820946777</v>
      </c>
      <c r="G95" s="13">
        <f t="shared" si="3"/>
        <v>1.1846090024198672</v>
      </c>
      <c r="H95" s="13">
        <f t="shared" si="3"/>
        <v>1.0728380691447248</v>
      </c>
      <c r="I95" s="13">
        <f t="shared" si="3"/>
        <v>1.1457296526312193</v>
      </c>
      <c r="J95" s="13">
        <f t="shared" si="3"/>
        <v>1.2107412674845388</v>
      </c>
      <c r="K95" s="13">
        <f t="shared" si="3"/>
        <v>1.3103034929544661</v>
      </c>
      <c r="L95" s="13">
        <f t="shared" si="3"/>
        <v>0.93929421080015341</v>
      </c>
      <c r="M95" s="13">
        <f t="shared" si="3"/>
        <v>1.3808613252840556</v>
      </c>
      <c r="N95" s="13">
        <f t="shared" si="3"/>
        <v>1.0048892702608041</v>
      </c>
      <c r="O95" s="13">
        <f t="shared" si="3"/>
        <v>0.97065839205676585</v>
      </c>
      <c r="P95" s="13">
        <f t="shared" si="3"/>
        <v>1.2132970851107339</v>
      </c>
      <c r="Q95" s="13">
        <f t="shared" si="3"/>
        <v>1.3803670643354091</v>
      </c>
      <c r="R95" s="13">
        <f t="shared" ref="R95:W95" si="25">R17/R69</f>
        <v>1.0873628436500444</v>
      </c>
      <c r="S95" s="13">
        <f t="shared" si="25"/>
        <v>1.1300585455356298</v>
      </c>
      <c r="T95" s="13">
        <f t="shared" si="25"/>
        <v>1.099335995498923</v>
      </c>
      <c r="U95" s="13">
        <f t="shared" si="25"/>
        <v>1.3300813711126505</v>
      </c>
      <c r="V95" s="13">
        <f t="shared" si="25"/>
        <v>1.199291174330354</v>
      </c>
      <c r="W95" s="13">
        <f t="shared" si="25"/>
        <v>1.3025238671643686</v>
      </c>
      <c r="X95" s="20">
        <f t="shared" si="19"/>
        <v>1.1300585455356298</v>
      </c>
      <c r="Y95" s="13">
        <v>1</v>
      </c>
      <c r="Z95" s="13">
        <f t="shared" si="20"/>
        <v>1.1869667434909617</v>
      </c>
      <c r="AA95" s="84">
        <f t="shared" si="7"/>
        <v>1.1048310491086633</v>
      </c>
      <c r="AB95" s="84">
        <f t="shared" si="17"/>
        <v>1.1048310491086633</v>
      </c>
      <c r="AC95" s="84">
        <f t="shared" si="9"/>
        <v>1.2073035522466715</v>
      </c>
    </row>
    <row r="96" spans="1:29">
      <c r="A96" s="3">
        <v>2024</v>
      </c>
      <c r="B96" s="13">
        <f t="shared" si="3"/>
        <v>1.3355561113991878</v>
      </c>
      <c r="C96" s="13">
        <f t="shared" si="3"/>
        <v>1.1453632170248815</v>
      </c>
      <c r="D96" s="13">
        <f t="shared" si="3"/>
        <v>1.3341504597331519</v>
      </c>
      <c r="E96" s="13">
        <f t="shared" si="3"/>
        <v>1.2630683852822986</v>
      </c>
      <c r="F96" s="13">
        <f t="shared" si="3"/>
        <v>0.88328585210746013</v>
      </c>
      <c r="G96" s="13">
        <f t="shared" si="3"/>
        <v>1.1598930287268561</v>
      </c>
      <c r="H96" s="13">
        <f t="shared" si="3"/>
        <v>1.0345491133051354</v>
      </c>
      <c r="I96" s="13">
        <f t="shared" si="3"/>
        <v>1.1009084829674507</v>
      </c>
      <c r="J96" s="13">
        <f t="shared" si="3"/>
        <v>1.1664374357089629</v>
      </c>
      <c r="K96" s="13">
        <f t="shared" si="3"/>
        <v>1.2647462536994778</v>
      </c>
      <c r="L96" s="13">
        <f t="shared" si="3"/>
        <v>0.89621223379852832</v>
      </c>
      <c r="M96" s="13">
        <f t="shared" si="3"/>
        <v>1.3336480291820481</v>
      </c>
      <c r="N96" s="13">
        <f t="shared" si="3"/>
        <v>0.96897118050538611</v>
      </c>
      <c r="O96" s="13">
        <f t="shared" si="3"/>
        <v>0.92651336816899832</v>
      </c>
      <c r="P96" s="13">
        <f t="shared" si="3"/>
        <v>1.1699025114875652</v>
      </c>
      <c r="Q96" s="13">
        <f t="shared" si="3"/>
        <v>1.3331537682334016</v>
      </c>
      <c r="R96" s="13">
        <f t="shared" ref="R96:W96" si="26">R18/R70</f>
        <v>1.0501200572838647</v>
      </c>
      <c r="S96" s="13">
        <f t="shared" si="26"/>
        <v>1.0884565069611025</v>
      </c>
      <c r="T96" s="13">
        <f t="shared" si="26"/>
        <v>1.0560043076811454</v>
      </c>
      <c r="U96" s="13">
        <f t="shared" si="26"/>
        <v>1.2845086914775077</v>
      </c>
      <c r="V96" s="13">
        <f t="shared" si="26"/>
        <v>1.1564491451327357</v>
      </c>
      <c r="W96" s="13">
        <f t="shared" si="26"/>
        <v>1.2566766125361895</v>
      </c>
      <c r="X96" s="20">
        <f t="shared" si="19"/>
        <v>1.0884565069611025</v>
      </c>
      <c r="Y96" s="13">
        <v>1</v>
      </c>
      <c r="Z96" s="13">
        <f t="shared" si="20"/>
        <v>1.1564491451327357</v>
      </c>
      <c r="AA96" s="84">
        <f t="shared" si="7"/>
        <v>1.0597402747864022</v>
      </c>
      <c r="AB96" s="84">
        <f t="shared" si="17"/>
        <v>1.0597402747864022</v>
      </c>
      <c r="AC96" s="84">
        <f t="shared" si="9"/>
        <v>1.1616461079971883</v>
      </c>
    </row>
    <row r="97" spans="1:29">
      <c r="A97" s="3">
        <v>2025</v>
      </c>
      <c r="B97" s="13">
        <f t="shared" si="3"/>
        <v>1.2950228671153392</v>
      </c>
      <c r="C97" s="13">
        <f t="shared" si="3"/>
        <v>1.1100715782125121</v>
      </c>
      <c r="D97" s="13">
        <f t="shared" si="3"/>
        <v>1.2936172154493035</v>
      </c>
      <c r="E97" s="13">
        <f t="shared" si="3"/>
        <v>1.223938705767728</v>
      </c>
      <c r="F97" s="13">
        <f t="shared" si="3"/>
        <v>0.84275260782361172</v>
      </c>
      <c r="G97" s="13">
        <f t="shared" si="3"/>
        <v>1.1386740357286231</v>
      </c>
      <c r="H97" s="13">
        <f t="shared" si="3"/>
        <v>1.0017421731476399</v>
      </c>
      <c r="I97" s="13">
        <f t="shared" si="3"/>
        <v>1.0627429774129293</v>
      </c>
      <c r="J97" s="13">
        <f t="shared" si="3"/>
        <v>1.1287638968766887</v>
      </c>
      <c r="K97" s="13">
        <f t="shared" si="3"/>
        <v>1.2258288322734878</v>
      </c>
      <c r="L97" s="13">
        <f t="shared" si="3"/>
        <v>0.85938880531710993</v>
      </c>
      <c r="M97" s="13">
        <f t="shared" si="3"/>
        <v>1.2931147848981996</v>
      </c>
      <c r="N97" s="13">
        <f t="shared" si="3"/>
        <v>0.93818512117614938</v>
      </c>
      <c r="O97" s="13">
        <f t="shared" si="3"/>
        <v>0.8886142764958983</v>
      </c>
      <c r="P97" s="13">
        <f t="shared" si="3"/>
        <v>1.1326476913737338</v>
      </c>
      <c r="Q97" s="13">
        <f t="shared" si="3"/>
        <v>1.292620523949553</v>
      </c>
      <c r="R97" s="13">
        <f t="shared" ref="R97:W97" si="27">R19/R71</f>
        <v>1.0181466285630651</v>
      </c>
      <c r="S97" s="13">
        <f t="shared" si="27"/>
        <v>1.0532086085306329</v>
      </c>
      <c r="T97" s="13">
        <f t="shared" si="27"/>
        <v>1.0192844127284988</v>
      </c>
      <c r="U97" s="13">
        <f t="shared" si="27"/>
        <v>1.2453839383077698</v>
      </c>
      <c r="V97" s="13">
        <f t="shared" si="27"/>
        <v>1.1201780565668946</v>
      </c>
      <c r="W97" s="13">
        <f t="shared" si="27"/>
        <v>1.2174738849308531</v>
      </c>
      <c r="X97" s="20">
        <f t="shared" si="19"/>
        <v>1.0532086085306329</v>
      </c>
      <c r="Y97" s="13">
        <v>1</v>
      </c>
      <c r="Z97" s="13">
        <f t="shared" si="20"/>
        <v>1.1201780565668946</v>
      </c>
      <c r="AA97" s="84">
        <f t="shared" si="7"/>
        <v>1.02116014308101</v>
      </c>
      <c r="AB97" s="84">
        <f t="shared" si="17"/>
        <v>1.02116014308101</v>
      </c>
      <c r="AC97" s="84">
        <f t="shared" si="9"/>
        <v>1.1225120089791076</v>
      </c>
    </row>
    <row r="98" spans="1:29">
      <c r="A98" s="3">
        <v>2026</v>
      </c>
      <c r="B98" s="13">
        <f t="shared" si="3"/>
        <v>1.271931329966147</v>
      </c>
      <c r="C98" s="13">
        <f t="shared" si="3"/>
        <v>1.0915105693617837</v>
      </c>
      <c r="D98" s="13">
        <f t="shared" si="3"/>
        <v>1.2705256783001113</v>
      </c>
      <c r="E98" s="13">
        <f t="shared" si="3"/>
        <v>1.2022218647686613</v>
      </c>
      <c r="F98" s="13">
        <f t="shared" si="3"/>
        <v>0.81966107067441962</v>
      </c>
      <c r="G98" s="13">
        <f t="shared" si="3"/>
        <v>1.1265857074009942</v>
      </c>
      <c r="H98" s="13">
        <f t="shared" si="3"/>
        <v>0.98325466121801797</v>
      </c>
      <c r="I98" s="13">
        <f t="shared" si="3"/>
        <v>1.0419950399166398</v>
      </c>
      <c r="J98" s="13">
        <f t="shared" si="3"/>
        <v>1.1084831573012868</v>
      </c>
      <c r="K98" s="13">
        <f t="shared" si="3"/>
        <v>1.2043138614798994</v>
      </c>
      <c r="L98" s="13">
        <f t="shared" si="3"/>
        <v>0.8389129907692312</v>
      </c>
      <c r="M98" s="13">
        <f t="shared" si="3"/>
        <v>1.2700232477490074</v>
      </c>
      <c r="N98" s="13">
        <f t="shared" si="3"/>
        <v>0.92080163168764362</v>
      </c>
      <c r="O98" s="13">
        <f t="shared" si="3"/>
        <v>0.8670233997044553</v>
      </c>
      <c r="P98" s="13">
        <f t="shared" si="3"/>
        <v>1.1114238520821969</v>
      </c>
      <c r="Q98" s="13">
        <f t="shared" si="3"/>
        <v>1.2695289868003605</v>
      </c>
      <c r="R98" s="13">
        <f t="shared" ref="R98:W98" si="28">R20/R72</f>
        <v>0.9999315650975531</v>
      </c>
      <c r="S98" s="13">
        <f t="shared" si="28"/>
        <v>1.0346714161974515</v>
      </c>
      <c r="T98" s="13">
        <f t="shared" si="28"/>
        <v>0.99993916630649138</v>
      </c>
      <c r="U98" s="13">
        <f t="shared" si="28"/>
        <v>1.2230948097853838</v>
      </c>
      <c r="V98" s="13">
        <f t="shared" si="28"/>
        <v>1.1012422874734829</v>
      </c>
      <c r="W98" s="13">
        <f t="shared" si="28"/>
        <v>1.1956782635102199</v>
      </c>
      <c r="X98" s="20">
        <f t="shared" si="19"/>
        <v>1.0346714161974515</v>
      </c>
      <c r="Y98" s="13">
        <v>1</v>
      </c>
      <c r="Z98" s="13">
        <f t="shared" si="20"/>
        <v>1.1012422874734829</v>
      </c>
      <c r="AA98" s="84">
        <f t="shared" si="7"/>
        <v>0.99961693101710691</v>
      </c>
      <c r="AB98" s="84">
        <f t="shared" si="17"/>
        <v>0.99961693101710691</v>
      </c>
      <c r="AC98" s="84">
        <f t="shared" si="9"/>
        <v>1.1004296061516023</v>
      </c>
    </row>
    <row r="99" spans="1:29">
      <c r="A99" s="3">
        <v>2027</v>
      </c>
      <c r="B99" s="13">
        <f t="shared" si="3"/>
        <v>1.248839792816955</v>
      </c>
      <c r="C99" s="13">
        <f t="shared" si="3"/>
        <v>1.072852374985332</v>
      </c>
      <c r="D99" s="13">
        <f t="shared" si="3"/>
        <v>1.2474341411509193</v>
      </c>
      <c r="E99" s="13">
        <f t="shared" si="3"/>
        <v>1.1804767489222365</v>
      </c>
      <c r="F99" s="13">
        <f t="shared" si="3"/>
        <v>0.79656953352522741</v>
      </c>
      <c r="G99" s="13">
        <f t="shared" si="3"/>
        <v>1.1144973790733657</v>
      </c>
      <c r="H99" s="13">
        <f t="shared" si="3"/>
        <v>0.96476361275091427</v>
      </c>
      <c r="I99" s="13">
        <f t="shared" si="3"/>
        <v>1.0212232094416061</v>
      </c>
      <c r="J99" s="13">
        <f t="shared" si="3"/>
        <v>1.088154346291067</v>
      </c>
      <c r="K99" s="13">
        <f t="shared" si="3"/>
        <v>1.1827605879228662</v>
      </c>
      <c r="L99" s="13">
        <f t="shared" si="3"/>
        <v>0.8184332032243421</v>
      </c>
      <c r="M99" s="13">
        <f t="shared" si="3"/>
        <v>1.2469317105998152</v>
      </c>
      <c r="N99" s="13">
        <f t="shared" si="3"/>
        <v>0.90341644508872787</v>
      </c>
      <c r="O99" s="13">
        <f t="shared" si="3"/>
        <v>0.84543252291301263</v>
      </c>
      <c r="P99" s="13">
        <f t="shared" si="3"/>
        <v>1.0902000127906601</v>
      </c>
      <c r="Q99" s="13">
        <f t="shared" si="3"/>
        <v>1.2464374496511683</v>
      </c>
      <c r="R99" s="13">
        <f t="shared" ref="R99:W99" si="29">R21/R73</f>
        <v>0.98171650163204149</v>
      </c>
      <c r="S99" s="13">
        <f t="shared" si="29"/>
        <v>1.0160634420306782</v>
      </c>
      <c r="T99" s="13">
        <f t="shared" si="29"/>
        <v>0.9805280405210729</v>
      </c>
      <c r="U99" s="13">
        <f t="shared" si="29"/>
        <v>1.2008056812629975</v>
      </c>
      <c r="V99" s="13">
        <f t="shared" si="29"/>
        <v>1.0822027862601133</v>
      </c>
      <c r="W99" s="13">
        <f t="shared" si="29"/>
        <v>1.1738489409598001</v>
      </c>
      <c r="X99" s="20">
        <f t="shared" si="19"/>
        <v>1.0160634420306782</v>
      </c>
      <c r="Y99" s="13">
        <v>1</v>
      </c>
      <c r="Z99" s="13">
        <f t="shared" si="20"/>
        <v>1.0822027862601133</v>
      </c>
      <c r="AA99" s="84">
        <f t="shared" si="7"/>
        <v>0.9780519855902513</v>
      </c>
      <c r="AB99" s="84">
        <f t="shared" si="17"/>
        <v>0.9780519855902513</v>
      </c>
      <c r="AC99" s="84">
        <f t="shared" si="9"/>
        <v>1.0783362579666449</v>
      </c>
    </row>
    <row r="100" spans="1:29">
      <c r="A100" s="3">
        <v>2028</v>
      </c>
      <c r="B100" s="13">
        <f t="shared" si="3"/>
        <v>1.222861813524114</v>
      </c>
      <c r="C100" s="13">
        <f t="shared" si="3"/>
        <v>1.0513042953963345</v>
      </c>
      <c r="D100" s="13">
        <f t="shared" si="3"/>
        <v>1.2214561618580781</v>
      </c>
      <c r="E100" s="13">
        <f t="shared" si="3"/>
        <v>1.1558174976438589</v>
      </c>
      <c r="F100" s="13">
        <f t="shared" si="3"/>
        <v>0.77059155423238612</v>
      </c>
      <c r="G100" s="13">
        <f t="shared" si="3"/>
        <v>1.1008980097047831</v>
      </c>
      <c r="H100" s="13">
        <f t="shared" si="3"/>
        <v>0.943898730723159</v>
      </c>
      <c r="I100" s="13">
        <f t="shared" si="3"/>
        <v>0.99754128743289683</v>
      </c>
      <c r="J100" s="13">
        <f t="shared" si="3"/>
        <v>1.0648918438401485</v>
      </c>
      <c r="K100" s="13">
        <f t="shared" si="3"/>
        <v>1.1582835000264142</v>
      </c>
      <c r="L100" s="13">
        <f t="shared" si="3"/>
        <v>0.79524341663518949</v>
      </c>
      <c r="M100" s="13">
        <f t="shared" si="3"/>
        <v>1.220953731306974</v>
      </c>
      <c r="N100" s="13">
        <f t="shared" si="3"/>
        <v>0.88381128507848061</v>
      </c>
      <c r="O100" s="13">
        <f t="shared" si="3"/>
        <v>0.82114278652263939</v>
      </c>
      <c r="P100" s="13">
        <f t="shared" si="3"/>
        <v>1.0663231935876811</v>
      </c>
      <c r="Q100" s="13">
        <f t="shared" si="3"/>
        <v>1.2204594703583274</v>
      </c>
      <c r="R100" s="13">
        <f t="shared" ref="R100:W100" si="30">R22/R74</f>
        <v>0.96122455523334072</v>
      </c>
      <c r="S100" s="13">
        <f t="shared" si="30"/>
        <v>0.9946086351595147</v>
      </c>
      <c r="T100" s="13">
        <f t="shared" si="30"/>
        <v>0.95816575173198826</v>
      </c>
      <c r="U100" s="13">
        <f t="shared" si="30"/>
        <v>1.1757304116753129</v>
      </c>
      <c r="V100" s="13">
        <f t="shared" si="30"/>
        <v>1.0601757000404226</v>
      </c>
      <c r="W100" s="13">
        <f t="shared" si="30"/>
        <v>1.1491003515557017</v>
      </c>
      <c r="X100" s="20">
        <f t="shared" si="19"/>
        <v>0.9946086351595147</v>
      </c>
      <c r="Y100" s="13">
        <v>1</v>
      </c>
      <c r="Z100" s="13">
        <f t="shared" si="20"/>
        <v>1.0601757000404226</v>
      </c>
      <c r="AA100" s="84">
        <f t="shared" si="7"/>
        <v>0.95364260611689899</v>
      </c>
      <c r="AB100" s="84">
        <f t="shared" si="17"/>
        <v>0.95364260611689899</v>
      </c>
      <c r="AC100" s="84">
        <f t="shared" si="9"/>
        <v>1.053408411982079</v>
      </c>
    </row>
    <row r="101" spans="1:29">
      <c r="A101" s="3">
        <v>2029</v>
      </c>
      <c r="B101" s="13">
        <f t="shared" si="3"/>
        <v>1.1997702763749221</v>
      </c>
      <c r="C101" s="13">
        <f t="shared" si="3"/>
        <v>1.0324539434762452</v>
      </c>
      <c r="D101" s="13">
        <f t="shared" si="3"/>
        <v>1.1983646247088862</v>
      </c>
      <c r="E101" s="13">
        <f t="shared" si="3"/>
        <v>1.1340175648183337</v>
      </c>
      <c r="F101" s="13">
        <f t="shared" si="3"/>
        <v>0.74750001708319447</v>
      </c>
      <c r="G101" s="13">
        <f t="shared" si="3"/>
        <v>1.0888096813771544</v>
      </c>
      <c r="H101" s="13">
        <f t="shared" si="3"/>
        <v>0.92540068796485775</v>
      </c>
      <c r="I101" s="13">
        <f t="shared" si="3"/>
        <v>0.97672239928314275</v>
      </c>
      <c r="J101" s="13">
        <f t="shared" si="3"/>
        <v>1.0444693423130549</v>
      </c>
      <c r="K101" s="13">
        <f t="shared" si="3"/>
        <v>1.1366563900373248</v>
      </c>
      <c r="L101" s="13">
        <f t="shared" si="3"/>
        <v>0.77475572343791554</v>
      </c>
      <c r="M101" s="13">
        <f t="shared" si="3"/>
        <v>1.1978621941577823</v>
      </c>
      <c r="N101" s="13">
        <f t="shared" si="3"/>
        <v>0.86642272803892084</v>
      </c>
      <c r="O101" s="13">
        <f t="shared" si="3"/>
        <v>0.79955190973119661</v>
      </c>
      <c r="P101" s="13">
        <f t="shared" si="3"/>
        <v>1.0450993542961444</v>
      </c>
      <c r="Q101" s="13">
        <f t="shared" si="3"/>
        <v>1.1973679332091354</v>
      </c>
      <c r="R101" s="13">
        <f t="shared" ref="R101:W101" si="31">R23/R75</f>
        <v>0.94300949176782889</v>
      </c>
      <c r="S101" s="13">
        <f t="shared" si="31"/>
        <v>0.97586315313467442</v>
      </c>
      <c r="T101" s="13">
        <f t="shared" si="31"/>
        <v>0.93862632235738719</v>
      </c>
      <c r="U101" s="13">
        <f t="shared" si="31"/>
        <v>1.1534412831529268</v>
      </c>
      <c r="V101" s="13">
        <f t="shared" si="31"/>
        <v>1.0409364377285457</v>
      </c>
      <c r="W101" s="13">
        <f t="shared" si="31"/>
        <v>1.1272062332131163</v>
      </c>
      <c r="X101" s="20">
        <f t="shared" si="19"/>
        <v>0.97586315313467442</v>
      </c>
      <c r="Y101" s="13">
        <v>1</v>
      </c>
      <c r="Z101" s="13">
        <f t="shared" si="20"/>
        <v>1.0409364377285457</v>
      </c>
      <c r="AA101" s="84">
        <f t="shared" si="7"/>
        <v>0.93203560061381652</v>
      </c>
      <c r="AB101" s="84">
        <f t="shared" si="17"/>
        <v>0.93203560061381652</v>
      </c>
      <c r="AC101" s="84">
        <f t="shared" si="9"/>
        <v>1.0312938926268536</v>
      </c>
    </row>
    <row r="102" spans="1:29">
      <c r="A102" s="3">
        <v>2030</v>
      </c>
      <c r="B102" s="13">
        <f t="shared" si="3"/>
        <v>1.1737922970820809</v>
      </c>
      <c r="C102" s="13">
        <f t="shared" si="3"/>
        <v>1.0107122023265356</v>
      </c>
      <c r="D102" s="13">
        <f t="shared" si="3"/>
        <v>1.172386645416045</v>
      </c>
      <c r="E102" s="13">
        <f t="shared" si="3"/>
        <v>1.109304624040347</v>
      </c>
      <c r="F102" s="13">
        <f t="shared" si="3"/>
        <v>0.7215220377903534</v>
      </c>
      <c r="G102" s="13">
        <f t="shared" si="3"/>
        <v>1.0752103120085723</v>
      </c>
      <c r="H102" s="13">
        <f t="shared" si="3"/>
        <v>0.90452886371258834</v>
      </c>
      <c r="I102" s="13">
        <f t="shared" si="3"/>
        <v>0.95299389935231038</v>
      </c>
      <c r="J102" s="13">
        <f t="shared" si="3"/>
        <v>1.0211147516796382</v>
      </c>
      <c r="K102" s="13">
        <f t="shared" si="3"/>
        <v>1.112107259568859</v>
      </c>
      <c r="L102" s="13">
        <f t="shared" si="3"/>
        <v>0.75155805798451614</v>
      </c>
      <c r="M102" s="13">
        <f t="shared" si="3"/>
        <v>1.1718842148649411</v>
      </c>
      <c r="N102" s="13">
        <f t="shared" si="3"/>
        <v>0.84681421335499629</v>
      </c>
      <c r="O102" s="13">
        <f t="shared" si="3"/>
        <v>0.77526217334082348</v>
      </c>
      <c r="P102" s="13">
        <f t="shared" si="3"/>
        <v>1.0212225350931654</v>
      </c>
      <c r="Q102" s="13">
        <f t="shared" si="3"/>
        <v>1.1713899539162944</v>
      </c>
      <c r="R102" s="13">
        <f t="shared" ref="R102:W102" si="32">R24/R76</f>
        <v>0.92251754536912811</v>
      </c>
      <c r="S102" s="13">
        <f t="shared" si="32"/>
        <v>0.95647152479427189</v>
      </c>
      <c r="T102" s="13">
        <f t="shared" si="32"/>
        <v>0.91613798622653753</v>
      </c>
      <c r="U102" s="13">
        <f t="shared" si="32"/>
        <v>1.1283660135652425</v>
      </c>
      <c r="V102" s="13">
        <f t="shared" si="32"/>
        <v>1.0187145766468151</v>
      </c>
      <c r="W102" s="13">
        <f t="shared" si="32"/>
        <v>1.1023945330734908</v>
      </c>
      <c r="X102" s="20">
        <f t="shared" si="19"/>
        <v>0.95647152479427189</v>
      </c>
      <c r="Y102" s="13">
        <v>1</v>
      </c>
      <c r="Z102" s="13">
        <f t="shared" si="20"/>
        <v>1.0187145766468151</v>
      </c>
      <c r="AA102" s="84">
        <f t="shared" si="7"/>
        <v>0.90775383358615391</v>
      </c>
      <c r="AB102" s="84">
        <f t="shared" si="17"/>
        <v>0.90775383358615391</v>
      </c>
      <c r="AC102" s="84">
        <f t="shared" si="9"/>
        <v>1.0063453271547436</v>
      </c>
    </row>
    <row r="103" spans="1:2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9">
      <c r="B105" s="3" t="s">
        <v>832</v>
      </c>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9">
      <c r="B106" s="171" t="s">
        <v>255</v>
      </c>
      <c r="C106" s="171" t="s">
        <v>539</v>
      </c>
      <c r="D106" s="171" t="s">
        <v>540</v>
      </c>
      <c r="E106" s="171" t="s">
        <v>238</v>
      </c>
      <c r="F106" s="171" t="s">
        <v>239</v>
      </c>
      <c r="G106" s="171" t="s">
        <v>541</v>
      </c>
      <c r="H106" s="171" t="s">
        <v>542</v>
      </c>
      <c r="I106" s="171" t="s">
        <v>240</v>
      </c>
      <c r="J106" s="171" t="s">
        <v>241</v>
      </c>
      <c r="K106" s="171" t="s">
        <v>242</v>
      </c>
      <c r="L106" s="171" t="s">
        <v>544</v>
      </c>
      <c r="M106" s="172" t="s">
        <v>538</v>
      </c>
      <c r="N106" s="171" t="s">
        <v>243</v>
      </c>
      <c r="O106" s="171" t="s">
        <v>244</v>
      </c>
      <c r="P106" s="171" t="s">
        <v>245</v>
      </c>
      <c r="Q106" s="173" t="s">
        <v>331</v>
      </c>
      <c r="R106" s="171" t="s">
        <v>246</v>
      </c>
      <c r="S106" s="171" t="s">
        <v>545</v>
      </c>
      <c r="T106" s="171" t="s">
        <v>247</v>
      </c>
      <c r="U106" s="171" t="s">
        <v>546</v>
      </c>
      <c r="V106" s="171" t="s">
        <v>248</v>
      </c>
      <c r="W106" s="171" t="s">
        <v>249</v>
      </c>
      <c r="X106" s="171" t="s">
        <v>609</v>
      </c>
      <c r="Y106" s="168" t="s">
        <v>813</v>
      </c>
      <c r="Z106" s="3" t="s">
        <v>830</v>
      </c>
      <c r="AA106" s="3" t="s">
        <v>848</v>
      </c>
      <c r="AB106" s="3" t="s">
        <v>282</v>
      </c>
    </row>
    <row r="107" spans="1:29">
      <c r="A107" s="3">
        <v>2009</v>
      </c>
      <c r="B107" s="13">
        <f t="shared" ref="B107:B128" si="33">B29/B55</f>
        <v>1.3526519162558128</v>
      </c>
      <c r="C107" s="13">
        <f t="shared" ref="C107:W115" si="34">C29/C55</f>
        <v>1.2980554310690098</v>
      </c>
      <c r="D107" s="13">
        <f t="shared" si="34"/>
        <v>1.3590132250408185</v>
      </c>
      <c r="E107" s="13">
        <f t="shared" si="34"/>
        <v>1.3542592098542399</v>
      </c>
      <c r="F107" s="13">
        <f t="shared" ref="F107:F114" si="35">F29/F55</f>
        <v>1.0555073883244916</v>
      </c>
      <c r="G107" s="13">
        <f t="shared" si="34"/>
        <v>0.69882023748843092</v>
      </c>
      <c r="H107" s="13">
        <f t="shared" si="34"/>
        <v>1.1662743624735659</v>
      </c>
      <c r="I107" s="13">
        <f t="shared" si="34"/>
        <v>1.1956089703522446</v>
      </c>
      <c r="J107" s="13">
        <f t="shared" si="34"/>
        <v>1.3595253351406733</v>
      </c>
      <c r="K107" s="13">
        <f t="shared" si="34"/>
        <v>1.3616801690975244</v>
      </c>
      <c r="L107" s="13">
        <f t="shared" si="34"/>
        <v>1.3466502847639437</v>
      </c>
      <c r="M107" s="13">
        <f t="shared" si="34"/>
        <v>1.3596163885513175</v>
      </c>
      <c r="N107" s="13">
        <f t="shared" si="34"/>
        <v>1.2392137400255037</v>
      </c>
      <c r="O107" s="13">
        <f t="shared" si="34"/>
        <v>1.228105606237007</v>
      </c>
      <c r="P107" s="13">
        <f>P29/P55</f>
        <v>1.1628908837364871</v>
      </c>
      <c r="Q107" s="13">
        <f t="shared" si="34"/>
        <v>1.3597502727528628</v>
      </c>
      <c r="R107" s="13">
        <f t="shared" si="34"/>
        <v>1.2769387245034947</v>
      </c>
      <c r="S107" s="13">
        <f t="shared" si="34"/>
        <v>1.2591224234005629</v>
      </c>
      <c r="T107" s="13">
        <f t="shared" si="34"/>
        <v>1.2866336037809223</v>
      </c>
      <c r="U107" s="13">
        <f t="shared" si="34"/>
        <v>1.3371697934713729</v>
      </c>
      <c r="V107" s="13">
        <f t="shared" si="34"/>
        <v>1.3573101533733274</v>
      </c>
      <c r="W107" s="13">
        <f t="shared" si="34"/>
        <v>1.1692795786157324</v>
      </c>
      <c r="X107" s="20">
        <f>S107</f>
        <v>1.2591224234005629</v>
      </c>
      <c r="Y107" s="13">
        <v>1</v>
      </c>
      <c r="Z107" s="13">
        <f>MEDIAN(B107:X107)</f>
        <v>1.2866336037809223</v>
      </c>
      <c r="AA107" s="84">
        <f>B107*B146+C107*C146+D107*D146+E107*E146+F107*F146+G107*G146+H107*H146+I107*I146+J107*J146+K107*K146+L107*L146+M107*M146+N107*N146+O107*O146+P107*P146+Q107*Q146+R107*R146+S107*S146+T107*T146+U107*U146+V107*V146+W107*W146+X107*X146</f>
        <v>1.2078067073353769</v>
      </c>
      <c r="AB107" s="84">
        <f>AA107</f>
        <v>1.2078067073353769</v>
      </c>
    </row>
    <row r="108" spans="1:29">
      <c r="A108" s="3">
        <v>2010</v>
      </c>
      <c r="B108" s="13">
        <f t="shared" si="33"/>
        <v>1.3822189944850582</v>
      </c>
      <c r="C108" s="13">
        <f>C30/C56</f>
        <v>1.3114016058662419</v>
      </c>
      <c r="D108" s="13">
        <f>D30/D56</f>
        <v>1.3730232177356985</v>
      </c>
      <c r="E108" s="13">
        <f>E30/E56</f>
        <v>1.3312536143097573</v>
      </c>
      <c r="F108" s="13">
        <f t="shared" si="35"/>
        <v>1.0743835070174372</v>
      </c>
      <c r="G108" s="13">
        <f t="shared" ref="G108:O108" si="36">G30/G56</f>
        <v>0.69768619708523649</v>
      </c>
      <c r="H108" s="13">
        <f t="shared" si="36"/>
        <v>1.1782528473573879</v>
      </c>
      <c r="I108" s="13">
        <f t="shared" si="36"/>
        <v>1.2218738993008407</v>
      </c>
      <c r="J108" s="13">
        <f t="shared" si="36"/>
        <v>1.3723432309208583</v>
      </c>
      <c r="K108" s="13">
        <f t="shared" si="36"/>
        <v>1.1520150571731487</v>
      </c>
      <c r="L108" s="13">
        <f t="shared" si="36"/>
        <v>1.3612929855147293</v>
      </c>
      <c r="M108" s="13">
        <f t="shared" si="36"/>
        <v>1.3735955126661048</v>
      </c>
      <c r="N108" s="13">
        <f t="shared" si="36"/>
        <v>1.2496095086826431</v>
      </c>
      <c r="O108" s="13">
        <f t="shared" si="36"/>
        <v>1.2403605595166944</v>
      </c>
      <c r="P108" s="13">
        <f>P30/P56</f>
        <v>1.1775841094522819</v>
      </c>
      <c r="Q108" s="13">
        <f>Q30/Q56</f>
        <v>1.3724461167676587</v>
      </c>
      <c r="R108" s="13">
        <f t="shared" si="34"/>
        <v>1.2879080785737105</v>
      </c>
      <c r="S108" s="13">
        <f t="shared" si="34"/>
        <v>1.2732908843597863</v>
      </c>
      <c r="T108" s="13">
        <f t="shared" si="34"/>
        <v>1.3043478260869563</v>
      </c>
      <c r="U108" s="13">
        <f t="shared" si="34"/>
        <v>1.3568996640566018</v>
      </c>
      <c r="V108" s="13">
        <f t="shared" si="34"/>
        <v>1.3728462656876153</v>
      </c>
      <c r="W108" s="13">
        <f t="shared" si="34"/>
        <v>1.1894607851038537</v>
      </c>
      <c r="X108" s="20">
        <f t="shared" ref="X108:X115" si="37">S108</f>
        <v>1.2732908843597863</v>
      </c>
      <c r="Y108" s="13">
        <v>1</v>
      </c>
      <c r="Z108" s="13">
        <f t="shared" ref="Z108:Z115" si="38">MEDIAN(B108:X108)</f>
        <v>1.2879080785737105</v>
      </c>
      <c r="AA108" s="84">
        <f t="shared" ref="AA108:AA128" si="39">B108*B147+C108*C147+D108*D147+E108*E147+F108*F147+G108*G147+H108*H147+I108*I147+J108*J147+K108*K147+L108*L147+M108*M147+N108*N147+O108*O147+P108*P147+Q108*Q147+R108*R147+S108*S147+T108*T147+U108*U147+V108*V147+W108*W147+X108*X147</f>
        <v>1.2088287518481786</v>
      </c>
      <c r="AB108" s="84">
        <f>AA108</f>
        <v>1.2088287518481786</v>
      </c>
    </row>
    <row r="109" spans="1:29">
      <c r="A109" s="3">
        <v>2011</v>
      </c>
      <c r="B109" s="13">
        <f t="shared" si="33"/>
        <v>1.3924388226240862</v>
      </c>
      <c r="C109" s="13">
        <f t="shared" si="34"/>
        <v>1.3153964091869899</v>
      </c>
      <c r="D109" s="13">
        <f t="shared" si="34"/>
        <v>1.3771728960400047</v>
      </c>
      <c r="E109" s="13">
        <f t="shared" si="34"/>
        <v>1.3267553320284622</v>
      </c>
      <c r="F109" s="13">
        <f t="shared" si="35"/>
        <v>1.0867821225375529</v>
      </c>
      <c r="G109" s="13">
        <f t="shared" si="34"/>
        <v>0.70835023206638703</v>
      </c>
      <c r="H109" s="13">
        <f t="shared" si="34"/>
        <v>1.1826153893959339</v>
      </c>
      <c r="I109" s="13">
        <f t="shared" si="34"/>
        <v>1.2219077122082462</v>
      </c>
      <c r="J109" s="13">
        <f t="shared" si="34"/>
        <v>1.3751940641573301</v>
      </c>
      <c r="K109" s="13">
        <f t="shared" si="34"/>
        <v>1.1563176370773565</v>
      </c>
      <c r="L109" s="13">
        <f t="shared" si="34"/>
        <v>1.2223374320251872</v>
      </c>
      <c r="M109" s="13">
        <f t="shared" si="34"/>
        <v>1.3777797716229467</v>
      </c>
      <c r="N109" s="13">
        <f t="shared" si="34"/>
        <v>1.2461804769453648</v>
      </c>
      <c r="O109" s="13">
        <f t="shared" si="34"/>
        <v>0.93388513577979393</v>
      </c>
      <c r="P109" s="13">
        <f t="shared" si="34"/>
        <v>1.1787470018026136</v>
      </c>
      <c r="Q109" s="13">
        <f t="shared" si="34"/>
        <v>1.3750965455913311</v>
      </c>
      <c r="R109" s="13">
        <f t="shared" si="34"/>
        <v>1.2910267809017912</v>
      </c>
      <c r="S109" s="13">
        <f t="shared" si="34"/>
        <v>1.2751777083229736</v>
      </c>
      <c r="T109" s="13">
        <f t="shared" si="34"/>
        <v>1.3043478260869565</v>
      </c>
      <c r="U109" s="13">
        <f t="shared" si="34"/>
        <v>1.3656179937071198</v>
      </c>
      <c r="V109" s="13">
        <f t="shared" si="34"/>
        <v>1.2134986553192131</v>
      </c>
      <c r="W109" s="13">
        <f t="shared" si="34"/>
        <v>1.1940132388370335</v>
      </c>
      <c r="X109" s="20">
        <f t="shared" si="37"/>
        <v>1.2751777083229736</v>
      </c>
      <c r="Y109" s="13">
        <v>1</v>
      </c>
      <c r="Z109" s="13">
        <f t="shared" si="38"/>
        <v>1.2751777083229736</v>
      </c>
      <c r="AA109" s="84">
        <f t="shared" si="39"/>
        <v>1.194765512087218</v>
      </c>
      <c r="AB109" s="84">
        <f>AVERAGE(AA108:AA110)</f>
        <v>1.2094501364783021</v>
      </c>
    </row>
    <row r="110" spans="1:29">
      <c r="A110" s="3">
        <v>2012</v>
      </c>
      <c r="B110" s="13">
        <f t="shared" si="33"/>
        <v>1.4289470018941086</v>
      </c>
      <c r="C110" s="13">
        <f t="shared" si="34"/>
        <v>1.3450710200945637</v>
      </c>
      <c r="D110" s="13">
        <f t="shared" si="34"/>
        <v>1.4083006826842031</v>
      </c>
      <c r="E110" s="13">
        <f t="shared" si="34"/>
        <v>1.3257878911166807</v>
      </c>
      <c r="F110" s="13">
        <f t="shared" si="35"/>
        <v>1.1235347523664823</v>
      </c>
      <c r="G110" s="13">
        <f t="shared" si="34"/>
        <v>0.71081602625970686</v>
      </c>
      <c r="H110" s="13">
        <f t="shared" si="34"/>
        <v>1.1629089057475723</v>
      </c>
      <c r="I110" s="13">
        <f t="shared" si="34"/>
        <v>1.2681348564351722</v>
      </c>
      <c r="J110" s="13">
        <f t="shared" si="34"/>
        <v>1.4054424798561698</v>
      </c>
      <c r="K110" s="13">
        <f t="shared" si="34"/>
        <v>1.1809653001544056</v>
      </c>
      <c r="L110" s="13">
        <f t="shared" si="34"/>
        <v>1.2421636593993772</v>
      </c>
      <c r="M110" s="13">
        <f t="shared" si="34"/>
        <v>1.4083006826842031</v>
      </c>
      <c r="N110" s="13">
        <f t="shared" si="34"/>
        <v>1.2773730663256175</v>
      </c>
      <c r="O110" s="13">
        <f t="shared" si="34"/>
        <v>0.96836902678420889</v>
      </c>
      <c r="P110" s="13">
        <f t="shared" si="34"/>
        <v>1.2097339784792158</v>
      </c>
      <c r="Q110" s="13">
        <f t="shared" si="34"/>
        <v>1.4057986794518145</v>
      </c>
      <c r="R110" s="13">
        <f t="shared" si="34"/>
        <v>1.315330988319771</v>
      </c>
      <c r="S110" s="13">
        <f t="shared" si="34"/>
        <v>1.3162382329655595</v>
      </c>
      <c r="T110" s="13">
        <f t="shared" si="34"/>
        <v>1.1303200217848572</v>
      </c>
      <c r="U110" s="13">
        <f t="shared" si="34"/>
        <v>1.3987744008572451</v>
      </c>
      <c r="V110" s="13">
        <f t="shared" si="34"/>
        <v>1.2552371032100509</v>
      </c>
      <c r="W110" s="13">
        <f t="shared" si="34"/>
        <v>1.2335122468539315</v>
      </c>
      <c r="X110" s="20">
        <f t="shared" si="37"/>
        <v>1.3162382329655595</v>
      </c>
      <c r="Y110" s="13">
        <v>1</v>
      </c>
      <c r="Z110" s="13">
        <f t="shared" si="38"/>
        <v>1.2773730663256175</v>
      </c>
      <c r="AA110" s="84">
        <f t="shared" si="39"/>
        <v>1.2247561454995102</v>
      </c>
      <c r="AB110" s="84">
        <f>AVERAGE(AA109:AA111)</f>
        <v>1.2096431347370971</v>
      </c>
    </row>
    <row r="111" spans="1:29">
      <c r="A111" s="3">
        <v>2013</v>
      </c>
      <c r="B111" s="13">
        <f t="shared" si="33"/>
        <v>1.4353494349589788</v>
      </c>
      <c r="C111" s="13">
        <f t="shared" si="34"/>
        <v>1.3604872743374117</v>
      </c>
      <c r="D111" s="13">
        <f t="shared" si="34"/>
        <v>1.4233990540569008</v>
      </c>
      <c r="E111" s="13">
        <f t="shared" si="34"/>
        <v>1.3401890295988532</v>
      </c>
      <c r="F111" s="13">
        <f t="shared" si="35"/>
        <v>1.1422238244537124</v>
      </c>
      <c r="G111" s="13">
        <f t="shared" si="34"/>
        <v>0.72412587463767608</v>
      </c>
      <c r="H111" s="13">
        <f t="shared" si="34"/>
        <v>1.1764472661801539</v>
      </c>
      <c r="I111" s="13">
        <f t="shared" si="34"/>
        <v>1.2800190853183939</v>
      </c>
      <c r="J111" s="13">
        <f t="shared" si="34"/>
        <v>1.3017981546914488</v>
      </c>
      <c r="K111" s="13">
        <f t="shared" si="34"/>
        <v>1.4239766804731573</v>
      </c>
      <c r="L111" s="13">
        <f t="shared" si="34"/>
        <v>1.2564595184382217</v>
      </c>
      <c r="M111" s="13">
        <f t="shared" si="34"/>
        <v>1.4233990540569008</v>
      </c>
      <c r="N111" s="13">
        <f t="shared" si="34"/>
        <v>0.93667221128220035</v>
      </c>
      <c r="O111" s="13">
        <f t="shared" si="34"/>
        <v>0.97478174160342512</v>
      </c>
      <c r="P111" s="13">
        <f t="shared" si="34"/>
        <v>1.2238753979220827</v>
      </c>
      <c r="Q111" s="13">
        <f t="shared" si="34"/>
        <v>1.4210783841305445</v>
      </c>
      <c r="R111" s="13">
        <f t="shared" si="34"/>
        <v>0.92678173609367398</v>
      </c>
      <c r="S111" s="13">
        <f t="shared" si="34"/>
        <v>1.3304933026255783</v>
      </c>
      <c r="T111" s="13">
        <f t="shared" si="34"/>
        <v>1.1350194365181765</v>
      </c>
      <c r="U111" s="13">
        <f t="shared" si="34"/>
        <v>1.366081796049609</v>
      </c>
      <c r="V111" s="13">
        <f t="shared" si="34"/>
        <v>1.2737062466674134</v>
      </c>
      <c r="W111" s="13">
        <f t="shared" si="34"/>
        <v>1.248604699088272</v>
      </c>
      <c r="X111" s="20">
        <f t="shared" si="37"/>
        <v>1.3304933026255783</v>
      </c>
      <c r="Y111" s="13">
        <v>1</v>
      </c>
      <c r="Z111" s="13">
        <f t="shared" si="38"/>
        <v>1.2800190853183939</v>
      </c>
      <c r="AA111" s="84">
        <f t="shared" si="39"/>
        <v>1.2094077466245627</v>
      </c>
      <c r="AB111" s="20">
        <f>(AB110+AB112)/2</f>
        <v>1.219663612496793</v>
      </c>
    </row>
    <row r="112" spans="1:29">
      <c r="A112" s="3">
        <v>2014</v>
      </c>
      <c r="B112" s="13">
        <f t="shared" si="33"/>
        <v>1.5344357149306243</v>
      </c>
      <c r="C112" s="13">
        <f t="shared" si="34"/>
        <v>1.46118833860523</v>
      </c>
      <c r="D112" s="13">
        <f t="shared" si="34"/>
        <v>1.527128983096419</v>
      </c>
      <c r="E112" s="13">
        <f t="shared" si="34"/>
        <v>1.4468029448407334</v>
      </c>
      <c r="F112" s="13">
        <f t="shared" si="35"/>
        <v>1.250309583307269</v>
      </c>
      <c r="G112" s="13">
        <f t="shared" si="34"/>
        <v>0.77810114160882993</v>
      </c>
      <c r="H112" s="13">
        <f t="shared" si="34"/>
        <v>1.2616398582860264</v>
      </c>
      <c r="I112" s="13">
        <f t="shared" si="34"/>
        <v>1.3853486532240584</v>
      </c>
      <c r="J112" s="13">
        <f t="shared" si="34"/>
        <v>1.4071311039104573</v>
      </c>
      <c r="K112" s="13">
        <f t="shared" si="34"/>
        <v>1.4271669183630469</v>
      </c>
      <c r="L112" s="13">
        <f t="shared" si="34"/>
        <v>1.3419674155610477</v>
      </c>
      <c r="M112" s="13">
        <f t="shared" si="34"/>
        <v>1.385403942408554</v>
      </c>
      <c r="N112" s="13">
        <f t="shared" si="34"/>
        <v>1.1352611013483924</v>
      </c>
      <c r="O112" s="13">
        <f t="shared" si="34"/>
        <v>1.0585319390217911</v>
      </c>
      <c r="P112" s="13">
        <f t="shared" si="34"/>
        <v>1.3403834701358177</v>
      </c>
      <c r="Q112" s="13">
        <f t="shared" si="34"/>
        <v>1.5249995366318347</v>
      </c>
      <c r="R112" s="13">
        <f t="shared" si="34"/>
        <v>0.99373213845363095</v>
      </c>
      <c r="S112" s="13">
        <f t="shared" si="34"/>
        <v>1.4347928258082674</v>
      </c>
      <c r="T112" s="13">
        <f t="shared" si="34"/>
        <v>1.2497640035008819</v>
      </c>
      <c r="U112" s="13">
        <f t="shared" si="34"/>
        <v>1.4671574203967637</v>
      </c>
      <c r="V112" s="13">
        <f t="shared" si="34"/>
        <v>1.3759676475476617</v>
      </c>
      <c r="W112" s="13">
        <f t="shared" si="34"/>
        <v>1.3551379764277649</v>
      </c>
      <c r="X112" s="20">
        <f t="shared" si="37"/>
        <v>1.4347928258082674</v>
      </c>
      <c r="Y112" s="13">
        <v>1</v>
      </c>
      <c r="Z112" s="13">
        <f t="shared" si="38"/>
        <v>1.3853486532240584</v>
      </c>
      <c r="AA112" s="84">
        <f t="shared" si="39"/>
        <v>1.3135144406720662</v>
      </c>
      <c r="AB112" s="84">
        <f>AVERAGE(AA111:AA113)</f>
        <v>1.2296840902564887</v>
      </c>
    </row>
    <row r="113" spans="1:28">
      <c r="A113" s="3">
        <v>2015</v>
      </c>
      <c r="B113" s="13">
        <f t="shared" si="33"/>
        <v>1.3675361036296012</v>
      </c>
      <c r="C113" s="13">
        <f t="shared" si="34"/>
        <v>1.3043218911226606</v>
      </c>
      <c r="D113" s="13">
        <f t="shared" si="34"/>
        <v>1.3618603307897208</v>
      </c>
      <c r="E113" s="13">
        <f t="shared" si="34"/>
        <v>1.2951597582152219</v>
      </c>
      <c r="F113" s="13">
        <f t="shared" si="35"/>
        <v>1.0862517527674367</v>
      </c>
      <c r="G113" s="13">
        <f t="shared" si="34"/>
        <v>0.66520028992021507</v>
      </c>
      <c r="H113" s="13">
        <f t="shared" si="34"/>
        <v>1.1261466457206428</v>
      </c>
      <c r="I113" s="13">
        <f t="shared" si="34"/>
        <v>1.2422472702816507</v>
      </c>
      <c r="J113" s="13">
        <f t="shared" si="34"/>
        <v>1.270985082873237</v>
      </c>
      <c r="K113" s="13">
        <f t="shared" si="34"/>
        <v>1.2724863959143449</v>
      </c>
      <c r="L113" s="13">
        <f t="shared" si="34"/>
        <v>1.0301710867705227</v>
      </c>
      <c r="M113" s="13">
        <f t="shared" si="34"/>
        <v>1.3613889168167475</v>
      </c>
      <c r="N113" s="13">
        <f t="shared" si="34"/>
        <v>1.0175407741404585</v>
      </c>
      <c r="O113" s="13">
        <f t="shared" si="34"/>
        <v>0.929851544619263</v>
      </c>
      <c r="P113" s="13">
        <f t="shared" si="34"/>
        <v>1.2276214833759591</v>
      </c>
      <c r="Q113" s="13">
        <f t="shared" si="34"/>
        <v>1.3611069001128164</v>
      </c>
      <c r="R113" s="13">
        <f t="shared" si="34"/>
        <v>0.88578377007501852</v>
      </c>
      <c r="S113" s="13">
        <f t="shared" si="34"/>
        <v>1.2842859211470323</v>
      </c>
      <c r="T113" s="13">
        <f t="shared" si="34"/>
        <v>1.1348202674991703</v>
      </c>
      <c r="U113" s="13">
        <f t="shared" si="34"/>
        <v>1.3159330932516955</v>
      </c>
      <c r="V113" s="13">
        <f t="shared" si="34"/>
        <v>1.2280382588450902</v>
      </c>
      <c r="W113" s="13">
        <f t="shared" si="34"/>
        <v>1.2014476796975211</v>
      </c>
      <c r="X113" s="20">
        <f t="shared" si="37"/>
        <v>1.2842859211470323</v>
      </c>
      <c r="Y113" s="13">
        <v>1</v>
      </c>
      <c r="Z113" s="13">
        <f t="shared" si="38"/>
        <v>1.2422472702816507</v>
      </c>
      <c r="AA113" s="84">
        <f t="shared" si="39"/>
        <v>1.166130083472837</v>
      </c>
      <c r="AB113" s="84">
        <f>AVERAGE(AA112:AA114)</f>
        <v>1.2165140276849118</v>
      </c>
    </row>
    <row r="114" spans="1:28">
      <c r="A114" s="3">
        <v>2016</v>
      </c>
      <c r="B114" s="13">
        <f t="shared" si="33"/>
        <v>1.3672758112094396</v>
      </c>
      <c r="C114" s="13">
        <f t="shared" si="34"/>
        <v>1.3054407650045763</v>
      </c>
      <c r="D114" s="13">
        <f t="shared" si="34"/>
        <v>1.3618082243236589</v>
      </c>
      <c r="E114" s="13">
        <f t="shared" si="34"/>
        <v>1.2864896471965082</v>
      </c>
      <c r="F114" s="13">
        <f t="shared" si="35"/>
        <v>1.0900090548487831</v>
      </c>
      <c r="G114" s="13">
        <f t="shared" si="34"/>
        <v>0.88650923670330362</v>
      </c>
      <c r="H114" s="13">
        <f t="shared" si="34"/>
        <v>1.1245161722736696</v>
      </c>
      <c r="I114" s="13">
        <f t="shared" si="34"/>
        <v>1.3216739497459704</v>
      </c>
      <c r="J114" s="13">
        <f t="shared" si="34"/>
        <v>1.271050859213225</v>
      </c>
      <c r="K114" s="13">
        <f t="shared" si="34"/>
        <v>1.2807237822058057</v>
      </c>
      <c r="L114" s="13">
        <f t="shared" si="34"/>
        <v>1.0302198729280698</v>
      </c>
      <c r="M114" s="13">
        <f t="shared" si="34"/>
        <v>1.3613372374528663</v>
      </c>
      <c r="N114" s="13">
        <f t="shared" si="34"/>
        <v>1.0129610164909109</v>
      </c>
      <c r="O114" s="13">
        <f t="shared" si="34"/>
        <v>0.88810667699999934</v>
      </c>
      <c r="P114" s="13">
        <f t="shared" si="34"/>
        <v>1.3043478260869565</v>
      </c>
      <c r="Q114" s="13">
        <f t="shared" si="34"/>
        <v>1.3614842356970773</v>
      </c>
      <c r="R114" s="13">
        <f t="shared" si="34"/>
        <v>0.88574460931481047</v>
      </c>
      <c r="S114" s="13">
        <f t="shared" si="34"/>
        <v>1.2818810506646277</v>
      </c>
      <c r="T114" s="13">
        <f t="shared" si="34"/>
        <v>1.2216496339942027</v>
      </c>
      <c r="U114" s="13">
        <f t="shared" si="34"/>
        <v>1.3144999538101496</v>
      </c>
      <c r="V114" s="13">
        <f t="shared" si="34"/>
        <v>1.238143650908166</v>
      </c>
      <c r="W114" s="13">
        <f t="shared" si="34"/>
        <v>1.2031877020701636</v>
      </c>
      <c r="X114" s="20">
        <f t="shared" si="37"/>
        <v>1.2818810506646277</v>
      </c>
      <c r="Y114" s="13">
        <v>1</v>
      </c>
      <c r="Z114" s="13">
        <f t="shared" si="38"/>
        <v>1.2807237822058057</v>
      </c>
      <c r="AA114" s="84">
        <f t="shared" si="39"/>
        <v>1.1698975589098324</v>
      </c>
      <c r="AB114" s="84">
        <f>AVERAGE(AA113:AA115)</f>
        <v>1.1689452896764281</v>
      </c>
    </row>
    <row r="115" spans="1:28">
      <c r="A115" s="3">
        <v>2017</v>
      </c>
      <c r="B115" s="13">
        <f t="shared" si="33"/>
        <v>1.3694547903039631</v>
      </c>
      <c r="C115" s="13">
        <f t="shared" si="34"/>
        <v>1.2490597459472406</v>
      </c>
      <c r="D115" s="13">
        <f t="shared" si="34"/>
        <v>1.3634159704877353</v>
      </c>
      <c r="E115" s="13">
        <f t="shared" si="34"/>
        <v>1.2875152895277584</v>
      </c>
      <c r="F115" s="13">
        <f t="shared" ref="F115:U128" si="40">F37/F63</f>
        <v>1.097121021123918</v>
      </c>
      <c r="G115" s="13">
        <f t="shared" si="34"/>
        <v>1.0247815712065862</v>
      </c>
      <c r="H115" s="13">
        <f t="shared" si="34"/>
        <v>1.1243853540831028</v>
      </c>
      <c r="I115" s="13">
        <f t="shared" si="34"/>
        <v>1.3223925521907716</v>
      </c>
      <c r="J115" s="13">
        <f t="shared" si="34"/>
        <v>1.2720086390709164</v>
      </c>
      <c r="K115" s="13">
        <f t="shared" si="34"/>
        <v>1.2817018632767603</v>
      </c>
      <c r="L115" s="13">
        <f t="shared" si="34"/>
        <v>1.0290656092870138</v>
      </c>
      <c r="M115" s="13">
        <f t="shared" si="34"/>
        <v>1.3629318053696959</v>
      </c>
      <c r="N115" s="13">
        <f t="shared" si="34"/>
        <v>1.0110761873811431</v>
      </c>
      <c r="O115" s="13">
        <f t="shared" si="34"/>
        <v>0.87796206288479028</v>
      </c>
      <c r="P115" s="13">
        <f t="shared" si="34"/>
        <v>1.3043478260869563</v>
      </c>
      <c r="Q115" s="13">
        <f t="shared" si="34"/>
        <v>1.3624919435325828</v>
      </c>
      <c r="R115" s="13">
        <f t="shared" si="34"/>
        <v>0.88695291543812271</v>
      </c>
      <c r="S115" s="13">
        <f t="shared" si="34"/>
        <v>1.2827889859697461</v>
      </c>
      <c r="T115" s="13">
        <f t="shared" si="34"/>
        <v>1.2228892750413176</v>
      </c>
      <c r="U115" s="13">
        <f t="shared" si="34"/>
        <v>1.3147462054921875</v>
      </c>
      <c r="V115" s="13">
        <f t="shared" si="34"/>
        <v>1.2432609520411575</v>
      </c>
      <c r="W115" s="13">
        <f t="shared" si="34"/>
        <v>1.2060271196255368</v>
      </c>
      <c r="X115" s="20">
        <f t="shared" si="37"/>
        <v>1.2827889859697461</v>
      </c>
      <c r="Y115" s="13">
        <v>1</v>
      </c>
      <c r="Z115" s="13">
        <f t="shared" si="38"/>
        <v>1.2720086390709164</v>
      </c>
      <c r="AA115" s="84">
        <f t="shared" si="39"/>
        <v>1.1708082266466149</v>
      </c>
      <c r="AB115" s="84">
        <f>AA115</f>
        <v>1.1708082266466149</v>
      </c>
    </row>
    <row r="116" spans="1:28">
      <c r="A116" s="3">
        <v>2018</v>
      </c>
      <c r="B116" s="13">
        <f t="shared" si="33"/>
        <v>1.392793520251193</v>
      </c>
      <c r="C116" s="13">
        <f t="shared" ref="C116:E128" si="41">C38/C64</f>
        <v>1.2760485247516831</v>
      </c>
      <c r="D116" s="13">
        <f t="shared" si="41"/>
        <v>1.3913878685851571</v>
      </c>
      <c r="E116" s="13">
        <f t="shared" si="41"/>
        <v>1.3267678183766993</v>
      </c>
      <c r="F116" s="13">
        <f t="shared" si="40"/>
        <v>1.1234080090616048</v>
      </c>
      <c r="G116" s="13">
        <f t="shared" si="40"/>
        <v>1.1866737017653741</v>
      </c>
      <c r="H116" s="13">
        <f t="shared" si="40"/>
        <v>1.078603856116503</v>
      </c>
      <c r="I116" s="13">
        <f t="shared" si="40"/>
        <v>1.3492290533495885</v>
      </c>
      <c r="J116" s="13">
        <f t="shared" si="40"/>
        <v>1.2981631387735659</v>
      </c>
      <c r="K116" s="13">
        <f t="shared" si="40"/>
        <v>1.3114078614661184</v>
      </c>
      <c r="L116" s="13">
        <f t="shared" si="40"/>
        <v>0.97428017505694631</v>
      </c>
      <c r="M116" s="13">
        <f t="shared" si="40"/>
        <v>1.3908854380340532</v>
      </c>
      <c r="N116" s="13">
        <f t="shared" si="40"/>
        <v>1.0107359938001768</v>
      </c>
      <c r="O116" s="13">
        <f t="shared" si="40"/>
        <v>0.90417759311643042</v>
      </c>
      <c r="P116" s="13">
        <f t="shared" si="40"/>
        <v>1.330091341350476</v>
      </c>
      <c r="Q116" s="13">
        <f t="shared" si="40"/>
        <v>1.3903911770854065</v>
      </c>
      <c r="R116" s="13">
        <f t="shared" si="40"/>
        <v>0.90525701425991267</v>
      </c>
      <c r="S116" s="13">
        <f t="shared" si="40"/>
        <v>1.2590410346068555</v>
      </c>
      <c r="T116" s="13">
        <f t="shared" si="40"/>
        <v>1.249689109083</v>
      </c>
      <c r="U116" s="13">
        <f t="shared" si="40"/>
        <v>1.3397571556203698</v>
      </c>
      <c r="V116" s="13">
        <f t="shared" ref="V116:W128" si="42">V38/V64</f>
        <v>1.2740407297607947</v>
      </c>
      <c r="W116" s="13">
        <f t="shared" si="42"/>
        <v>1.2325706446050295</v>
      </c>
      <c r="X116" s="20">
        <f t="shared" ref="X116:X128" si="43">S116</f>
        <v>1.2590410346068555</v>
      </c>
      <c r="Y116" s="13">
        <v>1</v>
      </c>
      <c r="Z116" s="13">
        <f t="shared" ref="Z116:Z128" si="44">MEDIAN(B116:X116)</f>
        <v>1.2740407297607947</v>
      </c>
      <c r="AA116" s="84">
        <f t="shared" si="39"/>
        <v>1.1922758916232998</v>
      </c>
      <c r="AB116" s="84">
        <f t="shared" ref="AB116:AB128" si="45">AA116</f>
        <v>1.1922758916232998</v>
      </c>
    </row>
    <row r="117" spans="1:28">
      <c r="A117" s="3">
        <v>2019</v>
      </c>
      <c r="B117" s="13">
        <f t="shared" si="33"/>
        <v>1.4180497464430613</v>
      </c>
      <c r="C117" s="13">
        <f t="shared" si="41"/>
        <v>1.3026542436522659</v>
      </c>
      <c r="D117" s="13">
        <f t="shared" si="41"/>
        <v>1.4166440947770251</v>
      </c>
      <c r="E117" s="13">
        <f t="shared" si="41"/>
        <v>1.3830437974573833</v>
      </c>
      <c r="F117" s="13">
        <f t="shared" si="40"/>
        <v>1.1486642352534728</v>
      </c>
      <c r="G117" s="13">
        <f t="shared" si="40"/>
        <v>1.2030781202565817</v>
      </c>
      <c r="H117" s="13">
        <f t="shared" si="40"/>
        <v>1.099844652902328</v>
      </c>
      <c r="I117" s="13">
        <f t="shared" si="40"/>
        <v>1.3749049270466323</v>
      </c>
      <c r="J117" s="13">
        <f t="shared" si="40"/>
        <v>1.3250051404786369</v>
      </c>
      <c r="K117" s="13">
        <f t="shared" si="40"/>
        <v>1.3385368501655919</v>
      </c>
      <c r="L117" s="13">
        <f t="shared" si="40"/>
        <v>0.99433832293298596</v>
      </c>
      <c r="M117" s="13">
        <f t="shared" si="40"/>
        <v>1.4161416642259212</v>
      </c>
      <c r="N117" s="13">
        <f t="shared" si="40"/>
        <v>1.0305207609926017</v>
      </c>
      <c r="O117" s="13">
        <f t="shared" si="40"/>
        <v>1.0036459513661646</v>
      </c>
      <c r="P117" s="13">
        <f t="shared" si="40"/>
        <v>1.3553475675423441</v>
      </c>
      <c r="Q117" s="13">
        <f t="shared" si="40"/>
        <v>1.4156474032772748</v>
      </c>
      <c r="R117" s="13">
        <f t="shared" si="40"/>
        <v>0.92157159515403864</v>
      </c>
      <c r="S117" s="13">
        <f t="shared" si="40"/>
        <v>1.2848770586071745</v>
      </c>
      <c r="T117" s="13">
        <f t="shared" si="40"/>
        <v>1.2763592265781274</v>
      </c>
      <c r="U117" s="13">
        <f t="shared" si="40"/>
        <v>1.3641357523306674</v>
      </c>
      <c r="V117" s="13">
        <f t="shared" si="42"/>
        <v>1.3020526111832813</v>
      </c>
      <c r="W117" s="13">
        <f t="shared" si="42"/>
        <v>1.292787098437066</v>
      </c>
      <c r="X117" s="20">
        <f t="shared" si="43"/>
        <v>1.2848770586071745</v>
      </c>
      <c r="Y117" s="13">
        <v>1</v>
      </c>
      <c r="Z117" s="13">
        <f t="shared" si="44"/>
        <v>1.3020526111832813</v>
      </c>
      <c r="AA117" s="84">
        <f t="shared" si="39"/>
        <v>1.225975650914541</v>
      </c>
      <c r="AB117" s="84">
        <f t="shared" si="45"/>
        <v>1.225975650914541</v>
      </c>
    </row>
    <row r="118" spans="1:28">
      <c r="A118" s="3">
        <v>2020</v>
      </c>
      <c r="B118" s="13">
        <f t="shared" si="33"/>
        <v>1.4099153581800679</v>
      </c>
      <c r="C118" s="13">
        <f t="shared" si="41"/>
        <v>1.297160338288476</v>
      </c>
      <c r="D118" s="13">
        <f t="shared" si="41"/>
        <v>1.4085097065140322</v>
      </c>
      <c r="E118" s="13">
        <f t="shared" si="41"/>
        <v>1.375542046128452</v>
      </c>
      <c r="F118" s="13">
        <f t="shared" si="40"/>
        <v>1.1405298469904799</v>
      </c>
      <c r="G118" s="13">
        <f t="shared" si="40"/>
        <v>1.1988198001875381</v>
      </c>
      <c r="H118" s="13">
        <f t="shared" si="40"/>
        <v>1.0936616160178507</v>
      </c>
      <c r="I118" s="13">
        <f t="shared" si="40"/>
        <v>1.36718590798603</v>
      </c>
      <c r="J118" s="13">
        <f t="shared" si="40"/>
        <v>1.3184294071332796</v>
      </c>
      <c r="K118" s="13">
        <f t="shared" si="40"/>
        <v>1.3322297255454958</v>
      </c>
      <c r="L118" s="13">
        <f t="shared" si="40"/>
        <v>0.98837926930807618</v>
      </c>
      <c r="M118" s="13">
        <f t="shared" si="40"/>
        <v>1.4080072759629283</v>
      </c>
      <c r="N118" s="13">
        <f t="shared" si="40"/>
        <v>1.0246424688929416</v>
      </c>
      <c r="O118" s="13">
        <f t="shared" si="40"/>
        <v>0.99604019633888674</v>
      </c>
      <c r="P118" s="13">
        <f t="shared" si="40"/>
        <v>1.3472131792793511</v>
      </c>
      <c r="Q118" s="13">
        <f t="shared" si="40"/>
        <v>1.4075130150142816</v>
      </c>
      <c r="R118" s="13">
        <f t="shared" si="40"/>
        <v>0.91631708348104923</v>
      </c>
      <c r="S118" s="13">
        <f t="shared" si="40"/>
        <v>1.278554259067008</v>
      </c>
      <c r="T118" s="13">
        <f t="shared" si="40"/>
        <v>1.2696138660224334</v>
      </c>
      <c r="U118" s="13">
        <f t="shared" si="40"/>
        <v>1.3562840262080871</v>
      </c>
      <c r="V118" s="13">
        <f t="shared" si="42"/>
        <v>1.2966050942449936</v>
      </c>
      <c r="W118" s="13">
        <f t="shared" si="42"/>
        <v>1.3195926740838388</v>
      </c>
      <c r="X118" s="20">
        <f t="shared" si="43"/>
        <v>1.278554259067008</v>
      </c>
      <c r="Y118" s="13">
        <v>1</v>
      </c>
      <c r="Z118" s="13">
        <f t="shared" si="44"/>
        <v>1.297160338288476</v>
      </c>
      <c r="AA118" s="84">
        <f t="shared" si="39"/>
        <v>1.2251608664735061</v>
      </c>
      <c r="AB118" s="84">
        <f t="shared" si="45"/>
        <v>1.2251608664735061</v>
      </c>
    </row>
    <row r="119" spans="1:28">
      <c r="A119" s="3">
        <v>2021</v>
      </c>
      <c r="B119" s="13">
        <f t="shared" si="33"/>
        <v>1.376037345991926</v>
      </c>
      <c r="C119" s="13">
        <f t="shared" si="41"/>
        <v>1.2668441640845371</v>
      </c>
      <c r="D119" s="13">
        <f t="shared" si="41"/>
        <v>1.3746316943258903</v>
      </c>
      <c r="E119" s="13">
        <f t="shared" si="41"/>
        <v>1.3422836587532991</v>
      </c>
      <c r="F119" s="13">
        <f t="shared" si="40"/>
        <v>1.1066518348023378</v>
      </c>
      <c r="G119" s="13">
        <f t="shared" si="40"/>
        <v>1.1810847948575875</v>
      </c>
      <c r="H119" s="13">
        <f t="shared" si="40"/>
        <v>1.0663344210555019</v>
      </c>
      <c r="I119" s="13">
        <f t="shared" si="40"/>
        <v>1.3337190303147552</v>
      </c>
      <c r="J119" s="13">
        <f t="shared" si="40"/>
        <v>1.2860833930949664</v>
      </c>
      <c r="K119" s="13">
        <f t="shared" si="40"/>
        <v>1.3001345835328806</v>
      </c>
      <c r="L119" s="13">
        <f t="shared" si="40"/>
        <v>0.96236108338003612</v>
      </c>
      <c r="M119" s="13">
        <f t="shared" si="40"/>
        <v>1.3741292637747862</v>
      </c>
      <c r="N119" s="13">
        <f t="shared" si="40"/>
        <v>0.99897797953823098</v>
      </c>
      <c r="O119" s="13">
        <f t="shared" si="40"/>
        <v>0.96436383012873306</v>
      </c>
      <c r="P119" s="13">
        <f t="shared" si="40"/>
        <v>1.313335167091209</v>
      </c>
      <c r="Q119" s="13">
        <f t="shared" si="40"/>
        <v>1.3736350028261395</v>
      </c>
      <c r="R119" s="13">
        <f t="shared" si="40"/>
        <v>1.0983671822991452</v>
      </c>
      <c r="S119" s="13">
        <f t="shared" si="40"/>
        <v>1.247431340783657</v>
      </c>
      <c r="T119" s="13">
        <f t="shared" si="40"/>
        <v>1.2371004551775457</v>
      </c>
      <c r="U119" s="13">
        <f t="shared" si="40"/>
        <v>1.323583242242699</v>
      </c>
      <c r="V119" s="13">
        <f t="shared" si="42"/>
        <v>1.265346886390613</v>
      </c>
      <c r="W119" s="13">
        <f t="shared" si="42"/>
        <v>1.3206348890465243</v>
      </c>
      <c r="X119" s="20">
        <f t="shared" si="43"/>
        <v>1.247431340783657</v>
      </c>
      <c r="Y119" s="13">
        <v>1</v>
      </c>
      <c r="Z119" s="13">
        <f t="shared" si="44"/>
        <v>1.2668441640845371</v>
      </c>
      <c r="AA119" s="84">
        <f t="shared" si="39"/>
        <v>1.1996220649537188</v>
      </c>
      <c r="AB119" s="20">
        <f>(AB118+AB120)/2</f>
        <v>1.2219352516042092</v>
      </c>
    </row>
    <row r="120" spans="1:28">
      <c r="A120" s="3">
        <v>2022</v>
      </c>
      <c r="B120" s="13">
        <f t="shared" si="33"/>
        <v>1.3949828155397503</v>
      </c>
      <c r="C120" s="13">
        <f t="shared" si="41"/>
        <v>1.2873250518681127</v>
      </c>
      <c r="D120" s="13">
        <f t="shared" si="41"/>
        <v>1.3935771638737147</v>
      </c>
      <c r="E120" s="13">
        <f t="shared" si="41"/>
        <v>1.3618360086272643</v>
      </c>
      <c r="F120" s="13">
        <f t="shared" si="40"/>
        <v>1.1255973043501624</v>
      </c>
      <c r="G120" s="13">
        <f t="shared" si="40"/>
        <v>1.1910026732013081</v>
      </c>
      <c r="H120" s="13">
        <f t="shared" si="40"/>
        <v>1.0823817783435545</v>
      </c>
      <c r="I120" s="13">
        <f t="shared" si="40"/>
        <v>1.3530714428665067</v>
      </c>
      <c r="J120" s="13">
        <f t="shared" si="40"/>
        <v>1.3065346599199965</v>
      </c>
      <c r="K120" s="13">
        <f t="shared" si="40"/>
        <v>1.3208196083305115</v>
      </c>
      <c r="L120" s="13">
        <f t="shared" si="40"/>
        <v>0.97749842741358761</v>
      </c>
      <c r="M120" s="13">
        <f t="shared" si="40"/>
        <v>1.3930747333226108</v>
      </c>
      <c r="N120" s="13">
        <f t="shared" si="40"/>
        <v>1.0139075767410728</v>
      </c>
      <c r="O120" s="13">
        <f t="shared" si="40"/>
        <v>0.98207808172317168</v>
      </c>
      <c r="P120" s="13">
        <f t="shared" si="40"/>
        <v>1.3322806366390336</v>
      </c>
      <c r="Q120" s="13">
        <f t="shared" si="40"/>
        <v>1.3925804723739639</v>
      </c>
      <c r="R120" s="13">
        <f t="shared" si="40"/>
        <v>1.1135470926821847</v>
      </c>
      <c r="S120" s="13">
        <f t="shared" si="40"/>
        <v>1.2671082217614247</v>
      </c>
      <c r="T120" s="13">
        <f t="shared" si="40"/>
        <v>1.2573865292476758</v>
      </c>
      <c r="U120" s="13">
        <f t="shared" si="40"/>
        <v>1.3418703750108691</v>
      </c>
      <c r="V120" s="13">
        <f t="shared" si="42"/>
        <v>1.286846767340311</v>
      </c>
      <c r="W120" s="13">
        <f t="shared" si="42"/>
        <v>1.3403003395572672</v>
      </c>
      <c r="X120" s="20">
        <f t="shared" si="43"/>
        <v>1.2671082217614247</v>
      </c>
      <c r="Y120" s="13">
        <v>1</v>
      </c>
      <c r="Z120" s="13">
        <f t="shared" si="44"/>
        <v>1.2873250518681127</v>
      </c>
      <c r="AA120" s="84">
        <f t="shared" si="39"/>
        <v>1.2187096367349122</v>
      </c>
      <c r="AB120" s="84">
        <f t="shared" si="45"/>
        <v>1.2187096367349122</v>
      </c>
    </row>
    <row r="121" spans="1:28">
      <c r="A121" s="3">
        <v>2023</v>
      </c>
      <c r="B121" s="13">
        <f t="shared" si="33"/>
        <v>1.3827694075011954</v>
      </c>
      <c r="C121" s="13">
        <f t="shared" si="41"/>
        <v>1.2777663280730094</v>
      </c>
      <c r="D121" s="13">
        <f t="shared" si="41"/>
        <v>1.3813637558351595</v>
      </c>
      <c r="E121" s="13">
        <f t="shared" si="41"/>
        <v>1.3502169985575052</v>
      </c>
      <c r="F121" s="13">
        <f t="shared" si="40"/>
        <v>1.1133838963116072</v>
      </c>
      <c r="G121" s="13">
        <f t="shared" si="40"/>
        <v>1.1846090024198672</v>
      </c>
      <c r="H121" s="13">
        <f t="shared" si="40"/>
        <v>1.0728380691447248</v>
      </c>
      <c r="I121" s="13">
        <f t="shared" si="40"/>
        <v>1.3412608290513772</v>
      </c>
      <c r="J121" s="13">
        <f t="shared" si="40"/>
        <v>1.2958012963842973</v>
      </c>
      <c r="K121" s="13">
        <f t="shared" si="40"/>
        <v>1.3103034929544661</v>
      </c>
      <c r="L121" s="13">
        <f t="shared" si="40"/>
        <v>0.96835741513908535</v>
      </c>
      <c r="M121" s="13">
        <f t="shared" si="40"/>
        <v>1.3808613252840556</v>
      </c>
      <c r="N121" s="13">
        <f t="shared" si="40"/>
        <v>1.0048892702608041</v>
      </c>
      <c r="O121" s="13">
        <f t="shared" si="40"/>
        <v>0.97065839205676585</v>
      </c>
      <c r="P121" s="13">
        <f t="shared" si="40"/>
        <v>1.3200672286004784</v>
      </c>
      <c r="Q121" s="13">
        <f t="shared" si="40"/>
        <v>1.3803670643354091</v>
      </c>
      <c r="R121" s="13">
        <f t="shared" si="40"/>
        <v>1.1037611943158889</v>
      </c>
      <c r="S121" s="13">
        <f t="shared" si="40"/>
        <v>1.2567753837677946</v>
      </c>
      <c r="T121" s="13">
        <f t="shared" si="40"/>
        <v>1.24649015089996</v>
      </c>
      <c r="U121" s="13">
        <f t="shared" si="40"/>
        <v>1.3300813711126505</v>
      </c>
      <c r="V121" s="13">
        <f t="shared" si="42"/>
        <v>1.2771240100446122</v>
      </c>
      <c r="W121" s="13">
        <f t="shared" si="42"/>
        <v>1.3287881889093018</v>
      </c>
      <c r="X121" s="20">
        <f t="shared" si="43"/>
        <v>1.2567753837677946</v>
      </c>
      <c r="Y121" s="13">
        <v>1</v>
      </c>
      <c r="Z121" s="13">
        <f t="shared" si="44"/>
        <v>1.2777663280730094</v>
      </c>
      <c r="AA121" s="84">
        <f t="shared" si="39"/>
        <v>1.2073035522466715</v>
      </c>
      <c r="AB121" s="84">
        <f t="shared" si="45"/>
        <v>1.2073035522466715</v>
      </c>
    </row>
    <row r="122" spans="1:28">
      <c r="A122" s="3">
        <v>2024</v>
      </c>
      <c r="B122" s="13">
        <f t="shared" si="33"/>
        <v>1.3355561113991878</v>
      </c>
      <c r="C122" s="13">
        <f t="shared" si="41"/>
        <v>1.2343867969190097</v>
      </c>
      <c r="D122" s="13">
        <f t="shared" si="41"/>
        <v>1.3341504597331519</v>
      </c>
      <c r="E122" s="13">
        <f t="shared" si="41"/>
        <v>1.3035858748049547</v>
      </c>
      <c r="F122" s="13">
        <f t="shared" si="40"/>
        <v>1.0661706002095996</v>
      </c>
      <c r="G122" s="13">
        <f t="shared" si="40"/>
        <v>1.1598930287268561</v>
      </c>
      <c r="H122" s="13">
        <f t="shared" si="40"/>
        <v>1.0345491133051354</v>
      </c>
      <c r="I122" s="13">
        <f t="shared" si="40"/>
        <v>1.2944462206890761</v>
      </c>
      <c r="J122" s="13">
        <f t="shared" si="40"/>
        <v>1.2500427324455055</v>
      </c>
      <c r="K122" s="13">
        <f t="shared" si="40"/>
        <v>1.2647462536994778</v>
      </c>
      <c r="L122" s="13">
        <f t="shared" si="40"/>
        <v>0.93194537168247138</v>
      </c>
      <c r="M122" s="13">
        <f t="shared" si="40"/>
        <v>1.3336480291820481</v>
      </c>
      <c r="N122" s="13">
        <f t="shared" si="40"/>
        <v>0.96897118050538611</v>
      </c>
      <c r="O122" s="13">
        <f t="shared" si="40"/>
        <v>0.92651336816899832</v>
      </c>
      <c r="P122" s="13">
        <f t="shared" si="40"/>
        <v>1.2728539324984709</v>
      </c>
      <c r="Q122" s="13">
        <f t="shared" si="40"/>
        <v>1.3331537682334016</v>
      </c>
      <c r="R122" s="13">
        <f t="shared" si="40"/>
        <v>1.0659319073770137</v>
      </c>
      <c r="S122" s="13">
        <f t="shared" si="40"/>
        <v>1.2127374389267409</v>
      </c>
      <c r="T122" s="13">
        <f t="shared" si="40"/>
        <v>1.2005707242260291</v>
      </c>
      <c r="U122" s="13">
        <f t="shared" si="40"/>
        <v>1.2845086914775077</v>
      </c>
      <c r="V122" s="13">
        <f t="shared" si="42"/>
        <v>1.2323391955561542</v>
      </c>
      <c r="W122" s="13">
        <f t="shared" si="42"/>
        <v>1.2822579135442087</v>
      </c>
      <c r="X122" s="20">
        <f t="shared" si="43"/>
        <v>1.2127374389267409</v>
      </c>
      <c r="Y122" s="13">
        <v>1</v>
      </c>
      <c r="Z122" s="13">
        <f t="shared" si="44"/>
        <v>1.2343867969190097</v>
      </c>
      <c r="AA122" s="84">
        <f t="shared" si="39"/>
        <v>1.1616461079971883</v>
      </c>
      <c r="AB122" s="84">
        <f t="shared" si="45"/>
        <v>1.1616461079971883</v>
      </c>
    </row>
    <row r="123" spans="1:28">
      <c r="A123" s="3">
        <v>2025</v>
      </c>
      <c r="B123" s="13">
        <f t="shared" si="33"/>
        <v>1.2950228671153392</v>
      </c>
      <c r="C123" s="13">
        <f t="shared" si="41"/>
        <v>1.1973532310943849</v>
      </c>
      <c r="D123" s="13">
        <f t="shared" si="41"/>
        <v>1.2936172154493035</v>
      </c>
      <c r="E123" s="13">
        <f t="shared" si="41"/>
        <v>1.2636228287086251</v>
      </c>
      <c r="F123" s="13">
        <f t="shared" si="40"/>
        <v>1.0256373559257512</v>
      </c>
      <c r="G123" s="13">
        <f t="shared" si="40"/>
        <v>1.1386740357286231</v>
      </c>
      <c r="H123" s="13">
        <f t="shared" si="40"/>
        <v>1.0017421731476399</v>
      </c>
      <c r="I123" s="13">
        <f t="shared" si="40"/>
        <v>1.2543075995267818</v>
      </c>
      <c r="J123" s="13">
        <f t="shared" si="40"/>
        <v>1.2109393408874443</v>
      </c>
      <c r="K123" s="13">
        <f t="shared" si="40"/>
        <v>1.2258288322734878</v>
      </c>
      <c r="L123" s="13">
        <f t="shared" si="40"/>
        <v>0.90073674775124046</v>
      </c>
      <c r="M123" s="13">
        <f t="shared" si="40"/>
        <v>1.2931147848981996</v>
      </c>
      <c r="N123" s="13">
        <f t="shared" si="40"/>
        <v>0.93818512117614938</v>
      </c>
      <c r="O123" s="13">
        <f t="shared" si="40"/>
        <v>0.8886142764958983</v>
      </c>
      <c r="P123" s="13">
        <f t="shared" si="40"/>
        <v>1.2323206882146225</v>
      </c>
      <c r="Q123" s="13">
        <f t="shared" si="40"/>
        <v>1.292620523949553</v>
      </c>
      <c r="R123" s="13">
        <f t="shared" si="40"/>
        <v>1.0334549600936815</v>
      </c>
      <c r="S123" s="13">
        <f t="shared" si="40"/>
        <v>1.1751004602034836</v>
      </c>
      <c r="T123" s="13">
        <f t="shared" si="40"/>
        <v>1.1613085963859147</v>
      </c>
      <c r="U123" s="13">
        <f t="shared" si="40"/>
        <v>1.2453839383077698</v>
      </c>
      <c r="V123" s="13">
        <f t="shared" si="42"/>
        <v>1.1941738155600878</v>
      </c>
      <c r="W123" s="13">
        <f t="shared" si="42"/>
        <v>1.242389927599616</v>
      </c>
      <c r="X123" s="20">
        <f t="shared" si="43"/>
        <v>1.1751004602034836</v>
      </c>
      <c r="Y123" s="13">
        <v>1</v>
      </c>
      <c r="Z123" s="13">
        <f t="shared" si="44"/>
        <v>1.1973532310943849</v>
      </c>
      <c r="AA123" s="84">
        <f t="shared" si="39"/>
        <v>1.1225120089791076</v>
      </c>
      <c r="AB123" s="84">
        <f t="shared" si="45"/>
        <v>1.1225120089791076</v>
      </c>
    </row>
    <row r="124" spans="1:28">
      <c r="A124" s="3">
        <v>2026</v>
      </c>
      <c r="B124" s="13">
        <f t="shared" si="33"/>
        <v>1.271931329966147</v>
      </c>
      <c r="C124" s="13">
        <f t="shared" si="41"/>
        <v>1.1770837375558063</v>
      </c>
      <c r="D124" s="13">
        <f t="shared" si="41"/>
        <v>1.2705256783001113</v>
      </c>
      <c r="E124" s="13">
        <f t="shared" si="41"/>
        <v>1.2410897618704215</v>
      </c>
      <c r="F124" s="13">
        <f t="shared" si="40"/>
        <v>1.002545818776559</v>
      </c>
      <c r="G124" s="13">
        <f t="shared" si="40"/>
        <v>1.1265857074009942</v>
      </c>
      <c r="H124" s="13">
        <f t="shared" si="40"/>
        <v>0.98325466121801797</v>
      </c>
      <c r="I124" s="13">
        <f t="shared" si="40"/>
        <v>1.2316066623197404</v>
      </c>
      <c r="J124" s="13">
        <f t="shared" si="40"/>
        <v>1.1892532025251472</v>
      </c>
      <c r="K124" s="13">
        <f t="shared" si="40"/>
        <v>1.2043138614798994</v>
      </c>
      <c r="L124" s="13">
        <f t="shared" si="40"/>
        <v>0.88311636776184821</v>
      </c>
      <c r="M124" s="13">
        <f t="shared" si="40"/>
        <v>1.2700232477490074</v>
      </c>
      <c r="N124" s="13">
        <f t="shared" si="40"/>
        <v>0.92080163168764362</v>
      </c>
      <c r="O124" s="13">
        <f t="shared" si="40"/>
        <v>0.8670233997044553</v>
      </c>
      <c r="P124" s="13">
        <f t="shared" si="40"/>
        <v>1.2092291510654301</v>
      </c>
      <c r="Q124" s="13">
        <f t="shared" si="40"/>
        <v>1.2695289868003605</v>
      </c>
      <c r="R124" s="13">
        <f t="shared" si="40"/>
        <v>1.0149530452350117</v>
      </c>
      <c r="S124" s="13">
        <f t="shared" si="40"/>
        <v>1.1542201134050334</v>
      </c>
      <c r="T124" s="13">
        <f t="shared" si="40"/>
        <v>1.1394658228124506</v>
      </c>
      <c r="U124" s="13">
        <f t="shared" si="40"/>
        <v>1.2230948097853838</v>
      </c>
      <c r="V124" s="13">
        <f t="shared" si="42"/>
        <v>1.1733910384418844</v>
      </c>
      <c r="W124" s="13">
        <f t="shared" si="42"/>
        <v>1.2199463483147035</v>
      </c>
      <c r="X124" s="20">
        <f t="shared" si="43"/>
        <v>1.1542201134050334</v>
      </c>
      <c r="Y124" s="13">
        <v>1</v>
      </c>
      <c r="Z124" s="13">
        <f t="shared" si="44"/>
        <v>1.1770837375558063</v>
      </c>
      <c r="AA124" s="84">
        <f t="shared" si="39"/>
        <v>1.1004296061516023</v>
      </c>
      <c r="AB124" s="84">
        <f t="shared" si="45"/>
        <v>1.1004296061516023</v>
      </c>
    </row>
    <row r="125" spans="1:28">
      <c r="A125" s="3">
        <v>2027</v>
      </c>
      <c r="B125" s="13">
        <f t="shared" si="33"/>
        <v>1.248839792816955</v>
      </c>
      <c r="C125" s="13">
        <f t="shared" si="41"/>
        <v>1.1567498767991771</v>
      </c>
      <c r="D125" s="13">
        <f t="shared" si="41"/>
        <v>1.2474341411509193</v>
      </c>
      <c r="E125" s="13">
        <f t="shared" si="41"/>
        <v>1.2185452083754784</v>
      </c>
      <c r="F125" s="13">
        <f t="shared" si="40"/>
        <v>0.97945428162736681</v>
      </c>
      <c r="G125" s="13">
        <f t="shared" si="40"/>
        <v>1.1144973790733657</v>
      </c>
      <c r="H125" s="13">
        <f t="shared" si="40"/>
        <v>0.96476361275091427</v>
      </c>
      <c r="I125" s="13">
        <f t="shared" si="40"/>
        <v>1.2089017429495745</v>
      </c>
      <c r="J125" s="13">
        <f t="shared" si="40"/>
        <v>1.1675430284454411</v>
      </c>
      <c r="K125" s="13">
        <f t="shared" si="40"/>
        <v>1.1827605879228662</v>
      </c>
      <c r="L125" s="13">
        <f t="shared" si="40"/>
        <v>0.86549473021993928</v>
      </c>
      <c r="M125" s="13">
        <f t="shared" si="40"/>
        <v>1.2469317105998152</v>
      </c>
      <c r="N125" s="13">
        <f t="shared" si="40"/>
        <v>0.90341644508872787</v>
      </c>
      <c r="O125" s="13">
        <f t="shared" si="40"/>
        <v>0.84543252291301263</v>
      </c>
      <c r="P125" s="13">
        <f t="shared" si="40"/>
        <v>1.1861376139162381</v>
      </c>
      <c r="Q125" s="13">
        <f t="shared" si="40"/>
        <v>1.2464374496511683</v>
      </c>
      <c r="R125" s="13">
        <f t="shared" si="40"/>
        <v>0.99645113037634248</v>
      </c>
      <c r="S125" s="13">
        <f t="shared" si="40"/>
        <v>1.1333140277580045</v>
      </c>
      <c r="T125" s="13">
        <f t="shared" si="40"/>
        <v>1.1176010894511832</v>
      </c>
      <c r="U125" s="13">
        <f t="shared" si="40"/>
        <v>1.2008056812629975</v>
      </c>
      <c r="V125" s="13">
        <f t="shared" si="42"/>
        <v>1.1525506323681494</v>
      </c>
      <c r="W125" s="13">
        <f t="shared" si="42"/>
        <v>1.1974859184648974</v>
      </c>
      <c r="X125" s="20">
        <f t="shared" si="43"/>
        <v>1.1333140277580045</v>
      </c>
      <c r="Y125" s="13">
        <v>1</v>
      </c>
      <c r="Z125" s="13">
        <f t="shared" si="44"/>
        <v>1.1567498767991771</v>
      </c>
      <c r="AA125" s="84">
        <f t="shared" si="39"/>
        <v>1.0783362579666449</v>
      </c>
      <c r="AB125" s="84">
        <f t="shared" si="45"/>
        <v>1.0783362579666449</v>
      </c>
    </row>
    <row r="126" spans="1:28">
      <c r="A126" s="3">
        <v>2028</v>
      </c>
      <c r="B126" s="13">
        <f t="shared" si="33"/>
        <v>1.222861813524114</v>
      </c>
      <c r="C126" s="13">
        <f t="shared" si="41"/>
        <v>1.133558336267084</v>
      </c>
      <c r="D126" s="13">
        <f t="shared" si="41"/>
        <v>1.2214561618580781</v>
      </c>
      <c r="E126" s="13">
        <f t="shared" si="41"/>
        <v>1.1931029623385134</v>
      </c>
      <c r="F126" s="13">
        <f t="shared" si="40"/>
        <v>0.95347630233452552</v>
      </c>
      <c r="G126" s="13">
        <f t="shared" si="40"/>
        <v>1.1008980097047831</v>
      </c>
      <c r="H126" s="13">
        <f t="shared" si="40"/>
        <v>0.943898730723159</v>
      </c>
      <c r="I126" s="13">
        <f t="shared" si="40"/>
        <v>1.1833064398707556</v>
      </c>
      <c r="J126" s="13">
        <f t="shared" si="40"/>
        <v>1.1429227875735615</v>
      </c>
      <c r="K126" s="13">
        <f t="shared" si="40"/>
        <v>1.1582835000264142</v>
      </c>
      <c r="L126" s="13">
        <f t="shared" si="40"/>
        <v>0.84562290114555871</v>
      </c>
      <c r="M126" s="13">
        <f t="shared" si="40"/>
        <v>1.220953731306974</v>
      </c>
      <c r="N126" s="13">
        <f t="shared" si="40"/>
        <v>0.88381128507848061</v>
      </c>
      <c r="O126" s="13">
        <f t="shared" si="40"/>
        <v>0.82114278652263939</v>
      </c>
      <c r="P126" s="13">
        <f t="shared" si="40"/>
        <v>1.1601596346233969</v>
      </c>
      <c r="Q126" s="13">
        <f t="shared" si="40"/>
        <v>1.2204594703583274</v>
      </c>
      <c r="R126" s="13">
        <f t="shared" si="40"/>
        <v>0.97563647616033944</v>
      </c>
      <c r="S126" s="13">
        <f t="shared" si="40"/>
        <v>1.109605286520172</v>
      </c>
      <c r="T126" s="13">
        <f t="shared" si="40"/>
        <v>1.0928283403262609</v>
      </c>
      <c r="U126" s="13">
        <f t="shared" si="40"/>
        <v>1.1757304116753129</v>
      </c>
      <c r="V126" s="13">
        <f t="shared" si="42"/>
        <v>1.1287675936715031</v>
      </c>
      <c r="W126" s="13">
        <f t="shared" si="42"/>
        <v>1.1721226341164277</v>
      </c>
      <c r="X126" s="20">
        <f t="shared" si="43"/>
        <v>1.109605286520172</v>
      </c>
      <c r="Y126" s="13">
        <v>1</v>
      </c>
      <c r="Z126" s="13">
        <f t="shared" si="44"/>
        <v>1.133558336267084</v>
      </c>
      <c r="AA126" s="84">
        <f t="shared" si="39"/>
        <v>1.053408411982079</v>
      </c>
      <c r="AB126" s="84">
        <f t="shared" si="45"/>
        <v>1.053408411982079</v>
      </c>
    </row>
    <row r="127" spans="1:28">
      <c r="A127" s="3">
        <v>2029</v>
      </c>
      <c r="B127" s="13">
        <f t="shared" si="33"/>
        <v>1.1997702763749221</v>
      </c>
      <c r="C127" s="13">
        <f t="shared" si="41"/>
        <v>1.1130961269309148</v>
      </c>
      <c r="D127" s="13">
        <f t="shared" si="41"/>
        <v>1.1983646247088862</v>
      </c>
      <c r="E127" s="13">
        <f t="shared" si="41"/>
        <v>1.1705361394458109</v>
      </c>
      <c r="F127" s="13">
        <f t="shared" si="40"/>
        <v>0.93038476518533397</v>
      </c>
      <c r="G127" s="13">
        <f t="shared" si="40"/>
        <v>1.0888096813771544</v>
      </c>
      <c r="H127" s="13">
        <f t="shared" si="40"/>
        <v>0.92540068796485775</v>
      </c>
      <c r="I127" s="13">
        <f t="shared" si="40"/>
        <v>1.1605936775548034</v>
      </c>
      <c r="J127" s="13">
        <f t="shared" si="40"/>
        <v>1.1211657682354186</v>
      </c>
      <c r="K127" s="13">
        <f t="shared" si="40"/>
        <v>1.1366563900373248</v>
      </c>
      <c r="L127" s="13">
        <f t="shared" si="40"/>
        <v>0.82799876126774941</v>
      </c>
      <c r="M127" s="13">
        <f t="shared" si="40"/>
        <v>1.1978621941577823</v>
      </c>
      <c r="N127" s="13">
        <f t="shared" si="40"/>
        <v>0.86642272803892106</v>
      </c>
      <c r="O127" s="13">
        <f t="shared" si="40"/>
        <v>0.79955190973119661</v>
      </c>
      <c r="P127" s="13">
        <f t="shared" si="40"/>
        <v>1.1370680974742051</v>
      </c>
      <c r="Q127" s="13">
        <f t="shared" si="40"/>
        <v>1.1973679332091354</v>
      </c>
      <c r="R127" s="13">
        <f t="shared" si="40"/>
        <v>0.95713456130166985</v>
      </c>
      <c r="S127" s="13">
        <f t="shared" si="40"/>
        <v>1.0886491980156645</v>
      </c>
      <c r="T127" s="13">
        <f t="shared" si="40"/>
        <v>1.0709208391019325</v>
      </c>
      <c r="U127" s="13">
        <f t="shared" si="40"/>
        <v>1.1534412831529268</v>
      </c>
      <c r="V127" s="13">
        <f t="shared" si="42"/>
        <v>1.1078162092097081</v>
      </c>
      <c r="W127" s="13">
        <f t="shared" si="42"/>
        <v>1.1496298063705388</v>
      </c>
      <c r="X127" s="20">
        <f t="shared" si="43"/>
        <v>1.0886491980156645</v>
      </c>
      <c r="Y127" s="13">
        <v>1</v>
      </c>
      <c r="Z127" s="13">
        <f t="shared" si="44"/>
        <v>1.1130961269309148</v>
      </c>
      <c r="AA127" s="84">
        <f t="shared" si="39"/>
        <v>1.0312938926268536</v>
      </c>
      <c r="AB127" s="84">
        <f t="shared" si="45"/>
        <v>1.0312938926268536</v>
      </c>
    </row>
    <row r="128" spans="1:28">
      <c r="A128" s="3">
        <v>2030</v>
      </c>
      <c r="B128" s="13">
        <f t="shared" si="33"/>
        <v>1.1737922970820809</v>
      </c>
      <c r="C128" s="13">
        <f t="shared" si="41"/>
        <v>1.0897735407597156</v>
      </c>
      <c r="D128" s="13">
        <f t="shared" si="41"/>
        <v>1.172386645416045</v>
      </c>
      <c r="E128" s="13">
        <f t="shared" si="41"/>
        <v>1.1450720820496294</v>
      </c>
      <c r="F128" s="13">
        <f t="shared" si="40"/>
        <v>0.90440678589249257</v>
      </c>
      <c r="G128" s="13">
        <f t="shared" si="40"/>
        <v>1.0752103120085723</v>
      </c>
      <c r="H128" s="13">
        <f t="shared" si="40"/>
        <v>0.90452886371258834</v>
      </c>
      <c r="I128" s="13">
        <f t="shared" si="40"/>
        <v>1.1349906114889634</v>
      </c>
      <c r="J128" s="13">
        <f t="shared" si="40"/>
        <v>1.0964994832722896</v>
      </c>
      <c r="K128" s="13">
        <f t="shared" si="40"/>
        <v>1.112107259568859</v>
      </c>
      <c r="L128" s="13">
        <f t="shared" si="40"/>
        <v>0.80812443833658132</v>
      </c>
      <c r="M128" s="13">
        <f t="shared" si="40"/>
        <v>1.1718842148649411</v>
      </c>
      <c r="N128" s="13">
        <f t="shared" si="40"/>
        <v>0.84681421335499629</v>
      </c>
      <c r="O128" s="13">
        <f t="shared" si="40"/>
        <v>0.77526217334082348</v>
      </c>
      <c r="P128" s="13">
        <f t="shared" si="40"/>
        <v>1.1110901181813639</v>
      </c>
      <c r="Q128" s="13">
        <f t="shared" si="40"/>
        <v>1.1713899539162944</v>
      </c>
      <c r="R128" s="13">
        <f t="shared" si="40"/>
        <v>0.93631990708566692</v>
      </c>
      <c r="S128" s="13">
        <f t="shared" si="40"/>
        <v>1.0648914151365227</v>
      </c>
      <c r="T128" s="13">
        <f t="shared" si="40"/>
        <v>1.0461060741964219</v>
      </c>
      <c r="U128" s="13">
        <f t="shared" si="40"/>
        <v>1.1283660135652425</v>
      </c>
      <c r="V128" s="13">
        <f t="shared" si="42"/>
        <v>1.0839249622563729</v>
      </c>
      <c r="W128" s="13">
        <f t="shared" si="42"/>
        <v>1.1242349666543057</v>
      </c>
      <c r="X128" s="20">
        <f t="shared" si="43"/>
        <v>1.0648914151365227</v>
      </c>
      <c r="Y128" s="13">
        <v>1</v>
      </c>
      <c r="Z128" s="13">
        <f t="shared" si="44"/>
        <v>1.0897735407597156</v>
      </c>
      <c r="AA128" s="84">
        <f t="shared" si="39"/>
        <v>1.0063453271547436</v>
      </c>
      <c r="AB128" s="84">
        <f t="shared" si="45"/>
        <v>1.0063453271547436</v>
      </c>
    </row>
    <row r="131" spans="1:25">
      <c r="B131" s="3" t="s">
        <v>847</v>
      </c>
    </row>
    <row r="132" spans="1:25">
      <c r="B132" s="149" t="s">
        <v>255</v>
      </c>
      <c r="C132" s="149" t="s">
        <v>539</v>
      </c>
      <c r="D132" s="149" t="s">
        <v>540</v>
      </c>
      <c r="E132" s="149" t="s">
        <v>238</v>
      </c>
      <c r="F132" s="149" t="s">
        <v>239</v>
      </c>
      <c r="G132" s="149" t="s">
        <v>541</v>
      </c>
      <c r="H132" s="149" t="s">
        <v>542</v>
      </c>
      <c r="I132" s="149" t="s">
        <v>240</v>
      </c>
      <c r="J132" s="149" t="s">
        <v>241</v>
      </c>
      <c r="K132" s="149" t="s">
        <v>242</v>
      </c>
      <c r="L132" s="149" t="s">
        <v>544</v>
      </c>
      <c r="M132" s="7" t="s">
        <v>538</v>
      </c>
      <c r="N132" s="149" t="s">
        <v>243</v>
      </c>
      <c r="O132" s="149" t="s">
        <v>244</v>
      </c>
      <c r="P132" s="149" t="s">
        <v>245</v>
      </c>
      <c r="Q132" s="150" t="s">
        <v>331</v>
      </c>
      <c r="R132" s="149" t="s">
        <v>246</v>
      </c>
      <c r="S132" s="149" t="s">
        <v>545</v>
      </c>
      <c r="T132" s="149" t="s">
        <v>247</v>
      </c>
      <c r="U132" s="149" t="s">
        <v>546</v>
      </c>
      <c r="V132" s="149" t="s">
        <v>248</v>
      </c>
      <c r="W132" s="149" t="s">
        <v>249</v>
      </c>
      <c r="X132" s="149" t="s">
        <v>609</v>
      </c>
      <c r="Y132" s="149" t="s">
        <v>158</v>
      </c>
    </row>
    <row r="133" spans="1:25">
      <c r="A133" s="3">
        <v>2009</v>
      </c>
      <c r="B133" s="3">
        <f>'EV %sales'!AE50</f>
        <v>728.71500000000003</v>
      </c>
      <c r="C133" s="3">
        <f>'EV %sales'!AF50</f>
        <v>319.22800000000001</v>
      </c>
      <c r="D133" s="3">
        <f>'EV %sales'!AG50</f>
        <v>474.92700000000002</v>
      </c>
      <c r="E133" s="3">
        <f>'EV %sales'!AH50</f>
        <v>747.67100000000005</v>
      </c>
      <c r="F133" s="3">
        <f>'EV %sales'!AI50</f>
        <v>11399</v>
      </c>
      <c r="G133" s="3">
        <f>'EV %sales'!AJ50</f>
        <v>111.965</v>
      </c>
      <c r="H133" s="3">
        <f>'EV %sales'!AK50</f>
        <v>90.260999999999996</v>
      </c>
      <c r="I133" s="3">
        <f>'EV %sales'!AL50</f>
        <v>2242.8939999999998</v>
      </c>
      <c r="J133" s="3">
        <f>'EV %sales'!AM50</f>
        <v>3789.5639999999999</v>
      </c>
      <c r="K133" s="3">
        <f>'EV %sales'!AN50</f>
        <v>1553</v>
      </c>
      <c r="L133" s="3">
        <f>'EV %sales'!AO50</f>
        <v>57.454999999999998</v>
      </c>
      <c r="M133" s="3">
        <f>'EV %sales'!AP50</f>
        <v>2165.0810000000001</v>
      </c>
      <c r="N133" s="3">
        <f>'EV %sales'!AQ50</f>
        <v>3923.7425944841675</v>
      </c>
      <c r="O133" s="3">
        <f>'EV %sales'!AR50</f>
        <v>1225</v>
      </c>
      <c r="P133" s="3">
        <f>'EV %sales'!AS50</f>
        <v>387.279</v>
      </c>
      <c r="Q133" s="3">
        <f>'EV %sales'!AT50</f>
        <v>130</v>
      </c>
      <c r="R133" s="3">
        <f>'EV %sales'!AU50</f>
        <v>98.674999999999997</v>
      </c>
      <c r="S133" s="3">
        <f>'EV %sales'!AV50</f>
        <v>953.11599999999999</v>
      </c>
      <c r="T133" s="3">
        <f>'EV %sales'!AW50</f>
        <v>212.22900000000001</v>
      </c>
      <c r="U133" s="3">
        <f>'EV %sales'!AX50</f>
        <v>296.59699999999998</v>
      </c>
      <c r="V133" s="3">
        <f>'EV %sales'!AY50</f>
        <v>1988.9570000000001</v>
      </c>
      <c r="W133" s="3">
        <f>'EV %sales'!AZ50</f>
        <v>8652</v>
      </c>
      <c r="X133" s="3">
        <f>'EV %sales'!BA50</f>
        <v>2584.1659999999993</v>
      </c>
      <c r="Y133" s="3">
        <f>SUM(B133:X133)</f>
        <v>44131.522594484173</v>
      </c>
    </row>
    <row r="134" spans="1:25">
      <c r="A134" s="3">
        <v>2010</v>
      </c>
      <c r="B134" s="3">
        <f>'EV %sales'!AE51</f>
        <v>827.40700000000004</v>
      </c>
      <c r="C134" s="3">
        <f>'EV %sales'!AF51</f>
        <v>328.01299999999998</v>
      </c>
      <c r="D134" s="3">
        <f>'EV %sales'!AG51</f>
        <v>546.22299999999996</v>
      </c>
      <c r="E134" s="3">
        <f>'EV %sales'!AH51</f>
        <v>710</v>
      </c>
      <c r="F134" s="3">
        <f>'EV %sales'!AI51</f>
        <v>12547</v>
      </c>
      <c r="G134" s="3">
        <f>'EV %sales'!AJ51</f>
        <v>153.30099999999999</v>
      </c>
      <c r="H134" s="3">
        <f>'EV %sales'!AK51</f>
        <v>111.386</v>
      </c>
      <c r="I134" s="3">
        <f>'EV %sales'!AL51</f>
        <v>2203.1410000000001</v>
      </c>
      <c r="J134" s="3">
        <f>'EV %sales'!AM51</f>
        <v>2877.79</v>
      </c>
      <c r="K134" s="3">
        <f>'EV %sales'!AN51</f>
        <v>1950</v>
      </c>
      <c r="L134" s="3">
        <f>'EV %sales'!AO51</f>
        <v>88.385999999999996</v>
      </c>
      <c r="M134" s="3">
        <f>'EV %sales'!AP51</f>
        <v>1967.376</v>
      </c>
      <c r="N134" s="3">
        <f>'EV %sales'!AQ51</f>
        <v>4212</v>
      </c>
      <c r="O134" s="3">
        <f>'EV %sales'!AR51</f>
        <v>1218</v>
      </c>
      <c r="P134" s="3">
        <f>'EV %sales'!AS51</f>
        <v>483.06099999999998</v>
      </c>
      <c r="Q134" s="3">
        <f>'EV %sales'!AT51</f>
        <v>157</v>
      </c>
      <c r="R134" s="3">
        <f>'EV %sales'!AU51</f>
        <v>127.754</v>
      </c>
      <c r="S134" s="3">
        <f>'EV %sales'!AV51</f>
        <v>981.88499999999999</v>
      </c>
      <c r="T134" s="3">
        <f>'EV %sales'!AW51</f>
        <v>288.79300000000001</v>
      </c>
      <c r="U134" s="3">
        <f>'EV %sales'!AX51</f>
        <v>296.59699999999998</v>
      </c>
      <c r="V134" s="3">
        <f>'EV %sales'!AY51</f>
        <v>2025.0340000000001</v>
      </c>
      <c r="W134" s="3">
        <f>'EV %sales'!AZ51</f>
        <v>9522.3389999999999</v>
      </c>
      <c r="X134" s="3">
        <f>'EV %sales'!BA51</f>
        <v>2721.0009999999997</v>
      </c>
      <c r="Y134" s="3">
        <f t="shared" ref="Y134:Y141" si="46">SUM(B134:X134)</f>
        <v>46343.487000000001</v>
      </c>
    </row>
    <row r="135" spans="1:25">
      <c r="A135" s="3">
        <v>2011</v>
      </c>
      <c r="B135" s="3">
        <f>'EV %sales'!AE52</f>
        <v>803.45</v>
      </c>
      <c r="C135" s="3">
        <f>'EV %sales'!AF52</f>
        <v>356.14400000000001</v>
      </c>
      <c r="D135" s="3">
        <f>'EV %sales'!AG52</f>
        <v>572.20899999999995</v>
      </c>
      <c r="E135" s="3">
        <f>'EV %sales'!AH52</f>
        <v>691</v>
      </c>
      <c r="F135" s="3">
        <f>'EV %sales'!AI52</f>
        <v>13695</v>
      </c>
      <c r="G135" s="3">
        <f>'EV %sales'!AJ52</f>
        <v>170.00800000000001</v>
      </c>
      <c r="H135" s="3">
        <f>'EV %sales'!AK52</f>
        <v>126.169</v>
      </c>
      <c r="I135" s="3">
        <f>'EV %sales'!AL52</f>
        <v>2161</v>
      </c>
      <c r="J135" s="3">
        <f>'EV %sales'!AM52</f>
        <v>3174</v>
      </c>
      <c r="K135" s="3">
        <f>'EV %sales'!AN52</f>
        <v>2514</v>
      </c>
      <c r="L135" s="3">
        <f>'EV %sales'!AO52</f>
        <v>89.896000000000001</v>
      </c>
      <c r="M135" s="3">
        <f>'EV %sales'!AP52</f>
        <v>1743.989</v>
      </c>
      <c r="N135" s="3">
        <f>'EV %sales'!AQ52</f>
        <v>3525</v>
      </c>
      <c r="O135" s="3">
        <f>'EV %sales'!AR52</f>
        <v>1211</v>
      </c>
      <c r="P135" s="3">
        <f>'EV %sales'!AS52</f>
        <v>555.91700000000003</v>
      </c>
      <c r="Q135" s="3">
        <f>'EV %sales'!AT52</f>
        <v>150</v>
      </c>
      <c r="R135" s="3">
        <f>'EV %sales'!AU52</f>
        <v>138.345</v>
      </c>
      <c r="S135" s="3">
        <f>'EV %sales'!AV52</f>
        <v>808.05799999999999</v>
      </c>
      <c r="T135" s="3">
        <f>'EV %sales'!AW52</f>
        <v>304.983</v>
      </c>
      <c r="U135" s="3">
        <f>'EV %sales'!AX52</f>
        <v>327.95499999999998</v>
      </c>
      <c r="V135" s="3">
        <f>'EV %sales'!AY52</f>
        <v>1937.105</v>
      </c>
      <c r="W135" s="3">
        <f>'EV %sales'!AZ52</f>
        <v>10540.907999999999</v>
      </c>
      <c r="X135" s="3">
        <f>'EV %sales'!BA52</f>
        <v>2857.8360000000002</v>
      </c>
      <c r="Y135" s="3">
        <f t="shared" si="46"/>
        <v>48453.972000000016</v>
      </c>
    </row>
    <row r="136" spans="1:25">
      <c r="A136" s="3">
        <v>2012</v>
      </c>
      <c r="B136" s="3">
        <f>'EV %sales'!AE53</f>
        <v>882.68</v>
      </c>
      <c r="C136" s="3">
        <f>'EV %sales'!AF53</f>
        <v>336.01</v>
      </c>
      <c r="D136" s="3">
        <f>'EV %sales'!AG53</f>
        <v>486.73599999999999</v>
      </c>
      <c r="E136" s="3">
        <f>'EV %sales'!AH53</f>
        <v>732</v>
      </c>
      <c r="F136" s="3">
        <f>'EV %sales'!AI53</f>
        <v>15249</v>
      </c>
      <c r="G136" s="3">
        <f>'EV %sales'!AJ53</f>
        <v>170.78299999999999</v>
      </c>
      <c r="H136" s="3">
        <f>'EV %sales'!AK53</f>
        <v>111.292</v>
      </c>
      <c r="I136" s="3">
        <f>'EV %sales'!AL53</f>
        <v>1860.5239999999999</v>
      </c>
      <c r="J136" s="3">
        <f>'EV %sales'!AM53</f>
        <v>3082.3519999999999</v>
      </c>
      <c r="K136" s="3">
        <f>'EV %sales'!AN53</f>
        <v>2761</v>
      </c>
      <c r="L136" s="3">
        <f>'EV %sales'!AO53</f>
        <v>79.498000000000005</v>
      </c>
      <c r="M136" s="3">
        <f>'EV %sales'!AP53</f>
        <v>1396.079</v>
      </c>
      <c r="N136" s="3">
        <f>'EV %sales'!AQ53</f>
        <v>4572</v>
      </c>
      <c r="O136" s="3">
        <f>'EV %sales'!AR53</f>
        <v>1176</v>
      </c>
      <c r="P136" s="3">
        <f>'EV %sales'!AS53</f>
        <v>502.541</v>
      </c>
      <c r="Q136" s="3">
        <f>'EV %sales'!AT53</f>
        <v>161</v>
      </c>
      <c r="R136" s="3">
        <f>'EV %sales'!AU53</f>
        <v>127.967</v>
      </c>
      <c r="S136" s="3">
        <f>'EV %sales'!AV53</f>
        <v>699.58900000000006</v>
      </c>
      <c r="T136" s="3">
        <f>'EV %sales'!AW53</f>
        <v>279.89499999999998</v>
      </c>
      <c r="U136" s="3">
        <f>'EV %sales'!AX53</f>
        <v>334.04500000000002</v>
      </c>
      <c r="V136" s="3">
        <f>'EV %sales'!AY53</f>
        <v>2039.9860000000001</v>
      </c>
      <c r="W136" s="3">
        <f>'EV %sales'!AZ53</f>
        <v>12038.475</v>
      </c>
      <c r="X136" s="3">
        <f>'EV %sales'!BA53</f>
        <v>2670.777</v>
      </c>
      <c r="Y136" s="3">
        <f t="shared" si="46"/>
        <v>51750.228999999985</v>
      </c>
    </row>
    <row r="137" spans="1:25">
      <c r="A137" s="3">
        <v>2013</v>
      </c>
      <c r="B137" s="3">
        <f>'EV %sales'!AE54</f>
        <v>899.96500000000003</v>
      </c>
      <c r="C137" s="3">
        <f>'EV %sales'!AF54</f>
        <v>319.03500000000003</v>
      </c>
      <c r="D137" s="3">
        <f>'EV %sales'!AG54</f>
        <v>486.065</v>
      </c>
      <c r="E137" s="3">
        <f>'EV %sales'!AH54</f>
        <v>759</v>
      </c>
      <c r="F137" s="3">
        <f>'EV %sales'!AI54</f>
        <v>17523</v>
      </c>
      <c r="G137" s="3">
        <f>'EV %sales'!AJ54</f>
        <v>181.27</v>
      </c>
      <c r="H137" s="3">
        <f>'EV %sales'!AK54</f>
        <v>103.49299999999999</v>
      </c>
      <c r="I137" s="3">
        <f>'EV %sales'!AL54</f>
        <v>1756.251</v>
      </c>
      <c r="J137" s="3">
        <f>'EV %sales'!AM54</f>
        <v>2952.2570000000001</v>
      </c>
      <c r="K137" s="3">
        <f>'EV %sales'!AN54</f>
        <v>2578</v>
      </c>
      <c r="L137" s="3">
        <f>'EV %sales'!AO54</f>
        <v>74.367000000000004</v>
      </c>
      <c r="M137" s="3">
        <f>'EV %sales'!AP54</f>
        <v>1286.7159999999999</v>
      </c>
      <c r="N137" s="3">
        <f>'EV %sales'!AQ54</f>
        <v>4562</v>
      </c>
      <c r="O137" s="3">
        <f>'EV %sales'!AR54</f>
        <v>1137</v>
      </c>
      <c r="P137" s="3">
        <f>'EV %sales'!AS54</f>
        <v>417.024</v>
      </c>
      <c r="Q137" s="3">
        <f>'EV %sales'!AT54</f>
        <v>187</v>
      </c>
      <c r="R137" s="3">
        <f>'EV %sales'!AU54</f>
        <v>142.15100000000001</v>
      </c>
      <c r="S137" s="3">
        <f>'EV %sales'!AV54</f>
        <v>722.70299999999997</v>
      </c>
      <c r="T137" s="3">
        <f>'EV %sales'!AW54</f>
        <v>269.55200000000002</v>
      </c>
      <c r="U137" s="3">
        <f>'EV %sales'!AX54</f>
        <v>307.846</v>
      </c>
      <c r="V137" s="3">
        <f>'EV %sales'!AY54</f>
        <v>2264.7370000000001</v>
      </c>
      <c r="W137" s="3">
        <f>'EV %sales'!AZ54</f>
        <v>12333.341</v>
      </c>
      <c r="X137" s="3">
        <f>'EV %sales'!BA54</f>
        <v>2856.348</v>
      </c>
      <c r="Y137" s="3">
        <f t="shared" si="46"/>
        <v>54119.120999999992</v>
      </c>
    </row>
    <row r="138" spans="1:25">
      <c r="A138" s="3">
        <v>2014</v>
      </c>
      <c r="B138" s="3">
        <f>'EV %sales'!AE55</f>
        <v>883.94899999999996</v>
      </c>
      <c r="C138" s="3">
        <f>'EV %sales'!AF55</f>
        <v>303.31799999999998</v>
      </c>
      <c r="D138" s="3">
        <f>'EV %sales'!AG55</f>
        <v>482.93900000000002</v>
      </c>
      <c r="E138" s="3">
        <f>'EV %sales'!AH55</f>
        <v>806</v>
      </c>
      <c r="F138" s="3">
        <f>'EV %sales'!AI55</f>
        <v>19367</v>
      </c>
      <c r="G138" s="3">
        <f>'EV %sales'!AJ55</f>
        <v>189.06800000000001</v>
      </c>
      <c r="H138" s="3">
        <f>'EV %sales'!AK55</f>
        <v>106.28100000000001</v>
      </c>
      <c r="I138" s="3">
        <f>'EV %sales'!AL55</f>
        <v>1765.2280000000001</v>
      </c>
      <c r="J138" s="3">
        <f>'EV %sales'!AM55</f>
        <v>3036.6289999999999</v>
      </c>
      <c r="K138" s="3">
        <f>'EV %sales'!AN55</f>
        <v>2573</v>
      </c>
      <c r="L138" s="3">
        <f>'EV %sales'!AO55</f>
        <v>96.343999999999994</v>
      </c>
      <c r="M138" s="3">
        <f>'EV %sales'!AP55</f>
        <v>1370.952</v>
      </c>
      <c r="N138" s="3">
        <f>'EV %sales'!AQ55</f>
        <v>4700</v>
      </c>
      <c r="O138" s="3">
        <f>'EV %sales'!AR55</f>
        <v>1140.0327352085353</v>
      </c>
      <c r="P138" s="3">
        <f>'EV %sales'!AS55</f>
        <v>387.82499999999999</v>
      </c>
      <c r="Q138" s="3">
        <f>'EV %sales'!AT55</f>
        <v>226</v>
      </c>
      <c r="R138" s="3">
        <f>'EV %sales'!AU55</f>
        <v>144.202</v>
      </c>
      <c r="S138" s="3">
        <f>'EV %sales'!AV55</f>
        <v>855.30799999999999</v>
      </c>
      <c r="T138" s="3">
        <f>'EV %sales'!AW55</f>
        <v>303.94600000000003</v>
      </c>
      <c r="U138" s="3">
        <f>'EV %sales'!AX55</f>
        <v>301.892</v>
      </c>
      <c r="V138" s="3">
        <f>'EV %sales'!AY55</f>
        <v>2476.4349999999999</v>
      </c>
      <c r="W138" s="3">
        <f>'EV %sales'!AZ55</f>
        <v>13002.618999999999</v>
      </c>
      <c r="X138" s="3">
        <f>'EV %sales'!BA55</f>
        <v>3010.5639999999994</v>
      </c>
      <c r="Y138" s="3">
        <f t="shared" si="46"/>
        <v>57529.531735208526</v>
      </c>
    </row>
    <row r="139" spans="1:25">
      <c r="A139" s="3">
        <v>2015</v>
      </c>
      <c r="B139" s="3">
        <f>'EV %sales'!AE56</f>
        <v>924.154</v>
      </c>
      <c r="C139" s="3">
        <f>'EV %sales'!AF56</f>
        <v>308.55500000000001</v>
      </c>
      <c r="D139" s="3">
        <f>'EV %sales'!AG56</f>
        <v>501.06599999999997</v>
      </c>
      <c r="E139" s="3">
        <f>'EV %sales'!AH56</f>
        <v>855.35617977528091</v>
      </c>
      <c r="F139" s="3">
        <f>'EV %sales'!AI56</f>
        <v>21203</v>
      </c>
      <c r="G139" s="3">
        <f>'EV %sales'!AJ56</f>
        <v>207.38900000000001</v>
      </c>
      <c r="H139" s="3">
        <f>'EV %sales'!AK56</f>
        <v>108.849</v>
      </c>
      <c r="I139" s="3">
        <f>'EV %sales'!AL56</f>
        <v>1885.568</v>
      </c>
      <c r="J139" s="3">
        <f>'EV %sales'!AM56</f>
        <v>3205.9189999999999</v>
      </c>
      <c r="K139" s="3">
        <f>'EV %sales'!AN56</f>
        <v>2727</v>
      </c>
      <c r="L139" s="3">
        <f>'EV %sales'!AO56</f>
        <v>124.94499999999999</v>
      </c>
      <c r="M139" s="3">
        <f>'EV %sales'!AP56</f>
        <v>1583.616</v>
      </c>
      <c r="N139" s="3">
        <f>'EV %sales'!AQ56</f>
        <v>4216</v>
      </c>
      <c r="O139" s="3">
        <f>'EV %sales'!AR56</f>
        <v>1309</v>
      </c>
      <c r="P139" s="3">
        <f>'EV %sales'!AS56</f>
        <v>452.38799999999998</v>
      </c>
      <c r="Q139" s="3">
        <f>'EV %sales'!AT56</f>
        <v>249</v>
      </c>
      <c r="R139" s="3">
        <f>'EV %sales'!AU56</f>
        <v>150.68600000000001</v>
      </c>
      <c r="S139" s="3">
        <f>'EV %sales'!AV56</f>
        <v>1034.232</v>
      </c>
      <c r="T139" s="3">
        <f>'EV %sales'!AW56</f>
        <v>345.10599999999999</v>
      </c>
      <c r="U139" s="3">
        <f>'EV %sales'!AX56</f>
        <v>323.762</v>
      </c>
      <c r="V139" s="3">
        <f>'EV %sales'!AY56</f>
        <v>2633.5030000000002</v>
      </c>
      <c r="W139" s="3">
        <f>'EV %sales'!AZ56</f>
        <v>13623.689</v>
      </c>
      <c r="X139" s="3">
        <f>'EV %sales'!BA56</f>
        <v>3387.7179756097566</v>
      </c>
      <c r="Y139" s="3">
        <f t="shared" si="46"/>
        <v>61360.501155385027</v>
      </c>
    </row>
    <row r="140" spans="1:25">
      <c r="A140" s="3">
        <v>2016</v>
      </c>
      <c r="B140" s="3">
        <f>'EV %sales'!AE57</f>
        <v>927.28</v>
      </c>
      <c r="C140" s="3">
        <f>'EV %sales'!AF57</f>
        <v>329.60399999999998</v>
      </c>
      <c r="D140" s="3">
        <f>'EV %sales'!AG57</f>
        <v>539.51900000000001</v>
      </c>
      <c r="E140" s="3">
        <f>'EV %sales'!AH57</f>
        <v>888.8640449438202</v>
      </c>
      <c r="F140" s="3">
        <f>'EV %sales'!AI57</f>
        <v>24525.547445255474</v>
      </c>
      <c r="G140" s="3">
        <f>'EV %sales'!AJ57</f>
        <v>223.142</v>
      </c>
      <c r="H140" s="3">
        <f>'EV %sales'!AK57</f>
        <v>119.039</v>
      </c>
      <c r="I140" s="3">
        <f>'EV %sales'!AL57</f>
        <v>1983.729</v>
      </c>
      <c r="J140" s="3">
        <f>'EV %sales'!AM57</f>
        <v>3351.4690000000001</v>
      </c>
      <c r="K140" s="3">
        <f>'EV %sales'!AN57</f>
        <v>2830</v>
      </c>
      <c r="L140" s="3">
        <f>'EV %sales'!AO57</f>
        <v>146.6</v>
      </c>
      <c r="M140" s="3">
        <f>'EV %sales'!AP57</f>
        <v>1844.18</v>
      </c>
      <c r="N140" s="3">
        <f>'EV %sales'!AQ57</f>
        <v>4146</v>
      </c>
      <c r="O140" s="3">
        <f>'EV %sales'!AR57</f>
        <v>1325</v>
      </c>
      <c r="P140" s="3">
        <f>'EV %sales'!AS57</f>
        <v>384.69799999999998</v>
      </c>
      <c r="Q140" s="3">
        <f>'EV %sales'!AT57</f>
        <v>257</v>
      </c>
      <c r="R140" s="3">
        <f>'EV %sales'!AU57</f>
        <v>154.60300000000001</v>
      </c>
      <c r="S140" s="3">
        <f>'EV %sales'!AV57</f>
        <v>1147.0070000000001</v>
      </c>
      <c r="T140" s="3">
        <f>'EV %sales'!AW57</f>
        <v>372.31799999999998</v>
      </c>
      <c r="U140" s="3">
        <f>'EV %sales'!AX57</f>
        <v>317.315</v>
      </c>
      <c r="V140" s="3">
        <f>'EV %sales'!AY57</f>
        <v>2692.7860000000001</v>
      </c>
      <c r="W140" s="3">
        <f>'EV %sales'!AZ57</f>
        <v>13843.272000000001</v>
      </c>
      <c r="X140" s="3">
        <f>'EV %sales'!BA57</f>
        <v>3889.4460432463943</v>
      </c>
      <c r="Y140" s="3">
        <f t="shared" si="46"/>
        <v>66238.418533445685</v>
      </c>
    </row>
    <row r="141" spans="1:25">
      <c r="A141" s="3">
        <v>2017</v>
      </c>
      <c r="B141" s="3">
        <f>'EV %sales'!AE58</f>
        <v>916.65800000000002</v>
      </c>
      <c r="C141" s="3">
        <f>'EV %sales'!AF58</f>
        <v>353.935</v>
      </c>
      <c r="D141" s="3">
        <f>'EV %sales'!AG58</f>
        <v>546.55799999999999</v>
      </c>
      <c r="E141" s="3">
        <f>'EV %sales'!AH58</f>
        <v>906.27444103668699</v>
      </c>
      <c r="F141" s="3">
        <f>'EV %sales'!AI58</f>
        <v>27571.428571428572</v>
      </c>
      <c r="G141" s="3">
        <f>'EV %sales'!AJ58</f>
        <v>221.81800000000001</v>
      </c>
      <c r="H141" s="3">
        <f>'EV %sales'!AK58</f>
        <v>118.533</v>
      </c>
      <c r="I141" s="3">
        <f>'EV %sales'!AL58</f>
        <v>2107.8857142857141</v>
      </c>
      <c r="J141" s="3">
        <f>'EV %sales'!AM58</f>
        <v>3441.261</v>
      </c>
      <c r="K141" s="3">
        <f>'EV %sales'!AN58</f>
        <v>2950</v>
      </c>
      <c r="L141" s="3">
        <f>'EV %sales'!AO58</f>
        <v>131.33799999999999</v>
      </c>
      <c r="M141" s="3">
        <f>'EV %sales'!AP58</f>
        <v>1970.201</v>
      </c>
      <c r="N141" s="3">
        <f>'EV %sales'!AQ58</f>
        <v>4391</v>
      </c>
      <c r="O141" s="3">
        <f>'EV %sales'!AR58</f>
        <v>1329.3657993200561</v>
      </c>
      <c r="P141" s="3">
        <f>'EV %sales'!AS58</f>
        <v>418.46100000000001</v>
      </c>
      <c r="Q141" s="3">
        <f>'EV %sales'!AT58</f>
        <v>273</v>
      </c>
      <c r="R141" s="3">
        <f>'EV %sales'!AU58</f>
        <v>158.65</v>
      </c>
      <c r="S141" s="3">
        <f>'EV %sales'!AV58</f>
        <v>1234.931</v>
      </c>
      <c r="T141" s="3">
        <f>'EV %sales'!AW58</f>
        <v>379.39299999999997</v>
      </c>
      <c r="U141" s="3">
        <f>'EV %sales'!AX58</f>
        <v>314.02800000000002</v>
      </c>
      <c r="V141" s="3">
        <f>'EV %sales'!AY58</f>
        <v>2544.105263157895</v>
      </c>
      <c r="W141" s="3">
        <f>'EV %sales'!AZ58</f>
        <v>13399.933000000001</v>
      </c>
      <c r="X141" s="3">
        <f>'EV %sales'!BA58</f>
        <v>4124.874771810285</v>
      </c>
      <c r="Y141" s="3">
        <f t="shared" si="46"/>
        <v>69803.632561039209</v>
      </c>
    </row>
    <row r="144" spans="1:25">
      <c r="B144" s="3" t="s">
        <v>849</v>
      </c>
    </row>
    <row r="145" spans="1:25">
      <c r="B145" s="149" t="s">
        <v>255</v>
      </c>
      <c r="C145" s="149" t="s">
        <v>539</v>
      </c>
      <c r="D145" s="149" t="s">
        <v>540</v>
      </c>
      <c r="E145" s="149" t="s">
        <v>238</v>
      </c>
      <c r="F145" s="149" t="s">
        <v>239</v>
      </c>
      <c r="G145" s="149" t="s">
        <v>541</v>
      </c>
      <c r="H145" s="149" t="s">
        <v>542</v>
      </c>
      <c r="I145" s="149" t="s">
        <v>240</v>
      </c>
      <c r="J145" s="149" t="s">
        <v>241</v>
      </c>
      <c r="K145" s="149" t="s">
        <v>242</v>
      </c>
      <c r="L145" s="149" t="s">
        <v>544</v>
      </c>
      <c r="M145" s="7" t="s">
        <v>538</v>
      </c>
      <c r="N145" s="149" t="s">
        <v>243</v>
      </c>
      <c r="O145" s="149" t="s">
        <v>244</v>
      </c>
      <c r="P145" s="149" t="s">
        <v>245</v>
      </c>
      <c r="Q145" s="150" t="s">
        <v>331</v>
      </c>
      <c r="R145" s="149" t="s">
        <v>246</v>
      </c>
      <c r="S145" s="149" t="s">
        <v>545</v>
      </c>
      <c r="T145" s="149" t="s">
        <v>247</v>
      </c>
      <c r="U145" s="149" t="s">
        <v>546</v>
      </c>
      <c r="V145" s="149" t="s">
        <v>248</v>
      </c>
      <c r="W145" s="149" t="s">
        <v>249</v>
      </c>
      <c r="X145" s="149" t="s">
        <v>609</v>
      </c>
      <c r="Y145" s="149" t="s">
        <v>158</v>
      </c>
    </row>
    <row r="146" spans="1:25">
      <c r="A146" s="3">
        <v>2009</v>
      </c>
      <c r="B146" s="84">
        <f t="shared" ref="B146:B154" si="47">B133/$Y133</f>
        <v>1.6512346666486401E-2</v>
      </c>
      <c r="C146" s="84">
        <f t="shared" ref="C146:X154" si="48">C133/$Y133</f>
        <v>7.2335596243375266E-3</v>
      </c>
      <c r="D146" s="84">
        <f t="shared" si="48"/>
        <v>1.0761627337538526E-2</v>
      </c>
      <c r="E146" s="84">
        <f t="shared" si="48"/>
        <v>1.6941880906086129E-2</v>
      </c>
      <c r="F146" s="84">
        <f t="shared" si="48"/>
        <v>0.25829609607497922</v>
      </c>
      <c r="G146" s="84">
        <f t="shared" si="48"/>
        <v>2.5370753923181903E-3</v>
      </c>
      <c r="H146" s="84">
        <f t="shared" si="48"/>
        <v>2.0452727368912797E-3</v>
      </c>
      <c r="I146" s="84">
        <f t="shared" si="48"/>
        <v>5.0822946233002403E-2</v>
      </c>
      <c r="J146" s="84">
        <f t="shared" si="48"/>
        <v>8.5869776912560966E-2</v>
      </c>
      <c r="K146" s="84">
        <f t="shared" si="48"/>
        <v>3.519026556754476E-2</v>
      </c>
      <c r="L146" s="84">
        <f t="shared" si="48"/>
        <v>1.3019038687593588E-3</v>
      </c>
      <c r="M146" s="84">
        <f t="shared" si="48"/>
        <v>4.905973944961068E-2</v>
      </c>
      <c r="N146" s="84">
        <f t="shared" si="48"/>
        <v>8.8910202136886635E-2</v>
      </c>
      <c r="O146" s="84">
        <f t="shared" si="48"/>
        <v>2.7757936458623522E-2</v>
      </c>
      <c r="P146" s="84">
        <f t="shared" si="48"/>
        <v>8.7755639785789871E-3</v>
      </c>
      <c r="Q146" s="84">
        <f t="shared" si="48"/>
        <v>2.9457401956090269E-3</v>
      </c>
      <c r="R146" s="84">
        <f t="shared" si="48"/>
        <v>2.2359301061670826E-3</v>
      </c>
      <c r="S146" s="84">
        <f t="shared" si="48"/>
        <v>2.1597170094446873E-2</v>
      </c>
      <c r="T146" s="84">
        <f t="shared" si="48"/>
        <v>4.8090115074916019E-3</v>
      </c>
      <c r="U146" s="84">
        <f t="shared" si="48"/>
        <v>6.720751575361927E-3</v>
      </c>
      <c r="V146" s="84">
        <f t="shared" si="48"/>
        <v>4.5068850632599564E-2</v>
      </c>
      <c r="W146" s="84">
        <f t="shared" si="48"/>
        <v>0.19605033978776384</v>
      </c>
      <c r="X146" s="84">
        <f t="shared" si="48"/>
        <v>5.8556012756355344E-2</v>
      </c>
      <c r="Y146" s="84">
        <f>SUM(B146:X146)</f>
        <v>0.99999999999999978</v>
      </c>
    </row>
    <row r="147" spans="1:25">
      <c r="A147" s="3">
        <v>2010</v>
      </c>
      <c r="B147" s="84">
        <f t="shared" si="47"/>
        <v>1.7853792486525671E-2</v>
      </c>
      <c r="C147" s="84">
        <f t="shared" ref="C147:Q147" si="49">C134/$Y134</f>
        <v>7.0778661950923107E-3</v>
      </c>
      <c r="D147" s="84">
        <f t="shared" si="49"/>
        <v>1.1786402693435649E-2</v>
      </c>
      <c r="E147" s="84">
        <f t="shared" si="49"/>
        <v>1.5320383638805599E-2</v>
      </c>
      <c r="F147" s="84">
        <f t="shared" si="49"/>
        <v>0.27073923030435754</v>
      </c>
      <c r="G147" s="84">
        <f t="shared" si="49"/>
        <v>3.3079297636796298E-3</v>
      </c>
      <c r="H147" s="84">
        <f t="shared" si="49"/>
        <v>2.4034876788619724E-3</v>
      </c>
      <c r="I147" s="84">
        <f t="shared" si="49"/>
        <v>4.7539387789270152E-2</v>
      </c>
      <c r="J147" s="84">
        <f t="shared" si="49"/>
        <v>6.2096967368899109E-2</v>
      </c>
      <c r="K147" s="84">
        <f t="shared" si="49"/>
        <v>4.2077109993902705E-2</v>
      </c>
      <c r="L147" s="84">
        <f t="shared" si="49"/>
        <v>1.9071935609851712E-3</v>
      </c>
      <c r="M147" s="84">
        <f t="shared" si="49"/>
        <v>4.2452049410956059E-2</v>
      </c>
      <c r="N147" s="84">
        <f t="shared" si="49"/>
        <v>9.0886557586829841E-2</v>
      </c>
      <c r="O147" s="84">
        <f t="shared" si="49"/>
        <v>2.6282010242345381E-2</v>
      </c>
      <c r="P147" s="84">
        <f t="shared" si="49"/>
        <v>1.0423492733725453E-2</v>
      </c>
      <c r="Q147" s="84">
        <f t="shared" si="49"/>
        <v>3.3877468046372944E-3</v>
      </c>
      <c r="R147" s="84">
        <f t="shared" si="48"/>
        <v>2.7566764667492543E-3</v>
      </c>
      <c r="S147" s="84">
        <f t="shared" si="48"/>
        <v>2.1187119562237514E-2</v>
      </c>
      <c r="T147" s="84">
        <f t="shared" si="48"/>
        <v>6.2315768340867406E-3</v>
      </c>
      <c r="U147" s="84">
        <f t="shared" si="48"/>
        <v>6.3999715860828506E-3</v>
      </c>
      <c r="V147" s="84">
        <f t="shared" si="48"/>
        <v>4.3696194030457831E-2</v>
      </c>
      <c r="W147" s="84">
        <f t="shared" si="48"/>
        <v>0.20547307974473306</v>
      </c>
      <c r="X147" s="84">
        <f t="shared" si="48"/>
        <v>5.8713773523343199E-2</v>
      </c>
      <c r="Y147" s="84">
        <f t="shared" ref="Y147:Y167" si="50">SUM(B147:X147)</f>
        <v>0.99999999999999989</v>
      </c>
    </row>
    <row r="148" spans="1:25">
      <c r="A148" s="3">
        <v>2011</v>
      </c>
      <c r="B148" s="84">
        <f t="shared" si="47"/>
        <v>1.6581715942709501E-2</v>
      </c>
      <c r="C148" s="84">
        <f t="shared" si="48"/>
        <v>7.3501507781446665E-3</v>
      </c>
      <c r="D148" s="84">
        <f t="shared" si="48"/>
        <v>1.1809331131821345E-2</v>
      </c>
      <c r="E148" s="84">
        <f t="shared" si="48"/>
        <v>1.4260956769447091E-2</v>
      </c>
      <c r="F148" s="84">
        <f t="shared" si="48"/>
        <v>0.28263936752182039</v>
      </c>
      <c r="G148" s="84">
        <f t="shared" si="48"/>
        <v>3.5086494044285978E-3</v>
      </c>
      <c r="H148" s="84">
        <f t="shared" si="48"/>
        <v>2.6038938562147175E-3</v>
      </c>
      <c r="I148" s="84">
        <f t="shared" si="48"/>
        <v>4.4599026886794735E-2</v>
      </c>
      <c r="J148" s="84">
        <f t="shared" si="48"/>
        <v>6.5505465681946554E-2</v>
      </c>
      <c r="K148" s="84">
        <f t="shared" si="48"/>
        <v>5.1884291343545566E-2</v>
      </c>
      <c r="L148" s="84">
        <f t="shared" si="48"/>
        <v>1.8552864974619619E-3</v>
      </c>
      <c r="M148" s="84">
        <f t="shared" si="48"/>
        <v>3.5992694262505447E-2</v>
      </c>
      <c r="N148" s="84">
        <f t="shared" si="48"/>
        <v>7.2749453852823429E-2</v>
      </c>
      <c r="O148" s="84">
        <f t="shared" si="48"/>
        <v>2.4992791096672108E-2</v>
      </c>
      <c r="P148" s="84">
        <f t="shared" si="48"/>
        <v>1.1473094507092212E-2</v>
      </c>
      <c r="Q148" s="84">
        <f t="shared" si="48"/>
        <v>3.0957214405456781E-3</v>
      </c>
      <c r="R148" s="84">
        <f t="shared" si="48"/>
        <v>2.8551838846152789E-3</v>
      </c>
      <c r="S148" s="84">
        <f t="shared" si="48"/>
        <v>1.6676816505363064E-2</v>
      </c>
      <c r="T148" s="84">
        <f t="shared" si="48"/>
        <v>6.2942827473462838E-3</v>
      </c>
      <c r="U148" s="84">
        <f t="shared" si="48"/>
        <v>6.7683821668943853E-3</v>
      </c>
      <c r="V148" s="84">
        <f t="shared" si="48"/>
        <v>3.9978249873921574E-2</v>
      </c>
      <c r="W148" s="84">
        <f t="shared" si="48"/>
        <v>0.21754476598946307</v>
      </c>
      <c r="X148" s="84">
        <f t="shared" si="48"/>
        <v>5.8980427858421995E-2</v>
      </c>
      <c r="Y148" s="84">
        <f t="shared" si="50"/>
        <v>0.99999999999999944</v>
      </c>
    </row>
    <row r="149" spans="1:25">
      <c r="A149" s="3">
        <v>2012</v>
      </c>
      <c r="B149" s="84">
        <f t="shared" si="47"/>
        <v>1.7056542880225713E-2</v>
      </c>
      <c r="C149" s="84">
        <f t="shared" si="48"/>
        <v>6.4929181279564981E-3</v>
      </c>
      <c r="D149" s="84">
        <f t="shared" si="48"/>
        <v>9.4054849496414822E-3</v>
      </c>
      <c r="E149" s="84">
        <f t="shared" si="48"/>
        <v>1.4144864943496196E-2</v>
      </c>
      <c r="F149" s="84">
        <f t="shared" si="48"/>
        <v>0.29466536273684901</v>
      </c>
      <c r="G149" s="84">
        <f t="shared" si="48"/>
        <v>3.3001399858539763E-3</v>
      </c>
      <c r="H149" s="84">
        <f t="shared" si="48"/>
        <v>2.1505605318190967E-3</v>
      </c>
      <c r="I149" s="84">
        <f t="shared" si="48"/>
        <v>3.5951995497449887E-2</v>
      </c>
      <c r="J149" s="84">
        <f t="shared" si="48"/>
        <v>5.9562093918463642E-2</v>
      </c>
      <c r="K149" s="84">
        <f t="shared" si="48"/>
        <v>5.3352420913924857E-2</v>
      </c>
      <c r="L149" s="84">
        <f t="shared" si="48"/>
        <v>1.5361864389044544E-3</v>
      </c>
      <c r="M149" s="84">
        <f t="shared" si="48"/>
        <v>2.6977252603075444E-2</v>
      </c>
      <c r="N149" s="84">
        <f t="shared" si="48"/>
        <v>8.8347435138886071E-2</v>
      </c>
      <c r="O149" s="84">
        <f t="shared" si="48"/>
        <v>2.2724537122338153E-2</v>
      </c>
      <c r="P149" s="84">
        <f t="shared" si="48"/>
        <v>9.7108942261878717E-3</v>
      </c>
      <c r="Q149" s="84">
        <f t="shared" si="48"/>
        <v>3.1110973441296277E-3</v>
      </c>
      <c r="R149" s="84">
        <f t="shared" si="48"/>
        <v>2.4727813281753795E-3</v>
      </c>
      <c r="S149" s="84">
        <f t="shared" si="48"/>
        <v>1.3518568198026723E-2</v>
      </c>
      <c r="T149" s="84">
        <f t="shared" si="48"/>
        <v>5.4085751002183984E-3</v>
      </c>
      <c r="U149" s="84">
        <f t="shared" si="48"/>
        <v>6.4549472814893266E-3</v>
      </c>
      <c r="V149" s="84">
        <f t="shared" si="48"/>
        <v>3.9419844886097039E-2</v>
      </c>
      <c r="W149" s="84">
        <f t="shared" si="48"/>
        <v>0.23262650683149641</v>
      </c>
      <c r="X149" s="84">
        <f t="shared" si="48"/>
        <v>5.1608989015295002E-2</v>
      </c>
      <c r="Y149" s="84">
        <f t="shared" si="50"/>
        <v>1.0000000000000004</v>
      </c>
    </row>
    <row r="150" spans="1:25">
      <c r="A150" s="3">
        <v>2013</v>
      </c>
      <c r="B150" s="84">
        <f t="shared" si="47"/>
        <v>1.6629335129075731E-2</v>
      </c>
      <c r="C150" s="84">
        <f t="shared" si="48"/>
        <v>5.8950513996707385E-3</v>
      </c>
      <c r="D150" s="84">
        <f t="shared" si="48"/>
        <v>8.9813912535645218E-3</v>
      </c>
      <c r="E150" s="84">
        <f t="shared" si="48"/>
        <v>1.4024618027332708E-2</v>
      </c>
      <c r="F150" s="84">
        <f t="shared" si="48"/>
        <v>0.32378574663102905</v>
      </c>
      <c r="G150" s="84">
        <f t="shared" si="48"/>
        <v>3.3494631222853754E-3</v>
      </c>
      <c r="H150" s="84">
        <f t="shared" si="48"/>
        <v>1.9123185685148141E-3</v>
      </c>
      <c r="I150" s="84">
        <f t="shared" si="48"/>
        <v>3.2451580283427005E-2</v>
      </c>
      <c r="J150" s="84">
        <f t="shared" si="48"/>
        <v>5.4551089253648453E-2</v>
      </c>
      <c r="K150" s="84">
        <f t="shared" si="48"/>
        <v>4.7635659123140606E-2</v>
      </c>
      <c r="L150" s="84">
        <f t="shared" si="48"/>
        <v>1.3741354003144288E-3</v>
      </c>
      <c r="M150" s="84">
        <f t="shared" si="48"/>
        <v>2.3775626363185021E-2</v>
      </c>
      <c r="N150" s="84">
        <f t="shared" si="48"/>
        <v>8.4295530224890391E-2</v>
      </c>
      <c r="O150" s="84">
        <f t="shared" si="48"/>
        <v>2.1009210404581407E-2</v>
      </c>
      <c r="P150" s="84">
        <f t="shared" si="48"/>
        <v>7.7056683902903753E-3</v>
      </c>
      <c r="Q150" s="84">
        <f t="shared" si="48"/>
        <v>3.455340673400812E-3</v>
      </c>
      <c r="R150" s="84">
        <f t="shared" si="48"/>
        <v>2.6266317222705822E-3</v>
      </c>
      <c r="S150" s="84">
        <f t="shared" si="48"/>
        <v>1.3353930859298327E-2</v>
      </c>
      <c r="T150" s="84">
        <f t="shared" si="48"/>
        <v>4.9807165197675706E-3</v>
      </c>
      <c r="U150" s="84">
        <f t="shared" si="48"/>
        <v>5.6883037697526544E-3</v>
      </c>
      <c r="V150" s="84">
        <f t="shared" si="48"/>
        <v>4.1847261340405E-2</v>
      </c>
      <c r="W150" s="84">
        <f t="shared" si="48"/>
        <v>0.22789248554129329</v>
      </c>
      <c r="X150" s="84">
        <f t="shared" si="48"/>
        <v>5.27789059988613E-2</v>
      </c>
      <c r="Y150" s="84">
        <f t="shared" si="50"/>
        <v>1</v>
      </c>
    </row>
    <row r="151" spans="1:25">
      <c r="A151" s="3">
        <v>2014</v>
      </c>
      <c r="B151" s="84">
        <f t="shared" si="47"/>
        <v>1.5365134624570849E-2</v>
      </c>
      <c r="C151" s="84">
        <f t="shared" si="48"/>
        <v>5.2723877780907957E-3</v>
      </c>
      <c r="D151" s="84">
        <f t="shared" si="48"/>
        <v>8.3946276883119075E-3</v>
      </c>
      <c r="E151" s="84">
        <f t="shared" si="48"/>
        <v>1.4010195732337617E-2</v>
      </c>
      <c r="F151" s="84">
        <f t="shared" si="48"/>
        <v>0.33664449224340276</v>
      </c>
      <c r="G151" s="84">
        <f t="shared" si="48"/>
        <v>3.2864512242203581E-3</v>
      </c>
      <c r="H151" s="84">
        <f t="shared" si="48"/>
        <v>1.8474163928394224E-3</v>
      </c>
      <c r="I151" s="84">
        <f t="shared" si="48"/>
        <v>3.0683858302981225E-2</v>
      </c>
      <c r="J151" s="84">
        <f t="shared" si="48"/>
        <v>5.2783829598626111E-2</v>
      </c>
      <c r="K151" s="84">
        <f t="shared" si="48"/>
        <v>4.4724855607077778E-2</v>
      </c>
      <c r="L151" s="84">
        <f t="shared" si="48"/>
        <v>1.6746877141890016E-3</v>
      </c>
      <c r="M151" s="84">
        <f t="shared" si="48"/>
        <v>2.3830404292356975E-2</v>
      </c>
      <c r="N151" s="84">
        <f t="shared" si="48"/>
        <v>8.1697171143904221E-2</v>
      </c>
      <c r="O151" s="84">
        <f t="shared" si="48"/>
        <v>1.9816478612337225E-2</v>
      </c>
      <c r="P151" s="84">
        <f t="shared" si="48"/>
        <v>6.7413202976350324E-3</v>
      </c>
      <c r="Q151" s="84">
        <f t="shared" si="48"/>
        <v>3.928417165643054E-3</v>
      </c>
      <c r="R151" s="84">
        <f t="shared" si="48"/>
        <v>2.506573504956016E-3</v>
      </c>
      <c r="S151" s="84">
        <f t="shared" si="48"/>
        <v>1.4867285969521369E-2</v>
      </c>
      <c r="T151" s="84">
        <f t="shared" si="48"/>
        <v>5.2833039107457692E-3</v>
      </c>
      <c r="U151" s="84">
        <f t="shared" si="48"/>
        <v>5.2476005087181985E-3</v>
      </c>
      <c r="V151" s="84">
        <f t="shared" si="48"/>
        <v>4.3046326387607331E-2</v>
      </c>
      <c r="W151" s="84">
        <f t="shared" si="48"/>
        <v>0.22601642335361291</v>
      </c>
      <c r="X151" s="84">
        <f t="shared" si="48"/>
        <v>5.2330757946314213E-2</v>
      </c>
      <c r="Y151" s="84">
        <f t="shared" si="50"/>
        <v>1</v>
      </c>
    </row>
    <row r="152" spans="1:25">
      <c r="A152" s="3">
        <v>2015</v>
      </c>
      <c r="B152" s="84">
        <f t="shared" si="47"/>
        <v>1.5061056911183585E-2</v>
      </c>
      <c r="C152" s="84">
        <f t="shared" si="48"/>
        <v>5.028560624344266E-3</v>
      </c>
      <c r="D152" s="84">
        <f t="shared" si="48"/>
        <v>8.1659372163720694E-3</v>
      </c>
      <c r="E152" s="84">
        <f t="shared" si="48"/>
        <v>1.3939849963239983E-2</v>
      </c>
      <c r="F152" s="84">
        <f t="shared" si="48"/>
        <v>0.34554802520773115</v>
      </c>
      <c r="G152" s="84">
        <f t="shared" si="48"/>
        <v>3.3798452766026577E-3</v>
      </c>
      <c r="H152" s="84">
        <f t="shared" si="48"/>
        <v>1.7739261894937663E-3</v>
      </c>
      <c r="I152" s="84">
        <f t="shared" si="48"/>
        <v>3.0729344847186302E-2</v>
      </c>
      <c r="J152" s="84">
        <f t="shared" si="48"/>
        <v>5.224727535848437E-2</v>
      </c>
      <c r="K152" s="84">
        <f t="shared" si="48"/>
        <v>4.4442270657052432E-2</v>
      </c>
      <c r="L152" s="84">
        <f t="shared" si="48"/>
        <v>2.036244777134366E-3</v>
      </c>
      <c r="M152" s="84">
        <f t="shared" si="48"/>
        <v>2.5808394165324072E-2</v>
      </c>
      <c r="N152" s="84">
        <f t="shared" si="48"/>
        <v>6.870869566928238E-2</v>
      </c>
      <c r="O152" s="84">
        <f t="shared" si="48"/>
        <v>2.133294180054332E-2</v>
      </c>
      <c r="P152" s="84">
        <f t="shared" si="48"/>
        <v>7.372625573158282E-3</v>
      </c>
      <c r="Q152" s="84">
        <f t="shared" si="48"/>
        <v>4.0579851094998372E-3</v>
      </c>
      <c r="R152" s="84">
        <f t="shared" si="48"/>
        <v>2.4557491735345081E-3</v>
      </c>
      <c r="S152" s="84">
        <f t="shared" si="48"/>
        <v>1.6855012272161587E-2</v>
      </c>
      <c r="T152" s="84">
        <f t="shared" si="48"/>
        <v>5.6242369847351436E-3</v>
      </c>
      <c r="U152" s="84">
        <f t="shared" si="48"/>
        <v>5.2763910643449253E-3</v>
      </c>
      <c r="V152" s="84">
        <f t="shared" si="48"/>
        <v>4.2918537991257631E-2</v>
      </c>
      <c r="W152" s="84">
        <f t="shared" si="48"/>
        <v>0.22202701645966558</v>
      </c>
      <c r="X152" s="84">
        <f t="shared" si="48"/>
        <v>5.5210076707667977E-2</v>
      </c>
      <c r="Y152" s="84">
        <f t="shared" si="50"/>
        <v>1.0000000000000004</v>
      </c>
    </row>
    <row r="153" spans="1:25">
      <c r="A153" s="3">
        <v>2016</v>
      </c>
      <c r="B153" s="84">
        <f t="shared" si="47"/>
        <v>1.3999126496834909E-2</v>
      </c>
      <c r="C153" s="84">
        <f t="shared" si="48"/>
        <v>4.9760245986786873E-3</v>
      </c>
      <c r="D153" s="84">
        <f t="shared" si="48"/>
        <v>8.145106902387492E-3</v>
      </c>
      <c r="E153" s="84">
        <f t="shared" si="48"/>
        <v>1.3419161637970073E-2</v>
      </c>
      <c r="F153" s="84">
        <f t="shared" si="48"/>
        <v>0.37026166971169183</v>
      </c>
      <c r="G153" s="84">
        <f t="shared" si="48"/>
        <v>3.3687700422275206E-3</v>
      </c>
      <c r="H153" s="84">
        <f t="shared" si="48"/>
        <v>1.7971292587532683E-3</v>
      </c>
      <c r="I153" s="84">
        <f t="shared" si="48"/>
        <v>2.994831464761433E-2</v>
      </c>
      <c r="J153" s="84">
        <f t="shared" si="48"/>
        <v>5.059705642440341E-2</v>
      </c>
      <c r="K153" s="84">
        <f t="shared" si="48"/>
        <v>4.272444998926192E-2</v>
      </c>
      <c r="L153" s="84">
        <f t="shared" si="48"/>
        <v>2.2132170913165359E-3</v>
      </c>
      <c r="M153" s="84">
        <f t="shared" si="48"/>
        <v>2.7841546353779875E-2</v>
      </c>
      <c r="N153" s="84">
        <f t="shared" si="48"/>
        <v>6.2592074083208452E-2</v>
      </c>
      <c r="O153" s="84">
        <f t="shared" si="48"/>
        <v>2.000349690309966E-2</v>
      </c>
      <c r="P153" s="84">
        <f t="shared" si="48"/>
        <v>5.8077775483989687E-3</v>
      </c>
      <c r="Q153" s="84">
        <f t="shared" si="48"/>
        <v>3.8799235502615949E-3</v>
      </c>
      <c r="R153" s="84">
        <f t="shared" si="48"/>
        <v>2.3340382126112581E-3</v>
      </c>
      <c r="S153" s="84">
        <f t="shared" si="48"/>
        <v>1.7316340356478215E-2</v>
      </c>
      <c r="T153" s="84">
        <f t="shared" si="48"/>
        <v>5.6208769509194408E-3</v>
      </c>
      <c r="U153" s="84">
        <f t="shared" si="48"/>
        <v>4.7904978262694863E-3</v>
      </c>
      <c r="V153" s="84">
        <f t="shared" si="48"/>
        <v>4.0652933140913304E-2</v>
      </c>
      <c r="W153" s="84">
        <f t="shared" si="48"/>
        <v>0.20899158383454058</v>
      </c>
      <c r="X153" s="84">
        <f t="shared" si="48"/>
        <v>5.8718884438379235E-2</v>
      </c>
      <c r="Y153" s="84">
        <f t="shared" si="50"/>
        <v>1</v>
      </c>
    </row>
    <row r="154" spans="1:25">
      <c r="A154" s="3">
        <v>2017</v>
      </c>
      <c r="B154" s="84">
        <f t="shared" si="47"/>
        <v>1.3131952684531654E-2</v>
      </c>
      <c r="C154" s="84">
        <f t="shared" si="48"/>
        <v>5.0704381278510752E-3</v>
      </c>
      <c r="D154" s="84">
        <f t="shared" si="48"/>
        <v>7.8299363506915895E-3</v>
      </c>
      <c r="E154" s="84">
        <f t="shared" si="48"/>
        <v>1.2983198836309884E-2</v>
      </c>
      <c r="F154" s="84">
        <f t="shared" si="48"/>
        <v>0.39498558398546041</v>
      </c>
      <c r="G154" s="84">
        <f t="shared" si="48"/>
        <v>3.1777429320176583E-3</v>
      </c>
      <c r="H154" s="84">
        <f t="shared" si="48"/>
        <v>1.6980921429318137E-3</v>
      </c>
      <c r="I154" s="84">
        <f t="shared" si="48"/>
        <v>3.0197364190788938E-2</v>
      </c>
      <c r="J154" s="84">
        <f t="shared" si="48"/>
        <v>4.9299167876268014E-2</v>
      </c>
      <c r="K154" s="84">
        <f t="shared" si="48"/>
        <v>4.2261410929014288E-2</v>
      </c>
      <c r="L154" s="84">
        <f t="shared" si="48"/>
        <v>1.8815353181677553E-3</v>
      </c>
      <c r="M154" s="84">
        <f t="shared" si="48"/>
        <v>2.8224906465679621E-2</v>
      </c>
      <c r="N154" s="84">
        <f t="shared" si="48"/>
        <v>6.2905035725187033E-2</v>
      </c>
      <c r="O154" s="84">
        <f t="shared" si="48"/>
        <v>1.9044364176285571E-2</v>
      </c>
      <c r="P154" s="84">
        <f t="shared" si="48"/>
        <v>5.9948312809377114E-3</v>
      </c>
      <c r="Q154" s="84">
        <f t="shared" si="48"/>
        <v>3.9109712486850509E-3</v>
      </c>
      <c r="R154" s="84">
        <f t="shared" si="48"/>
        <v>2.2728043538603787E-3</v>
      </c>
      <c r="S154" s="84">
        <f t="shared" si="48"/>
        <v>1.7691500494907982E-2</v>
      </c>
      <c r="T154" s="84">
        <f t="shared" si="48"/>
        <v>5.4351469412174634E-3</v>
      </c>
      <c r="U154" s="84">
        <f t="shared" si="48"/>
        <v>4.4987343563445761E-3</v>
      </c>
      <c r="V154" s="84">
        <f t="shared" si="48"/>
        <v>3.6446602702706388E-2</v>
      </c>
      <c r="W154" s="84">
        <f t="shared" si="48"/>
        <v>0.19196612709635907</v>
      </c>
      <c r="X154" s="84">
        <f t="shared" si="48"/>
        <v>5.9092551783796098E-2</v>
      </c>
      <c r="Y154" s="84">
        <f t="shared" si="50"/>
        <v>0.99999999999999989</v>
      </c>
    </row>
    <row r="155" spans="1:25">
      <c r="A155" s="3">
        <v>2018</v>
      </c>
      <c r="B155" s="84">
        <f>B154</f>
        <v>1.3131952684531654E-2</v>
      </c>
      <c r="C155" s="84">
        <f t="shared" ref="C155:X155" si="51">C154</f>
        <v>5.0704381278510752E-3</v>
      </c>
      <c r="D155" s="84">
        <f t="shared" si="51"/>
        <v>7.8299363506915895E-3</v>
      </c>
      <c r="E155" s="84">
        <f t="shared" si="51"/>
        <v>1.2983198836309884E-2</v>
      </c>
      <c r="F155" s="84">
        <f t="shared" si="51"/>
        <v>0.39498558398546041</v>
      </c>
      <c r="G155" s="84">
        <f t="shared" si="51"/>
        <v>3.1777429320176583E-3</v>
      </c>
      <c r="H155" s="84">
        <f t="shared" si="51"/>
        <v>1.6980921429318137E-3</v>
      </c>
      <c r="I155" s="84">
        <f t="shared" si="51"/>
        <v>3.0197364190788938E-2</v>
      </c>
      <c r="J155" s="84">
        <f t="shared" si="51"/>
        <v>4.9299167876268014E-2</v>
      </c>
      <c r="K155" s="84">
        <f t="shared" si="51"/>
        <v>4.2261410929014288E-2</v>
      </c>
      <c r="L155" s="84">
        <f t="shared" si="51"/>
        <v>1.8815353181677553E-3</v>
      </c>
      <c r="M155" s="84">
        <f t="shared" si="51"/>
        <v>2.8224906465679621E-2</v>
      </c>
      <c r="N155" s="84">
        <f t="shared" si="51"/>
        <v>6.2905035725187033E-2</v>
      </c>
      <c r="O155" s="84">
        <f t="shared" si="51"/>
        <v>1.9044364176285571E-2</v>
      </c>
      <c r="P155" s="84">
        <f t="shared" si="51"/>
        <v>5.9948312809377114E-3</v>
      </c>
      <c r="Q155" s="84">
        <f t="shared" si="51"/>
        <v>3.9109712486850509E-3</v>
      </c>
      <c r="R155" s="84">
        <f t="shared" si="51"/>
        <v>2.2728043538603787E-3</v>
      </c>
      <c r="S155" s="84">
        <f t="shared" si="51"/>
        <v>1.7691500494907982E-2</v>
      </c>
      <c r="T155" s="84">
        <f t="shared" si="51"/>
        <v>5.4351469412174634E-3</v>
      </c>
      <c r="U155" s="84">
        <f t="shared" si="51"/>
        <v>4.4987343563445761E-3</v>
      </c>
      <c r="V155" s="84">
        <f t="shared" si="51"/>
        <v>3.6446602702706388E-2</v>
      </c>
      <c r="W155" s="84">
        <f t="shared" si="51"/>
        <v>0.19196612709635907</v>
      </c>
      <c r="X155" s="84">
        <f t="shared" si="51"/>
        <v>5.9092551783796098E-2</v>
      </c>
      <c r="Y155" s="84">
        <f t="shared" si="50"/>
        <v>0.99999999999999989</v>
      </c>
    </row>
    <row r="156" spans="1:25">
      <c r="A156" s="3">
        <v>2019</v>
      </c>
      <c r="B156" s="84">
        <f t="shared" ref="B156:B167" si="52">B155</f>
        <v>1.3131952684531654E-2</v>
      </c>
      <c r="C156" s="84">
        <f t="shared" ref="C156:C167" si="53">C155</f>
        <v>5.0704381278510752E-3</v>
      </c>
      <c r="D156" s="84">
        <f t="shared" ref="D156:D167" si="54">D155</f>
        <v>7.8299363506915895E-3</v>
      </c>
      <c r="E156" s="84">
        <f t="shared" ref="E156:E167" si="55">E155</f>
        <v>1.2983198836309884E-2</v>
      </c>
      <c r="F156" s="84">
        <f t="shared" ref="F156:F167" si="56">F155</f>
        <v>0.39498558398546041</v>
      </c>
      <c r="G156" s="84">
        <f t="shared" ref="G156:G167" si="57">G155</f>
        <v>3.1777429320176583E-3</v>
      </c>
      <c r="H156" s="84">
        <f t="shared" ref="H156:H167" si="58">H155</f>
        <v>1.6980921429318137E-3</v>
      </c>
      <c r="I156" s="84">
        <f t="shared" ref="I156:I167" si="59">I155</f>
        <v>3.0197364190788938E-2</v>
      </c>
      <c r="J156" s="84">
        <f t="shared" ref="J156:J167" si="60">J155</f>
        <v>4.9299167876268014E-2</v>
      </c>
      <c r="K156" s="84">
        <f t="shared" ref="K156:K167" si="61">K155</f>
        <v>4.2261410929014288E-2</v>
      </c>
      <c r="L156" s="84">
        <f t="shared" ref="L156:L167" si="62">L155</f>
        <v>1.8815353181677553E-3</v>
      </c>
      <c r="M156" s="84">
        <f t="shared" ref="M156:M167" si="63">M155</f>
        <v>2.8224906465679621E-2</v>
      </c>
      <c r="N156" s="84">
        <f t="shared" ref="N156:N167" si="64">N155</f>
        <v>6.2905035725187033E-2</v>
      </c>
      <c r="O156" s="84">
        <f t="shared" ref="O156:O167" si="65">O155</f>
        <v>1.9044364176285571E-2</v>
      </c>
      <c r="P156" s="84">
        <f t="shared" ref="P156:P167" si="66">P155</f>
        <v>5.9948312809377114E-3</v>
      </c>
      <c r="Q156" s="84">
        <f t="shared" ref="Q156:Q167" si="67">Q155</f>
        <v>3.9109712486850509E-3</v>
      </c>
      <c r="R156" s="84">
        <f t="shared" ref="R156:R167" si="68">R155</f>
        <v>2.2728043538603787E-3</v>
      </c>
      <c r="S156" s="84">
        <f t="shared" ref="S156:S167" si="69">S155</f>
        <v>1.7691500494907982E-2</v>
      </c>
      <c r="T156" s="84">
        <f t="shared" ref="T156:T167" si="70">T155</f>
        <v>5.4351469412174634E-3</v>
      </c>
      <c r="U156" s="84">
        <f t="shared" ref="U156:U167" si="71">U155</f>
        <v>4.4987343563445761E-3</v>
      </c>
      <c r="V156" s="84">
        <f t="shared" ref="V156:V167" si="72">V155</f>
        <v>3.6446602702706388E-2</v>
      </c>
      <c r="W156" s="84">
        <f t="shared" ref="W156:W167" si="73">W155</f>
        <v>0.19196612709635907</v>
      </c>
      <c r="X156" s="84">
        <f t="shared" ref="X156:X167" si="74">X155</f>
        <v>5.9092551783796098E-2</v>
      </c>
      <c r="Y156" s="84">
        <f t="shared" si="50"/>
        <v>0.99999999999999989</v>
      </c>
    </row>
    <row r="157" spans="1:25">
      <c r="A157" s="3">
        <v>2020</v>
      </c>
      <c r="B157" s="84">
        <f t="shared" si="52"/>
        <v>1.3131952684531654E-2</v>
      </c>
      <c r="C157" s="84">
        <f t="shared" si="53"/>
        <v>5.0704381278510752E-3</v>
      </c>
      <c r="D157" s="84">
        <f t="shared" si="54"/>
        <v>7.8299363506915895E-3</v>
      </c>
      <c r="E157" s="84">
        <f t="shared" si="55"/>
        <v>1.2983198836309884E-2</v>
      </c>
      <c r="F157" s="84">
        <f t="shared" si="56"/>
        <v>0.39498558398546041</v>
      </c>
      <c r="G157" s="84">
        <f t="shared" si="57"/>
        <v>3.1777429320176583E-3</v>
      </c>
      <c r="H157" s="84">
        <f t="shared" si="58"/>
        <v>1.6980921429318137E-3</v>
      </c>
      <c r="I157" s="84">
        <f t="shared" si="59"/>
        <v>3.0197364190788938E-2</v>
      </c>
      <c r="J157" s="84">
        <f t="shared" si="60"/>
        <v>4.9299167876268014E-2</v>
      </c>
      <c r="K157" s="84">
        <f t="shared" si="61"/>
        <v>4.2261410929014288E-2</v>
      </c>
      <c r="L157" s="84">
        <f t="shared" si="62"/>
        <v>1.8815353181677553E-3</v>
      </c>
      <c r="M157" s="84">
        <f t="shared" si="63"/>
        <v>2.8224906465679621E-2</v>
      </c>
      <c r="N157" s="84">
        <f t="shared" si="64"/>
        <v>6.2905035725187033E-2</v>
      </c>
      <c r="O157" s="84">
        <f t="shared" si="65"/>
        <v>1.9044364176285571E-2</v>
      </c>
      <c r="P157" s="84">
        <f t="shared" si="66"/>
        <v>5.9948312809377114E-3</v>
      </c>
      <c r="Q157" s="84">
        <f t="shared" si="67"/>
        <v>3.9109712486850509E-3</v>
      </c>
      <c r="R157" s="84">
        <f t="shared" si="68"/>
        <v>2.2728043538603787E-3</v>
      </c>
      <c r="S157" s="84">
        <f t="shared" si="69"/>
        <v>1.7691500494907982E-2</v>
      </c>
      <c r="T157" s="84">
        <f t="shared" si="70"/>
        <v>5.4351469412174634E-3</v>
      </c>
      <c r="U157" s="84">
        <f t="shared" si="71"/>
        <v>4.4987343563445761E-3</v>
      </c>
      <c r="V157" s="84">
        <f t="shared" si="72"/>
        <v>3.6446602702706388E-2</v>
      </c>
      <c r="W157" s="84">
        <f t="shared" si="73"/>
        <v>0.19196612709635907</v>
      </c>
      <c r="X157" s="84">
        <f t="shared" si="74"/>
        <v>5.9092551783796098E-2</v>
      </c>
      <c r="Y157" s="84">
        <f t="shared" si="50"/>
        <v>0.99999999999999989</v>
      </c>
    </row>
    <row r="158" spans="1:25">
      <c r="A158" s="3">
        <v>2021</v>
      </c>
      <c r="B158" s="84">
        <f t="shared" si="52"/>
        <v>1.3131952684531654E-2</v>
      </c>
      <c r="C158" s="84">
        <f t="shared" si="53"/>
        <v>5.0704381278510752E-3</v>
      </c>
      <c r="D158" s="84">
        <f t="shared" si="54"/>
        <v>7.8299363506915895E-3</v>
      </c>
      <c r="E158" s="84">
        <f t="shared" si="55"/>
        <v>1.2983198836309884E-2</v>
      </c>
      <c r="F158" s="84">
        <f t="shared" si="56"/>
        <v>0.39498558398546041</v>
      </c>
      <c r="G158" s="84">
        <f t="shared" si="57"/>
        <v>3.1777429320176583E-3</v>
      </c>
      <c r="H158" s="84">
        <f t="shared" si="58"/>
        <v>1.6980921429318137E-3</v>
      </c>
      <c r="I158" s="84">
        <f t="shared" si="59"/>
        <v>3.0197364190788938E-2</v>
      </c>
      <c r="J158" s="84">
        <f t="shared" si="60"/>
        <v>4.9299167876268014E-2</v>
      </c>
      <c r="K158" s="84">
        <f t="shared" si="61"/>
        <v>4.2261410929014288E-2</v>
      </c>
      <c r="L158" s="84">
        <f t="shared" si="62"/>
        <v>1.8815353181677553E-3</v>
      </c>
      <c r="M158" s="84">
        <f t="shared" si="63"/>
        <v>2.8224906465679621E-2</v>
      </c>
      <c r="N158" s="84">
        <f t="shared" si="64"/>
        <v>6.2905035725187033E-2</v>
      </c>
      <c r="O158" s="84">
        <f t="shared" si="65"/>
        <v>1.9044364176285571E-2</v>
      </c>
      <c r="P158" s="84">
        <f t="shared" si="66"/>
        <v>5.9948312809377114E-3</v>
      </c>
      <c r="Q158" s="84">
        <f t="shared" si="67"/>
        <v>3.9109712486850509E-3</v>
      </c>
      <c r="R158" s="84">
        <f t="shared" si="68"/>
        <v>2.2728043538603787E-3</v>
      </c>
      <c r="S158" s="84">
        <f t="shared" si="69"/>
        <v>1.7691500494907982E-2</v>
      </c>
      <c r="T158" s="84">
        <f t="shared" si="70"/>
        <v>5.4351469412174634E-3</v>
      </c>
      <c r="U158" s="84">
        <f t="shared" si="71"/>
        <v>4.4987343563445761E-3</v>
      </c>
      <c r="V158" s="84">
        <f t="shared" si="72"/>
        <v>3.6446602702706388E-2</v>
      </c>
      <c r="W158" s="84">
        <f t="shared" si="73"/>
        <v>0.19196612709635907</v>
      </c>
      <c r="X158" s="84">
        <f t="shared" si="74"/>
        <v>5.9092551783796098E-2</v>
      </c>
      <c r="Y158" s="84">
        <f t="shared" si="50"/>
        <v>0.99999999999999989</v>
      </c>
    </row>
    <row r="159" spans="1:25">
      <c r="A159" s="3">
        <v>2022</v>
      </c>
      <c r="B159" s="84">
        <f t="shared" si="52"/>
        <v>1.3131952684531654E-2</v>
      </c>
      <c r="C159" s="84">
        <f t="shared" si="53"/>
        <v>5.0704381278510752E-3</v>
      </c>
      <c r="D159" s="84">
        <f t="shared" si="54"/>
        <v>7.8299363506915895E-3</v>
      </c>
      <c r="E159" s="84">
        <f t="shared" si="55"/>
        <v>1.2983198836309884E-2</v>
      </c>
      <c r="F159" s="84">
        <f t="shared" si="56"/>
        <v>0.39498558398546041</v>
      </c>
      <c r="G159" s="84">
        <f t="shared" si="57"/>
        <v>3.1777429320176583E-3</v>
      </c>
      <c r="H159" s="84">
        <f t="shared" si="58"/>
        <v>1.6980921429318137E-3</v>
      </c>
      <c r="I159" s="84">
        <f t="shared" si="59"/>
        <v>3.0197364190788938E-2</v>
      </c>
      <c r="J159" s="84">
        <f t="shared" si="60"/>
        <v>4.9299167876268014E-2</v>
      </c>
      <c r="K159" s="84">
        <f t="shared" si="61"/>
        <v>4.2261410929014288E-2</v>
      </c>
      <c r="L159" s="84">
        <f t="shared" si="62"/>
        <v>1.8815353181677553E-3</v>
      </c>
      <c r="M159" s="84">
        <f t="shared" si="63"/>
        <v>2.8224906465679621E-2</v>
      </c>
      <c r="N159" s="84">
        <f t="shared" si="64"/>
        <v>6.2905035725187033E-2</v>
      </c>
      <c r="O159" s="84">
        <f t="shared" si="65"/>
        <v>1.9044364176285571E-2</v>
      </c>
      <c r="P159" s="84">
        <f t="shared" si="66"/>
        <v>5.9948312809377114E-3</v>
      </c>
      <c r="Q159" s="84">
        <f t="shared" si="67"/>
        <v>3.9109712486850509E-3</v>
      </c>
      <c r="R159" s="84">
        <f t="shared" si="68"/>
        <v>2.2728043538603787E-3</v>
      </c>
      <c r="S159" s="84">
        <f t="shared" si="69"/>
        <v>1.7691500494907982E-2</v>
      </c>
      <c r="T159" s="84">
        <f t="shared" si="70"/>
        <v>5.4351469412174634E-3</v>
      </c>
      <c r="U159" s="84">
        <f t="shared" si="71"/>
        <v>4.4987343563445761E-3</v>
      </c>
      <c r="V159" s="84">
        <f t="shared" si="72"/>
        <v>3.6446602702706388E-2</v>
      </c>
      <c r="W159" s="84">
        <f t="shared" si="73"/>
        <v>0.19196612709635907</v>
      </c>
      <c r="X159" s="84">
        <f t="shared" si="74"/>
        <v>5.9092551783796098E-2</v>
      </c>
      <c r="Y159" s="84">
        <f t="shared" si="50"/>
        <v>0.99999999999999989</v>
      </c>
    </row>
    <row r="160" spans="1:25">
      <c r="A160" s="3">
        <v>2023</v>
      </c>
      <c r="B160" s="84">
        <f t="shared" si="52"/>
        <v>1.3131952684531654E-2</v>
      </c>
      <c r="C160" s="84">
        <f t="shared" si="53"/>
        <v>5.0704381278510752E-3</v>
      </c>
      <c r="D160" s="84">
        <f t="shared" si="54"/>
        <v>7.8299363506915895E-3</v>
      </c>
      <c r="E160" s="84">
        <f t="shared" si="55"/>
        <v>1.2983198836309884E-2</v>
      </c>
      <c r="F160" s="84">
        <f t="shared" si="56"/>
        <v>0.39498558398546041</v>
      </c>
      <c r="G160" s="84">
        <f t="shared" si="57"/>
        <v>3.1777429320176583E-3</v>
      </c>
      <c r="H160" s="84">
        <f t="shared" si="58"/>
        <v>1.6980921429318137E-3</v>
      </c>
      <c r="I160" s="84">
        <f t="shared" si="59"/>
        <v>3.0197364190788938E-2</v>
      </c>
      <c r="J160" s="84">
        <f t="shared" si="60"/>
        <v>4.9299167876268014E-2</v>
      </c>
      <c r="K160" s="84">
        <f t="shared" si="61"/>
        <v>4.2261410929014288E-2</v>
      </c>
      <c r="L160" s="84">
        <f t="shared" si="62"/>
        <v>1.8815353181677553E-3</v>
      </c>
      <c r="M160" s="84">
        <f t="shared" si="63"/>
        <v>2.8224906465679621E-2</v>
      </c>
      <c r="N160" s="84">
        <f t="shared" si="64"/>
        <v>6.2905035725187033E-2</v>
      </c>
      <c r="O160" s="84">
        <f t="shared" si="65"/>
        <v>1.9044364176285571E-2</v>
      </c>
      <c r="P160" s="84">
        <f t="shared" si="66"/>
        <v>5.9948312809377114E-3</v>
      </c>
      <c r="Q160" s="84">
        <f t="shared" si="67"/>
        <v>3.9109712486850509E-3</v>
      </c>
      <c r="R160" s="84">
        <f t="shared" si="68"/>
        <v>2.2728043538603787E-3</v>
      </c>
      <c r="S160" s="84">
        <f t="shared" si="69"/>
        <v>1.7691500494907982E-2</v>
      </c>
      <c r="T160" s="84">
        <f t="shared" si="70"/>
        <v>5.4351469412174634E-3</v>
      </c>
      <c r="U160" s="84">
        <f t="shared" si="71"/>
        <v>4.4987343563445761E-3</v>
      </c>
      <c r="V160" s="84">
        <f t="shared" si="72"/>
        <v>3.6446602702706388E-2</v>
      </c>
      <c r="W160" s="84">
        <f t="shared" si="73"/>
        <v>0.19196612709635907</v>
      </c>
      <c r="X160" s="84">
        <f t="shared" si="74"/>
        <v>5.9092551783796098E-2</v>
      </c>
      <c r="Y160" s="84">
        <f t="shared" si="50"/>
        <v>0.99999999999999989</v>
      </c>
    </row>
    <row r="161" spans="1:25">
      <c r="A161" s="3">
        <v>2024</v>
      </c>
      <c r="B161" s="84">
        <f t="shared" si="52"/>
        <v>1.3131952684531654E-2</v>
      </c>
      <c r="C161" s="84">
        <f t="shared" si="53"/>
        <v>5.0704381278510752E-3</v>
      </c>
      <c r="D161" s="84">
        <f t="shared" si="54"/>
        <v>7.8299363506915895E-3</v>
      </c>
      <c r="E161" s="84">
        <f t="shared" si="55"/>
        <v>1.2983198836309884E-2</v>
      </c>
      <c r="F161" s="84">
        <f t="shared" si="56"/>
        <v>0.39498558398546041</v>
      </c>
      <c r="G161" s="84">
        <f t="shared" si="57"/>
        <v>3.1777429320176583E-3</v>
      </c>
      <c r="H161" s="84">
        <f t="shared" si="58"/>
        <v>1.6980921429318137E-3</v>
      </c>
      <c r="I161" s="84">
        <f t="shared" si="59"/>
        <v>3.0197364190788938E-2</v>
      </c>
      <c r="J161" s="84">
        <f t="shared" si="60"/>
        <v>4.9299167876268014E-2</v>
      </c>
      <c r="K161" s="84">
        <f t="shared" si="61"/>
        <v>4.2261410929014288E-2</v>
      </c>
      <c r="L161" s="84">
        <f t="shared" si="62"/>
        <v>1.8815353181677553E-3</v>
      </c>
      <c r="M161" s="84">
        <f t="shared" si="63"/>
        <v>2.8224906465679621E-2</v>
      </c>
      <c r="N161" s="84">
        <f t="shared" si="64"/>
        <v>6.2905035725187033E-2</v>
      </c>
      <c r="O161" s="84">
        <f t="shared" si="65"/>
        <v>1.9044364176285571E-2</v>
      </c>
      <c r="P161" s="84">
        <f t="shared" si="66"/>
        <v>5.9948312809377114E-3</v>
      </c>
      <c r="Q161" s="84">
        <f t="shared" si="67"/>
        <v>3.9109712486850509E-3</v>
      </c>
      <c r="R161" s="84">
        <f t="shared" si="68"/>
        <v>2.2728043538603787E-3</v>
      </c>
      <c r="S161" s="84">
        <f t="shared" si="69"/>
        <v>1.7691500494907982E-2</v>
      </c>
      <c r="T161" s="84">
        <f t="shared" si="70"/>
        <v>5.4351469412174634E-3</v>
      </c>
      <c r="U161" s="84">
        <f t="shared" si="71"/>
        <v>4.4987343563445761E-3</v>
      </c>
      <c r="V161" s="84">
        <f t="shared" si="72"/>
        <v>3.6446602702706388E-2</v>
      </c>
      <c r="W161" s="84">
        <f t="shared" si="73"/>
        <v>0.19196612709635907</v>
      </c>
      <c r="X161" s="84">
        <f t="shared" si="74"/>
        <v>5.9092551783796098E-2</v>
      </c>
      <c r="Y161" s="84">
        <f t="shared" si="50"/>
        <v>0.99999999999999989</v>
      </c>
    </row>
    <row r="162" spans="1:25">
      <c r="A162" s="3">
        <v>2025</v>
      </c>
      <c r="B162" s="84">
        <f t="shared" si="52"/>
        <v>1.3131952684531654E-2</v>
      </c>
      <c r="C162" s="84">
        <f t="shared" si="53"/>
        <v>5.0704381278510752E-3</v>
      </c>
      <c r="D162" s="84">
        <f t="shared" si="54"/>
        <v>7.8299363506915895E-3</v>
      </c>
      <c r="E162" s="84">
        <f t="shared" si="55"/>
        <v>1.2983198836309884E-2</v>
      </c>
      <c r="F162" s="84">
        <f t="shared" si="56"/>
        <v>0.39498558398546041</v>
      </c>
      <c r="G162" s="84">
        <f t="shared" si="57"/>
        <v>3.1777429320176583E-3</v>
      </c>
      <c r="H162" s="84">
        <f t="shared" si="58"/>
        <v>1.6980921429318137E-3</v>
      </c>
      <c r="I162" s="84">
        <f t="shared" si="59"/>
        <v>3.0197364190788938E-2</v>
      </c>
      <c r="J162" s="84">
        <f t="shared" si="60"/>
        <v>4.9299167876268014E-2</v>
      </c>
      <c r="K162" s="84">
        <f t="shared" si="61"/>
        <v>4.2261410929014288E-2</v>
      </c>
      <c r="L162" s="84">
        <f t="shared" si="62"/>
        <v>1.8815353181677553E-3</v>
      </c>
      <c r="M162" s="84">
        <f t="shared" si="63"/>
        <v>2.8224906465679621E-2</v>
      </c>
      <c r="N162" s="84">
        <f t="shared" si="64"/>
        <v>6.2905035725187033E-2</v>
      </c>
      <c r="O162" s="84">
        <f t="shared" si="65"/>
        <v>1.9044364176285571E-2</v>
      </c>
      <c r="P162" s="84">
        <f t="shared" si="66"/>
        <v>5.9948312809377114E-3</v>
      </c>
      <c r="Q162" s="84">
        <f t="shared" si="67"/>
        <v>3.9109712486850509E-3</v>
      </c>
      <c r="R162" s="84">
        <f t="shared" si="68"/>
        <v>2.2728043538603787E-3</v>
      </c>
      <c r="S162" s="84">
        <f t="shared" si="69"/>
        <v>1.7691500494907982E-2</v>
      </c>
      <c r="T162" s="84">
        <f t="shared" si="70"/>
        <v>5.4351469412174634E-3</v>
      </c>
      <c r="U162" s="84">
        <f t="shared" si="71"/>
        <v>4.4987343563445761E-3</v>
      </c>
      <c r="V162" s="84">
        <f t="shared" si="72"/>
        <v>3.6446602702706388E-2</v>
      </c>
      <c r="W162" s="84">
        <f t="shared" si="73"/>
        <v>0.19196612709635907</v>
      </c>
      <c r="X162" s="84">
        <f t="shared" si="74"/>
        <v>5.9092551783796098E-2</v>
      </c>
      <c r="Y162" s="84">
        <f t="shared" si="50"/>
        <v>0.99999999999999989</v>
      </c>
    </row>
    <row r="163" spans="1:25">
      <c r="A163" s="3">
        <v>2026</v>
      </c>
      <c r="B163" s="84">
        <f t="shared" si="52"/>
        <v>1.3131952684531654E-2</v>
      </c>
      <c r="C163" s="84">
        <f t="shared" si="53"/>
        <v>5.0704381278510752E-3</v>
      </c>
      <c r="D163" s="84">
        <f t="shared" si="54"/>
        <v>7.8299363506915895E-3</v>
      </c>
      <c r="E163" s="84">
        <f t="shared" si="55"/>
        <v>1.2983198836309884E-2</v>
      </c>
      <c r="F163" s="84">
        <f t="shared" si="56"/>
        <v>0.39498558398546041</v>
      </c>
      <c r="G163" s="84">
        <f t="shared" si="57"/>
        <v>3.1777429320176583E-3</v>
      </c>
      <c r="H163" s="84">
        <f t="shared" si="58"/>
        <v>1.6980921429318137E-3</v>
      </c>
      <c r="I163" s="84">
        <f t="shared" si="59"/>
        <v>3.0197364190788938E-2</v>
      </c>
      <c r="J163" s="84">
        <f t="shared" si="60"/>
        <v>4.9299167876268014E-2</v>
      </c>
      <c r="K163" s="84">
        <f t="shared" si="61"/>
        <v>4.2261410929014288E-2</v>
      </c>
      <c r="L163" s="84">
        <f t="shared" si="62"/>
        <v>1.8815353181677553E-3</v>
      </c>
      <c r="M163" s="84">
        <f t="shared" si="63"/>
        <v>2.8224906465679621E-2</v>
      </c>
      <c r="N163" s="84">
        <f t="shared" si="64"/>
        <v>6.2905035725187033E-2</v>
      </c>
      <c r="O163" s="84">
        <f t="shared" si="65"/>
        <v>1.9044364176285571E-2</v>
      </c>
      <c r="P163" s="84">
        <f t="shared" si="66"/>
        <v>5.9948312809377114E-3</v>
      </c>
      <c r="Q163" s="84">
        <f t="shared" si="67"/>
        <v>3.9109712486850509E-3</v>
      </c>
      <c r="R163" s="84">
        <f t="shared" si="68"/>
        <v>2.2728043538603787E-3</v>
      </c>
      <c r="S163" s="84">
        <f t="shared" si="69"/>
        <v>1.7691500494907982E-2</v>
      </c>
      <c r="T163" s="84">
        <f t="shared" si="70"/>
        <v>5.4351469412174634E-3</v>
      </c>
      <c r="U163" s="84">
        <f t="shared" si="71"/>
        <v>4.4987343563445761E-3</v>
      </c>
      <c r="V163" s="84">
        <f t="shared" si="72"/>
        <v>3.6446602702706388E-2</v>
      </c>
      <c r="W163" s="84">
        <f t="shared" si="73"/>
        <v>0.19196612709635907</v>
      </c>
      <c r="X163" s="84">
        <f t="shared" si="74"/>
        <v>5.9092551783796098E-2</v>
      </c>
      <c r="Y163" s="84">
        <f t="shared" si="50"/>
        <v>0.99999999999999989</v>
      </c>
    </row>
    <row r="164" spans="1:25">
      <c r="A164" s="3">
        <v>2027</v>
      </c>
      <c r="B164" s="84">
        <f t="shared" si="52"/>
        <v>1.3131952684531654E-2</v>
      </c>
      <c r="C164" s="84">
        <f t="shared" si="53"/>
        <v>5.0704381278510752E-3</v>
      </c>
      <c r="D164" s="84">
        <f t="shared" si="54"/>
        <v>7.8299363506915895E-3</v>
      </c>
      <c r="E164" s="84">
        <f t="shared" si="55"/>
        <v>1.2983198836309884E-2</v>
      </c>
      <c r="F164" s="84">
        <f t="shared" si="56"/>
        <v>0.39498558398546041</v>
      </c>
      <c r="G164" s="84">
        <f t="shared" si="57"/>
        <v>3.1777429320176583E-3</v>
      </c>
      <c r="H164" s="84">
        <f t="shared" si="58"/>
        <v>1.6980921429318137E-3</v>
      </c>
      <c r="I164" s="84">
        <f t="shared" si="59"/>
        <v>3.0197364190788938E-2</v>
      </c>
      <c r="J164" s="84">
        <f t="shared" si="60"/>
        <v>4.9299167876268014E-2</v>
      </c>
      <c r="K164" s="84">
        <f t="shared" si="61"/>
        <v>4.2261410929014288E-2</v>
      </c>
      <c r="L164" s="84">
        <f t="shared" si="62"/>
        <v>1.8815353181677553E-3</v>
      </c>
      <c r="M164" s="84">
        <f t="shared" si="63"/>
        <v>2.8224906465679621E-2</v>
      </c>
      <c r="N164" s="84">
        <f t="shared" si="64"/>
        <v>6.2905035725187033E-2</v>
      </c>
      <c r="O164" s="84">
        <f t="shared" si="65"/>
        <v>1.9044364176285571E-2</v>
      </c>
      <c r="P164" s="84">
        <f t="shared" si="66"/>
        <v>5.9948312809377114E-3</v>
      </c>
      <c r="Q164" s="84">
        <f t="shared" si="67"/>
        <v>3.9109712486850509E-3</v>
      </c>
      <c r="R164" s="84">
        <f t="shared" si="68"/>
        <v>2.2728043538603787E-3</v>
      </c>
      <c r="S164" s="84">
        <f t="shared" si="69"/>
        <v>1.7691500494907982E-2</v>
      </c>
      <c r="T164" s="84">
        <f t="shared" si="70"/>
        <v>5.4351469412174634E-3</v>
      </c>
      <c r="U164" s="84">
        <f t="shared" si="71"/>
        <v>4.4987343563445761E-3</v>
      </c>
      <c r="V164" s="84">
        <f t="shared" si="72"/>
        <v>3.6446602702706388E-2</v>
      </c>
      <c r="W164" s="84">
        <f t="shared" si="73"/>
        <v>0.19196612709635907</v>
      </c>
      <c r="X164" s="84">
        <f t="shared" si="74"/>
        <v>5.9092551783796098E-2</v>
      </c>
      <c r="Y164" s="84">
        <f t="shared" si="50"/>
        <v>0.99999999999999989</v>
      </c>
    </row>
    <row r="165" spans="1:25">
      <c r="A165" s="3">
        <v>2028</v>
      </c>
      <c r="B165" s="84">
        <f t="shared" si="52"/>
        <v>1.3131952684531654E-2</v>
      </c>
      <c r="C165" s="84">
        <f t="shared" si="53"/>
        <v>5.0704381278510752E-3</v>
      </c>
      <c r="D165" s="84">
        <f t="shared" si="54"/>
        <v>7.8299363506915895E-3</v>
      </c>
      <c r="E165" s="84">
        <f t="shared" si="55"/>
        <v>1.2983198836309884E-2</v>
      </c>
      <c r="F165" s="84">
        <f t="shared" si="56"/>
        <v>0.39498558398546041</v>
      </c>
      <c r="G165" s="84">
        <f t="shared" si="57"/>
        <v>3.1777429320176583E-3</v>
      </c>
      <c r="H165" s="84">
        <f t="shared" si="58"/>
        <v>1.6980921429318137E-3</v>
      </c>
      <c r="I165" s="84">
        <f t="shared" si="59"/>
        <v>3.0197364190788938E-2</v>
      </c>
      <c r="J165" s="84">
        <f t="shared" si="60"/>
        <v>4.9299167876268014E-2</v>
      </c>
      <c r="K165" s="84">
        <f t="shared" si="61"/>
        <v>4.2261410929014288E-2</v>
      </c>
      <c r="L165" s="84">
        <f t="shared" si="62"/>
        <v>1.8815353181677553E-3</v>
      </c>
      <c r="M165" s="84">
        <f t="shared" si="63"/>
        <v>2.8224906465679621E-2</v>
      </c>
      <c r="N165" s="84">
        <f t="shared" si="64"/>
        <v>6.2905035725187033E-2</v>
      </c>
      <c r="O165" s="84">
        <f t="shared" si="65"/>
        <v>1.9044364176285571E-2</v>
      </c>
      <c r="P165" s="84">
        <f t="shared" si="66"/>
        <v>5.9948312809377114E-3</v>
      </c>
      <c r="Q165" s="84">
        <f t="shared" si="67"/>
        <v>3.9109712486850509E-3</v>
      </c>
      <c r="R165" s="84">
        <f t="shared" si="68"/>
        <v>2.2728043538603787E-3</v>
      </c>
      <c r="S165" s="84">
        <f t="shared" si="69"/>
        <v>1.7691500494907982E-2</v>
      </c>
      <c r="T165" s="84">
        <f t="shared" si="70"/>
        <v>5.4351469412174634E-3</v>
      </c>
      <c r="U165" s="84">
        <f t="shared" si="71"/>
        <v>4.4987343563445761E-3</v>
      </c>
      <c r="V165" s="84">
        <f t="shared" si="72"/>
        <v>3.6446602702706388E-2</v>
      </c>
      <c r="W165" s="84">
        <f t="shared" si="73"/>
        <v>0.19196612709635907</v>
      </c>
      <c r="X165" s="84">
        <f t="shared" si="74"/>
        <v>5.9092551783796098E-2</v>
      </c>
      <c r="Y165" s="84">
        <f t="shared" si="50"/>
        <v>0.99999999999999989</v>
      </c>
    </row>
    <row r="166" spans="1:25">
      <c r="A166" s="3">
        <v>2029</v>
      </c>
      <c r="B166" s="84">
        <f t="shared" si="52"/>
        <v>1.3131952684531654E-2</v>
      </c>
      <c r="C166" s="84">
        <f t="shared" si="53"/>
        <v>5.0704381278510752E-3</v>
      </c>
      <c r="D166" s="84">
        <f t="shared" si="54"/>
        <v>7.8299363506915895E-3</v>
      </c>
      <c r="E166" s="84">
        <f t="shared" si="55"/>
        <v>1.2983198836309884E-2</v>
      </c>
      <c r="F166" s="84">
        <f t="shared" si="56"/>
        <v>0.39498558398546041</v>
      </c>
      <c r="G166" s="84">
        <f t="shared" si="57"/>
        <v>3.1777429320176583E-3</v>
      </c>
      <c r="H166" s="84">
        <f t="shared" si="58"/>
        <v>1.6980921429318137E-3</v>
      </c>
      <c r="I166" s="84">
        <f t="shared" si="59"/>
        <v>3.0197364190788938E-2</v>
      </c>
      <c r="J166" s="84">
        <f t="shared" si="60"/>
        <v>4.9299167876268014E-2</v>
      </c>
      <c r="K166" s="84">
        <f t="shared" si="61"/>
        <v>4.2261410929014288E-2</v>
      </c>
      <c r="L166" s="84">
        <f t="shared" si="62"/>
        <v>1.8815353181677553E-3</v>
      </c>
      <c r="M166" s="84">
        <f t="shared" si="63"/>
        <v>2.8224906465679621E-2</v>
      </c>
      <c r="N166" s="84">
        <f t="shared" si="64"/>
        <v>6.2905035725187033E-2</v>
      </c>
      <c r="O166" s="84">
        <f t="shared" si="65"/>
        <v>1.9044364176285571E-2</v>
      </c>
      <c r="P166" s="84">
        <f t="shared" si="66"/>
        <v>5.9948312809377114E-3</v>
      </c>
      <c r="Q166" s="84">
        <f t="shared" si="67"/>
        <v>3.9109712486850509E-3</v>
      </c>
      <c r="R166" s="84">
        <f t="shared" si="68"/>
        <v>2.2728043538603787E-3</v>
      </c>
      <c r="S166" s="84">
        <f t="shared" si="69"/>
        <v>1.7691500494907982E-2</v>
      </c>
      <c r="T166" s="84">
        <f t="shared" si="70"/>
        <v>5.4351469412174634E-3</v>
      </c>
      <c r="U166" s="84">
        <f t="shared" si="71"/>
        <v>4.4987343563445761E-3</v>
      </c>
      <c r="V166" s="84">
        <f t="shared" si="72"/>
        <v>3.6446602702706388E-2</v>
      </c>
      <c r="W166" s="84">
        <f t="shared" si="73"/>
        <v>0.19196612709635907</v>
      </c>
      <c r="X166" s="84">
        <f t="shared" si="74"/>
        <v>5.9092551783796098E-2</v>
      </c>
      <c r="Y166" s="84">
        <f t="shared" si="50"/>
        <v>0.99999999999999989</v>
      </c>
    </row>
    <row r="167" spans="1:25">
      <c r="A167" s="3">
        <v>2030</v>
      </c>
      <c r="B167" s="84">
        <f t="shared" si="52"/>
        <v>1.3131952684531654E-2</v>
      </c>
      <c r="C167" s="84">
        <f t="shared" si="53"/>
        <v>5.0704381278510752E-3</v>
      </c>
      <c r="D167" s="84">
        <f t="shared" si="54"/>
        <v>7.8299363506915895E-3</v>
      </c>
      <c r="E167" s="84">
        <f t="shared" si="55"/>
        <v>1.2983198836309884E-2</v>
      </c>
      <c r="F167" s="84">
        <f t="shared" si="56"/>
        <v>0.39498558398546041</v>
      </c>
      <c r="G167" s="84">
        <f t="shared" si="57"/>
        <v>3.1777429320176583E-3</v>
      </c>
      <c r="H167" s="84">
        <f t="shared" si="58"/>
        <v>1.6980921429318137E-3</v>
      </c>
      <c r="I167" s="84">
        <f t="shared" si="59"/>
        <v>3.0197364190788938E-2</v>
      </c>
      <c r="J167" s="84">
        <f t="shared" si="60"/>
        <v>4.9299167876268014E-2</v>
      </c>
      <c r="K167" s="84">
        <f t="shared" si="61"/>
        <v>4.2261410929014288E-2</v>
      </c>
      <c r="L167" s="84">
        <f t="shared" si="62"/>
        <v>1.8815353181677553E-3</v>
      </c>
      <c r="M167" s="84">
        <f t="shared" si="63"/>
        <v>2.8224906465679621E-2</v>
      </c>
      <c r="N167" s="84">
        <f t="shared" si="64"/>
        <v>6.2905035725187033E-2</v>
      </c>
      <c r="O167" s="84">
        <f t="shared" si="65"/>
        <v>1.9044364176285571E-2</v>
      </c>
      <c r="P167" s="84">
        <f t="shared" si="66"/>
        <v>5.9948312809377114E-3</v>
      </c>
      <c r="Q167" s="84">
        <f t="shared" si="67"/>
        <v>3.9109712486850509E-3</v>
      </c>
      <c r="R167" s="84">
        <f t="shared" si="68"/>
        <v>2.2728043538603787E-3</v>
      </c>
      <c r="S167" s="84">
        <f t="shared" si="69"/>
        <v>1.7691500494907982E-2</v>
      </c>
      <c r="T167" s="84">
        <f t="shared" si="70"/>
        <v>5.4351469412174634E-3</v>
      </c>
      <c r="U167" s="84">
        <f t="shared" si="71"/>
        <v>4.4987343563445761E-3</v>
      </c>
      <c r="V167" s="84">
        <f t="shared" si="72"/>
        <v>3.6446602702706388E-2</v>
      </c>
      <c r="W167" s="84">
        <f t="shared" si="73"/>
        <v>0.19196612709635907</v>
      </c>
      <c r="X167" s="84">
        <f t="shared" si="74"/>
        <v>5.9092551783796098E-2</v>
      </c>
      <c r="Y167" s="84">
        <f t="shared" si="50"/>
        <v>0.99999999999999989</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38"/>
  <sheetViews>
    <sheetView workbookViewId="0">
      <selection activeCell="Z23" sqref="Z23"/>
    </sheetView>
  </sheetViews>
  <sheetFormatPr defaultRowHeight="15"/>
  <sheetData>
    <row r="1" spans="1:25">
      <c r="B1" t="s">
        <v>1008</v>
      </c>
    </row>
    <row r="2" spans="1:25">
      <c r="A2" s="3"/>
      <c r="B2" s="168" t="s">
        <v>255</v>
      </c>
      <c r="C2" s="168" t="s">
        <v>539</v>
      </c>
      <c r="D2" s="168" t="s">
        <v>540</v>
      </c>
      <c r="E2" s="168" t="s">
        <v>238</v>
      </c>
      <c r="F2" s="168" t="s">
        <v>239</v>
      </c>
      <c r="G2" s="168" t="s">
        <v>541</v>
      </c>
      <c r="H2" s="168" t="s">
        <v>542</v>
      </c>
      <c r="I2" s="168" t="s">
        <v>240</v>
      </c>
      <c r="J2" s="168" t="s">
        <v>241</v>
      </c>
      <c r="K2" s="168" t="s">
        <v>242</v>
      </c>
      <c r="L2" s="168" t="s">
        <v>544</v>
      </c>
      <c r="M2" s="169" t="s">
        <v>538</v>
      </c>
      <c r="N2" s="168" t="s">
        <v>243</v>
      </c>
      <c r="O2" s="168" t="s">
        <v>244</v>
      </c>
      <c r="P2" s="168" t="s">
        <v>245</v>
      </c>
      <c r="Q2" s="170" t="s">
        <v>331</v>
      </c>
      <c r="R2" s="168" t="s">
        <v>246</v>
      </c>
      <c r="S2" s="168" t="s">
        <v>545</v>
      </c>
      <c r="T2" s="168" t="s">
        <v>247</v>
      </c>
      <c r="U2" s="168" t="s">
        <v>546</v>
      </c>
      <c r="V2" s="168" t="s">
        <v>248</v>
      </c>
      <c r="W2" s="168" t="s">
        <v>249</v>
      </c>
      <c r="X2" s="168" t="s">
        <v>1004</v>
      </c>
    </row>
    <row r="3" spans="1:25">
      <c r="A3" s="3">
        <v>2008</v>
      </c>
      <c r="B3" s="12">
        <f t="shared" ref="B3:Q3" si="0">$X3*B$8/$X$8</f>
        <v>8.3140094473870931</v>
      </c>
      <c r="C3" s="12">
        <f t="shared" si="0"/>
        <v>6.0276568493556422</v>
      </c>
      <c r="D3" s="12">
        <f t="shared" si="0"/>
        <v>5.8198066131709645</v>
      </c>
      <c r="E3" s="12">
        <f t="shared" si="0"/>
        <v>9.3532606283104798</v>
      </c>
      <c r="F3" s="12">
        <f t="shared" si="0"/>
        <v>7.7943838569253989</v>
      </c>
      <c r="G3" s="12">
        <f t="shared" si="0"/>
        <v>5.8198066131709645</v>
      </c>
      <c r="H3" s="12">
        <f t="shared" si="0"/>
        <v>5.8198066131709645</v>
      </c>
      <c r="I3" s="12">
        <f t="shared" si="0"/>
        <v>5.3001810227092712</v>
      </c>
      <c r="J3" s="12">
        <f t="shared" si="0"/>
        <v>6.0276568493556422</v>
      </c>
      <c r="K3" s="12">
        <f t="shared" si="0"/>
        <v>6.0276568493556422</v>
      </c>
      <c r="L3" s="12">
        <f t="shared" si="0"/>
        <v>5.8198066131709645</v>
      </c>
      <c r="M3" s="12">
        <f t="shared" si="0"/>
        <v>5.5080312588939488</v>
      </c>
      <c r="N3" s="12">
        <f t="shared" si="0"/>
        <v>5.7158814950786265</v>
      </c>
      <c r="O3" s="12">
        <f t="shared" si="0"/>
        <v>5.9237317312633033</v>
      </c>
      <c r="P3" s="12">
        <f t="shared" si="0"/>
        <v>5.8198066131709645</v>
      </c>
      <c r="Q3" s="12">
        <f t="shared" si="0"/>
        <v>8.3140094473870931</v>
      </c>
      <c r="R3" s="12">
        <f t="shared" ref="C3:W7" si="1">$X3*R$8/$X$8</f>
        <v>5.8198066131709645</v>
      </c>
      <c r="S3" s="12">
        <f t="shared" si="1"/>
        <v>5.8198066131709645</v>
      </c>
      <c r="T3" s="12">
        <f t="shared" si="1"/>
        <v>5.8198066131709645</v>
      </c>
      <c r="U3" s="12">
        <f t="shared" si="1"/>
        <v>5.8198066131709645</v>
      </c>
      <c r="V3" s="12">
        <f t="shared" si="1"/>
        <v>5.8198066131709645</v>
      </c>
      <c r="W3" s="12">
        <f t="shared" si="1"/>
        <v>8.7297099197564467</v>
      </c>
      <c r="X3" s="13">
        <v>8.4</v>
      </c>
    </row>
    <row r="4" spans="1:25">
      <c r="A4" s="3">
        <v>2009</v>
      </c>
      <c r="B4" s="12">
        <f>$X4*B$8/$X$8</f>
        <v>8.2512075579096749</v>
      </c>
      <c r="C4" s="12">
        <f t="shared" si="1"/>
        <v>5.9821254794845133</v>
      </c>
      <c r="D4" s="12">
        <f t="shared" si="1"/>
        <v>5.7758452905367719</v>
      </c>
      <c r="E4" s="12">
        <f t="shared" si="1"/>
        <v>9.2826085026483831</v>
      </c>
      <c r="F4" s="12">
        <f t="shared" si="1"/>
        <v>7.7355070855403198</v>
      </c>
      <c r="G4" s="12">
        <f t="shared" si="1"/>
        <v>5.7758452905367719</v>
      </c>
      <c r="H4" s="12">
        <f t="shared" si="1"/>
        <v>5.7758452905367719</v>
      </c>
      <c r="I4" s="12">
        <f t="shared" si="1"/>
        <v>5.2601448181674177</v>
      </c>
      <c r="J4" s="12">
        <f t="shared" si="1"/>
        <v>5.9821254794845133</v>
      </c>
      <c r="K4" s="12">
        <f t="shared" si="1"/>
        <v>5.9821254794845133</v>
      </c>
      <c r="L4" s="12">
        <f t="shared" si="1"/>
        <v>5.7758452905367719</v>
      </c>
      <c r="M4" s="12">
        <f t="shared" si="1"/>
        <v>5.4664250071151592</v>
      </c>
      <c r="N4" s="12">
        <f t="shared" si="1"/>
        <v>5.6727051960629016</v>
      </c>
      <c r="O4" s="12">
        <f t="shared" si="1"/>
        <v>5.878985385010643</v>
      </c>
      <c r="P4" s="12">
        <f t="shared" si="1"/>
        <v>5.7758452905367719</v>
      </c>
      <c r="Q4" s="12">
        <f t="shared" si="1"/>
        <v>8.2512075579096749</v>
      </c>
      <c r="R4" s="12">
        <f t="shared" si="1"/>
        <v>5.7758452905367719</v>
      </c>
      <c r="S4" s="12">
        <f t="shared" si="1"/>
        <v>5.7758452905367719</v>
      </c>
      <c r="T4" s="12">
        <f t="shared" si="1"/>
        <v>5.7758452905367719</v>
      </c>
      <c r="U4" s="12">
        <f t="shared" si="1"/>
        <v>5.7758452905367719</v>
      </c>
      <c r="V4" s="12">
        <f t="shared" si="1"/>
        <v>5.7758452905367719</v>
      </c>
      <c r="W4" s="12">
        <f t="shared" si="1"/>
        <v>8.6637679358051596</v>
      </c>
      <c r="X4" s="20">
        <f>X3+(X8-X3)/5</f>
        <v>8.3365485600000007</v>
      </c>
    </row>
    <row r="5" spans="1:25">
      <c r="A5" s="3">
        <v>2010</v>
      </c>
      <c r="B5" s="12">
        <f>$X5*B$8/$X$8</f>
        <v>8.1884056684322566</v>
      </c>
      <c r="C5" s="12">
        <f t="shared" si="1"/>
        <v>5.9365941096133863</v>
      </c>
      <c r="D5" s="12">
        <f t="shared" si="1"/>
        <v>5.7318839679025793</v>
      </c>
      <c r="E5" s="12">
        <f t="shared" si="1"/>
        <v>9.2119563769862882</v>
      </c>
      <c r="F5" s="12">
        <f t="shared" si="1"/>
        <v>7.6766303141552399</v>
      </c>
      <c r="G5" s="12">
        <f t="shared" si="1"/>
        <v>5.7318839679025793</v>
      </c>
      <c r="H5" s="12">
        <f t="shared" si="1"/>
        <v>5.7318839679025793</v>
      </c>
      <c r="I5" s="12">
        <f t="shared" si="1"/>
        <v>5.2201086136255626</v>
      </c>
      <c r="J5" s="12">
        <f t="shared" si="1"/>
        <v>5.9365941096133863</v>
      </c>
      <c r="K5" s="12">
        <f t="shared" si="1"/>
        <v>5.9365941096133863</v>
      </c>
      <c r="L5" s="12">
        <f t="shared" si="1"/>
        <v>5.7318839679025793</v>
      </c>
      <c r="M5" s="12">
        <f t="shared" si="1"/>
        <v>5.4248187553363696</v>
      </c>
      <c r="N5" s="12">
        <f t="shared" si="1"/>
        <v>5.6295288970471766</v>
      </c>
      <c r="O5" s="12">
        <f t="shared" si="1"/>
        <v>5.8342390387579828</v>
      </c>
      <c r="P5" s="12">
        <f t="shared" si="1"/>
        <v>5.7318839679025793</v>
      </c>
      <c r="Q5" s="12">
        <f t="shared" si="1"/>
        <v>8.1884056684322566</v>
      </c>
      <c r="R5" s="12">
        <f t="shared" si="1"/>
        <v>5.7318839679025793</v>
      </c>
      <c r="S5" s="12">
        <f t="shared" si="1"/>
        <v>5.7318839679025793</v>
      </c>
      <c r="T5" s="12">
        <f t="shared" si="1"/>
        <v>5.7318839679025793</v>
      </c>
      <c r="U5" s="12">
        <f t="shared" si="1"/>
        <v>5.7318839679025793</v>
      </c>
      <c r="V5" s="12">
        <f t="shared" si="1"/>
        <v>5.7318839679025793</v>
      </c>
      <c r="W5" s="12">
        <f t="shared" si="1"/>
        <v>8.5978259518538707</v>
      </c>
      <c r="X5" s="20">
        <f>X4+(X8-X3)/5</f>
        <v>8.273097120000001</v>
      </c>
    </row>
    <row r="6" spans="1:25">
      <c r="A6" s="3">
        <v>2011</v>
      </c>
      <c r="B6" s="12">
        <f>$X6*B$8/$X$8</f>
        <v>8.1256037789548383</v>
      </c>
      <c r="C6" s="12">
        <f t="shared" si="1"/>
        <v>5.8910627397422575</v>
      </c>
      <c r="D6" s="12">
        <f t="shared" si="1"/>
        <v>5.6879226452683866</v>
      </c>
      <c r="E6" s="12">
        <f t="shared" si="1"/>
        <v>9.1413042513241916</v>
      </c>
      <c r="F6" s="12">
        <f t="shared" si="1"/>
        <v>7.6177535427701608</v>
      </c>
      <c r="G6" s="12">
        <f t="shared" si="1"/>
        <v>5.6879226452683866</v>
      </c>
      <c r="H6" s="12">
        <f t="shared" si="1"/>
        <v>5.6879226452683866</v>
      </c>
      <c r="I6" s="12">
        <f t="shared" si="1"/>
        <v>5.1800724090837083</v>
      </c>
      <c r="J6" s="12">
        <f t="shared" si="1"/>
        <v>5.8910627397422575</v>
      </c>
      <c r="K6" s="12">
        <f t="shared" si="1"/>
        <v>5.8910627397422575</v>
      </c>
      <c r="L6" s="12">
        <f t="shared" si="1"/>
        <v>5.6879226452683866</v>
      </c>
      <c r="M6" s="12">
        <f t="shared" si="1"/>
        <v>5.38321250355758</v>
      </c>
      <c r="N6" s="12">
        <f t="shared" si="1"/>
        <v>5.5863525980314517</v>
      </c>
      <c r="O6" s="12">
        <f t="shared" si="1"/>
        <v>5.7894926925053225</v>
      </c>
      <c r="P6" s="12">
        <f t="shared" si="1"/>
        <v>5.6879226452683866</v>
      </c>
      <c r="Q6" s="12">
        <f t="shared" si="1"/>
        <v>8.1256037789548383</v>
      </c>
      <c r="R6" s="12">
        <f t="shared" si="1"/>
        <v>5.6879226452683866</v>
      </c>
      <c r="S6" s="12">
        <f t="shared" si="1"/>
        <v>5.6879226452683866</v>
      </c>
      <c r="T6" s="12">
        <f t="shared" si="1"/>
        <v>5.6879226452683866</v>
      </c>
      <c r="U6" s="12">
        <f t="shared" si="1"/>
        <v>5.6879226452683866</v>
      </c>
      <c r="V6" s="12">
        <f t="shared" si="1"/>
        <v>5.6879226452683866</v>
      </c>
      <c r="W6" s="12">
        <f t="shared" si="1"/>
        <v>8.53188396790258</v>
      </c>
      <c r="X6" s="20">
        <f>X5+(X8-X3)/5</f>
        <v>8.2096456800000013</v>
      </c>
    </row>
    <row r="7" spans="1:25">
      <c r="A7" s="217">
        <v>2012</v>
      </c>
      <c r="B7" s="218">
        <f>$X7*B$8/$X$8</f>
        <v>8.06280188947742</v>
      </c>
      <c r="C7" s="218">
        <f t="shared" si="1"/>
        <v>5.8455313698711286</v>
      </c>
      <c r="D7" s="218">
        <f t="shared" si="1"/>
        <v>5.643961322634194</v>
      </c>
      <c r="E7" s="218">
        <f t="shared" si="1"/>
        <v>9.0706521256620967</v>
      </c>
      <c r="F7" s="218">
        <f t="shared" si="1"/>
        <v>7.5588767713850817</v>
      </c>
      <c r="G7" s="218">
        <f t="shared" si="1"/>
        <v>5.643961322634194</v>
      </c>
      <c r="H7" s="218">
        <f t="shared" si="1"/>
        <v>5.643961322634194</v>
      </c>
      <c r="I7" s="218">
        <f t="shared" si="1"/>
        <v>5.1400362045418548</v>
      </c>
      <c r="J7" s="218">
        <f t="shared" si="1"/>
        <v>5.8455313698711286</v>
      </c>
      <c r="K7" s="218">
        <f t="shared" si="1"/>
        <v>5.8455313698711286</v>
      </c>
      <c r="L7" s="218">
        <f t="shared" si="1"/>
        <v>5.643961322634194</v>
      </c>
      <c r="M7" s="218">
        <f t="shared" si="1"/>
        <v>5.3416062517787903</v>
      </c>
      <c r="N7" s="218">
        <f t="shared" si="1"/>
        <v>5.5431762990157258</v>
      </c>
      <c r="O7" s="218">
        <f t="shared" si="1"/>
        <v>5.7447463462526622</v>
      </c>
      <c r="P7" s="218">
        <f t="shared" si="1"/>
        <v>5.643961322634194</v>
      </c>
      <c r="Q7" s="218">
        <f t="shared" si="1"/>
        <v>8.06280188947742</v>
      </c>
      <c r="R7" s="218">
        <f t="shared" si="1"/>
        <v>5.643961322634194</v>
      </c>
      <c r="S7" s="218">
        <f t="shared" si="1"/>
        <v>5.643961322634194</v>
      </c>
      <c r="T7" s="218">
        <f t="shared" si="1"/>
        <v>5.643961322634194</v>
      </c>
      <c r="U7" s="218">
        <f t="shared" si="1"/>
        <v>5.643961322634194</v>
      </c>
      <c r="V7" s="218">
        <f t="shared" si="1"/>
        <v>5.643961322634194</v>
      </c>
      <c r="W7" s="218">
        <f t="shared" si="1"/>
        <v>8.465941983951291</v>
      </c>
      <c r="X7" s="219">
        <f>X6+(X8-X3)/5</f>
        <v>8.1461942400000016</v>
      </c>
    </row>
    <row r="8" spans="1:25">
      <c r="A8" s="3">
        <v>2013</v>
      </c>
      <c r="B8" s="21">
        <v>8</v>
      </c>
      <c r="C8" s="88">
        <f>J8</f>
        <v>5.8</v>
      </c>
      <c r="D8" s="88">
        <f>V8</f>
        <v>5.6</v>
      </c>
      <c r="E8" s="21">
        <v>9</v>
      </c>
      <c r="F8" s="21">
        <v>7.5</v>
      </c>
      <c r="G8" s="88">
        <f>V8</f>
        <v>5.6</v>
      </c>
      <c r="H8" s="88">
        <f>V8</f>
        <v>5.6</v>
      </c>
      <c r="I8" s="21">
        <v>5.0999999999999996</v>
      </c>
      <c r="J8" s="21">
        <v>5.8</v>
      </c>
      <c r="K8" s="21">
        <v>5.8</v>
      </c>
      <c r="L8" s="88">
        <f>V8</f>
        <v>5.6</v>
      </c>
      <c r="M8" s="21">
        <v>5.3</v>
      </c>
      <c r="N8" s="21">
        <v>5.5</v>
      </c>
      <c r="O8" s="21">
        <v>5.7</v>
      </c>
      <c r="P8" s="88">
        <f>V8</f>
        <v>5.6</v>
      </c>
      <c r="Q8" s="21">
        <f>B8</f>
        <v>8</v>
      </c>
      <c r="R8" s="88">
        <f>V8</f>
        <v>5.6</v>
      </c>
      <c r="S8" s="88">
        <f>$V8</f>
        <v>5.6</v>
      </c>
      <c r="T8" s="88">
        <f>$V8</f>
        <v>5.6</v>
      </c>
      <c r="U8" s="88">
        <f>$V8</f>
        <v>5.6</v>
      </c>
      <c r="V8" s="21">
        <v>5.6</v>
      </c>
      <c r="W8" s="21">
        <v>8.4</v>
      </c>
      <c r="X8" s="13">
        <f>X9*1.012</f>
        <v>8.0827428000000001</v>
      </c>
    </row>
    <row r="9" spans="1:25">
      <c r="A9" s="3">
        <v>2014</v>
      </c>
      <c r="B9" s="12">
        <f t="shared" ref="B9:B35" si="2">$X9*B$8/$X$8</f>
        <v>7.9051383399209483</v>
      </c>
      <c r="C9" s="12">
        <f t="shared" ref="C9:W21" si="3">$X9*C$8/$X$8</f>
        <v>5.7312252964426875</v>
      </c>
      <c r="D9" s="12">
        <f t="shared" si="3"/>
        <v>5.5335968379446632</v>
      </c>
      <c r="E9" s="12">
        <f t="shared" si="3"/>
        <v>8.8932806324110665</v>
      </c>
      <c r="F9" s="12">
        <f t="shared" si="3"/>
        <v>7.4110671936758887</v>
      </c>
      <c r="G9" s="12">
        <f t="shared" si="3"/>
        <v>5.5335968379446632</v>
      </c>
      <c r="H9" s="12">
        <f t="shared" si="3"/>
        <v>5.5335968379446632</v>
      </c>
      <c r="I9" s="12">
        <f t="shared" si="3"/>
        <v>5.0395256916996036</v>
      </c>
      <c r="J9" s="12">
        <f t="shared" si="3"/>
        <v>5.7312252964426875</v>
      </c>
      <c r="K9" s="12">
        <f t="shared" si="3"/>
        <v>5.7312252964426875</v>
      </c>
      <c r="L9" s="12">
        <f t="shared" si="3"/>
        <v>5.5335968379446632</v>
      </c>
      <c r="M9" s="12">
        <f t="shared" si="3"/>
        <v>5.237154150197628</v>
      </c>
      <c r="N9" s="12">
        <f t="shared" si="3"/>
        <v>5.4347826086956514</v>
      </c>
      <c r="O9" s="12">
        <f t="shared" si="3"/>
        <v>5.6324110671936758</v>
      </c>
      <c r="P9" s="12">
        <f t="shared" si="3"/>
        <v>5.5335968379446632</v>
      </c>
      <c r="Q9" s="12">
        <f t="shared" si="3"/>
        <v>7.9051383399209483</v>
      </c>
      <c r="R9" s="12">
        <f t="shared" si="3"/>
        <v>5.5335968379446632</v>
      </c>
      <c r="S9" s="12">
        <f t="shared" si="3"/>
        <v>5.5335968379446632</v>
      </c>
      <c r="T9" s="12">
        <f t="shared" si="3"/>
        <v>5.5335968379446632</v>
      </c>
      <c r="U9" s="12">
        <f t="shared" si="3"/>
        <v>5.5335968379446632</v>
      </c>
      <c r="V9" s="12">
        <f t="shared" si="3"/>
        <v>5.5335968379446632</v>
      </c>
      <c r="W9" s="12">
        <f t="shared" si="3"/>
        <v>8.3003952569169961</v>
      </c>
      <c r="X9" s="13">
        <f>X10*1.011</f>
        <v>7.9868999999999994</v>
      </c>
    </row>
    <row r="10" spans="1:25">
      <c r="A10" s="3">
        <v>2015</v>
      </c>
      <c r="B10" s="12">
        <f t="shared" si="2"/>
        <v>7.8191279326616705</v>
      </c>
      <c r="C10" s="12">
        <f t="shared" si="3"/>
        <v>5.668867751179711</v>
      </c>
      <c r="D10" s="12">
        <f t="shared" si="3"/>
        <v>5.4733895528631695</v>
      </c>
      <c r="E10" s="12">
        <f t="shared" si="3"/>
        <v>8.7965189242443795</v>
      </c>
      <c r="F10" s="12">
        <f t="shared" si="3"/>
        <v>7.330432436870316</v>
      </c>
      <c r="G10" s="12">
        <f t="shared" si="3"/>
        <v>5.4733895528631695</v>
      </c>
      <c r="H10" s="12">
        <f t="shared" si="3"/>
        <v>5.4733895528631695</v>
      </c>
      <c r="I10" s="12">
        <f t="shared" si="3"/>
        <v>4.984694057071815</v>
      </c>
      <c r="J10" s="12">
        <f t="shared" si="3"/>
        <v>5.668867751179711</v>
      </c>
      <c r="K10" s="12">
        <f t="shared" si="3"/>
        <v>5.668867751179711</v>
      </c>
      <c r="L10" s="12">
        <f t="shared" si="3"/>
        <v>5.4733895528631695</v>
      </c>
      <c r="M10" s="12">
        <f t="shared" si="3"/>
        <v>5.1801722553883565</v>
      </c>
      <c r="N10" s="12">
        <f t="shared" si="3"/>
        <v>5.3756504537048988</v>
      </c>
      <c r="O10" s="12">
        <f t="shared" si="3"/>
        <v>5.5711286520214403</v>
      </c>
      <c r="P10" s="12">
        <f t="shared" si="3"/>
        <v>5.4733895528631695</v>
      </c>
      <c r="Q10" s="12">
        <f t="shared" si="3"/>
        <v>7.8191279326616705</v>
      </c>
      <c r="R10" s="12">
        <f t="shared" si="3"/>
        <v>5.4733895528631695</v>
      </c>
      <c r="S10" s="12">
        <f t="shared" si="3"/>
        <v>5.4733895528631695</v>
      </c>
      <c r="T10" s="12">
        <f t="shared" si="3"/>
        <v>5.4733895528631695</v>
      </c>
      <c r="U10" s="12">
        <f t="shared" si="3"/>
        <v>5.4733895528631695</v>
      </c>
      <c r="V10" s="12">
        <f t="shared" si="3"/>
        <v>5.4733895528631695</v>
      </c>
      <c r="W10" s="12">
        <f t="shared" si="3"/>
        <v>8.2100843292947534</v>
      </c>
      <c r="X10" s="13">
        <v>7.9</v>
      </c>
    </row>
    <row r="11" spans="1:25">
      <c r="A11" s="3">
        <v>2016</v>
      </c>
      <c r="B11" s="12">
        <f t="shared" si="2"/>
        <v>7.7417108244174946</v>
      </c>
      <c r="C11" s="12">
        <f t="shared" ref="C11:Q11" si="4">$X11*C$8/$X$8</f>
        <v>5.612740347702684</v>
      </c>
      <c r="D11" s="12">
        <f t="shared" si="4"/>
        <v>5.4191975770922465</v>
      </c>
      <c r="E11" s="12">
        <f t="shared" si="4"/>
        <v>8.7094246774696806</v>
      </c>
      <c r="F11" s="12">
        <f t="shared" si="4"/>
        <v>7.257853897891402</v>
      </c>
      <c r="G11" s="12">
        <f t="shared" si="4"/>
        <v>5.4191975770922465</v>
      </c>
      <c r="H11" s="12">
        <f t="shared" si="4"/>
        <v>5.4191975770922465</v>
      </c>
      <c r="I11" s="12">
        <f t="shared" si="4"/>
        <v>4.935340650566153</v>
      </c>
      <c r="J11" s="12">
        <f t="shared" si="4"/>
        <v>5.612740347702684</v>
      </c>
      <c r="K11" s="12">
        <f t="shared" si="4"/>
        <v>5.612740347702684</v>
      </c>
      <c r="L11" s="12">
        <f t="shared" si="4"/>
        <v>5.4191975770922465</v>
      </c>
      <c r="M11" s="12">
        <f t="shared" si="4"/>
        <v>5.1288834211765897</v>
      </c>
      <c r="N11" s="12">
        <f t="shared" si="4"/>
        <v>5.3224261917870281</v>
      </c>
      <c r="O11" s="12">
        <f t="shared" si="4"/>
        <v>5.5159689623974657</v>
      </c>
      <c r="P11" s="12">
        <f t="shared" si="4"/>
        <v>5.4191975770922465</v>
      </c>
      <c r="Q11" s="12">
        <f t="shared" si="4"/>
        <v>7.7417108244174946</v>
      </c>
      <c r="R11" s="12">
        <f t="shared" si="3"/>
        <v>5.4191975770922465</v>
      </c>
      <c r="S11" s="12">
        <f t="shared" si="3"/>
        <v>5.4191975770922465</v>
      </c>
      <c r="T11" s="12">
        <f t="shared" si="3"/>
        <v>5.4191975770922465</v>
      </c>
      <c r="U11" s="12">
        <f t="shared" si="3"/>
        <v>5.4191975770922465</v>
      </c>
      <c r="V11" s="12">
        <f t="shared" si="3"/>
        <v>5.4191975770922465</v>
      </c>
      <c r="W11" s="12">
        <f t="shared" si="3"/>
        <v>8.1287963656383706</v>
      </c>
      <c r="X11" s="13">
        <f>X10/1.01</f>
        <v>7.8217821782178216</v>
      </c>
      <c r="Y11" s="13"/>
    </row>
    <row r="12" spans="1:25">
      <c r="A12" s="3">
        <v>2017</v>
      </c>
      <c r="B12" s="12">
        <f t="shared" si="2"/>
        <v>7.6650602221955397</v>
      </c>
      <c r="C12" s="12">
        <f t="shared" si="3"/>
        <v>5.557168661091767</v>
      </c>
      <c r="D12" s="12">
        <f t="shared" si="3"/>
        <v>5.3655421555368772</v>
      </c>
      <c r="E12" s="12">
        <f t="shared" si="3"/>
        <v>8.6231927499699825</v>
      </c>
      <c r="F12" s="12">
        <f t="shared" si="3"/>
        <v>7.1859939583083188</v>
      </c>
      <c r="G12" s="12">
        <f t="shared" si="3"/>
        <v>5.3655421555368772</v>
      </c>
      <c r="H12" s="12">
        <f t="shared" si="3"/>
        <v>5.3655421555368772</v>
      </c>
      <c r="I12" s="12">
        <f t="shared" si="3"/>
        <v>4.8864758916496562</v>
      </c>
      <c r="J12" s="12">
        <f t="shared" si="3"/>
        <v>5.557168661091767</v>
      </c>
      <c r="K12" s="12">
        <f t="shared" si="3"/>
        <v>5.557168661091767</v>
      </c>
      <c r="L12" s="12">
        <f t="shared" si="3"/>
        <v>5.3655421555368772</v>
      </c>
      <c r="M12" s="12">
        <f t="shared" si="3"/>
        <v>5.0781023972045443</v>
      </c>
      <c r="N12" s="12">
        <f t="shared" si="3"/>
        <v>5.2697289027594341</v>
      </c>
      <c r="O12" s="12">
        <f t="shared" si="3"/>
        <v>5.4613554083143221</v>
      </c>
      <c r="P12" s="12">
        <f t="shared" si="3"/>
        <v>5.3655421555368772</v>
      </c>
      <c r="Q12" s="12">
        <f t="shared" si="3"/>
        <v>7.6650602221955397</v>
      </c>
      <c r="R12" s="12">
        <f t="shared" si="3"/>
        <v>5.3655421555368772</v>
      </c>
      <c r="S12" s="12">
        <f t="shared" si="3"/>
        <v>5.3655421555368772</v>
      </c>
      <c r="T12" s="12">
        <f t="shared" si="3"/>
        <v>5.3655421555368772</v>
      </c>
      <c r="U12" s="12">
        <f t="shared" si="3"/>
        <v>5.3655421555368772</v>
      </c>
      <c r="V12" s="12">
        <f t="shared" si="3"/>
        <v>5.3655421555368772</v>
      </c>
      <c r="W12" s="12">
        <f t="shared" si="3"/>
        <v>8.0483132333053167</v>
      </c>
      <c r="X12" s="13">
        <f t="shared" ref="X12:X35" si="5">X11/1.01</f>
        <v>7.744338790314675</v>
      </c>
      <c r="Y12" s="13"/>
    </row>
    <row r="13" spans="1:25">
      <c r="A13" s="3">
        <v>2018</v>
      </c>
      <c r="B13" s="12">
        <f t="shared" si="2"/>
        <v>7.589168536827267</v>
      </c>
      <c r="C13" s="12">
        <f t="shared" si="3"/>
        <v>5.5021471891997686</v>
      </c>
      <c r="D13" s="12">
        <f t="shared" si="3"/>
        <v>5.3124179757790868</v>
      </c>
      <c r="E13" s="12">
        <f t="shared" si="3"/>
        <v>8.537814603930677</v>
      </c>
      <c r="F13" s="12">
        <f t="shared" si="3"/>
        <v>7.1148455032755624</v>
      </c>
      <c r="G13" s="12">
        <f t="shared" si="3"/>
        <v>5.3124179757790868</v>
      </c>
      <c r="H13" s="12">
        <f t="shared" si="3"/>
        <v>5.3124179757790868</v>
      </c>
      <c r="I13" s="12">
        <f t="shared" si="3"/>
        <v>4.8380949422273831</v>
      </c>
      <c r="J13" s="12">
        <f t="shared" si="3"/>
        <v>5.5021471891997686</v>
      </c>
      <c r="K13" s="12">
        <f t="shared" si="3"/>
        <v>5.5021471891997686</v>
      </c>
      <c r="L13" s="12">
        <f t="shared" si="3"/>
        <v>5.3124179757790868</v>
      </c>
      <c r="M13" s="12">
        <f t="shared" si="3"/>
        <v>5.0278241556480641</v>
      </c>
      <c r="N13" s="12">
        <f t="shared" si="3"/>
        <v>5.2175533690687459</v>
      </c>
      <c r="O13" s="12">
        <f t="shared" si="3"/>
        <v>5.4072825824894286</v>
      </c>
      <c r="P13" s="12">
        <f t="shared" si="3"/>
        <v>5.3124179757790868</v>
      </c>
      <c r="Q13" s="12">
        <f t="shared" si="3"/>
        <v>7.589168536827267</v>
      </c>
      <c r="R13" s="12">
        <f t="shared" si="3"/>
        <v>5.3124179757790868</v>
      </c>
      <c r="S13" s="12">
        <f t="shared" si="3"/>
        <v>5.3124179757790868</v>
      </c>
      <c r="T13" s="12">
        <f t="shared" si="3"/>
        <v>5.3124179757790868</v>
      </c>
      <c r="U13" s="12">
        <f t="shared" si="3"/>
        <v>5.3124179757790868</v>
      </c>
      <c r="V13" s="12">
        <f t="shared" si="3"/>
        <v>5.3124179757790868</v>
      </c>
      <c r="W13" s="12">
        <f t="shared" si="3"/>
        <v>7.9686269636686315</v>
      </c>
      <c r="X13" s="13">
        <f t="shared" si="5"/>
        <v>7.6676621686283912</v>
      </c>
    </row>
    <row r="14" spans="1:25">
      <c r="A14" s="3">
        <v>2019</v>
      </c>
      <c r="B14" s="12">
        <f t="shared" si="2"/>
        <v>7.5140282542844226</v>
      </c>
      <c r="C14" s="12">
        <f t="shared" si="3"/>
        <v>5.4476704843562063</v>
      </c>
      <c r="D14" s="12">
        <f t="shared" si="3"/>
        <v>5.2598197779990956</v>
      </c>
      <c r="E14" s="12">
        <f t="shared" si="3"/>
        <v>8.4532817860699758</v>
      </c>
      <c r="F14" s="12">
        <f t="shared" si="3"/>
        <v>7.0444014883916468</v>
      </c>
      <c r="G14" s="12">
        <f t="shared" si="3"/>
        <v>5.2598197779990956</v>
      </c>
      <c r="H14" s="12">
        <f t="shared" si="3"/>
        <v>5.2598197779990956</v>
      </c>
      <c r="I14" s="12">
        <f t="shared" si="3"/>
        <v>4.790193012106319</v>
      </c>
      <c r="J14" s="12">
        <f t="shared" si="3"/>
        <v>5.4476704843562063</v>
      </c>
      <c r="K14" s="12">
        <f t="shared" si="3"/>
        <v>5.4476704843562063</v>
      </c>
      <c r="L14" s="12">
        <f t="shared" si="3"/>
        <v>5.2598197779990956</v>
      </c>
      <c r="M14" s="12">
        <f t="shared" si="3"/>
        <v>4.9780437184634296</v>
      </c>
      <c r="N14" s="12">
        <f t="shared" si="3"/>
        <v>5.1658944248205403</v>
      </c>
      <c r="O14" s="12">
        <f t="shared" si="3"/>
        <v>5.3537451311776518</v>
      </c>
      <c r="P14" s="12">
        <f t="shared" si="3"/>
        <v>5.2598197779990956</v>
      </c>
      <c r="Q14" s="12">
        <f t="shared" si="3"/>
        <v>7.5140282542844226</v>
      </c>
      <c r="R14" s="12">
        <f t="shared" si="3"/>
        <v>5.2598197779990956</v>
      </c>
      <c r="S14" s="12">
        <f t="shared" si="3"/>
        <v>5.2598197779990956</v>
      </c>
      <c r="T14" s="12">
        <f t="shared" si="3"/>
        <v>5.2598197779990956</v>
      </c>
      <c r="U14" s="12">
        <f t="shared" si="3"/>
        <v>5.2598197779990956</v>
      </c>
      <c r="V14" s="12">
        <f t="shared" si="3"/>
        <v>5.2598197779990956</v>
      </c>
      <c r="W14" s="12">
        <f t="shared" si="3"/>
        <v>7.8897296669986448</v>
      </c>
      <c r="X14" s="13">
        <f t="shared" si="5"/>
        <v>7.5917447214142486</v>
      </c>
    </row>
    <row r="15" spans="1:25">
      <c r="A15" s="3">
        <v>2020</v>
      </c>
      <c r="B15" s="12">
        <f t="shared" si="2"/>
        <v>7.4396319349350719</v>
      </c>
      <c r="C15" s="12">
        <f t="shared" si="3"/>
        <v>5.3937331528279273</v>
      </c>
      <c r="D15" s="12">
        <f t="shared" si="3"/>
        <v>5.2077423544545498</v>
      </c>
      <c r="E15" s="12">
        <f t="shared" si="3"/>
        <v>8.369585926801955</v>
      </c>
      <c r="F15" s="12">
        <f t="shared" si="3"/>
        <v>6.9746549390016304</v>
      </c>
      <c r="G15" s="12">
        <f t="shared" si="3"/>
        <v>5.2077423544545498</v>
      </c>
      <c r="H15" s="12">
        <f t="shared" si="3"/>
        <v>5.2077423544545498</v>
      </c>
      <c r="I15" s="12">
        <f t="shared" si="3"/>
        <v>4.7427653585211083</v>
      </c>
      <c r="J15" s="12">
        <f t="shared" si="3"/>
        <v>5.3937331528279273</v>
      </c>
      <c r="K15" s="12">
        <f t="shared" si="3"/>
        <v>5.3937331528279273</v>
      </c>
      <c r="L15" s="12">
        <f t="shared" si="3"/>
        <v>5.2077423544545498</v>
      </c>
      <c r="M15" s="12">
        <f t="shared" si="3"/>
        <v>4.9287561568944858</v>
      </c>
      <c r="N15" s="12">
        <f t="shared" si="3"/>
        <v>5.1147469552678624</v>
      </c>
      <c r="O15" s="12">
        <f t="shared" si="3"/>
        <v>5.300737753641239</v>
      </c>
      <c r="P15" s="12">
        <f t="shared" si="3"/>
        <v>5.2077423544545498</v>
      </c>
      <c r="Q15" s="12">
        <f t="shared" si="3"/>
        <v>7.4396319349350719</v>
      </c>
      <c r="R15" s="12">
        <f t="shared" si="3"/>
        <v>5.2077423544545498</v>
      </c>
      <c r="S15" s="12">
        <f t="shared" si="3"/>
        <v>5.2077423544545498</v>
      </c>
      <c r="T15" s="12">
        <f t="shared" si="3"/>
        <v>5.2077423544545498</v>
      </c>
      <c r="U15" s="12">
        <f t="shared" si="3"/>
        <v>5.2077423544545498</v>
      </c>
      <c r="V15" s="12">
        <f t="shared" si="3"/>
        <v>5.2077423544545498</v>
      </c>
      <c r="W15" s="12">
        <f t="shared" si="3"/>
        <v>7.811613531681826</v>
      </c>
      <c r="X15" s="13">
        <f t="shared" si="5"/>
        <v>7.5165789320933154</v>
      </c>
    </row>
    <row r="16" spans="1:25">
      <c r="A16" s="3">
        <v>2021</v>
      </c>
      <c r="B16" s="12">
        <f t="shared" si="2"/>
        <v>7.3659722128070015</v>
      </c>
      <c r="C16" s="12">
        <f t="shared" si="3"/>
        <v>5.3403298542850761</v>
      </c>
      <c r="D16" s="12">
        <f t="shared" si="3"/>
        <v>5.1561805489649011</v>
      </c>
      <c r="E16" s="12">
        <f t="shared" si="3"/>
        <v>8.2867187394078776</v>
      </c>
      <c r="F16" s="12">
        <f t="shared" si="3"/>
        <v>6.9055989495065635</v>
      </c>
      <c r="G16" s="12">
        <f t="shared" si="3"/>
        <v>5.1561805489649011</v>
      </c>
      <c r="H16" s="12">
        <f t="shared" si="3"/>
        <v>5.1561805489649011</v>
      </c>
      <c r="I16" s="12">
        <f t="shared" si="3"/>
        <v>4.6958072856644639</v>
      </c>
      <c r="J16" s="12">
        <f t="shared" si="3"/>
        <v>5.3403298542850761</v>
      </c>
      <c r="K16" s="12">
        <f t="shared" si="3"/>
        <v>5.3403298542850761</v>
      </c>
      <c r="L16" s="12">
        <f t="shared" si="3"/>
        <v>5.1561805489649011</v>
      </c>
      <c r="M16" s="12">
        <f t="shared" si="3"/>
        <v>4.8799565909846381</v>
      </c>
      <c r="N16" s="12">
        <f t="shared" si="3"/>
        <v>5.0641058963048131</v>
      </c>
      <c r="O16" s="12">
        <f t="shared" si="3"/>
        <v>5.248255201624989</v>
      </c>
      <c r="P16" s="12">
        <f t="shared" si="3"/>
        <v>5.1561805489649011</v>
      </c>
      <c r="Q16" s="12">
        <f t="shared" si="3"/>
        <v>7.3659722128070015</v>
      </c>
      <c r="R16" s="12">
        <f t="shared" si="3"/>
        <v>5.1561805489649011</v>
      </c>
      <c r="S16" s="12">
        <f t="shared" si="3"/>
        <v>5.1561805489649011</v>
      </c>
      <c r="T16" s="12">
        <f t="shared" si="3"/>
        <v>5.1561805489649011</v>
      </c>
      <c r="U16" s="12">
        <f t="shared" si="3"/>
        <v>5.1561805489649011</v>
      </c>
      <c r="V16" s="12">
        <f t="shared" si="3"/>
        <v>5.1561805489649011</v>
      </c>
      <c r="W16" s="12">
        <f t="shared" si="3"/>
        <v>7.7342708234473525</v>
      </c>
      <c r="X16" s="13">
        <f t="shared" si="5"/>
        <v>7.4421573585082328</v>
      </c>
    </row>
    <row r="17" spans="1:24">
      <c r="A17" s="3">
        <v>2022</v>
      </c>
      <c r="B17" s="12">
        <f t="shared" si="2"/>
        <v>7.293041794858417</v>
      </c>
      <c r="C17" s="12">
        <f t="shared" si="3"/>
        <v>5.2874553012723524</v>
      </c>
      <c r="D17" s="12">
        <f t="shared" si="3"/>
        <v>5.1051292564008923</v>
      </c>
      <c r="E17" s="12">
        <f t="shared" si="3"/>
        <v>8.204672019215721</v>
      </c>
      <c r="F17" s="12">
        <f t="shared" si="3"/>
        <v>6.8372266826797663</v>
      </c>
      <c r="G17" s="12">
        <f t="shared" si="3"/>
        <v>5.1051292564008923</v>
      </c>
      <c r="H17" s="12">
        <f t="shared" si="3"/>
        <v>5.1051292564008923</v>
      </c>
      <c r="I17" s="12">
        <f t="shared" si="3"/>
        <v>4.6493141442222399</v>
      </c>
      <c r="J17" s="12">
        <f t="shared" si="3"/>
        <v>5.2874553012723524</v>
      </c>
      <c r="K17" s="12">
        <f t="shared" si="3"/>
        <v>5.2874553012723524</v>
      </c>
      <c r="L17" s="12">
        <f t="shared" si="3"/>
        <v>5.1051292564008923</v>
      </c>
      <c r="M17" s="12">
        <f t="shared" si="3"/>
        <v>4.8316401890937009</v>
      </c>
      <c r="N17" s="12">
        <f t="shared" si="3"/>
        <v>5.0139662339651618</v>
      </c>
      <c r="O17" s="12">
        <f t="shared" si="3"/>
        <v>5.1962922788366219</v>
      </c>
      <c r="P17" s="12">
        <f t="shared" si="3"/>
        <v>5.1051292564008923</v>
      </c>
      <c r="Q17" s="12">
        <f t="shared" si="3"/>
        <v>7.293041794858417</v>
      </c>
      <c r="R17" s="12">
        <f t="shared" si="3"/>
        <v>5.1051292564008923</v>
      </c>
      <c r="S17" s="12">
        <f t="shared" si="3"/>
        <v>5.1051292564008923</v>
      </c>
      <c r="T17" s="12">
        <f t="shared" si="3"/>
        <v>5.1051292564008923</v>
      </c>
      <c r="U17" s="12">
        <f t="shared" si="3"/>
        <v>5.1051292564008923</v>
      </c>
      <c r="V17" s="12">
        <f t="shared" si="3"/>
        <v>5.1051292564008923</v>
      </c>
      <c r="W17" s="12">
        <f t="shared" si="3"/>
        <v>7.657693884601338</v>
      </c>
      <c r="X17" s="13">
        <f t="shared" si="5"/>
        <v>7.3684726321863687</v>
      </c>
    </row>
    <row r="18" spans="1:24">
      <c r="A18" s="3">
        <v>2023</v>
      </c>
      <c r="B18" s="12">
        <f t="shared" si="2"/>
        <v>7.220833460255859</v>
      </c>
      <c r="C18" s="12">
        <f t="shared" si="3"/>
        <v>5.2351042586854968</v>
      </c>
      <c r="D18" s="12">
        <f t="shared" si="3"/>
        <v>5.0545834221791015</v>
      </c>
      <c r="E18" s="12">
        <f t="shared" si="3"/>
        <v>8.1234376427878399</v>
      </c>
      <c r="F18" s="12">
        <f t="shared" si="3"/>
        <v>6.7695313689898686</v>
      </c>
      <c r="G18" s="12">
        <f t="shared" si="3"/>
        <v>5.0545834221791015</v>
      </c>
      <c r="H18" s="12">
        <f t="shared" si="3"/>
        <v>5.0545834221791015</v>
      </c>
      <c r="I18" s="12">
        <f t="shared" si="3"/>
        <v>4.6032813309131093</v>
      </c>
      <c r="J18" s="12">
        <f t="shared" si="3"/>
        <v>5.2351042586854968</v>
      </c>
      <c r="K18" s="12">
        <f t="shared" si="3"/>
        <v>5.2351042586854968</v>
      </c>
      <c r="L18" s="12">
        <f t="shared" si="3"/>
        <v>5.0545834221791015</v>
      </c>
      <c r="M18" s="12">
        <f t="shared" si="3"/>
        <v>4.7838021674195064</v>
      </c>
      <c r="N18" s="12">
        <f t="shared" si="3"/>
        <v>4.9643230039259034</v>
      </c>
      <c r="O18" s="12">
        <f t="shared" si="3"/>
        <v>5.1448438404322996</v>
      </c>
      <c r="P18" s="12">
        <f t="shared" si="3"/>
        <v>5.0545834221791015</v>
      </c>
      <c r="Q18" s="12">
        <f t="shared" si="3"/>
        <v>7.220833460255859</v>
      </c>
      <c r="R18" s="12">
        <f t="shared" si="3"/>
        <v>5.0545834221791015</v>
      </c>
      <c r="S18" s="12">
        <f t="shared" si="3"/>
        <v>5.0545834221791015</v>
      </c>
      <c r="T18" s="12">
        <f t="shared" si="3"/>
        <v>5.0545834221791015</v>
      </c>
      <c r="U18" s="12">
        <f t="shared" si="3"/>
        <v>5.0545834221791015</v>
      </c>
      <c r="V18" s="12">
        <f t="shared" si="3"/>
        <v>5.0545834221791015</v>
      </c>
      <c r="W18" s="12">
        <f t="shared" si="3"/>
        <v>7.5818751332686523</v>
      </c>
      <c r="X18" s="13">
        <f t="shared" si="5"/>
        <v>7.2955174576102664</v>
      </c>
    </row>
    <row r="19" spans="1:24">
      <c r="A19" s="3">
        <v>2024</v>
      </c>
      <c r="B19" s="12">
        <f t="shared" si="2"/>
        <v>7.1493400596592664</v>
      </c>
      <c r="C19" s="12">
        <f t="shared" si="3"/>
        <v>5.1832715432529675</v>
      </c>
      <c r="D19" s="12">
        <f t="shared" si="3"/>
        <v>5.0045380417614869</v>
      </c>
      <c r="E19" s="12">
        <f t="shared" si="3"/>
        <v>8.0430075671166747</v>
      </c>
      <c r="F19" s="12">
        <f t="shared" si="3"/>
        <v>6.7025063059305623</v>
      </c>
      <c r="G19" s="12">
        <f t="shared" si="3"/>
        <v>5.0045380417614869</v>
      </c>
      <c r="H19" s="12">
        <f t="shared" si="3"/>
        <v>5.0045380417614869</v>
      </c>
      <c r="I19" s="12">
        <f t="shared" si="3"/>
        <v>4.5577042880327818</v>
      </c>
      <c r="J19" s="12">
        <f t="shared" si="3"/>
        <v>5.1832715432529675</v>
      </c>
      <c r="K19" s="12">
        <f t="shared" si="3"/>
        <v>5.1832715432529675</v>
      </c>
      <c r="L19" s="12">
        <f t="shared" si="3"/>
        <v>5.0045380417614869</v>
      </c>
      <c r="M19" s="12">
        <f t="shared" si="3"/>
        <v>4.7364377895242633</v>
      </c>
      <c r="N19" s="12">
        <f t="shared" si="3"/>
        <v>4.9151712910157457</v>
      </c>
      <c r="O19" s="12">
        <f t="shared" si="3"/>
        <v>5.0939047925072272</v>
      </c>
      <c r="P19" s="12">
        <f t="shared" si="3"/>
        <v>5.0045380417614869</v>
      </c>
      <c r="Q19" s="12">
        <f t="shared" si="3"/>
        <v>7.1493400596592664</v>
      </c>
      <c r="R19" s="12">
        <f t="shared" si="3"/>
        <v>5.0045380417614869</v>
      </c>
      <c r="S19" s="12">
        <f t="shared" si="3"/>
        <v>5.0045380417614869</v>
      </c>
      <c r="T19" s="12">
        <f t="shared" si="3"/>
        <v>5.0045380417614869</v>
      </c>
      <c r="U19" s="12">
        <f t="shared" si="3"/>
        <v>5.0045380417614869</v>
      </c>
      <c r="V19" s="12">
        <f t="shared" si="3"/>
        <v>5.0045380417614869</v>
      </c>
      <c r="W19" s="12">
        <f t="shared" si="3"/>
        <v>7.5068070626422303</v>
      </c>
      <c r="X19" s="13">
        <f t="shared" si="5"/>
        <v>7.2232846114953135</v>
      </c>
    </row>
    <row r="20" spans="1:24">
      <c r="A20" s="3">
        <v>2025</v>
      </c>
      <c r="B20" s="12">
        <f t="shared" si="2"/>
        <v>7.0785545145141251</v>
      </c>
      <c r="C20" s="12">
        <f t="shared" si="3"/>
        <v>5.1319520230227402</v>
      </c>
      <c r="D20" s="12">
        <f t="shared" si="3"/>
        <v>4.9549881601598873</v>
      </c>
      <c r="E20" s="12">
        <f t="shared" si="3"/>
        <v>7.9633738288283915</v>
      </c>
      <c r="F20" s="12">
        <f t="shared" si="3"/>
        <v>6.6361448573569923</v>
      </c>
      <c r="G20" s="12">
        <f t="shared" si="3"/>
        <v>4.9549881601598873</v>
      </c>
      <c r="H20" s="12">
        <f t="shared" si="3"/>
        <v>4.9549881601598873</v>
      </c>
      <c r="I20" s="12">
        <f t="shared" si="3"/>
        <v>4.5125785030027545</v>
      </c>
      <c r="J20" s="12">
        <f t="shared" si="3"/>
        <v>5.1319520230227402</v>
      </c>
      <c r="K20" s="12">
        <f t="shared" si="3"/>
        <v>5.1319520230227402</v>
      </c>
      <c r="L20" s="12">
        <f t="shared" si="3"/>
        <v>4.9549881601598873</v>
      </c>
      <c r="M20" s="12">
        <f t="shared" si="3"/>
        <v>4.6895423658656084</v>
      </c>
      <c r="N20" s="12">
        <f t="shared" si="3"/>
        <v>4.8665062287284613</v>
      </c>
      <c r="O20" s="12">
        <f t="shared" si="3"/>
        <v>5.0434700915913142</v>
      </c>
      <c r="P20" s="12">
        <f t="shared" si="3"/>
        <v>4.9549881601598873</v>
      </c>
      <c r="Q20" s="12">
        <f t="shared" si="3"/>
        <v>7.0785545145141251</v>
      </c>
      <c r="R20" s="12">
        <f t="shared" si="3"/>
        <v>4.9549881601598873</v>
      </c>
      <c r="S20" s="12">
        <f t="shared" si="3"/>
        <v>4.9549881601598873</v>
      </c>
      <c r="T20" s="12">
        <f t="shared" si="3"/>
        <v>4.9549881601598873</v>
      </c>
      <c r="U20" s="12">
        <f t="shared" si="3"/>
        <v>4.9549881601598873</v>
      </c>
      <c r="V20" s="12">
        <f t="shared" si="3"/>
        <v>4.9549881601598873</v>
      </c>
      <c r="W20" s="12">
        <f t="shared" si="3"/>
        <v>7.4324822402398318</v>
      </c>
      <c r="X20" s="13">
        <f t="shared" si="5"/>
        <v>7.151766942074568</v>
      </c>
    </row>
    <row r="21" spans="1:24">
      <c r="A21" s="3">
        <v>2026</v>
      </c>
      <c r="B21" s="12">
        <f t="shared" si="2"/>
        <v>7.0084698163506198</v>
      </c>
      <c r="C21" s="12">
        <f t="shared" si="3"/>
        <v>5.0811406168541984</v>
      </c>
      <c r="D21" s="12">
        <f t="shared" si="3"/>
        <v>4.9059288714454334</v>
      </c>
      <c r="E21" s="12">
        <f t="shared" si="3"/>
        <v>7.8845285433944472</v>
      </c>
      <c r="F21" s="12">
        <f t="shared" si="3"/>
        <v>6.5704404528287066</v>
      </c>
      <c r="G21" s="12">
        <f t="shared" si="3"/>
        <v>4.9059288714454334</v>
      </c>
      <c r="H21" s="12">
        <f t="shared" si="3"/>
        <v>4.9059288714454334</v>
      </c>
      <c r="I21" s="12">
        <f t="shared" si="3"/>
        <v>4.4678995079235202</v>
      </c>
      <c r="J21" s="12">
        <f t="shared" si="3"/>
        <v>5.0811406168541984</v>
      </c>
      <c r="K21" s="12">
        <f t="shared" si="3"/>
        <v>5.0811406168541984</v>
      </c>
      <c r="L21" s="12">
        <f t="shared" si="3"/>
        <v>4.9059288714454334</v>
      </c>
      <c r="M21" s="12">
        <f t="shared" si="3"/>
        <v>4.6431112533322851</v>
      </c>
      <c r="N21" s="12">
        <f t="shared" si="3"/>
        <v>4.818322998741051</v>
      </c>
      <c r="O21" s="12">
        <f t="shared" si="3"/>
        <v>4.9935347441498168</v>
      </c>
      <c r="P21" s="12">
        <f t="shared" si="3"/>
        <v>4.9059288714454334</v>
      </c>
      <c r="Q21" s="12">
        <f t="shared" si="3"/>
        <v>7.0084698163506198</v>
      </c>
      <c r="R21" s="12">
        <f t="shared" si="3"/>
        <v>4.9059288714454334</v>
      </c>
      <c r="S21" s="12">
        <f t="shared" si="3"/>
        <v>4.9059288714454334</v>
      </c>
      <c r="T21" s="12">
        <f t="shared" si="3"/>
        <v>4.9059288714454334</v>
      </c>
      <c r="U21" s="12">
        <f t="shared" ref="C21:W33" si="6">$X21*U$8/$X$8</f>
        <v>4.9059288714454334</v>
      </c>
      <c r="V21" s="12">
        <f t="shared" si="6"/>
        <v>4.9059288714454334</v>
      </c>
      <c r="W21" s="12">
        <f t="shared" si="6"/>
        <v>7.3588933071681506</v>
      </c>
      <c r="X21" s="13">
        <f t="shared" si="5"/>
        <v>7.0809573683906617</v>
      </c>
    </row>
    <row r="22" spans="1:24">
      <c r="A22" s="3">
        <v>2027</v>
      </c>
      <c r="B22" s="12">
        <f t="shared" si="2"/>
        <v>6.9390790260897228</v>
      </c>
      <c r="C22" s="12">
        <f t="shared" si="6"/>
        <v>5.0308322939150489</v>
      </c>
      <c r="D22" s="12">
        <f t="shared" si="6"/>
        <v>4.8573553182628046</v>
      </c>
      <c r="E22" s="12">
        <f t="shared" si="6"/>
        <v>7.8064639043509381</v>
      </c>
      <c r="F22" s="12">
        <f t="shared" si="6"/>
        <v>6.5053865869591148</v>
      </c>
      <c r="G22" s="12">
        <f t="shared" si="6"/>
        <v>4.8573553182628046</v>
      </c>
      <c r="H22" s="12">
        <f t="shared" si="6"/>
        <v>4.8573553182628046</v>
      </c>
      <c r="I22" s="12">
        <f t="shared" si="6"/>
        <v>4.4236628791321984</v>
      </c>
      <c r="J22" s="12">
        <f t="shared" si="6"/>
        <v>5.0308322939150489</v>
      </c>
      <c r="K22" s="12">
        <f t="shared" si="6"/>
        <v>5.0308322939150489</v>
      </c>
      <c r="L22" s="12">
        <f t="shared" si="6"/>
        <v>4.8573553182628046</v>
      </c>
      <c r="M22" s="12">
        <f t="shared" si="6"/>
        <v>4.5971398547844409</v>
      </c>
      <c r="N22" s="12">
        <f t="shared" si="6"/>
        <v>4.7706168304366843</v>
      </c>
      <c r="O22" s="12">
        <f t="shared" si="6"/>
        <v>4.9440938060889277</v>
      </c>
      <c r="P22" s="12">
        <f t="shared" si="6"/>
        <v>4.8573553182628046</v>
      </c>
      <c r="Q22" s="12">
        <f t="shared" si="6"/>
        <v>6.9390790260897228</v>
      </c>
      <c r="R22" s="12">
        <f t="shared" si="6"/>
        <v>4.8573553182628046</v>
      </c>
      <c r="S22" s="12">
        <f t="shared" si="6"/>
        <v>4.8573553182628046</v>
      </c>
      <c r="T22" s="12">
        <f t="shared" si="6"/>
        <v>4.8573553182628046</v>
      </c>
      <c r="U22" s="12">
        <f t="shared" si="6"/>
        <v>4.8573553182628046</v>
      </c>
      <c r="V22" s="12">
        <f t="shared" si="6"/>
        <v>4.8573553182628046</v>
      </c>
      <c r="W22" s="12">
        <f t="shared" si="6"/>
        <v>7.2860329773942096</v>
      </c>
      <c r="X22" s="13">
        <f t="shared" si="5"/>
        <v>7.0108488795947146</v>
      </c>
    </row>
    <row r="23" spans="1:24">
      <c r="A23" s="3">
        <v>2028</v>
      </c>
      <c r="B23" s="12">
        <f t="shared" si="2"/>
        <v>6.8703752733561609</v>
      </c>
      <c r="C23" s="12">
        <f t="shared" si="6"/>
        <v>4.9810220731832171</v>
      </c>
      <c r="D23" s="12">
        <f t="shared" si="6"/>
        <v>4.8092626913493124</v>
      </c>
      <c r="E23" s="12">
        <f t="shared" si="6"/>
        <v>7.7291721825256818</v>
      </c>
      <c r="F23" s="12">
        <f t="shared" si="6"/>
        <v>6.4409768187714009</v>
      </c>
      <c r="G23" s="12">
        <f t="shared" si="6"/>
        <v>4.8092626913493124</v>
      </c>
      <c r="H23" s="12">
        <f t="shared" si="6"/>
        <v>4.8092626913493124</v>
      </c>
      <c r="I23" s="12">
        <f t="shared" si="6"/>
        <v>4.3798642367645524</v>
      </c>
      <c r="J23" s="12">
        <f t="shared" si="6"/>
        <v>4.9810220731832171</v>
      </c>
      <c r="K23" s="12">
        <f t="shared" si="6"/>
        <v>4.9810220731832171</v>
      </c>
      <c r="L23" s="12">
        <f t="shared" si="6"/>
        <v>4.8092626913493124</v>
      </c>
      <c r="M23" s="12">
        <f t="shared" si="6"/>
        <v>4.5516236185984562</v>
      </c>
      <c r="N23" s="12">
        <f t="shared" si="6"/>
        <v>4.7233830004323609</v>
      </c>
      <c r="O23" s="12">
        <f t="shared" si="6"/>
        <v>4.8951423822662647</v>
      </c>
      <c r="P23" s="12">
        <f t="shared" si="6"/>
        <v>4.8092626913493124</v>
      </c>
      <c r="Q23" s="12">
        <f t="shared" si="6"/>
        <v>6.8703752733561609</v>
      </c>
      <c r="R23" s="12">
        <f t="shared" si="6"/>
        <v>4.8092626913493124</v>
      </c>
      <c r="S23" s="12">
        <f t="shared" si="6"/>
        <v>4.8092626913493124</v>
      </c>
      <c r="T23" s="12">
        <f t="shared" si="6"/>
        <v>4.8092626913493124</v>
      </c>
      <c r="U23" s="12">
        <f t="shared" si="6"/>
        <v>4.8092626913493124</v>
      </c>
      <c r="V23" s="12">
        <f t="shared" si="6"/>
        <v>4.8092626913493124</v>
      </c>
      <c r="W23" s="12">
        <f t="shared" si="6"/>
        <v>7.2138940370239695</v>
      </c>
      <c r="X23" s="13">
        <f t="shared" si="5"/>
        <v>6.9414345342521928</v>
      </c>
    </row>
    <row r="24" spans="1:24">
      <c r="A24" s="3">
        <v>2029</v>
      </c>
      <c r="B24" s="12">
        <f t="shared" si="2"/>
        <v>6.8023517557981794</v>
      </c>
      <c r="C24" s="12">
        <f t="shared" si="6"/>
        <v>4.9317050229536799</v>
      </c>
      <c r="D24" s="12">
        <f t="shared" si="6"/>
        <v>4.7616462290587247</v>
      </c>
      <c r="E24" s="12">
        <f t="shared" si="6"/>
        <v>7.6526457252729516</v>
      </c>
      <c r="F24" s="12">
        <f t="shared" si="6"/>
        <v>6.3772047710607929</v>
      </c>
      <c r="G24" s="12">
        <f t="shared" si="6"/>
        <v>4.7616462290587247</v>
      </c>
      <c r="H24" s="12">
        <f t="shared" si="6"/>
        <v>4.7616462290587247</v>
      </c>
      <c r="I24" s="12">
        <f t="shared" si="6"/>
        <v>4.336499244321339</v>
      </c>
      <c r="J24" s="12">
        <f t="shared" si="6"/>
        <v>4.9317050229536799</v>
      </c>
      <c r="K24" s="12">
        <f t="shared" si="6"/>
        <v>4.9317050229536799</v>
      </c>
      <c r="L24" s="12">
        <f t="shared" si="6"/>
        <v>4.7616462290587247</v>
      </c>
      <c r="M24" s="12">
        <f t="shared" si="6"/>
        <v>4.5065580382162933</v>
      </c>
      <c r="N24" s="12">
        <f t="shared" si="6"/>
        <v>4.6766168321112485</v>
      </c>
      <c r="O24" s="12">
        <f t="shared" si="6"/>
        <v>4.8466756260062027</v>
      </c>
      <c r="P24" s="12">
        <f t="shared" si="6"/>
        <v>4.7616462290587247</v>
      </c>
      <c r="Q24" s="12">
        <f t="shared" si="6"/>
        <v>6.8023517557981794</v>
      </c>
      <c r="R24" s="12">
        <f t="shared" si="6"/>
        <v>4.7616462290587247</v>
      </c>
      <c r="S24" s="12">
        <f t="shared" si="6"/>
        <v>4.7616462290587247</v>
      </c>
      <c r="T24" s="12">
        <f t="shared" si="6"/>
        <v>4.7616462290587247</v>
      </c>
      <c r="U24" s="12">
        <f t="shared" si="6"/>
        <v>4.7616462290587247</v>
      </c>
      <c r="V24" s="12">
        <f t="shared" si="6"/>
        <v>4.7616462290587247</v>
      </c>
      <c r="W24" s="12">
        <f t="shared" si="6"/>
        <v>7.1424693435880888</v>
      </c>
      <c r="X24" s="13">
        <f t="shared" si="5"/>
        <v>6.8727074596556363</v>
      </c>
    </row>
    <row r="25" spans="1:24">
      <c r="A25" s="3">
        <v>2030</v>
      </c>
      <c r="B25" s="12">
        <f t="shared" si="2"/>
        <v>6.7350017384140388</v>
      </c>
      <c r="C25" s="12">
        <f t="shared" si="6"/>
        <v>4.8828762603501783</v>
      </c>
      <c r="D25" s="12">
        <f t="shared" si="6"/>
        <v>4.7145012168898264</v>
      </c>
      <c r="E25" s="12">
        <f t="shared" si="6"/>
        <v>7.5768769557157931</v>
      </c>
      <c r="F25" s="12">
        <f t="shared" si="6"/>
        <v>6.3140641297631612</v>
      </c>
      <c r="G25" s="12">
        <f t="shared" si="6"/>
        <v>4.7145012168898264</v>
      </c>
      <c r="H25" s="12">
        <f t="shared" si="6"/>
        <v>4.7145012168898264</v>
      </c>
      <c r="I25" s="12">
        <f t="shared" si="6"/>
        <v>4.2935636082389497</v>
      </c>
      <c r="J25" s="12">
        <f t="shared" si="6"/>
        <v>4.8828762603501783</v>
      </c>
      <c r="K25" s="12">
        <f t="shared" si="6"/>
        <v>4.8828762603501783</v>
      </c>
      <c r="L25" s="12">
        <f t="shared" si="6"/>
        <v>4.7145012168898264</v>
      </c>
      <c r="M25" s="12">
        <f t="shared" si="6"/>
        <v>4.4619386516992998</v>
      </c>
      <c r="N25" s="12">
        <f t="shared" si="6"/>
        <v>4.6303136951596517</v>
      </c>
      <c r="O25" s="12">
        <f t="shared" si="6"/>
        <v>4.7986887386200028</v>
      </c>
      <c r="P25" s="12">
        <f t="shared" si="6"/>
        <v>4.7145012168898264</v>
      </c>
      <c r="Q25" s="12">
        <f t="shared" si="6"/>
        <v>6.7350017384140388</v>
      </c>
      <c r="R25" s="12">
        <f t="shared" si="6"/>
        <v>4.7145012168898264</v>
      </c>
      <c r="S25" s="12">
        <f t="shared" si="6"/>
        <v>4.7145012168898264</v>
      </c>
      <c r="T25" s="12">
        <f t="shared" si="6"/>
        <v>4.7145012168898264</v>
      </c>
      <c r="U25" s="12">
        <f t="shared" si="6"/>
        <v>4.7145012168898264</v>
      </c>
      <c r="V25" s="12">
        <f t="shared" si="6"/>
        <v>4.7145012168898264</v>
      </c>
      <c r="W25" s="12">
        <f t="shared" si="6"/>
        <v>7.0717518253347409</v>
      </c>
      <c r="X25" s="13">
        <f t="shared" si="5"/>
        <v>6.8046608511441944</v>
      </c>
    </row>
    <row r="26" spans="1:24">
      <c r="A26" s="3">
        <v>2031</v>
      </c>
      <c r="B26" s="12">
        <f t="shared" si="2"/>
        <v>6.6683185528851867</v>
      </c>
      <c r="C26" s="12">
        <f t="shared" si="6"/>
        <v>4.83453095084176</v>
      </c>
      <c r="D26" s="12">
        <f t="shared" si="6"/>
        <v>4.6678229870196306</v>
      </c>
      <c r="E26" s="12">
        <f t="shared" si="6"/>
        <v>7.5018583719958345</v>
      </c>
      <c r="F26" s="12">
        <f t="shared" si="6"/>
        <v>6.2515486433298619</v>
      </c>
      <c r="G26" s="12">
        <f t="shared" si="6"/>
        <v>4.6678229870196306</v>
      </c>
      <c r="H26" s="12">
        <f t="shared" si="6"/>
        <v>4.6678229870196306</v>
      </c>
      <c r="I26" s="12">
        <f t="shared" si="6"/>
        <v>4.2510530774643067</v>
      </c>
      <c r="J26" s="12">
        <f t="shared" si="6"/>
        <v>4.83453095084176</v>
      </c>
      <c r="K26" s="12">
        <f t="shared" si="6"/>
        <v>4.83453095084176</v>
      </c>
      <c r="L26" s="12">
        <f t="shared" si="6"/>
        <v>4.6678229870196306</v>
      </c>
      <c r="M26" s="12">
        <f t="shared" si="6"/>
        <v>4.4177610412864361</v>
      </c>
      <c r="N26" s="12">
        <f t="shared" si="6"/>
        <v>4.5844690051085655</v>
      </c>
      <c r="O26" s="12">
        <f t="shared" si="6"/>
        <v>4.7511769689306957</v>
      </c>
      <c r="P26" s="12">
        <f t="shared" si="6"/>
        <v>4.6678229870196306</v>
      </c>
      <c r="Q26" s="12">
        <f t="shared" si="6"/>
        <v>6.6683185528851867</v>
      </c>
      <c r="R26" s="12">
        <f t="shared" si="6"/>
        <v>4.6678229870196306</v>
      </c>
      <c r="S26" s="12">
        <f t="shared" si="6"/>
        <v>4.6678229870196306</v>
      </c>
      <c r="T26" s="12">
        <f t="shared" si="6"/>
        <v>4.6678229870196306</v>
      </c>
      <c r="U26" s="12">
        <f t="shared" si="6"/>
        <v>4.6678229870196306</v>
      </c>
      <c r="V26" s="12">
        <f t="shared" si="6"/>
        <v>4.6678229870196306</v>
      </c>
      <c r="W26" s="12">
        <f t="shared" si="6"/>
        <v>7.0017344805294464</v>
      </c>
      <c r="X26" s="13">
        <f t="shared" si="5"/>
        <v>6.737287971429895</v>
      </c>
    </row>
    <row r="27" spans="1:24">
      <c r="A27" s="3">
        <v>2032</v>
      </c>
      <c r="B27" s="12">
        <f t="shared" si="2"/>
        <v>6.6022955969160266</v>
      </c>
      <c r="C27" s="12">
        <f t="shared" si="6"/>
        <v>4.7866643077641191</v>
      </c>
      <c r="D27" s="12">
        <f t="shared" si="6"/>
        <v>4.621606917841218</v>
      </c>
      <c r="E27" s="12">
        <f t="shared" si="6"/>
        <v>7.4275825465305294</v>
      </c>
      <c r="F27" s="12">
        <f t="shared" si="6"/>
        <v>6.1896521221087744</v>
      </c>
      <c r="G27" s="12">
        <f t="shared" si="6"/>
        <v>4.621606917841218</v>
      </c>
      <c r="H27" s="12">
        <f t="shared" si="6"/>
        <v>4.621606917841218</v>
      </c>
      <c r="I27" s="12">
        <f t="shared" si="6"/>
        <v>4.2089634430339666</v>
      </c>
      <c r="J27" s="12">
        <f t="shared" si="6"/>
        <v>4.7866643077641191</v>
      </c>
      <c r="K27" s="12">
        <f t="shared" si="6"/>
        <v>4.7866643077641191</v>
      </c>
      <c r="L27" s="12">
        <f t="shared" si="6"/>
        <v>4.621606917841218</v>
      </c>
      <c r="M27" s="12">
        <f t="shared" si="6"/>
        <v>4.3740208329568668</v>
      </c>
      <c r="N27" s="12">
        <f t="shared" si="6"/>
        <v>4.5390782228797679</v>
      </c>
      <c r="O27" s="12">
        <f t="shared" si="6"/>
        <v>4.7041356128026681</v>
      </c>
      <c r="P27" s="12">
        <f t="shared" si="6"/>
        <v>4.621606917841218</v>
      </c>
      <c r="Q27" s="12">
        <f t="shared" si="6"/>
        <v>6.6022955969160266</v>
      </c>
      <c r="R27" s="12">
        <f t="shared" si="6"/>
        <v>4.621606917841218</v>
      </c>
      <c r="S27" s="12">
        <f t="shared" si="6"/>
        <v>4.621606917841218</v>
      </c>
      <c r="T27" s="12">
        <f t="shared" si="6"/>
        <v>4.621606917841218</v>
      </c>
      <c r="U27" s="12">
        <f t="shared" si="6"/>
        <v>4.621606917841218</v>
      </c>
      <c r="V27" s="12">
        <f t="shared" si="6"/>
        <v>4.621606917841218</v>
      </c>
      <c r="W27" s="12">
        <f t="shared" si="6"/>
        <v>6.9324103767618279</v>
      </c>
      <c r="X27" s="13">
        <f t="shared" si="5"/>
        <v>6.6705821499305893</v>
      </c>
    </row>
    <row r="28" spans="1:24">
      <c r="A28" s="3">
        <v>2033</v>
      </c>
      <c r="B28" s="12">
        <f t="shared" si="2"/>
        <v>6.5369263335802241</v>
      </c>
      <c r="C28" s="12">
        <f t="shared" si="6"/>
        <v>4.7392715918456618</v>
      </c>
      <c r="D28" s="12">
        <f t="shared" si="6"/>
        <v>4.5758484335061569</v>
      </c>
      <c r="E28" s="12">
        <f t="shared" si="6"/>
        <v>7.3540421252777515</v>
      </c>
      <c r="F28" s="12">
        <f t="shared" si="6"/>
        <v>6.12836843773146</v>
      </c>
      <c r="G28" s="12">
        <f t="shared" si="6"/>
        <v>4.5758484335061569</v>
      </c>
      <c r="H28" s="12">
        <f t="shared" si="6"/>
        <v>4.5758484335061569</v>
      </c>
      <c r="I28" s="12">
        <f t="shared" si="6"/>
        <v>4.1672905376573928</v>
      </c>
      <c r="J28" s="12">
        <f t="shared" si="6"/>
        <v>4.7392715918456618</v>
      </c>
      <c r="K28" s="12">
        <f t="shared" si="6"/>
        <v>4.7392715918456618</v>
      </c>
      <c r="L28" s="12">
        <f t="shared" si="6"/>
        <v>4.5758484335061569</v>
      </c>
      <c r="M28" s="12">
        <f t="shared" si="6"/>
        <v>4.3307136959968986</v>
      </c>
      <c r="N28" s="12">
        <f t="shared" si="6"/>
        <v>4.4941368543364035</v>
      </c>
      <c r="O28" s="12">
        <f t="shared" si="6"/>
        <v>4.6575600126759094</v>
      </c>
      <c r="P28" s="12">
        <f t="shared" si="6"/>
        <v>4.5758484335061569</v>
      </c>
      <c r="Q28" s="12">
        <f t="shared" si="6"/>
        <v>6.5369263335802241</v>
      </c>
      <c r="R28" s="12">
        <f t="shared" si="6"/>
        <v>4.5758484335061569</v>
      </c>
      <c r="S28" s="12">
        <f t="shared" si="6"/>
        <v>4.5758484335061569</v>
      </c>
      <c r="T28" s="12">
        <f t="shared" si="6"/>
        <v>4.5758484335061569</v>
      </c>
      <c r="U28" s="12">
        <f t="shared" si="6"/>
        <v>4.5758484335061569</v>
      </c>
      <c r="V28" s="12">
        <f t="shared" si="6"/>
        <v>4.5758484335061569</v>
      </c>
      <c r="W28" s="12">
        <f t="shared" si="6"/>
        <v>6.8637726502592349</v>
      </c>
      <c r="X28" s="13">
        <f t="shared" si="5"/>
        <v>6.604536782109494</v>
      </c>
    </row>
    <row r="29" spans="1:24">
      <c r="A29" s="3">
        <v>2034</v>
      </c>
      <c r="B29" s="12">
        <f t="shared" si="2"/>
        <v>6.4722042906734885</v>
      </c>
      <c r="C29" s="12">
        <f t="shared" si="6"/>
        <v>4.692348110738279</v>
      </c>
      <c r="D29" s="12">
        <f t="shared" si="6"/>
        <v>4.5305430034714416</v>
      </c>
      <c r="E29" s="12">
        <f t="shared" si="6"/>
        <v>7.2812298270076745</v>
      </c>
      <c r="F29" s="12">
        <f t="shared" si="6"/>
        <v>6.0676915225063954</v>
      </c>
      <c r="G29" s="12">
        <f t="shared" si="6"/>
        <v>4.5305430034714416</v>
      </c>
      <c r="H29" s="12">
        <f t="shared" si="6"/>
        <v>4.5305430034714416</v>
      </c>
      <c r="I29" s="12">
        <f t="shared" si="6"/>
        <v>4.1260302353043485</v>
      </c>
      <c r="J29" s="12">
        <f t="shared" si="6"/>
        <v>4.692348110738279</v>
      </c>
      <c r="K29" s="12">
        <f t="shared" si="6"/>
        <v>4.692348110738279</v>
      </c>
      <c r="L29" s="12">
        <f t="shared" si="6"/>
        <v>4.5305430034714416</v>
      </c>
      <c r="M29" s="12">
        <f t="shared" si="6"/>
        <v>4.2878353425711859</v>
      </c>
      <c r="N29" s="12">
        <f t="shared" si="6"/>
        <v>4.4496404498380233</v>
      </c>
      <c r="O29" s="12">
        <f t="shared" si="6"/>
        <v>4.6114455571048607</v>
      </c>
      <c r="P29" s="12">
        <f t="shared" si="6"/>
        <v>4.5305430034714416</v>
      </c>
      <c r="Q29" s="12">
        <f t="shared" si="6"/>
        <v>6.4722042906734885</v>
      </c>
      <c r="R29" s="12">
        <f t="shared" si="6"/>
        <v>4.5305430034714416</v>
      </c>
      <c r="S29" s="12">
        <f t="shared" si="6"/>
        <v>4.5305430034714416</v>
      </c>
      <c r="T29" s="12">
        <f t="shared" si="6"/>
        <v>4.5305430034714416</v>
      </c>
      <c r="U29" s="12">
        <f t="shared" si="6"/>
        <v>4.5305430034714416</v>
      </c>
      <c r="V29" s="12">
        <f t="shared" si="6"/>
        <v>4.5305430034714416</v>
      </c>
      <c r="W29" s="12">
        <f t="shared" si="6"/>
        <v>6.7958145052071632</v>
      </c>
      <c r="X29" s="13">
        <f t="shared" si="5"/>
        <v>6.5391453288212809</v>
      </c>
    </row>
    <row r="30" spans="1:24">
      <c r="A30" s="3">
        <v>2035</v>
      </c>
      <c r="B30" s="12">
        <f t="shared" si="2"/>
        <v>6.4081230600727608</v>
      </c>
      <c r="C30" s="12">
        <f t="shared" si="6"/>
        <v>4.6458892185527514</v>
      </c>
      <c r="D30" s="12">
        <f t="shared" si="6"/>
        <v>4.4856861420509313</v>
      </c>
      <c r="E30" s="12">
        <f t="shared" si="6"/>
        <v>7.2091384425818559</v>
      </c>
      <c r="F30" s="12">
        <f t="shared" si="6"/>
        <v>6.0076153688182128</v>
      </c>
      <c r="G30" s="12">
        <f t="shared" si="6"/>
        <v>4.4856861420509313</v>
      </c>
      <c r="H30" s="12">
        <f t="shared" si="6"/>
        <v>4.4856861420509313</v>
      </c>
      <c r="I30" s="12">
        <f t="shared" si="6"/>
        <v>4.0851784507963851</v>
      </c>
      <c r="J30" s="12">
        <f t="shared" si="6"/>
        <v>4.6458892185527514</v>
      </c>
      <c r="K30" s="12">
        <f t="shared" si="6"/>
        <v>4.6458892185527514</v>
      </c>
      <c r="L30" s="12">
        <f t="shared" si="6"/>
        <v>4.4856861420509313</v>
      </c>
      <c r="M30" s="12">
        <f t="shared" si="6"/>
        <v>4.2453815272982034</v>
      </c>
      <c r="N30" s="12">
        <f t="shared" si="6"/>
        <v>4.4055846038000235</v>
      </c>
      <c r="O30" s="12">
        <f t="shared" si="6"/>
        <v>4.5657876803018418</v>
      </c>
      <c r="P30" s="12">
        <f t="shared" si="6"/>
        <v>4.4856861420509313</v>
      </c>
      <c r="Q30" s="12">
        <f t="shared" si="6"/>
        <v>6.4081230600727608</v>
      </c>
      <c r="R30" s="12">
        <f t="shared" si="6"/>
        <v>4.4856861420509313</v>
      </c>
      <c r="S30" s="12">
        <f t="shared" si="6"/>
        <v>4.4856861420509313</v>
      </c>
      <c r="T30" s="12">
        <f t="shared" si="6"/>
        <v>4.4856861420509313</v>
      </c>
      <c r="U30" s="12">
        <f t="shared" si="6"/>
        <v>4.4856861420509313</v>
      </c>
      <c r="V30" s="12">
        <f t="shared" si="6"/>
        <v>4.4856861420509313</v>
      </c>
      <c r="W30" s="12">
        <f t="shared" si="6"/>
        <v>6.7285292130763992</v>
      </c>
      <c r="X30" s="13">
        <f t="shared" si="5"/>
        <v>6.4744013156646343</v>
      </c>
    </row>
    <row r="31" spans="1:24">
      <c r="A31" s="3">
        <v>2036</v>
      </c>
      <c r="B31" s="12">
        <f t="shared" si="2"/>
        <v>6.344676297101743</v>
      </c>
      <c r="C31" s="12">
        <f t="shared" si="6"/>
        <v>4.5998903153987634</v>
      </c>
      <c r="D31" s="12">
        <f t="shared" si="6"/>
        <v>4.4412734079712202</v>
      </c>
      <c r="E31" s="12">
        <f t="shared" si="6"/>
        <v>7.1377608342394607</v>
      </c>
      <c r="F31" s="12">
        <f t="shared" si="6"/>
        <v>5.9481340285328841</v>
      </c>
      <c r="G31" s="12">
        <f t="shared" si="6"/>
        <v>4.4412734079712202</v>
      </c>
      <c r="H31" s="12">
        <f t="shared" si="6"/>
        <v>4.4412734079712202</v>
      </c>
      <c r="I31" s="12">
        <f t="shared" si="6"/>
        <v>4.0447311394023613</v>
      </c>
      <c r="J31" s="12">
        <f t="shared" si="6"/>
        <v>4.5998903153987634</v>
      </c>
      <c r="K31" s="12">
        <f t="shared" si="6"/>
        <v>4.5998903153987634</v>
      </c>
      <c r="L31" s="12">
        <f t="shared" si="6"/>
        <v>4.4412734079712202</v>
      </c>
      <c r="M31" s="12">
        <f t="shared" si="6"/>
        <v>4.2033480468299045</v>
      </c>
      <c r="N31" s="12">
        <f t="shared" si="6"/>
        <v>4.3619649542574486</v>
      </c>
      <c r="O31" s="12">
        <f t="shared" si="6"/>
        <v>4.5205818616849918</v>
      </c>
      <c r="P31" s="12">
        <f t="shared" si="6"/>
        <v>4.4412734079712202</v>
      </c>
      <c r="Q31" s="12">
        <f t="shared" si="6"/>
        <v>6.344676297101743</v>
      </c>
      <c r="R31" s="12">
        <f t="shared" si="6"/>
        <v>4.4412734079712202</v>
      </c>
      <c r="S31" s="12">
        <f t="shared" si="6"/>
        <v>4.4412734079712202</v>
      </c>
      <c r="T31" s="12">
        <f t="shared" si="6"/>
        <v>4.4412734079712202</v>
      </c>
      <c r="U31" s="12">
        <f t="shared" si="6"/>
        <v>4.4412734079712202</v>
      </c>
      <c r="V31" s="12">
        <f t="shared" si="6"/>
        <v>4.4412734079712202</v>
      </c>
      <c r="W31" s="12">
        <f t="shared" si="6"/>
        <v>6.6619101119568311</v>
      </c>
      <c r="X31" s="13">
        <f t="shared" si="5"/>
        <v>6.4102983323412221</v>
      </c>
    </row>
    <row r="32" spans="1:24">
      <c r="A32" s="3">
        <v>2037</v>
      </c>
      <c r="B32" s="12">
        <f t="shared" si="2"/>
        <v>6.2818577199027166</v>
      </c>
      <c r="C32" s="12">
        <f t="shared" si="6"/>
        <v>4.5543468469294695</v>
      </c>
      <c r="D32" s="12">
        <f t="shared" si="6"/>
        <v>4.3973004039319017</v>
      </c>
      <c r="E32" s="12">
        <f t="shared" si="6"/>
        <v>7.0670899348905554</v>
      </c>
      <c r="F32" s="12">
        <f t="shared" si="6"/>
        <v>5.8892416124087958</v>
      </c>
      <c r="G32" s="12">
        <f t="shared" si="6"/>
        <v>4.3973004039319017</v>
      </c>
      <c r="H32" s="12">
        <f t="shared" si="6"/>
        <v>4.3973004039319017</v>
      </c>
      <c r="I32" s="12">
        <f t="shared" si="6"/>
        <v>4.004684296437981</v>
      </c>
      <c r="J32" s="12">
        <f t="shared" si="6"/>
        <v>4.5543468469294695</v>
      </c>
      <c r="K32" s="12">
        <f t="shared" si="6"/>
        <v>4.5543468469294695</v>
      </c>
      <c r="L32" s="12">
        <f t="shared" si="6"/>
        <v>4.3973004039319017</v>
      </c>
      <c r="M32" s="12">
        <f t="shared" si="6"/>
        <v>4.1617307394355496</v>
      </c>
      <c r="N32" s="12">
        <f t="shared" si="6"/>
        <v>4.3187771824331174</v>
      </c>
      <c r="O32" s="12">
        <f t="shared" si="6"/>
        <v>4.475823625430686</v>
      </c>
      <c r="P32" s="12">
        <f t="shared" si="6"/>
        <v>4.3973004039319017</v>
      </c>
      <c r="Q32" s="12">
        <f t="shared" si="6"/>
        <v>6.2818577199027166</v>
      </c>
      <c r="R32" s="12">
        <f t="shared" si="6"/>
        <v>4.3973004039319017</v>
      </c>
      <c r="S32" s="12">
        <f t="shared" si="6"/>
        <v>4.3973004039319017</v>
      </c>
      <c r="T32" s="12">
        <f t="shared" si="6"/>
        <v>4.3973004039319017</v>
      </c>
      <c r="U32" s="12">
        <f t="shared" si="6"/>
        <v>4.3973004039319017</v>
      </c>
      <c r="V32" s="12">
        <f t="shared" si="6"/>
        <v>4.3973004039319017</v>
      </c>
      <c r="W32" s="12">
        <f t="shared" si="6"/>
        <v>6.595950605897853</v>
      </c>
      <c r="X32" s="13">
        <f t="shared" si="5"/>
        <v>6.3468300320210123</v>
      </c>
    </row>
    <row r="33" spans="1:24">
      <c r="A33" s="3">
        <v>2038</v>
      </c>
      <c r="B33" s="12">
        <f t="shared" si="2"/>
        <v>6.219661108814571</v>
      </c>
      <c r="C33" s="12">
        <f t="shared" si="6"/>
        <v>4.5092543038905637</v>
      </c>
      <c r="D33" s="12">
        <f t="shared" si="6"/>
        <v>4.3537627761701989</v>
      </c>
      <c r="E33" s="12">
        <f t="shared" si="6"/>
        <v>6.9971187474163923</v>
      </c>
      <c r="F33" s="12">
        <f t="shared" si="6"/>
        <v>5.8309322895136599</v>
      </c>
      <c r="G33" s="12">
        <f t="shared" si="6"/>
        <v>4.3537627761701989</v>
      </c>
      <c r="H33" s="12">
        <f t="shared" si="6"/>
        <v>4.3537627761701989</v>
      </c>
      <c r="I33" s="12">
        <f t="shared" si="6"/>
        <v>3.9650339568692887</v>
      </c>
      <c r="J33" s="12">
        <f t="shared" si="6"/>
        <v>4.5092543038905637</v>
      </c>
      <c r="K33" s="12">
        <f t="shared" si="6"/>
        <v>4.5092543038905637</v>
      </c>
      <c r="L33" s="12">
        <f t="shared" si="6"/>
        <v>4.3537627761701989</v>
      </c>
      <c r="M33" s="12">
        <f t="shared" si="6"/>
        <v>4.1205254845896526</v>
      </c>
      <c r="N33" s="12">
        <f t="shared" si="6"/>
        <v>4.2760170123100174</v>
      </c>
      <c r="O33" s="12">
        <f t="shared" si="6"/>
        <v>4.4315085400303813</v>
      </c>
      <c r="P33" s="12">
        <f t="shared" si="6"/>
        <v>4.3537627761701989</v>
      </c>
      <c r="Q33" s="12">
        <f t="shared" si="6"/>
        <v>6.219661108814571</v>
      </c>
      <c r="R33" s="12">
        <f t="shared" si="6"/>
        <v>4.3537627761701989</v>
      </c>
      <c r="S33" s="12">
        <f t="shared" si="6"/>
        <v>4.3537627761701989</v>
      </c>
      <c r="T33" s="12">
        <f t="shared" si="6"/>
        <v>4.3537627761701989</v>
      </c>
      <c r="U33" s="12">
        <f t="shared" si="6"/>
        <v>4.3537627761701989</v>
      </c>
      <c r="V33" s="12">
        <f t="shared" si="6"/>
        <v>4.3537627761701989</v>
      </c>
      <c r="W33" s="12">
        <f t="shared" si="6"/>
        <v>6.5306441642552997</v>
      </c>
      <c r="X33" s="13">
        <f t="shared" si="5"/>
        <v>6.2839901307138737</v>
      </c>
    </row>
    <row r="34" spans="1:24">
      <c r="A34" s="3">
        <v>2039</v>
      </c>
      <c r="B34" s="12">
        <f t="shared" si="2"/>
        <v>6.158080305757001</v>
      </c>
      <c r="C34" s="12">
        <f t="shared" ref="C34:W35" si="7">$X34*C$8/$X$8</f>
        <v>4.4646082216738252</v>
      </c>
      <c r="D34" s="12">
        <f t="shared" si="7"/>
        <v>4.3106562140299003</v>
      </c>
      <c r="E34" s="12">
        <f t="shared" si="7"/>
        <v>6.9278403439766265</v>
      </c>
      <c r="F34" s="12">
        <f t="shared" si="7"/>
        <v>5.7732002866471879</v>
      </c>
      <c r="G34" s="12">
        <f t="shared" si="7"/>
        <v>4.3106562140299003</v>
      </c>
      <c r="H34" s="12">
        <f t="shared" si="7"/>
        <v>4.3106562140299003</v>
      </c>
      <c r="I34" s="12">
        <f t="shared" si="7"/>
        <v>3.9257761949200876</v>
      </c>
      <c r="J34" s="12">
        <f t="shared" si="7"/>
        <v>4.4646082216738252</v>
      </c>
      <c r="K34" s="12">
        <f t="shared" si="7"/>
        <v>4.4646082216738252</v>
      </c>
      <c r="L34" s="12">
        <f t="shared" si="7"/>
        <v>4.3106562140299003</v>
      </c>
      <c r="M34" s="12">
        <f t="shared" si="7"/>
        <v>4.0797282025640129</v>
      </c>
      <c r="N34" s="12">
        <f t="shared" si="7"/>
        <v>4.2336802102079378</v>
      </c>
      <c r="O34" s="12">
        <f t="shared" si="7"/>
        <v>4.3876322178518627</v>
      </c>
      <c r="P34" s="12">
        <f t="shared" si="7"/>
        <v>4.3106562140299003</v>
      </c>
      <c r="Q34" s="12">
        <f t="shared" si="7"/>
        <v>6.158080305757001</v>
      </c>
      <c r="R34" s="12">
        <f t="shared" si="7"/>
        <v>4.3106562140299003</v>
      </c>
      <c r="S34" s="12">
        <f t="shared" si="7"/>
        <v>4.3106562140299003</v>
      </c>
      <c r="T34" s="12">
        <f t="shared" si="7"/>
        <v>4.3106562140299003</v>
      </c>
      <c r="U34" s="12">
        <f t="shared" si="7"/>
        <v>4.3106562140299003</v>
      </c>
      <c r="V34" s="12">
        <f t="shared" si="7"/>
        <v>4.3106562140299003</v>
      </c>
      <c r="W34" s="12">
        <f t="shared" si="7"/>
        <v>6.4659843210448509</v>
      </c>
      <c r="X34" s="13">
        <f t="shared" si="5"/>
        <v>6.2217724066473998</v>
      </c>
    </row>
    <row r="35" spans="1:24">
      <c r="A35" s="3">
        <v>2040</v>
      </c>
      <c r="B35" s="12">
        <f t="shared" si="2"/>
        <v>6.0971092136207927</v>
      </c>
      <c r="C35" s="12">
        <f t="shared" si="7"/>
        <v>4.4204041798750753</v>
      </c>
      <c r="D35" s="12">
        <f t="shared" si="7"/>
        <v>4.2679764495345553</v>
      </c>
      <c r="E35" s="12">
        <f t="shared" si="7"/>
        <v>6.8592478653233924</v>
      </c>
      <c r="F35" s="12">
        <f t="shared" si="7"/>
        <v>5.7160398877694938</v>
      </c>
      <c r="G35" s="12">
        <f t="shared" si="7"/>
        <v>4.2679764495345553</v>
      </c>
      <c r="H35" s="12">
        <f t="shared" si="7"/>
        <v>4.2679764495345553</v>
      </c>
      <c r="I35" s="12">
        <f t="shared" si="7"/>
        <v>3.8869071236832551</v>
      </c>
      <c r="J35" s="12">
        <f t="shared" si="7"/>
        <v>4.4204041798750753</v>
      </c>
      <c r="K35" s="12">
        <f t="shared" si="7"/>
        <v>4.4204041798750753</v>
      </c>
      <c r="L35" s="12">
        <f t="shared" si="7"/>
        <v>4.2679764495345553</v>
      </c>
      <c r="M35" s="12">
        <f t="shared" si="7"/>
        <v>4.0393348540237755</v>
      </c>
      <c r="N35" s="12">
        <f t="shared" si="7"/>
        <v>4.1917625843642954</v>
      </c>
      <c r="O35" s="12">
        <f t="shared" si="7"/>
        <v>4.3441903147048153</v>
      </c>
      <c r="P35" s="12">
        <f t="shared" si="7"/>
        <v>4.2679764495345553</v>
      </c>
      <c r="Q35" s="12">
        <f t="shared" si="7"/>
        <v>6.0971092136207927</v>
      </c>
      <c r="R35" s="12">
        <f t="shared" si="7"/>
        <v>4.2679764495345553</v>
      </c>
      <c r="S35" s="12">
        <f t="shared" si="7"/>
        <v>4.2679764495345553</v>
      </c>
      <c r="T35" s="12">
        <f t="shared" si="7"/>
        <v>4.2679764495345553</v>
      </c>
      <c r="U35" s="12">
        <f t="shared" si="7"/>
        <v>4.2679764495345553</v>
      </c>
      <c r="V35" s="12">
        <f t="shared" si="7"/>
        <v>4.2679764495345553</v>
      </c>
      <c r="W35" s="12">
        <f t="shared" si="7"/>
        <v>6.4019646743018326</v>
      </c>
      <c r="X35" s="13">
        <f t="shared" si="5"/>
        <v>6.1601706996508909</v>
      </c>
    </row>
    <row r="38" spans="1:24">
      <c r="A38" t="s">
        <v>996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60"/>
  <sheetViews>
    <sheetView workbookViewId="0">
      <selection activeCell="L40" sqref="L40"/>
    </sheetView>
  </sheetViews>
  <sheetFormatPr defaultRowHeight="15"/>
  <cols>
    <col min="24" max="24" width="13.5703125" customWidth="1"/>
  </cols>
  <sheetData>
    <row r="1" spans="1:23">
      <c r="B1" t="s">
        <v>998</v>
      </c>
    </row>
    <row r="2" spans="1:23">
      <c r="A2" s="3"/>
      <c r="B2" s="168" t="s">
        <v>255</v>
      </c>
      <c r="C2" s="188" t="s">
        <v>539</v>
      </c>
      <c r="D2" s="168" t="s">
        <v>540</v>
      </c>
      <c r="E2" s="168" t="s">
        <v>238</v>
      </c>
      <c r="F2" s="192" t="s">
        <v>239</v>
      </c>
      <c r="G2" s="168" t="s">
        <v>541</v>
      </c>
      <c r="H2" s="168" t="s">
        <v>542</v>
      </c>
      <c r="I2" s="188" t="s">
        <v>240</v>
      </c>
      <c r="J2" s="188" t="s">
        <v>241</v>
      </c>
      <c r="K2" s="168" t="s">
        <v>242</v>
      </c>
      <c r="L2" s="168" t="s">
        <v>544</v>
      </c>
      <c r="M2" s="189" t="s">
        <v>538</v>
      </c>
      <c r="N2" s="187" t="s">
        <v>243</v>
      </c>
      <c r="O2" s="168" t="s">
        <v>244</v>
      </c>
      <c r="P2" s="188" t="s">
        <v>245</v>
      </c>
      <c r="Q2" s="170" t="s">
        <v>331</v>
      </c>
      <c r="R2" s="202" t="s">
        <v>246</v>
      </c>
      <c r="S2" s="188" t="s">
        <v>545</v>
      </c>
      <c r="T2" s="168" t="s">
        <v>247</v>
      </c>
      <c r="U2" s="168" t="s">
        <v>546</v>
      </c>
      <c r="V2" s="188" t="s">
        <v>248</v>
      </c>
      <c r="W2" s="187" t="s">
        <v>249</v>
      </c>
    </row>
    <row r="3" spans="1:23">
      <c r="A3" s="3">
        <v>2008</v>
      </c>
      <c r="B3" s="61">
        <v>13460</v>
      </c>
      <c r="C3" s="184">
        <v>14536</v>
      </c>
      <c r="D3" s="184">
        <v>15000</v>
      </c>
      <c r="E3" s="208">
        <v>15200</v>
      </c>
      <c r="F3" s="186">
        <v>21000</v>
      </c>
      <c r="G3" s="184">
        <v>18256</v>
      </c>
      <c r="H3" s="184">
        <v>16938</v>
      </c>
      <c r="I3" s="184">
        <v>12749</v>
      </c>
      <c r="J3" s="184">
        <v>14147</v>
      </c>
      <c r="K3" s="186">
        <f t="shared" ref="K3:K8" si="0">K4</f>
        <v>11560</v>
      </c>
      <c r="L3" s="213">
        <v>15000</v>
      </c>
      <c r="M3" s="185">
        <v>11019</v>
      </c>
      <c r="N3" s="186">
        <v>8743</v>
      </c>
      <c r="O3" s="184">
        <v>17644</v>
      </c>
      <c r="P3" s="195">
        <v>13707</v>
      </c>
      <c r="Q3" s="215">
        <v>12124</v>
      </c>
      <c r="R3" s="186">
        <v>12100</v>
      </c>
      <c r="S3" s="184">
        <v>12685</v>
      </c>
      <c r="T3" s="186">
        <v>15734</v>
      </c>
      <c r="U3" s="184">
        <v>13020</v>
      </c>
      <c r="V3" s="184">
        <v>14027</v>
      </c>
      <c r="W3" s="186">
        <f t="shared" ref="W3:W8" si="1">W4</f>
        <v>18000</v>
      </c>
    </row>
    <row r="4" spans="1:23">
      <c r="A4" s="3">
        <v>2009</v>
      </c>
      <c r="B4" s="61">
        <v>13010</v>
      </c>
      <c r="C4" s="15">
        <f>(C3+C5)/2</f>
        <v>14368</v>
      </c>
      <c r="D4" s="184">
        <v>15000</v>
      </c>
      <c r="E4" s="205">
        <v>15400</v>
      </c>
      <c r="F4" s="192">
        <v>20000</v>
      </c>
      <c r="G4" s="186">
        <v>18376</v>
      </c>
      <c r="H4" s="186">
        <v>16547</v>
      </c>
      <c r="I4" s="15">
        <f>(I3+I5)/2</f>
        <v>12759</v>
      </c>
      <c r="J4" s="15">
        <f>(J3+J5)/2</f>
        <v>14104</v>
      </c>
      <c r="K4" s="186">
        <f t="shared" si="0"/>
        <v>11560</v>
      </c>
      <c r="L4" s="213">
        <v>15000</v>
      </c>
      <c r="M4" s="15">
        <f>(M3+M5)/2</f>
        <v>11098.5</v>
      </c>
      <c r="N4" s="186">
        <v>8836</v>
      </c>
      <c r="O4" s="186">
        <v>15174</v>
      </c>
      <c r="P4" s="196">
        <v>13603</v>
      </c>
      <c r="Q4" s="186">
        <v>12212</v>
      </c>
      <c r="R4" s="186">
        <v>12100</v>
      </c>
      <c r="S4" s="15">
        <f>(S3+S5)/2</f>
        <v>12362.5</v>
      </c>
      <c r="T4" s="186">
        <v>15706</v>
      </c>
      <c r="U4" s="186">
        <v>13055</v>
      </c>
      <c r="V4" s="15">
        <f>(V3+V5)/2</f>
        <v>13802.5</v>
      </c>
      <c r="W4" s="186">
        <f t="shared" si="1"/>
        <v>18000</v>
      </c>
    </row>
    <row r="5" spans="1:23">
      <c r="A5" s="3">
        <v>2010</v>
      </c>
      <c r="B5" s="61">
        <v>12750</v>
      </c>
      <c r="C5" s="186">
        <v>14200</v>
      </c>
      <c r="D5" s="184">
        <v>15000</v>
      </c>
      <c r="E5" s="186">
        <f>E4</f>
        <v>15400</v>
      </c>
      <c r="F5" s="186">
        <v>19000</v>
      </c>
      <c r="G5" s="186">
        <v>18300</v>
      </c>
      <c r="H5" s="186">
        <v>17000</v>
      </c>
      <c r="I5" s="186">
        <v>12769</v>
      </c>
      <c r="J5" s="186">
        <v>14061</v>
      </c>
      <c r="K5" s="186">
        <f t="shared" si="0"/>
        <v>11560</v>
      </c>
      <c r="L5" s="213">
        <v>15000</v>
      </c>
      <c r="M5" s="186">
        <v>11178</v>
      </c>
      <c r="N5" s="191">
        <v>8770</v>
      </c>
      <c r="O5" s="186">
        <v>14500</v>
      </c>
      <c r="P5" s="197">
        <v>13317</v>
      </c>
      <c r="Q5" s="186">
        <v>12200</v>
      </c>
      <c r="R5" s="186">
        <v>12100</v>
      </c>
      <c r="S5" s="186">
        <v>12040</v>
      </c>
      <c r="T5" s="186">
        <v>15615</v>
      </c>
      <c r="U5" s="186">
        <v>13000</v>
      </c>
      <c r="V5" s="186">
        <v>13578</v>
      </c>
      <c r="W5" s="186">
        <f t="shared" si="1"/>
        <v>18000</v>
      </c>
    </row>
    <row r="6" spans="1:23">
      <c r="A6" s="3">
        <v>2011</v>
      </c>
      <c r="B6" s="61">
        <v>12990</v>
      </c>
      <c r="C6" s="15">
        <f>(C5+C7)/2</f>
        <v>14123.5</v>
      </c>
      <c r="D6" s="184">
        <v>15000</v>
      </c>
      <c r="E6" s="186">
        <f t="shared" ref="E6:E35" si="2">E5</f>
        <v>15400</v>
      </c>
      <c r="F6" s="15">
        <f>F5+(F12-F5)/7</f>
        <v>18571.428571428572</v>
      </c>
      <c r="G6" s="186">
        <v>18300</v>
      </c>
      <c r="H6" s="186">
        <v>17250</v>
      </c>
      <c r="I6" s="15">
        <f>(I5+I7)/2</f>
        <v>12717.5</v>
      </c>
      <c r="J6" s="15">
        <f>(J5+J7)/2</f>
        <v>13988</v>
      </c>
      <c r="K6" s="186">
        <f t="shared" si="0"/>
        <v>11560</v>
      </c>
      <c r="L6" s="213">
        <v>15000</v>
      </c>
      <c r="M6" s="15">
        <f>(M5+M7)/2</f>
        <v>10406.5</v>
      </c>
      <c r="N6" s="186">
        <v>8800</v>
      </c>
      <c r="O6" s="186">
        <v>15000</v>
      </c>
      <c r="P6" s="196">
        <v>13260</v>
      </c>
      <c r="Q6" s="186">
        <v>12200</v>
      </c>
      <c r="R6" s="186">
        <v>12100</v>
      </c>
      <c r="S6" s="15">
        <f>(S5+S7)/2</f>
        <v>11311</v>
      </c>
      <c r="T6" s="186">
        <v>15500</v>
      </c>
      <c r="U6" s="186">
        <v>13000</v>
      </c>
      <c r="V6" s="15">
        <f>(V5+V7)/2</f>
        <v>13520.5</v>
      </c>
      <c r="W6" s="186">
        <f t="shared" si="1"/>
        <v>18000</v>
      </c>
    </row>
    <row r="7" spans="1:23">
      <c r="A7" s="217">
        <v>2012</v>
      </c>
      <c r="B7" s="217">
        <v>12910</v>
      </c>
      <c r="C7" s="198">
        <v>14047</v>
      </c>
      <c r="D7" s="220">
        <v>15000</v>
      </c>
      <c r="E7" s="198">
        <f t="shared" si="2"/>
        <v>15400</v>
      </c>
      <c r="F7" s="217">
        <f>F6+(F12-F5)/7</f>
        <v>18142.857142857145</v>
      </c>
      <c r="G7" s="198">
        <v>18300</v>
      </c>
      <c r="H7" s="198">
        <v>17500</v>
      </c>
      <c r="I7" s="198">
        <v>12666</v>
      </c>
      <c r="J7" s="198">
        <v>13915</v>
      </c>
      <c r="K7" s="198">
        <f t="shared" si="0"/>
        <v>11560</v>
      </c>
      <c r="L7" s="198">
        <v>15000</v>
      </c>
      <c r="M7" s="198">
        <v>9635</v>
      </c>
      <c r="N7" s="198">
        <v>8800</v>
      </c>
      <c r="O7" s="198">
        <v>15000</v>
      </c>
      <c r="P7" s="198">
        <v>13059</v>
      </c>
      <c r="Q7" s="198">
        <v>12200</v>
      </c>
      <c r="R7" s="198">
        <v>12100</v>
      </c>
      <c r="S7" s="198">
        <v>10582</v>
      </c>
      <c r="T7" s="198">
        <v>15500</v>
      </c>
      <c r="U7" s="198">
        <v>13000</v>
      </c>
      <c r="V7" s="198">
        <v>13463</v>
      </c>
      <c r="W7" s="198">
        <f t="shared" si="1"/>
        <v>18000</v>
      </c>
    </row>
    <row r="8" spans="1:23">
      <c r="A8" s="3">
        <v>2013</v>
      </c>
      <c r="B8" s="61">
        <v>12870</v>
      </c>
      <c r="C8" s="15">
        <f>(C7+C9)/2</f>
        <v>14076.5</v>
      </c>
      <c r="D8" s="184">
        <v>15000</v>
      </c>
      <c r="E8" s="186">
        <f t="shared" si="2"/>
        <v>15400</v>
      </c>
      <c r="F8" s="15">
        <f>F7+(F12-F5)/7</f>
        <v>17714.285714285717</v>
      </c>
      <c r="G8" s="186">
        <v>18300</v>
      </c>
      <c r="H8" s="186">
        <v>17750</v>
      </c>
      <c r="I8" s="15">
        <f>(I7+I9)/2</f>
        <v>12709.5</v>
      </c>
      <c r="J8" s="15">
        <f>(J7+J9)/2</f>
        <v>14011</v>
      </c>
      <c r="K8" s="186">
        <f t="shared" si="0"/>
        <v>11560</v>
      </c>
      <c r="L8" s="186">
        <v>15000</v>
      </c>
      <c r="M8" s="15">
        <f>(M7+M9)/2</f>
        <v>9789.5</v>
      </c>
      <c r="N8" s="186">
        <v>8800</v>
      </c>
      <c r="O8" s="186">
        <v>15000</v>
      </c>
      <c r="P8" s="196">
        <v>13044</v>
      </c>
      <c r="Q8" s="186">
        <v>12200</v>
      </c>
      <c r="R8" s="203">
        <v>12143</v>
      </c>
      <c r="S8" s="15">
        <f>(S7+S9)/2</f>
        <v>11280.5</v>
      </c>
      <c r="T8" s="186">
        <v>15500</v>
      </c>
      <c r="U8" s="186">
        <v>13000</v>
      </c>
      <c r="V8" s="15">
        <f>(V7+V9)/2</f>
        <v>13387.5</v>
      </c>
      <c r="W8" s="186">
        <f t="shared" si="1"/>
        <v>18000</v>
      </c>
    </row>
    <row r="9" spans="1:23">
      <c r="A9" s="3">
        <v>2014</v>
      </c>
      <c r="B9" s="61">
        <v>12710</v>
      </c>
      <c r="C9" s="186">
        <v>14106</v>
      </c>
      <c r="D9" s="184">
        <v>15000</v>
      </c>
      <c r="E9" s="186">
        <f t="shared" si="2"/>
        <v>15400</v>
      </c>
      <c r="F9" s="15">
        <f>F8+(F12-F5)/7</f>
        <v>17285.71428571429</v>
      </c>
      <c r="G9" s="186">
        <v>18300</v>
      </c>
      <c r="H9" s="207">
        <v>18000</v>
      </c>
      <c r="I9" s="186">
        <v>12753</v>
      </c>
      <c r="J9" s="186">
        <v>14107</v>
      </c>
      <c r="K9" s="186">
        <f>K10</f>
        <v>11560</v>
      </c>
      <c r="L9" s="186">
        <v>15000</v>
      </c>
      <c r="M9" s="186">
        <v>9944</v>
      </c>
      <c r="N9" s="186">
        <v>8800</v>
      </c>
      <c r="O9" s="186">
        <v>15000</v>
      </c>
      <c r="P9" s="108">
        <v>13067</v>
      </c>
      <c r="Q9" s="186">
        <v>12200</v>
      </c>
      <c r="R9" s="203">
        <v>12258</v>
      </c>
      <c r="S9" s="186">
        <v>11979</v>
      </c>
      <c r="T9" s="186">
        <v>15500</v>
      </c>
      <c r="U9" s="186">
        <v>13000</v>
      </c>
      <c r="V9" s="186">
        <v>13312</v>
      </c>
      <c r="W9" s="186">
        <f>W10</f>
        <v>18000</v>
      </c>
    </row>
    <row r="10" spans="1:23">
      <c r="A10" s="3">
        <v>2015</v>
      </c>
      <c r="B10" s="61">
        <v>12630</v>
      </c>
      <c r="C10" s="186">
        <v>14311</v>
      </c>
      <c r="D10" s="184">
        <v>15000</v>
      </c>
      <c r="E10" s="186">
        <f t="shared" si="2"/>
        <v>15400</v>
      </c>
      <c r="F10" s="15">
        <f>F9+(F12-F5)/7</f>
        <v>16857.142857142862</v>
      </c>
      <c r="G10" s="186">
        <v>18300</v>
      </c>
      <c r="H10" s="186">
        <v>18000</v>
      </c>
      <c r="I10" s="186">
        <v>12997</v>
      </c>
      <c r="J10" s="186">
        <v>14107</v>
      </c>
      <c r="K10" s="198">
        <v>11560</v>
      </c>
      <c r="L10" s="186">
        <v>15000</v>
      </c>
      <c r="M10" s="186">
        <v>9596</v>
      </c>
      <c r="N10" s="186">
        <v>8800</v>
      </c>
      <c r="O10" s="186">
        <v>15000</v>
      </c>
      <c r="P10" s="108">
        <v>13022</v>
      </c>
      <c r="Q10" s="186">
        <v>12200</v>
      </c>
      <c r="R10" s="203">
        <v>12248</v>
      </c>
      <c r="S10" s="186">
        <v>12535</v>
      </c>
      <c r="T10" s="186">
        <v>15500</v>
      </c>
      <c r="U10" s="186">
        <v>13000</v>
      </c>
      <c r="V10" s="186">
        <v>13177</v>
      </c>
      <c r="W10" s="211">
        <v>18000</v>
      </c>
    </row>
    <row r="11" spans="1:23">
      <c r="A11" s="3">
        <v>2016</v>
      </c>
      <c r="B11" s="61">
        <v>12290</v>
      </c>
      <c r="C11" s="186">
        <v>14300</v>
      </c>
      <c r="D11" s="184">
        <v>15000</v>
      </c>
      <c r="E11" s="186">
        <f t="shared" si="2"/>
        <v>15400</v>
      </c>
      <c r="F11" s="15">
        <f>F10+(F12-F5)/7</f>
        <v>16428.571428571435</v>
      </c>
      <c r="G11" s="186">
        <v>18300</v>
      </c>
      <c r="H11" s="186">
        <v>18000</v>
      </c>
      <c r="I11" s="186">
        <v>13000</v>
      </c>
      <c r="J11" s="186">
        <v>14100</v>
      </c>
      <c r="K11" s="186">
        <v>12000</v>
      </c>
      <c r="L11" s="186">
        <v>15000</v>
      </c>
      <c r="M11" s="186">
        <v>10000</v>
      </c>
      <c r="N11" s="186">
        <v>8800</v>
      </c>
      <c r="O11" s="186">
        <v>15000</v>
      </c>
      <c r="P11" s="186">
        <v>13000</v>
      </c>
      <c r="Q11" s="186">
        <v>12200</v>
      </c>
      <c r="R11" s="203">
        <v>12305</v>
      </c>
      <c r="S11" s="186">
        <v>12500</v>
      </c>
      <c r="T11" s="186">
        <v>15500</v>
      </c>
      <c r="U11" s="186">
        <v>13000</v>
      </c>
      <c r="V11" s="186">
        <v>13200</v>
      </c>
      <c r="W11" s="186">
        <f t="shared" ref="W11:W35" si="3">W10</f>
        <v>18000</v>
      </c>
    </row>
    <row r="12" spans="1:23">
      <c r="A12" s="3">
        <v>2017</v>
      </c>
      <c r="B12" s="61">
        <v>12510</v>
      </c>
      <c r="C12" s="186">
        <v>14300</v>
      </c>
      <c r="D12" s="184">
        <v>15000</v>
      </c>
      <c r="E12" s="186">
        <f t="shared" si="2"/>
        <v>15400</v>
      </c>
      <c r="F12" s="186">
        <v>16000</v>
      </c>
      <c r="G12" s="186">
        <v>18300</v>
      </c>
      <c r="H12" s="186">
        <v>18000</v>
      </c>
      <c r="I12" s="186">
        <v>13000</v>
      </c>
      <c r="J12" s="186">
        <v>14100</v>
      </c>
      <c r="K12" s="186">
        <v>12000</v>
      </c>
      <c r="L12" s="186">
        <v>15000</v>
      </c>
      <c r="M12" s="186">
        <v>10000</v>
      </c>
      <c r="N12" s="186">
        <v>8800</v>
      </c>
      <c r="O12" s="186">
        <v>15000</v>
      </c>
      <c r="P12" s="186">
        <v>13000</v>
      </c>
      <c r="Q12" s="186">
        <v>12200</v>
      </c>
      <c r="R12" s="203">
        <v>12560</v>
      </c>
      <c r="S12" s="186">
        <v>12500</v>
      </c>
      <c r="T12" s="186">
        <v>15500</v>
      </c>
      <c r="U12" s="186">
        <v>13000</v>
      </c>
      <c r="V12" s="186">
        <v>13200</v>
      </c>
      <c r="W12" s="186">
        <f t="shared" si="3"/>
        <v>18000</v>
      </c>
    </row>
    <row r="13" spans="1:23">
      <c r="A13" s="3">
        <v>2018</v>
      </c>
      <c r="B13" s="61">
        <v>12500</v>
      </c>
      <c r="C13" s="186">
        <v>14300</v>
      </c>
      <c r="D13" s="184">
        <v>15000</v>
      </c>
      <c r="E13" s="186">
        <f t="shared" si="2"/>
        <v>15400</v>
      </c>
      <c r="F13" s="15">
        <f>F12+(F35-F12)/23</f>
        <v>15869.565217391304</v>
      </c>
      <c r="G13" s="186">
        <v>18300</v>
      </c>
      <c r="H13" s="186">
        <v>18000</v>
      </c>
      <c r="I13" s="186">
        <v>13000</v>
      </c>
      <c r="J13" s="186">
        <v>14100</v>
      </c>
      <c r="K13" s="186">
        <v>12000</v>
      </c>
      <c r="L13" s="186">
        <v>15000</v>
      </c>
      <c r="M13" s="186">
        <v>10000</v>
      </c>
      <c r="N13" s="186">
        <v>8800</v>
      </c>
      <c r="O13" s="186">
        <v>15000</v>
      </c>
      <c r="P13" s="186">
        <v>13000</v>
      </c>
      <c r="Q13" s="186">
        <v>12200</v>
      </c>
      <c r="R13" s="185">
        <v>12500</v>
      </c>
      <c r="S13" s="186">
        <v>12500</v>
      </c>
      <c r="T13" s="186">
        <v>15500</v>
      </c>
      <c r="U13" s="186">
        <v>13000</v>
      </c>
      <c r="V13" s="186">
        <v>13200</v>
      </c>
      <c r="W13" s="186">
        <f t="shared" si="3"/>
        <v>18000</v>
      </c>
    </row>
    <row r="14" spans="1:23">
      <c r="A14" s="3">
        <v>2019</v>
      </c>
      <c r="B14" s="61">
        <v>12500</v>
      </c>
      <c r="C14" s="186">
        <v>14300</v>
      </c>
      <c r="D14" s="184">
        <v>15000</v>
      </c>
      <c r="E14" s="186">
        <f t="shared" si="2"/>
        <v>15400</v>
      </c>
      <c r="F14" s="15">
        <f>F13+(F35-F12)/23</f>
        <v>15739.130434782608</v>
      </c>
      <c r="G14" s="186">
        <v>18300</v>
      </c>
      <c r="H14" s="186">
        <v>18000</v>
      </c>
      <c r="I14" s="186">
        <v>13000</v>
      </c>
      <c r="J14" s="186">
        <v>14100</v>
      </c>
      <c r="K14" s="186">
        <v>12000</v>
      </c>
      <c r="L14" s="186">
        <v>15000</v>
      </c>
      <c r="M14" s="186">
        <v>10000</v>
      </c>
      <c r="N14" s="186">
        <v>8800</v>
      </c>
      <c r="O14" s="186">
        <v>15000</v>
      </c>
      <c r="P14" s="186">
        <v>13000</v>
      </c>
      <c r="Q14" s="186">
        <v>12200</v>
      </c>
      <c r="R14" s="185">
        <v>12500</v>
      </c>
      <c r="S14" s="186">
        <v>12500</v>
      </c>
      <c r="T14" s="186">
        <v>15500</v>
      </c>
      <c r="U14" s="186">
        <v>13000</v>
      </c>
      <c r="V14" s="186">
        <v>13200</v>
      </c>
      <c r="W14" s="186">
        <f t="shared" si="3"/>
        <v>18000</v>
      </c>
    </row>
    <row r="15" spans="1:23">
      <c r="A15" s="3">
        <v>2020</v>
      </c>
      <c r="B15" s="61">
        <v>12500</v>
      </c>
      <c r="C15" s="186">
        <v>14300</v>
      </c>
      <c r="D15" s="184">
        <v>15000</v>
      </c>
      <c r="E15" s="186">
        <f t="shared" si="2"/>
        <v>15400</v>
      </c>
      <c r="F15" s="15">
        <f>F14+(F35-F12)/23</f>
        <v>15608.695652173912</v>
      </c>
      <c r="G15" s="186">
        <v>18300</v>
      </c>
      <c r="H15" s="186">
        <v>18000</v>
      </c>
      <c r="I15" s="186">
        <v>13000</v>
      </c>
      <c r="J15" s="186">
        <v>14100</v>
      </c>
      <c r="K15" s="186">
        <v>12000</v>
      </c>
      <c r="L15" s="186">
        <v>15000</v>
      </c>
      <c r="M15" s="186">
        <v>10000</v>
      </c>
      <c r="N15" s="186">
        <v>8800</v>
      </c>
      <c r="O15" s="186">
        <v>15000</v>
      </c>
      <c r="P15" s="186">
        <v>13000</v>
      </c>
      <c r="Q15" s="186">
        <v>12200</v>
      </c>
      <c r="R15" s="185">
        <v>12500</v>
      </c>
      <c r="S15" s="186">
        <v>12500</v>
      </c>
      <c r="T15" s="186">
        <v>15500</v>
      </c>
      <c r="U15" s="186">
        <v>13000</v>
      </c>
      <c r="V15" s="186">
        <v>13200</v>
      </c>
      <c r="W15" s="186">
        <f t="shared" si="3"/>
        <v>18000</v>
      </c>
    </row>
    <row r="16" spans="1:23">
      <c r="A16" s="3">
        <v>2021</v>
      </c>
      <c r="B16" s="61">
        <v>12500</v>
      </c>
      <c r="C16" s="186">
        <v>14300</v>
      </c>
      <c r="D16" s="184">
        <v>15000</v>
      </c>
      <c r="E16" s="186">
        <f t="shared" si="2"/>
        <v>15400</v>
      </c>
      <c r="F16" s="15">
        <f>F15+(F35-F12)/23</f>
        <v>15478.260869565216</v>
      </c>
      <c r="G16" s="186">
        <v>18300</v>
      </c>
      <c r="H16" s="186">
        <v>18000</v>
      </c>
      <c r="I16" s="186">
        <v>13000</v>
      </c>
      <c r="J16" s="186">
        <v>14100</v>
      </c>
      <c r="K16" s="186">
        <v>12000</v>
      </c>
      <c r="L16" s="186">
        <v>15000</v>
      </c>
      <c r="M16" s="186">
        <v>10000</v>
      </c>
      <c r="N16" s="186">
        <v>8800</v>
      </c>
      <c r="O16" s="186">
        <v>15000</v>
      </c>
      <c r="P16" s="186">
        <v>13000</v>
      </c>
      <c r="Q16" s="186">
        <v>12200</v>
      </c>
      <c r="R16" s="185">
        <v>12500</v>
      </c>
      <c r="S16" s="186">
        <v>12500</v>
      </c>
      <c r="T16" s="186">
        <v>15500</v>
      </c>
      <c r="U16" s="186">
        <v>13000</v>
      </c>
      <c r="V16" s="186">
        <v>13200</v>
      </c>
      <c r="W16" s="186">
        <f t="shared" si="3"/>
        <v>18000</v>
      </c>
    </row>
    <row r="17" spans="1:23">
      <c r="A17" s="3">
        <v>2022</v>
      </c>
      <c r="B17" s="61">
        <v>12500</v>
      </c>
      <c r="C17" s="186">
        <v>14300</v>
      </c>
      <c r="D17" s="184">
        <v>15000</v>
      </c>
      <c r="E17" s="186">
        <f t="shared" si="2"/>
        <v>15400</v>
      </c>
      <c r="F17" s="15">
        <f>F16+(F35-F12)/23</f>
        <v>15347.82608695652</v>
      </c>
      <c r="G17" s="186">
        <v>18300</v>
      </c>
      <c r="H17" s="186">
        <v>18000</v>
      </c>
      <c r="I17" s="186">
        <v>13000</v>
      </c>
      <c r="J17" s="186">
        <v>14100</v>
      </c>
      <c r="K17" s="186">
        <v>12000</v>
      </c>
      <c r="L17" s="186">
        <v>15000</v>
      </c>
      <c r="M17" s="186">
        <v>10000</v>
      </c>
      <c r="N17" s="186">
        <v>8800</v>
      </c>
      <c r="O17" s="186">
        <v>15000</v>
      </c>
      <c r="P17" s="186">
        <v>13000</v>
      </c>
      <c r="Q17" s="186">
        <v>12200</v>
      </c>
      <c r="R17" s="185">
        <v>12500</v>
      </c>
      <c r="S17" s="186">
        <v>12500</v>
      </c>
      <c r="T17" s="186">
        <v>15500</v>
      </c>
      <c r="U17" s="186">
        <v>13000</v>
      </c>
      <c r="V17" s="186">
        <v>13200</v>
      </c>
      <c r="W17" s="186">
        <f t="shared" si="3"/>
        <v>18000</v>
      </c>
    </row>
    <row r="18" spans="1:23">
      <c r="A18" s="3">
        <v>2023</v>
      </c>
      <c r="B18" s="61">
        <v>12500</v>
      </c>
      <c r="C18" s="186">
        <v>14300</v>
      </c>
      <c r="D18" s="184">
        <v>15000</v>
      </c>
      <c r="E18" s="186">
        <f t="shared" si="2"/>
        <v>15400</v>
      </c>
      <c r="F18" s="15">
        <f>F17+(F35-F12)/23</f>
        <v>15217.391304347824</v>
      </c>
      <c r="G18" s="186">
        <v>18300</v>
      </c>
      <c r="H18" s="186">
        <v>18000</v>
      </c>
      <c r="I18" s="186">
        <v>13000</v>
      </c>
      <c r="J18" s="186">
        <v>14100</v>
      </c>
      <c r="K18" s="186">
        <v>12000</v>
      </c>
      <c r="L18" s="186">
        <v>15000</v>
      </c>
      <c r="M18" s="186">
        <v>10000</v>
      </c>
      <c r="N18" s="186">
        <v>8800</v>
      </c>
      <c r="O18" s="186">
        <v>15000</v>
      </c>
      <c r="P18" s="186">
        <v>13000</v>
      </c>
      <c r="Q18" s="186">
        <v>12200</v>
      </c>
      <c r="R18" s="185">
        <v>12500</v>
      </c>
      <c r="S18" s="186">
        <v>12500</v>
      </c>
      <c r="T18" s="186">
        <v>15500</v>
      </c>
      <c r="U18" s="186">
        <v>13000</v>
      </c>
      <c r="V18" s="186">
        <v>13200</v>
      </c>
      <c r="W18" s="186">
        <f t="shared" si="3"/>
        <v>18000</v>
      </c>
    </row>
    <row r="19" spans="1:23">
      <c r="A19" s="3">
        <v>2024</v>
      </c>
      <c r="B19" s="61">
        <v>12500</v>
      </c>
      <c r="C19" s="186">
        <v>14300</v>
      </c>
      <c r="D19" s="184">
        <v>15000</v>
      </c>
      <c r="E19" s="186">
        <f t="shared" si="2"/>
        <v>15400</v>
      </c>
      <c r="F19" s="15">
        <f>F18+(F35-F12)/23</f>
        <v>15086.956521739128</v>
      </c>
      <c r="G19" s="186">
        <v>18300</v>
      </c>
      <c r="H19" s="186">
        <v>18000</v>
      </c>
      <c r="I19" s="186">
        <v>13000</v>
      </c>
      <c r="J19" s="186">
        <v>14100</v>
      </c>
      <c r="K19" s="186">
        <v>12000</v>
      </c>
      <c r="L19" s="186">
        <v>15000</v>
      </c>
      <c r="M19" s="186">
        <v>10000</v>
      </c>
      <c r="N19" s="186">
        <v>8800</v>
      </c>
      <c r="O19" s="186">
        <v>15000</v>
      </c>
      <c r="P19" s="186">
        <v>13000</v>
      </c>
      <c r="Q19" s="186">
        <v>12200</v>
      </c>
      <c r="R19" s="185">
        <v>12500</v>
      </c>
      <c r="S19" s="186">
        <v>12500</v>
      </c>
      <c r="T19" s="186">
        <v>15500</v>
      </c>
      <c r="U19" s="186">
        <v>13000</v>
      </c>
      <c r="V19" s="186">
        <v>13200</v>
      </c>
      <c r="W19" s="186">
        <f t="shared" si="3"/>
        <v>18000</v>
      </c>
    </row>
    <row r="20" spans="1:23">
      <c r="A20" s="3">
        <v>2025</v>
      </c>
      <c r="B20" s="61">
        <v>12500</v>
      </c>
      <c r="C20" s="186">
        <v>14300</v>
      </c>
      <c r="D20" s="184">
        <v>15000</v>
      </c>
      <c r="E20" s="186">
        <f t="shared" si="2"/>
        <v>15400</v>
      </c>
      <c r="F20" s="15">
        <f>F19+(F35-F12)/23</f>
        <v>14956.521739130432</v>
      </c>
      <c r="G20" s="186">
        <v>18300</v>
      </c>
      <c r="H20" s="186">
        <v>18000</v>
      </c>
      <c r="I20" s="186">
        <v>13000</v>
      </c>
      <c r="J20" s="186">
        <v>14100</v>
      </c>
      <c r="K20" s="186">
        <v>12000</v>
      </c>
      <c r="L20" s="186">
        <v>15000</v>
      </c>
      <c r="M20" s="186">
        <v>10000</v>
      </c>
      <c r="N20" s="186">
        <v>8800</v>
      </c>
      <c r="O20" s="186">
        <v>15000</v>
      </c>
      <c r="P20" s="186">
        <v>13000</v>
      </c>
      <c r="Q20" s="186">
        <v>12200</v>
      </c>
      <c r="R20" s="185">
        <v>12500</v>
      </c>
      <c r="S20" s="186">
        <v>12500</v>
      </c>
      <c r="T20" s="186">
        <v>15500</v>
      </c>
      <c r="U20" s="186">
        <v>13000</v>
      </c>
      <c r="V20" s="186">
        <v>13200</v>
      </c>
      <c r="W20" s="186">
        <f t="shared" si="3"/>
        <v>18000</v>
      </c>
    </row>
    <row r="21" spans="1:23">
      <c r="A21" s="3">
        <v>2026</v>
      </c>
      <c r="B21" s="61">
        <v>12500</v>
      </c>
      <c r="C21" s="186">
        <v>14300</v>
      </c>
      <c r="D21" s="184">
        <v>15000</v>
      </c>
      <c r="E21" s="186">
        <f t="shared" si="2"/>
        <v>15400</v>
      </c>
      <c r="F21" s="15">
        <f>F20+(F35-F12)/23</f>
        <v>14826.086956521736</v>
      </c>
      <c r="G21" s="186">
        <v>18300</v>
      </c>
      <c r="H21" s="186">
        <v>18000</v>
      </c>
      <c r="I21" s="186">
        <v>13000</v>
      </c>
      <c r="J21" s="186">
        <v>14100</v>
      </c>
      <c r="K21" s="186">
        <v>12000</v>
      </c>
      <c r="L21" s="186">
        <v>15000</v>
      </c>
      <c r="M21" s="186">
        <v>10000</v>
      </c>
      <c r="N21" s="186">
        <v>8800</v>
      </c>
      <c r="O21" s="186">
        <v>15000</v>
      </c>
      <c r="P21" s="186">
        <v>13000</v>
      </c>
      <c r="Q21" s="186">
        <v>12200</v>
      </c>
      <c r="R21" s="185">
        <v>12500</v>
      </c>
      <c r="S21" s="186">
        <v>12500</v>
      </c>
      <c r="T21" s="186">
        <v>15500</v>
      </c>
      <c r="U21" s="186">
        <v>13000</v>
      </c>
      <c r="V21" s="186">
        <v>13200</v>
      </c>
      <c r="W21" s="186">
        <f t="shared" si="3"/>
        <v>18000</v>
      </c>
    </row>
    <row r="22" spans="1:23">
      <c r="A22" s="3">
        <v>2027</v>
      </c>
      <c r="B22" s="61">
        <v>12500</v>
      </c>
      <c r="C22" s="186">
        <v>14300</v>
      </c>
      <c r="D22" s="184">
        <v>15000</v>
      </c>
      <c r="E22" s="186">
        <f t="shared" si="2"/>
        <v>15400</v>
      </c>
      <c r="F22" s="15">
        <f>F21+(F35-F12)/23</f>
        <v>14695.65217391304</v>
      </c>
      <c r="G22" s="186">
        <v>18300</v>
      </c>
      <c r="H22" s="186">
        <v>18000</v>
      </c>
      <c r="I22" s="186">
        <v>13000</v>
      </c>
      <c r="J22" s="186">
        <v>14100</v>
      </c>
      <c r="K22" s="186">
        <v>12000</v>
      </c>
      <c r="L22" s="186">
        <v>15000</v>
      </c>
      <c r="M22" s="186">
        <v>10000</v>
      </c>
      <c r="N22" s="186">
        <v>8800</v>
      </c>
      <c r="O22" s="186">
        <v>15000</v>
      </c>
      <c r="P22" s="186">
        <v>13000</v>
      </c>
      <c r="Q22" s="186">
        <v>12200</v>
      </c>
      <c r="R22" s="185">
        <v>12500</v>
      </c>
      <c r="S22" s="186">
        <v>12500</v>
      </c>
      <c r="T22" s="186">
        <v>15500</v>
      </c>
      <c r="U22" s="186">
        <v>13000</v>
      </c>
      <c r="V22" s="186">
        <v>13200</v>
      </c>
      <c r="W22" s="186">
        <f t="shared" si="3"/>
        <v>18000</v>
      </c>
    </row>
    <row r="23" spans="1:23">
      <c r="A23" s="3">
        <v>2028</v>
      </c>
      <c r="B23" s="61">
        <v>12500</v>
      </c>
      <c r="C23" s="186">
        <v>14300</v>
      </c>
      <c r="D23" s="184">
        <v>15000</v>
      </c>
      <c r="E23" s="186">
        <f t="shared" si="2"/>
        <v>15400</v>
      </c>
      <c r="F23" s="15">
        <f>F22+(F35-F12)/23</f>
        <v>14565.217391304344</v>
      </c>
      <c r="G23" s="186">
        <v>18300</v>
      </c>
      <c r="H23" s="186">
        <v>18000</v>
      </c>
      <c r="I23" s="186">
        <v>13000</v>
      </c>
      <c r="J23" s="186">
        <v>14100</v>
      </c>
      <c r="K23" s="186">
        <v>12000</v>
      </c>
      <c r="L23" s="186">
        <v>15000</v>
      </c>
      <c r="M23" s="186">
        <v>10000</v>
      </c>
      <c r="N23" s="186">
        <v>8800</v>
      </c>
      <c r="O23" s="186">
        <v>15000</v>
      </c>
      <c r="P23" s="186">
        <v>13000</v>
      </c>
      <c r="Q23" s="186">
        <v>12200</v>
      </c>
      <c r="R23" s="185">
        <v>12500</v>
      </c>
      <c r="S23" s="186">
        <v>12500</v>
      </c>
      <c r="T23" s="186">
        <v>15500</v>
      </c>
      <c r="U23" s="186">
        <v>13000</v>
      </c>
      <c r="V23" s="186">
        <v>13200</v>
      </c>
      <c r="W23" s="186">
        <f t="shared" si="3"/>
        <v>18000</v>
      </c>
    </row>
    <row r="24" spans="1:23">
      <c r="A24" s="3">
        <v>2029</v>
      </c>
      <c r="B24" s="61">
        <v>12500</v>
      </c>
      <c r="C24" s="186">
        <v>14300</v>
      </c>
      <c r="D24" s="184">
        <v>15000</v>
      </c>
      <c r="E24" s="186">
        <f t="shared" si="2"/>
        <v>15400</v>
      </c>
      <c r="F24" s="15">
        <f>F23+(F35-F12)/23</f>
        <v>14434.782608695648</v>
      </c>
      <c r="G24" s="186">
        <v>18300</v>
      </c>
      <c r="H24" s="186">
        <v>18000</v>
      </c>
      <c r="I24" s="186">
        <v>13000</v>
      </c>
      <c r="J24" s="186">
        <v>14100</v>
      </c>
      <c r="K24" s="186">
        <v>12000</v>
      </c>
      <c r="L24" s="186">
        <v>15000</v>
      </c>
      <c r="M24" s="186">
        <v>10000</v>
      </c>
      <c r="N24" s="186">
        <v>8800</v>
      </c>
      <c r="O24" s="186">
        <v>15000</v>
      </c>
      <c r="P24" s="186">
        <v>13000</v>
      </c>
      <c r="Q24" s="186">
        <v>12200</v>
      </c>
      <c r="R24" s="185">
        <v>12500</v>
      </c>
      <c r="S24" s="186">
        <v>12500</v>
      </c>
      <c r="T24" s="186">
        <v>15500</v>
      </c>
      <c r="U24" s="186">
        <v>13000</v>
      </c>
      <c r="V24" s="186">
        <v>13200</v>
      </c>
      <c r="W24" s="186">
        <f t="shared" si="3"/>
        <v>18000</v>
      </c>
    </row>
    <row r="25" spans="1:23">
      <c r="A25" s="3">
        <v>2030</v>
      </c>
      <c r="B25" s="61">
        <v>12500</v>
      </c>
      <c r="C25" s="186">
        <v>14300</v>
      </c>
      <c r="D25" s="184">
        <v>15000</v>
      </c>
      <c r="E25" s="186">
        <f t="shared" si="2"/>
        <v>15400</v>
      </c>
      <c r="F25" s="15">
        <f>F24+(F35-F12)/23</f>
        <v>14304.347826086952</v>
      </c>
      <c r="G25" s="186">
        <v>18300</v>
      </c>
      <c r="H25" s="186">
        <v>18000</v>
      </c>
      <c r="I25" s="186">
        <v>13000</v>
      </c>
      <c r="J25" s="186">
        <v>14100</v>
      </c>
      <c r="K25" s="186">
        <v>12000</v>
      </c>
      <c r="L25" s="186">
        <v>15000</v>
      </c>
      <c r="M25" s="186">
        <v>10000</v>
      </c>
      <c r="N25" s="186">
        <v>8800</v>
      </c>
      <c r="O25" s="186">
        <v>15000</v>
      </c>
      <c r="P25" s="186">
        <v>13000</v>
      </c>
      <c r="Q25" s="186">
        <v>12200</v>
      </c>
      <c r="R25" s="185">
        <v>12500</v>
      </c>
      <c r="S25" s="186">
        <v>12500</v>
      </c>
      <c r="T25" s="186">
        <v>15500</v>
      </c>
      <c r="U25" s="186">
        <v>13000</v>
      </c>
      <c r="V25" s="186">
        <v>13200</v>
      </c>
      <c r="W25" s="186">
        <f t="shared" si="3"/>
        <v>18000</v>
      </c>
    </row>
    <row r="26" spans="1:23">
      <c r="A26" s="3">
        <v>2031</v>
      </c>
      <c r="B26" s="61">
        <v>12500</v>
      </c>
      <c r="C26" s="186">
        <v>14300</v>
      </c>
      <c r="D26" s="184">
        <v>15000</v>
      </c>
      <c r="E26" s="186">
        <f t="shared" si="2"/>
        <v>15400</v>
      </c>
      <c r="F26" s="15">
        <f>F25+(F35-F12)/23</f>
        <v>14173.913043478256</v>
      </c>
      <c r="G26" s="186">
        <v>18300</v>
      </c>
      <c r="H26" s="186">
        <v>18000</v>
      </c>
      <c r="I26" s="186">
        <v>13000</v>
      </c>
      <c r="J26" s="186">
        <v>14100</v>
      </c>
      <c r="K26" s="186">
        <v>12000</v>
      </c>
      <c r="L26" s="186">
        <v>15000</v>
      </c>
      <c r="M26" s="186">
        <v>10000</v>
      </c>
      <c r="N26" s="186">
        <v>8800</v>
      </c>
      <c r="O26" s="186">
        <v>15000</v>
      </c>
      <c r="P26" s="186">
        <v>13000</v>
      </c>
      <c r="Q26" s="186">
        <v>12200</v>
      </c>
      <c r="R26" s="185">
        <v>12500</v>
      </c>
      <c r="S26" s="186">
        <v>12500</v>
      </c>
      <c r="T26" s="186">
        <v>15500</v>
      </c>
      <c r="U26" s="186">
        <v>13000</v>
      </c>
      <c r="V26" s="186">
        <v>13200</v>
      </c>
      <c r="W26" s="186">
        <f t="shared" si="3"/>
        <v>18000</v>
      </c>
    </row>
    <row r="27" spans="1:23">
      <c r="A27" s="3">
        <v>2032</v>
      </c>
      <c r="B27" s="61">
        <v>12500</v>
      </c>
      <c r="C27" s="186">
        <v>14300</v>
      </c>
      <c r="D27" s="184">
        <v>15000</v>
      </c>
      <c r="E27" s="186">
        <f t="shared" si="2"/>
        <v>15400</v>
      </c>
      <c r="F27" s="15">
        <f>F26+(F35-F12)/23</f>
        <v>14043.47826086956</v>
      </c>
      <c r="G27" s="186">
        <v>18300</v>
      </c>
      <c r="H27" s="186">
        <v>18000</v>
      </c>
      <c r="I27" s="186">
        <v>13000</v>
      </c>
      <c r="J27" s="186">
        <v>14100</v>
      </c>
      <c r="K27" s="186">
        <v>12000</v>
      </c>
      <c r="L27" s="186">
        <v>15000</v>
      </c>
      <c r="M27" s="186">
        <v>10000</v>
      </c>
      <c r="N27" s="186">
        <v>8800</v>
      </c>
      <c r="O27" s="186">
        <v>15000</v>
      </c>
      <c r="P27" s="186">
        <v>13000</v>
      </c>
      <c r="Q27" s="186">
        <v>12200</v>
      </c>
      <c r="R27" s="185">
        <v>12500</v>
      </c>
      <c r="S27" s="186">
        <v>12500</v>
      </c>
      <c r="T27" s="186">
        <v>15500</v>
      </c>
      <c r="U27" s="186">
        <v>13000</v>
      </c>
      <c r="V27" s="186">
        <v>13200</v>
      </c>
      <c r="W27" s="186">
        <f t="shared" si="3"/>
        <v>18000</v>
      </c>
    </row>
    <row r="28" spans="1:23">
      <c r="A28" s="3">
        <v>2033</v>
      </c>
      <c r="B28" s="61">
        <v>12500</v>
      </c>
      <c r="C28" s="186">
        <v>14300</v>
      </c>
      <c r="D28" s="184">
        <v>15000</v>
      </c>
      <c r="E28" s="186">
        <f t="shared" si="2"/>
        <v>15400</v>
      </c>
      <c r="F28" s="15">
        <f>F27+(F35-F12)/23</f>
        <v>13913.043478260865</v>
      </c>
      <c r="G28" s="186">
        <v>18300</v>
      </c>
      <c r="H28" s="186">
        <v>18000</v>
      </c>
      <c r="I28" s="186">
        <v>13000</v>
      </c>
      <c r="J28" s="186">
        <v>14100</v>
      </c>
      <c r="K28" s="186">
        <v>12000</v>
      </c>
      <c r="L28" s="186">
        <v>15000</v>
      </c>
      <c r="M28" s="186">
        <v>10000</v>
      </c>
      <c r="N28" s="186">
        <v>8800</v>
      </c>
      <c r="O28" s="186">
        <v>15000</v>
      </c>
      <c r="P28" s="186">
        <v>13000</v>
      </c>
      <c r="Q28" s="186">
        <v>12200</v>
      </c>
      <c r="R28" s="185">
        <v>12500</v>
      </c>
      <c r="S28" s="186">
        <v>12500</v>
      </c>
      <c r="T28" s="186">
        <v>15500</v>
      </c>
      <c r="U28" s="186">
        <v>13000</v>
      </c>
      <c r="V28" s="186">
        <v>13200</v>
      </c>
      <c r="W28" s="186">
        <f t="shared" si="3"/>
        <v>18000</v>
      </c>
    </row>
    <row r="29" spans="1:23">
      <c r="A29" s="3">
        <v>2034</v>
      </c>
      <c r="B29" s="61">
        <v>12500</v>
      </c>
      <c r="C29" s="186">
        <v>14300</v>
      </c>
      <c r="D29" s="184">
        <v>15000</v>
      </c>
      <c r="E29" s="186">
        <f t="shared" si="2"/>
        <v>15400</v>
      </c>
      <c r="F29" s="15">
        <f>F28+(F35-F12)/23</f>
        <v>13782.608695652169</v>
      </c>
      <c r="G29" s="186">
        <v>18300</v>
      </c>
      <c r="H29" s="186">
        <v>18000</v>
      </c>
      <c r="I29" s="186">
        <v>13000</v>
      </c>
      <c r="J29" s="186">
        <v>14100</v>
      </c>
      <c r="K29" s="186">
        <v>12000</v>
      </c>
      <c r="L29" s="186">
        <v>15000</v>
      </c>
      <c r="M29" s="186">
        <v>10000</v>
      </c>
      <c r="N29" s="186">
        <v>8800</v>
      </c>
      <c r="O29" s="186">
        <v>15000</v>
      </c>
      <c r="P29" s="186">
        <v>13000</v>
      </c>
      <c r="Q29" s="186">
        <v>12200</v>
      </c>
      <c r="R29" s="185">
        <v>12500</v>
      </c>
      <c r="S29" s="186">
        <v>12500</v>
      </c>
      <c r="T29" s="186">
        <v>15500</v>
      </c>
      <c r="U29" s="186">
        <v>13000</v>
      </c>
      <c r="V29" s="186">
        <v>13200</v>
      </c>
      <c r="W29" s="186">
        <f t="shared" si="3"/>
        <v>18000</v>
      </c>
    </row>
    <row r="30" spans="1:23">
      <c r="A30" s="3">
        <v>2035</v>
      </c>
      <c r="B30" s="61">
        <v>12500</v>
      </c>
      <c r="C30" s="186">
        <v>14300</v>
      </c>
      <c r="D30" s="184">
        <v>15000</v>
      </c>
      <c r="E30" s="186">
        <f t="shared" si="2"/>
        <v>15400</v>
      </c>
      <c r="F30" s="15">
        <f>F29+(F35-F12)/23</f>
        <v>13652.173913043473</v>
      </c>
      <c r="G30" s="186">
        <v>18300</v>
      </c>
      <c r="H30" s="186">
        <v>18000</v>
      </c>
      <c r="I30" s="186">
        <v>13000</v>
      </c>
      <c r="J30" s="186">
        <v>14100</v>
      </c>
      <c r="K30" s="186">
        <v>12000</v>
      </c>
      <c r="L30" s="186">
        <v>15000</v>
      </c>
      <c r="M30" s="186">
        <v>10000</v>
      </c>
      <c r="N30" s="186">
        <v>8800</v>
      </c>
      <c r="O30" s="186">
        <v>15000</v>
      </c>
      <c r="P30" s="186">
        <v>13000</v>
      </c>
      <c r="Q30" s="186">
        <v>12200</v>
      </c>
      <c r="R30" s="185">
        <v>12500</v>
      </c>
      <c r="S30" s="186">
        <v>12500</v>
      </c>
      <c r="T30" s="186">
        <v>15500</v>
      </c>
      <c r="U30" s="186">
        <v>13000</v>
      </c>
      <c r="V30" s="186">
        <v>13200</v>
      </c>
      <c r="W30" s="186">
        <f t="shared" si="3"/>
        <v>18000</v>
      </c>
    </row>
    <row r="31" spans="1:23">
      <c r="A31" s="3">
        <v>2036</v>
      </c>
      <c r="B31" s="61">
        <v>12500</v>
      </c>
      <c r="C31" s="186">
        <v>14300</v>
      </c>
      <c r="D31" s="184">
        <v>15000</v>
      </c>
      <c r="E31" s="186">
        <f t="shared" si="2"/>
        <v>15400</v>
      </c>
      <c r="F31" s="15">
        <f>F30+(F35-F12)/23</f>
        <v>13521.739130434777</v>
      </c>
      <c r="G31" s="186">
        <v>18300</v>
      </c>
      <c r="H31" s="186">
        <v>18000</v>
      </c>
      <c r="I31" s="186">
        <v>13000</v>
      </c>
      <c r="J31" s="186">
        <v>14100</v>
      </c>
      <c r="K31" s="186">
        <v>12000</v>
      </c>
      <c r="L31" s="186">
        <v>15000</v>
      </c>
      <c r="M31" s="186">
        <v>10000</v>
      </c>
      <c r="N31" s="186">
        <v>8800</v>
      </c>
      <c r="O31" s="186">
        <v>15000</v>
      </c>
      <c r="P31" s="186">
        <v>13000</v>
      </c>
      <c r="Q31" s="186">
        <v>12200</v>
      </c>
      <c r="R31" s="185">
        <v>12500</v>
      </c>
      <c r="S31" s="186">
        <v>12500</v>
      </c>
      <c r="T31" s="186">
        <v>15500</v>
      </c>
      <c r="U31" s="186">
        <v>13000</v>
      </c>
      <c r="V31" s="186">
        <v>13200</v>
      </c>
      <c r="W31" s="186">
        <f t="shared" si="3"/>
        <v>18000</v>
      </c>
    </row>
    <row r="32" spans="1:23">
      <c r="A32" s="3">
        <v>2037</v>
      </c>
      <c r="B32" s="61">
        <v>12500</v>
      </c>
      <c r="C32" s="186">
        <v>14300</v>
      </c>
      <c r="D32" s="184">
        <v>15000</v>
      </c>
      <c r="E32" s="186">
        <f t="shared" si="2"/>
        <v>15400</v>
      </c>
      <c r="F32" s="15">
        <f>F31+(F35-F12)/23</f>
        <v>13391.304347826081</v>
      </c>
      <c r="G32" s="186">
        <v>18300</v>
      </c>
      <c r="H32" s="186">
        <v>18000</v>
      </c>
      <c r="I32" s="186">
        <v>13000</v>
      </c>
      <c r="J32" s="186">
        <v>14100</v>
      </c>
      <c r="K32" s="186">
        <v>12000</v>
      </c>
      <c r="L32" s="186">
        <v>15000</v>
      </c>
      <c r="M32" s="186">
        <v>10000</v>
      </c>
      <c r="N32" s="186">
        <v>8800</v>
      </c>
      <c r="O32" s="186">
        <v>15000</v>
      </c>
      <c r="P32" s="186">
        <v>13000</v>
      </c>
      <c r="Q32" s="186">
        <v>12200</v>
      </c>
      <c r="R32" s="185">
        <v>12500</v>
      </c>
      <c r="S32" s="186">
        <v>12500</v>
      </c>
      <c r="T32" s="186">
        <v>15500</v>
      </c>
      <c r="U32" s="186">
        <v>13000</v>
      </c>
      <c r="V32" s="186">
        <v>13200</v>
      </c>
      <c r="W32" s="186">
        <f t="shared" si="3"/>
        <v>18000</v>
      </c>
    </row>
    <row r="33" spans="1:23">
      <c r="A33" s="3">
        <v>2038</v>
      </c>
      <c r="B33" s="61">
        <v>12500</v>
      </c>
      <c r="C33" s="186">
        <v>14300</v>
      </c>
      <c r="D33" s="184">
        <v>15000</v>
      </c>
      <c r="E33" s="186">
        <f t="shared" si="2"/>
        <v>15400</v>
      </c>
      <c r="F33" s="15">
        <f>F32+(F35-F12)/23</f>
        <v>13260.869565217385</v>
      </c>
      <c r="G33" s="186">
        <v>18300</v>
      </c>
      <c r="H33" s="186">
        <v>18000</v>
      </c>
      <c r="I33" s="186">
        <v>13000</v>
      </c>
      <c r="J33" s="186">
        <v>14100</v>
      </c>
      <c r="K33" s="186">
        <v>12000</v>
      </c>
      <c r="L33" s="186">
        <v>15000</v>
      </c>
      <c r="M33" s="186">
        <v>10000</v>
      </c>
      <c r="N33" s="186">
        <v>8800</v>
      </c>
      <c r="O33" s="186">
        <v>15000</v>
      </c>
      <c r="P33" s="186">
        <v>13000</v>
      </c>
      <c r="Q33" s="186">
        <v>12200</v>
      </c>
      <c r="R33" s="185">
        <v>12500</v>
      </c>
      <c r="S33" s="186">
        <v>12500</v>
      </c>
      <c r="T33" s="186">
        <v>15500</v>
      </c>
      <c r="U33" s="186">
        <v>13000</v>
      </c>
      <c r="V33" s="186">
        <v>13200</v>
      </c>
      <c r="W33" s="186">
        <f t="shared" si="3"/>
        <v>18000</v>
      </c>
    </row>
    <row r="34" spans="1:23">
      <c r="A34" s="3">
        <v>2039</v>
      </c>
      <c r="B34" s="61">
        <v>12500</v>
      </c>
      <c r="C34" s="186">
        <v>14300</v>
      </c>
      <c r="D34" s="184">
        <v>15000</v>
      </c>
      <c r="E34" s="186">
        <f t="shared" si="2"/>
        <v>15400</v>
      </c>
      <c r="F34" s="15">
        <f>F33+(F35-F12)/23</f>
        <v>13130.434782608689</v>
      </c>
      <c r="G34" s="186">
        <v>18300</v>
      </c>
      <c r="H34" s="186">
        <v>18000</v>
      </c>
      <c r="I34" s="186">
        <v>13000</v>
      </c>
      <c r="J34" s="186">
        <v>14100</v>
      </c>
      <c r="K34" s="186">
        <v>12000</v>
      </c>
      <c r="L34" s="186">
        <v>15000</v>
      </c>
      <c r="M34" s="186">
        <v>10000</v>
      </c>
      <c r="N34" s="186">
        <v>8800</v>
      </c>
      <c r="O34" s="186">
        <v>15000</v>
      </c>
      <c r="P34" s="186">
        <v>13000</v>
      </c>
      <c r="Q34" s="186">
        <v>12200</v>
      </c>
      <c r="R34" s="185">
        <v>12500</v>
      </c>
      <c r="S34" s="186">
        <v>12500</v>
      </c>
      <c r="T34" s="186">
        <v>15500</v>
      </c>
      <c r="U34" s="186">
        <v>13000</v>
      </c>
      <c r="V34" s="186">
        <v>13200</v>
      </c>
      <c r="W34" s="186">
        <f t="shared" si="3"/>
        <v>18000</v>
      </c>
    </row>
    <row r="35" spans="1:23">
      <c r="A35" s="3">
        <v>2040</v>
      </c>
      <c r="B35" s="61">
        <v>12500</v>
      </c>
      <c r="C35" s="186">
        <v>14300</v>
      </c>
      <c r="D35" s="184">
        <v>15000</v>
      </c>
      <c r="E35" s="186">
        <f t="shared" si="2"/>
        <v>15400</v>
      </c>
      <c r="F35" s="185">
        <v>13000</v>
      </c>
      <c r="G35" s="186">
        <v>18300</v>
      </c>
      <c r="H35" s="186">
        <v>18000</v>
      </c>
      <c r="I35" s="186">
        <v>13000</v>
      </c>
      <c r="J35" s="186">
        <v>14100</v>
      </c>
      <c r="K35" s="186">
        <v>12000</v>
      </c>
      <c r="L35" s="186">
        <v>15000</v>
      </c>
      <c r="M35" s="186">
        <v>10000</v>
      </c>
      <c r="N35" s="186">
        <v>8800</v>
      </c>
      <c r="O35" s="186">
        <v>15000</v>
      </c>
      <c r="P35" s="186">
        <v>13000</v>
      </c>
      <c r="Q35" s="186">
        <v>12200</v>
      </c>
      <c r="R35" s="185">
        <v>12500</v>
      </c>
      <c r="S35" s="186">
        <v>12500</v>
      </c>
      <c r="T35" s="186">
        <v>15500</v>
      </c>
      <c r="U35" s="186">
        <v>13000</v>
      </c>
      <c r="V35" s="186">
        <v>13200</v>
      </c>
      <c r="W35" s="186">
        <f t="shared" si="3"/>
        <v>18000</v>
      </c>
    </row>
    <row r="36" spans="1:23">
      <c r="A36" s="3"/>
      <c r="B36" s="3"/>
      <c r="C36" s="3"/>
      <c r="D36" s="3"/>
      <c r="E36" s="3"/>
      <c r="F36" s="3"/>
      <c r="G36" s="3"/>
      <c r="H36" s="3"/>
      <c r="I36" s="3"/>
      <c r="J36" s="3"/>
      <c r="K36" s="3"/>
      <c r="L36" s="3"/>
      <c r="M36" s="3"/>
      <c r="N36" s="3"/>
      <c r="O36" s="3"/>
      <c r="P36" s="3"/>
      <c r="Q36" s="3"/>
      <c r="R36" s="3"/>
      <c r="S36" s="3"/>
      <c r="T36" s="3"/>
      <c r="U36" s="3"/>
      <c r="V36" s="3"/>
    </row>
    <row r="38" spans="1:23">
      <c r="A38" s="190" t="s">
        <v>1000</v>
      </c>
      <c r="Q38" s="129" t="s">
        <v>1014</v>
      </c>
    </row>
    <row r="39" spans="1:23">
      <c r="A39" t="s">
        <v>999</v>
      </c>
    </row>
    <row r="40" spans="1:23">
      <c r="A40" s="87" t="s">
        <v>1001</v>
      </c>
      <c r="H40" t="s">
        <v>1024</v>
      </c>
      <c r="Q40" s="206" t="s">
        <v>1016</v>
      </c>
    </row>
    <row r="42" spans="1:23">
      <c r="A42" t="s">
        <v>1002</v>
      </c>
      <c r="Q42" s="209" t="s">
        <v>1017</v>
      </c>
    </row>
    <row r="43" spans="1:23">
      <c r="A43" t="s">
        <v>1003</v>
      </c>
    </row>
    <row r="44" spans="1:23">
      <c r="Q44" s="33" t="s">
        <v>1018</v>
      </c>
    </row>
    <row r="45" spans="1:23">
      <c r="A45" s="108" t="s">
        <v>1005</v>
      </c>
    </row>
    <row r="46" spans="1:23">
      <c r="Q46" s="210" t="s">
        <v>1019</v>
      </c>
    </row>
    <row r="47" spans="1:23">
      <c r="A47" s="194" t="s">
        <v>1006</v>
      </c>
    </row>
    <row r="48" spans="1:23">
      <c r="Q48" s="214" t="s">
        <v>1020</v>
      </c>
    </row>
    <row r="49" spans="1:22">
      <c r="A49" s="135" t="s">
        <v>1007</v>
      </c>
    </row>
    <row r="50" spans="1:22">
      <c r="Q50" s="205" t="s">
        <v>1021</v>
      </c>
    </row>
    <row r="51" spans="1:22">
      <c r="A51" s="193" t="s">
        <v>1009</v>
      </c>
    </row>
    <row r="52" spans="1:22">
      <c r="Q52" s="201" t="s">
        <v>1023</v>
      </c>
      <c r="V52" t="s">
        <v>249</v>
      </c>
    </row>
    <row r="53" spans="1:22">
      <c r="A53" s="199" t="s">
        <v>1010</v>
      </c>
      <c r="V53" s="212" t="s">
        <v>1022</v>
      </c>
    </row>
    <row r="54" spans="1:22">
      <c r="V54" s="3">
        <v>19107.488933620716</v>
      </c>
    </row>
    <row r="55" spans="1:22">
      <c r="A55" s="158" t="s">
        <v>1011</v>
      </c>
      <c r="V55" s="3">
        <v>19247.920727912053</v>
      </c>
    </row>
    <row r="56" spans="1:22">
      <c r="V56" s="3">
        <v>19068.415971900999</v>
      </c>
    </row>
    <row r="57" spans="1:22">
      <c r="A57" s="204" t="s">
        <v>1012</v>
      </c>
      <c r="V57" s="3">
        <v>19000.712754769</v>
      </c>
    </row>
    <row r="58" spans="1:22">
      <c r="V58" s="3">
        <v>19034.174599605409</v>
      </c>
    </row>
    <row r="59" spans="1:22">
      <c r="A59" s="200" t="s">
        <v>1013</v>
      </c>
      <c r="V59" s="3">
        <v>18871.054371584651</v>
      </c>
    </row>
    <row r="60" spans="1:22">
      <c r="V60" s="3">
        <v>18862.377918191578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9"/>
  <sheetViews>
    <sheetView zoomScale="75" zoomScaleNormal="75" workbookViewId="0">
      <pane xSplit="1" ySplit="3" topLeftCell="B4" activePane="bottomRight" state="frozen"/>
      <selection pane="topRight" activeCell="B1" sqref="B1"/>
      <selection pane="bottomLeft" activeCell="A4" sqref="A4"/>
      <selection pane="bottomRight" activeCell="K31" sqref="K31"/>
    </sheetView>
  </sheetViews>
  <sheetFormatPr defaultRowHeight="15"/>
  <sheetData>
    <row r="1" spans="1:80">
      <c r="B1" t="s">
        <v>274</v>
      </c>
      <c r="F1" t="s">
        <v>1065</v>
      </c>
      <c r="Z1" t="s">
        <v>275</v>
      </c>
      <c r="BA1" t="s">
        <v>1015</v>
      </c>
    </row>
    <row r="2" spans="1:80">
      <c r="B2" s="168"/>
      <c r="C2" s="168"/>
      <c r="D2" s="168"/>
      <c r="E2" s="168"/>
      <c r="F2" s="168"/>
      <c r="G2" s="168"/>
      <c r="H2" s="168"/>
      <c r="I2" s="168"/>
      <c r="J2" s="168"/>
      <c r="K2" s="168"/>
      <c r="L2" s="168"/>
      <c r="M2" s="169"/>
      <c r="N2" s="168"/>
      <c r="O2" s="168"/>
      <c r="P2" s="168"/>
      <c r="Q2" s="170"/>
      <c r="R2" s="168"/>
      <c r="S2" s="168"/>
      <c r="T2" s="168"/>
      <c r="U2" s="168"/>
      <c r="V2" s="168"/>
      <c r="W2" s="168"/>
      <c r="X2" s="168"/>
    </row>
    <row r="3" spans="1:80">
      <c r="B3" s="168" t="s">
        <v>255</v>
      </c>
      <c r="C3" s="168" t="s">
        <v>539</v>
      </c>
      <c r="D3" s="168" t="s">
        <v>540</v>
      </c>
      <c r="E3" s="168" t="s">
        <v>238</v>
      </c>
      <c r="F3" s="168" t="s">
        <v>239</v>
      </c>
      <c r="G3" s="168" t="s">
        <v>541</v>
      </c>
      <c r="H3" s="168" t="s">
        <v>542</v>
      </c>
      <c r="I3" s="168" t="s">
        <v>240</v>
      </c>
      <c r="J3" s="168" t="s">
        <v>241</v>
      </c>
      <c r="K3" s="168" t="s">
        <v>242</v>
      </c>
      <c r="L3" s="168" t="s">
        <v>544</v>
      </c>
      <c r="M3" s="169" t="s">
        <v>538</v>
      </c>
      <c r="N3" s="168" t="s">
        <v>243</v>
      </c>
      <c r="O3" s="168" t="s">
        <v>244</v>
      </c>
      <c r="P3" s="168" t="s">
        <v>245</v>
      </c>
      <c r="Q3" s="170" t="s">
        <v>331</v>
      </c>
      <c r="R3" s="168" t="s">
        <v>246</v>
      </c>
      <c r="S3" s="168" t="s">
        <v>545</v>
      </c>
      <c r="T3" s="168" t="s">
        <v>247</v>
      </c>
      <c r="U3" s="168" t="s">
        <v>546</v>
      </c>
      <c r="V3" s="168" t="s">
        <v>248</v>
      </c>
      <c r="W3" s="168" t="s">
        <v>249</v>
      </c>
      <c r="X3" s="168" t="s">
        <v>609</v>
      </c>
      <c r="Y3" t="s">
        <v>158</v>
      </c>
      <c r="AB3" s="168" t="s">
        <v>255</v>
      </c>
      <c r="AC3" s="168" t="s">
        <v>539</v>
      </c>
      <c r="AD3" s="168" t="s">
        <v>540</v>
      </c>
      <c r="AE3" s="168" t="s">
        <v>238</v>
      </c>
      <c r="AF3" s="168" t="s">
        <v>239</v>
      </c>
      <c r="AG3" s="168" t="s">
        <v>541</v>
      </c>
      <c r="AH3" s="168" t="s">
        <v>542</v>
      </c>
      <c r="AI3" s="168" t="s">
        <v>240</v>
      </c>
      <c r="AJ3" s="168" t="s">
        <v>241</v>
      </c>
      <c r="AK3" s="168" t="s">
        <v>242</v>
      </c>
      <c r="AL3" s="168" t="s">
        <v>544</v>
      </c>
      <c r="AM3" s="169" t="s">
        <v>538</v>
      </c>
      <c r="AN3" s="168" t="s">
        <v>243</v>
      </c>
      <c r="AO3" s="168" t="s">
        <v>244</v>
      </c>
      <c r="AP3" s="168" t="s">
        <v>245</v>
      </c>
      <c r="AQ3" s="170" t="s">
        <v>331</v>
      </c>
      <c r="AR3" s="168" t="s">
        <v>246</v>
      </c>
      <c r="AS3" s="168" t="s">
        <v>545</v>
      </c>
      <c r="AT3" s="168" t="s">
        <v>247</v>
      </c>
      <c r="AU3" s="168" t="s">
        <v>546</v>
      </c>
      <c r="AV3" s="168" t="s">
        <v>248</v>
      </c>
      <c r="AW3" s="168" t="s">
        <v>249</v>
      </c>
      <c r="AX3" s="168" t="s">
        <v>609</v>
      </c>
      <c r="AY3" t="s">
        <v>158</v>
      </c>
      <c r="BC3" s="168" t="s">
        <v>255</v>
      </c>
      <c r="BD3" s="168" t="s">
        <v>539</v>
      </c>
      <c r="BE3" s="168" t="s">
        <v>540</v>
      </c>
      <c r="BF3" s="168" t="s">
        <v>238</v>
      </c>
      <c r="BG3" s="168" t="s">
        <v>239</v>
      </c>
      <c r="BH3" s="168" t="s">
        <v>541</v>
      </c>
      <c r="BI3" s="168" t="s">
        <v>542</v>
      </c>
      <c r="BJ3" s="168" t="s">
        <v>240</v>
      </c>
      <c r="BK3" s="168" t="s">
        <v>241</v>
      </c>
      <c r="BL3" s="168" t="s">
        <v>242</v>
      </c>
      <c r="BM3" s="168" t="s">
        <v>544</v>
      </c>
      <c r="BN3" s="169" t="s">
        <v>538</v>
      </c>
      <c r="BO3" s="168" t="s">
        <v>243</v>
      </c>
      <c r="BP3" s="168" t="s">
        <v>244</v>
      </c>
      <c r="BQ3" s="168" t="s">
        <v>245</v>
      </c>
      <c r="BR3" s="170" t="s">
        <v>331</v>
      </c>
      <c r="BS3" s="168" t="s">
        <v>246</v>
      </c>
      <c r="BT3" s="168" t="s">
        <v>545</v>
      </c>
      <c r="BU3" s="168" t="s">
        <v>247</v>
      </c>
      <c r="BV3" s="168" t="s">
        <v>546</v>
      </c>
      <c r="BW3" s="168" t="s">
        <v>248</v>
      </c>
      <c r="BX3" s="168" t="s">
        <v>249</v>
      </c>
      <c r="BY3" s="168" t="s">
        <v>609</v>
      </c>
      <c r="BZ3" t="s">
        <v>158</v>
      </c>
    </row>
    <row r="4" spans="1:80">
      <c r="A4">
        <v>2000</v>
      </c>
      <c r="AA4">
        <v>2000</v>
      </c>
      <c r="BB4">
        <v>2000</v>
      </c>
    </row>
    <row r="5" spans="1:80">
      <c r="A5">
        <v>2001</v>
      </c>
      <c r="AA5">
        <v>2001</v>
      </c>
      <c r="BB5">
        <v>2001</v>
      </c>
    </row>
    <row r="6" spans="1:80">
      <c r="A6">
        <v>2002</v>
      </c>
      <c r="AA6">
        <v>2002</v>
      </c>
      <c r="BB6">
        <v>2002</v>
      </c>
    </row>
    <row r="7" spans="1:80">
      <c r="A7">
        <v>2003</v>
      </c>
      <c r="AA7">
        <v>2003</v>
      </c>
      <c r="BB7">
        <v>2003</v>
      </c>
    </row>
    <row r="8" spans="1:80">
      <c r="A8">
        <v>2004</v>
      </c>
      <c r="AA8">
        <v>2004</v>
      </c>
      <c r="BB8">
        <v>2004</v>
      </c>
    </row>
    <row r="9" spans="1:80">
      <c r="A9">
        <v>2005</v>
      </c>
      <c r="AA9">
        <v>2005</v>
      </c>
      <c r="BB9">
        <v>2005</v>
      </c>
      <c r="BD9" s="33"/>
      <c r="BE9" s="33"/>
      <c r="BF9" s="33"/>
      <c r="BG9" s="33"/>
      <c r="BH9" s="33"/>
      <c r="BI9" s="33"/>
      <c r="BJ9" s="33"/>
      <c r="BK9" s="33"/>
      <c r="BL9" s="33"/>
      <c r="BM9" s="33"/>
      <c r="BN9" s="33"/>
      <c r="BO9" s="33"/>
      <c r="BP9" s="33"/>
      <c r="BQ9" s="33"/>
      <c r="BR9" s="33"/>
      <c r="BS9" s="33"/>
      <c r="BT9" s="33"/>
      <c r="BU9" s="33"/>
      <c r="BV9" s="33"/>
      <c r="BW9" s="33"/>
      <c r="BX9" s="33"/>
      <c r="BY9" s="33"/>
      <c r="BZ9" s="33"/>
      <c r="CA9" s="33"/>
      <c r="CB9" s="33"/>
    </row>
    <row r="10" spans="1:80">
      <c r="A10">
        <v>2006</v>
      </c>
      <c r="AA10">
        <v>2006</v>
      </c>
      <c r="BB10">
        <v>2006</v>
      </c>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row>
    <row r="11" spans="1:80">
      <c r="A11">
        <v>2007</v>
      </c>
      <c r="W11">
        <v>333</v>
      </c>
      <c r="Y11">
        <f t="shared" ref="Y11:Y20" si="0">SUM(B11:X11)</f>
        <v>333</v>
      </c>
      <c r="AA11">
        <v>2007</v>
      </c>
      <c r="AW11">
        <v>42</v>
      </c>
      <c r="AY11">
        <f t="shared" ref="AY11:AY20" si="1">SUM(AB11:AX11)</f>
        <v>42</v>
      </c>
      <c r="BB11">
        <v>2007</v>
      </c>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row>
    <row r="12" spans="1:80">
      <c r="A12">
        <v>2008</v>
      </c>
      <c r="W12">
        <v>339</v>
      </c>
      <c r="Y12">
        <f t="shared" si="0"/>
        <v>339</v>
      </c>
      <c r="AA12">
        <v>2008</v>
      </c>
      <c r="AW12">
        <v>42</v>
      </c>
      <c r="AY12">
        <f t="shared" si="1"/>
        <v>42</v>
      </c>
      <c r="BB12">
        <v>2008</v>
      </c>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row>
    <row r="13" spans="1:80">
      <c r="A13">
        <v>2009</v>
      </c>
      <c r="N13" s="14"/>
      <c r="W13">
        <v>373</v>
      </c>
      <c r="Y13">
        <f t="shared" si="0"/>
        <v>373</v>
      </c>
      <c r="AA13">
        <v>2009</v>
      </c>
      <c r="AN13">
        <v>95</v>
      </c>
      <c r="AW13">
        <v>47</v>
      </c>
      <c r="AY13">
        <f t="shared" si="1"/>
        <v>142</v>
      </c>
      <c r="BB13">
        <v>2009</v>
      </c>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row>
    <row r="14" spans="1:80">
      <c r="A14">
        <v>2010</v>
      </c>
      <c r="N14" s="14"/>
      <c r="P14">
        <v>400</v>
      </c>
      <c r="R14">
        <v>2800</v>
      </c>
      <c r="W14">
        <v>482</v>
      </c>
      <c r="Y14">
        <f t="shared" si="0"/>
        <v>3682</v>
      </c>
      <c r="AA14">
        <v>2010</v>
      </c>
      <c r="AN14">
        <v>312</v>
      </c>
      <c r="AR14">
        <v>1</v>
      </c>
      <c r="AW14">
        <v>60</v>
      </c>
      <c r="AY14">
        <f t="shared" si="1"/>
        <v>373</v>
      </c>
      <c r="BB14">
        <v>2010</v>
      </c>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row>
    <row r="15" spans="1:80">
      <c r="A15">
        <v>2011</v>
      </c>
      <c r="B15">
        <v>12</v>
      </c>
      <c r="N15" s="14"/>
      <c r="O15">
        <v>29</v>
      </c>
      <c r="P15">
        <v>1250</v>
      </c>
      <c r="R15">
        <v>3105</v>
      </c>
      <c r="V15">
        <v>1503</v>
      </c>
      <c r="W15">
        <v>3903</v>
      </c>
      <c r="X15">
        <v>1129</v>
      </c>
      <c r="Y15">
        <f t="shared" si="0"/>
        <v>10931</v>
      </c>
      <c r="AA15">
        <v>2011</v>
      </c>
      <c r="AN15">
        <v>801</v>
      </c>
      <c r="AO15">
        <v>33</v>
      </c>
      <c r="AP15">
        <v>15</v>
      </c>
      <c r="AR15">
        <v>18</v>
      </c>
      <c r="AW15">
        <v>489</v>
      </c>
      <c r="AX15">
        <v>13</v>
      </c>
      <c r="AY15">
        <f t="shared" si="1"/>
        <v>1369</v>
      </c>
      <c r="BB15">
        <v>2011</v>
      </c>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row>
    <row r="16" spans="1:80">
      <c r="A16">
        <v>2012</v>
      </c>
      <c r="E16">
        <v>722</v>
      </c>
      <c r="I16">
        <v>800</v>
      </c>
      <c r="J16">
        <v>1500</v>
      </c>
      <c r="M16">
        <v>1350</v>
      </c>
      <c r="N16" s="33">
        <v>300</v>
      </c>
      <c r="O16">
        <v>59</v>
      </c>
      <c r="P16">
        <v>2782</v>
      </c>
      <c r="R16">
        <v>3688</v>
      </c>
      <c r="T16">
        <v>500</v>
      </c>
      <c r="V16">
        <v>2804</v>
      </c>
      <c r="W16">
        <v>11695</v>
      </c>
      <c r="X16">
        <v>5068</v>
      </c>
      <c r="Y16">
        <f t="shared" si="0"/>
        <v>31268</v>
      </c>
      <c r="AA16">
        <v>2012</v>
      </c>
      <c r="AE16">
        <v>2</v>
      </c>
      <c r="AI16">
        <v>9</v>
      </c>
      <c r="AJ16">
        <v>18</v>
      </c>
      <c r="AM16">
        <v>1</v>
      </c>
      <c r="AN16">
        <v>1381</v>
      </c>
      <c r="AO16">
        <v>118</v>
      </c>
      <c r="AP16">
        <v>63</v>
      </c>
      <c r="AR16">
        <v>58</v>
      </c>
      <c r="AT16">
        <v>5</v>
      </c>
      <c r="AV16">
        <v>36</v>
      </c>
      <c r="AW16">
        <v>1464</v>
      </c>
      <c r="AX16">
        <v>11</v>
      </c>
      <c r="AY16">
        <f t="shared" si="1"/>
        <v>3166</v>
      </c>
      <c r="BB16">
        <v>2012</v>
      </c>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row>
    <row r="17" spans="1:80">
      <c r="A17">
        <v>2013</v>
      </c>
      <c r="B17">
        <v>80</v>
      </c>
      <c r="E17">
        <v>1172</v>
      </c>
      <c r="I17">
        <v>1700</v>
      </c>
      <c r="J17">
        <v>2400</v>
      </c>
      <c r="M17">
        <v>1350</v>
      </c>
      <c r="N17" s="14"/>
      <c r="O17">
        <v>115</v>
      </c>
      <c r="P17">
        <v>5770</v>
      </c>
      <c r="R17">
        <v>4511</v>
      </c>
      <c r="T17">
        <v>1000</v>
      </c>
      <c r="V17">
        <v>5515</v>
      </c>
      <c r="W17">
        <v>14990</v>
      </c>
      <c r="X17">
        <v>6829</v>
      </c>
      <c r="Y17">
        <f t="shared" si="0"/>
        <v>45432</v>
      </c>
      <c r="AA17">
        <v>2013</v>
      </c>
      <c r="AE17">
        <v>7</v>
      </c>
      <c r="AI17">
        <v>102</v>
      </c>
      <c r="AJ17">
        <v>47</v>
      </c>
      <c r="AM17">
        <v>6</v>
      </c>
      <c r="AN17">
        <v>1794</v>
      </c>
      <c r="AO17">
        <v>177</v>
      </c>
      <c r="AP17">
        <v>106</v>
      </c>
      <c r="AR17">
        <v>144</v>
      </c>
      <c r="AT17">
        <v>20</v>
      </c>
      <c r="AV17">
        <v>176</v>
      </c>
      <c r="AW17">
        <v>1877</v>
      </c>
      <c r="AX17">
        <v>589</v>
      </c>
      <c r="AY17">
        <f t="shared" si="1"/>
        <v>5045</v>
      </c>
      <c r="BB17">
        <v>2013</v>
      </c>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row>
    <row r="18" spans="1:80">
      <c r="A18">
        <v>2014</v>
      </c>
      <c r="E18">
        <v>2266</v>
      </c>
      <c r="F18">
        <v>21000</v>
      </c>
      <c r="I18">
        <v>1700</v>
      </c>
      <c r="J18">
        <v>2606</v>
      </c>
      <c r="M18">
        <v>1350</v>
      </c>
      <c r="N18">
        <v>8640</v>
      </c>
      <c r="O18">
        <v>151</v>
      </c>
      <c r="P18">
        <v>11860</v>
      </c>
      <c r="R18">
        <v>5185</v>
      </c>
      <c r="T18">
        <v>1070</v>
      </c>
      <c r="V18">
        <v>7431</v>
      </c>
      <c r="W18">
        <v>20115</v>
      </c>
      <c r="X18">
        <v>9142</v>
      </c>
      <c r="Y18">
        <f t="shared" si="0"/>
        <v>92516</v>
      </c>
      <c r="AA18">
        <v>2014</v>
      </c>
      <c r="AE18">
        <v>55</v>
      </c>
      <c r="AF18">
        <v>9000</v>
      </c>
      <c r="AI18">
        <v>134</v>
      </c>
      <c r="AJ18">
        <v>335</v>
      </c>
      <c r="AM18">
        <v>13</v>
      </c>
      <c r="AN18">
        <v>2877</v>
      </c>
      <c r="AO18">
        <v>237</v>
      </c>
      <c r="AP18">
        <v>269</v>
      </c>
      <c r="AR18">
        <v>249</v>
      </c>
      <c r="AT18">
        <v>135</v>
      </c>
      <c r="AV18">
        <v>481</v>
      </c>
      <c r="AW18">
        <v>2518</v>
      </c>
      <c r="AX18">
        <v>862</v>
      </c>
      <c r="AY18">
        <f t="shared" si="1"/>
        <v>17165</v>
      </c>
      <c r="BB18">
        <v>2014</v>
      </c>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row>
    <row r="19" spans="1:80">
      <c r="A19">
        <v>2015</v>
      </c>
      <c r="E19">
        <v>3361</v>
      </c>
      <c r="F19">
        <v>46657</v>
      </c>
      <c r="I19">
        <v>9865</v>
      </c>
      <c r="J19">
        <v>4787</v>
      </c>
      <c r="M19">
        <v>1679</v>
      </c>
      <c r="N19">
        <v>16120</v>
      </c>
      <c r="O19">
        <v>449</v>
      </c>
      <c r="P19">
        <v>17786</v>
      </c>
      <c r="R19">
        <v>5289</v>
      </c>
      <c r="T19">
        <v>1824</v>
      </c>
      <c r="V19">
        <v>8716</v>
      </c>
      <c r="W19">
        <v>28150</v>
      </c>
      <c r="X19">
        <v>15483</v>
      </c>
      <c r="Y19">
        <f t="shared" si="0"/>
        <v>160166</v>
      </c>
      <c r="AA19">
        <v>2015</v>
      </c>
      <c r="AE19">
        <v>147</v>
      </c>
      <c r="AF19">
        <v>12101</v>
      </c>
      <c r="AI19">
        <v>800</v>
      </c>
      <c r="AJ19">
        <v>984</v>
      </c>
      <c r="AM19">
        <v>70</v>
      </c>
      <c r="AN19">
        <v>5990</v>
      </c>
      <c r="AO19">
        <v>489</v>
      </c>
      <c r="AP19">
        <v>528</v>
      </c>
      <c r="AR19">
        <v>698</v>
      </c>
      <c r="AT19">
        <v>343</v>
      </c>
      <c r="AV19">
        <v>1121</v>
      </c>
      <c r="AW19">
        <v>3524</v>
      </c>
      <c r="AX19">
        <v>1753</v>
      </c>
      <c r="AY19">
        <f t="shared" si="1"/>
        <v>28548</v>
      </c>
      <c r="BB19">
        <v>2015</v>
      </c>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row>
    <row r="20" spans="1:80">
      <c r="A20">
        <v>2016</v>
      </c>
      <c r="E20">
        <v>3900</v>
      </c>
      <c r="F20">
        <v>52778</v>
      </c>
      <c r="I20">
        <v>14250</v>
      </c>
      <c r="J20">
        <v>16266</v>
      </c>
      <c r="M20">
        <v>1796</v>
      </c>
      <c r="N20">
        <v>17260</v>
      </c>
      <c r="O20">
        <v>1075</v>
      </c>
      <c r="P20">
        <v>26088</v>
      </c>
      <c r="R20">
        <v>7105</v>
      </c>
      <c r="T20">
        <v>2215</v>
      </c>
      <c r="V20">
        <v>10736</v>
      </c>
      <c r="W20">
        <v>35089</v>
      </c>
      <c r="X20">
        <v>24658</v>
      </c>
      <c r="Y20">
        <f t="shared" si="0"/>
        <v>213216</v>
      </c>
      <c r="AA20">
        <v>2016</v>
      </c>
      <c r="AE20">
        <v>315</v>
      </c>
      <c r="AF20">
        <v>88476</v>
      </c>
      <c r="AI20">
        <v>1593</v>
      </c>
      <c r="AJ20">
        <v>1687</v>
      </c>
      <c r="AM20">
        <v>203</v>
      </c>
      <c r="AN20">
        <v>5990</v>
      </c>
      <c r="AO20">
        <v>750</v>
      </c>
      <c r="AP20">
        <v>701</v>
      </c>
      <c r="AR20">
        <v>1052</v>
      </c>
      <c r="AT20">
        <v>523</v>
      </c>
      <c r="AV20">
        <v>1523</v>
      </c>
      <c r="AW20">
        <v>5384</v>
      </c>
      <c r="AX20">
        <v>2498</v>
      </c>
      <c r="AY20">
        <f t="shared" si="1"/>
        <v>110695</v>
      </c>
      <c r="BB20">
        <v>2016</v>
      </c>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row>
    <row r="21" spans="1:80">
      <c r="A21">
        <v>2017</v>
      </c>
      <c r="I21">
        <v>14407</v>
      </c>
      <c r="J21">
        <v>22213</v>
      </c>
      <c r="M21">
        <v>2298</v>
      </c>
      <c r="V21" s="14">
        <v>13000</v>
      </c>
      <c r="AA21">
        <v>2017</v>
      </c>
      <c r="AI21">
        <v>1904</v>
      </c>
      <c r="AJ21">
        <v>3027</v>
      </c>
      <c r="AM21">
        <v>443</v>
      </c>
      <c r="AV21" s="14">
        <v>2500</v>
      </c>
      <c r="BB21">
        <v>2017</v>
      </c>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row>
    <row r="22" spans="1:80">
      <c r="A22">
        <v>2018</v>
      </c>
      <c r="AA22">
        <v>2018</v>
      </c>
      <c r="BB22">
        <v>2018</v>
      </c>
      <c r="BD22" s="33"/>
      <c r="BE22" s="33"/>
      <c r="BF22" s="33"/>
      <c r="BG22" s="33"/>
      <c r="BH22" s="33"/>
      <c r="BI22" s="33"/>
      <c r="BJ22" s="33">
        <v>16311</v>
      </c>
      <c r="BK22" s="33">
        <v>25241</v>
      </c>
      <c r="BL22" s="33"/>
      <c r="BM22" s="33"/>
      <c r="BN22" s="33"/>
      <c r="BO22" s="33"/>
      <c r="BP22" s="33"/>
      <c r="BQ22" s="33">
        <v>32875</v>
      </c>
      <c r="BR22" s="33"/>
      <c r="BS22" s="33"/>
      <c r="BT22" s="33"/>
      <c r="BU22" s="33"/>
      <c r="BV22" s="33"/>
      <c r="BW22" s="33">
        <v>14256</v>
      </c>
      <c r="BX22" s="33"/>
      <c r="BY22" s="33"/>
      <c r="BZ22" s="33"/>
      <c r="CA22" s="33"/>
      <c r="CB22" s="33"/>
    </row>
    <row r="23" spans="1:80">
      <c r="A23">
        <v>2019</v>
      </c>
      <c r="AA23">
        <v>2019</v>
      </c>
      <c r="BB23">
        <v>2019</v>
      </c>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row>
    <row r="24" spans="1:80">
      <c r="A24">
        <v>2020</v>
      </c>
      <c r="AA24">
        <v>2020</v>
      </c>
      <c r="BB24">
        <v>2020</v>
      </c>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row>
    <row r="25" spans="1:80">
      <c r="A25">
        <v>2021</v>
      </c>
      <c r="AA25">
        <v>2021</v>
      </c>
      <c r="BB25">
        <v>2021</v>
      </c>
    </row>
    <row r="26" spans="1:80">
      <c r="A26">
        <v>2022</v>
      </c>
      <c r="AA26">
        <v>2022</v>
      </c>
      <c r="BB26">
        <v>2022</v>
      </c>
    </row>
    <row r="27" spans="1:80">
      <c r="A27">
        <v>2023</v>
      </c>
      <c r="AA27">
        <v>2023</v>
      </c>
      <c r="BB27">
        <v>2023</v>
      </c>
    </row>
    <row r="28" spans="1:80">
      <c r="A28">
        <v>2024</v>
      </c>
      <c r="AA28">
        <v>2024</v>
      </c>
      <c r="BB28">
        <v>2024</v>
      </c>
    </row>
    <row r="29" spans="1:80">
      <c r="A29">
        <v>2025</v>
      </c>
      <c r="AA29">
        <v>2025</v>
      </c>
      <c r="BB29">
        <v>2025</v>
      </c>
    </row>
    <row r="30" spans="1:80">
      <c r="A30">
        <v>2026</v>
      </c>
      <c r="AA30">
        <v>2026</v>
      </c>
      <c r="BB30">
        <v>2026</v>
      </c>
    </row>
    <row r="31" spans="1:80">
      <c r="A31">
        <v>2027</v>
      </c>
      <c r="AA31">
        <v>2027</v>
      </c>
      <c r="BB31">
        <v>2027</v>
      </c>
    </row>
    <row r="32" spans="1:80">
      <c r="A32">
        <v>2028</v>
      </c>
      <c r="AA32">
        <v>2028</v>
      </c>
      <c r="BB32">
        <v>2028</v>
      </c>
    </row>
    <row r="33" spans="1:54">
      <c r="A33">
        <v>2029</v>
      </c>
      <c r="AA33">
        <v>2029</v>
      </c>
      <c r="BB33">
        <v>2029</v>
      </c>
    </row>
    <row r="34" spans="1:54">
      <c r="A34">
        <v>2030</v>
      </c>
      <c r="U34" t="s">
        <v>139</v>
      </c>
      <c r="V34" t="s">
        <v>139</v>
      </c>
      <c r="AA34">
        <v>2030</v>
      </c>
      <c r="BB34">
        <v>2030</v>
      </c>
    </row>
    <row r="36" spans="1:54">
      <c r="B36" t="s">
        <v>287</v>
      </c>
      <c r="AA36" t="s">
        <v>288</v>
      </c>
    </row>
    <row r="38" spans="1:54">
      <c r="B38" s="168" t="s">
        <v>255</v>
      </c>
      <c r="C38" s="168" t="s">
        <v>539</v>
      </c>
      <c r="D38" s="168" t="s">
        <v>540</v>
      </c>
      <c r="E38" s="168" t="s">
        <v>238</v>
      </c>
      <c r="F38" s="168" t="s">
        <v>239</v>
      </c>
      <c r="G38" s="168" t="s">
        <v>541</v>
      </c>
      <c r="H38" s="168" t="s">
        <v>542</v>
      </c>
      <c r="I38" s="168" t="s">
        <v>240</v>
      </c>
      <c r="J38" s="168" t="s">
        <v>241</v>
      </c>
      <c r="K38" s="168" t="s">
        <v>242</v>
      </c>
      <c r="L38" s="168" t="s">
        <v>544</v>
      </c>
      <c r="M38" s="169" t="s">
        <v>538</v>
      </c>
      <c r="N38" s="168" t="s">
        <v>243</v>
      </c>
      <c r="O38" s="168" t="s">
        <v>244</v>
      </c>
      <c r="P38" s="168" t="s">
        <v>245</v>
      </c>
      <c r="Q38" s="170" t="s">
        <v>331</v>
      </c>
      <c r="R38" s="168" t="s">
        <v>246</v>
      </c>
      <c r="S38" s="168" t="s">
        <v>545</v>
      </c>
      <c r="T38" s="168" t="s">
        <v>247</v>
      </c>
      <c r="U38" s="168" t="s">
        <v>546</v>
      </c>
      <c r="V38" s="168" t="s">
        <v>248</v>
      </c>
      <c r="W38" s="168" t="s">
        <v>249</v>
      </c>
      <c r="X38" s="168" t="s">
        <v>609</v>
      </c>
      <c r="Y38" t="s">
        <v>158</v>
      </c>
      <c r="AB38" s="168" t="s">
        <v>255</v>
      </c>
      <c r="AC38" s="168" t="s">
        <v>539</v>
      </c>
      <c r="AD38" s="168" t="s">
        <v>540</v>
      </c>
      <c r="AE38" s="168" t="s">
        <v>238</v>
      </c>
      <c r="AF38" s="168" t="s">
        <v>239</v>
      </c>
      <c r="AG38" s="168" t="s">
        <v>541</v>
      </c>
      <c r="AH38" s="168" t="s">
        <v>542</v>
      </c>
      <c r="AI38" s="168" t="s">
        <v>240</v>
      </c>
      <c r="AJ38" s="168" t="s">
        <v>241</v>
      </c>
      <c r="AK38" s="168" t="s">
        <v>242</v>
      </c>
      <c r="AL38" s="168" t="s">
        <v>544</v>
      </c>
      <c r="AM38" s="169" t="s">
        <v>538</v>
      </c>
      <c r="AN38" s="168" t="s">
        <v>243</v>
      </c>
      <c r="AO38" s="168" t="s">
        <v>244</v>
      </c>
      <c r="AP38" s="168" t="s">
        <v>245</v>
      </c>
      <c r="AQ38" s="170" t="s">
        <v>331</v>
      </c>
      <c r="AR38" s="168" t="s">
        <v>246</v>
      </c>
      <c r="AS38" s="168" t="s">
        <v>545</v>
      </c>
      <c r="AT38" s="168" t="s">
        <v>247</v>
      </c>
      <c r="AU38" s="168" t="s">
        <v>546</v>
      </c>
      <c r="AV38" s="168" t="s">
        <v>248</v>
      </c>
      <c r="AW38" s="168" t="s">
        <v>249</v>
      </c>
      <c r="AX38" s="168" t="s">
        <v>609</v>
      </c>
      <c r="AY38" t="s">
        <v>158</v>
      </c>
    </row>
    <row r="39" spans="1:54">
      <c r="A39">
        <v>2000</v>
      </c>
      <c r="AA39">
        <v>2000</v>
      </c>
    </row>
    <row r="40" spans="1:54">
      <c r="A40">
        <v>2001</v>
      </c>
      <c r="AA40">
        <v>2001</v>
      </c>
    </row>
    <row r="41" spans="1:54">
      <c r="A41">
        <v>2002</v>
      </c>
      <c r="R41" s="3"/>
      <c r="S41" s="3"/>
      <c r="AA41">
        <v>2002</v>
      </c>
    </row>
    <row r="42" spans="1:54">
      <c r="A42">
        <v>2003</v>
      </c>
      <c r="R42" s="3">
        <f>'Pop, Veh '!K30</f>
        <v>2200.8910000000001</v>
      </c>
      <c r="S42" s="3"/>
      <c r="AA42">
        <v>2003</v>
      </c>
    </row>
    <row r="43" spans="1:54">
      <c r="A43">
        <v>2004</v>
      </c>
      <c r="R43" s="3">
        <f>'Pop, Veh '!K31</f>
        <v>2260.9749999999999</v>
      </c>
      <c r="S43" s="3"/>
      <c r="AA43">
        <v>2004</v>
      </c>
    </row>
    <row r="44" spans="1:54">
      <c r="A44">
        <v>2005</v>
      </c>
      <c r="R44" s="3">
        <f>'Pop, Veh '!K32</f>
        <v>2330.85</v>
      </c>
      <c r="S44" s="3"/>
      <c r="AA44">
        <v>2005</v>
      </c>
      <c r="AV44" t="e">
        <f>(V9+2*AV9)/#REF!</f>
        <v>#REF!</v>
      </c>
      <c r="AW44" t="e">
        <f>(W9+2*AW9)/#REF!</f>
        <v>#REF!</v>
      </c>
    </row>
    <row r="45" spans="1:54">
      <c r="A45">
        <v>2006</v>
      </c>
      <c r="R45" s="3">
        <f>'Pop, Veh '!K33</f>
        <v>2414.1579999999999</v>
      </c>
      <c r="S45" s="3"/>
      <c r="AA45">
        <v>2006</v>
      </c>
      <c r="AV45" t="e">
        <f>(V10+2*AV10)/#REF!</f>
        <v>#REF!</v>
      </c>
      <c r="AW45" t="e">
        <f>(W10+2*AW10)/#REF!</f>
        <v>#REF!</v>
      </c>
    </row>
    <row r="46" spans="1:54">
      <c r="A46">
        <v>2007</v>
      </c>
      <c r="R46" s="3">
        <f>'Pop, Veh '!K34</f>
        <v>2505.6410000000001</v>
      </c>
      <c r="S46" s="3"/>
      <c r="AA46">
        <v>2007</v>
      </c>
      <c r="AV46" t="e">
        <f>(V11+2*AV11)/#REF!</f>
        <v>#REF!</v>
      </c>
      <c r="AW46" t="e">
        <f>(W11+2*AW11)/#REF!</f>
        <v>#REF!</v>
      </c>
    </row>
    <row r="47" spans="1:54">
      <c r="A47">
        <v>2008</v>
      </c>
      <c r="R47" s="3">
        <f>'Pop, Veh '!K35</f>
        <v>2575.4499999999998</v>
      </c>
      <c r="S47" s="3"/>
      <c r="AA47">
        <v>2008</v>
      </c>
      <c r="AB47" t="e">
        <f t="shared" ref="AB47:AB56" si="2">(B12+2*AB12)/B47</f>
        <v>#DIV/0!</v>
      </c>
      <c r="AE47" t="e">
        <f t="shared" ref="AE47:AE55" si="3">(E12+2*AE12)/E47</f>
        <v>#DIV/0!</v>
      </c>
      <c r="AF47" t="e">
        <f t="shared" ref="AF47:AF55" si="4">(F12+2*AF12)/F47</f>
        <v>#DIV/0!</v>
      </c>
      <c r="AI47" t="e">
        <f t="shared" ref="AI47:AI55" si="5">(I12+2*AI12)/I47</f>
        <v>#DIV/0!</v>
      </c>
      <c r="AJ47" t="e">
        <f t="shared" ref="AJ47:AJ55" si="6">(J12+2*AJ12)/J47</f>
        <v>#DIV/0!</v>
      </c>
      <c r="AM47" t="e">
        <f t="shared" ref="AM47:AM55" si="7">(M12+2*AM12)/M47</f>
        <v>#DIV/0!</v>
      </c>
      <c r="AN47" t="e">
        <f t="shared" ref="AN47:AN55" si="8">(N12+2*AN12)/N47</f>
        <v>#DIV/0!</v>
      </c>
      <c r="AO47" t="e">
        <f t="shared" ref="AO47:AO55" si="9">(O12+2*AO12)/O47</f>
        <v>#DIV/0!</v>
      </c>
      <c r="AP47" t="e">
        <f t="shared" ref="AP47:AP55" si="10">(P12+2*AP12)/P47</f>
        <v>#DIV/0!</v>
      </c>
      <c r="AR47">
        <f t="shared" ref="AR47:AR55" si="11">(R12+2*AR12)/R47</f>
        <v>0</v>
      </c>
      <c r="AT47" t="e">
        <f t="shared" ref="AT47:AT55" si="12">(T12+2*AT12)/T47</f>
        <v>#DIV/0!</v>
      </c>
      <c r="AV47" t="e">
        <f t="shared" ref="AV47:AV55" si="13">(V12+2*AV12)/V47</f>
        <v>#DIV/0!</v>
      </c>
      <c r="AW47" t="e">
        <f t="shared" ref="AW47:AW55" si="14">(W12+2*AW12)/W47</f>
        <v>#DIV/0!</v>
      </c>
      <c r="AX47" t="e">
        <f t="shared" ref="AX47:AX55" si="15">(X12+2*AX12)/X47</f>
        <v>#DIV/0!</v>
      </c>
    </row>
    <row r="48" spans="1:54">
      <c r="A48">
        <v>2009</v>
      </c>
      <c r="R48" s="3">
        <f>'Pop, Veh '!K36</f>
        <v>2628.665</v>
      </c>
      <c r="S48" s="3"/>
      <c r="AA48">
        <v>2009</v>
      </c>
      <c r="AB48" t="e">
        <f t="shared" si="2"/>
        <v>#DIV/0!</v>
      </c>
      <c r="AE48" t="e">
        <f t="shared" si="3"/>
        <v>#DIV/0!</v>
      </c>
      <c r="AF48" t="e">
        <f t="shared" si="4"/>
        <v>#DIV/0!</v>
      </c>
      <c r="AI48" t="e">
        <f t="shared" si="5"/>
        <v>#DIV/0!</v>
      </c>
      <c r="AJ48" t="e">
        <f t="shared" si="6"/>
        <v>#DIV/0!</v>
      </c>
      <c r="AM48" t="e">
        <f t="shared" si="7"/>
        <v>#DIV/0!</v>
      </c>
      <c r="AN48" t="e">
        <f t="shared" si="8"/>
        <v>#DIV/0!</v>
      </c>
      <c r="AO48" t="e">
        <f t="shared" si="9"/>
        <v>#DIV/0!</v>
      </c>
      <c r="AP48" t="e">
        <f t="shared" si="10"/>
        <v>#DIV/0!</v>
      </c>
      <c r="AR48">
        <f t="shared" si="11"/>
        <v>0</v>
      </c>
      <c r="AT48" t="e">
        <f t="shared" si="12"/>
        <v>#DIV/0!</v>
      </c>
      <c r="AV48" t="e">
        <f t="shared" si="13"/>
        <v>#DIV/0!</v>
      </c>
      <c r="AW48" t="e">
        <f t="shared" si="14"/>
        <v>#DIV/0!</v>
      </c>
      <c r="AX48" t="e">
        <f t="shared" si="15"/>
        <v>#DIV/0!</v>
      </c>
    </row>
    <row r="49" spans="1:51">
      <c r="A49">
        <v>2010</v>
      </c>
      <c r="R49" s="3">
        <f>'Pop, Veh '!K37</f>
        <v>2700.5749999999998</v>
      </c>
      <c r="S49" s="3"/>
      <c r="AA49">
        <v>2010</v>
      </c>
      <c r="AB49" t="e">
        <f t="shared" si="2"/>
        <v>#DIV/0!</v>
      </c>
      <c r="AE49" t="e">
        <f t="shared" si="3"/>
        <v>#DIV/0!</v>
      </c>
      <c r="AF49" t="e">
        <f t="shared" si="4"/>
        <v>#DIV/0!</v>
      </c>
      <c r="AI49" t="e">
        <f t="shared" si="5"/>
        <v>#DIV/0!</v>
      </c>
      <c r="AJ49" t="e">
        <f t="shared" si="6"/>
        <v>#DIV/0!</v>
      </c>
      <c r="AM49" t="e">
        <f t="shared" si="7"/>
        <v>#DIV/0!</v>
      </c>
      <c r="AN49" t="e">
        <f t="shared" si="8"/>
        <v>#DIV/0!</v>
      </c>
      <c r="AO49" t="e">
        <f t="shared" si="9"/>
        <v>#DIV/0!</v>
      </c>
      <c r="AP49" t="e">
        <f t="shared" si="10"/>
        <v>#DIV/0!</v>
      </c>
      <c r="AR49">
        <f t="shared" si="11"/>
        <v>1.0375568166038716</v>
      </c>
      <c r="AT49" t="e">
        <f t="shared" si="12"/>
        <v>#DIV/0!</v>
      </c>
      <c r="AV49" t="e">
        <f t="shared" si="13"/>
        <v>#DIV/0!</v>
      </c>
      <c r="AW49" t="e">
        <f t="shared" si="14"/>
        <v>#DIV/0!</v>
      </c>
      <c r="AX49" t="e">
        <f t="shared" si="15"/>
        <v>#DIV/0!</v>
      </c>
    </row>
    <row r="50" spans="1:51">
      <c r="A50">
        <v>2011</v>
      </c>
      <c r="R50" s="3">
        <f>'Pop, Veh '!K38</f>
        <v>2779.1190000000001</v>
      </c>
      <c r="S50" s="3"/>
      <c r="AA50">
        <v>2011</v>
      </c>
      <c r="AB50" t="e">
        <f t="shared" si="2"/>
        <v>#DIV/0!</v>
      </c>
      <c r="AE50" t="e">
        <f t="shared" si="3"/>
        <v>#DIV/0!</v>
      </c>
      <c r="AF50" t="e">
        <f t="shared" si="4"/>
        <v>#DIV/0!</v>
      </c>
      <c r="AI50" t="e">
        <f t="shared" si="5"/>
        <v>#DIV/0!</v>
      </c>
      <c r="AJ50" t="e">
        <f t="shared" si="6"/>
        <v>#DIV/0!</v>
      </c>
      <c r="AM50" t="e">
        <f t="shared" si="7"/>
        <v>#DIV/0!</v>
      </c>
      <c r="AN50" t="e">
        <f t="shared" si="8"/>
        <v>#DIV/0!</v>
      </c>
      <c r="AO50" t="e">
        <f t="shared" si="9"/>
        <v>#DIV/0!</v>
      </c>
      <c r="AP50" t="e">
        <f t="shared" si="10"/>
        <v>#DIV/0!</v>
      </c>
      <c r="AR50">
        <f t="shared" si="11"/>
        <v>1.1302142873335039</v>
      </c>
      <c r="AT50" t="e">
        <f t="shared" si="12"/>
        <v>#DIV/0!</v>
      </c>
      <c r="AV50" t="e">
        <f t="shared" si="13"/>
        <v>#DIV/0!</v>
      </c>
      <c r="AW50" t="e">
        <f t="shared" si="14"/>
        <v>#DIV/0!</v>
      </c>
      <c r="AX50" t="e">
        <f t="shared" si="15"/>
        <v>#DIV/0!</v>
      </c>
      <c r="AY50" t="e">
        <f>(Y15+2*AY15)/#REF!</f>
        <v>#REF!</v>
      </c>
    </row>
    <row r="51" spans="1:51">
      <c r="A51">
        <v>2012</v>
      </c>
      <c r="R51" s="3">
        <f>'Pop, Veh '!K39</f>
        <v>2856.5720000000001</v>
      </c>
      <c r="S51" s="3"/>
      <c r="AA51">
        <v>2012</v>
      </c>
      <c r="AB51" t="e">
        <f t="shared" si="2"/>
        <v>#DIV/0!</v>
      </c>
      <c r="AE51" t="e">
        <f t="shared" si="3"/>
        <v>#DIV/0!</v>
      </c>
      <c r="AF51" t="e">
        <f t="shared" si="4"/>
        <v>#DIV/0!</v>
      </c>
      <c r="AI51" t="e">
        <f t="shared" si="5"/>
        <v>#DIV/0!</v>
      </c>
      <c r="AJ51" t="e">
        <f t="shared" si="6"/>
        <v>#DIV/0!</v>
      </c>
      <c r="AM51" t="e">
        <f t="shared" si="7"/>
        <v>#DIV/0!</v>
      </c>
      <c r="AN51" t="e">
        <f t="shared" si="8"/>
        <v>#DIV/0!</v>
      </c>
      <c r="AO51" t="e">
        <f t="shared" si="9"/>
        <v>#DIV/0!</v>
      </c>
      <c r="AP51" t="e">
        <f t="shared" si="10"/>
        <v>#DIV/0!</v>
      </c>
      <c r="AR51">
        <f t="shared" si="11"/>
        <v>1.3316660668801625</v>
      </c>
      <c r="AT51" t="e">
        <f t="shared" si="12"/>
        <v>#DIV/0!</v>
      </c>
      <c r="AV51" t="e">
        <f t="shared" si="13"/>
        <v>#DIV/0!</v>
      </c>
      <c r="AW51" t="e">
        <f t="shared" si="14"/>
        <v>#DIV/0!</v>
      </c>
      <c r="AX51" t="e">
        <f t="shared" si="15"/>
        <v>#DIV/0!</v>
      </c>
      <c r="AY51" t="e">
        <f>(Y16+2*AY16)/#REF!</f>
        <v>#REF!</v>
      </c>
    </row>
    <row r="52" spans="1:51">
      <c r="A52">
        <v>2013</v>
      </c>
      <c r="R52" s="3">
        <f>'Pop, Veh '!K40</f>
        <v>2920.6529999999998</v>
      </c>
      <c r="S52" s="3"/>
      <c r="AA52">
        <v>2013</v>
      </c>
      <c r="AB52" t="e">
        <f t="shared" si="2"/>
        <v>#DIV/0!</v>
      </c>
      <c r="AE52" t="e">
        <f t="shared" si="3"/>
        <v>#DIV/0!</v>
      </c>
      <c r="AF52" t="e">
        <f t="shared" si="4"/>
        <v>#DIV/0!</v>
      </c>
      <c r="AI52" t="e">
        <f t="shared" si="5"/>
        <v>#DIV/0!</v>
      </c>
      <c r="AJ52" t="e">
        <f t="shared" si="6"/>
        <v>#DIV/0!</v>
      </c>
      <c r="AM52" t="e">
        <f t="shared" si="7"/>
        <v>#DIV/0!</v>
      </c>
      <c r="AN52" t="e">
        <f t="shared" si="8"/>
        <v>#DIV/0!</v>
      </c>
      <c r="AO52" t="e">
        <f t="shared" si="9"/>
        <v>#DIV/0!</v>
      </c>
      <c r="AP52" t="e">
        <f t="shared" si="10"/>
        <v>#DIV/0!</v>
      </c>
      <c r="AR52">
        <f t="shared" si="11"/>
        <v>1.643125698259944</v>
      </c>
      <c r="AT52" t="e">
        <f t="shared" si="12"/>
        <v>#DIV/0!</v>
      </c>
      <c r="AV52" t="e">
        <f t="shared" si="13"/>
        <v>#DIV/0!</v>
      </c>
      <c r="AW52" t="e">
        <f t="shared" si="14"/>
        <v>#DIV/0!</v>
      </c>
      <c r="AX52" t="e">
        <f t="shared" si="15"/>
        <v>#DIV/0!</v>
      </c>
      <c r="AY52" t="e">
        <f>(Y17+2*AY17)/#REF!</f>
        <v>#REF!</v>
      </c>
    </row>
    <row r="53" spans="1:51">
      <c r="A53">
        <v>2014</v>
      </c>
      <c r="R53" s="3">
        <f>'Pop, Veh '!K41</f>
        <v>2980.2</v>
      </c>
      <c r="S53" s="3"/>
      <c r="AA53">
        <v>2014</v>
      </c>
      <c r="AB53" t="e">
        <f t="shared" si="2"/>
        <v>#DIV/0!</v>
      </c>
      <c r="AE53" t="e">
        <f t="shared" si="3"/>
        <v>#DIV/0!</v>
      </c>
      <c r="AF53" t="e">
        <f t="shared" si="4"/>
        <v>#DIV/0!</v>
      </c>
      <c r="AI53" t="e">
        <f t="shared" si="5"/>
        <v>#DIV/0!</v>
      </c>
      <c r="AJ53" t="e">
        <f t="shared" si="6"/>
        <v>#DIV/0!</v>
      </c>
      <c r="AM53" t="e">
        <f t="shared" si="7"/>
        <v>#DIV/0!</v>
      </c>
      <c r="AN53" t="e">
        <f t="shared" si="8"/>
        <v>#DIV/0!</v>
      </c>
      <c r="AO53" t="e">
        <f t="shared" si="9"/>
        <v>#DIV/0!</v>
      </c>
      <c r="AP53" t="e">
        <f t="shared" si="10"/>
        <v>#DIV/0!</v>
      </c>
      <c r="AR53">
        <f t="shared" si="11"/>
        <v>1.906918998724918</v>
      </c>
      <c r="AT53" t="e">
        <f t="shared" si="12"/>
        <v>#DIV/0!</v>
      </c>
      <c r="AV53" t="e">
        <f t="shared" si="13"/>
        <v>#DIV/0!</v>
      </c>
      <c r="AW53" t="e">
        <f t="shared" si="14"/>
        <v>#DIV/0!</v>
      </c>
      <c r="AX53" t="e">
        <f t="shared" si="15"/>
        <v>#DIV/0!</v>
      </c>
      <c r="AY53" t="e">
        <f>(Y18+2*AY18)/#REF!</f>
        <v>#REF!</v>
      </c>
    </row>
    <row r="54" spans="1:51">
      <c r="A54">
        <v>2015</v>
      </c>
      <c r="R54" s="3">
        <f>'Pop, Veh '!K42</f>
        <v>3040.2190000000001</v>
      </c>
      <c r="S54" s="3"/>
      <c r="AA54">
        <v>2015</v>
      </c>
      <c r="AB54" t="e">
        <f t="shared" si="2"/>
        <v>#DIV/0!</v>
      </c>
      <c r="AE54" t="e">
        <f t="shared" si="3"/>
        <v>#DIV/0!</v>
      </c>
      <c r="AF54" t="e">
        <f t="shared" si="4"/>
        <v>#DIV/0!</v>
      </c>
      <c r="AI54" t="e">
        <f t="shared" si="5"/>
        <v>#DIV/0!</v>
      </c>
      <c r="AJ54" t="e">
        <f t="shared" si="6"/>
        <v>#DIV/0!</v>
      </c>
      <c r="AM54" t="e">
        <f t="shared" si="7"/>
        <v>#DIV/0!</v>
      </c>
      <c r="AN54" t="e">
        <f t="shared" si="8"/>
        <v>#DIV/0!</v>
      </c>
      <c r="AO54" t="e">
        <f t="shared" si="9"/>
        <v>#DIV/0!</v>
      </c>
      <c r="AP54" t="e">
        <f t="shared" si="10"/>
        <v>#DIV/0!</v>
      </c>
      <c r="AR54">
        <f t="shared" si="11"/>
        <v>2.1988547535555827</v>
      </c>
      <c r="AT54" t="e">
        <f t="shared" si="12"/>
        <v>#DIV/0!</v>
      </c>
      <c r="AV54" t="e">
        <f t="shared" si="13"/>
        <v>#DIV/0!</v>
      </c>
      <c r="AW54" t="e">
        <f t="shared" si="14"/>
        <v>#DIV/0!</v>
      </c>
      <c r="AX54" t="e">
        <f t="shared" si="15"/>
        <v>#DIV/0!</v>
      </c>
      <c r="AY54" t="e">
        <f>(Y19+2*AY19)/#REF!</f>
        <v>#REF!</v>
      </c>
    </row>
    <row r="55" spans="1:51">
      <c r="A55">
        <v>2016</v>
      </c>
      <c r="R55" s="3">
        <f>'Pop, Veh '!K43</f>
        <v>3100.4920000000002</v>
      </c>
      <c r="S55" s="3"/>
      <c r="AA55">
        <v>2016</v>
      </c>
      <c r="AB55" t="e">
        <f t="shared" si="2"/>
        <v>#DIV/0!</v>
      </c>
      <c r="AE55" t="e">
        <f t="shared" si="3"/>
        <v>#DIV/0!</v>
      </c>
      <c r="AF55" t="e">
        <f t="shared" si="4"/>
        <v>#DIV/0!</v>
      </c>
      <c r="AI55" t="e">
        <f t="shared" si="5"/>
        <v>#DIV/0!</v>
      </c>
      <c r="AJ55" t="e">
        <f t="shared" si="6"/>
        <v>#DIV/0!</v>
      </c>
      <c r="AM55" t="e">
        <f t="shared" si="7"/>
        <v>#DIV/0!</v>
      </c>
      <c r="AN55" t="e">
        <f t="shared" si="8"/>
        <v>#DIV/0!</v>
      </c>
      <c r="AO55" t="e">
        <f t="shared" si="9"/>
        <v>#DIV/0!</v>
      </c>
      <c r="AP55" t="e">
        <f t="shared" si="10"/>
        <v>#DIV/0!</v>
      </c>
      <c r="AR55">
        <f t="shared" si="11"/>
        <v>2.970173765970046</v>
      </c>
      <c r="AT55" t="e">
        <f t="shared" si="12"/>
        <v>#DIV/0!</v>
      </c>
      <c r="AV55" t="e">
        <f t="shared" si="13"/>
        <v>#DIV/0!</v>
      </c>
      <c r="AW55" t="e">
        <f t="shared" si="14"/>
        <v>#DIV/0!</v>
      </c>
      <c r="AX55" t="e">
        <f t="shared" si="15"/>
        <v>#DIV/0!</v>
      </c>
      <c r="AY55" t="e">
        <f>(Y20+2*AY20)/#REF!</f>
        <v>#REF!</v>
      </c>
    </row>
    <row r="56" spans="1:51">
      <c r="A56">
        <v>2017</v>
      </c>
      <c r="B56">
        <f>'EV %sales'!AE67</f>
        <v>0</v>
      </c>
      <c r="R56" s="3">
        <f>'Pop, Veh '!K44</f>
        <v>3162.7139999999999</v>
      </c>
      <c r="S56" s="3"/>
      <c r="AA56">
        <v>2017</v>
      </c>
      <c r="AB56" t="e">
        <f t="shared" si="2"/>
        <v>#DIV/0!</v>
      </c>
    </row>
    <row r="57" spans="1:51">
      <c r="A57">
        <v>2018</v>
      </c>
      <c r="R57" s="3"/>
      <c r="S57" s="3"/>
      <c r="AA57">
        <v>2018</v>
      </c>
    </row>
    <row r="58" spans="1:51">
      <c r="A58">
        <v>2019</v>
      </c>
      <c r="R58" s="3"/>
      <c r="S58" s="3"/>
      <c r="AA58">
        <v>2019</v>
      </c>
    </row>
    <row r="59" spans="1:51">
      <c r="A59">
        <v>2020</v>
      </c>
      <c r="AA59">
        <v>2020</v>
      </c>
    </row>
    <row r="60" spans="1:51">
      <c r="A60">
        <v>2021</v>
      </c>
      <c r="AA60">
        <v>2021</v>
      </c>
    </row>
    <row r="61" spans="1:51">
      <c r="A61">
        <v>2022</v>
      </c>
      <c r="AA61">
        <v>2022</v>
      </c>
    </row>
    <row r="62" spans="1:51">
      <c r="A62">
        <v>2023</v>
      </c>
      <c r="AA62">
        <v>2023</v>
      </c>
    </row>
    <row r="63" spans="1:51">
      <c r="A63">
        <v>2024</v>
      </c>
      <c r="AA63">
        <v>2024</v>
      </c>
    </row>
    <row r="64" spans="1:51">
      <c r="A64">
        <v>2025</v>
      </c>
      <c r="AA64">
        <v>2025</v>
      </c>
    </row>
    <row r="65" spans="1:27">
      <c r="A65">
        <v>2026</v>
      </c>
      <c r="AA65">
        <v>2026</v>
      </c>
    </row>
    <row r="66" spans="1:27">
      <c r="A66">
        <v>2027</v>
      </c>
      <c r="AA66">
        <v>2027</v>
      </c>
    </row>
    <row r="67" spans="1:27">
      <c r="A67">
        <v>2028</v>
      </c>
      <c r="AA67">
        <v>2028</v>
      </c>
    </row>
    <row r="68" spans="1:27">
      <c r="A68">
        <v>2029</v>
      </c>
      <c r="AA68">
        <v>2029</v>
      </c>
    </row>
    <row r="69" spans="1:27">
      <c r="A69">
        <v>2030</v>
      </c>
      <c r="AA69">
        <v>2030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S44" sqref="S44:T44"/>
    </sheetView>
  </sheetViews>
  <sheetFormatPr defaultRowHeight="15"/>
  <sheetData>
    <row r="1" spans="1:9">
      <c r="A1" t="s">
        <v>148</v>
      </c>
    </row>
    <row r="2" spans="1:9" ht="15.75" thickBot="1"/>
    <row r="3" spans="1:9">
      <c r="A3" s="44" t="s">
        <v>149</v>
      </c>
      <c r="B3" s="44"/>
    </row>
    <row r="4" spans="1:9">
      <c r="A4" s="41" t="s">
        <v>150</v>
      </c>
      <c r="B4" s="41">
        <v>0.99997705969787209</v>
      </c>
    </row>
    <row r="5" spans="1:9">
      <c r="A5" s="41" t="s">
        <v>151</v>
      </c>
      <c r="B5" s="41">
        <v>0.99995411992200156</v>
      </c>
    </row>
    <row r="6" spans="1:9">
      <c r="A6" s="41" t="s">
        <v>152</v>
      </c>
      <c r="B6" s="41">
        <v>0.99995270822729398</v>
      </c>
    </row>
    <row r="7" spans="1:9">
      <c r="A7" s="41" t="s">
        <v>153</v>
      </c>
      <c r="B7" s="41">
        <v>0.19690220221615706</v>
      </c>
    </row>
    <row r="8" spans="1:9" ht="15.75" thickBot="1">
      <c r="A8" s="42" t="s">
        <v>154</v>
      </c>
      <c r="B8" s="42">
        <v>68</v>
      </c>
    </row>
    <row r="10" spans="1:9" ht="15.75" thickBot="1">
      <c r="A10" t="s">
        <v>155</v>
      </c>
    </row>
    <row r="11" spans="1:9">
      <c r="A11" s="43"/>
      <c r="B11" s="43" t="s">
        <v>160</v>
      </c>
      <c r="C11" s="43" t="s">
        <v>161</v>
      </c>
      <c r="D11" s="43" t="s">
        <v>162</v>
      </c>
      <c r="E11" s="43" t="s">
        <v>163</v>
      </c>
      <c r="F11" s="43" t="s">
        <v>164</v>
      </c>
    </row>
    <row r="12" spans="1:9">
      <c r="A12" s="41" t="s">
        <v>156</v>
      </c>
      <c r="B12" s="41">
        <v>2</v>
      </c>
      <c r="C12" s="41">
        <v>54925.046095449972</v>
      </c>
      <c r="D12" s="41">
        <v>27462.523047724986</v>
      </c>
      <c r="E12" s="41">
        <v>708335.95571815921</v>
      </c>
      <c r="F12" s="41">
        <v>1.0064328308566868E-141</v>
      </c>
    </row>
    <row r="13" spans="1:9">
      <c r="A13" s="41" t="s">
        <v>157</v>
      </c>
      <c r="B13" s="41">
        <v>65</v>
      </c>
      <c r="C13" s="41">
        <v>2.5200810204422064</v>
      </c>
      <c r="D13" s="41">
        <v>3.8770477237572404E-2</v>
      </c>
      <c r="E13" s="41"/>
      <c r="F13" s="41"/>
    </row>
    <row r="14" spans="1:9" ht="15.75" thickBot="1">
      <c r="A14" s="42" t="s">
        <v>158</v>
      </c>
      <c r="B14" s="42">
        <v>67</v>
      </c>
      <c r="C14" s="42">
        <v>54927.566176470413</v>
      </c>
      <c r="D14" s="42"/>
      <c r="E14" s="42"/>
      <c r="F14" s="42"/>
    </row>
    <row r="15" spans="1:9" ht="15.75" thickBot="1"/>
    <row r="16" spans="1:9">
      <c r="A16" s="43"/>
      <c r="B16" s="43" t="s">
        <v>165</v>
      </c>
      <c r="C16" s="43" t="s">
        <v>153</v>
      </c>
      <c r="D16" s="43" t="s">
        <v>166</v>
      </c>
      <c r="E16" s="43" t="s">
        <v>167</v>
      </c>
      <c r="F16" s="43" t="s">
        <v>168</v>
      </c>
      <c r="G16" s="43" t="s">
        <v>169</v>
      </c>
      <c r="H16" s="43" t="s">
        <v>231</v>
      </c>
      <c r="I16" s="43" t="s">
        <v>232</v>
      </c>
    </row>
    <row r="17" spans="1:9">
      <c r="A17" s="41" t="s">
        <v>159</v>
      </c>
      <c r="B17" s="41">
        <v>-9.0391345962297347</v>
      </c>
      <c r="C17" s="41">
        <v>7.1562032394865777E-2</v>
      </c>
      <c r="D17" s="41">
        <v>-126.31187647597119</v>
      </c>
      <c r="E17" s="41">
        <v>1.8327153530751712E-79</v>
      </c>
      <c r="F17" s="41">
        <v>-9.1820538439270987</v>
      </c>
      <c r="G17" s="41">
        <v>-8.8962153485323707</v>
      </c>
      <c r="H17" s="41">
        <v>-9.1820538439270987</v>
      </c>
      <c r="I17" s="41">
        <v>-8.8962153485323707</v>
      </c>
    </row>
    <row r="18" spans="1:9">
      <c r="A18" s="41" t="s">
        <v>233</v>
      </c>
      <c r="B18" s="41">
        <v>0.15659002576230743</v>
      </c>
      <c r="C18" s="41">
        <v>2.086696225018621E-4</v>
      </c>
      <c r="D18" s="41">
        <v>750.42080339657525</v>
      </c>
      <c r="E18" s="41">
        <v>1.0401025475010461E-129</v>
      </c>
      <c r="F18" s="41">
        <v>0.15617328374887912</v>
      </c>
      <c r="G18" s="41">
        <v>0.15700676777573574</v>
      </c>
      <c r="H18" s="41">
        <v>0.15617328374887912</v>
      </c>
      <c r="I18" s="41">
        <v>0.15700676777573574</v>
      </c>
    </row>
    <row r="19" spans="1:9" ht="15.75" thickBot="1">
      <c r="A19" s="42" t="s">
        <v>234</v>
      </c>
      <c r="B19" s="42">
        <v>-3.809519214421403E-2</v>
      </c>
      <c r="C19" s="42">
        <v>5.3591668007144967E-4</v>
      </c>
      <c r="D19" s="42">
        <v>-71.084169537576415</v>
      </c>
      <c r="E19" s="42">
        <v>2.3471607229207026E-63</v>
      </c>
      <c r="F19" s="42">
        <v>-3.9165491661724311E-2</v>
      </c>
      <c r="G19" s="42">
        <v>-3.7024892626703748E-2</v>
      </c>
      <c r="H19" s="42">
        <v>-3.9165491661724311E-2</v>
      </c>
      <c r="I19" s="42">
        <v>-3.7024892626703748E-2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topLeftCell="A10" zoomScale="75" zoomScaleNormal="75" workbookViewId="0">
      <selection activeCell="L25" sqref="L25"/>
    </sheetView>
  </sheetViews>
  <sheetFormatPr defaultRowHeight="15"/>
  <cols>
    <col min="2" max="2" width="17.28515625" customWidth="1"/>
    <col min="3" max="3" width="12.85546875" customWidth="1"/>
    <col min="4" max="4" width="11" customWidth="1"/>
    <col min="5" max="8" width="23" customWidth="1"/>
    <col min="9" max="10" width="13.42578125" customWidth="1"/>
    <col min="11" max="15" width="17.140625" customWidth="1"/>
    <col min="18" max="18" width="11.140625" customWidth="1"/>
  </cols>
  <sheetData>
    <row r="1" spans="1:22">
      <c r="B1" t="s">
        <v>29</v>
      </c>
      <c r="C1" t="s">
        <v>29</v>
      </c>
      <c r="E1" t="s">
        <v>283</v>
      </c>
    </row>
    <row r="2" spans="1:22">
      <c r="B2" t="s">
        <v>30</v>
      </c>
      <c r="C2" t="s">
        <v>30</v>
      </c>
      <c r="J2" t="s">
        <v>276</v>
      </c>
      <c r="K2" t="s">
        <v>276</v>
      </c>
      <c r="M2" t="s">
        <v>282</v>
      </c>
      <c r="N2" t="s">
        <v>281</v>
      </c>
      <c r="O2" t="s">
        <v>281</v>
      </c>
    </row>
    <row r="3" spans="1:22">
      <c r="B3" t="s">
        <v>34</v>
      </c>
      <c r="C3" t="s">
        <v>32</v>
      </c>
      <c r="D3" t="s">
        <v>33</v>
      </c>
      <c r="E3" t="s">
        <v>35</v>
      </c>
      <c r="F3" t="s">
        <v>36</v>
      </c>
      <c r="G3" t="s">
        <v>37</v>
      </c>
      <c r="H3" t="s">
        <v>38</v>
      </c>
      <c r="I3" t="s">
        <v>182</v>
      </c>
      <c r="J3" t="s">
        <v>279</v>
      </c>
      <c r="K3" t="s">
        <v>278</v>
      </c>
      <c r="M3" t="s">
        <v>280</v>
      </c>
      <c r="N3" t="s">
        <v>279</v>
      </c>
      <c r="O3" t="s">
        <v>278</v>
      </c>
      <c r="R3" t="s">
        <v>183</v>
      </c>
      <c r="U3" t="s">
        <v>31</v>
      </c>
      <c r="V3" t="s">
        <v>277</v>
      </c>
    </row>
    <row r="4" spans="1:22">
      <c r="A4">
        <v>2009</v>
      </c>
      <c r="B4" s="3">
        <f>'BEV time series'!C4</f>
        <v>110</v>
      </c>
      <c r="C4">
        <f>B4</f>
        <v>110</v>
      </c>
      <c r="D4" s="3">
        <f>R7</f>
        <v>7.875</v>
      </c>
      <c r="E4" s="3">
        <v>215</v>
      </c>
      <c r="F4" s="3">
        <v>375</v>
      </c>
      <c r="G4" s="3">
        <v>550</v>
      </c>
      <c r="H4" s="3">
        <v>750</v>
      </c>
      <c r="I4" s="3">
        <f>'BEV time series'!AB4</f>
        <v>110</v>
      </c>
      <c r="J4" s="3">
        <f>IF(I4-500&lt;0,0,I4-500)</f>
        <v>0</v>
      </c>
      <c r="K4" s="3">
        <f t="shared" ref="K4:K25" si="0">S$74+S$75*I4+S$76*J4</f>
        <v>8.1857682376240835</v>
      </c>
      <c r="L4" s="3"/>
      <c r="M4" s="3">
        <f>'BEV time series'!D4</f>
        <v>110</v>
      </c>
      <c r="N4" s="3">
        <f>IF(M4-500&lt;0,0,M4-500)</f>
        <v>0</v>
      </c>
      <c r="O4" s="3">
        <f>S$74+S$75*M4+S$76*N4</f>
        <v>8.1857682376240835</v>
      </c>
      <c r="R4">
        <v>3</v>
      </c>
      <c r="S4" s="3">
        <f t="shared" ref="S4:S67" si="1">S$74+S$75*U4+S$76*V4</f>
        <v>3.4880674647548595</v>
      </c>
      <c r="U4">
        <v>80</v>
      </c>
      <c r="V4">
        <v>0</v>
      </c>
    </row>
    <row r="5" spans="1:22">
      <c r="A5">
        <v>2010</v>
      </c>
      <c r="B5" s="3">
        <f>'BEV time series'!C5</f>
        <v>110</v>
      </c>
      <c r="C5">
        <f t="shared" ref="C5:C10" si="2">B5</f>
        <v>110</v>
      </c>
      <c r="D5" s="3">
        <f>R9</f>
        <v>11.125</v>
      </c>
      <c r="E5" s="3">
        <v>215</v>
      </c>
      <c r="F5" s="3">
        <v>375</v>
      </c>
      <c r="G5" s="3">
        <v>550</v>
      </c>
      <c r="H5" s="3">
        <v>750</v>
      </c>
      <c r="I5" s="3">
        <f>'BEV time series'!AB5</f>
        <v>110</v>
      </c>
      <c r="J5" s="3">
        <f t="shared" ref="J5:J25" si="3">IF(I5-500&lt;0,0,I5-500)</f>
        <v>0</v>
      </c>
      <c r="K5" s="3">
        <f t="shared" si="0"/>
        <v>8.1857682376240835</v>
      </c>
      <c r="L5" s="3"/>
      <c r="M5" s="3">
        <f>'BEV time series'!D5</f>
        <v>110</v>
      </c>
      <c r="N5" s="3">
        <f t="shared" ref="N5:N25" si="4">IF(M5-500&lt;0,0,M5-500)</f>
        <v>0</v>
      </c>
      <c r="O5" s="3">
        <f t="shared" ref="O5:O25" si="5">S$74+S$75*M5+S$76*N5</f>
        <v>8.1857682376240835</v>
      </c>
      <c r="R5" s="15">
        <f>R4+(R12-R4)/8</f>
        <v>4.625</v>
      </c>
      <c r="S5" s="3">
        <f t="shared" si="1"/>
        <v>5.0539677223779336</v>
      </c>
      <c r="U5">
        <v>90</v>
      </c>
      <c r="V5">
        <v>0</v>
      </c>
    </row>
    <row r="6" spans="1:22">
      <c r="A6">
        <v>2011</v>
      </c>
      <c r="B6" s="3">
        <f>'BEV time series'!C6</f>
        <v>120</v>
      </c>
      <c r="C6">
        <f t="shared" si="2"/>
        <v>120</v>
      </c>
      <c r="D6" s="3">
        <f>R11</f>
        <v>14.375</v>
      </c>
      <c r="E6" s="3">
        <v>215</v>
      </c>
      <c r="F6" s="3">
        <v>375</v>
      </c>
      <c r="G6" s="3">
        <v>550</v>
      </c>
      <c r="H6" s="3">
        <v>750</v>
      </c>
      <c r="I6" s="3">
        <f>'BEV time series'!AB6</f>
        <v>110</v>
      </c>
      <c r="J6" s="3">
        <f t="shared" si="3"/>
        <v>0</v>
      </c>
      <c r="K6" s="3">
        <f t="shared" si="0"/>
        <v>8.1857682376240835</v>
      </c>
      <c r="L6" s="3"/>
      <c r="M6" s="3">
        <f>'BEV time series'!D6</f>
        <v>120</v>
      </c>
      <c r="N6" s="3">
        <f t="shared" si="4"/>
        <v>0</v>
      </c>
      <c r="O6" s="3">
        <f t="shared" si="5"/>
        <v>9.7516684952471575</v>
      </c>
      <c r="R6" s="15">
        <f>R5+(R12-R4)/8</f>
        <v>6.25</v>
      </c>
      <c r="S6" s="3">
        <f t="shared" si="1"/>
        <v>6.6198679800010094</v>
      </c>
      <c r="U6">
        <v>100</v>
      </c>
      <c r="V6">
        <v>0</v>
      </c>
    </row>
    <row r="7" spans="1:22">
      <c r="A7">
        <v>2012</v>
      </c>
      <c r="B7" s="3">
        <f>'BEV time series'!C7</f>
        <v>200</v>
      </c>
      <c r="C7" s="20">
        <f>(C6+C8)/2</f>
        <v>145</v>
      </c>
      <c r="D7" s="3">
        <f>AVERAGE(R13:R14)</f>
        <v>18.382352941176471</v>
      </c>
      <c r="E7" s="3">
        <v>215</v>
      </c>
      <c r="F7" s="3">
        <v>375</v>
      </c>
      <c r="G7" s="3">
        <v>550</v>
      </c>
      <c r="H7" s="3">
        <v>750</v>
      </c>
      <c r="I7" s="3">
        <f>'BEV time series'!AB7</f>
        <v>110</v>
      </c>
      <c r="J7" s="3">
        <f t="shared" si="3"/>
        <v>0</v>
      </c>
      <c r="K7" s="3">
        <f t="shared" si="0"/>
        <v>8.1857682376240835</v>
      </c>
      <c r="L7" s="3"/>
      <c r="M7" s="3">
        <f>'BEV time series'!D7</f>
        <v>145</v>
      </c>
      <c r="N7" s="3">
        <f t="shared" si="4"/>
        <v>0</v>
      </c>
      <c r="O7" s="3">
        <f t="shared" si="5"/>
        <v>13.666419139304844</v>
      </c>
      <c r="R7" s="15">
        <f>R6+(R12-R4)/8</f>
        <v>7.875</v>
      </c>
      <c r="S7" s="3">
        <f t="shared" si="1"/>
        <v>8.1857682376240835</v>
      </c>
      <c r="U7">
        <v>110</v>
      </c>
      <c r="V7">
        <v>0</v>
      </c>
    </row>
    <row r="8" spans="1:22">
      <c r="A8">
        <v>2013</v>
      </c>
      <c r="B8" s="3">
        <f>'BEV time series'!C8</f>
        <v>170</v>
      </c>
      <c r="C8">
        <f t="shared" si="2"/>
        <v>170</v>
      </c>
      <c r="D8" s="3">
        <f>R16</f>
        <v>22.352941176470594</v>
      </c>
      <c r="E8" s="3">
        <v>215</v>
      </c>
      <c r="F8" s="3">
        <v>375</v>
      </c>
      <c r="G8" s="3">
        <v>550</v>
      </c>
      <c r="H8" s="3">
        <v>750</v>
      </c>
      <c r="I8" s="3">
        <f>'BEV time series'!AB8</f>
        <v>135</v>
      </c>
      <c r="J8" s="3">
        <f t="shared" si="3"/>
        <v>0</v>
      </c>
      <c r="K8" s="3">
        <f t="shared" si="0"/>
        <v>12.10051888168177</v>
      </c>
      <c r="L8" s="3"/>
      <c r="M8" s="3">
        <f>'BEV time series'!D8</f>
        <v>170</v>
      </c>
      <c r="N8" s="3">
        <f t="shared" si="4"/>
        <v>0</v>
      </c>
      <c r="O8" s="3">
        <f t="shared" si="5"/>
        <v>17.581169783362526</v>
      </c>
      <c r="R8" s="15">
        <f>R7+(R12-R4)/8</f>
        <v>9.5</v>
      </c>
      <c r="S8" s="3">
        <f t="shared" si="1"/>
        <v>9.7516684952471575</v>
      </c>
      <c r="U8">
        <v>120</v>
      </c>
      <c r="V8">
        <v>0</v>
      </c>
    </row>
    <row r="9" spans="1:22">
      <c r="A9">
        <v>2014</v>
      </c>
      <c r="B9" s="3">
        <f>'BEV time series'!C9</f>
        <v>180</v>
      </c>
      <c r="C9" s="20">
        <f>(C8+C10)/2</f>
        <v>210</v>
      </c>
      <c r="D9" s="3">
        <f>R19</f>
        <v>27.11764705882354</v>
      </c>
      <c r="E9" s="3">
        <v>215</v>
      </c>
      <c r="F9" s="3">
        <v>375</v>
      </c>
      <c r="G9" s="3">
        <v>550</v>
      </c>
      <c r="H9" s="3">
        <v>750</v>
      </c>
      <c r="I9" s="3">
        <f>'BEV time series'!AB9</f>
        <v>140</v>
      </c>
      <c r="J9" s="3">
        <f t="shared" si="3"/>
        <v>0</v>
      </c>
      <c r="K9" s="3">
        <f t="shared" si="0"/>
        <v>12.883469010493306</v>
      </c>
      <c r="L9" s="3"/>
      <c r="M9" s="3">
        <f>'BEV time series'!D9</f>
        <v>210</v>
      </c>
      <c r="N9" s="3">
        <f t="shared" si="4"/>
        <v>0</v>
      </c>
      <c r="O9" s="3">
        <f t="shared" si="5"/>
        <v>23.844770813854822</v>
      </c>
      <c r="R9" s="15">
        <f>R8+(R12-R4)/8</f>
        <v>11.125</v>
      </c>
      <c r="S9" s="3">
        <f t="shared" si="1"/>
        <v>11.317568752870232</v>
      </c>
      <c r="U9">
        <v>130</v>
      </c>
      <c r="V9">
        <v>0</v>
      </c>
    </row>
    <row r="10" spans="1:22">
      <c r="A10">
        <v>2015</v>
      </c>
      <c r="B10" s="3">
        <f>'BEV time series'!C10</f>
        <v>250</v>
      </c>
      <c r="C10">
        <f t="shared" si="2"/>
        <v>250</v>
      </c>
      <c r="D10" s="3">
        <f>R22</f>
        <v>31.882352941176485</v>
      </c>
      <c r="E10" s="3">
        <v>215</v>
      </c>
      <c r="F10" s="3">
        <v>375</v>
      </c>
      <c r="G10" s="3">
        <v>550</v>
      </c>
      <c r="H10" s="3">
        <v>750</v>
      </c>
      <c r="I10" s="3">
        <f>'BEV time series'!AB10</f>
        <v>145</v>
      </c>
      <c r="J10" s="3">
        <f t="shared" si="3"/>
        <v>0</v>
      </c>
      <c r="K10" s="3">
        <f t="shared" si="0"/>
        <v>13.666419139304844</v>
      </c>
      <c r="L10" s="3"/>
      <c r="M10" s="3">
        <f>'BEV time series'!D10</f>
        <v>250</v>
      </c>
      <c r="N10" s="3">
        <f t="shared" si="4"/>
        <v>0</v>
      </c>
      <c r="O10" s="3">
        <f t="shared" si="5"/>
        <v>30.108371844347118</v>
      </c>
      <c r="R10" s="15">
        <f>R9+(R12-R4)/8</f>
        <v>12.75</v>
      </c>
      <c r="S10" s="3">
        <f t="shared" si="1"/>
        <v>12.883469010493306</v>
      </c>
      <c r="U10">
        <v>140</v>
      </c>
      <c r="V10">
        <v>0</v>
      </c>
    </row>
    <row r="11" spans="1:22">
      <c r="A11">
        <v>2016</v>
      </c>
      <c r="B11" s="3">
        <f>'BEV time series'!C11</f>
        <v>342.5</v>
      </c>
      <c r="C11" s="15">
        <f>C10+(C13-C10)/3</f>
        <v>297.77777777777777</v>
      </c>
      <c r="D11" s="3">
        <f>R26</f>
        <v>38.235294117647065</v>
      </c>
      <c r="E11" s="3">
        <v>215</v>
      </c>
      <c r="F11" s="3">
        <v>375</v>
      </c>
      <c r="G11" s="3">
        <v>550</v>
      </c>
      <c r="H11" s="3">
        <v>750</v>
      </c>
      <c r="I11" s="3">
        <f>'BEV time series'!AB11</f>
        <v>145</v>
      </c>
      <c r="J11" s="3">
        <f t="shared" si="3"/>
        <v>0</v>
      </c>
      <c r="K11" s="3">
        <f t="shared" si="0"/>
        <v>13.666419139304844</v>
      </c>
      <c r="L11" s="3"/>
      <c r="M11" s="3">
        <f>'BEV time series'!D11</f>
        <v>297.77777777777777</v>
      </c>
      <c r="N11" s="3">
        <f t="shared" si="4"/>
        <v>0</v>
      </c>
      <c r="O11" s="3">
        <f t="shared" si="5"/>
        <v>37.589895297435142</v>
      </c>
      <c r="R11" s="15">
        <f>R10+(R12-R4)/8</f>
        <v>14.375</v>
      </c>
      <c r="S11" s="3">
        <f t="shared" si="1"/>
        <v>14.44936926811638</v>
      </c>
      <c r="U11">
        <v>150</v>
      </c>
      <c r="V11">
        <v>0</v>
      </c>
    </row>
    <row r="12" spans="1:22">
      <c r="A12">
        <v>2017</v>
      </c>
      <c r="B12" s="3">
        <f>'BEV time series'!C12</f>
        <v>316.25</v>
      </c>
      <c r="C12" s="15">
        <f>C11+(C13-C10)/3</f>
        <v>345.55555555555554</v>
      </c>
      <c r="D12" s="3">
        <f>AVERAGE(R30:R31)</f>
        <v>45.294117647058826</v>
      </c>
      <c r="E12" s="3">
        <v>215</v>
      </c>
      <c r="F12" s="3">
        <v>375</v>
      </c>
      <c r="G12" s="3">
        <v>550</v>
      </c>
      <c r="H12" s="3">
        <v>750</v>
      </c>
      <c r="I12" s="3">
        <f>'BEV time series'!AB12</f>
        <v>160</v>
      </c>
      <c r="J12" s="3">
        <f t="shared" si="3"/>
        <v>0</v>
      </c>
      <c r="K12" s="3">
        <f>S$74+S$75*I12+S$76*J12</f>
        <v>16.015269525739456</v>
      </c>
      <c r="L12" s="3"/>
      <c r="M12" s="3">
        <f>'BEV time series'!D12</f>
        <v>345.55555555555554</v>
      </c>
      <c r="N12" s="3">
        <f t="shared" si="4"/>
        <v>0</v>
      </c>
      <c r="O12" s="3">
        <f t="shared" si="5"/>
        <v>45.071418750523165</v>
      </c>
      <c r="R12">
        <v>16</v>
      </c>
      <c r="S12" s="3">
        <f t="shared" si="1"/>
        <v>16.015269525739456</v>
      </c>
      <c r="U12">
        <v>160</v>
      </c>
      <c r="V12">
        <v>0</v>
      </c>
    </row>
    <row r="13" spans="1:22">
      <c r="A13">
        <v>2018</v>
      </c>
      <c r="B13" s="3">
        <f>'BEV time series'!C13</f>
        <v>393.33333333333331</v>
      </c>
      <c r="C13" s="3">
        <f>B13</f>
        <v>393.33333333333331</v>
      </c>
      <c r="D13" s="3">
        <f>R35</f>
        <v>52.176470588235304</v>
      </c>
      <c r="E13" s="3">
        <v>215</v>
      </c>
      <c r="F13" s="3">
        <v>375</v>
      </c>
      <c r="G13" s="3">
        <v>550</v>
      </c>
      <c r="H13" s="3">
        <v>750</v>
      </c>
      <c r="I13" s="3">
        <f>'BEV time series'!AB13</f>
        <v>220</v>
      </c>
      <c r="J13" s="3">
        <f t="shared" si="3"/>
        <v>0</v>
      </c>
      <c r="K13" s="3">
        <f t="shared" si="0"/>
        <v>25.4106710714779</v>
      </c>
      <c r="L13" s="3"/>
      <c r="M13" s="3">
        <f>'BEV time series'!D13</f>
        <v>393.33333333333331</v>
      </c>
      <c r="N13" s="3">
        <f t="shared" si="4"/>
        <v>0</v>
      </c>
      <c r="O13" s="3">
        <f t="shared" si="5"/>
        <v>52.552942203611181</v>
      </c>
      <c r="R13" s="15">
        <f>R12+(R29-R12)/17</f>
        <v>17.588235294117649</v>
      </c>
      <c r="S13" s="3">
        <f t="shared" si="1"/>
        <v>17.581169783362526</v>
      </c>
      <c r="U13">
        <v>170</v>
      </c>
      <c r="V13">
        <v>0</v>
      </c>
    </row>
    <row r="14" spans="1:22">
      <c r="A14">
        <v>2019</v>
      </c>
      <c r="B14" s="3">
        <f>'BEV time series'!C14</f>
        <v>500</v>
      </c>
      <c r="C14" s="15">
        <f>C13+(C16-C13)/3</f>
        <v>470.55555555555554</v>
      </c>
      <c r="D14" s="3">
        <f>AVERAGE(R40:R41)</f>
        <v>60.588235294117666</v>
      </c>
      <c r="E14" s="3">
        <v>215</v>
      </c>
      <c r="F14" s="3">
        <v>375</v>
      </c>
      <c r="G14" s="3">
        <v>550</v>
      </c>
      <c r="H14" s="3">
        <v>750</v>
      </c>
      <c r="I14" s="3">
        <f>'BEV time series'!AB14</f>
        <v>350</v>
      </c>
      <c r="J14" s="3">
        <f t="shared" si="3"/>
        <v>0</v>
      </c>
      <c r="K14" s="3">
        <f>S$74+S$75*I14+S$76*J14</f>
        <v>45.767374420577866</v>
      </c>
      <c r="L14" s="3"/>
      <c r="M14" s="3">
        <f>'BEV time series'!D14</f>
        <v>470.55555555555554</v>
      </c>
      <c r="N14" s="3">
        <f t="shared" si="4"/>
        <v>0</v>
      </c>
      <c r="O14" s="3">
        <f t="shared" si="5"/>
        <v>64.645171970811603</v>
      </c>
      <c r="R14" s="15">
        <f>R13+(R29-R12)/17</f>
        <v>19.176470588235297</v>
      </c>
      <c r="S14" s="3">
        <f t="shared" si="1"/>
        <v>19.147070040985604</v>
      </c>
      <c r="U14">
        <v>180</v>
      </c>
      <c r="V14">
        <v>0</v>
      </c>
    </row>
    <row r="15" spans="1:22">
      <c r="A15">
        <v>2020</v>
      </c>
      <c r="B15" s="3">
        <f>'BEV time series'!C15</f>
        <v>562.5</v>
      </c>
      <c r="C15" s="15">
        <f>C14+(C16-C13)/3</f>
        <v>547.77777777777783</v>
      </c>
      <c r="D15">
        <f>R46</f>
        <v>69</v>
      </c>
      <c r="E15" s="3">
        <v>215</v>
      </c>
      <c r="F15" s="3">
        <v>375</v>
      </c>
      <c r="G15" s="3">
        <v>550</v>
      </c>
      <c r="H15" s="3">
        <v>750</v>
      </c>
      <c r="I15" s="3">
        <f>'BEV time series'!AB15</f>
        <v>440</v>
      </c>
      <c r="J15" s="3">
        <f t="shared" si="3"/>
        <v>0</v>
      </c>
      <c r="K15" s="3">
        <f t="shared" si="0"/>
        <v>59.860476739185536</v>
      </c>
      <c r="L15" s="3"/>
      <c r="M15" s="3">
        <f>'BEV time series'!D15</f>
        <v>547.77777777777783</v>
      </c>
      <c r="N15" s="3">
        <f t="shared" si="4"/>
        <v>47.777777777777828</v>
      </c>
      <c r="O15" s="3">
        <f t="shared" si="5"/>
        <v>74.917298113344003</v>
      </c>
      <c r="R15" s="15">
        <f>R14+(R29-R12)/17</f>
        <v>20.764705882352946</v>
      </c>
      <c r="S15" s="3">
        <f t="shared" si="1"/>
        <v>20.712970298608674</v>
      </c>
      <c r="U15">
        <v>190</v>
      </c>
      <c r="V15">
        <v>0</v>
      </c>
    </row>
    <row r="16" spans="1:22">
      <c r="A16">
        <v>2021</v>
      </c>
      <c r="B16" s="3">
        <f>'BEV time series'!C16</f>
        <v>625</v>
      </c>
      <c r="C16" s="3">
        <f>B16</f>
        <v>625</v>
      </c>
      <c r="D16" s="3">
        <f>AVERAGE(R53:R54)</f>
        <v>78.000000000000028</v>
      </c>
      <c r="E16" s="3">
        <v>215</v>
      </c>
      <c r="F16" s="3">
        <v>375</v>
      </c>
      <c r="G16" s="3">
        <v>550</v>
      </c>
      <c r="H16" s="3">
        <v>750</v>
      </c>
      <c r="I16" s="3">
        <f>'BEV time series'!AB16</f>
        <v>530</v>
      </c>
      <c r="J16" s="3">
        <f t="shared" si="3"/>
        <v>30</v>
      </c>
      <c r="K16" s="3">
        <f t="shared" si="0"/>
        <v>72.810723293466779</v>
      </c>
      <c r="L16" s="3"/>
      <c r="M16" s="3">
        <f>'BEV time series'!D16</f>
        <v>625</v>
      </c>
      <c r="N16" s="3">
        <f t="shared" si="4"/>
        <v>125</v>
      </c>
      <c r="O16" s="3">
        <f t="shared" si="5"/>
        <v>84.067732487185665</v>
      </c>
      <c r="R16" s="15">
        <f>R15+(R29-R12)/17</f>
        <v>22.352941176470594</v>
      </c>
      <c r="S16" s="3">
        <f t="shared" si="1"/>
        <v>22.278870556231752</v>
      </c>
      <c r="U16">
        <v>200</v>
      </c>
      <c r="V16">
        <v>0</v>
      </c>
    </row>
    <row r="17" spans="1:22">
      <c r="A17">
        <v>2022</v>
      </c>
      <c r="B17" s="3">
        <f>'BEV time series'!C17</f>
        <v>703.27855980540699</v>
      </c>
      <c r="C17" s="3">
        <f>C16*C$27</f>
        <v>703.27855980540699</v>
      </c>
      <c r="D17" s="3">
        <f>R62</f>
        <v>88.19999999999996</v>
      </c>
      <c r="E17" s="3">
        <v>215</v>
      </c>
      <c r="F17" s="3">
        <v>375</v>
      </c>
      <c r="G17" s="3">
        <v>550</v>
      </c>
      <c r="H17" s="3">
        <v>750</v>
      </c>
      <c r="I17" s="3">
        <f>'BEV time series'!AB17</f>
        <v>607.63267567187165</v>
      </c>
      <c r="J17" s="3">
        <f t="shared" si="3"/>
        <v>107.63267567187165</v>
      </c>
      <c r="K17" s="3">
        <f t="shared" si="0"/>
        <v>82.009794280532631</v>
      </c>
      <c r="L17" s="3"/>
      <c r="M17" s="3">
        <f>'BEV time series'!D17</f>
        <v>703.27855980540699</v>
      </c>
      <c r="N17" s="3">
        <f t="shared" si="4"/>
        <v>203.27855980540699</v>
      </c>
      <c r="O17" s="3">
        <f t="shared" si="5"/>
        <v>93.343337407191342</v>
      </c>
      <c r="R17" s="15">
        <f>R16+(R29-R12)/17</f>
        <v>23.941176470588243</v>
      </c>
      <c r="S17" s="3">
        <f t="shared" si="1"/>
        <v>23.844770813854822</v>
      </c>
      <c r="U17">
        <v>210</v>
      </c>
      <c r="V17">
        <v>0</v>
      </c>
    </row>
    <row r="18" spans="1:22">
      <c r="A18">
        <v>2023</v>
      </c>
      <c r="B18" s="3">
        <f>'BEV time series'!C18</f>
        <v>750</v>
      </c>
      <c r="C18" s="3">
        <v>750</v>
      </c>
      <c r="D18">
        <f>R66</f>
        <v>92.999999999999801</v>
      </c>
      <c r="E18" s="3">
        <v>215</v>
      </c>
      <c r="F18" s="3">
        <v>375</v>
      </c>
      <c r="G18" s="3">
        <v>550</v>
      </c>
      <c r="H18" s="3">
        <v>750</v>
      </c>
      <c r="I18" s="3">
        <f>'BEV time series'!AB18</f>
        <v>648</v>
      </c>
      <c r="J18" s="3">
        <f t="shared" si="3"/>
        <v>148</v>
      </c>
      <c r="K18" s="3">
        <f t="shared" si="0"/>
        <v>86.793113660401801</v>
      </c>
      <c r="L18" s="3"/>
      <c r="M18" s="3">
        <f>'BEV time series'!D18</f>
        <v>750</v>
      </c>
      <c r="N18" s="3">
        <f t="shared" si="4"/>
        <v>250</v>
      </c>
      <c r="O18" s="3">
        <f t="shared" si="5"/>
        <v>98.879586689447336</v>
      </c>
      <c r="R18" s="15">
        <f>R17+(R29-R12)/17</f>
        <v>25.529411764705891</v>
      </c>
      <c r="S18" s="3">
        <f t="shared" si="1"/>
        <v>25.4106710714779</v>
      </c>
      <c r="U18">
        <v>220</v>
      </c>
      <c r="V18">
        <v>0</v>
      </c>
    </row>
    <row r="19" spans="1:22">
      <c r="A19">
        <v>2024</v>
      </c>
      <c r="B19" s="3">
        <f>'BEV time series'!C19</f>
        <v>750</v>
      </c>
      <c r="C19" s="3">
        <v>750</v>
      </c>
      <c r="D19">
        <v>100</v>
      </c>
      <c r="E19" s="3">
        <v>215</v>
      </c>
      <c r="F19" s="3">
        <v>375</v>
      </c>
      <c r="G19" s="3">
        <v>550</v>
      </c>
      <c r="H19" s="3">
        <v>750</v>
      </c>
      <c r="I19" s="3">
        <f>'BEV time series'!AB19</f>
        <v>648</v>
      </c>
      <c r="J19" s="3">
        <f t="shared" si="3"/>
        <v>148</v>
      </c>
      <c r="K19" s="3">
        <f t="shared" si="0"/>
        <v>86.793113660401801</v>
      </c>
      <c r="L19" s="3"/>
      <c r="M19" s="3">
        <f>'BEV time series'!D19</f>
        <v>750</v>
      </c>
      <c r="N19" s="3">
        <f t="shared" si="4"/>
        <v>250</v>
      </c>
      <c r="O19" s="3">
        <f t="shared" si="5"/>
        <v>98.879586689447336</v>
      </c>
      <c r="R19" s="15">
        <f>R18+(R29-R12)/17</f>
        <v>27.11764705882354</v>
      </c>
      <c r="S19" s="3">
        <f t="shared" si="1"/>
        <v>26.97657132910097</v>
      </c>
      <c r="U19">
        <v>230</v>
      </c>
      <c r="V19">
        <v>0</v>
      </c>
    </row>
    <row r="20" spans="1:22">
      <c r="A20">
        <v>2025</v>
      </c>
      <c r="B20" s="3">
        <f>'BEV time series'!C20</f>
        <v>750</v>
      </c>
      <c r="C20" s="3">
        <v>750</v>
      </c>
      <c r="D20">
        <v>100</v>
      </c>
      <c r="E20" s="3">
        <v>215</v>
      </c>
      <c r="F20" s="3">
        <v>375</v>
      </c>
      <c r="G20" s="3">
        <v>550</v>
      </c>
      <c r="H20" s="3">
        <v>750</v>
      </c>
      <c r="I20" s="3">
        <f>'BEV time series'!AB20</f>
        <v>648</v>
      </c>
      <c r="J20" s="3">
        <f t="shared" si="3"/>
        <v>148</v>
      </c>
      <c r="K20" s="3">
        <f t="shared" si="0"/>
        <v>86.793113660401801</v>
      </c>
      <c r="L20" s="3"/>
      <c r="M20" s="3">
        <f>'BEV time series'!D20</f>
        <v>750</v>
      </c>
      <c r="N20" s="3">
        <f t="shared" si="4"/>
        <v>250</v>
      </c>
      <c r="O20" s="3">
        <f t="shared" si="5"/>
        <v>98.879586689447336</v>
      </c>
      <c r="R20" s="15">
        <f>R19+(R29-R12)/17</f>
        <v>28.705882352941188</v>
      </c>
      <c r="S20" s="3">
        <f t="shared" si="1"/>
        <v>28.542471586724048</v>
      </c>
      <c r="U20">
        <v>240</v>
      </c>
      <c r="V20">
        <v>0</v>
      </c>
    </row>
    <row r="21" spans="1:22">
      <c r="A21">
        <v>2026</v>
      </c>
      <c r="B21" s="3">
        <f>'BEV time series'!C21</f>
        <v>750</v>
      </c>
      <c r="C21" s="3">
        <v>750</v>
      </c>
      <c r="E21" s="3">
        <v>215</v>
      </c>
      <c r="F21" s="3">
        <v>375</v>
      </c>
      <c r="G21" s="3">
        <v>550</v>
      </c>
      <c r="H21" s="3">
        <v>750</v>
      </c>
      <c r="I21" s="15">
        <f>I20</f>
        <v>648</v>
      </c>
      <c r="J21" s="3">
        <f t="shared" si="3"/>
        <v>148</v>
      </c>
      <c r="K21" s="3">
        <f t="shared" si="0"/>
        <v>86.793113660401801</v>
      </c>
      <c r="L21" s="3"/>
      <c r="M21" s="3">
        <f>'BEV time series'!D21</f>
        <v>750</v>
      </c>
      <c r="N21" s="3">
        <f t="shared" si="4"/>
        <v>250</v>
      </c>
      <c r="O21" s="3">
        <f t="shared" si="5"/>
        <v>98.879586689447336</v>
      </c>
      <c r="R21" s="15">
        <f>R20+(R29-R12)/17</f>
        <v>30.294117647058837</v>
      </c>
      <c r="S21" s="3">
        <f t="shared" si="1"/>
        <v>30.108371844347118</v>
      </c>
      <c r="U21">
        <v>250</v>
      </c>
      <c r="V21">
        <v>0</v>
      </c>
    </row>
    <row r="22" spans="1:22">
      <c r="A22">
        <v>2027</v>
      </c>
      <c r="B22" s="3">
        <f>'BEV time series'!C22</f>
        <v>750</v>
      </c>
      <c r="C22" s="3">
        <v>750</v>
      </c>
      <c r="E22" s="3">
        <v>215</v>
      </c>
      <c r="F22" s="3">
        <v>375</v>
      </c>
      <c r="G22" s="3">
        <v>550</v>
      </c>
      <c r="H22" s="3">
        <v>750</v>
      </c>
      <c r="I22" s="15">
        <f>I21</f>
        <v>648</v>
      </c>
      <c r="J22" s="3">
        <f t="shared" si="3"/>
        <v>148</v>
      </c>
      <c r="K22" s="3">
        <f t="shared" si="0"/>
        <v>86.793113660401801</v>
      </c>
      <c r="L22" s="3"/>
      <c r="M22" s="3">
        <f>'BEV time series'!D22</f>
        <v>750</v>
      </c>
      <c r="N22" s="3">
        <f t="shared" si="4"/>
        <v>250</v>
      </c>
      <c r="O22" s="3">
        <f t="shared" si="5"/>
        <v>98.879586689447336</v>
      </c>
      <c r="R22" s="15">
        <f>R21+(R29-R12)/17</f>
        <v>31.882352941176485</v>
      </c>
      <c r="S22" s="3">
        <f t="shared" si="1"/>
        <v>31.674272101970196</v>
      </c>
      <c r="U22">
        <v>260</v>
      </c>
      <c r="V22">
        <v>0</v>
      </c>
    </row>
    <row r="23" spans="1:22">
      <c r="A23">
        <v>2028</v>
      </c>
      <c r="B23" s="3">
        <f>'BEV time series'!C23</f>
        <v>750</v>
      </c>
      <c r="C23" s="3">
        <v>750</v>
      </c>
      <c r="E23" s="3">
        <v>215</v>
      </c>
      <c r="F23" s="3">
        <v>375</v>
      </c>
      <c r="G23" s="3">
        <v>550</v>
      </c>
      <c r="H23" s="3">
        <v>750</v>
      </c>
      <c r="I23" s="15">
        <f>I22</f>
        <v>648</v>
      </c>
      <c r="J23" s="3">
        <f t="shared" si="3"/>
        <v>148</v>
      </c>
      <c r="K23" s="3">
        <f t="shared" si="0"/>
        <v>86.793113660401801</v>
      </c>
      <c r="L23" s="3"/>
      <c r="M23" s="3">
        <f>'BEV time series'!D23</f>
        <v>750</v>
      </c>
      <c r="N23" s="3">
        <f t="shared" si="4"/>
        <v>250</v>
      </c>
      <c r="O23" s="3">
        <f t="shared" si="5"/>
        <v>98.879586689447336</v>
      </c>
      <c r="R23" s="15">
        <f>R22+(R29-R12)/17</f>
        <v>33.47058823529413</v>
      </c>
      <c r="S23" s="3">
        <f t="shared" si="1"/>
        <v>33.240172359593274</v>
      </c>
      <c r="U23">
        <v>270</v>
      </c>
      <c r="V23">
        <v>0</v>
      </c>
    </row>
    <row r="24" spans="1:22">
      <c r="A24">
        <v>2029</v>
      </c>
      <c r="B24" s="3">
        <f>'BEV time series'!C24</f>
        <v>750</v>
      </c>
      <c r="C24" s="3">
        <v>750</v>
      </c>
      <c r="E24" s="3">
        <v>215</v>
      </c>
      <c r="F24" s="3">
        <v>375</v>
      </c>
      <c r="G24" s="3">
        <v>550</v>
      </c>
      <c r="H24" s="3">
        <v>750</v>
      </c>
      <c r="I24" s="15">
        <f>I23</f>
        <v>648</v>
      </c>
      <c r="J24" s="3">
        <f t="shared" si="3"/>
        <v>148</v>
      </c>
      <c r="K24" s="3">
        <f t="shared" si="0"/>
        <v>86.793113660401801</v>
      </c>
      <c r="L24" s="3"/>
      <c r="M24" s="3">
        <f>'BEV time series'!D24</f>
        <v>750</v>
      </c>
      <c r="N24" s="3">
        <f t="shared" si="4"/>
        <v>250</v>
      </c>
      <c r="O24" s="3">
        <f t="shared" si="5"/>
        <v>98.879586689447336</v>
      </c>
      <c r="R24" s="15">
        <f>R23+(R29-R12)/17</f>
        <v>35.058823529411775</v>
      </c>
      <c r="S24" s="3">
        <f t="shared" si="1"/>
        <v>34.806072617216344</v>
      </c>
      <c r="U24">
        <v>280</v>
      </c>
      <c r="V24">
        <v>0</v>
      </c>
    </row>
    <row r="25" spans="1:22">
      <c r="A25">
        <v>2030</v>
      </c>
      <c r="B25" s="3">
        <f>'BEV time series'!C25</f>
        <v>750</v>
      </c>
      <c r="C25" s="3">
        <v>750</v>
      </c>
      <c r="E25" s="3">
        <v>215</v>
      </c>
      <c r="F25" s="3">
        <v>375</v>
      </c>
      <c r="G25" s="3">
        <v>550</v>
      </c>
      <c r="H25" s="3">
        <v>750</v>
      </c>
      <c r="I25" s="15">
        <f>I24</f>
        <v>648</v>
      </c>
      <c r="J25" s="3">
        <f t="shared" si="3"/>
        <v>148</v>
      </c>
      <c r="K25" s="3">
        <f t="shared" si="0"/>
        <v>86.793113660401801</v>
      </c>
      <c r="L25" s="3"/>
      <c r="M25" s="3">
        <f>'BEV time series'!D25</f>
        <v>750</v>
      </c>
      <c r="N25" s="3">
        <f t="shared" si="4"/>
        <v>250</v>
      </c>
      <c r="O25" s="3">
        <f t="shared" si="5"/>
        <v>98.879586689447336</v>
      </c>
      <c r="R25" s="15">
        <f>R24+(R29-R12)/17</f>
        <v>36.64705882352942</v>
      </c>
      <c r="S25" s="3">
        <f t="shared" si="1"/>
        <v>36.371972874839422</v>
      </c>
      <c r="U25">
        <v>290</v>
      </c>
      <c r="V25">
        <v>0</v>
      </c>
    </row>
    <row r="26" spans="1:22">
      <c r="R26" s="15">
        <f>R25+(R29-R12)/17</f>
        <v>38.235294117647065</v>
      </c>
      <c r="S26" s="3">
        <f t="shared" si="1"/>
        <v>37.937873132462492</v>
      </c>
      <c r="U26">
        <v>300</v>
      </c>
      <c r="V26">
        <v>0</v>
      </c>
    </row>
    <row r="27" spans="1:22">
      <c r="C27">
        <v>1.1252456956886512</v>
      </c>
      <c r="R27" s="15">
        <f>R26+(R29-R12)/17</f>
        <v>39.82352941176471</v>
      </c>
      <c r="S27" s="3">
        <f t="shared" si="1"/>
        <v>39.50377339008557</v>
      </c>
      <c r="U27">
        <v>310</v>
      </c>
      <c r="V27">
        <v>0</v>
      </c>
    </row>
    <row r="28" spans="1:22">
      <c r="R28" s="15">
        <f>R27+(R29-R12)/17</f>
        <v>41.411764705882355</v>
      </c>
      <c r="S28" s="3">
        <f t="shared" si="1"/>
        <v>41.06967364770864</v>
      </c>
      <c r="U28">
        <v>320</v>
      </c>
      <c r="V28">
        <v>0</v>
      </c>
    </row>
    <row r="29" spans="1:22">
      <c r="R29">
        <v>43</v>
      </c>
      <c r="S29" s="3">
        <f t="shared" si="1"/>
        <v>42.635573905331718</v>
      </c>
      <c r="U29">
        <v>330</v>
      </c>
      <c r="V29">
        <v>0</v>
      </c>
    </row>
    <row r="30" spans="1:22">
      <c r="R30" s="15">
        <f>R29+(R46-R29)/17</f>
        <v>44.529411764705884</v>
      </c>
      <c r="S30" s="3">
        <f t="shared" si="1"/>
        <v>44.201474162954788</v>
      </c>
      <c r="U30">
        <v>340</v>
      </c>
      <c r="V30">
        <v>0</v>
      </c>
    </row>
    <row r="31" spans="1:22">
      <c r="R31" s="15">
        <f>R30+(R46-R29)/17</f>
        <v>46.058823529411768</v>
      </c>
      <c r="S31" s="3">
        <f t="shared" si="1"/>
        <v>45.767374420577866</v>
      </c>
      <c r="U31">
        <v>350</v>
      </c>
      <c r="V31">
        <v>0</v>
      </c>
    </row>
    <row r="32" spans="1:22">
      <c r="R32" s="15">
        <f>R31+(R46-R29)/17</f>
        <v>47.588235294117652</v>
      </c>
      <c r="S32" s="3">
        <f t="shared" si="1"/>
        <v>47.333274678200937</v>
      </c>
      <c r="U32">
        <v>360</v>
      </c>
      <c r="V32">
        <v>0</v>
      </c>
    </row>
    <row r="33" spans="18:22">
      <c r="R33" s="15">
        <f>R32+(R46-R29)/17</f>
        <v>49.117647058823536</v>
      </c>
      <c r="S33" s="3">
        <f t="shared" si="1"/>
        <v>48.899174935824014</v>
      </c>
      <c r="U33">
        <v>370</v>
      </c>
      <c r="V33">
        <v>0</v>
      </c>
    </row>
    <row r="34" spans="18:22">
      <c r="R34" s="15">
        <f>R33+(R46-R29)/17</f>
        <v>50.64705882352942</v>
      </c>
      <c r="S34" s="3">
        <f t="shared" si="1"/>
        <v>50.465075193447085</v>
      </c>
      <c r="U34">
        <v>380</v>
      </c>
      <c r="V34">
        <v>0</v>
      </c>
    </row>
    <row r="35" spans="18:22">
      <c r="R35" s="15">
        <f>R34+(R46-R29)/17</f>
        <v>52.176470588235304</v>
      </c>
      <c r="S35" s="3">
        <f t="shared" si="1"/>
        <v>52.030975451070162</v>
      </c>
      <c r="U35">
        <v>390</v>
      </c>
      <c r="V35">
        <v>0</v>
      </c>
    </row>
    <row r="36" spans="18:22">
      <c r="R36" s="15">
        <f>R35+(R46-R29)/17</f>
        <v>53.705882352941188</v>
      </c>
      <c r="S36" s="3">
        <f t="shared" si="1"/>
        <v>53.59687570869324</v>
      </c>
      <c r="U36">
        <v>400</v>
      </c>
      <c r="V36">
        <v>0</v>
      </c>
    </row>
    <row r="37" spans="18:22">
      <c r="R37" s="15">
        <f>R36+(R46-R29)/17</f>
        <v>55.235294117647072</v>
      </c>
      <c r="S37" s="3">
        <f t="shared" si="1"/>
        <v>55.16277596631631</v>
      </c>
      <c r="U37">
        <v>410</v>
      </c>
      <c r="V37">
        <v>0</v>
      </c>
    </row>
    <row r="38" spans="18:22">
      <c r="R38" s="15">
        <f>R37+(R46-R29)/17</f>
        <v>56.764705882352956</v>
      </c>
      <c r="S38" s="3">
        <f t="shared" si="1"/>
        <v>56.728676223939381</v>
      </c>
      <c r="U38">
        <v>420</v>
      </c>
      <c r="V38">
        <v>0</v>
      </c>
    </row>
    <row r="39" spans="18:22">
      <c r="R39" s="15">
        <f>R38+(R46-R29)/17</f>
        <v>58.29411764705884</v>
      </c>
      <c r="S39" s="3">
        <f t="shared" si="1"/>
        <v>58.294576481562466</v>
      </c>
      <c r="U39">
        <v>430</v>
      </c>
      <c r="V39">
        <v>0</v>
      </c>
    </row>
    <row r="40" spans="18:22">
      <c r="R40" s="15">
        <f>R39+(R46-R29)/17</f>
        <v>59.823529411764724</v>
      </c>
      <c r="S40" s="3">
        <f t="shared" si="1"/>
        <v>59.860476739185536</v>
      </c>
      <c r="U40">
        <v>440</v>
      </c>
      <c r="V40">
        <v>0</v>
      </c>
    </row>
    <row r="41" spans="18:22">
      <c r="R41" s="15">
        <f>R40+(R46-R29)/17</f>
        <v>61.352941176470608</v>
      </c>
      <c r="S41" s="3">
        <f t="shared" si="1"/>
        <v>61.426376996808607</v>
      </c>
      <c r="U41">
        <v>450</v>
      </c>
      <c r="V41">
        <v>0</v>
      </c>
    </row>
    <row r="42" spans="18:22">
      <c r="R42" s="15">
        <f>R41+(R46-R29)/17</f>
        <v>62.882352941176492</v>
      </c>
      <c r="S42" s="3">
        <f t="shared" si="1"/>
        <v>62.992277254431677</v>
      </c>
      <c r="U42">
        <v>460</v>
      </c>
      <c r="V42">
        <v>0</v>
      </c>
    </row>
    <row r="43" spans="18:22">
      <c r="R43" s="15">
        <f>R42+(R46-R29)/17</f>
        <v>64.411764705882376</v>
      </c>
      <c r="S43" s="3">
        <f t="shared" si="1"/>
        <v>64.558177512054769</v>
      </c>
      <c r="U43">
        <v>470</v>
      </c>
      <c r="V43">
        <v>0</v>
      </c>
    </row>
    <row r="44" spans="18:22">
      <c r="R44" s="15">
        <f>R43+(R46-R29)/17</f>
        <v>65.94117647058826</v>
      </c>
      <c r="S44" s="3">
        <f t="shared" si="1"/>
        <v>66.124077769677839</v>
      </c>
      <c r="U44">
        <v>480</v>
      </c>
      <c r="V44">
        <v>0</v>
      </c>
    </row>
    <row r="45" spans="18:22">
      <c r="R45" s="15">
        <f>R44+(R46-R29)/17</f>
        <v>67.470588235294144</v>
      </c>
      <c r="S45" s="3">
        <f t="shared" si="1"/>
        <v>67.68997802730091</v>
      </c>
      <c r="U45">
        <v>490</v>
      </c>
      <c r="V45">
        <v>0</v>
      </c>
    </row>
    <row r="46" spans="18:22">
      <c r="R46">
        <v>69</v>
      </c>
      <c r="S46" s="3">
        <f t="shared" si="1"/>
        <v>69.25587828492398</v>
      </c>
      <c r="U46">
        <v>500</v>
      </c>
      <c r="V46">
        <v>0</v>
      </c>
    </row>
    <row r="47" spans="18:22">
      <c r="R47" s="15">
        <f>R46+(R61-R46)/15</f>
        <v>70.2</v>
      </c>
      <c r="S47" s="3">
        <f t="shared" si="1"/>
        <v>70.440826621104918</v>
      </c>
      <c r="U47">
        <v>510</v>
      </c>
      <c r="V47">
        <f>U47-500</f>
        <v>10</v>
      </c>
    </row>
    <row r="48" spans="18:22">
      <c r="R48" s="15">
        <f>R47+(R61-R46)/15</f>
        <v>71.400000000000006</v>
      </c>
      <c r="S48" s="3">
        <f t="shared" si="1"/>
        <v>71.625774957285856</v>
      </c>
      <c r="U48">
        <v>520</v>
      </c>
      <c r="V48">
        <f t="shared" ref="V48:V71" si="6">U48-500</f>
        <v>20</v>
      </c>
    </row>
    <row r="49" spans="18:22">
      <c r="R49" s="15">
        <f>R48+(R61-R46)/15</f>
        <v>72.600000000000009</v>
      </c>
      <c r="S49" s="3">
        <f t="shared" si="1"/>
        <v>72.810723293466779</v>
      </c>
      <c r="U49">
        <v>530</v>
      </c>
      <c r="V49">
        <f t="shared" si="6"/>
        <v>30</v>
      </c>
    </row>
    <row r="50" spans="18:22">
      <c r="R50" s="15">
        <f>R49+(R61-R46)/15</f>
        <v>73.800000000000011</v>
      </c>
      <c r="S50" s="3">
        <f t="shared" si="1"/>
        <v>73.995671629647731</v>
      </c>
      <c r="U50">
        <v>540</v>
      </c>
      <c r="V50">
        <f t="shared" si="6"/>
        <v>40</v>
      </c>
    </row>
    <row r="51" spans="18:22">
      <c r="R51" s="15">
        <f>R50+(R61-R46)/15</f>
        <v>75.000000000000014</v>
      </c>
      <c r="S51" s="3">
        <f t="shared" si="1"/>
        <v>75.180619965828654</v>
      </c>
      <c r="U51">
        <v>550</v>
      </c>
      <c r="V51">
        <f t="shared" si="6"/>
        <v>50</v>
      </c>
    </row>
    <row r="52" spans="18:22">
      <c r="R52" s="15">
        <f>R51+(R61-R46)/15</f>
        <v>76.200000000000017</v>
      </c>
      <c r="S52" s="3">
        <f t="shared" si="1"/>
        <v>76.365568302009592</v>
      </c>
      <c r="U52">
        <v>560</v>
      </c>
      <c r="V52">
        <f t="shared" si="6"/>
        <v>60</v>
      </c>
    </row>
    <row r="53" spans="18:22">
      <c r="R53" s="15">
        <f>R52+(R61-R46)/15</f>
        <v>77.40000000000002</v>
      </c>
      <c r="S53" s="3">
        <f t="shared" si="1"/>
        <v>77.550516638190516</v>
      </c>
      <c r="U53">
        <v>570</v>
      </c>
      <c r="V53">
        <f t="shared" si="6"/>
        <v>70</v>
      </c>
    </row>
    <row r="54" spans="18:22">
      <c r="R54" s="15">
        <f>R53+(R61-R46)/15</f>
        <v>78.600000000000023</v>
      </c>
      <c r="S54" s="3">
        <f t="shared" si="1"/>
        <v>78.735464974371467</v>
      </c>
      <c r="U54">
        <v>580</v>
      </c>
      <c r="V54">
        <f t="shared" si="6"/>
        <v>80</v>
      </c>
    </row>
    <row r="55" spans="18:22">
      <c r="R55" s="15">
        <f>R54+(R61-R46)/15</f>
        <v>79.800000000000026</v>
      </c>
      <c r="S55" s="3">
        <f t="shared" si="1"/>
        <v>79.920413310552391</v>
      </c>
      <c r="U55">
        <v>590</v>
      </c>
      <c r="V55">
        <f t="shared" si="6"/>
        <v>90</v>
      </c>
    </row>
    <row r="56" spans="18:22">
      <c r="R56" s="15">
        <f>R55+(R61-R46)/15</f>
        <v>81.000000000000028</v>
      </c>
      <c r="S56" s="3">
        <f t="shared" si="1"/>
        <v>81.105361646733328</v>
      </c>
      <c r="U56">
        <v>600</v>
      </c>
      <c r="V56">
        <f t="shared" si="6"/>
        <v>100</v>
      </c>
    </row>
    <row r="57" spans="18:22">
      <c r="R57" s="15">
        <f>R56+(R61-R46)/15</f>
        <v>82.200000000000031</v>
      </c>
      <c r="S57" s="3">
        <f t="shared" si="1"/>
        <v>82.290309982914252</v>
      </c>
      <c r="U57">
        <v>610</v>
      </c>
      <c r="V57">
        <f t="shared" si="6"/>
        <v>110</v>
      </c>
    </row>
    <row r="58" spans="18:22">
      <c r="R58" s="15">
        <f>R57+(R61-R46)/15</f>
        <v>83.400000000000034</v>
      </c>
      <c r="S58" s="3">
        <f t="shared" si="1"/>
        <v>83.475258319095204</v>
      </c>
      <c r="U58">
        <v>620</v>
      </c>
      <c r="V58">
        <f t="shared" si="6"/>
        <v>120</v>
      </c>
    </row>
    <row r="59" spans="18:22">
      <c r="R59" s="15">
        <f>R58+(R61-R46)/15</f>
        <v>84.600000000000037</v>
      </c>
      <c r="S59" s="3">
        <f t="shared" si="1"/>
        <v>84.660206655276127</v>
      </c>
      <c r="U59">
        <v>630</v>
      </c>
      <c r="V59">
        <f t="shared" si="6"/>
        <v>130</v>
      </c>
    </row>
    <row r="60" spans="18:22">
      <c r="R60" s="15">
        <f>R59+(R61-R46)/15</f>
        <v>85.80000000000004</v>
      </c>
      <c r="S60" s="3">
        <f t="shared" si="1"/>
        <v>85.845154991457065</v>
      </c>
      <c r="U60">
        <v>640</v>
      </c>
      <c r="V60">
        <f t="shared" si="6"/>
        <v>140</v>
      </c>
    </row>
    <row r="61" spans="18:22">
      <c r="R61">
        <v>87</v>
      </c>
      <c r="S61" s="3">
        <f t="shared" si="1"/>
        <v>87.030103327638002</v>
      </c>
      <c r="U61">
        <v>650</v>
      </c>
      <c r="V61">
        <f t="shared" si="6"/>
        <v>150</v>
      </c>
    </row>
    <row r="62" spans="18:22">
      <c r="R62" s="15">
        <f>R61+R61-R60</f>
        <v>88.19999999999996</v>
      </c>
      <c r="S62" s="3">
        <f t="shared" si="1"/>
        <v>88.21505166381894</v>
      </c>
      <c r="U62">
        <v>660</v>
      </c>
      <c r="V62">
        <f t="shared" si="6"/>
        <v>160</v>
      </c>
    </row>
    <row r="63" spans="18:22">
      <c r="R63" s="15">
        <f t="shared" ref="R63:R71" si="7">R62+R62-R61</f>
        <v>89.39999999999992</v>
      </c>
      <c r="S63" s="3">
        <f t="shared" si="1"/>
        <v>89.399999999999864</v>
      </c>
      <c r="U63">
        <v>670</v>
      </c>
      <c r="V63">
        <f t="shared" si="6"/>
        <v>170</v>
      </c>
    </row>
    <row r="64" spans="18:22">
      <c r="R64" s="15">
        <f t="shared" si="7"/>
        <v>90.599999999999881</v>
      </c>
      <c r="S64" s="3">
        <f t="shared" si="1"/>
        <v>90.584948336180801</v>
      </c>
      <c r="U64">
        <v>680</v>
      </c>
      <c r="V64">
        <f t="shared" si="6"/>
        <v>180</v>
      </c>
    </row>
    <row r="65" spans="18:22">
      <c r="R65" s="15">
        <f t="shared" si="7"/>
        <v>91.799999999999841</v>
      </c>
      <c r="S65" s="3">
        <f t="shared" si="1"/>
        <v>91.769896672361739</v>
      </c>
      <c r="U65">
        <v>690</v>
      </c>
      <c r="V65">
        <f t="shared" si="6"/>
        <v>190</v>
      </c>
    </row>
    <row r="66" spans="18:22">
      <c r="R66" s="15">
        <f t="shared" si="7"/>
        <v>92.999999999999801</v>
      </c>
      <c r="S66" s="3">
        <f t="shared" si="1"/>
        <v>92.954845008542662</v>
      </c>
      <c r="U66">
        <v>700</v>
      </c>
      <c r="V66">
        <f t="shared" si="6"/>
        <v>200</v>
      </c>
    </row>
    <row r="67" spans="18:22">
      <c r="R67" s="15">
        <f t="shared" si="7"/>
        <v>94.199999999999761</v>
      </c>
      <c r="S67" s="3">
        <f t="shared" si="1"/>
        <v>94.1397933447236</v>
      </c>
      <c r="U67">
        <v>710</v>
      </c>
      <c r="V67">
        <f t="shared" si="6"/>
        <v>210</v>
      </c>
    </row>
    <row r="68" spans="18:22">
      <c r="R68" s="15">
        <f t="shared" si="7"/>
        <v>95.399999999999721</v>
      </c>
      <c r="S68" s="3">
        <f>S$74+S$75*U68+S$76*V68</f>
        <v>95.324741680904538</v>
      </c>
      <c r="U68">
        <v>720</v>
      </c>
      <c r="V68">
        <f t="shared" si="6"/>
        <v>220</v>
      </c>
    </row>
    <row r="69" spans="18:22">
      <c r="R69" s="15">
        <f t="shared" si="7"/>
        <v>96.599999999999682</v>
      </c>
      <c r="S69" s="3">
        <f>S$74+S$75*U69+S$76*V69</f>
        <v>96.509690017085475</v>
      </c>
      <c r="U69">
        <v>730</v>
      </c>
      <c r="V69">
        <f t="shared" si="6"/>
        <v>230</v>
      </c>
    </row>
    <row r="70" spans="18:22">
      <c r="R70" s="15">
        <f t="shared" si="7"/>
        <v>97.799999999999642</v>
      </c>
      <c r="S70" s="3">
        <f>S$74+S$75*U70+S$76*V70</f>
        <v>97.694638353266413</v>
      </c>
      <c r="U70">
        <v>740</v>
      </c>
      <c r="V70">
        <f t="shared" si="6"/>
        <v>240</v>
      </c>
    </row>
    <row r="71" spans="18:22">
      <c r="R71" s="15">
        <f t="shared" si="7"/>
        <v>98.999999999999602</v>
      </c>
      <c r="S71" s="3">
        <f>S$74+S$75*U71+S$76*V71</f>
        <v>98.879586689447336</v>
      </c>
      <c r="U71">
        <v>750</v>
      </c>
      <c r="V71">
        <f t="shared" si="6"/>
        <v>250</v>
      </c>
    </row>
    <row r="74" spans="18:22">
      <c r="R74" s="41" t="s">
        <v>159</v>
      </c>
      <c r="S74" s="41">
        <v>-9.0391345962297347</v>
      </c>
    </row>
    <row r="75" spans="18:22">
      <c r="R75" t="s">
        <v>31</v>
      </c>
      <c r="S75" s="41">
        <v>0.15659002576230743</v>
      </c>
    </row>
    <row r="76" spans="18:22" ht="15.75" thickBot="1">
      <c r="R76" t="s">
        <v>277</v>
      </c>
      <c r="S76" s="42">
        <v>-3.809519214421403E-2</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11"/>
  <sheetViews>
    <sheetView workbookViewId="0">
      <selection activeCell="O41" sqref="O41"/>
    </sheetView>
  </sheetViews>
  <sheetFormatPr defaultRowHeight="15"/>
  <sheetData>
    <row r="5" spans="1:1">
      <c r="A5" t="s">
        <v>626</v>
      </c>
    </row>
    <row r="7" spans="1:1">
      <c r="A7" t="s">
        <v>631</v>
      </c>
    </row>
    <row r="9" spans="1:1">
      <c r="A9" t="s">
        <v>632</v>
      </c>
    </row>
    <row r="11" spans="1:1">
      <c r="A11" t="s">
        <v>633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7"/>
  <sheetViews>
    <sheetView zoomScale="75" zoomScaleNormal="75" workbookViewId="0">
      <selection activeCell="U55" sqref="U55"/>
    </sheetView>
  </sheetViews>
  <sheetFormatPr defaultRowHeight="15"/>
  <cols>
    <col min="11" max="11" width="11.85546875" customWidth="1"/>
    <col min="19" max="19" width="13.5703125" customWidth="1"/>
    <col min="20" max="20" width="9.140625" customWidth="1"/>
  </cols>
  <sheetData>
    <row r="1" spans="1:50">
      <c r="B1" t="s">
        <v>284</v>
      </c>
    </row>
    <row r="2" spans="1:50">
      <c r="B2" s="22" t="s">
        <v>255</v>
      </c>
      <c r="C2" t="s">
        <v>238</v>
      </c>
      <c r="D2" t="s">
        <v>239</v>
      </c>
      <c r="E2" t="s">
        <v>240</v>
      </c>
      <c r="F2" t="s">
        <v>241</v>
      </c>
      <c r="G2" t="s">
        <v>242</v>
      </c>
      <c r="H2" t="s">
        <v>243</v>
      </c>
      <c r="I2" t="s">
        <v>244</v>
      </c>
      <c r="J2" t="s">
        <v>245</v>
      </c>
      <c r="K2" t="s">
        <v>246</v>
      </c>
      <c r="L2" t="s">
        <v>247</v>
      </c>
      <c r="M2" t="s">
        <v>248</v>
      </c>
      <c r="N2" t="s">
        <v>249</v>
      </c>
      <c r="O2" t="s">
        <v>252</v>
      </c>
      <c r="P2" t="s">
        <v>158</v>
      </c>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row>
    <row r="3" spans="1:50">
      <c r="A3">
        <v>2000</v>
      </c>
    </row>
    <row r="4" spans="1:50">
      <c r="A4">
        <v>2001</v>
      </c>
    </row>
    <row r="5" spans="1:50">
      <c r="A5">
        <v>2002</v>
      </c>
    </row>
    <row r="6" spans="1:50">
      <c r="A6">
        <v>2003</v>
      </c>
      <c r="K6" s="3">
        <v>4577.4570000000003</v>
      </c>
      <c r="S6" s="92"/>
    </row>
    <row r="7" spans="1:50">
      <c r="A7">
        <v>2004</v>
      </c>
      <c r="K7" s="3">
        <v>4606.3630000000003</v>
      </c>
      <c r="S7" s="92"/>
    </row>
    <row r="8" spans="1:50">
      <c r="A8">
        <v>2005</v>
      </c>
      <c r="K8" s="3">
        <v>4640.2190000000001</v>
      </c>
      <c r="S8" s="92"/>
    </row>
    <row r="9" spans="1:50">
      <c r="A9">
        <v>2006</v>
      </c>
      <c r="K9" s="3">
        <v>4681.134</v>
      </c>
      <c r="S9" s="92"/>
    </row>
    <row r="10" spans="1:50">
      <c r="A10">
        <v>2007</v>
      </c>
      <c r="K10" s="3">
        <v>4737.1710000000003</v>
      </c>
      <c r="S10" s="92"/>
    </row>
    <row r="11" spans="1:50">
      <c r="A11">
        <v>2008</v>
      </c>
      <c r="K11" s="3">
        <v>4799.2520000000004</v>
      </c>
      <c r="S11" s="92"/>
    </row>
    <row r="12" spans="1:50">
      <c r="A12">
        <v>2009</v>
      </c>
      <c r="K12" s="3">
        <v>4858.1989999999996</v>
      </c>
      <c r="S12" s="92"/>
    </row>
    <row r="13" spans="1:50">
      <c r="A13">
        <v>2010</v>
      </c>
      <c r="K13" s="3">
        <v>4920.3050000000003</v>
      </c>
      <c r="S13" s="92"/>
    </row>
    <row r="14" spans="1:50">
      <c r="A14">
        <v>2011</v>
      </c>
      <c r="K14" s="3">
        <v>4985.87</v>
      </c>
      <c r="S14" s="92"/>
    </row>
    <row r="15" spans="1:50">
      <c r="A15">
        <v>2012</v>
      </c>
      <c r="K15" s="3">
        <v>5051.2749999999996</v>
      </c>
      <c r="S15" s="92"/>
    </row>
    <row r="16" spans="1:50">
      <c r="A16">
        <v>2013</v>
      </c>
      <c r="K16" s="3">
        <v>5109.0559999999996</v>
      </c>
      <c r="S16" s="92"/>
    </row>
    <row r="17" spans="1:19">
      <c r="A17">
        <v>2014</v>
      </c>
      <c r="K17" s="3">
        <v>5165.8019999999997</v>
      </c>
      <c r="S17" s="92"/>
    </row>
    <row r="18" spans="1:19">
      <c r="A18">
        <v>2015</v>
      </c>
      <c r="K18" s="3">
        <v>5213.9849999999997</v>
      </c>
      <c r="S18" s="92"/>
    </row>
    <row r="19" spans="1:19">
      <c r="A19">
        <v>2016</v>
      </c>
      <c r="K19" s="3">
        <v>5258.317</v>
      </c>
      <c r="S19" s="92"/>
    </row>
    <row r="20" spans="1:19">
      <c r="A20">
        <v>2017</v>
      </c>
      <c r="K20" s="3">
        <v>5295.6189999999997</v>
      </c>
      <c r="S20" s="92"/>
    </row>
    <row r="21" spans="1:19">
      <c r="A21">
        <v>2018</v>
      </c>
      <c r="S21" s="92"/>
    </row>
    <row r="22" spans="1:19">
      <c r="A22">
        <v>2019</v>
      </c>
      <c r="S22" s="92"/>
    </row>
    <row r="23" spans="1:19">
      <c r="A23">
        <v>2020</v>
      </c>
      <c r="S23" s="92"/>
    </row>
    <row r="24" spans="1:19">
      <c r="S24" s="92"/>
    </row>
    <row r="25" spans="1:19">
      <c r="B25" t="s">
        <v>285</v>
      </c>
      <c r="S25" s="92"/>
    </row>
    <row r="26" spans="1:19">
      <c r="B26" s="22" t="s">
        <v>255</v>
      </c>
      <c r="C26" t="s">
        <v>238</v>
      </c>
      <c r="D26" t="s">
        <v>239</v>
      </c>
      <c r="E26" t="s">
        <v>240</v>
      </c>
      <c r="F26" t="s">
        <v>241</v>
      </c>
      <c r="G26" t="s">
        <v>242</v>
      </c>
      <c r="H26" t="s">
        <v>243</v>
      </c>
      <c r="I26" t="s">
        <v>244</v>
      </c>
      <c r="J26" t="s">
        <v>245</v>
      </c>
      <c r="K26" t="s">
        <v>246</v>
      </c>
      <c r="L26" t="s">
        <v>247</v>
      </c>
      <c r="M26" t="s">
        <v>248</v>
      </c>
      <c r="N26" t="s">
        <v>249</v>
      </c>
      <c r="O26" t="s">
        <v>252</v>
      </c>
      <c r="P26" t="s">
        <v>158</v>
      </c>
      <c r="S26" s="92"/>
    </row>
    <row r="27" spans="1:19">
      <c r="A27">
        <v>2000</v>
      </c>
    </row>
    <row r="28" spans="1:19">
      <c r="A28">
        <v>2001</v>
      </c>
    </row>
    <row r="29" spans="1:19">
      <c r="A29">
        <v>2002</v>
      </c>
    </row>
    <row r="30" spans="1:19">
      <c r="A30">
        <v>2003</v>
      </c>
      <c r="B30" s="84"/>
      <c r="K30" s="3">
        <v>2200.8910000000001</v>
      </c>
    </row>
    <row r="31" spans="1:19">
      <c r="A31">
        <v>2004</v>
      </c>
      <c r="K31" s="3">
        <v>2260.9749999999999</v>
      </c>
    </row>
    <row r="32" spans="1:19">
      <c r="A32">
        <v>2005</v>
      </c>
      <c r="K32" s="3">
        <v>2330.85</v>
      </c>
    </row>
    <row r="33" spans="1:11">
      <c r="A33">
        <v>2006</v>
      </c>
      <c r="K33" s="3">
        <v>2414.1579999999999</v>
      </c>
    </row>
    <row r="34" spans="1:11">
      <c r="A34">
        <v>2007</v>
      </c>
      <c r="K34" s="3">
        <v>2505.6410000000001</v>
      </c>
    </row>
    <row r="35" spans="1:11">
      <c r="A35">
        <v>2008</v>
      </c>
      <c r="K35" s="3">
        <v>2575.4499999999998</v>
      </c>
    </row>
    <row r="36" spans="1:11">
      <c r="A36">
        <v>2009</v>
      </c>
      <c r="K36" s="3">
        <v>2628.665</v>
      </c>
    </row>
    <row r="37" spans="1:11">
      <c r="A37">
        <v>2010</v>
      </c>
      <c r="K37" s="3">
        <v>2700.5749999999998</v>
      </c>
    </row>
    <row r="38" spans="1:11">
      <c r="A38">
        <v>2011</v>
      </c>
      <c r="K38" s="3">
        <v>2779.1190000000001</v>
      </c>
    </row>
    <row r="39" spans="1:11">
      <c r="A39">
        <v>2012</v>
      </c>
      <c r="K39" s="3">
        <v>2856.5720000000001</v>
      </c>
    </row>
    <row r="40" spans="1:11">
      <c r="A40">
        <v>2013</v>
      </c>
      <c r="K40" s="3">
        <v>2920.6529999999998</v>
      </c>
    </row>
    <row r="41" spans="1:11">
      <c r="A41">
        <v>2014</v>
      </c>
      <c r="K41" s="3">
        <v>2980.2</v>
      </c>
    </row>
    <row r="42" spans="1:11">
      <c r="A42">
        <v>2015</v>
      </c>
      <c r="K42" s="3">
        <v>3040.2190000000001</v>
      </c>
    </row>
    <row r="43" spans="1:11">
      <c r="A43">
        <v>2016</v>
      </c>
      <c r="K43" s="3">
        <v>3100.4920000000002</v>
      </c>
    </row>
    <row r="44" spans="1:11">
      <c r="A44">
        <v>2017</v>
      </c>
      <c r="K44" s="3">
        <v>3162.7139999999999</v>
      </c>
    </row>
    <row r="45" spans="1:11">
      <c r="A45">
        <v>2018</v>
      </c>
      <c r="K45" s="3"/>
    </row>
    <row r="46" spans="1:11">
      <c r="A46">
        <v>2019</v>
      </c>
    </row>
    <row r="47" spans="1:11">
      <c r="A47">
        <v>2020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topLeftCell="A13" workbookViewId="0">
      <selection activeCell="F45" sqref="F45"/>
    </sheetView>
  </sheetViews>
  <sheetFormatPr defaultRowHeight="15"/>
  <cols>
    <col min="1" max="1" width="33.140625" customWidth="1"/>
    <col min="2" max="2" width="12" customWidth="1"/>
    <col min="3" max="3" width="15.42578125" customWidth="1"/>
    <col min="4" max="4" width="16.7109375" customWidth="1"/>
  </cols>
  <sheetData>
    <row r="1" spans="1:6">
      <c r="A1" t="s">
        <v>384</v>
      </c>
      <c r="F1" t="s">
        <v>385</v>
      </c>
    </row>
    <row r="2" spans="1:6">
      <c r="A2" t="s">
        <v>385</v>
      </c>
      <c r="F2" t="s">
        <v>386</v>
      </c>
    </row>
    <row r="3" spans="1:6" ht="18.75" thickBot="1">
      <c r="A3" s="115"/>
    </row>
    <row r="4" spans="1:6" ht="29.25" thickBot="1">
      <c r="A4" s="116" t="s">
        <v>387</v>
      </c>
      <c r="B4" s="116" t="s">
        <v>388</v>
      </c>
      <c r="C4" s="116" t="s">
        <v>389</v>
      </c>
    </row>
    <row r="5" spans="1:6" ht="15.75" thickBot="1">
      <c r="A5" s="117" t="s">
        <v>390</v>
      </c>
      <c r="B5" s="117" t="s">
        <v>391</v>
      </c>
      <c r="C5" s="117" t="s">
        <v>392</v>
      </c>
    </row>
    <row r="6" spans="1:6" ht="15.75" thickBot="1">
      <c r="A6" s="116" t="s">
        <v>393</v>
      </c>
      <c r="B6" s="116" t="s">
        <v>391</v>
      </c>
      <c r="C6" s="116" t="s">
        <v>394</v>
      </c>
    </row>
    <row r="7" spans="1:6" ht="15.75" thickBot="1">
      <c r="A7" s="117" t="s">
        <v>395</v>
      </c>
      <c r="B7" s="117" t="s">
        <v>391</v>
      </c>
      <c r="C7" s="117" t="s">
        <v>396</v>
      </c>
    </row>
    <row r="8" spans="1:6" ht="15.75" thickBot="1">
      <c r="A8" s="116" t="s">
        <v>397</v>
      </c>
      <c r="B8" s="116" t="s">
        <v>391</v>
      </c>
      <c r="C8" s="116" t="s">
        <v>396</v>
      </c>
    </row>
    <row r="9" spans="1:6" ht="15.75" thickBot="1">
      <c r="A9" s="117" t="s">
        <v>398</v>
      </c>
      <c r="B9" s="117" t="s">
        <v>399</v>
      </c>
      <c r="C9" s="117" t="s">
        <v>400</v>
      </c>
    </row>
    <row r="10" spans="1:6" ht="15.75" thickBot="1">
      <c r="A10" s="116" t="s">
        <v>401</v>
      </c>
      <c r="B10" s="116" t="s">
        <v>399</v>
      </c>
      <c r="C10" s="116" t="s">
        <v>402</v>
      </c>
    </row>
    <row r="11" spans="1:6" ht="29.25" thickBot="1">
      <c r="A11" s="117" t="s">
        <v>403</v>
      </c>
      <c r="B11" s="117" t="s">
        <v>399</v>
      </c>
      <c r="C11" s="117" t="s">
        <v>404</v>
      </c>
    </row>
    <row r="12" spans="1:6" ht="30" customHeight="1" thickBot="1">
      <c r="A12" s="116" t="s">
        <v>405</v>
      </c>
      <c r="B12" s="116"/>
      <c r="C12" s="116"/>
    </row>
    <row r="13" spans="1:6" ht="28.5" customHeight="1" thickBot="1">
      <c r="A13" s="117" t="s">
        <v>406</v>
      </c>
      <c r="B13" s="117"/>
      <c r="C13" s="117"/>
    </row>
    <row r="14" spans="1:6" ht="26.25" customHeight="1" thickBot="1">
      <c r="A14" s="116" t="s">
        <v>407</v>
      </c>
      <c r="B14" s="116"/>
      <c r="C14" s="116"/>
    </row>
    <row r="18" spans="1:17">
      <c r="A18" t="s">
        <v>422</v>
      </c>
      <c r="B18" t="s">
        <v>423</v>
      </c>
      <c r="C18" t="s">
        <v>424</v>
      </c>
      <c r="D18" t="s">
        <v>425</v>
      </c>
      <c r="E18" t="s">
        <v>418</v>
      </c>
    </row>
    <row r="20" spans="1:17">
      <c r="A20" t="s">
        <v>43</v>
      </c>
      <c r="B20" t="s">
        <v>426</v>
      </c>
      <c r="C20" t="s">
        <v>427</v>
      </c>
      <c r="D20" t="s">
        <v>428</v>
      </c>
    </row>
    <row r="22" spans="1:17">
      <c r="A22" t="s">
        <v>429</v>
      </c>
      <c r="B22" t="s">
        <v>430</v>
      </c>
    </row>
    <row r="24" spans="1:17">
      <c r="A24" t="s">
        <v>429</v>
      </c>
      <c r="B24" t="s">
        <v>431</v>
      </c>
      <c r="C24">
        <v>2000</v>
      </c>
    </row>
    <row r="26" spans="1:17">
      <c r="A26" t="s">
        <v>432</v>
      </c>
      <c r="B26" t="s">
        <v>433</v>
      </c>
      <c r="C26" t="s">
        <v>434</v>
      </c>
    </row>
    <row r="28" spans="1:17">
      <c r="A28" t="s">
        <v>50</v>
      </c>
      <c r="B28" t="s">
        <v>435</v>
      </c>
      <c r="C28" t="s">
        <v>436</v>
      </c>
      <c r="D28" t="s">
        <v>437</v>
      </c>
      <c r="E28" t="s">
        <v>435</v>
      </c>
      <c r="F28" t="s">
        <v>438</v>
      </c>
      <c r="G28" t="s">
        <v>439</v>
      </c>
      <c r="H28" t="s">
        <v>435</v>
      </c>
      <c r="I28" t="s">
        <v>440</v>
      </c>
      <c r="J28" t="s">
        <v>441</v>
      </c>
      <c r="K28" t="s">
        <v>439</v>
      </c>
      <c r="L28" t="s">
        <v>442</v>
      </c>
      <c r="M28" t="s">
        <v>435</v>
      </c>
      <c r="N28" t="s">
        <v>440</v>
      </c>
      <c r="O28" t="s">
        <v>441</v>
      </c>
      <c r="P28" t="s">
        <v>443</v>
      </c>
      <c r="Q28" t="s">
        <v>436</v>
      </c>
    </row>
    <row r="30" spans="1:17">
      <c r="A30" t="s">
        <v>444</v>
      </c>
      <c r="B30" t="s">
        <v>418</v>
      </c>
      <c r="C30" t="s">
        <v>444</v>
      </c>
      <c r="D30" t="s">
        <v>445</v>
      </c>
      <c r="E30" t="s">
        <v>437</v>
      </c>
      <c r="F30" t="s">
        <v>446</v>
      </c>
      <c r="G30" t="s">
        <v>442</v>
      </c>
      <c r="H30" t="s">
        <v>447</v>
      </c>
    </row>
    <row r="33" spans="1:9">
      <c r="A33" s="123" t="s">
        <v>460</v>
      </c>
    </row>
    <row r="35" spans="1:9">
      <c r="A35" t="s">
        <v>482</v>
      </c>
    </row>
    <row r="36" spans="1:9">
      <c r="B36" t="s">
        <v>461</v>
      </c>
      <c r="C36" t="s">
        <v>462</v>
      </c>
      <c r="D36" t="s">
        <v>463</v>
      </c>
      <c r="E36" t="s">
        <v>464</v>
      </c>
      <c r="F36" t="s">
        <v>465</v>
      </c>
      <c r="G36" t="s">
        <v>467</v>
      </c>
      <c r="H36" t="s">
        <v>468</v>
      </c>
      <c r="I36" t="s">
        <v>459</v>
      </c>
    </row>
    <row r="37" spans="1:9">
      <c r="A37" t="s">
        <v>39</v>
      </c>
      <c r="B37" t="s">
        <v>466</v>
      </c>
      <c r="C37" t="s">
        <v>477</v>
      </c>
      <c r="D37" t="s">
        <v>478</v>
      </c>
      <c r="E37" t="s">
        <v>483</v>
      </c>
      <c r="F37" t="s">
        <v>42</v>
      </c>
    </row>
    <row r="38" spans="1:9">
      <c r="A38" t="s">
        <v>469</v>
      </c>
      <c r="B38" t="s">
        <v>476</v>
      </c>
      <c r="C38" s="22" t="s">
        <v>470</v>
      </c>
      <c r="D38">
        <v>494</v>
      </c>
      <c r="E38">
        <v>170</v>
      </c>
      <c r="F38">
        <v>22.5</v>
      </c>
    </row>
    <row r="39" spans="1:9">
      <c r="A39" t="s">
        <v>51</v>
      </c>
      <c r="B39" t="s">
        <v>76</v>
      </c>
      <c r="C39" s="22" t="s">
        <v>470</v>
      </c>
      <c r="D39">
        <v>1897</v>
      </c>
      <c r="E39">
        <v>280</v>
      </c>
      <c r="F39">
        <v>60</v>
      </c>
    </row>
    <row r="40" spans="1:9">
      <c r="A40" t="s">
        <v>46</v>
      </c>
      <c r="B40" t="s">
        <v>479</v>
      </c>
      <c r="C40" s="22" t="s">
        <v>470</v>
      </c>
      <c r="D40">
        <v>670</v>
      </c>
      <c r="E40">
        <v>170</v>
      </c>
      <c r="F40">
        <v>24</v>
      </c>
    </row>
    <row r="41" spans="1:9">
      <c r="A41" t="s">
        <v>50</v>
      </c>
      <c r="B41" t="s">
        <v>53</v>
      </c>
      <c r="C41" s="22" t="s">
        <v>470</v>
      </c>
      <c r="D41">
        <v>1609</v>
      </c>
      <c r="E41">
        <v>170</v>
      </c>
      <c r="F41">
        <v>22.5</v>
      </c>
    </row>
    <row r="42" spans="1:9">
      <c r="A42" t="s">
        <v>471</v>
      </c>
      <c r="B42" t="s">
        <v>480</v>
      </c>
      <c r="C42" s="22" t="s">
        <v>472</v>
      </c>
      <c r="D42" s="124" t="s">
        <v>473</v>
      </c>
      <c r="E42">
        <v>270</v>
      </c>
      <c r="F42">
        <v>33</v>
      </c>
    </row>
    <row r="43" spans="1:9">
      <c r="A43" t="s">
        <v>50</v>
      </c>
      <c r="B43" t="s">
        <v>481</v>
      </c>
      <c r="C43" s="22" t="s">
        <v>472</v>
      </c>
      <c r="D43" s="124" t="s">
        <v>473</v>
      </c>
      <c r="E43">
        <v>200</v>
      </c>
      <c r="F43">
        <v>33</v>
      </c>
    </row>
    <row r="44" spans="1:9">
      <c r="A44" t="s">
        <v>474</v>
      </c>
      <c r="B44" t="s">
        <v>475</v>
      </c>
      <c r="C44" s="22" t="s">
        <v>472</v>
      </c>
      <c r="D44" s="124" t="s">
        <v>473</v>
      </c>
      <c r="E44">
        <v>192</v>
      </c>
      <c r="F44">
        <v>56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7"/>
  <sheetViews>
    <sheetView topLeftCell="A16" workbookViewId="0">
      <selection activeCell="C44" sqref="C44"/>
    </sheetView>
  </sheetViews>
  <sheetFormatPr defaultRowHeight="15"/>
  <cols>
    <col min="2" max="6" width="9.42578125" bestFit="1" customWidth="1"/>
    <col min="7" max="7" width="10" customWidth="1"/>
    <col min="8" max="12" width="9.42578125" bestFit="1" customWidth="1"/>
    <col min="13" max="13" width="9.7109375" bestFit="1" customWidth="1"/>
    <col min="14" max="14" width="9.42578125" bestFit="1" customWidth="1"/>
    <col min="15" max="15" width="9.5703125" bestFit="1" customWidth="1"/>
    <col min="16" max="16" width="12.28515625" customWidth="1"/>
    <col min="17" max="17" width="9.7109375" bestFit="1" customWidth="1"/>
    <col min="18" max="18" width="10.7109375" bestFit="1" customWidth="1"/>
    <col min="19" max="20" width="9.42578125" bestFit="1" customWidth="1"/>
    <col min="21" max="21" width="11.28515625" customWidth="1"/>
    <col min="22" max="22" width="9.42578125" bestFit="1" customWidth="1"/>
    <col min="23" max="27" width="9.28515625" bestFit="1" customWidth="1"/>
  </cols>
  <sheetData>
    <row r="1" spans="1:27">
      <c r="A1" s="3" t="s">
        <v>690</v>
      </c>
    </row>
    <row r="2" spans="1:27">
      <c r="A2" s="3"/>
    </row>
    <row r="3" spans="1:27">
      <c r="A3" s="3"/>
      <c r="B3" s="164" t="s">
        <v>666</v>
      </c>
      <c r="C3" s="164" t="s">
        <v>667</v>
      </c>
      <c r="D3" s="164" t="s">
        <v>667</v>
      </c>
      <c r="E3" s="164" t="s">
        <v>668</v>
      </c>
      <c r="F3" s="164" t="s">
        <v>669</v>
      </c>
      <c r="G3" s="164" t="s">
        <v>670</v>
      </c>
      <c r="H3" s="164" t="s">
        <v>671</v>
      </c>
      <c r="I3" s="164" t="s">
        <v>667</v>
      </c>
      <c r="J3" s="164" t="s">
        <v>667</v>
      </c>
      <c r="K3" s="164" t="s">
        <v>667</v>
      </c>
      <c r="L3" s="164" t="s">
        <v>667</v>
      </c>
      <c r="M3" s="164" t="s">
        <v>672</v>
      </c>
      <c r="N3" s="164" t="s">
        <v>667</v>
      </c>
      <c r="O3" s="165" t="s">
        <v>673</v>
      </c>
      <c r="P3" s="164" t="s">
        <v>667</v>
      </c>
      <c r="Q3" s="165" t="s">
        <v>674</v>
      </c>
      <c r="R3" s="165" t="s">
        <v>675</v>
      </c>
      <c r="S3" s="164" t="s">
        <v>667</v>
      </c>
      <c r="T3" s="164" t="s">
        <v>676</v>
      </c>
      <c r="U3" s="164" t="s">
        <v>671</v>
      </c>
      <c r="V3" s="164" t="s">
        <v>667</v>
      </c>
      <c r="W3" s="164" t="s">
        <v>677</v>
      </c>
      <c r="X3" s="164" t="s">
        <v>678</v>
      </c>
      <c r="Y3" s="164" t="s">
        <v>679</v>
      </c>
      <c r="Z3" s="164" t="s">
        <v>680</v>
      </c>
      <c r="AA3" s="84"/>
    </row>
    <row r="4" spans="1:27">
      <c r="A4" s="3"/>
      <c r="B4" s="156" t="s">
        <v>255</v>
      </c>
      <c r="C4" s="156" t="s">
        <v>539</v>
      </c>
      <c r="D4" s="156" t="s">
        <v>540</v>
      </c>
      <c r="E4" s="156" t="s">
        <v>298</v>
      </c>
      <c r="F4" s="156" t="s">
        <v>238</v>
      </c>
      <c r="G4" s="156" t="s">
        <v>681</v>
      </c>
      <c r="H4" s="156" t="s">
        <v>541</v>
      </c>
      <c r="I4" s="156" t="s">
        <v>682</v>
      </c>
      <c r="J4" s="156" t="s">
        <v>240</v>
      </c>
      <c r="K4" s="156" t="s">
        <v>241</v>
      </c>
      <c r="L4" s="156" t="s">
        <v>610</v>
      </c>
      <c r="M4" s="94" t="s">
        <v>543</v>
      </c>
      <c r="N4" s="156" t="s">
        <v>544</v>
      </c>
      <c r="O4" s="94" t="s">
        <v>683</v>
      </c>
      <c r="P4" s="156" t="s">
        <v>538</v>
      </c>
      <c r="Q4" s="94" t="s">
        <v>243</v>
      </c>
      <c r="R4" s="94" t="s">
        <v>244</v>
      </c>
      <c r="S4" s="156" t="s">
        <v>245</v>
      </c>
      <c r="T4" s="156" t="s">
        <v>684</v>
      </c>
      <c r="U4" s="156" t="s">
        <v>246</v>
      </c>
      <c r="V4" s="156" t="s">
        <v>545</v>
      </c>
      <c r="W4" s="156" t="s">
        <v>685</v>
      </c>
      <c r="X4" s="156" t="s">
        <v>546</v>
      </c>
      <c r="Y4" s="94" t="s">
        <v>561</v>
      </c>
      <c r="Z4" s="156" t="s">
        <v>686</v>
      </c>
      <c r="AA4" s="94" t="s">
        <v>687</v>
      </c>
    </row>
    <row r="5" spans="1:27">
      <c r="A5">
        <v>2001</v>
      </c>
      <c r="B5" s="155">
        <v>1.9334425</v>
      </c>
      <c r="C5" s="155">
        <v>1.11751</v>
      </c>
      <c r="D5" s="155">
        <v>1.11751</v>
      </c>
      <c r="E5" s="155">
        <v>0.69465500000000002</v>
      </c>
      <c r="F5" s="155">
        <v>1.54876083333333</v>
      </c>
      <c r="G5" s="155">
        <v>38.035325000000007</v>
      </c>
      <c r="H5" s="155">
        <v>8.3228200000000001</v>
      </c>
      <c r="I5" s="155">
        <v>1.11751</v>
      </c>
      <c r="J5" s="155">
        <v>1.11751</v>
      </c>
      <c r="K5" s="155">
        <v>1.11751</v>
      </c>
      <c r="L5" s="155">
        <v>1.117635118610907</v>
      </c>
      <c r="M5" s="12">
        <v>285.96333333333337</v>
      </c>
      <c r="N5" s="155">
        <v>1.11751</v>
      </c>
      <c r="O5" s="155">
        <v>4.0663270894446377</v>
      </c>
      <c r="P5" s="155">
        <v>1.1177030665489143</v>
      </c>
      <c r="Q5" s="12">
        <v>121.529</v>
      </c>
      <c r="R5" s="12">
        <v>1290.99</v>
      </c>
      <c r="S5" s="155">
        <v>1.11751</v>
      </c>
      <c r="T5" s="155">
        <v>2.3787500000000001</v>
      </c>
      <c r="U5" s="155">
        <v>8.9916499999999999</v>
      </c>
      <c r="V5" s="155">
        <v>1.1177032122093602</v>
      </c>
      <c r="W5" s="155">
        <v>10.3291</v>
      </c>
      <c r="X5" s="155">
        <v>1.6906666666666663</v>
      </c>
      <c r="Y5" s="155">
        <v>1.225583333333333</v>
      </c>
      <c r="Z5" s="155">
        <v>1.1176505417647256</v>
      </c>
      <c r="AA5" s="84">
        <v>0.78678206136900086</v>
      </c>
    </row>
    <row r="6" spans="1:27">
      <c r="A6">
        <v>2002</v>
      </c>
      <c r="B6" s="155">
        <v>1.8405625000000001</v>
      </c>
      <c r="C6" s="155">
        <v>1.0625500000000001</v>
      </c>
      <c r="D6" s="155">
        <v>1.0625500000000001</v>
      </c>
      <c r="E6" s="155">
        <v>0.66722300000000001</v>
      </c>
      <c r="F6" s="155">
        <v>1.56931833333333</v>
      </c>
      <c r="G6" s="155">
        <v>32.738516666666662</v>
      </c>
      <c r="H6" s="155">
        <v>7.8947099999999999</v>
      </c>
      <c r="I6" s="155">
        <v>1.0625500000000001</v>
      </c>
      <c r="J6" s="155">
        <v>1.0625500000000001</v>
      </c>
      <c r="K6" s="155">
        <v>1.0625500000000001</v>
      </c>
      <c r="L6" s="155">
        <v>1.061305942773294</v>
      </c>
      <c r="M6" s="12">
        <v>253.73249999999999</v>
      </c>
      <c r="N6" s="155">
        <v>1.0625500000000001</v>
      </c>
      <c r="O6" s="155">
        <v>4.232950178025785</v>
      </c>
      <c r="P6" s="155">
        <v>1.0613209504184162</v>
      </c>
      <c r="Q6" s="12">
        <v>125.38800000000001</v>
      </c>
      <c r="R6" s="12">
        <v>1251.0899999999999</v>
      </c>
      <c r="S6" s="155">
        <v>1.0625500000000001</v>
      </c>
      <c r="T6" s="155">
        <v>2.1621899999999998</v>
      </c>
      <c r="U6" s="155">
        <v>7.9837800000000003</v>
      </c>
      <c r="V6" s="155">
        <v>1.0613217658536978</v>
      </c>
      <c r="W6" s="155">
        <v>9.7371200000000009</v>
      </c>
      <c r="X6" s="155">
        <v>1.5344333333333331</v>
      </c>
      <c r="Y6" s="155">
        <v>1.5072416666666666</v>
      </c>
      <c r="Z6" s="155">
        <v>1.0623620257443049</v>
      </c>
      <c r="AA6" s="84">
        <v>0.76982294072363355</v>
      </c>
    </row>
    <row r="7" spans="1:27">
      <c r="A7">
        <v>2003</v>
      </c>
      <c r="B7" s="155">
        <v>1.54191416666667</v>
      </c>
      <c r="C7" s="155">
        <v>0.88603399999999999</v>
      </c>
      <c r="D7" s="155">
        <v>0.88603399999999999</v>
      </c>
      <c r="E7" s="155">
        <v>0.61247200000000002</v>
      </c>
      <c r="F7" s="155">
        <v>1.4010516666666699</v>
      </c>
      <c r="G7" s="155">
        <v>28.209</v>
      </c>
      <c r="H7" s="155">
        <v>6.5876700000000001</v>
      </c>
      <c r="I7" s="155">
        <v>0.88603399999999999</v>
      </c>
      <c r="J7" s="155">
        <v>0.88603399999999999</v>
      </c>
      <c r="K7" s="155">
        <v>0.88603399999999999</v>
      </c>
      <c r="L7" s="155">
        <v>0.88534115920763023</v>
      </c>
      <c r="M7" s="12">
        <v>222.94749999999999</v>
      </c>
      <c r="N7" s="155">
        <v>0.88603399999999999</v>
      </c>
      <c r="O7" s="155">
        <v>4.1955940067072293</v>
      </c>
      <c r="P7" s="155">
        <v>0.88533869243442298</v>
      </c>
      <c r="Q7" s="12">
        <v>115.93300000000001</v>
      </c>
      <c r="R7" s="12">
        <v>1191.6099999999999</v>
      </c>
      <c r="S7" s="155">
        <v>0.88603399999999999</v>
      </c>
      <c r="T7" s="155">
        <v>1.7221</v>
      </c>
      <c r="U7" s="155">
        <v>7.0802199999999997</v>
      </c>
      <c r="V7" s="155">
        <v>0.88533790903882137</v>
      </c>
      <c r="W7" s="155">
        <v>8.0862999999999996</v>
      </c>
      <c r="X7" s="155">
        <v>1.3354333333333335</v>
      </c>
      <c r="Y7" s="155">
        <v>1.5008833333333333</v>
      </c>
      <c r="Z7" s="155">
        <v>0.88603416666666679</v>
      </c>
      <c r="AA7" s="84">
        <v>0.71225071225071235</v>
      </c>
    </row>
    <row r="8" spans="1:27">
      <c r="A8">
        <v>2004</v>
      </c>
      <c r="B8" s="155">
        <v>1.3597524999999999</v>
      </c>
      <c r="C8" s="155">
        <v>0.805365</v>
      </c>
      <c r="D8" s="155">
        <v>0.805365</v>
      </c>
      <c r="E8" s="155">
        <v>0.54618</v>
      </c>
      <c r="F8" s="155">
        <v>1.3010191666666699</v>
      </c>
      <c r="G8" s="155">
        <v>25.699750000000005</v>
      </c>
      <c r="H8" s="155">
        <v>5.9910600000000001</v>
      </c>
      <c r="I8" s="155">
        <v>0.805365</v>
      </c>
      <c r="J8" s="155">
        <v>0.805365</v>
      </c>
      <c r="K8" s="155">
        <v>0.805365</v>
      </c>
      <c r="L8" s="155">
        <v>0.80483981413548544</v>
      </c>
      <c r="M8" s="12">
        <v>200.91666666666666</v>
      </c>
      <c r="N8" s="155">
        <v>0.805365</v>
      </c>
      <c r="O8" s="155">
        <v>4.3903670450799819</v>
      </c>
      <c r="P8" s="155">
        <v>0.80484165431473931</v>
      </c>
      <c r="Q8" s="12">
        <v>108.193</v>
      </c>
      <c r="R8" s="12">
        <v>1145.32</v>
      </c>
      <c r="S8" s="155">
        <v>0.805365</v>
      </c>
      <c r="T8" s="155">
        <v>1.50868</v>
      </c>
      <c r="U8" s="155">
        <v>6.7408299999999999</v>
      </c>
      <c r="V8" s="155">
        <v>0.80484285536844047</v>
      </c>
      <c r="W8" s="155">
        <v>7.3488899999999999</v>
      </c>
      <c r="X8" s="155">
        <v>1.2373416666666668</v>
      </c>
      <c r="Y8" s="155">
        <v>1.4255416666666665</v>
      </c>
      <c r="Z8" s="155">
        <v>0.805365</v>
      </c>
      <c r="AA8" s="84">
        <v>0.67521944632005393</v>
      </c>
    </row>
    <row r="9" spans="1:27">
      <c r="A9">
        <v>2005</v>
      </c>
      <c r="B9" s="155">
        <v>1.3094733333333299</v>
      </c>
      <c r="C9" s="155">
        <v>0.80411999999999995</v>
      </c>
      <c r="D9" s="155">
        <v>0.80411999999999995</v>
      </c>
      <c r="E9" s="155">
        <v>0.54999799999999999</v>
      </c>
      <c r="F9" s="155">
        <v>1.21176333333333</v>
      </c>
      <c r="G9" s="155">
        <v>23.957416666666674</v>
      </c>
      <c r="H9" s="155">
        <v>5.9969099999999997</v>
      </c>
      <c r="I9" s="155">
        <v>0.80411999999999995</v>
      </c>
      <c r="J9" s="155">
        <v>0.80411999999999995</v>
      </c>
      <c r="K9" s="155">
        <v>0.80411999999999995</v>
      </c>
      <c r="L9" s="155">
        <v>0.80475666422108105</v>
      </c>
      <c r="M9" s="12">
        <v>199.42416666666665</v>
      </c>
      <c r="N9" s="155">
        <v>0.80411999999999995</v>
      </c>
      <c r="O9" s="155">
        <v>4.5769174092684617</v>
      </c>
      <c r="P9" s="155">
        <v>0.8047548265436465</v>
      </c>
      <c r="Q9" s="12">
        <v>110.218</v>
      </c>
      <c r="R9" s="12">
        <v>1024.1199999999999</v>
      </c>
      <c r="S9" s="155">
        <v>0.80411999999999995</v>
      </c>
      <c r="T9" s="155">
        <v>1.4202699999999999</v>
      </c>
      <c r="U9" s="155">
        <v>6.4424999999999999</v>
      </c>
      <c r="V9" s="155">
        <v>0.80474016543859861</v>
      </c>
      <c r="W9" s="155">
        <v>7.47309</v>
      </c>
      <c r="X9" s="155">
        <v>1.2456500000000001</v>
      </c>
      <c r="Y9" s="155">
        <v>1.3435808333333334</v>
      </c>
      <c r="Z9" s="155">
        <v>0.8041058333333333</v>
      </c>
      <c r="AA9" s="84">
        <v>0.67888662593346905</v>
      </c>
    </row>
    <row r="10" spans="1:27">
      <c r="A10">
        <v>2006</v>
      </c>
      <c r="B10" s="155">
        <v>1.3279734405000001</v>
      </c>
      <c r="C10" s="155">
        <v>0.79714099999999999</v>
      </c>
      <c r="D10" s="155">
        <v>0.79714099999999999</v>
      </c>
      <c r="E10" s="155">
        <v>0.54348700000000005</v>
      </c>
      <c r="F10" s="155">
        <v>1.1343633333333301</v>
      </c>
      <c r="G10" s="155">
        <v>22.595583333333334</v>
      </c>
      <c r="H10" s="155">
        <v>5.9467800000000004</v>
      </c>
      <c r="I10" s="155">
        <v>0.79714099999999999</v>
      </c>
      <c r="J10" s="155">
        <v>0.79714099999999999</v>
      </c>
      <c r="K10" s="155">
        <v>0.79714099999999999</v>
      </c>
      <c r="L10" s="155">
        <v>0.79690162631450223</v>
      </c>
      <c r="M10" s="12">
        <v>210.39000000000001</v>
      </c>
      <c r="N10" s="155">
        <v>0.79714099999999999</v>
      </c>
      <c r="O10" s="155">
        <v>4.6436445371652502</v>
      </c>
      <c r="P10" s="155">
        <v>0.79690142516281304</v>
      </c>
      <c r="Q10" s="12">
        <v>116.29900000000001</v>
      </c>
      <c r="R10" s="12">
        <v>954.79100000000005</v>
      </c>
      <c r="S10" s="155">
        <v>0.79714099999999999</v>
      </c>
      <c r="T10" s="155">
        <v>1.54206</v>
      </c>
      <c r="U10" s="155">
        <v>6.4133300000000002</v>
      </c>
      <c r="V10" s="155">
        <v>0.79690291751309206</v>
      </c>
      <c r="W10" s="155">
        <v>7.3782500000000004</v>
      </c>
      <c r="X10" s="155">
        <v>1.2538583333333333</v>
      </c>
      <c r="Y10" s="155">
        <v>1.4284533333333334</v>
      </c>
      <c r="Z10" s="155">
        <v>0.7971408333333333</v>
      </c>
      <c r="AA10" s="84">
        <v>0.67888662593346905</v>
      </c>
    </row>
    <row r="11" spans="1:27">
      <c r="A11">
        <v>2007</v>
      </c>
      <c r="B11" s="155">
        <v>1.1950725</v>
      </c>
      <c r="C11" s="155">
        <v>0.73063800000000001</v>
      </c>
      <c r="D11" s="155">
        <v>0.73063800000000001</v>
      </c>
      <c r="E11" s="155">
        <v>0.49977199999999999</v>
      </c>
      <c r="F11" s="155">
        <v>1.0740991666666699</v>
      </c>
      <c r="G11" s="155">
        <v>20.29366666666666</v>
      </c>
      <c r="H11" s="155">
        <v>5.4436999999999998</v>
      </c>
      <c r="I11" s="155">
        <v>0.73063800000000001</v>
      </c>
      <c r="J11" s="155">
        <v>0.73063800000000001</v>
      </c>
      <c r="K11" s="155">
        <v>0.73063800000000001</v>
      </c>
      <c r="L11" s="155">
        <v>0.73063749999999994</v>
      </c>
      <c r="M11" s="12">
        <v>183.62583333333336</v>
      </c>
      <c r="N11" s="155">
        <v>0.73063800000000001</v>
      </c>
      <c r="O11" s="155">
        <v>4.4847434425495853</v>
      </c>
      <c r="P11" s="155">
        <v>0.73063749999999994</v>
      </c>
      <c r="Q11" s="12">
        <v>117.754</v>
      </c>
      <c r="R11" s="12">
        <v>929.25699999999995</v>
      </c>
      <c r="S11" s="155">
        <v>0.73063800000000001</v>
      </c>
      <c r="T11" s="155">
        <v>1.3606799999999999</v>
      </c>
      <c r="U11" s="155">
        <v>5.8616700000000002</v>
      </c>
      <c r="V11" s="155">
        <v>0.73063749999999994</v>
      </c>
      <c r="W11" s="155">
        <v>6.7587700000000002</v>
      </c>
      <c r="X11" s="155">
        <v>1.2003583333333332</v>
      </c>
      <c r="Y11" s="155">
        <v>1.3032766666666669</v>
      </c>
      <c r="Z11" s="155">
        <v>0.73063749999999994</v>
      </c>
      <c r="AA11" s="84">
        <v>0.65189048239895697</v>
      </c>
    </row>
    <row r="12" spans="1:27">
      <c r="A12">
        <v>2008</v>
      </c>
      <c r="B12" s="155">
        <v>1.19217833333333</v>
      </c>
      <c r="C12" s="155">
        <v>0.68267500000000003</v>
      </c>
      <c r="D12" s="155">
        <v>0.68267500000000003</v>
      </c>
      <c r="E12" s="155">
        <v>0.54396599999999995</v>
      </c>
      <c r="F12" s="155">
        <v>1.06704</v>
      </c>
      <c r="G12" s="155">
        <v>17.071666666666665</v>
      </c>
      <c r="H12" s="155">
        <v>5.0981300000000003</v>
      </c>
      <c r="I12" s="155">
        <v>0.68267500000000003</v>
      </c>
      <c r="J12" s="155">
        <v>0.68267500000000003</v>
      </c>
      <c r="K12" s="155">
        <v>0.68267500000000003</v>
      </c>
      <c r="L12" s="155">
        <v>0.68267416666666658</v>
      </c>
      <c r="M12" s="12">
        <v>172.11333333333334</v>
      </c>
      <c r="N12" s="155">
        <v>0.68267500000000003</v>
      </c>
      <c r="O12" s="155">
        <v>3.8585877214890152</v>
      </c>
      <c r="P12" s="155">
        <v>0.68267416666666658</v>
      </c>
      <c r="Q12" s="12">
        <v>103.35899999999999</v>
      </c>
      <c r="R12" s="12">
        <v>1102.05</v>
      </c>
      <c r="S12" s="155">
        <v>0.68267500000000003</v>
      </c>
      <c r="T12" s="155">
        <v>1.4227300000000001</v>
      </c>
      <c r="U12" s="155">
        <v>5.64</v>
      </c>
      <c r="V12" s="155">
        <v>0.68267416666666658</v>
      </c>
      <c r="W12" s="155">
        <v>6.5911</v>
      </c>
      <c r="X12" s="155">
        <v>1.0830916666666666</v>
      </c>
      <c r="Y12" s="155">
        <v>1.3015216666666669</v>
      </c>
      <c r="Z12" s="155">
        <v>0.68267416666666658</v>
      </c>
      <c r="AA12" s="84">
        <v>0.63291139240506322</v>
      </c>
    </row>
    <row r="13" spans="1:27">
      <c r="A13">
        <v>2009</v>
      </c>
      <c r="B13" s="155">
        <v>1.28218881008452</v>
      </c>
      <c r="C13" s="155">
        <v>0.71984416666666673</v>
      </c>
      <c r="D13" s="155">
        <v>0.71984416666666673</v>
      </c>
      <c r="E13" s="155">
        <v>0.64191900000000002</v>
      </c>
      <c r="F13" s="155">
        <v>1.14310055659983</v>
      </c>
      <c r="G13" s="155">
        <v>19.062999999999999</v>
      </c>
      <c r="H13" s="155">
        <v>5.3608700000000002</v>
      </c>
      <c r="I13" s="155">
        <v>0.71984416666666673</v>
      </c>
      <c r="J13" s="155">
        <v>0.71984416666666673</v>
      </c>
      <c r="K13" s="155">
        <v>0.71984416666666673</v>
      </c>
      <c r="L13" s="155">
        <v>0.71984416666666673</v>
      </c>
      <c r="M13" s="12">
        <v>202.34166666666661</v>
      </c>
      <c r="N13" s="155">
        <v>0.71984416666666673</v>
      </c>
      <c r="O13" s="155">
        <v>3.9323333333333328</v>
      </c>
      <c r="P13" s="155">
        <v>0.71984416666666673</v>
      </c>
      <c r="Q13" s="12">
        <v>93.570099999999996</v>
      </c>
      <c r="R13" s="12">
        <v>1276.93</v>
      </c>
      <c r="S13" s="155">
        <v>0.71984416666666673</v>
      </c>
      <c r="T13" s="155">
        <v>1.60016</v>
      </c>
      <c r="U13" s="155">
        <v>6.2883300000000002</v>
      </c>
      <c r="V13" s="155">
        <v>0.71984416666666673</v>
      </c>
      <c r="W13" s="155">
        <v>7.6538199999999996</v>
      </c>
      <c r="X13" s="155">
        <v>1.0881416666666668</v>
      </c>
      <c r="Y13" s="155">
        <v>1.5499600000000002</v>
      </c>
      <c r="Z13" s="155">
        <v>0.71984416666666673</v>
      </c>
      <c r="AA13" s="84">
        <v>0.64935064935064934</v>
      </c>
    </row>
    <row r="14" spans="1:27">
      <c r="A14">
        <v>2010</v>
      </c>
      <c r="B14" s="156">
        <v>1.087025445453969</v>
      </c>
      <c r="C14" s="156">
        <v>0.75867129256384003</v>
      </c>
      <c r="D14" s="156">
        <v>0.75867129256384003</v>
      </c>
      <c r="E14" s="156">
        <v>0.64823856585109563</v>
      </c>
      <c r="F14" s="156">
        <v>1.0343047113494515</v>
      </c>
      <c r="G14" s="156">
        <v>19.082078234050712</v>
      </c>
      <c r="H14" s="156">
        <v>5.6240800000000002</v>
      </c>
      <c r="I14" s="156">
        <v>0.75867129256384003</v>
      </c>
      <c r="J14" s="156">
        <v>0.75867129256384003</v>
      </c>
      <c r="K14" s="156">
        <v>0.75867129256384003</v>
      </c>
      <c r="L14" s="156">
        <v>0.75867129256384003</v>
      </c>
      <c r="M14" s="83">
        <v>207.99112426035501</v>
      </c>
      <c r="N14" s="156">
        <v>0.75867129256384003</v>
      </c>
      <c r="O14" s="156">
        <v>3.7389749999999999</v>
      </c>
      <c r="P14" s="156">
        <v>0.75867129256384003</v>
      </c>
      <c r="Q14" s="83">
        <v>87.092478689771994</v>
      </c>
      <c r="R14" s="83">
        <v>1157.7636263168861</v>
      </c>
      <c r="S14" s="156">
        <v>0.75867129256384003</v>
      </c>
      <c r="T14" s="156">
        <v>1.388946762928809</v>
      </c>
      <c r="U14" s="156">
        <v>6.0463641162424917</v>
      </c>
      <c r="V14" s="156">
        <v>0.75867129256384003</v>
      </c>
      <c r="W14" s="156">
        <v>7.1962893061642301</v>
      </c>
      <c r="X14" s="156">
        <v>1.0380911833177828</v>
      </c>
      <c r="Y14" s="156">
        <v>1.5066656415199426</v>
      </c>
      <c r="Z14" s="156">
        <v>0.75867129256384003</v>
      </c>
      <c r="AA14" s="94">
        <v>0.65574129834697015</v>
      </c>
    </row>
    <row r="15" spans="1:27">
      <c r="A15">
        <v>2011</v>
      </c>
      <c r="B15" s="156">
        <v>0.96091479088091858</v>
      </c>
      <c r="C15" s="156">
        <v>0.71544109992713056</v>
      </c>
      <c r="D15" s="156">
        <v>0.71544109992713056</v>
      </c>
      <c r="E15" s="156">
        <v>0.62300910466764359</v>
      </c>
      <c r="F15" s="156">
        <v>0.98780438977906948</v>
      </c>
      <c r="G15" s="156">
        <v>17.694325925192629</v>
      </c>
      <c r="H15" s="156">
        <v>5.362177</v>
      </c>
      <c r="I15" s="156">
        <v>0.71544109992713056</v>
      </c>
      <c r="J15" s="156">
        <v>0.71544109992713056</v>
      </c>
      <c r="K15" s="156">
        <v>0.71544109992713056</v>
      </c>
      <c r="L15" s="156">
        <v>0.71544109992713056</v>
      </c>
      <c r="M15" s="83">
        <v>200.6802769461078</v>
      </c>
      <c r="N15" s="156">
        <v>0.71544109992713056</v>
      </c>
      <c r="O15" s="94">
        <v>149.72130000000001</v>
      </c>
      <c r="P15" s="156">
        <v>0.71544109992713056</v>
      </c>
      <c r="Q15" s="83">
        <v>79.602181276575308</v>
      </c>
      <c r="R15" s="83">
        <v>1104.4858705487623</v>
      </c>
      <c r="S15" s="156">
        <v>0.71544109992713056</v>
      </c>
      <c r="T15" s="156">
        <v>1.2549066711509356</v>
      </c>
      <c r="U15" s="156">
        <v>5.6082971190704045</v>
      </c>
      <c r="V15" s="156">
        <v>0.71544109992713056</v>
      </c>
      <c r="W15" s="156">
        <v>6.4979938318357267</v>
      </c>
      <c r="X15" s="156">
        <v>0.88139108431226521</v>
      </c>
      <c r="Y15" s="156">
        <v>1.6768357571389036</v>
      </c>
      <c r="Z15" s="156">
        <v>0.71544109992713056</v>
      </c>
      <c r="AA15" s="94">
        <v>0.6338694763739513</v>
      </c>
    </row>
    <row r="16" spans="1:27">
      <c r="A16">
        <v>2012</v>
      </c>
      <c r="B16" s="156">
        <v>0.96223237911955739</v>
      </c>
      <c r="C16" s="156">
        <v>0.773899446716382</v>
      </c>
      <c r="D16" s="156">
        <v>0.773899446716382</v>
      </c>
      <c r="E16" s="156">
        <v>0.62810520407345038</v>
      </c>
      <c r="F16" s="156">
        <v>0.99862080025659505</v>
      </c>
      <c r="G16" s="156">
        <v>19.579963455699321</v>
      </c>
      <c r="H16" s="156">
        <v>5.7972159999999997</v>
      </c>
      <c r="I16" s="156">
        <v>0.773899446716382</v>
      </c>
      <c r="J16" s="156">
        <v>0.773899446716382</v>
      </c>
      <c r="K16" s="156">
        <v>0.773899446716382</v>
      </c>
      <c r="L16" s="156">
        <v>0.773899446716382</v>
      </c>
      <c r="M16" s="83">
        <v>224.95987582460225</v>
      </c>
      <c r="N16" s="156">
        <v>0.773899446716382</v>
      </c>
      <c r="O16" s="94">
        <v>150.23070000000001</v>
      </c>
      <c r="P16" s="156">
        <v>0.773899446716382</v>
      </c>
      <c r="Q16" s="83">
        <v>79.938256755673166</v>
      </c>
      <c r="R16" s="83">
        <v>1120.3335738914282</v>
      </c>
      <c r="S16" s="156">
        <v>0.773899446716382</v>
      </c>
      <c r="T16" s="156">
        <v>1.2279127575976263</v>
      </c>
      <c r="U16" s="156">
        <v>5.8192827200745221</v>
      </c>
      <c r="V16" s="156">
        <v>0.773899446716382</v>
      </c>
      <c r="W16" s="156">
        <v>6.7706372944621123</v>
      </c>
      <c r="X16" s="156">
        <v>0.93197818939940669</v>
      </c>
      <c r="Y16" s="156">
        <v>1.8005576955211047</v>
      </c>
      <c r="Z16" s="156">
        <v>0.773899446716382</v>
      </c>
      <c r="AA16" s="94">
        <v>0.65320346219865244</v>
      </c>
    </row>
    <row r="17" spans="1:27">
      <c r="A17">
        <v>2013</v>
      </c>
      <c r="B17" s="156">
        <v>1.0416214574020224</v>
      </c>
      <c r="C17" s="156">
        <v>0.75166876437654617</v>
      </c>
      <c r="D17" s="156">
        <v>0.75166876437654617</v>
      </c>
      <c r="E17" s="156">
        <v>0.63984202074562735</v>
      </c>
      <c r="F17" s="156">
        <v>1.0338440171867538</v>
      </c>
      <c r="G17" s="156">
        <v>19.550178718724222</v>
      </c>
      <c r="H17" s="156">
        <v>5.617216</v>
      </c>
      <c r="I17" s="156">
        <v>0.75166876437654617</v>
      </c>
      <c r="J17" s="156">
        <v>0.75166876437654617</v>
      </c>
      <c r="K17" s="156">
        <v>0.75166876437654617</v>
      </c>
      <c r="L17" s="156">
        <v>0.75166876437654617</v>
      </c>
      <c r="M17" s="83">
        <v>223.6152866242038</v>
      </c>
      <c r="N17" s="156">
        <v>0.75166876437654617</v>
      </c>
      <c r="O17" s="94">
        <v>155.51669999999999</v>
      </c>
      <c r="P17" s="156">
        <v>0.75166876437654617</v>
      </c>
      <c r="Q17" s="83">
        <v>97.685864328805181</v>
      </c>
      <c r="R17" s="83">
        <v>1094.9411917885509</v>
      </c>
      <c r="S17" s="156">
        <v>0.75166876437654617</v>
      </c>
      <c r="T17" s="156">
        <v>1.2223514604400847</v>
      </c>
      <c r="U17" s="156">
        <v>5.8701489792164798</v>
      </c>
      <c r="V17" s="156">
        <v>0.75166876437654617</v>
      </c>
      <c r="W17" s="156">
        <v>6.5136657645058875</v>
      </c>
      <c r="X17" s="156">
        <v>0.92443904344429506</v>
      </c>
      <c r="Y17" s="156">
        <v>1.9002175508128807</v>
      </c>
      <c r="Z17" s="156">
        <v>0.75166876437654617</v>
      </c>
      <c r="AA17" s="94">
        <v>0.65821384014514117</v>
      </c>
    </row>
    <row r="18" spans="1:27">
      <c r="A18">
        <v>2014</v>
      </c>
      <c r="B18" s="156">
        <v>1.1123470522803114</v>
      </c>
      <c r="C18" s="156">
        <v>0.757387838338895</v>
      </c>
      <c r="D18" s="156">
        <v>0.757387838338895</v>
      </c>
      <c r="E18" s="156">
        <v>0.60778642936596206</v>
      </c>
      <c r="F18" s="156">
        <v>1.106664812754913</v>
      </c>
      <c r="G18" s="156">
        <v>20.754245739486297</v>
      </c>
      <c r="H18" s="156">
        <v>5.619046</v>
      </c>
      <c r="I18" s="156">
        <v>0.757387838338895</v>
      </c>
      <c r="J18" s="156">
        <v>0.757387838338895</v>
      </c>
      <c r="K18" s="156">
        <v>0.757387838338895</v>
      </c>
      <c r="L18" s="156">
        <v>0.757387838338895</v>
      </c>
      <c r="M18" s="83">
        <v>232.6727122153209</v>
      </c>
      <c r="N18" s="156">
        <v>0.757387838338895</v>
      </c>
      <c r="O18" s="94">
        <v>157.14080000000001</v>
      </c>
      <c r="P18" s="156">
        <v>0.757387838338895</v>
      </c>
      <c r="Q18" s="83">
        <v>106.1123470522803</v>
      </c>
      <c r="R18" s="83">
        <v>1052.146829810901</v>
      </c>
      <c r="S18" s="156">
        <v>0.757387838338895</v>
      </c>
      <c r="T18" s="156">
        <v>1.2099462365591398</v>
      </c>
      <c r="U18" s="156">
        <v>6.291782231543305</v>
      </c>
      <c r="V18" s="156">
        <v>0.757387838338895</v>
      </c>
      <c r="W18" s="156">
        <v>6.8536067435327919</v>
      </c>
      <c r="X18" s="156">
        <v>0.91877085650723023</v>
      </c>
      <c r="Y18" s="156">
        <v>2.1899235501180105</v>
      </c>
      <c r="Z18" s="156">
        <v>0.757387838338895</v>
      </c>
      <c r="AA18" s="94">
        <v>0.65857721529016477</v>
      </c>
    </row>
    <row r="19" spans="1:27">
      <c r="A19">
        <v>2015</v>
      </c>
      <c r="B19" s="156">
        <v>1.3396146375226059</v>
      </c>
      <c r="C19" s="156">
        <v>0.90592556207997499</v>
      </c>
      <c r="D19" s="156">
        <v>0.90592556207997499</v>
      </c>
      <c r="E19" s="156">
        <v>0.65543995177387293</v>
      </c>
      <c r="F19" s="156">
        <v>1.2875929357654781</v>
      </c>
      <c r="G19" s="156">
        <v>24.599269357634448</v>
      </c>
      <c r="H19" s="156">
        <v>6.7268670000000004</v>
      </c>
      <c r="I19" s="156">
        <v>0.90592556207997499</v>
      </c>
      <c r="J19" s="156">
        <v>0.90592556207997499</v>
      </c>
      <c r="K19" s="156">
        <v>0.90592556207997499</v>
      </c>
      <c r="L19" s="156">
        <v>0.90592556207997499</v>
      </c>
      <c r="M19" s="83">
        <v>279.47100124636478</v>
      </c>
      <c r="N19" s="156">
        <v>0.90592556207997499</v>
      </c>
      <c r="O19" s="94">
        <v>173.09389999999999</v>
      </c>
      <c r="P19" s="156">
        <v>0.90592556207997499</v>
      </c>
      <c r="Q19" s="83">
        <v>120.93817678447832</v>
      </c>
      <c r="R19" s="83">
        <v>1132.7189711759586</v>
      </c>
      <c r="S19" s="156">
        <v>0.90592556207997499</v>
      </c>
      <c r="T19" s="156">
        <v>1.4413918596083857</v>
      </c>
      <c r="U19" s="156">
        <v>8.062665178833619</v>
      </c>
      <c r="V19" s="156">
        <v>0.90592556207997499</v>
      </c>
      <c r="W19" s="156">
        <v>8.4360853883660756</v>
      </c>
      <c r="X19" s="156">
        <v>0.96298198218312514</v>
      </c>
      <c r="Y19" s="156">
        <v>2.7165485783976209</v>
      </c>
      <c r="Z19" s="156">
        <v>0.90592556207997499</v>
      </c>
      <c r="AA19" s="94">
        <v>0.71499160955052965</v>
      </c>
    </row>
    <row r="20" spans="1:27">
      <c r="A20">
        <v>2016</v>
      </c>
      <c r="B20" s="156">
        <v>1.3451557578271249</v>
      </c>
      <c r="C20" s="156">
        <v>0.90674707708863456</v>
      </c>
      <c r="D20" s="156">
        <v>0.90674707708863456</v>
      </c>
      <c r="E20" s="156">
        <v>0.74648297817484766</v>
      </c>
      <c r="F20" s="156">
        <v>1.3227140759340423</v>
      </c>
      <c r="G20" s="156">
        <v>24.441409554096197</v>
      </c>
      <c r="H20" s="156">
        <v>6.732704</v>
      </c>
      <c r="I20" s="156">
        <v>0.90674707708863456</v>
      </c>
      <c r="J20" s="156">
        <v>0.90674707708863456</v>
      </c>
      <c r="K20" s="156">
        <v>0.90674707708863456</v>
      </c>
      <c r="L20" s="156">
        <v>0.90674707708863456</v>
      </c>
      <c r="M20" s="83">
        <v>281.70309623430961</v>
      </c>
      <c r="N20" s="156">
        <v>0.90674707708863456</v>
      </c>
      <c r="O20" s="94">
        <v>175.33850000000001</v>
      </c>
      <c r="P20" s="156">
        <v>0.90674707708863456</v>
      </c>
      <c r="Q20" s="83">
        <v>108.94752771581341</v>
      </c>
      <c r="R20" s="83">
        <v>1159.6699884540794</v>
      </c>
      <c r="S20" s="156">
        <v>0.90674707708863456</v>
      </c>
      <c r="T20" s="156">
        <v>1.4356959499602058</v>
      </c>
      <c r="U20" s="156">
        <v>8.3973114450670945</v>
      </c>
      <c r="V20" s="156">
        <v>0.90674707708863456</v>
      </c>
      <c r="W20" s="156">
        <v>8.5625130357369965</v>
      </c>
      <c r="X20" s="156">
        <v>0.98837561232611049</v>
      </c>
      <c r="Y20" s="156">
        <v>3.0191416525336705</v>
      </c>
      <c r="Z20" s="156">
        <v>0.90674707708863456</v>
      </c>
      <c r="AA20" s="94">
        <v>0.71980407809977054</v>
      </c>
    </row>
    <row r="21" spans="1:27">
      <c r="A21">
        <v>2017</v>
      </c>
      <c r="B21" s="156">
        <v>1.3001365143340053</v>
      </c>
      <c r="C21" s="156">
        <v>0.88206678367895308</v>
      </c>
      <c r="D21" s="156">
        <v>0.88206678367895308</v>
      </c>
      <c r="E21" s="156">
        <v>0.77105679429673468</v>
      </c>
      <c r="F21" s="156">
        <v>1.2953043402890638</v>
      </c>
      <c r="G21" s="156">
        <v>23.32836839796828</v>
      </c>
      <c r="H21" s="156">
        <v>6.5953030000000004</v>
      </c>
      <c r="I21" s="156">
        <v>0.88206678367895308</v>
      </c>
      <c r="J21" s="156">
        <v>0.88206678367895308</v>
      </c>
      <c r="K21" s="156">
        <v>0.88206678367895308</v>
      </c>
      <c r="L21" s="156">
        <v>0.88206678367895308</v>
      </c>
      <c r="M21" s="83">
        <v>274.11899418121362</v>
      </c>
      <c r="N21" s="156">
        <v>0.88206678367895308</v>
      </c>
      <c r="O21" s="94">
        <v>183.17910000000001</v>
      </c>
      <c r="P21" s="156">
        <v>0.88206678367895308</v>
      </c>
      <c r="Q21" s="83">
        <v>111.98725866215955</v>
      </c>
      <c r="R21" s="83">
        <v>1123.8401698845046</v>
      </c>
      <c r="S21" s="156">
        <v>0.88206678367895308</v>
      </c>
      <c r="T21" s="156">
        <v>1.4052633859888624</v>
      </c>
      <c r="U21" s="156">
        <v>8.2629786700911456</v>
      </c>
      <c r="V21" s="156">
        <v>0.88206678367895308</v>
      </c>
      <c r="W21" s="156">
        <v>8.5399527119416589</v>
      </c>
      <c r="X21" s="156">
        <v>0.98284903248174427</v>
      </c>
      <c r="Y21" s="156">
        <v>3.6449677162991376</v>
      </c>
      <c r="Z21" s="156">
        <v>0.88206678367895308</v>
      </c>
      <c r="AA21" s="94">
        <v>0.72151626761192811</v>
      </c>
    </row>
    <row r="22" spans="1:27">
      <c r="B22" s="156"/>
      <c r="C22" s="156"/>
      <c r="D22" s="156"/>
      <c r="E22" s="156"/>
      <c r="F22" s="156"/>
      <c r="G22" s="156"/>
      <c r="H22" s="156"/>
      <c r="I22" s="156"/>
      <c r="J22" s="156"/>
      <c r="K22" s="156"/>
      <c r="L22" s="156"/>
      <c r="M22" s="83"/>
      <c r="N22" s="156"/>
      <c r="O22" s="94"/>
      <c r="P22" s="156"/>
      <c r="Q22" s="83"/>
      <c r="R22" s="83"/>
      <c r="S22" s="156"/>
      <c r="T22" s="156"/>
      <c r="U22" s="156"/>
      <c r="V22" s="156"/>
      <c r="W22" s="156"/>
      <c r="X22" s="156"/>
      <c r="Y22" s="156"/>
      <c r="Z22" s="156"/>
      <c r="AA22" s="94"/>
    </row>
    <row r="23" spans="1:27">
      <c r="A23" s="3" t="s">
        <v>690</v>
      </c>
      <c r="B23" s="156"/>
      <c r="C23" s="156"/>
      <c r="D23" s="156"/>
      <c r="E23" s="156"/>
      <c r="F23" s="156"/>
      <c r="G23" s="156"/>
      <c r="H23" s="156"/>
      <c r="I23" s="156"/>
      <c r="J23" s="156"/>
      <c r="K23" s="156"/>
      <c r="L23" s="156"/>
      <c r="M23" s="83"/>
      <c r="N23" s="156"/>
      <c r="O23" s="94"/>
      <c r="P23" s="156"/>
      <c r="Q23" s="83"/>
      <c r="R23" s="83"/>
      <c r="S23" s="156"/>
      <c r="T23" s="156"/>
      <c r="U23" s="156"/>
      <c r="V23" s="156"/>
      <c r="W23" s="156"/>
      <c r="X23" s="156"/>
      <c r="Y23" s="156"/>
      <c r="Z23" s="156"/>
      <c r="AA23" s="94"/>
    </row>
    <row r="24" spans="1:27">
      <c r="B24" s="156"/>
      <c r="C24" s="156"/>
      <c r="D24" s="156"/>
      <c r="E24" s="156"/>
      <c r="F24" s="156"/>
      <c r="G24" s="156"/>
      <c r="H24" s="156"/>
      <c r="I24" s="156"/>
      <c r="J24" s="156"/>
      <c r="K24" s="156"/>
      <c r="L24" s="156"/>
      <c r="M24" s="83"/>
      <c r="N24" s="156"/>
      <c r="O24" s="94"/>
      <c r="P24" s="156"/>
      <c r="Q24" s="83"/>
      <c r="R24" s="83"/>
      <c r="S24" s="156"/>
      <c r="T24" s="156"/>
      <c r="U24" s="156"/>
      <c r="V24" s="156"/>
      <c r="W24" s="156"/>
      <c r="X24" s="156"/>
      <c r="Y24" s="156"/>
      <c r="Z24" s="156"/>
      <c r="AA24" s="94"/>
    </row>
    <row r="25" spans="1:27">
      <c r="B25" s="164" t="s">
        <v>666</v>
      </c>
      <c r="C25" s="164" t="s">
        <v>667</v>
      </c>
      <c r="D25" s="164" t="s">
        <v>667</v>
      </c>
      <c r="E25" s="164" t="s">
        <v>669</v>
      </c>
      <c r="F25" s="22"/>
      <c r="G25" s="164" t="s">
        <v>671</v>
      </c>
      <c r="H25" s="164" t="s">
        <v>667</v>
      </c>
      <c r="I25" s="164" t="s">
        <v>667</v>
      </c>
      <c r="J25" s="164" t="s">
        <v>667</v>
      </c>
      <c r="K25" s="164" t="s">
        <v>704</v>
      </c>
      <c r="L25" s="164" t="s">
        <v>667</v>
      </c>
      <c r="M25" s="164" t="s">
        <v>667</v>
      </c>
      <c r="N25" s="165" t="s">
        <v>674</v>
      </c>
      <c r="O25" s="165" t="s">
        <v>675</v>
      </c>
      <c r="P25" s="164" t="s">
        <v>667</v>
      </c>
      <c r="Q25" s="164" t="s">
        <v>676</v>
      </c>
      <c r="R25" s="164" t="s">
        <v>671</v>
      </c>
      <c r="S25" s="164" t="s">
        <v>667</v>
      </c>
      <c r="T25" s="164" t="s">
        <v>677</v>
      </c>
      <c r="U25" s="164" t="s">
        <v>678</v>
      </c>
      <c r="V25" s="164" t="s">
        <v>668</v>
      </c>
      <c r="W25" s="164" t="s">
        <v>705</v>
      </c>
      <c r="X25" s="164" t="s">
        <v>706</v>
      </c>
    </row>
    <row r="26" spans="1:27">
      <c r="B26" s="22" t="s">
        <v>255</v>
      </c>
      <c r="C26" s="22" t="s">
        <v>539</v>
      </c>
      <c r="D26" s="22" t="s">
        <v>540</v>
      </c>
      <c r="E26" s="22" t="s">
        <v>238</v>
      </c>
      <c r="F26" s="22" t="s">
        <v>239</v>
      </c>
      <c r="G26" s="22" t="s">
        <v>541</v>
      </c>
      <c r="H26" s="22" t="s">
        <v>542</v>
      </c>
      <c r="I26" s="22" t="s">
        <v>240</v>
      </c>
      <c r="J26" s="22" t="s">
        <v>241</v>
      </c>
      <c r="K26" s="22" t="s">
        <v>242</v>
      </c>
      <c r="L26" s="22" t="s">
        <v>544</v>
      </c>
      <c r="M26" s="22" t="s">
        <v>538</v>
      </c>
      <c r="N26" s="22" t="s">
        <v>243</v>
      </c>
      <c r="O26" s="22" t="s">
        <v>244</v>
      </c>
      <c r="P26" s="22" t="s">
        <v>245</v>
      </c>
      <c r="Q26" s="22" t="s">
        <v>331</v>
      </c>
      <c r="R26" s="22" t="s">
        <v>246</v>
      </c>
      <c r="S26" s="22" t="s">
        <v>545</v>
      </c>
      <c r="T26" s="22" t="s">
        <v>247</v>
      </c>
      <c r="U26" s="22" t="s">
        <v>546</v>
      </c>
      <c r="V26" s="22" t="s">
        <v>248</v>
      </c>
      <c r="W26" s="22" t="s">
        <v>249</v>
      </c>
      <c r="X26" s="22" t="s">
        <v>687</v>
      </c>
    </row>
    <row r="27" spans="1:27">
      <c r="A27">
        <v>2000</v>
      </c>
      <c r="B27" s="84">
        <v>1.7248266666666701</v>
      </c>
      <c r="C27" s="84">
        <v>1.0853999999999999</v>
      </c>
      <c r="D27" s="84">
        <v>1.0853999999999999</v>
      </c>
      <c r="E27" s="84">
        <v>1.4851099999999999</v>
      </c>
      <c r="F27" s="13"/>
      <c r="G27" s="13">
        <v>8.0831400000000002</v>
      </c>
      <c r="H27" s="84">
        <v>1.0853999999999999</v>
      </c>
      <c r="I27" s="84">
        <v>1.0853999999999999</v>
      </c>
      <c r="J27" s="84">
        <v>1.0853999999999999</v>
      </c>
      <c r="K27" s="13">
        <v>44.997500000000002</v>
      </c>
      <c r="L27" s="84">
        <v>1.0853999999999999</v>
      </c>
      <c r="M27" s="84">
        <v>1.0853999999999999</v>
      </c>
      <c r="N27" s="84">
        <v>107.765</v>
      </c>
      <c r="O27" s="84">
        <v>1130.96</v>
      </c>
      <c r="P27" s="84">
        <v>1.0853999999999999</v>
      </c>
      <c r="Q27" s="84">
        <v>2.2011500000000002</v>
      </c>
      <c r="R27" s="84">
        <v>8.8018400000000003</v>
      </c>
      <c r="S27" s="84">
        <v>1.0853999999999999</v>
      </c>
      <c r="T27" s="84">
        <v>9.1622400000000006</v>
      </c>
      <c r="U27" s="84">
        <v>1.6923750000000002</v>
      </c>
      <c r="V27" s="84">
        <v>0.66093100000000005</v>
      </c>
      <c r="W27" s="84">
        <v>1</v>
      </c>
      <c r="X27" s="166">
        <v>0.75930144267274113</v>
      </c>
    </row>
    <row r="28" spans="1:27">
      <c r="A28">
        <v>2001</v>
      </c>
      <c r="B28" s="155">
        <v>1.9334425</v>
      </c>
      <c r="C28" s="155">
        <v>1.11751</v>
      </c>
      <c r="D28" s="155">
        <v>1.11751</v>
      </c>
      <c r="E28" s="155">
        <v>1.54876083333333</v>
      </c>
      <c r="F28" s="155"/>
      <c r="G28" s="155">
        <v>8.3228200000000001</v>
      </c>
      <c r="H28" s="155">
        <v>1.11751</v>
      </c>
      <c r="I28" s="155">
        <v>1.11751</v>
      </c>
      <c r="J28" s="155">
        <v>1.11751</v>
      </c>
      <c r="K28" s="155">
        <v>47.22</v>
      </c>
      <c r="L28" s="155">
        <v>1.11751</v>
      </c>
      <c r="M28" s="155">
        <v>1.11751</v>
      </c>
      <c r="N28" s="12">
        <v>121.529</v>
      </c>
      <c r="O28" s="12">
        <v>1290.99</v>
      </c>
      <c r="P28" s="155">
        <v>1.11751</v>
      </c>
      <c r="Q28" s="155">
        <v>2.3787500000000001</v>
      </c>
      <c r="R28" s="155">
        <v>8.9916499999999999</v>
      </c>
      <c r="S28" s="155">
        <v>1.11751</v>
      </c>
      <c r="T28" s="155">
        <v>10.3291</v>
      </c>
      <c r="U28" s="155">
        <v>1.6906666666666663</v>
      </c>
      <c r="V28" s="155">
        <v>0.69465500000000002</v>
      </c>
      <c r="W28" s="156">
        <v>1</v>
      </c>
      <c r="X28" s="166">
        <v>0.78678206136900086</v>
      </c>
    </row>
    <row r="29" spans="1:27">
      <c r="A29">
        <v>2002</v>
      </c>
      <c r="B29" s="155">
        <v>1.8405625000000001</v>
      </c>
      <c r="C29" s="155">
        <v>1.0625500000000001</v>
      </c>
      <c r="D29" s="155">
        <v>1.0625500000000001</v>
      </c>
      <c r="E29" s="155">
        <v>1.56931833333333</v>
      </c>
      <c r="F29" s="155"/>
      <c r="G29" s="155">
        <v>7.8947099999999999</v>
      </c>
      <c r="H29" s="155">
        <v>1.0625500000000001</v>
      </c>
      <c r="I29" s="155">
        <v>1.0625500000000001</v>
      </c>
      <c r="J29" s="155">
        <v>1.0625500000000001</v>
      </c>
      <c r="K29" s="155">
        <v>48.625700000000002</v>
      </c>
      <c r="L29" s="155">
        <v>1.0625500000000001</v>
      </c>
      <c r="M29" s="155">
        <v>1.0625500000000001</v>
      </c>
      <c r="N29" s="12">
        <v>125.38800000000001</v>
      </c>
      <c r="O29" s="12">
        <v>1251.0899999999999</v>
      </c>
      <c r="P29" s="155">
        <v>1.0625500000000001</v>
      </c>
      <c r="Q29" s="155">
        <v>2.1621899999999998</v>
      </c>
      <c r="R29" s="155">
        <v>7.9837800000000003</v>
      </c>
      <c r="S29" s="155">
        <v>1.0625500000000001</v>
      </c>
      <c r="T29" s="155">
        <v>9.7371200000000009</v>
      </c>
      <c r="U29" s="155">
        <v>1.5344333333333331</v>
      </c>
      <c r="V29" s="155">
        <v>0.66722300000000001</v>
      </c>
      <c r="W29" s="156">
        <v>1</v>
      </c>
      <c r="X29">
        <v>0.76982294072363355</v>
      </c>
    </row>
    <row r="30" spans="1:27">
      <c r="A30">
        <v>2003</v>
      </c>
      <c r="B30" s="155">
        <v>1.54191416666667</v>
      </c>
      <c r="C30" s="155">
        <v>0.88603399999999999</v>
      </c>
      <c r="D30" s="155">
        <v>0.88603399999999999</v>
      </c>
      <c r="E30" s="155">
        <v>1.4010516666666699</v>
      </c>
      <c r="F30" s="155"/>
      <c r="G30" s="155">
        <v>6.5876700000000001</v>
      </c>
      <c r="H30" s="155">
        <v>0.88603399999999999</v>
      </c>
      <c r="I30" s="155">
        <v>0.88603399999999999</v>
      </c>
      <c r="J30" s="155">
        <v>0.88603399999999999</v>
      </c>
      <c r="K30" s="155">
        <v>46.590800000000002</v>
      </c>
      <c r="L30" s="155">
        <v>0.88603399999999999</v>
      </c>
      <c r="M30" s="155">
        <v>0.88603399999999999</v>
      </c>
      <c r="N30" s="12">
        <v>115.93300000000001</v>
      </c>
      <c r="O30" s="12">
        <v>1191.6099999999999</v>
      </c>
      <c r="P30" s="155">
        <v>0.88603399999999999</v>
      </c>
      <c r="Q30" s="155">
        <v>1.7221</v>
      </c>
      <c r="R30" s="155">
        <v>7.0802199999999997</v>
      </c>
      <c r="S30" s="155">
        <v>0.88603399999999999</v>
      </c>
      <c r="T30" s="155">
        <v>8.0862999999999996</v>
      </c>
      <c r="U30" s="155">
        <v>1.3354333333333335</v>
      </c>
      <c r="V30" s="155">
        <v>0.61247200000000002</v>
      </c>
      <c r="W30" s="156">
        <v>1</v>
      </c>
      <c r="X30">
        <v>0.71225071225071235</v>
      </c>
    </row>
    <row r="31" spans="1:27">
      <c r="A31">
        <v>2004</v>
      </c>
      <c r="B31" s="155">
        <v>1.3597524999999999</v>
      </c>
      <c r="C31" s="155">
        <v>0.805365</v>
      </c>
      <c r="D31" s="155">
        <v>0.805365</v>
      </c>
      <c r="E31" s="155">
        <v>1.3010191666666699</v>
      </c>
      <c r="F31" s="155"/>
      <c r="G31" s="155">
        <v>5.9910600000000001</v>
      </c>
      <c r="H31" s="155">
        <v>0.805365</v>
      </c>
      <c r="I31" s="155">
        <v>0.805365</v>
      </c>
      <c r="J31" s="155">
        <v>0.805365</v>
      </c>
      <c r="K31" s="155">
        <v>45.261000000000003</v>
      </c>
      <c r="L31" s="155">
        <v>0.805365</v>
      </c>
      <c r="M31" s="155">
        <v>0.805365</v>
      </c>
      <c r="N31" s="12">
        <v>108.193</v>
      </c>
      <c r="O31" s="12">
        <v>1145.32</v>
      </c>
      <c r="P31" s="155">
        <v>0.805365</v>
      </c>
      <c r="Q31" s="155">
        <v>1.50868</v>
      </c>
      <c r="R31" s="155">
        <v>6.7408299999999999</v>
      </c>
      <c r="S31" s="155">
        <v>0.805365</v>
      </c>
      <c r="T31" s="155">
        <v>7.3488899999999999</v>
      </c>
      <c r="U31" s="155">
        <v>1.2373416666666668</v>
      </c>
      <c r="V31" s="155">
        <v>0.54618</v>
      </c>
      <c r="W31" s="156">
        <v>1</v>
      </c>
      <c r="X31">
        <v>0.67521944632005393</v>
      </c>
    </row>
    <row r="32" spans="1:27">
      <c r="A32">
        <v>2005</v>
      </c>
      <c r="B32" s="155">
        <v>1.3094733333333299</v>
      </c>
      <c r="C32" s="155">
        <v>0.80411999999999995</v>
      </c>
      <c r="D32" s="155">
        <v>0.80411999999999995</v>
      </c>
      <c r="E32" s="155">
        <v>1.21176333333333</v>
      </c>
      <c r="F32" s="155"/>
      <c r="G32" s="155">
        <v>5.9969099999999997</v>
      </c>
      <c r="H32" s="155">
        <v>0.80411999999999995</v>
      </c>
      <c r="I32" s="155">
        <v>0.80411999999999995</v>
      </c>
      <c r="J32" s="155">
        <v>0.80411999999999995</v>
      </c>
      <c r="K32" s="155">
        <v>44.0002</v>
      </c>
      <c r="L32" s="155">
        <v>0.80411999999999995</v>
      </c>
      <c r="M32" s="155">
        <v>0.80411999999999995</v>
      </c>
      <c r="N32" s="12">
        <v>110.218</v>
      </c>
      <c r="O32" s="12">
        <v>1024.1199999999999</v>
      </c>
      <c r="P32" s="155">
        <v>0.80411999999999995</v>
      </c>
      <c r="Q32" s="155">
        <v>1.4202699999999999</v>
      </c>
      <c r="R32" s="155">
        <v>6.4424999999999999</v>
      </c>
      <c r="S32" s="155">
        <v>0.80411999999999995</v>
      </c>
      <c r="T32" s="155">
        <v>7.47309</v>
      </c>
      <c r="U32" s="155">
        <v>1.2456500000000001</v>
      </c>
      <c r="V32" s="155">
        <v>0.54999799999999999</v>
      </c>
      <c r="W32" s="156">
        <v>1</v>
      </c>
      <c r="X32">
        <v>0.67888662593346905</v>
      </c>
    </row>
    <row r="33" spans="1:24">
      <c r="A33">
        <v>2006</v>
      </c>
      <c r="B33" s="155">
        <v>1.3279734405000001</v>
      </c>
      <c r="C33" s="155">
        <v>0.79714099999999999</v>
      </c>
      <c r="D33" s="155">
        <v>0.79714099999999999</v>
      </c>
      <c r="E33" s="155">
        <v>1.1343633333333301</v>
      </c>
      <c r="F33" s="155"/>
      <c r="G33" s="155">
        <v>5.9467800000000004</v>
      </c>
      <c r="H33" s="155">
        <v>0.79714099999999999</v>
      </c>
      <c r="I33" s="155">
        <v>0.79714099999999999</v>
      </c>
      <c r="J33" s="155">
        <v>0.79714099999999999</v>
      </c>
      <c r="K33" s="155">
        <v>45.186100000000003</v>
      </c>
      <c r="L33" s="155">
        <v>0.79714099999999999</v>
      </c>
      <c r="M33" s="155">
        <v>0.79714099999999999</v>
      </c>
      <c r="N33" s="12">
        <v>116.29900000000001</v>
      </c>
      <c r="O33" s="12">
        <v>954.79100000000005</v>
      </c>
      <c r="P33" s="155">
        <v>0.79714099999999999</v>
      </c>
      <c r="Q33" s="155">
        <v>1.54206</v>
      </c>
      <c r="R33" s="155">
        <v>6.4133300000000002</v>
      </c>
      <c r="S33" s="155">
        <v>0.79714099999999999</v>
      </c>
      <c r="T33" s="155">
        <v>7.3782500000000004</v>
      </c>
      <c r="U33" s="155">
        <v>1.2538583333333333</v>
      </c>
      <c r="V33" s="155">
        <v>0.54348700000000005</v>
      </c>
      <c r="W33" s="156">
        <v>1</v>
      </c>
      <c r="X33">
        <v>0.67888662593346905</v>
      </c>
    </row>
    <row r="34" spans="1:24">
      <c r="A34">
        <v>2007</v>
      </c>
      <c r="B34" s="155">
        <v>1.1950725</v>
      </c>
      <c r="C34" s="155">
        <v>0.73063800000000001</v>
      </c>
      <c r="D34" s="155">
        <v>0.73063800000000001</v>
      </c>
      <c r="E34" s="155">
        <v>1.0740991666666699</v>
      </c>
      <c r="F34" s="155"/>
      <c r="G34" s="155">
        <v>5.4436999999999998</v>
      </c>
      <c r="H34" s="155">
        <v>0.73063800000000001</v>
      </c>
      <c r="I34" s="155">
        <v>0.73063800000000001</v>
      </c>
      <c r="J34" s="155">
        <v>0.73063800000000001</v>
      </c>
      <c r="K34" s="155">
        <v>41.177399999999999</v>
      </c>
      <c r="L34" s="155">
        <v>0.73063800000000001</v>
      </c>
      <c r="M34" s="155">
        <v>0.73063800000000001</v>
      </c>
      <c r="N34" s="12">
        <v>117.754</v>
      </c>
      <c r="O34" s="12">
        <v>929.25699999999995</v>
      </c>
      <c r="P34" s="155">
        <v>0.73063800000000001</v>
      </c>
      <c r="Q34" s="155">
        <v>1.3606799999999999</v>
      </c>
      <c r="R34" s="155">
        <v>5.8616700000000002</v>
      </c>
      <c r="S34" s="155">
        <v>0.73063800000000001</v>
      </c>
      <c r="T34" s="155">
        <v>6.7587700000000002</v>
      </c>
      <c r="U34" s="155">
        <v>1.2003583333333332</v>
      </c>
      <c r="V34" s="155">
        <v>0.49977199999999999</v>
      </c>
      <c r="W34" s="156">
        <v>1</v>
      </c>
      <c r="X34">
        <v>0.65189048239895697</v>
      </c>
    </row>
    <row r="35" spans="1:24">
      <c r="A35">
        <v>2008</v>
      </c>
      <c r="B35" s="155">
        <v>1.19217833333333</v>
      </c>
      <c r="C35" s="155">
        <v>0.68267500000000003</v>
      </c>
      <c r="D35" s="155">
        <v>0.68267500000000003</v>
      </c>
      <c r="E35" s="155">
        <v>1.06704</v>
      </c>
      <c r="F35" s="155"/>
      <c r="G35" s="155">
        <v>5.0981300000000003</v>
      </c>
      <c r="H35" s="155">
        <v>0.68267500000000003</v>
      </c>
      <c r="I35" s="155">
        <v>0.68267500000000003</v>
      </c>
      <c r="J35" s="155">
        <v>0.68267500000000003</v>
      </c>
      <c r="K35" s="155">
        <v>43.385899999999999</v>
      </c>
      <c r="L35" s="155">
        <v>0.68267500000000003</v>
      </c>
      <c r="M35" s="155">
        <v>0.68267416666666658</v>
      </c>
      <c r="N35" s="12">
        <v>103.35899999999999</v>
      </c>
      <c r="O35" s="12">
        <v>1102.05</v>
      </c>
      <c r="P35" s="155">
        <v>0.68267500000000003</v>
      </c>
      <c r="Q35" s="155">
        <v>1.4227300000000001</v>
      </c>
      <c r="R35" s="155">
        <v>5.64</v>
      </c>
      <c r="S35" s="155">
        <v>0.68267416666666658</v>
      </c>
      <c r="T35" s="155">
        <v>6.5911</v>
      </c>
      <c r="U35" s="155">
        <v>1.0830916666666666</v>
      </c>
      <c r="V35" s="155">
        <v>0.54396599999999995</v>
      </c>
      <c r="W35" s="156">
        <v>1</v>
      </c>
      <c r="X35">
        <v>0.63291139240506322</v>
      </c>
    </row>
    <row r="36" spans="1:24">
      <c r="A36">
        <v>2009</v>
      </c>
      <c r="B36" s="155">
        <v>1.28218881008452</v>
      </c>
      <c r="C36" s="155">
        <v>0.71984416666666673</v>
      </c>
      <c r="D36" s="155">
        <v>0.71984416666666673</v>
      </c>
      <c r="E36" s="155">
        <v>1.14310055659983</v>
      </c>
      <c r="F36" s="155"/>
      <c r="G36" s="155">
        <v>5.3608700000000002</v>
      </c>
      <c r="H36" s="155">
        <v>0.71984416666666673</v>
      </c>
      <c r="I36" s="155">
        <v>0.71984416666666673</v>
      </c>
      <c r="J36" s="155">
        <v>0.71984416666666673</v>
      </c>
      <c r="K36" s="155">
        <v>48.3324</v>
      </c>
      <c r="L36" s="155">
        <v>0.71984416666666673</v>
      </c>
      <c r="M36" s="155">
        <v>0.71984416666666673</v>
      </c>
      <c r="N36" s="12">
        <v>93.570099999999996</v>
      </c>
      <c r="O36" s="12">
        <v>1276.93</v>
      </c>
      <c r="P36" s="155">
        <v>0.71984416666666673</v>
      </c>
      <c r="Q36" s="155">
        <v>1.6</v>
      </c>
      <c r="R36" s="155">
        <v>6.2883300000000002</v>
      </c>
      <c r="S36" s="155">
        <v>0.71984416666666673</v>
      </c>
      <c r="T36" s="155">
        <v>7.6538199999999996</v>
      </c>
      <c r="U36" s="155">
        <v>1.0881416666666668</v>
      </c>
      <c r="V36" s="155">
        <v>0.64191900000000002</v>
      </c>
      <c r="W36" s="156">
        <v>1</v>
      </c>
      <c r="X36">
        <v>0.64935064935064934</v>
      </c>
    </row>
    <row r="37" spans="1:24">
      <c r="A37">
        <v>2010</v>
      </c>
      <c r="B37" s="155">
        <v>1.087025445453969</v>
      </c>
      <c r="C37" s="155">
        <v>0.75867129256384003</v>
      </c>
      <c r="D37" s="155">
        <v>0.75867129256384003</v>
      </c>
      <c r="E37" s="155">
        <v>1.0343047113494515</v>
      </c>
      <c r="F37" s="155">
        <v>6.6230000000000002</v>
      </c>
      <c r="G37" s="155">
        <v>5.6240800000000002</v>
      </c>
      <c r="H37" s="155">
        <v>0.75867129256384003</v>
      </c>
      <c r="I37" s="155">
        <v>0.75867129256384003</v>
      </c>
      <c r="J37" s="155">
        <v>0.75867129256384003</v>
      </c>
      <c r="K37" s="155">
        <v>45.650700000000001</v>
      </c>
      <c r="L37" s="155">
        <v>0.75867129256384003</v>
      </c>
      <c r="M37" s="155">
        <v>0.75867129256384003</v>
      </c>
      <c r="N37" s="12">
        <v>87.092478689771994</v>
      </c>
      <c r="O37" s="12">
        <v>1157.7636263168861</v>
      </c>
      <c r="P37" s="155">
        <v>0.75867129256384003</v>
      </c>
      <c r="Q37" s="155">
        <v>1.388946762928809</v>
      </c>
      <c r="R37" s="155">
        <v>6.0463641162424917</v>
      </c>
      <c r="S37" s="155">
        <v>0.75867129256384003</v>
      </c>
      <c r="T37" s="155">
        <v>7.1962893061642301</v>
      </c>
      <c r="U37" s="155">
        <v>1.0380911833177828</v>
      </c>
      <c r="V37" s="155">
        <v>0.64823856585109563</v>
      </c>
      <c r="W37" s="156">
        <v>1</v>
      </c>
      <c r="X37">
        <v>0.65574129834697015</v>
      </c>
    </row>
    <row r="38" spans="1:24">
      <c r="A38">
        <v>2011</v>
      </c>
      <c r="B38" s="155">
        <v>0.96091479088091858</v>
      </c>
      <c r="C38" s="155">
        <v>0.71544109992713056</v>
      </c>
      <c r="D38" s="155">
        <v>0.71544109992713056</v>
      </c>
      <c r="E38" s="155">
        <v>0.98780438977906948</v>
      </c>
      <c r="F38" s="155">
        <v>6.3010000000000002</v>
      </c>
      <c r="G38" s="155">
        <v>5.362177</v>
      </c>
      <c r="H38" s="155">
        <v>0.71544109992713056</v>
      </c>
      <c r="I38" s="155">
        <v>0.71544109992713056</v>
      </c>
      <c r="J38" s="155">
        <v>0.71544109992713056</v>
      </c>
      <c r="K38" s="155">
        <v>46.578200000000002</v>
      </c>
      <c r="L38" s="155">
        <v>0.71544109992713056</v>
      </c>
      <c r="M38" s="155">
        <v>0.71544109992713056</v>
      </c>
      <c r="N38" s="12">
        <v>79.602181276575308</v>
      </c>
      <c r="O38" s="12">
        <v>1104.4858705487623</v>
      </c>
      <c r="P38" s="155">
        <v>0.71544109992713056</v>
      </c>
      <c r="Q38" s="155">
        <v>1.2549066711509356</v>
      </c>
      <c r="R38" s="155">
        <v>5.6082971190704045</v>
      </c>
      <c r="S38" s="155">
        <v>0.71544109992713056</v>
      </c>
      <c r="T38" s="155">
        <v>6.4979938318357267</v>
      </c>
      <c r="U38" s="155">
        <v>0.88139108431226521</v>
      </c>
      <c r="V38" s="155">
        <v>0.62300910466764359</v>
      </c>
      <c r="W38" s="156">
        <v>1</v>
      </c>
      <c r="X38">
        <v>0.6338694763739513</v>
      </c>
    </row>
    <row r="39" spans="1:24">
      <c r="A39">
        <v>2012</v>
      </c>
      <c r="B39" s="155">
        <v>0.96223237911955739</v>
      </c>
      <c r="C39" s="155">
        <v>0.773899446716382</v>
      </c>
      <c r="D39" s="155">
        <v>0.773899446716382</v>
      </c>
      <c r="E39" s="155">
        <v>0.99862080025659505</v>
      </c>
      <c r="F39" s="155">
        <v>6.29</v>
      </c>
      <c r="G39" s="155">
        <v>5.7972159999999997</v>
      </c>
      <c r="H39" s="155">
        <v>0.773899446716382</v>
      </c>
      <c r="I39" s="155">
        <v>0.773899446716382</v>
      </c>
      <c r="J39" s="155">
        <v>0.773899446716382</v>
      </c>
      <c r="K39" s="155">
        <v>53.374299999999998</v>
      </c>
      <c r="L39" s="155">
        <v>0.773899446716382</v>
      </c>
      <c r="M39" s="155">
        <v>0.773899446716382</v>
      </c>
      <c r="N39" s="12">
        <v>79.938256755673166</v>
      </c>
      <c r="O39" s="12">
        <v>1120.3335738914282</v>
      </c>
      <c r="P39" s="155">
        <v>0.773899446716382</v>
      </c>
      <c r="Q39" s="155">
        <v>1.2279127575976263</v>
      </c>
      <c r="R39" s="155">
        <v>5.8192827200745221</v>
      </c>
      <c r="S39" s="155">
        <v>0.773899446716382</v>
      </c>
      <c r="T39" s="155">
        <v>6.7706372944621123</v>
      </c>
      <c r="U39" s="155">
        <v>0.93197818939940669</v>
      </c>
      <c r="V39" s="155">
        <v>0.62810520407345038</v>
      </c>
      <c r="W39" s="156">
        <v>1</v>
      </c>
      <c r="X39">
        <v>0.65320346219865244</v>
      </c>
    </row>
    <row r="40" spans="1:24">
      <c r="A40">
        <v>2013</v>
      </c>
      <c r="B40" s="155">
        <v>1.0416214574020224</v>
      </c>
      <c r="C40" s="155">
        <v>0.75166876437654617</v>
      </c>
      <c r="D40" s="155">
        <v>0.75166876437654617</v>
      </c>
      <c r="E40" s="155">
        <v>1.0338440171867538</v>
      </c>
      <c r="F40" s="155">
        <v>6.1029999999999998</v>
      </c>
      <c r="G40" s="155">
        <v>5.617216</v>
      </c>
      <c r="H40" s="155">
        <v>0.75166876437654617</v>
      </c>
      <c r="I40" s="155">
        <v>0.75166876437654617</v>
      </c>
      <c r="J40" s="155">
        <v>0.75166876437654617</v>
      </c>
      <c r="K40" s="155">
        <v>58.514899999999997</v>
      </c>
      <c r="L40" s="155">
        <v>0.75166876437654617</v>
      </c>
      <c r="M40" s="155">
        <v>0.75166876437654617</v>
      </c>
      <c r="N40" s="12">
        <v>97.685864328805181</v>
      </c>
      <c r="O40" s="12">
        <v>1094.9411917885509</v>
      </c>
      <c r="P40" s="155">
        <v>0.75166876437654617</v>
      </c>
      <c r="Q40" s="155">
        <v>1.2223514604400847</v>
      </c>
      <c r="R40" s="155">
        <v>5.8701489792164798</v>
      </c>
      <c r="S40" s="155">
        <v>0.75166876437654617</v>
      </c>
      <c r="T40" s="155">
        <v>6.5136657645058875</v>
      </c>
      <c r="U40" s="155">
        <v>0.92443904344429506</v>
      </c>
      <c r="V40" s="155">
        <v>0.63984202074562735</v>
      </c>
      <c r="W40" s="156">
        <v>1</v>
      </c>
      <c r="X40">
        <v>0.65821384014514117</v>
      </c>
    </row>
    <row r="41" spans="1:24">
      <c r="A41">
        <v>2014</v>
      </c>
      <c r="B41" s="155">
        <v>1.1123470522803114</v>
      </c>
      <c r="C41" s="155">
        <v>0.757387838338895</v>
      </c>
      <c r="D41" s="155">
        <v>0.757387838338895</v>
      </c>
      <c r="E41" s="155">
        <v>1.106664812754913</v>
      </c>
      <c r="F41" s="155">
        <v>6.1189999999999998</v>
      </c>
      <c r="G41" s="155">
        <v>5.619046</v>
      </c>
      <c r="H41" s="155">
        <v>0.757387838338895</v>
      </c>
      <c r="I41" s="155">
        <v>0.757387838338895</v>
      </c>
      <c r="J41" s="155">
        <v>0.757387838338895</v>
      </c>
      <c r="K41" s="155">
        <v>60.9953</v>
      </c>
      <c r="L41" s="155">
        <v>0.757387838338895</v>
      </c>
      <c r="M41" s="155">
        <v>0.757387838338895</v>
      </c>
      <c r="N41" s="12">
        <v>106.1123470522803</v>
      </c>
      <c r="O41" s="12">
        <v>1052.146829810901</v>
      </c>
      <c r="P41" s="155">
        <v>0.757387838338895</v>
      </c>
      <c r="Q41" s="155">
        <v>1.2099462365591398</v>
      </c>
      <c r="R41" s="155">
        <v>6.291782231543305</v>
      </c>
      <c r="S41" s="155">
        <v>0.757387838338895</v>
      </c>
      <c r="T41" s="155">
        <v>6.8536067435327919</v>
      </c>
      <c r="U41" s="155">
        <v>0.91877085650723023</v>
      </c>
      <c r="V41" s="155">
        <v>0.60778642936596206</v>
      </c>
      <c r="W41" s="156">
        <v>1</v>
      </c>
      <c r="X41">
        <v>0.65857721529016477</v>
      </c>
    </row>
    <row r="42" spans="1:24">
      <c r="A42">
        <v>2015</v>
      </c>
      <c r="B42" s="155">
        <v>1.3396146375226059</v>
      </c>
      <c r="C42" s="155">
        <v>0.90592556207997499</v>
      </c>
      <c r="D42" s="155">
        <v>0.90592556207997499</v>
      </c>
      <c r="E42" s="155">
        <v>1.2875929357654781</v>
      </c>
      <c r="F42" s="155">
        <v>6.49</v>
      </c>
      <c r="G42" s="155">
        <v>6.7268670000000004</v>
      </c>
      <c r="H42" s="155">
        <v>0.90592556207997499</v>
      </c>
      <c r="I42" s="155">
        <v>0.90592556207997499</v>
      </c>
      <c r="J42" s="155">
        <v>0.90592556207997499</v>
      </c>
      <c r="K42" s="155">
        <v>64.107299999999995</v>
      </c>
      <c r="L42" s="155">
        <v>0.90592556207997499</v>
      </c>
      <c r="M42" s="155">
        <v>0.90592556207997499</v>
      </c>
      <c r="N42" s="12">
        <v>120.93817678447832</v>
      </c>
      <c r="O42" s="12">
        <v>1132.7189711759586</v>
      </c>
      <c r="P42" s="155">
        <v>0.90592556207997499</v>
      </c>
      <c r="Q42" s="155">
        <v>1.4413918596083857</v>
      </c>
      <c r="R42" s="155">
        <v>8.062665178833619</v>
      </c>
      <c r="S42" s="155">
        <v>0.90592556207997499</v>
      </c>
      <c r="T42" s="155">
        <v>8.4360853883660756</v>
      </c>
      <c r="U42" s="155">
        <v>0.96298198218312514</v>
      </c>
      <c r="V42" s="155">
        <v>0.65543995177387293</v>
      </c>
      <c r="W42" s="156">
        <v>1</v>
      </c>
      <c r="X42">
        <v>0.71499160955052965</v>
      </c>
    </row>
    <row r="43" spans="1:24">
      <c r="A43">
        <v>2016</v>
      </c>
      <c r="B43" s="155">
        <v>1.3451557578271249</v>
      </c>
      <c r="C43" s="155">
        <v>0.90674707708863456</v>
      </c>
      <c r="D43" s="155">
        <v>0.90674707708863456</v>
      </c>
      <c r="E43" s="155">
        <v>1.3227140759340423</v>
      </c>
      <c r="F43" s="155"/>
      <c r="G43" s="155">
        <v>6.732704</v>
      </c>
      <c r="H43" s="155">
        <v>0.90674707708863456</v>
      </c>
      <c r="I43" s="155">
        <v>0.90674707708863456</v>
      </c>
      <c r="J43" s="155">
        <v>0.90674707708863456</v>
      </c>
      <c r="K43" s="155">
        <v>67.157200000000003</v>
      </c>
      <c r="L43" s="155">
        <v>0.90674707708863456</v>
      </c>
      <c r="M43" s="155">
        <v>0.90674707708863456</v>
      </c>
      <c r="N43" s="12">
        <v>108.94752771581341</v>
      </c>
      <c r="O43" s="12">
        <v>1159.6699884540794</v>
      </c>
      <c r="P43" s="155">
        <v>0.90674707708863456</v>
      </c>
      <c r="Q43" s="155">
        <v>1.4356959499602058</v>
      </c>
      <c r="R43" s="155">
        <v>8.3973114450670945</v>
      </c>
      <c r="S43" s="155">
        <v>0.90674707708863456</v>
      </c>
      <c r="T43" s="155">
        <v>8.5625130357369965</v>
      </c>
      <c r="U43" s="155">
        <v>0.98837561232611049</v>
      </c>
      <c r="V43" s="155">
        <v>0.74648297817484766</v>
      </c>
      <c r="W43" s="156">
        <v>1</v>
      </c>
      <c r="X43">
        <v>0.71980407809977054</v>
      </c>
    </row>
    <row r="44" spans="1:24">
      <c r="A44">
        <v>2017</v>
      </c>
      <c r="B44" s="155">
        <v>1.3001365143340053</v>
      </c>
      <c r="C44" s="155">
        <v>0.88206678367895308</v>
      </c>
      <c r="D44" s="155">
        <v>0.88206678367895308</v>
      </c>
      <c r="E44" s="155">
        <v>1.2953043402890638</v>
      </c>
      <c r="F44" s="155"/>
      <c r="G44" s="155">
        <v>6.5953030000000004</v>
      </c>
      <c r="H44" s="155">
        <v>0.88206678367895308</v>
      </c>
      <c r="I44" s="155">
        <v>0.88206678367895308</v>
      </c>
      <c r="J44" s="155">
        <v>0.88206678367895308</v>
      </c>
      <c r="K44" s="155">
        <v>65.065899999999999</v>
      </c>
      <c r="L44" s="155">
        <v>0.88206678367895308</v>
      </c>
      <c r="M44" s="155">
        <v>0.88206678367895308</v>
      </c>
      <c r="N44" s="12">
        <v>111.98725866215955</v>
      </c>
      <c r="O44" s="12">
        <v>1123.8401698845046</v>
      </c>
      <c r="P44" s="155">
        <v>0.88206678367895308</v>
      </c>
      <c r="Q44" s="155">
        <v>1.4052633859888624</v>
      </c>
      <c r="R44" s="155">
        <v>8.2629786700911456</v>
      </c>
      <c r="S44" s="155">
        <v>0.88206678367895308</v>
      </c>
      <c r="T44" s="155">
        <v>8.5399527119416589</v>
      </c>
      <c r="U44" s="155">
        <v>0.98284903248174427</v>
      </c>
      <c r="V44" s="155">
        <v>0.77105679429673468</v>
      </c>
      <c r="W44" s="156">
        <v>1</v>
      </c>
      <c r="X44">
        <v>0.72151626761192811</v>
      </c>
    </row>
    <row r="45" spans="1:24">
      <c r="R45" t="s">
        <v>139</v>
      </c>
    </row>
    <row r="46" spans="1:24">
      <c r="A46" s="3" t="s">
        <v>707</v>
      </c>
      <c r="B46" s="156"/>
      <c r="C46" s="156"/>
      <c r="D46" s="156"/>
      <c r="E46" s="156"/>
      <c r="F46" s="156"/>
      <c r="G46" s="156"/>
      <c r="H46" s="156"/>
      <c r="I46" s="156"/>
      <c r="J46" s="156"/>
      <c r="K46" s="156"/>
      <c r="L46" s="156"/>
      <c r="M46" s="83"/>
      <c r="N46" s="156"/>
      <c r="O46" s="94"/>
      <c r="P46" s="156"/>
      <c r="Q46" s="83"/>
      <c r="R46" s="83"/>
      <c r="S46" s="156"/>
      <c r="T46" s="156"/>
      <c r="U46" s="156"/>
      <c r="V46" s="156"/>
      <c r="W46" s="156"/>
      <c r="X46" s="156"/>
    </row>
    <row r="47" spans="1:24">
      <c r="B47" s="156"/>
      <c r="C47" s="156"/>
      <c r="D47" s="156"/>
      <c r="E47" s="156"/>
      <c r="F47" s="156"/>
      <c r="G47" s="156"/>
      <c r="H47" s="156"/>
      <c r="I47" s="156"/>
      <c r="J47" s="156"/>
      <c r="K47" s="156"/>
      <c r="L47" s="156"/>
      <c r="M47" s="83"/>
      <c r="N47" s="156"/>
      <c r="O47" s="94"/>
      <c r="P47" s="156"/>
      <c r="Q47" s="83"/>
      <c r="R47" s="83"/>
      <c r="S47" s="156"/>
      <c r="T47" s="156"/>
      <c r="U47" s="156"/>
      <c r="V47" s="156"/>
      <c r="W47" s="156"/>
      <c r="X47" s="156"/>
    </row>
    <row r="48" spans="1:24">
      <c r="B48" s="164" t="s">
        <v>666</v>
      </c>
      <c r="C48" s="164" t="s">
        <v>667</v>
      </c>
      <c r="D48" s="164" t="s">
        <v>667</v>
      </c>
      <c r="E48" s="164" t="s">
        <v>669</v>
      </c>
      <c r="F48" s="22"/>
      <c r="G48" s="164" t="s">
        <v>671</v>
      </c>
      <c r="H48" s="164" t="s">
        <v>667</v>
      </c>
      <c r="I48" s="164" t="s">
        <v>667</v>
      </c>
      <c r="J48" s="164" t="s">
        <v>667</v>
      </c>
      <c r="K48" s="164" t="s">
        <v>704</v>
      </c>
      <c r="L48" s="164" t="s">
        <v>667</v>
      </c>
      <c r="M48" s="164" t="s">
        <v>667</v>
      </c>
      <c r="N48" s="165" t="s">
        <v>674</v>
      </c>
      <c r="O48" s="165" t="s">
        <v>675</v>
      </c>
      <c r="P48" s="164" t="s">
        <v>667</v>
      </c>
      <c r="Q48" s="164" t="s">
        <v>676</v>
      </c>
      <c r="R48" s="164" t="s">
        <v>671</v>
      </c>
      <c r="S48" s="164" t="s">
        <v>667</v>
      </c>
      <c r="T48" s="164" t="s">
        <v>677</v>
      </c>
      <c r="U48" s="164" t="s">
        <v>678</v>
      </c>
      <c r="V48" s="164" t="s">
        <v>668</v>
      </c>
      <c r="W48" s="164" t="s">
        <v>705</v>
      </c>
      <c r="X48" s="164" t="s">
        <v>706</v>
      </c>
    </row>
    <row r="49" spans="1:24">
      <c r="B49" s="22" t="s">
        <v>255</v>
      </c>
      <c r="C49" s="22" t="s">
        <v>539</v>
      </c>
      <c r="D49" s="22" t="s">
        <v>540</v>
      </c>
      <c r="E49" s="22" t="s">
        <v>238</v>
      </c>
      <c r="F49" s="22" t="s">
        <v>239</v>
      </c>
      <c r="G49" s="22" t="s">
        <v>541</v>
      </c>
      <c r="H49" s="22" t="s">
        <v>542</v>
      </c>
      <c r="I49" s="22" t="s">
        <v>240</v>
      </c>
      <c r="J49" s="22" t="s">
        <v>241</v>
      </c>
      <c r="K49" s="22" t="s">
        <v>242</v>
      </c>
      <c r="L49" s="22" t="s">
        <v>544</v>
      </c>
      <c r="M49" s="22" t="s">
        <v>538</v>
      </c>
      <c r="N49" s="22" t="s">
        <v>243</v>
      </c>
      <c r="O49" s="22" t="s">
        <v>244</v>
      </c>
      <c r="P49" s="22" t="s">
        <v>245</v>
      </c>
      <c r="Q49" s="22" t="s">
        <v>331</v>
      </c>
      <c r="R49" s="22" t="s">
        <v>246</v>
      </c>
      <c r="S49" s="22" t="s">
        <v>545</v>
      </c>
      <c r="T49" s="22" t="s">
        <v>247</v>
      </c>
      <c r="U49" s="22" t="s">
        <v>546</v>
      </c>
      <c r="V49" s="22" t="s">
        <v>248</v>
      </c>
      <c r="W49" s="22" t="s">
        <v>249</v>
      </c>
      <c r="X49" s="22" t="s">
        <v>687</v>
      </c>
    </row>
    <row r="50" spans="1:24">
      <c r="A50">
        <v>2000</v>
      </c>
      <c r="B50" s="156">
        <f t="shared" ref="B50:E67" si="0">B27/$X27</f>
        <v>2.2715967200000042</v>
      </c>
      <c r="C50" s="156">
        <f t="shared" si="0"/>
        <v>1.4294717999999997</v>
      </c>
      <c r="D50" s="156">
        <f t="shared" si="0"/>
        <v>1.4294717999999997</v>
      </c>
      <c r="E50" s="156">
        <f t="shared" si="0"/>
        <v>1.9558898699999998</v>
      </c>
      <c r="F50" s="156"/>
      <c r="G50" s="156">
        <f t="shared" ref="G50:X50" si="1">G27/$X27</f>
        <v>10.64549538</v>
      </c>
      <c r="H50" s="156">
        <f t="shared" si="1"/>
        <v>1.4294717999999997</v>
      </c>
      <c r="I50" s="156">
        <f t="shared" si="1"/>
        <v>1.4294717999999997</v>
      </c>
      <c r="J50" s="156">
        <f t="shared" si="1"/>
        <v>1.4294717999999997</v>
      </c>
      <c r="K50" s="156">
        <f t="shared" si="1"/>
        <v>59.2617075</v>
      </c>
      <c r="L50" s="156">
        <f t="shared" si="1"/>
        <v>1.4294717999999997</v>
      </c>
      <c r="M50" s="156">
        <f t="shared" si="1"/>
        <v>1.4294717999999997</v>
      </c>
      <c r="N50" s="83">
        <f t="shared" si="1"/>
        <v>141.92650499999999</v>
      </c>
      <c r="O50" s="83">
        <f t="shared" si="1"/>
        <v>1489.47432</v>
      </c>
      <c r="P50" s="156">
        <f t="shared" si="1"/>
        <v>1.4294717999999997</v>
      </c>
      <c r="Q50" s="156">
        <f t="shared" si="1"/>
        <v>2.8989145500000002</v>
      </c>
      <c r="R50" s="156">
        <f t="shared" si="1"/>
        <v>11.592023279999999</v>
      </c>
      <c r="S50" s="156">
        <f t="shared" si="1"/>
        <v>1.4294717999999997</v>
      </c>
      <c r="T50" s="156">
        <f t="shared" si="1"/>
        <v>12.06667008</v>
      </c>
      <c r="U50" s="156">
        <f t="shared" si="1"/>
        <v>2.2288578750000001</v>
      </c>
      <c r="V50" s="156">
        <f t="shared" si="1"/>
        <v>0.87044612700000001</v>
      </c>
      <c r="W50" s="156">
        <f t="shared" si="1"/>
        <v>1.3169999999999999</v>
      </c>
      <c r="X50" s="156">
        <f t="shared" si="1"/>
        <v>1</v>
      </c>
    </row>
    <row r="51" spans="1:24">
      <c r="A51">
        <v>2001</v>
      </c>
      <c r="B51" s="156">
        <f t="shared" si="0"/>
        <v>2.4574054174999995</v>
      </c>
      <c r="C51" s="156">
        <f t="shared" si="0"/>
        <v>1.4203552099999999</v>
      </c>
      <c r="D51" s="156">
        <f t="shared" si="0"/>
        <v>1.4203552099999999</v>
      </c>
      <c r="E51" s="156">
        <f t="shared" si="0"/>
        <v>1.9684750191666622</v>
      </c>
      <c r="F51" s="156"/>
      <c r="G51" s="156">
        <f t="shared" ref="G51:W51" si="2">G28/$X28</f>
        <v>10.57830422</v>
      </c>
      <c r="H51" s="156">
        <f t="shared" si="2"/>
        <v>1.4203552099999999</v>
      </c>
      <c r="I51" s="156">
        <f t="shared" si="2"/>
        <v>1.4203552099999999</v>
      </c>
      <c r="J51" s="156">
        <f t="shared" si="2"/>
        <v>1.4203552099999999</v>
      </c>
      <c r="K51" s="156">
        <f t="shared" si="2"/>
        <v>60.016619999999996</v>
      </c>
      <c r="L51" s="156">
        <f t="shared" si="2"/>
        <v>1.4203552099999999</v>
      </c>
      <c r="M51" s="156">
        <f t="shared" si="2"/>
        <v>1.4203552099999999</v>
      </c>
      <c r="N51" s="83">
        <f t="shared" si="2"/>
        <v>154.46335899999997</v>
      </c>
      <c r="O51" s="83">
        <f t="shared" si="2"/>
        <v>1640.8482899999999</v>
      </c>
      <c r="P51" s="156">
        <f t="shared" si="2"/>
        <v>1.4203552099999999</v>
      </c>
      <c r="Q51" s="156">
        <f t="shared" si="2"/>
        <v>3.02339125</v>
      </c>
      <c r="R51" s="156">
        <f t="shared" si="2"/>
        <v>11.428387149999999</v>
      </c>
      <c r="S51" s="156">
        <f t="shared" si="2"/>
        <v>1.4203552099999999</v>
      </c>
      <c r="T51" s="156">
        <f t="shared" si="2"/>
        <v>13.128286099999999</v>
      </c>
      <c r="U51" s="156">
        <f t="shared" si="2"/>
        <v>2.1488373333333328</v>
      </c>
      <c r="V51" s="156">
        <f t="shared" si="2"/>
        <v>0.8829065049999999</v>
      </c>
      <c r="W51" s="156">
        <f t="shared" si="2"/>
        <v>1.2709999999999999</v>
      </c>
      <c r="X51" s="156">
        <f t="shared" ref="X51:X67" si="3">X28/$X28</f>
        <v>1</v>
      </c>
    </row>
    <row r="52" spans="1:24">
      <c r="A52">
        <v>2002</v>
      </c>
      <c r="B52" s="156">
        <f t="shared" si="0"/>
        <v>2.3908906875000002</v>
      </c>
      <c r="C52" s="156">
        <f t="shared" si="0"/>
        <v>1.3802524500000002</v>
      </c>
      <c r="D52" s="156">
        <f t="shared" si="0"/>
        <v>1.3802524500000002</v>
      </c>
      <c r="E52" s="156">
        <f t="shared" si="0"/>
        <v>2.0385445149999959</v>
      </c>
      <c r="F52" s="156"/>
      <c r="G52" s="156">
        <f t="shared" ref="G52:V52" si="4">G29/$X29</f>
        <v>10.25522829</v>
      </c>
      <c r="H52" s="156">
        <f t="shared" si="4"/>
        <v>1.3802524500000002</v>
      </c>
      <c r="I52" s="156">
        <f t="shared" si="4"/>
        <v>1.3802524500000002</v>
      </c>
      <c r="J52" s="156">
        <f t="shared" si="4"/>
        <v>1.3802524500000002</v>
      </c>
      <c r="K52" s="156">
        <f t="shared" si="4"/>
        <v>63.164784300000001</v>
      </c>
      <c r="L52" s="156">
        <f t="shared" si="4"/>
        <v>1.3802524500000002</v>
      </c>
      <c r="M52" s="156">
        <f t="shared" si="4"/>
        <v>1.3802524500000002</v>
      </c>
      <c r="N52" s="83">
        <f t="shared" si="4"/>
        <v>162.87901200000002</v>
      </c>
      <c r="O52" s="83">
        <f t="shared" si="4"/>
        <v>1625.1659099999999</v>
      </c>
      <c r="P52" s="156">
        <f t="shared" si="4"/>
        <v>1.3802524500000002</v>
      </c>
      <c r="Q52" s="156">
        <f t="shared" si="4"/>
        <v>2.8086848099999999</v>
      </c>
      <c r="R52" s="156">
        <f t="shared" si="4"/>
        <v>10.37093022</v>
      </c>
      <c r="S52" s="156">
        <f t="shared" si="4"/>
        <v>1.3802524500000002</v>
      </c>
      <c r="T52" s="156">
        <f t="shared" si="4"/>
        <v>12.648518880000001</v>
      </c>
      <c r="U52" s="156">
        <f t="shared" si="4"/>
        <v>1.9932288999999996</v>
      </c>
      <c r="V52" s="156">
        <f t="shared" si="4"/>
        <v>0.86672267700000005</v>
      </c>
      <c r="W52" s="156">
        <f t="shared" ref="W52:W67" si="5">W29/$X29</f>
        <v>1.2989999999999999</v>
      </c>
      <c r="X52" s="156">
        <f t="shared" si="3"/>
        <v>1</v>
      </c>
    </row>
    <row r="53" spans="1:24">
      <c r="A53">
        <v>2003</v>
      </c>
      <c r="B53" s="156">
        <f t="shared" si="0"/>
        <v>2.1648474900000045</v>
      </c>
      <c r="C53" s="156">
        <f t="shared" si="0"/>
        <v>1.2439917359999999</v>
      </c>
      <c r="D53" s="156">
        <f t="shared" si="0"/>
        <v>1.2439917359999999</v>
      </c>
      <c r="E53" s="156">
        <f t="shared" si="0"/>
        <v>1.9670765400000043</v>
      </c>
      <c r="F53" s="156"/>
      <c r="G53" s="156">
        <f t="shared" ref="G53:V53" si="6">G30/$X30</f>
        <v>9.2490886799999981</v>
      </c>
      <c r="H53" s="156">
        <f t="shared" si="6"/>
        <v>1.2439917359999999</v>
      </c>
      <c r="I53" s="156">
        <f t="shared" si="6"/>
        <v>1.2439917359999999</v>
      </c>
      <c r="J53" s="156">
        <f t="shared" si="6"/>
        <v>1.2439917359999999</v>
      </c>
      <c r="K53" s="156">
        <f t="shared" si="6"/>
        <v>65.413483199999988</v>
      </c>
      <c r="L53" s="156">
        <f t="shared" si="6"/>
        <v>1.2439917359999999</v>
      </c>
      <c r="M53" s="156">
        <f t="shared" si="6"/>
        <v>1.2439917359999999</v>
      </c>
      <c r="N53" s="83">
        <f t="shared" si="6"/>
        <v>162.76993199999998</v>
      </c>
      <c r="O53" s="83">
        <f t="shared" si="6"/>
        <v>1673.0204399999996</v>
      </c>
      <c r="P53" s="156">
        <f t="shared" si="6"/>
        <v>1.2439917359999999</v>
      </c>
      <c r="Q53" s="156">
        <f t="shared" si="6"/>
        <v>2.4178283999999994</v>
      </c>
      <c r="R53" s="156">
        <f t="shared" si="6"/>
        <v>9.9406288799999984</v>
      </c>
      <c r="S53" s="156">
        <f t="shared" si="6"/>
        <v>1.2439917359999999</v>
      </c>
      <c r="T53" s="156">
        <f t="shared" si="6"/>
        <v>11.353165199999998</v>
      </c>
      <c r="U53" s="156">
        <f t="shared" si="6"/>
        <v>1.8749483999999998</v>
      </c>
      <c r="V53" s="156">
        <f t="shared" si="6"/>
        <v>0.85991068799999992</v>
      </c>
      <c r="W53" s="156">
        <f t="shared" si="5"/>
        <v>1.4039999999999999</v>
      </c>
      <c r="X53" s="156">
        <f t="shared" si="3"/>
        <v>1</v>
      </c>
    </row>
    <row r="54" spans="1:24">
      <c r="A54">
        <v>2004</v>
      </c>
      <c r="B54" s="156">
        <f t="shared" si="0"/>
        <v>2.0137934525000003</v>
      </c>
      <c r="C54" s="156">
        <f t="shared" si="0"/>
        <v>1.1927455650000001</v>
      </c>
      <c r="D54" s="156">
        <f t="shared" si="0"/>
        <v>1.1927455650000001</v>
      </c>
      <c r="E54" s="156">
        <f t="shared" si="0"/>
        <v>1.9268093858333384</v>
      </c>
      <c r="F54" s="156"/>
      <c r="G54" s="156">
        <f t="shared" ref="G54:V54" si="7">G31/$X31</f>
        <v>8.8727598600000004</v>
      </c>
      <c r="H54" s="156">
        <f t="shared" si="7"/>
        <v>1.1927455650000001</v>
      </c>
      <c r="I54" s="156">
        <f t="shared" si="7"/>
        <v>1.1927455650000001</v>
      </c>
      <c r="J54" s="156">
        <f t="shared" si="7"/>
        <v>1.1927455650000001</v>
      </c>
      <c r="K54" s="156">
        <f t="shared" si="7"/>
        <v>67.031541000000018</v>
      </c>
      <c r="L54" s="156">
        <f t="shared" si="7"/>
        <v>1.1927455650000001</v>
      </c>
      <c r="M54" s="156">
        <f t="shared" si="7"/>
        <v>1.1927455650000001</v>
      </c>
      <c r="N54" s="83">
        <f t="shared" si="7"/>
        <v>160.233833</v>
      </c>
      <c r="O54" s="83">
        <f t="shared" si="7"/>
        <v>1696.21892</v>
      </c>
      <c r="P54" s="156">
        <f t="shared" si="7"/>
        <v>1.1927455650000001</v>
      </c>
      <c r="Q54" s="156">
        <f t="shared" si="7"/>
        <v>2.2343550800000003</v>
      </c>
      <c r="R54" s="156">
        <f t="shared" si="7"/>
        <v>9.9831692300000014</v>
      </c>
      <c r="S54" s="156">
        <f t="shared" si="7"/>
        <v>1.1927455650000001</v>
      </c>
      <c r="T54" s="156">
        <f t="shared" si="7"/>
        <v>10.88370609</v>
      </c>
      <c r="U54" s="156">
        <f t="shared" si="7"/>
        <v>1.8325030083333338</v>
      </c>
      <c r="V54" s="156">
        <f t="shared" si="7"/>
        <v>0.80889258000000008</v>
      </c>
      <c r="W54" s="156">
        <f t="shared" si="5"/>
        <v>1.4810000000000001</v>
      </c>
      <c r="X54" s="156">
        <f t="shared" si="3"/>
        <v>1</v>
      </c>
    </row>
    <row r="55" spans="1:24">
      <c r="A55">
        <v>2005</v>
      </c>
      <c r="B55" s="156">
        <f t="shared" si="0"/>
        <v>1.9288542199999952</v>
      </c>
      <c r="C55" s="156">
        <f t="shared" si="0"/>
        <v>1.1844687600000001</v>
      </c>
      <c r="D55" s="156">
        <f t="shared" si="0"/>
        <v>1.1844687600000001</v>
      </c>
      <c r="E55" s="156">
        <f t="shared" si="0"/>
        <v>1.7849273899999951</v>
      </c>
      <c r="F55" s="156"/>
      <c r="G55" s="156">
        <f t="shared" ref="G55:V55" si="8">G32/$X32</f>
        <v>8.8334484300000007</v>
      </c>
      <c r="H55" s="156">
        <f t="shared" si="8"/>
        <v>1.1844687600000001</v>
      </c>
      <c r="I55" s="156">
        <f t="shared" si="8"/>
        <v>1.1844687600000001</v>
      </c>
      <c r="J55" s="156">
        <f t="shared" si="8"/>
        <v>1.1844687600000001</v>
      </c>
      <c r="K55" s="156">
        <f t="shared" si="8"/>
        <v>64.812294600000001</v>
      </c>
      <c r="L55" s="156">
        <f t="shared" si="8"/>
        <v>1.1844687600000001</v>
      </c>
      <c r="M55" s="156">
        <f t="shared" si="8"/>
        <v>1.1844687600000001</v>
      </c>
      <c r="N55" s="83">
        <f t="shared" si="8"/>
        <v>162.35111400000002</v>
      </c>
      <c r="O55" s="83">
        <f t="shared" si="8"/>
        <v>1508.5287599999999</v>
      </c>
      <c r="P55" s="156">
        <f t="shared" si="8"/>
        <v>1.1844687600000001</v>
      </c>
      <c r="Q55" s="156">
        <f t="shared" si="8"/>
        <v>2.0920577100000002</v>
      </c>
      <c r="R55" s="156">
        <f t="shared" si="8"/>
        <v>9.4898025000000015</v>
      </c>
      <c r="S55" s="156">
        <f t="shared" si="8"/>
        <v>1.1844687600000001</v>
      </c>
      <c r="T55" s="156">
        <f t="shared" si="8"/>
        <v>11.007861570000001</v>
      </c>
      <c r="U55" s="156">
        <f t="shared" si="8"/>
        <v>1.8348424500000005</v>
      </c>
      <c r="V55" s="156">
        <f t="shared" si="8"/>
        <v>0.81014705400000009</v>
      </c>
      <c r="W55" s="156">
        <f t="shared" si="5"/>
        <v>1.4730000000000001</v>
      </c>
      <c r="X55" s="156">
        <f t="shared" si="3"/>
        <v>1</v>
      </c>
    </row>
    <row r="56" spans="1:24">
      <c r="A56">
        <v>2006</v>
      </c>
      <c r="B56" s="156">
        <f t="shared" si="0"/>
        <v>1.9561048778565004</v>
      </c>
      <c r="C56" s="156">
        <f t="shared" si="0"/>
        <v>1.1741886930000001</v>
      </c>
      <c r="D56" s="156">
        <f t="shared" si="0"/>
        <v>1.1741886930000001</v>
      </c>
      <c r="E56" s="156">
        <f t="shared" si="0"/>
        <v>1.6709171899999953</v>
      </c>
      <c r="F56" s="156"/>
      <c r="G56" s="156">
        <f t="shared" ref="G56:V56" si="9">G33/$X33</f>
        <v>8.7596069400000012</v>
      </c>
      <c r="H56" s="156">
        <f t="shared" si="9"/>
        <v>1.1741886930000001</v>
      </c>
      <c r="I56" s="156">
        <f t="shared" si="9"/>
        <v>1.1741886930000001</v>
      </c>
      <c r="J56" s="156">
        <f t="shared" si="9"/>
        <v>1.1741886930000001</v>
      </c>
      <c r="K56" s="156">
        <f t="shared" si="9"/>
        <v>66.559125300000005</v>
      </c>
      <c r="L56" s="156">
        <f t="shared" si="9"/>
        <v>1.1741886930000001</v>
      </c>
      <c r="M56" s="156">
        <f t="shared" si="9"/>
        <v>1.1741886930000001</v>
      </c>
      <c r="N56" s="83">
        <f t="shared" si="9"/>
        <v>171.30842700000002</v>
      </c>
      <c r="O56" s="83">
        <f t="shared" si="9"/>
        <v>1406.4071430000001</v>
      </c>
      <c r="P56" s="156">
        <f t="shared" si="9"/>
        <v>1.1741886930000001</v>
      </c>
      <c r="Q56" s="156">
        <f t="shared" si="9"/>
        <v>2.2714543800000002</v>
      </c>
      <c r="R56" s="156">
        <f t="shared" si="9"/>
        <v>9.4468350900000004</v>
      </c>
      <c r="S56" s="156">
        <f t="shared" si="9"/>
        <v>1.1741886930000001</v>
      </c>
      <c r="T56" s="156">
        <f t="shared" si="9"/>
        <v>10.868162250000001</v>
      </c>
      <c r="U56" s="156">
        <f t="shared" si="9"/>
        <v>1.8469333250000002</v>
      </c>
      <c r="V56" s="156">
        <f t="shared" si="9"/>
        <v>0.80055635100000011</v>
      </c>
      <c r="W56" s="156">
        <f t="shared" si="5"/>
        <v>1.4730000000000001</v>
      </c>
      <c r="X56" s="156">
        <f t="shared" si="3"/>
        <v>1</v>
      </c>
    </row>
    <row r="57" spans="1:24">
      <c r="A57">
        <v>2007</v>
      </c>
      <c r="B57" s="156">
        <f t="shared" si="0"/>
        <v>1.8332412149999999</v>
      </c>
      <c r="C57" s="156">
        <f t="shared" si="0"/>
        <v>1.1207986919999999</v>
      </c>
      <c r="D57" s="156">
        <f t="shared" si="0"/>
        <v>1.1207986919999999</v>
      </c>
      <c r="E57" s="156">
        <f t="shared" si="0"/>
        <v>1.6476681216666718</v>
      </c>
      <c r="F57" s="156"/>
      <c r="G57" s="156">
        <f t="shared" ref="G57:V57" si="10">G34/$X34</f>
        <v>8.3506357999999992</v>
      </c>
      <c r="H57" s="156">
        <f t="shared" si="10"/>
        <v>1.1207986919999999</v>
      </c>
      <c r="I57" s="156">
        <f t="shared" si="10"/>
        <v>1.1207986919999999</v>
      </c>
      <c r="J57" s="156">
        <f t="shared" si="10"/>
        <v>1.1207986919999999</v>
      </c>
      <c r="K57" s="156">
        <f t="shared" si="10"/>
        <v>63.1661316</v>
      </c>
      <c r="L57" s="156">
        <f t="shared" si="10"/>
        <v>1.1207986919999999</v>
      </c>
      <c r="M57" s="156">
        <f t="shared" si="10"/>
        <v>1.1207986919999999</v>
      </c>
      <c r="N57" s="83">
        <f t="shared" si="10"/>
        <v>180.634636</v>
      </c>
      <c r="O57" s="83">
        <f t="shared" si="10"/>
        <v>1425.4802379999999</v>
      </c>
      <c r="P57" s="156">
        <f t="shared" si="10"/>
        <v>1.1207986919999999</v>
      </c>
      <c r="Q57" s="156">
        <f t="shared" si="10"/>
        <v>2.0872831199999999</v>
      </c>
      <c r="R57" s="156">
        <f t="shared" si="10"/>
        <v>8.9918017799999994</v>
      </c>
      <c r="S57" s="156">
        <f t="shared" si="10"/>
        <v>1.1207986919999999</v>
      </c>
      <c r="T57" s="156">
        <f t="shared" si="10"/>
        <v>10.367953180000001</v>
      </c>
      <c r="U57" s="156">
        <f t="shared" si="10"/>
        <v>1.8413496833333332</v>
      </c>
      <c r="V57" s="156">
        <f t="shared" si="10"/>
        <v>0.76665024800000003</v>
      </c>
      <c r="W57" s="156">
        <f t="shared" si="5"/>
        <v>1.534</v>
      </c>
      <c r="X57" s="156">
        <f t="shared" si="3"/>
        <v>1</v>
      </c>
    </row>
    <row r="58" spans="1:24">
      <c r="A58">
        <v>2008</v>
      </c>
      <c r="B58" s="156">
        <f t="shared" si="0"/>
        <v>1.8836417666666616</v>
      </c>
      <c r="C58" s="156">
        <f t="shared" si="0"/>
        <v>1.0786265000000002</v>
      </c>
      <c r="D58" s="156">
        <f t="shared" si="0"/>
        <v>1.0786265000000002</v>
      </c>
      <c r="E58" s="156">
        <f t="shared" si="0"/>
        <v>1.6859232000000002</v>
      </c>
      <c r="F58" s="156"/>
      <c r="G58" s="156">
        <f t="shared" ref="G58:V58" si="11">G35/$X35</f>
        <v>8.0550454000000009</v>
      </c>
      <c r="H58" s="156">
        <f t="shared" si="11"/>
        <v>1.0786265000000002</v>
      </c>
      <c r="I58" s="156">
        <f t="shared" si="11"/>
        <v>1.0786265000000002</v>
      </c>
      <c r="J58" s="156">
        <f t="shared" si="11"/>
        <v>1.0786265000000002</v>
      </c>
      <c r="K58" s="156">
        <f t="shared" si="11"/>
        <v>68.549722000000003</v>
      </c>
      <c r="L58" s="156">
        <f t="shared" si="11"/>
        <v>1.0786265000000002</v>
      </c>
      <c r="M58" s="156">
        <f t="shared" si="11"/>
        <v>1.0786251833333333</v>
      </c>
      <c r="N58" s="83">
        <f t="shared" si="11"/>
        <v>163.30722</v>
      </c>
      <c r="O58" s="83">
        <f t="shared" si="11"/>
        <v>1741.239</v>
      </c>
      <c r="P58" s="156">
        <f t="shared" si="11"/>
        <v>1.0786265000000002</v>
      </c>
      <c r="Q58" s="156">
        <f t="shared" si="11"/>
        <v>2.2479134000000003</v>
      </c>
      <c r="R58" s="156">
        <f t="shared" si="11"/>
        <v>8.9112000000000009</v>
      </c>
      <c r="S58" s="156">
        <f t="shared" si="11"/>
        <v>1.0786251833333333</v>
      </c>
      <c r="T58" s="156">
        <f t="shared" si="11"/>
        <v>10.413938000000002</v>
      </c>
      <c r="U58" s="156">
        <f t="shared" si="11"/>
        <v>1.7112848333333333</v>
      </c>
      <c r="V58" s="156">
        <f t="shared" si="11"/>
        <v>0.85946628000000003</v>
      </c>
      <c r="W58" s="156">
        <f t="shared" si="5"/>
        <v>1.58</v>
      </c>
      <c r="X58" s="156">
        <f t="shared" si="3"/>
        <v>1</v>
      </c>
    </row>
    <row r="59" spans="1:24">
      <c r="A59">
        <v>2009</v>
      </c>
      <c r="B59" s="156">
        <f t="shared" si="0"/>
        <v>1.9745707675301609</v>
      </c>
      <c r="C59" s="156">
        <f t="shared" si="0"/>
        <v>1.1085600166666667</v>
      </c>
      <c r="D59" s="156">
        <f t="shared" si="0"/>
        <v>1.1085600166666667</v>
      </c>
      <c r="E59" s="156">
        <f t="shared" si="0"/>
        <v>1.7603748571637383</v>
      </c>
      <c r="F59" s="156"/>
      <c r="G59" s="156">
        <f t="shared" ref="G59:V59" si="12">G36/$X36</f>
        <v>8.2557398000000006</v>
      </c>
      <c r="H59" s="156">
        <f t="shared" si="12"/>
        <v>1.1085600166666667</v>
      </c>
      <c r="I59" s="156">
        <f t="shared" si="12"/>
        <v>1.1085600166666667</v>
      </c>
      <c r="J59" s="156">
        <f t="shared" si="12"/>
        <v>1.1085600166666667</v>
      </c>
      <c r="K59" s="156">
        <f t="shared" si="12"/>
        <v>74.431895999999995</v>
      </c>
      <c r="L59" s="156">
        <f t="shared" si="12"/>
        <v>1.1085600166666667</v>
      </c>
      <c r="M59" s="156">
        <f t="shared" si="12"/>
        <v>1.1085600166666667</v>
      </c>
      <c r="N59" s="83">
        <f t="shared" si="12"/>
        <v>144.09795399999999</v>
      </c>
      <c r="O59" s="83">
        <f t="shared" si="12"/>
        <v>1966.4722000000002</v>
      </c>
      <c r="P59" s="156">
        <f t="shared" si="12"/>
        <v>1.1085600166666667</v>
      </c>
      <c r="Q59" s="156">
        <f t="shared" si="12"/>
        <v>2.464</v>
      </c>
      <c r="R59" s="156">
        <f t="shared" si="12"/>
        <v>9.6840282000000002</v>
      </c>
      <c r="S59" s="156">
        <f t="shared" si="12"/>
        <v>1.1085600166666667</v>
      </c>
      <c r="T59" s="156">
        <f t="shared" si="12"/>
        <v>11.786882799999999</v>
      </c>
      <c r="U59" s="156">
        <f t="shared" si="12"/>
        <v>1.6757381666666669</v>
      </c>
      <c r="V59" s="156">
        <f t="shared" si="12"/>
        <v>0.98855526000000005</v>
      </c>
      <c r="W59" s="156">
        <f t="shared" si="5"/>
        <v>1.54</v>
      </c>
      <c r="X59" s="156">
        <f t="shared" si="3"/>
        <v>1</v>
      </c>
    </row>
    <row r="60" spans="1:24">
      <c r="A60">
        <v>2010</v>
      </c>
      <c r="B60" s="156">
        <f t="shared" si="0"/>
        <v>1.6577047201300334</v>
      </c>
      <c r="C60" s="156">
        <f t="shared" si="0"/>
        <v>1.1569673810027548</v>
      </c>
      <c r="D60" s="156">
        <f t="shared" si="0"/>
        <v>1.1569673810027548</v>
      </c>
      <c r="E60" s="156">
        <f t="shared" si="0"/>
        <v>1.577306041203727</v>
      </c>
      <c r="F60" s="156">
        <f t="shared" ref="F60:F65" si="13">F37/$X37</f>
        <v>10.1000196521031</v>
      </c>
      <c r="G60" s="156">
        <f t="shared" ref="G60:V60" si="14">G37/$X37</f>
        <v>8.5766749999999998</v>
      </c>
      <c r="H60" s="156">
        <f t="shared" si="14"/>
        <v>1.1569673810027548</v>
      </c>
      <c r="I60" s="156">
        <f t="shared" si="14"/>
        <v>1.1569673810027548</v>
      </c>
      <c r="J60" s="156">
        <f t="shared" si="14"/>
        <v>1.1569673810027548</v>
      </c>
      <c r="K60" s="156">
        <f t="shared" si="14"/>
        <v>69.616936000643662</v>
      </c>
      <c r="L60" s="156">
        <f t="shared" si="14"/>
        <v>1.1569673810027548</v>
      </c>
      <c r="M60" s="156">
        <f t="shared" si="14"/>
        <v>1.1569673810027548</v>
      </c>
      <c r="N60" s="83">
        <f t="shared" si="14"/>
        <v>132.81530217681828</v>
      </c>
      <c r="O60" s="83">
        <f t="shared" si="14"/>
        <v>1765.5798547924956</v>
      </c>
      <c r="P60" s="156">
        <f t="shared" si="14"/>
        <v>1.1569673810027548</v>
      </c>
      <c r="Q60" s="156">
        <f t="shared" si="14"/>
        <v>2.1181322061461505</v>
      </c>
      <c r="R60" s="156">
        <f t="shared" si="14"/>
        <v>9.2206547482742192</v>
      </c>
      <c r="S60" s="156">
        <f t="shared" si="14"/>
        <v>1.1569673810027548</v>
      </c>
      <c r="T60" s="156">
        <f t="shared" si="14"/>
        <v>10.974281053069319</v>
      </c>
      <c r="U60" s="156">
        <f t="shared" si="14"/>
        <v>1.5830803793121799</v>
      </c>
      <c r="V60" s="156">
        <f t="shared" si="14"/>
        <v>0.98855839564354442</v>
      </c>
      <c r="W60" s="156">
        <f t="shared" si="5"/>
        <v>1.5249916430776234</v>
      </c>
      <c r="X60" s="156">
        <f t="shared" si="3"/>
        <v>1</v>
      </c>
    </row>
    <row r="61" spans="1:24">
      <c r="A61">
        <v>2011</v>
      </c>
      <c r="B61" s="156">
        <f t="shared" si="0"/>
        <v>1.5159505650561202</v>
      </c>
      <c r="C61" s="156">
        <f t="shared" si="0"/>
        <v>1.1286883602911588</v>
      </c>
      <c r="D61" s="156">
        <f t="shared" si="0"/>
        <v>1.1286883602911588</v>
      </c>
      <c r="E61" s="156">
        <f t="shared" si="0"/>
        <v>1.5583719150349404</v>
      </c>
      <c r="F61" s="156">
        <f t="shared" si="13"/>
        <v>9.9405322938798921</v>
      </c>
      <c r="G61" s="156">
        <f t="shared" ref="G61:V61" si="15">G38/$X38</f>
        <v>8.4594339999999999</v>
      </c>
      <c r="H61" s="156">
        <f t="shared" si="15"/>
        <v>1.1286883602911588</v>
      </c>
      <c r="I61" s="156">
        <f t="shared" si="15"/>
        <v>1.1286883602911588</v>
      </c>
      <c r="J61" s="156">
        <f t="shared" si="15"/>
        <v>1.1286883602911588</v>
      </c>
      <c r="K61" s="156">
        <f t="shared" si="15"/>
        <v>73.482320471480151</v>
      </c>
      <c r="L61" s="156">
        <f t="shared" si="15"/>
        <v>1.1286883602911588</v>
      </c>
      <c r="M61" s="156">
        <f t="shared" si="15"/>
        <v>1.1286883602911588</v>
      </c>
      <c r="N61" s="83">
        <f t="shared" si="15"/>
        <v>125.58134480924903</v>
      </c>
      <c r="O61" s="83">
        <f t="shared" si="15"/>
        <v>1742.4500022732925</v>
      </c>
      <c r="P61" s="156">
        <f t="shared" si="15"/>
        <v>1.1286883602911588</v>
      </c>
      <c r="Q61" s="156">
        <f t="shared" si="15"/>
        <v>1.9797556404350403</v>
      </c>
      <c r="R61" s="156">
        <f t="shared" si="15"/>
        <v>8.8477160174246805</v>
      </c>
      <c r="S61" s="156">
        <f t="shared" si="15"/>
        <v>1.1286883602911588</v>
      </c>
      <c r="T61" s="156">
        <f t="shared" si="15"/>
        <v>10.251312098205901</v>
      </c>
      <c r="U61" s="156">
        <f t="shared" si="15"/>
        <v>1.3904930228763508</v>
      </c>
      <c r="V61" s="156">
        <f t="shared" si="15"/>
        <v>0.9828665488541356</v>
      </c>
      <c r="W61" s="156">
        <f t="shared" si="5"/>
        <v>1.5776118542897781</v>
      </c>
      <c r="X61" s="156">
        <f t="shared" si="3"/>
        <v>1</v>
      </c>
    </row>
    <row r="62" spans="1:24">
      <c r="A62">
        <v>2012</v>
      </c>
      <c r="B62" s="156">
        <f t="shared" si="0"/>
        <v>1.4730974876966023</v>
      </c>
      <c r="C62" s="156">
        <f t="shared" si="0"/>
        <v>1.1847754819171847</v>
      </c>
      <c r="D62" s="156">
        <f t="shared" si="0"/>
        <v>1.1847754819171847</v>
      </c>
      <c r="E62" s="156">
        <f t="shared" si="0"/>
        <v>1.5288051243563283</v>
      </c>
      <c r="F62" s="156">
        <f t="shared" si="13"/>
        <v>9.6294651881178837</v>
      </c>
      <c r="G62" s="156">
        <f t="shared" ref="G62:V62" si="16">G39/$X39</f>
        <v>8.8750540000000004</v>
      </c>
      <c r="H62" s="156">
        <f t="shared" si="16"/>
        <v>1.1847754819171847</v>
      </c>
      <c r="I62" s="156">
        <f t="shared" si="16"/>
        <v>1.1847754819171847</v>
      </c>
      <c r="J62" s="156">
        <f t="shared" si="16"/>
        <v>1.1847754819171847</v>
      </c>
      <c r="K62" s="156">
        <f t="shared" si="16"/>
        <v>81.71159996663917</v>
      </c>
      <c r="L62" s="156">
        <f t="shared" si="16"/>
        <v>1.1847754819171847</v>
      </c>
      <c r="M62" s="156">
        <f t="shared" si="16"/>
        <v>1.1847754819171847</v>
      </c>
      <c r="N62" s="83">
        <f t="shared" si="16"/>
        <v>122.37880137163498</v>
      </c>
      <c r="O62" s="83">
        <f t="shared" si="16"/>
        <v>1715.1372255750721</v>
      </c>
      <c r="P62" s="156">
        <f t="shared" si="16"/>
        <v>1.1847754819171847</v>
      </c>
      <c r="Q62" s="156">
        <f t="shared" si="16"/>
        <v>1.8798319798620313</v>
      </c>
      <c r="R62" s="156">
        <f t="shared" si="16"/>
        <v>8.9088363072771966</v>
      </c>
      <c r="S62" s="156">
        <f t="shared" si="16"/>
        <v>1.1847754819171847</v>
      </c>
      <c r="T62" s="156">
        <f t="shared" si="16"/>
        <v>10.365280783528707</v>
      </c>
      <c r="U62" s="156">
        <f t="shared" si="16"/>
        <v>1.4267808475209416</v>
      </c>
      <c r="V62" s="156">
        <f t="shared" si="16"/>
        <v>0.96157666090635452</v>
      </c>
      <c r="W62" s="156">
        <f t="shared" si="5"/>
        <v>1.5309165640886939</v>
      </c>
      <c r="X62" s="156">
        <f t="shared" si="3"/>
        <v>1</v>
      </c>
    </row>
    <row r="63" spans="1:24">
      <c r="A63">
        <v>2013</v>
      </c>
      <c r="B63" s="156">
        <f t="shared" si="0"/>
        <v>1.5824970455989453</v>
      </c>
      <c r="C63" s="156">
        <f t="shared" si="0"/>
        <v>1.1419826180057191</v>
      </c>
      <c r="D63" s="156">
        <f t="shared" si="0"/>
        <v>1.1419826180057191</v>
      </c>
      <c r="E63" s="156">
        <f t="shared" si="0"/>
        <v>1.570681067658473</v>
      </c>
      <c r="F63" s="156">
        <f t="shared" si="13"/>
        <v>9.2720627063299705</v>
      </c>
      <c r="G63" s="156">
        <f t="shared" ref="G63:V63" si="17">G40/$X40</f>
        <v>8.5340290000000021</v>
      </c>
      <c r="H63" s="156">
        <f t="shared" si="17"/>
        <v>1.1419826180057191</v>
      </c>
      <c r="I63" s="156">
        <f t="shared" si="17"/>
        <v>1.1419826180057191</v>
      </c>
      <c r="J63" s="156">
        <f t="shared" si="17"/>
        <v>1.1419826180057191</v>
      </c>
      <c r="K63" s="156">
        <f t="shared" si="17"/>
        <v>88.899528437592579</v>
      </c>
      <c r="L63" s="156">
        <f t="shared" si="17"/>
        <v>1.1419826180057191</v>
      </c>
      <c r="M63" s="156">
        <f t="shared" si="17"/>
        <v>1.1419826180057191</v>
      </c>
      <c r="N63" s="83">
        <f t="shared" si="17"/>
        <v>148.41052917888311</v>
      </c>
      <c r="O63" s="83">
        <f t="shared" si="17"/>
        <v>1663.5037506156175</v>
      </c>
      <c r="P63" s="156">
        <f t="shared" si="17"/>
        <v>1.1419826180057191</v>
      </c>
      <c r="Q63" s="156">
        <f t="shared" si="17"/>
        <v>1.8570734704857419</v>
      </c>
      <c r="R63" s="156">
        <f t="shared" si="17"/>
        <v>8.9183007423880163</v>
      </c>
      <c r="S63" s="156">
        <f t="shared" si="17"/>
        <v>1.1419826180057191</v>
      </c>
      <c r="T63" s="156">
        <f t="shared" si="17"/>
        <v>9.895972049250096</v>
      </c>
      <c r="U63" s="156">
        <f t="shared" si="17"/>
        <v>1.4044661279690642</v>
      </c>
      <c r="V63" s="156">
        <f t="shared" si="17"/>
        <v>0.97208837268529225</v>
      </c>
      <c r="W63" s="156">
        <f t="shared" si="5"/>
        <v>1.5192631011518876</v>
      </c>
      <c r="X63" s="156">
        <f t="shared" si="3"/>
        <v>1</v>
      </c>
    </row>
    <row r="64" spans="1:24">
      <c r="A64">
        <v>2014</v>
      </c>
      <c r="B64" s="156">
        <f t="shared" si="0"/>
        <v>1.689015390230618</v>
      </c>
      <c r="C64" s="156">
        <f t="shared" si="0"/>
        <v>1.1500365040797758</v>
      </c>
      <c r="D64" s="156">
        <f t="shared" si="0"/>
        <v>1.1500365040797758</v>
      </c>
      <c r="E64" s="156">
        <f t="shared" si="0"/>
        <v>1.6803873366121902</v>
      </c>
      <c r="F64" s="156">
        <f t="shared" si="13"/>
        <v>9.2912415703662159</v>
      </c>
      <c r="G64" s="156">
        <f t="shared" ref="G64:V64" si="18">G41/$X41</f>
        <v>8.5320990000000005</v>
      </c>
      <c r="H64" s="156">
        <f t="shared" si="18"/>
        <v>1.1500365040797758</v>
      </c>
      <c r="I64" s="156">
        <f t="shared" si="18"/>
        <v>1.1500365040797758</v>
      </c>
      <c r="J64" s="156">
        <f t="shared" si="18"/>
        <v>1.1500365040797758</v>
      </c>
      <c r="K64" s="156">
        <f t="shared" si="18"/>
        <v>92.616778388128523</v>
      </c>
      <c r="L64" s="156">
        <f t="shared" si="18"/>
        <v>1.1500365040797758</v>
      </c>
      <c r="M64" s="156">
        <f t="shared" si="18"/>
        <v>1.1500365040797758</v>
      </c>
      <c r="N64" s="83">
        <f t="shared" si="18"/>
        <v>161.1236231510498</v>
      </c>
      <c r="O64" s="83">
        <f t="shared" si="18"/>
        <v>1597.6058773113371</v>
      </c>
      <c r="P64" s="156">
        <f t="shared" si="18"/>
        <v>1.1500365040797758</v>
      </c>
      <c r="Q64" s="156">
        <f t="shared" si="18"/>
        <v>1.8372124155951031</v>
      </c>
      <c r="R64" s="156">
        <f t="shared" si="18"/>
        <v>9.5535984019295093</v>
      </c>
      <c r="S64" s="156">
        <f t="shared" si="18"/>
        <v>1.1500365040797758</v>
      </c>
      <c r="T64" s="156">
        <f t="shared" si="18"/>
        <v>10.406686694305296</v>
      </c>
      <c r="U64" s="156">
        <f t="shared" si="18"/>
        <v>1.3950844869457348</v>
      </c>
      <c r="V64" s="156">
        <f t="shared" si="18"/>
        <v>0.92287800922200958</v>
      </c>
      <c r="W64" s="156">
        <f t="shared" si="5"/>
        <v>1.5184248358173258</v>
      </c>
      <c r="X64" s="156">
        <f t="shared" si="3"/>
        <v>1</v>
      </c>
    </row>
    <row r="65" spans="1:24">
      <c r="A65">
        <v>2015</v>
      </c>
      <c r="B65" s="156">
        <f t="shared" si="0"/>
        <v>1.8736088922284522</v>
      </c>
      <c r="C65" s="156">
        <f t="shared" si="0"/>
        <v>1.2670436267769261</v>
      </c>
      <c r="D65" s="156">
        <f t="shared" si="0"/>
        <v>1.2670436267769261</v>
      </c>
      <c r="E65" s="156">
        <f t="shared" si="0"/>
        <v>1.8008504135802474</v>
      </c>
      <c r="F65" s="156">
        <f t="shared" si="13"/>
        <v>9.077029594906513</v>
      </c>
      <c r="G65" s="156">
        <f t="shared" ref="G65:V65" si="19">G42/$X42</f>
        <v>9.4083159999999992</v>
      </c>
      <c r="H65" s="156">
        <f t="shared" si="19"/>
        <v>1.2670436267769261</v>
      </c>
      <c r="I65" s="156">
        <f t="shared" si="19"/>
        <v>1.2670436267769261</v>
      </c>
      <c r="J65" s="156">
        <f t="shared" si="19"/>
        <v>1.2670436267769261</v>
      </c>
      <c r="K65" s="156">
        <f t="shared" si="19"/>
        <v>89.661611610100195</v>
      </c>
      <c r="L65" s="156">
        <f t="shared" si="19"/>
        <v>1.2670436267769261</v>
      </c>
      <c r="M65" s="156">
        <f t="shared" si="19"/>
        <v>1.2670436267769261</v>
      </c>
      <c r="N65" s="83">
        <f t="shared" si="19"/>
        <v>169.14628810889761</v>
      </c>
      <c r="O65" s="83">
        <f t="shared" si="19"/>
        <v>1584.2409282089729</v>
      </c>
      <c r="P65" s="156">
        <f t="shared" si="19"/>
        <v>1.2670436267769261</v>
      </c>
      <c r="Q65" s="156">
        <f t="shared" si="19"/>
        <v>2.0159563278155086</v>
      </c>
      <c r="R65" s="156">
        <f t="shared" si="19"/>
        <v>11.276587125130197</v>
      </c>
      <c r="S65" s="156">
        <f t="shared" si="19"/>
        <v>1.2670436267769261</v>
      </c>
      <c r="T65" s="156">
        <f t="shared" si="19"/>
        <v>11.798859281256899</v>
      </c>
      <c r="U65" s="156">
        <f t="shared" si="19"/>
        <v>1.3468437521784227</v>
      </c>
      <c r="V65" s="156">
        <f t="shared" si="19"/>
        <v>0.91670999074507586</v>
      </c>
      <c r="W65" s="156">
        <f t="shared" si="5"/>
        <v>1.3986178112336691</v>
      </c>
      <c r="X65" s="156">
        <f t="shared" si="3"/>
        <v>1</v>
      </c>
    </row>
    <row r="66" spans="1:24">
      <c r="A66">
        <v>2016</v>
      </c>
      <c r="B66" s="156">
        <f t="shared" si="0"/>
        <v>1.8687804067160005</v>
      </c>
      <c r="C66" s="156">
        <f t="shared" si="0"/>
        <v>1.259713725827144</v>
      </c>
      <c r="D66" s="156">
        <f t="shared" si="0"/>
        <v>1.259713725827144</v>
      </c>
      <c r="E66" s="156">
        <f t="shared" si="0"/>
        <v>1.837602920263955</v>
      </c>
      <c r="F66" s="156"/>
      <c r="G66" s="156">
        <f t="shared" ref="G66:V66" si="20">G43/$X43</f>
        <v>9.3535229999999991</v>
      </c>
      <c r="H66" s="156">
        <f t="shared" si="20"/>
        <v>1.259713725827144</v>
      </c>
      <c r="I66" s="156">
        <f t="shared" si="20"/>
        <v>1.259713725827144</v>
      </c>
      <c r="J66" s="156">
        <f t="shared" si="20"/>
        <v>1.259713725827144</v>
      </c>
      <c r="K66" s="156">
        <f t="shared" si="20"/>
        <v>93.299276905029544</v>
      </c>
      <c r="L66" s="156">
        <f t="shared" si="20"/>
        <v>1.259713725827144</v>
      </c>
      <c r="M66" s="156">
        <f t="shared" si="20"/>
        <v>1.259713725827144</v>
      </c>
      <c r="N66" s="83">
        <f t="shared" si="20"/>
        <v>151.35719709094565</v>
      </c>
      <c r="O66" s="83">
        <f t="shared" si="20"/>
        <v>1611.0911617999197</v>
      </c>
      <c r="P66" s="156">
        <f t="shared" si="20"/>
        <v>1.259713725827144</v>
      </c>
      <c r="Q66" s="156">
        <f t="shared" si="20"/>
        <v>1.9945649012580433</v>
      </c>
      <c r="R66" s="156">
        <f t="shared" si="20"/>
        <v>11.666107070739825</v>
      </c>
      <c r="S66" s="156">
        <f t="shared" si="20"/>
        <v>1.259713725827144</v>
      </c>
      <c r="T66" s="156">
        <f t="shared" si="20"/>
        <v>11.895616177031668</v>
      </c>
      <c r="U66" s="156">
        <f t="shared" si="20"/>
        <v>1.3731175501746933</v>
      </c>
      <c r="V66" s="156">
        <f t="shared" si="20"/>
        <v>1.0370641135369882</v>
      </c>
      <c r="W66" s="156">
        <f t="shared" si="5"/>
        <v>1.3892669275227307</v>
      </c>
      <c r="X66" s="156">
        <f t="shared" si="3"/>
        <v>1</v>
      </c>
    </row>
    <row r="67" spans="1:24">
      <c r="A67">
        <v>2017</v>
      </c>
      <c r="B67" s="156">
        <f t="shared" si="0"/>
        <v>1.8019503824039789</v>
      </c>
      <c r="C67" s="156">
        <f t="shared" si="0"/>
        <v>1.2225182206887926</v>
      </c>
      <c r="D67" s="156">
        <f t="shared" si="0"/>
        <v>1.2225182206887926</v>
      </c>
      <c r="E67" s="156">
        <f t="shared" si="0"/>
        <v>1.7952531334827104</v>
      </c>
      <c r="F67" s="156"/>
      <c r="G67" s="156">
        <f t="shared" ref="G67:V67" si="21">G44/$X44</f>
        <v>9.1408930000000002</v>
      </c>
      <c r="H67" s="156">
        <f t="shared" si="21"/>
        <v>1.2225182206887926</v>
      </c>
      <c r="I67" s="156">
        <f t="shared" si="21"/>
        <v>1.2225182206887926</v>
      </c>
      <c r="J67" s="156">
        <f t="shared" si="21"/>
        <v>1.2225182206887926</v>
      </c>
      <c r="K67" s="156">
        <f t="shared" si="21"/>
        <v>90.179394312694953</v>
      </c>
      <c r="L67" s="156">
        <f t="shared" si="21"/>
        <v>1.2225182206887926</v>
      </c>
      <c r="M67" s="156">
        <f t="shared" si="21"/>
        <v>1.2225182206887926</v>
      </c>
      <c r="N67" s="83">
        <f t="shared" si="21"/>
        <v>155.21099618836672</v>
      </c>
      <c r="O67" s="83">
        <f t="shared" si="21"/>
        <v>1557.6089138006364</v>
      </c>
      <c r="P67" s="156">
        <f t="shared" si="21"/>
        <v>1.2225182206887926</v>
      </c>
      <c r="Q67" s="156">
        <f t="shared" si="21"/>
        <v>1.947653087074527</v>
      </c>
      <c r="R67" s="156">
        <f t="shared" si="21"/>
        <v>11.452241676324114</v>
      </c>
      <c r="S67" s="156">
        <f t="shared" si="21"/>
        <v>1.2225182206887926</v>
      </c>
      <c r="T67" s="156">
        <f t="shared" si="21"/>
        <v>11.836119426949532</v>
      </c>
      <c r="U67" s="156">
        <f t="shared" si="21"/>
        <v>1.3621994078314748</v>
      </c>
      <c r="V67" s="156">
        <f t="shared" si="21"/>
        <v>1.0686616905378663</v>
      </c>
      <c r="W67" s="156">
        <f t="shared" si="5"/>
        <v>1.38597013662602</v>
      </c>
      <c r="X67" s="156">
        <f t="shared" si="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8"/>
  <sheetViews>
    <sheetView workbookViewId="0">
      <selection activeCell="A36" sqref="A36"/>
    </sheetView>
  </sheetViews>
  <sheetFormatPr defaultRowHeight="15"/>
  <cols>
    <col min="1" max="1" width="28.85546875" customWidth="1"/>
  </cols>
  <sheetData>
    <row r="2" spans="1:25">
      <c r="A2" t="s">
        <v>7</v>
      </c>
      <c r="B2">
        <v>2017</v>
      </c>
      <c r="C2">
        <f>B2+1</f>
        <v>2018</v>
      </c>
      <c r="D2">
        <f t="shared" ref="D2:Y2" si="0">C2+1</f>
        <v>2019</v>
      </c>
      <c r="E2">
        <f t="shared" si="0"/>
        <v>2020</v>
      </c>
      <c r="F2">
        <f t="shared" si="0"/>
        <v>2021</v>
      </c>
      <c r="G2">
        <f t="shared" si="0"/>
        <v>2022</v>
      </c>
      <c r="H2">
        <f t="shared" si="0"/>
        <v>2023</v>
      </c>
      <c r="I2">
        <f t="shared" si="0"/>
        <v>2024</v>
      </c>
      <c r="J2">
        <f t="shared" si="0"/>
        <v>2025</v>
      </c>
      <c r="K2">
        <f t="shared" si="0"/>
        <v>2026</v>
      </c>
      <c r="L2">
        <f t="shared" si="0"/>
        <v>2027</v>
      </c>
      <c r="M2">
        <f t="shared" si="0"/>
        <v>2028</v>
      </c>
      <c r="N2">
        <f t="shared" si="0"/>
        <v>2029</v>
      </c>
      <c r="O2">
        <f t="shared" si="0"/>
        <v>2030</v>
      </c>
      <c r="P2">
        <f t="shared" si="0"/>
        <v>2031</v>
      </c>
      <c r="Q2">
        <f t="shared" si="0"/>
        <v>2032</v>
      </c>
      <c r="R2">
        <f t="shared" si="0"/>
        <v>2033</v>
      </c>
      <c r="S2">
        <f t="shared" si="0"/>
        <v>2034</v>
      </c>
      <c r="T2">
        <f t="shared" si="0"/>
        <v>2035</v>
      </c>
      <c r="U2">
        <f t="shared" si="0"/>
        <v>2036</v>
      </c>
      <c r="V2">
        <f t="shared" si="0"/>
        <v>2037</v>
      </c>
      <c r="W2">
        <f t="shared" si="0"/>
        <v>2038</v>
      </c>
      <c r="X2">
        <f t="shared" si="0"/>
        <v>2039</v>
      </c>
      <c r="Y2">
        <f t="shared" si="0"/>
        <v>2040</v>
      </c>
    </row>
    <row r="4" spans="1:25">
      <c r="A4" t="s">
        <v>12</v>
      </c>
    </row>
    <row r="5" spans="1:25" ht="15.75" thickBot="1">
      <c r="A5" t="s">
        <v>13</v>
      </c>
      <c r="B5" s="9">
        <v>921.5</v>
      </c>
      <c r="C5" s="10">
        <v>926.10749999999985</v>
      </c>
      <c r="D5" s="10">
        <v>935.36857499999985</v>
      </c>
      <c r="E5" s="10">
        <v>949.39910362499973</v>
      </c>
      <c r="F5" s="10">
        <v>962.69069107574978</v>
      </c>
      <c r="G5" s="10">
        <v>975.20567005973442</v>
      </c>
      <c r="H5" s="10">
        <v>986.9081381004512</v>
      </c>
      <c r="I5" s="10">
        <v>998.75103575765661</v>
      </c>
      <c r="J5" s="10">
        <v>1010.7360481867485</v>
      </c>
      <c r="K5" s="10">
        <v>1022.8648807649895</v>
      </c>
      <c r="L5" s="10">
        <v>1035.1392593341693</v>
      </c>
      <c r="M5" s="10">
        <v>1047.5609304461793</v>
      </c>
      <c r="N5" s="10">
        <v>1060.1316616115334</v>
      </c>
      <c r="O5" s="10">
        <v>1072.8532415508719</v>
      </c>
      <c r="P5" s="10">
        <v>1080.363214241728</v>
      </c>
      <c r="Q5" s="10">
        <v>1087.9257567414199</v>
      </c>
      <c r="R5" s="10">
        <v>1095.5412370386098</v>
      </c>
      <c r="S5" s="10">
        <v>1101.0189432238028</v>
      </c>
      <c r="T5" s="10">
        <v>1106.5240379399218</v>
      </c>
      <c r="U5" s="10">
        <v>1112.0566581296212</v>
      </c>
      <c r="V5" s="10">
        <v>1117.6169414202691</v>
      </c>
      <c r="W5" s="10">
        <v>1123.2050261273703</v>
      </c>
      <c r="X5" s="10">
        <v>1128.8210512580069</v>
      </c>
      <c r="Y5" s="10">
        <v>1134.465156514297</v>
      </c>
    </row>
    <row r="6" spans="1:25" ht="16.5" thickTop="1" thickBot="1">
      <c r="A6" t="s">
        <v>14</v>
      </c>
      <c r="B6" s="11">
        <v>225</v>
      </c>
      <c r="C6" s="10">
        <v>228.37499999999997</v>
      </c>
      <c r="D6" s="10">
        <v>231.80062499999994</v>
      </c>
      <c r="E6" s="10">
        <v>235.50943499999994</v>
      </c>
      <c r="F6" s="10">
        <v>239.27758595999995</v>
      </c>
      <c r="G6" s="10">
        <v>243.10602733535995</v>
      </c>
      <c r="H6" s="10">
        <v>246.99572377272571</v>
      </c>
      <c r="I6" s="10">
        <v>250.94765535308932</v>
      </c>
      <c r="J6" s="10">
        <v>254.96281783873874</v>
      </c>
      <c r="K6" s="10">
        <v>259.04222292415858</v>
      </c>
      <c r="L6" s="10">
        <v>263.18689849094511</v>
      </c>
      <c r="M6" s="10">
        <v>267.39788886680026</v>
      </c>
      <c r="N6" s="10">
        <v>271.67625508866905</v>
      </c>
      <c r="O6" s="10">
        <v>276.02307517008774</v>
      </c>
      <c r="P6" s="10">
        <v>280.16342129763905</v>
      </c>
      <c r="Q6" s="10">
        <v>284.36587261710361</v>
      </c>
      <c r="R6" s="10">
        <v>288.63136070636011</v>
      </c>
      <c r="S6" s="10">
        <v>292.96083111695549</v>
      </c>
      <c r="T6" s="10">
        <v>297.35524358370981</v>
      </c>
      <c r="U6" s="10">
        <v>301.8155722374654</v>
      </c>
      <c r="V6" s="10">
        <v>306.34280582102735</v>
      </c>
      <c r="W6" s="10">
        <v>310.93794790834272</v>
      </c>
      <c r="X6" s="10">
        <v>315.60201712696784</v>
      </c>
      <c r="Y6" s="10">
        <v>320.33604738387231</v>
      </c>
    </row>
    <row r="7" spans="1:25" ht="15.75" thickTop="1">
      <c r="A7" t="s">
        <v>11</v>
      </c>
      <c r="B7" s="12">
        <v>1146.5</v>
      </c>
      <c r="C7" s="12">
        <v>1154.4824999999998</v>
      </c>
      <c r="D7" s="12">
        <v>1167.1691999999998</v>
      </c>
      <c r="E7" s="12">
        <v>1184.9085386249997</v>
      </c>
      <c r="F7" s="12">
        <v>1201.9682770357497</v>
      </c>
      <c r="G7" s="12">
        <v>1218.3116973950944</v>
      </c>
      <c r="H7" s="12">
        <v>1233.903861873177</v>
      </c>
      <c r="I7" s="12">
        <v>1249.698691110746</v>
      </c>
      <c r="J7" s="12">
        <v>1265.6988660254872</v>
      </c>
      <c r="K7" s="12">
        <v>1281.907103689148</v>
      </c>
      <c r="L7" s="12">
        <v>1298.3261578251145</v>
      </c>
      <c r="M7" s="12">
        <v>1314.9588193129796</v>
      </c>
      <c r="N7" s="12">
        <v>1331.8079167002024</v>
      </c>
      <c r="O7" s="12">
        <v>1348.8763167209595</v>
      </c>
      <c r="P7" s="12">
        <v>1360.5266355393669</v>
      </c>
      <c r="Q7" s="12">
        <v>1372.2916293585236</v>
      </c>
      <c r="R7" s="12">
        <v>1384.1725977449698</v>
      </c>
      <c r="S7" s="12">
        <v>1393.9797743407582</v>
      </c>
      <c r="T7" s="12">
        <v>1403.8792815236316</v>
      </c>
      <c r="U7" s="12">
        <v>1413.8722303670866</v>
      </c>
      <c r="V7" s="12">
        <v>1423.9597472412966</v>
      </c>
      <c r="W7" s="12">
        <v>1434.142974035713</v>
      </c>
      <c r="X7" s="12">
        <v>1444.4230683849748</v>
      </c>
      <c r="Y7" s="12">
        <v>1454.8012038981692</v>
      </c>
    </row>
    <row r="9" spans="1:25">
      <c r="A9" t="s">
        <v>699</v>
      </c>
      <c r="B9" s="160">
        <v>2.5</v>
      </c>
    </row>
    <row r="10" spans="1:25">
      <c r="A10" s="7" t="s">
        <v>16</v>
      </c>
    </row>
    <row r="11" spans="1:25">
      <c r="A11" t="s">
        <v>15</v>
      </c>
    </row>
    <row r="12" spans="1:25">
      <c r="A12" t="s">
        <v>693</v>
      </c>
      <c r="B12" s="159">
        <v>1.3169999999999999</v>
      </c>
      <c r="C12" s="12">
        <v>2.0779999999999998</v>
      </c>
      <c r="D12" s="12">
        <v>2.93</v>
      </c>
      <c r="E12" s="12">
        <v>4.7160000000000002</v>
      </c>
      <c r="F12" s="12">
        <v>8.2309999999999999</v>
      </c>
      <c r="G12" s="12">
        <v>14.9</v>
      </c>
      <c r="H12" s="12">
        <v>21.77</v>
      </c>
      <c r="I12" s="12">
        <v>29.724</v>
      </c>
      <c r="J12" s="12">
        <v>40.709000000000003</v>
      </c>
      <c r="K12" s="12">
        <v>55.906999999999996</v>
      </c>
      <c r="L12" s="12">
        <v>77.953999999999994</v>
      </c>
      <c r="M12" s="12">
        <v>110.297</v>
      </c>
      <c r="N12" s="12">
        <v>151.40700000000001</v>
      </c>
      <c r="O12" s="12">
        <v>198.84299999999999</v>
      </c>
      <c r="P12" s="12">
        <v>228.852</v>
      </c>
      <c r="Q12" s="12">
        <v>257.24</v>
      </c>
      <c r="R12" s="12">
        <v>279.63099999999997</v>
      </c>
      <c r="S12" s="12">
        <v>300.57400000000001</v>
      </c>
      <c r="T12" s="12">
        <v>316.41399999999999</v>
      </c>
      <c r="U12" s="12">
        <v>330.5</v>
      </c>
      <c r="V12" s="12">
        <v>340.48899999999998</v>
      </c>
      <c r="W12" s="12">
        <v>352.73700000000002</v>
      </c>
      <c r="X12" s="12">
        <v>361.59100000000001</v>
      </c>
      <c r="Y12" s="12">
        <v>370.66699999999997</v>
      </c>
    </row>
    <row r="13" spans="1:25">
      <c r="A13" t="s">
        <v>694</v>
      </c>
      <c r="B13" s="12">
        <v>2E-3</v>
      </c>
      <c r="C13" s="13">
        <v>5.0000000000000001E-3</v>
      </c>
      <c r="D13" s="13">
        <v>1.4999999999999999E-2</v>
      </c>
      <c r="E13" s="13">
        <v>4.4999999999999998E-2</v>
      </c>
      <c r="F13" s="12">
        <v>0.13500000000000001</v>
      </c>
      <c r="G13" s="12">
        <v>0.27</v>
      </c>
      <c r="H13" s="12">
        <v>0.54</v>
      </c>
      <c r="I13" s="12">
        <v>1.08</v>
      </c>
      <c r="J13" s="12">
        <v>2</v>
      </c>
      <c r="K13" s="12">
        <v>3</v>
      </c>
      <c r="L13" s="12">
        <v>4.5</v>
      </c>
      <c r="M13" s="12">
        <v>6.75</v>
      </c>
      <c r="N13" s="12">
        <v>10.125</v>
      </c>
      <c r="O13" s="12">
        <v>13</v>
      </c>
      <c r="P13" s="12">
        <v>14.515000000000001</v>
      </c>
      <c r="Q13" s="12">
        <v>16.942</v>
      </c>
      <c r="R13" s="12">
        <v>20.635000000000002</v>
      </c>
      <c r="S13" s="12">
        <v>24.087</v>
      </c>
      <c r="T13" s="12">
        <v>28.114999999999998</v>
      </c>
      <c r="U13" s="12">
        <v>31.390999999999998</v>
      </c>
      <c r="V13" s="12">
        <v>35.048000000000002</v>
      </c>
      <c r="W13" s="12">
        <v>37.351999999999997</v>
      </c>
      <c r="X13" s="12">
        <v>39.049999999999997</v>
      </c>
      <c r="Y13" s="12">
        <v>40.823999999999998</v>
      </c>
    </row>
    <row r="14" spans="1:25">
      <c r="A14" t="s">
        <v>695</v>
      </c>
      <c r="B14" s="12">
        <v>1.319</v>
      </c>
      <c r="C14" s="12">
        <v>2.0830000000000002</v>
      </c>
      <c r="D14" s="12">
        <v>2.9449999999999998</v>
      </c>
      <c r="E14" s="12">
        <v>4.7610000000000001</v>
      </c>
      <c r="F14" s="12">
        <v>8.3659999999999997</v>
      </c>
      <c r="G14" s="12">
        <v>15.17</v>
      </c>
      <c r="H14" s="12">
        <v>22.31</v>
      </c>
      <c r="I14" s="12">
        <v>30.803999999999998</v>
      </c>
      <c r="J14" s="12">
        <v>42.709000000000003</v>
      </c>
      <c r="K14" s="12">
        <v>58.906999999999996</v>
      </c>
      <c r="L14" s="12">
        <v>82.453999999999994</v>
      </c>
      <c r="M14" s="12">
        <v>117.047</v>
      </c>
      <c r="N14" s="12">
        <v>161.53200000000001</v>
      </c>
      <c r="O14" s="12">
        <v>211.84299999999999</v>
      </c>
      <c r="P14" s="12">
        <v>243.36600000000001</v>
      </c>
      <c r="Q14" s="12">
        <v>274.18200000000002</v>
      </c>
      <c r="R14" s="12">
        <v>300.267</v>
      </c>
      <c r="S14" s="12">
        <v>324.66000000000003</v>
      </c>
      <c r="T14" s="12">
        <v>344.529</v>
      </c>
      <c r="U14" s="12">
        <v>361.89100000000002</v>
      </c>
      <c r="V14" s="12">
        <v>375.53699999999998</v>
      </c>
      <c r="W14" s="12">
        <v>390.089</v>
      </c>
      <c r="X14" s="12">
        <v>400.64100000000002</v>
      </c>
      <c r="Y14" s="12">
        <v>411.49200000000002</v>
      </c>
    </row>
    <row r="16" spans="1:25">
      <c r="A16" s="7" t="s">
        <v>17</v>
      </c>
    </row>
    <row r="17" spans="1:26">
      <c r="A17" t="s">
        <v>18</v>
      </c>
    </row>
    <row r="18" spans="1:26">
      <c r="A18" t="s">
        <v>693</v>
      </c>
      <c r="B18" s="159">
        <v>1.3169999999999999</v>
      </c>
      <c r="C18" s="12">
        <v>2.0779999999999998</v>
      </c>
      <c r="D18" s="12">
        <v>4.32</v>
      </c>
      <c r="E18" s="12">
        <v>5.66</v>
      </c>
      <c r="F18" s="12">
        <v>16.006</v>
      </c>
      <c r="G18" s="12">
        <v>32.084000000000003</v>
      </c>
      <c r="H18" s="12">
        <v>53.39</v>
      </c>
      <c r="I18" s="12">
        <v>75.186000000000007</v>
      </c>
      <c r="J18" s="12">
        <v>97.787999999999997</v>
      </c>
      <c r="K18" s="12">
        <v>126.816</v>
      </c>
      <c r="L18" s="12">
        <v>162.67099999999999</v>
      </c>
      <c r="M18" s="12">
        <v>200.816</v>
      </c>
      <c r="N18" s="12">
        <v>246.60499999999999</v>
      </c>
      <c r="O18" s="12">
        <v>294.11599999999999</v>
      </c>
      <c r="P18" s="12">
        <v>338.50400000000002</v>
      </c>
      <c r="Q18" s="12">
        <v>380.49299999999999</v>
      </c>
      <c r="R18" s="12">
        <v>413.61399999999998</v>
      </c>
      <c r="S18" s="12">
        <v>444.59199999999998</v>
      </c>
      <c r="T18" s="12">
        <v>468.02199999999999</v>
      </c>
      <c r="U18" s="12">
        <v>488.85599999999999</v>
      </c>
      <c r="V18" s="12">
        <v>503.63099999999997</v>
      </c>
      <c r="W18" s="12">
        <v>521.75</v>
      </c>
      <c r="X18" s="12">
        <v>534.846</v>
      </c>
      <c r="Y18" s="12">
        <v>548.27</v>
      </c>
    </row>
    <row r="19" spans="1:26">
      <c r="A19" t="s">
        <v>694</v>
      </c>
      <c r="B19" s="12">
        <v>2E-3</v>
      </c>
      <c r="C19" s="13">
        <v>5.0000000000000001E-3</v>
      </c>
      <c r="D19" s="13">
        <v>2.4E-2</v>
      </c>
      <c r="E19" s="13">
        <v>5.6000000000000001E-2</v>
      </c>
      <c r="F19" s="12">
        <v>0.29199999999999998</v>
      </c>
      <c r="G19" s="12">
        <v>0.65200000000000002</v>
      </c>
      <c r="H19" s="12">
        <v>1.4970000000000001</v>
      </c>
      <c r="I19" s="12">
        <v>3.0739999999999998</v>
      </c>
      <c r="J19" s="12">
        <v>5.3470000000000004</v>
      </c>
      <c r="K19" s="12">
        <v>7.5259999999999998</v>
      </c>
      <c r="L19" s="12">
        <v>10.298999999999999</v>
      </c>
      <c r="M19" s="12">
        <v>13.303000000000001</v>
      </c>
      <c r="N19" s="12">
        <v>16.739999999999998</v>
      </c>
      <c r="O19" s="12">
        <v>20.350999999999999</v>
      </c>
      <c r="P19" s="12">
        <v>22.722000000000001</v>
      </c>
      <c r="Q19" s="12">
        <v>26.521999999999998</v>
      </c>
      <c r="R19" s="12">
        <v>32.304000000000002</v>
      </c>
      <c r="S19" s="12">
        <v>37.707000000000001</v>
      </c>
      <c r="T19" s="12">
        <v>44.012999999999998</v>
      </c>
      <c r="U19" s="12">
        <v>49.14</v>
      </c>
      <c r="V19" s="12">
        <v>54.865000000000002</v>
      </c>
      <c r="W19" s="12">
        <v>58.472999999999999</v>
      </c>
      <c r="X19" s="12">
        <v>61.13</v>
      </c>
      <c r="Y19" s="12">
        <v>63.908999999999999</v>
      </c>
    </row>
    <row r="20" spans="1:26">
      <c r="A20" t="s">
        <v>695</v>
      </c>
      <c r="B20" s="12">
        <v>1.319</v>
      </c>
      <c r="C20" s="12">
        <v>2.0830000000000002</v>
      </c>
      <c r="D20" s="12">
        <v>4.3440000000000003</v>
      </c>
      <c r="E20" s="12">
        <v>5.7160000000000002</v>
      </c>
      <c r="F20" s="12">
        <v>16.297000000000001</v>
      </c>
      <c r="G20" s="12">
        <v>32.735999999999997</v>
      </c>
      <c r="H20" s="12">
        <v>54.887</v>
      </c>
      <c r="I20" s="12">
        <v>78.260999999999996</v>
      </c>
      <c r="J20" s="12">
        <v>103.136</v>
      </c>
      <c r="K20" s="12">
        <v>134.34200000000001</v>
      </c>
      <c r="L20" s="12">
        <v>172.97</v>
      </c>
      <c r="M20" s="12">
        <v>214.119</v>
      </c>
      <c r="N20" s="12">
        <v>263.346</v>
      </c>
      <c r="O20" s="12">
        <v>314.46699999999998</v>
      </c>
      <c r="P20" s="12">
        <v>361.226</v>
      </c>
      <c r="Q20" s="12">
        <v>407.01400000000001</v>
      </c>
      <c r="R20" s="12">
        <v>445.91800000000001</v>
      </c>
      <c r="S20" s="12">
        <v>482.298</v>
      </c>
      <c r="T20" s="12">
        <v>512.03399999999999</v>
      </c>
      <c r="U20" s="12">
        <v>537.99699999999996</v>
      </c>
      <c r="V20" s="12">
        <v>558.49599999999998</v>
      </c>
      <c r="W20" s="12">
        <v>580.22199999999998</v>
      </c>
      <c r="X20" s="12">
        <v>595.976</v>
      </c>
      <c r="Y20" s="12">
        <v>612.17899999999997</v>
      </c>
    </row>
    <row r="21" spans="1:26">
      <c r="B21" s="12"/>
      <c r="C21" s="12"/>
      <c r="D21" s="12"/>
      <c r="E21" s="12"/>
      <c r="F21" s="12"/>
      <c r="G21" s="12"/>
      <c r="H21" s="12"/>
      <c r="I21" s="12"/>
      <c r="J21" s="12"/>
      <c r="K21" s="12"/>
      <c r="L21" s="12"/>
      <c r="M21" s="12"/>
      <c r="N21" s="12"/>
      <c r="O21" s="12"/>
      <c r="P21" s="12"/>
      <c r="Q21" s="12"/>
      <c r="R21" s="12"/>
      <c r="S21" s="12"/>
      <c r="T21" s="12"/>
      <c r="U21" s="12"/>
      <c r="V21" s="12"/>
      <c r="W21" s="12"/>
      <c r="X21" s="12"/>
      <c r="Y21" s="12"/>
    </row>
    <row r="22" spans="1:26">
      <c r="A22" t="s">
        <v>698</v>
      </c>
      <c r="B22" s="12"/>
      <c r="C22" s="12"/>
      <c r="D22" s="12"/>
      <c r="E22" s="12"/>
      <c r="F22" s="12"/>
      <c r="G22" s="12"/>
      <c r="H22" s="12"/>
      <c r="I22" s="12"/>
      <c r="J22" s="12"/>
      <c r="K22" s="12"/>
      <c r="L22" s="12"/>
      <c r="M22" s="12"/>
      <c r="N22" s="12"/>
      <c r="O22" s="12"/>
      <c r="P22" s="12"/>
      <c r="Q22" s="12"/>
      <c r="R22" s="12"/>
      <c r="S22" s="12"/>
      <c r="T22" s="12"/>
      <c r="U22" s="12"/>
      <c r="V22" s="12"/>
      <c r="W22" s="12"/>
      <c r="X22" s="12"/>
      <c r="Y22" s="12"/>
    </row>
    <row r="23" spans="1:26">
      <c r="A23" t="s">
        <v>696</v>
      </c>
      <c r="B23" s="12">
        <f>B14/B7*100</f>
        <v>0.11504579153946795</v>
      </c>
      <c r="C23" s="12">
        <f t="shared" ref="C23:Y23" si="1">C14/C7*100</f>
        <v>0.18042716108732704</v>
      </c>
      <c r="D23" s="12">
        <f t="shared" si="1"/>
        <v>0.25231988643977243</v>
      </c>
      <c r="E23" s="12">
        <f t="shared" si="1"/>
        <v>0.40180316410959405</v>
      </c>
      <c r="F23" s="12">
        <f t="shared" si="1"/>
        <v>0.69602502493925411</v>
      </c>
      <c r="G23" s="12">
        <f>G14/G7*100</f>
        <v>1.2451657512962728</v>
      </c>
      <c r="H23" s="12">
        <f t="shared" si="1"/>
        <v>1.8080825167474077</v>
      </c>
      <c r="I23" s="12">
        <f t="shared" si="1"/>
        <v>2.4649141604382305</v>
      </c>
      <c r="J23" s="12">
        <f t="shared" si="1"/>
        <v>3.3743413339788817</v>
      </c>
      <c r="K23" s="12">
        <f t="shared" si="1"/>
        <v>4.5952627792196452</v>
      </c>
      <c r="L23" s="12">
        <f t="shared" si="1"/>
        <v>6.3507924802287326</v>
      </c>
      <c r="M23" s="12">
        <f t="shared" si="1"/>
        <v>8.9011912982303887</v>
      </c>
      <c r="N23" s="12">
        <f t="shared" si="1"/>
        <v>12.128776077576193</v>
      </c>
      <c r="O23" s="12">
        <f t="shared" si="1"/>
        <v>15.70514637805919</v>
      </c>
      <c r="P23" s="12">
        <f t="shared" si="1"/>
        <v>17.887632159698221</v>
      </c>
      <c r="Q23" s="12">
        <f t="shared" si="1"/>
        <v>19.979863910425959</v>
      </c>
      <c r="R23" s="12">
        <f t="shared" si="1"/>
        <v>21.692887179617713</v>
      </c>
      <c r="S23" s="12">
        <f t="shared" si="1"/>
        <v>23.290151405068872</v>
      </c>
      <c r="T23" s="12">
        <f t="shared" si="1"/>
        <v>24.541212662251297</v>
      </c>
      <c r="U23" s="12">
        <f t="shared" si="1"/>
        <v>25.59573575513549</v>
      </c>
      <c r="V23" s="12">
        <f t="shared" si="1"/>
        <v>26.372725825118671</v>
      </c>
      <c r="W23" s="12">
        <f t="shared" si="1"/>
        <v>27.20014720026694</v>
      </c>
      <c r="X23" s="12">
        <f t="shared" si="1"/>
        <v>27.737095091395979</v>
      </c>
      <c r="Y23" s="12">
        <f t="shared" si="1"/>
        <v>28.285101696190441</v>
      </c>
    </row>
    <row r="24" spans="1:26">
      <c r="A24" t="s">
        <v>697</v>
      </c>
      <c r="B24" s="12">
        <f>B20/B7*100</f>
        <v>0.11504579153946795</v>
      </c>
      <c r="C24" s="12">
        <f t="shared" ref="C24:Y24" si="2">C20/C7*100</f>
        <v>0.18042716108732704</v>
      </c>
      <c r="D24" s="12">
        <f t="shared" si="2"/>
        <v>0.37218254217126368</v>
      </c>
      <c r="E24" s="12">
        <f t="shared" si="2"/>
        <v>0.4824001020899894</v>
      </c>
      <c r="F24" s="12">
        <f t="shared" si="2"/>
        <v>1.3558594108815474</v>
      </c>
      <c r="G24" s="12">
        <f t="shared" si="2"/>
        <v>2.6869971018084891</v>
      </c>
      <c r="H24" s="12">
        <f t="shared" si="2"/>
        <v>4.4482395829993271</v>
      </c>
      <c r="I24" s="12">
        <f t="shared" si="2"/>
        <v>6.2623895309069058</v>
      </c>
      <c r="J24" s="12">
        <f t="shared" si="2"/>
        <v>8.1485417083342124</v>
      </c>
      <c r="K24" s="12">
        <f t="shared" si="2"/>
        <v>10.47985455524684</v>
      </c>
      <c r="L24" s="12">
        <f t="shared" si="2"/>
        <v>13.322538328100078</v>
      </c>
      <c r="M24" s="12">
        <f t="shared" si="2"/>
        <v>16.283323618595887</v>
      </c>
      <c r="N24" s="12">
        <f t="shared" si="2"/>
        <v>19.773572201949953</v>
      </c>
      <c r="O24" s="12">
        <f t="shared" si="2"/>
        <v>23.31325682731617</v>
      </c>
      <c r="P24" s="12">
        <f t="shared" si="2"/>
        <v>26.550454108294296</v>
      </c>
      <c r="Q24" s="12">
        <f t="shared" si="2"/>
        <v>29.659439093879651</v>
      </c>
      <c r="R24" s="12">
        <f t="shared" si="2"/>
        <v>32.215491097459164</v>
      </c>
      <c r="S24" s="12">
        <f t="shared" si="2"/>
        <v>34.598636858134377</v>
      </c>
      <c r="T24" s="12">
        <f t="shared" si="2"/>
        <v>36.47279411690505</v>
      </c>
      <c r="U24" s="12">
        <f t="shared" si="2"/>
        <v>38.051316692196345</v>
      </c>
      <c r="V24" s="12">
        <f t="shared" si="2"/>
        <v>39.221333403700513</v>
      </c>
      <c r="W24" s="12">
        <f t="shared" si="2"/>
        <v>40.457751458854993</v>
      </c>
      <c r="X24" s="12">
        <f t="shared" si="2"/>
        <v>41.260487529208959</v>
      </c>
      <c r="Y24" s="12">
        <f t="shared" si="2"/>
        <v>42.079907437501014</v>
      </c>
      <c r="Z24" s="12"/>
    </row>
    <row r="26" spans="1:26">
      <c r="A26" t="s">
        <v>11</v>
      </c>
    </row>
    <row r="27" spans="1:26">
      <c r="A27" t="s">
        <v>696</v>
      </c>
      <c r="B27" s="12">
        <f>B14/B7*100</f>
        <v>0.11504579153946795</v>
      </c>
    </row>
    <row r="28" spans="1:26">
      <c r="A28" t="s">
        <v>697</v>
      </c>
      <c r="B28" s="12">
        <f>B20/B7*100</f>
        <v>0.11504579153946795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E43" sqref="E43"/>
    </sheetView>
  </sheetViews>
  <sheetFormatPr defaultRowHeight="15"/>
  <sheetData>
    <row r="1" spans="1:9">
      <c r="A1" t="s">
        <v>148</v>
      </c>
    </row>
    <row r="2" spans="1:9" ht="15.75" thickBot="1"/>
    <row r="3" spans="1:9">
      <c r="A3" s="44" t="s">
        <v>149</v>
      </c>
      <c r="B3" s="44"/>
    </row>
    <row r="4" spans="1:9">
      <c r="A4" s="41" t="s">
        <v>150</v>
      </c>
      <c r="B4" s="41">
        <v>0.99057577125461305</v>
      </c>
    </row>
    <row r="5" spans="1:9">
      <c r="A5" s="41" t="s">
        <v>151</v>
      </c>
      <c r="B5" s="41">
        <v>0.98124035859667158</v>
      </c>
    </row>
    <row r="6" spans="1:9">
      <c r="A6" s="41" t="s">
        <v>152</v>
      </c>
      <c r="B6" s="41">
        <v>0.97498714479556214</v>
      </c>
    </row>
    <row r="7" spans="1:9">
      <c r="A7" s="41" t="s">
        <v>153</v>
      </c>
      <c r="B7" s="41">
        <v>5.4294304124949178E-2</v>
      </c>
    </row>
    <row r="8" spans="1:9" ht="15.75" thickBot="1">
      <c r="A8" s="42" t="s">
        <v>154</v>
      </c>
      <c r="B8" s="42">
        <v>5</v>
      </c>
    </row>
    <row r="10" spans="1:9" ht="15.75" thickBot="1">
      <c r="A10" t="s">
        <v>155</v>
      </c>
    </row>
    <row r="11" spans="1:9">
      <c r="A11" s="43"/>
      <c r="B11" s="43" t="s">
        <v>160</v>
      </c>
      <c r="C11" s="43" t="s">
        <v>161</v>
      </c>
      <c r="D11" s="43" t="s">
        <v>162</v>
      </c>
      <c r="E11" s="43" t="s">
        <v>163</v>
      </c>
      <c r="F11" s="43" t="s">
        <v>164</v>
      </c>
    </row>
    <row r="12" spans="1:9">
      <c r="A12" s="41" t="s">
        <v>156</v>
      </c>
      <c r="B12" s="41">
        <v>1</v>
      </c>
      <c r="C12" s="41">
        <v>0.46257341279436509</v>
      </c>
      <c r="D12" s="41">
        <v>0.46257341279436509</v>
      </c>
      <c r="E12" s="41">
        <v>156.91776897546296</v>
      </c>
      <c r="F12" s="41">
        <v>1.0966996361635112E-3</v>
      </c>
    </row>
    <row r="13" spans="1:9">
      <c r="A13" s="41" t="s">
        <v>157</v>
      </c>
      <c r="B13" s="41">
        <v>3</v>
      </c>
      <c r="C13" s="41">
        <v>8.8436143812374197E-3</v>
      </c>
      <c r="D13" s="41">
        <v>2.9478714604124732E-3</v>
      </c>
      <c r="E13" s="41"/>
      <c r="F13" s="41"/>
    </row>
    <row r="14" spans="1:9" ht="15.75" thickBot="1">
      <c r="A14" s="42" t="s">
        <v>158</v>
      </c>
      <c r="B14" s="42">
        <v>4</v>
      </c>
      <c r="C14" s="42">
        <v>0.47141702717560252</v>
      </c>
      <c r="D14" s="42"/>
      <c r="E14" s="42"/>
      <c r="F14" s="42"/>
    </row>
    <row r="15" spans="1:9" ht="15.75" thickBot="1"/>
    <row r="16" spans="1:9">
      <c r="A16" s="43"/>
      <c r="B16" s="43" t="s">
        <v>165</v>
      </c>
      <c r="C16" s="43" t="s">
        <v>153</v>
      </c>
      <c r="D16" s="43" t="s">
        <v>166</v>
      </c>
      <c r="E16" s="43" t="s">
        <v>167</v>
      </c>
      <c r="F16" s="43" t="s">
        <v>168</v>
      </c>
      <c r="G16" s="43" t="s">
        <v>169</v>
      </c>
      <c r="H16" s="43" t="s">
        <v>231</v>
      </c>
      <c r="I16" s="43" t="s">
        <v>232</v>
      </c>
    </row>
    <row r="17" spans="1:9">
      <c r="A17" s="41" t="s">
        <v>159</v>
      </c>
      <c r="B17" s="41">
        <v>38.769725279970018</v>
      </c>
      <c r="C17" s="41">
        <v>3.0494370990377404</v>
      </c>
      <c r="D17" s="41">
        <v>12.713731754691359</v>
      </c>
      <c r="E17" s="41">
        <v>1.0496939574098536E-3</v>
      </c>
      <c r="F17" s="41">
        <v>29.065055450942289</v>
      </c>
      <c r="G17" s="41">
        <v>48.474395108997747</v>
      </c>
      <c r="H17" s="41">
        <v>29.065055450942289</v>
      </c>
      <c r="I17" s="41">
        <v>48.474395108997747</v>
      </c>
    </row>
    <row r="18" spans="1:9" ht="15.75" thickBot="1">
      <c r="A18" s="42" t="s">
        <v>233</v>
      </c>
      <c r="B18" s="42">
        <v>-33.513638090200182</v>
      </c>
      <c r="C18" s="42">
        <v>2.6753802274010727</v>
      </c>
      <c r="D18" s="42">
        <v>-12.526682281253203</v>
      </c>
      <c r="E18" s="42">
        <v>1.0966996361635112E-3</v>
      </c>
      <c r="F18" s="42">
        <v>-42.027892010121818</v>
      </c>
      <c r="G18" s="42">
        <v>-24.999384170278546</v>
      </c>
      <c r="H18" s="42">
        <v>-42.027892010121818</v>
      </c>
      <c r="I18" s="42">
        <v>-24.999384170278546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S37" sqref="S37"/>
    </sheetView>
  </sheetViews>
  <sheetFormatPr defaultRowHeight="15"/>
  <sheetData>
    <row r="1" spans="1:9">
      <c r="A1" t="s">
        <v>148</v>
      </c>
    </row>
    <row r="2" spans="1:9" ht="15.75" thickBot="1"/>
    <row r="3" spans="1:9">
      <c r="A3" s="44" t="s">
        <v>149</v>
      </c>
      <c r="B3" s="44"/>
    </row>
    <row r="4" spans="1:9">
      <c r="A4" s="41" t="s">
        <v>150</v>
      </c>
      <c r="B4" s="41">
        <v>0.99561963949084309</v>
      </c>
    </row>
    <row r="5" spans="1:9">
      <c r="A5" s="41" t="s">
        <v>151</v>
      </c>
      <c r="B5" s="41">
        <v>0.99125846653987626</v>
      </c>
    </row>
    <row r="6" spans="1:9">
      <c r="A6" s="41" t="s">
        <v>152</v>
      </c>
      <c r="B6" s="41">
        <v>0.98907308317484532</v>
      </c>
    </row>
    <row r="7" spans="1:9">
      <c r="A7" s="41" t="s">
        <v>153</v>
      </c>
      <c r="B7" s="41">
        <v>1.8024339002967332E-2</v>
      </c>
    </row>
    <row r="8" spans="1:9" ht="15.75" thickBot="1">
      <c r="A8" s="42" t="s">
        <v>154</v>
      </c>
      <c r="B8" s="42">
        <v>6</v>
      </c>
    </row>
    <row r="10" spans="1:9" ht="15.75" thickBot="1">
      <c r="A10" t="s">
        <v>155</v>
      </c>
    </row>
    <row r="11" spans="1:9">
      <c r="A11" s="43"/>
      <c r="B11" s="43" t="s">
        <v>160</v>
      </c>
      <c r="C11" s="43" t="s">
        <v>161</v>
      </c>
      <c r="D11" s="43" t="s">
        <v>162</v>
      </c>
      <c r="E11" s="43" t="s">
        <v>163</v>
      </c>
      <c r="F11" s="43" t="s">
        <v>164</v>
      </c>
    </row>
    <row r="12" spans="1:9">
      <c r="A12" s="41" t="s">
        <v>156</v>
      </c>
      <c r="B12" s="41">
        <v>1</v>
      </c>
      <c r="C12" s="41">
        <v>0.14735944286020361</v>
      </c>
      <c r="D12" s="41">
        <v>0.14735944286020361</v>
      </c>
      <c r="E12" s="41">
        <v>453.58561907321473</v>
      </c>
      <c r="F12" s="41">
        <v>2.8739313074191877E-5</v>
      </c>
    </row>
    <row r="13" spans="1:9">
      <c r="A13" s="41" t="s">
        <v>157</v>
      </c>
      <c r="B13" s="41">
        <v>4</v>
      </c>
      <c r="C13" s="41">
        <v>1.2995071859755575E-3</v>
      </c>
      <c r="D13" s="41">
        <v>3.2487679649388938E-4</v>
      </c>
      <c r="E13" s="41"/>
      <c r="F13" s="41"/>
    </row>
    <row r="14" spans="1:9" ht="15.75" thickBot="1">
      <c r="A14" s="42" t="s">
        <v>158</v>
      </c>
      <c r="B14" s="42">
        <v>5</v>
      </c>
      <c r="C14" s="42">
        <v>0.14865895004617916</v>
      </c>
      <c r="D14" s="42"/>
      <c r="E14" s="42"/>
      <c r="F14" s="42"/>
    </row>
    <row r="15" spans="1:9" ht="15.75" thickBot="1"/>
    <row r="16" spans="1:9">
      <c r="A16" s="43"/>
      <c r="B16" s="43" t="s">
        <v>165</v>
      </c>
      <c r="C16" s="43" t="s">
        <v>153</v>
      </c>
      <c r="D16" s="43" t="s">
        <v>166</v>
      </c>
      <c r="E16" s="43" t="s">
        <v>167</v>
      </c>
      <c r="F16" s="43" t="s">
        <v>168</v>
      </c>
      <c r="G16" s="43" t="s">
        <v>169</v>
      </c>
      <c r="H16" s="43" t="s">
        <v>231</v>
      </c>
      <c r="I16" s="43" t="s">
        <v>232</v>
      </c>
    </row>
    <row r="17" spans="1:9">
      <c r="A17" s="41" t="s">
        <v>159</v>
      </c>
      <c r="B17" s="41">
        <v>8.5495811186731068</v>
      </c>
      <c r="C17" s="41">
        <v>0.38645457354474205</v>
      </c>
      <c r="D17" s="41">
        <v>22.123120552701319</v>
      </c>
      <c r="E17" s="41">
        <v>2.4710021867139097E-5</v>
      </c>
      <c r="F17" s="41">
        <v>7.4766112095735071</v>
      </c>
      <c r="G17" s="41">
        <v>9.6225510277727064</v>
      </c>
      <c r="H17" s="41">
        <v>7.4766112095735071</v>
      </c>
      <c r="I17" s="41">
        <v>9.6225510277727064</v>
      </c>
    </row>
    <row r="18" spans="1:9" ht="15.75" thickBot="1">
      <c r="A18" s="42" t="s">
        <v>233</v>
      </c>
      <c r="B18" s="42">
        <v>-6.690693160365516</v>
      </c>
      <c r="C18" s="42">
        <v>0.3141531906357628</v>
      </c>
      <c r="D18" s="42">
        <v>-21.297549602553222</v>
      </c>
      <c r="E18" s="42">
        <v>2.8739313074191826E-5</v>
      </c>
      <c r="F18" s="42">
        <v>-7.5629222487884489</v>
      </c>
      <c r="G18" s="42">
        <v>-5.8184640719425831</v>
      </c>
      <c r="H18" s="42">
        <v>-7.5629222487884489</v>
      </c>
      <c r="I18" s="42">
        <v>-5.8184640719425831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63"/>
  <sheetViews>
    <sheetView zoomScale="75" zoomScaleNormal="75" workbookViewId="0">
      <selection activeCell="K44" sqref="K44:K45"/>
    </sheetView>
  </sheetViews>
  <sheetFormatPr defaultRowHeight="15"/>
  <cols>
    <col min="2" max="2" width="17" customWidth="1"/>
    <col min="3" max="4" width="13.85546875" customWidth="1"/>
    <col min="5" max="5" width="16" customWidth="1"/>
    <col min="6" max="6" width="9.140625" customWidth="1"/>
    <col min="7" max="7" width="15.7109375" customWidth="1"/>
    <col min="8" max="8" width="7.28515625" customWidth="1"/>
    <col min="9" max="9" width="11.5703125" customWidth="1"/>
    <col min="10" max="10" width="18.7109375" customWidth="1"/>
    <col min="11" max="11" width="18.5703125" customWidth="1"/>
    <col min="12" max="13" width="18.7109375" customWidth="1"/>
    <col min="14" max="14" width="16" customWidth="1"/>
    <col min="18" max="18" width="15.5703125" customWidth="1"/>
    <col min="21" max="22" width="14.140625" customWidth="1"/>
    <col min="24" max="24" width="11.85546875" customWidth="1"/>
    <col min="25" max="25" width="13.42578125" customWidth="1"/>
    <col min="27" max="27" width="10.140625" customWidth="1"/>
    <col min="28" max="28" width="13.85546875" customWidth="1"/>
    <col min="29" max="29" width="13.5703125" customWidth="1"/>
    <col min="32" max="32" width="19.85546875" customWidth="1"/>
    <col min="34" max="34" width="14.7109375" customWidth="1"/>
  </cols>
  <sheetData>
    <row r="2" spans="1:34">
      <c r="S2" t="s">
        <v>918</v>
      </c>
      <c r="T2" t="s">
        <v>918</v>
      </c>
      <c r="U2" t="s">
        <v>929</v>
      </c>
      <c r="X2" s="124" t="s">
        <v>919</v>
      </c>
      <c r="Y2" t="s">
        <v>920</v>
      </c>
      <c r="Z2" t="s">
        <v>923</v>
      </c>
      <c r="AC2" t="s">
        <v>929</v>
      </c>
    </row>
    <row r="3" spans="1:34">
      <c r="B3" t="s">
        <v>896</v>
      </c>
      <c r="C3" t="s">
        <v>170</v>
      </c>
      <c r="E3" t="s">
        <v>897</v>
      </c>
      <c r="F3" t="s">
        <v>170</v>
      </c>
      <c r="I3" t="s">
        <v>329</v>
      </c>
      <c r="J3" t="s">
        <v>1088</v>
      </c>
      <c r="K3" t="s">
        <v>900</v>
      </c>
      <c r="M3" t="s">
        <v>932</v>
      </c>
      <c r="P3" t="s">
        <v>725</v>
      </c>
      <c r="Q3" t="s">
        <v>269</v>
      </c>
      <c r="R3" t="s">
        <v>917</v>
      </c>
      <c r="S3" t="s">
        <v>915</v>
      </c>
      <c r="T3" t="s">
        <v>916</v>
      </c>
      <c r="U3" t="s">
        <v>928</v>
      </c>
      <c r="X3" s="124" t="s">
        <v>313</v>
      </c>
      <c r="Y3" t="s">
        <v>921</v>
      </c>
      <c r="Z3" t="s">
        <v>924</v>
      </c>
      <c r="AA3" t="s">
        <v>925</v>
      </c>
      <c r="AB3" t="s">
        <v>926</v>
      </c>
      <c r="AC3" t="s">
        <v>927</v>
      </c>
      <c r="AF3" t="s">
        <v>930</v>
      </c>
      <c r="AH3" t="s">
        <v>931</v>
      </c>
    </row>
    <row r="4" spans="1:34">
      <c r="A4">
        <v>2009</v>
      </c>
      <c r="B4" s="13">
        <f>'EV %sales'!Y67</f>
        <v>9.0944063654437145E-3</v>
      </c>
      <c r="C4" s="13"/>
      <c r="J4" s="3"/>
      <c r="K4" s="3"/>
      <c r="M4" s="3">
        <f>AH4</f>
        <v>563.23215926155547</v>
      </c>
      <c r="O4">
        <v>2009</v>
      </c>
      <c r="P4">
        <f>'Vehicle price'!X5*1.2*1000</f>
        <v>27599.999999999996</v>
      </c>
      <c r="Q4" s="3">
        <f>P4*'Country Vehicle Prices'!AB81</f>
        <v>31302.801852580113</v>
      </c>
      <c r="R4" s="3">
        <f>Q4-P4</f>
        <v>3702.8018525801162</v>
      </c>
      <c r="S4" s="3">
        <f>R4/5</f>
        <v>740.56037051602323</v>
      </c>
      <c r="T4" s="3">
        <f>R4*0.1</f>
        <v>370.28018525801167</v>
      </c>
      <c r="U4" s="3">
        <f>S4+T4</f>
        <v>1110.8405557740348</v>
      </c>
      <c r="V4" s="3"/>
      <c r="W4">
        <v>2009</v>
      </c>
      <c r="X4" s="3">
        <v>179.58157104041402</v>
      </c>
      <c r="Y4">
        <v>10</v>
      </c>
      <c r="Z4">
        <v>10000</v>
      </c>
      <c r="AA4" s="3">
        <f>X4/100*Y4/100*Z4</f>
        <v>1795.81571040414</v>
      </c>
      <c r="AB4" s="3">
        <v>200</v>
      </c>
      <c r="AC4" s="3">
        <f>AA4-AB4</f>
        <v>1595.81571040414</v>
      </c>
      <c r="AE4">
        <v>2009</v>
      </c>
      <c r="AF4" s="3">
        <f>0.0025*Q4</f>
        <v>78.257004631450286</v>
      </c>
      <c r="AH4" s="3">
        <f>-U4+AC4+AF4</f>
        <v>563.23215926155547</v>
      </c>
    </row>
    <row r="5" spans="1:34">
      <c r="A5">
        <v>2010</v>
      </c>
      <c r="B5" s="13">
        <f>'EV %sales'!Y68</f>
        <v>1.6964627629336562E-2</v>
      </c>
      <c r="C5" s="13"/>
      <c r="J5" s="3"/>
      <c r="K5" s="3"/>
      <c r="M5" s="3">
        <f t="shared" ref="M5:M25" si="0">AH4</f>
        <v>563.23215926155547</v>
      </c>
      <c r="O5">
        <v>2010</v>
      </c>
      <c r="P5">
        <f>'Vehicle price'!X6*1.2*1000</f>
        <v>27599.999999999996</v>
      </c>
      <c r="Q5" s="3">
        <f>P5*'Country Vehicle Prices'!AB82</f>
        <v>30683.853085812454</v>
      </c>
      <c r="R5" s="3">
        <f t="shared" ref="R5:R25" si="1">Q5-P5</f>
        <v>3083.8530858124577</v>
      </c>
      <c r="S5" s="3">
        <f t="shared" ref="S5:S25" si="2">R5/5</f>
        <v>616.77061716249159</v>
      </c>
      <c r="T5" s="3">
        <f t="shared" ref="T5:T25" si="3">R5*0.1</f>
        <v>308.38530858124579</v>
      </c>
      <c r="U5" s="3">
        <f t="shared" ref="U5:U25" si="4">S5+T5</f>
        <v>925.15592574373738</v>
      </c>
      <c r="V5" s="3"/>
      <c r="W5">
        <v>2010</v>
      </c>
      <c r="X5" s="3">
        <v>229.53499895399685</v>
      </c>
      <c r="Y5" s="20">
        <f>Y4+(Y25-Y4)/21</f>
        <v>9.8095238095238102</v>
      </c>
      <c r="Z5">
        <v>10000</v>
      </c>
      <c r="AA5" s="3">
        <f t="shared" ref="AA5:AA25" si="5">X5/100*Y5/100*Z5</f>
        <v>2251.6290373582547</v>
      </c>
      <c r="AB5" s="3">
        <v>200</v>
      </c>
      <c r="AC5" s="3">
        <f t="shared" ref="AC5:AC25" si="6">AA5-AB5</f>
        <v>2051.6290373582547</v>
      </c>
      <c r="AE5">
        <v>2010</v>
      </c>
      <c r="AF5" s="3">
        <f t="shared" ref="AF5:AF25" si="7">0.0025*Q5</f>
        <v>76.709632714531139</v>
      </c>
      <c r="AH5" s="3">
        <f t="shared" ref="AH5:AH25" si="8">-U5+AC5+AF5</f>
        <v>1203.1827443290483</v>
      </c>
    </row>
    <row r="6" spans="1:34">
      <c r="A6">
        <v>2011</v>
      </c>
      <c r="B6" s="13">
        <f>'EV %sales'!Y69</f>
        <v>0.10234351891729328</v>
      </c>
      <c r="C6" s="13"/>
      <c r="J6" s="3"/>
      <c r="K6" s="3"/>
      <c r="M6" s="3">
        <f t="shared" si="0"/>
        <v>1203.1827443290483</v>
      </c>
      <c r="O6">
        <v>2011</v>
      </c>
      <c r="P6">
        <f>'Vehicle price'!X7*1.2*1000</f>
        <v>27599.999999999996</v>
      </c>
      <c r="Q6" s="3">
        <f>P6*'Country Vehicle Prices'!AB83</f>
        <v>30567.742112672993</v>
      </c>
      <c r="R6" s="3">
        <f t="shared" si="1"/>
        <v>2967.7421126729969</v>
      </c>
      <c r="S6" s="3">
        <f t="shared" si="2"/>
        <v>593.54842253459935</v>
      </c>
      <c r="T6" s="3">
        <f t="shared" si="3"/>
        <v>296.77421126729968</v>
      </c>
      <c r="U6" s="3">
        <f t="shared" si="4"/>
        <v>890.32263380189897</v>
      </c>
      <c r="V6" s="3"/>
      <c r="W6">
        <v>2011</v>
      </c>
      <c r="X6" s="3">
        <v>296.97618612050064</v>
      </c>
      <c r="Y6" s="20">
        <f>Y5+(Y25-Y4)/21</f>
        <v>9.6190476190476204</v>
      </c>
      <c r="Z6">
        <v>10000</v>
      </c>
      <c r="AA6" s="3">
        <f t="shared" si="5"/>
        <v>2856.6280760162449</v>
      </c>
      <c r="AB6" s="3">
        <v>200</v>
      </c>
      <c r="AC6" s="3">
        <f t="shared" si="6"/>
        <v>2656.6280760162449</v>
      </c>
      <c r="AE6">
        <v>2011</v>
      </c>
      <c r="AF6" s="3">
        <f t="shared" si="7"/>
        <v>76.419355281682485</v>
      </c>
      <c r="AH6" s="3">
        <f t="shared" si="8"/>
        <v>1842.7247974960285</v>
      </c>
    </row>
    <row r="7" spans="1:34">
      <c r="A7">
        <v>2012</v>
      </c>
      <c r="B7" s="13">
        <f>'EV %sales'!Y70</f>
        <v>0.23522435592921317</v>
      </c>
      <c r="C7" s="13">
        <f t="shared" ref="C7:C25" si="9">40*EXP(F7)/(1+EXP(F7))</f>
        <v>0.2381022004250955</v>
      </c>
      <c r="E7">
        <f t="shared" ref="E7:E12" si="10">LN(B7/(40-B7))</f>
        <v>-5.130197000546155</v>
      </c>
      <c r="F7">
        <f>F$28+F$29*I7+F$30*J7+F$31*K7</f>
        <v>-5.1179643959583601</v>
      </c>
      <c r="I7">
        <v>1</v>
      </c>
      <c r="J7" s="3">
        <f>M7</f>
        <v>1842.7247974960285</v>
      </c>
      <c r="K7" s="3">
        <f>'Range acceptance'!K7</f>
        <v>8.1857682376240835</v>
      </c>
      <c r="M7" s="3">
        <f t="shared" si="0"/>
        <v>1842.7247974960285</v>
      </c>
      <c r="O7">
        <v>2012</v>
      </c>
      <c r="P7">
        <f>'Vehicle price'!X8*1.2*1000</f>
        <v>27599.999999999996</v>
      </c>
      <c r="Q7" s="3">
        <f>P7*'Country Vehicle Prices'!AB84</f>
        <v>30068.880295844599</v>
      </c>
      <c r="R7" s="3">
        <f t="shared" si="1"/>
        <v>2468.8802958446031</v>
      </c>
      <c r="S7" s="3">
        <f t="shared" si="2"/>
        <v>493.7760591689206</v>
      </c>
      <c r="T7" s="3">
        <f t="shared" si="3"/>
        <v>246.88802958446033</v>
      </c>
      <c r="U7" s="3">
        <f t="shared" si="4"/>
        <v>740.66408875338095</v>
      </c>
      <c r="V7" s="3"/>
      <c r="W7">
        <v>2012</v>
      </c>
      <c r="X7" s="3">
        <v>272.64178994275176</v>
      </c>
      <c r="Y7" s="20">
        <f>Y6+(Y25-Y4)/21</f>
        <v>9.4285714285714306</v>
      </c>
      <c r="Z7">
        <v>10000</v>
      </c>
      <c r="AA7" s="3">
        <f t="shared" si="5"/>
        <v>2570.6225908888027</v>
      </c>
      <c r="AB7" s="3">
        <v>200</v>
      </c>
      <c r="AC7" s="3">
        <f t="shared" si="6"/>
        <v>2370.6225908888027</v>
      </c>
      <c r="AE7">
        <v>2012</v>
      </c>
      <c r="AF7" s="3">
        <f t="shared" si="7"/>
        <v>75.172200739611498</v>
      </c>
      <c r="AH7" s="3">
        <f t="shared" si="8"/>
        <v>1705.1307028750334</v>
      </c>
    </row>
    <row r="8" spans="1:34">
      <c r="A8">
        <v>2013</v>
      </c>
      <c r="B8" s="13">
        <f>'EV %sales'!Y71</f>
        <v>0.38403986642724675</v>
      </c>
      <c r="C8" s="13">
        <f t="shared" si="9"/>
        <v>0.37703355039996966</v>
      </c>
      <c r="E8">
        <f t="shared" si="10"/>
        <v>-4.636240983702514</v>
      </c>
      <c r="F8">
        <f t="shared" ref="F8:F24" si="11">F$28+F$29*I8+F$30*J8+F$31*K8</f>
        <v>-4.6548300133870333</v>
      </c>
      <c r="I8">
        <v>2</v>
      </c>
      <c r="J8" s="3">
        <f t="shared" ref="J8:J25" si="12">M8</f>
        <v>1705.1307028750334</v>
      </c>
      <c r="K8" s="3">
        <f>'Range acceptance'!K8</f>
        <v>12.10051888168177</v>
      </c>
      <c r="M8" s="3">
        <f t="shared" si="0"/>
        <v>1705.1307028750334</v>
      </c>
      <c r="O8">
        <v>2013</v>
      </c>
      <c r="P8">
        <f>'Vehicle price'!X9*1.2*1000</f>
        <v>27599.999999999996</v>
      </c>
      <c r="Q8" s="3">
        <f>P8*'Country Vehicle Prices'!AB85</f>
        <v>30721.309307596894</v>
      </c>
      <c r="R8" s="3">
        <f t="shared" si="1"/>
        <v>3121.3093075968973</v>
      </c>
      <c r="S8" s="3">
        <f t="shared" si="2"/>
        <v>624.26186151937941</v>
      </c>
      <c r="T8" s="3">
        <f t="shared" si="3"/>
        <v>312.13093075968976</v>
      </c>
      <c r="U8" s="3">
        <f t="shared" si="4"/>
        <v>936.39279227906923</v>
      </c>
      <c r="V8" s="3"/>
      <c r="W8">
        <v>2013</v>
      </c>
      <c r="X8" s="3">
        <v>270.6196908721285</v>
      </c>
      <c r="Y8" s="20">
        <f>Y7+(Y25-Y4)/21</f>
        <v>9.2380952380952408</v>
      </c>
      <c r="Z8">
        <v>10000</v>
      </c>
      <c r="AA8" s="3">
        <f t="shared" si="5"/>
        <v>2500.0104775806167</v>
      </c>
      <c r="AB8" s="3">
        <v>200</v>
      </c>
      <c r="AC8" s="3">
        <f t="shared" si="6"/>
        <v>2300.0104775806167</v>
      </c>
      <c r="AE8">
        <v>2013</v>
      </c>
      <c r="AF8" s="3">
        <f t="shared" si="7"/>
        <v>76.803273268992243</v>
      </c>
      <c r="AH8" s="3">
        <f t="shared" si="8"/>
        <v>1440.4209585705396</v>
      </c>
    </row>
    <row r="9" spans="1:34">
      <c r="A9">
        <v>2014</v>
      </c>
      <c r="B9" s="13">
        <f>'EV %sales'!Y72</f>
        <v>0.57247293705754376</v>
      </c>
      <c r="C9" s="13">
        <f t="shared" si="9"/>
        <v>0.54716637207896057</v>
      </c>
      <c r="E9">
        <f t="shared" si="10"/>
        <v>-4.2322540449632511</v>
      </c>
      <c r="F9">
        <f t="shared" si="11"/>
        <v>-4.2781082421462875</v>
      </c>
      <c r="I9">
        <v>3</v>
      </c>
      <c r="J9" s="3">
        <f t="shared" si="12"/>
        <v>1440.4209585705396</v>
      </c>
      <c r="K9" s="3">
        <f>'Range acceptance'!K9</f>
        <v>12.883469010493306</v>
      </c>
      <c r="M9" s="3">
        <f t="shared" si="0"/>
        <v>1440.4209585705396</v>
      </c>
      <c r="O9">
        <v>2014</v>
      </c>
      <c r="P9">
        <f>'Vehicle price'!X10*1.2*1000</f>
        <v>27599.999999999996</v>
      </c>
      <c r="Q9" s="3">
        <f>P9*'Country Vehicle Prices'!AB86</f>
        <v>29775.082346877851</v>
      </c>
      <c r="R9" s="3">
        <f t="shared" si="1"/>
        <v>2175.0823468778544</v>
      </c>
      <c r="S9" s="3">
        <f t="shared" si="2"/>
        <v>435.01646937557086</v>
      </c>
      <c r="T9" s="3">
        <f t="shared" si="3"/>
        <v>217.50823468778546</v>
      </c>
      <c r="U9" s="3">
        <f t="shared" si="4"/>
        <v>652.52470406335635</v>
      </c>
      <c r="V9" s="3"/>
      <c r="W9">
        <v>2014</v>
      </c>
      <c r="X9" s="3">
        <v>242.992530526802</v>
      </c>
      <c r="Y9" s="20">
        <f>Y8+(Y25-Y4)/21</f>
        <v>9.047619047619051</v>
      </c>
      <c r="Z9">
        <v>10000</v>
      </c>
      <c r="AA9" s="3">
        <f t="shared" si="5"/>
        <v>2198.5038476234477</v>
      </c>
      <c r="AB9" s="3">
        <v>200</v>
      </c>
      <c r="AC9" s="3">
        <f t="shared" si="6"/>
        <v>1998.5038476234477</v>
      </c>
      <c r="AE9">
        <v>2014</v>
      </c>
      <c r="AF9" s="3">
        <f t="shared" si="7"/>
        <v>74.437705867194623</v>
      </c>
      <c r="AH9" s="3">
        <f t="shared" si="8"/>
        <v>1420.416849427286</v>
      </c>
    </row>
    <row r="10" spans="1:34">
      <c r="A10">
        <v>2015</v>
      </c>
      <c r="B10" s="13">
        <f>'EV %sales'!Y73</f>
        <v>0.90247796151091464</v>
      </c>
      <c r="C10" s="13">
        <f t="shared" si="9"/>
        <v>0.84009690877884802</v>
      </c>
      <c r="E10">
        <f t="shared" si="10"/>
        <v>-3.7686700984600847</v>
      </c>
      <c r="F10">
        <f t="shared" si="11"/>
        <v>-3.8418913691765701</v>
      </c>
      <c r="I10">
        <v>4</v>
      </c>
      <c r="J10" s="3">
        <f t="shared" si="12"/>
        <v>1420.416849427286</v>
      </c>
      <c r="K10" s="3">
        <f>'Range acceptance'!K10</f>
        <v>13.666419139304844</v>
      </c>
      <c r="M10" s="3">
        <f t="shared" si="0"/>
        <v>1420.416849427286</v>
      </c>
      <c r="O10">
        <v>2015</v>
      </c>
      <c r="P10">
        <f>'Vehicle price'!X11*1.2*1000</f>
        <v>27599.999999999996</v>
      </c>
      <c r="Q10" s="3">
        <f>P10*'Country Vehicle Prices'!AB87</f>
        <v>29440.569312774787</v>
      </c>
      <c r="R10" s="3">
        <f t="shared" si="1"/>
        <v>1840.5693127747909</v>
      </c>
      <c r="S10" s="3">
        <f t="shared" si="2"/>
        <v>368.11386255495819</v>
      </c>
      <c r="T10" s="3">
        <f t="shared" si="3"/>
        <v>184.05693127747909</v>
      </c>
      <c r="U10" s="3">
        <f t="shared" si="4"/>
        <v>552.17079383243731</v>
      </c>
      <c r="V10" s="3"/>
      <c r="W10">
        <v>2015</v>
      </c>
      <c r="X10" s="3">
        <v>141.3711825424619</v>
      </c>
      <c r="Y10" s="20">
        <f>Y9+(Y25-Y4)/21</f>
        <v>8.8571428571428612</v>
      </c>
      <c r="Z10">
        <v>10000</v>
      </c>
      <c r="AA10" s="3">
        <f t="shared" si="5"/>
        <v>1252.1447596618059</v>
      </c>
      <c r="AB10" s="3">
        <v>200</v>
      </c>
      <c r="AC10" s="3">
        <f t="shared" si="6"/>
        <v>1052.1447596618059</v>
      </c>
      <c r="AE10">
        <v>2015</v>
      </c>
      <c r="AF10" s="3">
        <f t="shared" si="7"/>
        <v>73.601423281936974</v>
      </c>
      <c r="AH10" s="3">
        <f t="shared" si="8"/>
        <v>573.57538911130553</v>
      </c>
    </row>
    <row r="11" spans="1:34">
      <c r="A11">
        <v>2016</v>
      </c>
      <c r="B11" s="13">
        <f>'EV %sales'!Y74</f>
        <v>1.1362386310898671</v>
      </c>
      <c r="C11" s="13">
        <f t="shared" si="9"/>
        <v>1.0427741833839423</v>
      </c>
      <c r="E11">
        <f t="shared" si="10"/>
        <v>-3.5323388712652259</v>
      </c>
      <c r="F11">
        <f t="shared" si="11"/>
        <v>-3.620579624545091</v>
      </c>
      <c r="I11">
        <v>5</v>
      </c>
      <c r="J11" s="3">
        <f t="shared" si="12"/>
        <v>573.57538911130553</v>
      </c>
      <c r="K11" s="3">
        <f>'Range acceptance'!K11</f>
        <v>13.666419139304844</v>
      </c>
      <c r="M11" s="3">
        <f t="shared" si="0"/>
        <v>573.57538911130553</v>
      </c>
      <c r="O11">
        <v>2016</v>
      </c>
      <c r="P11">
        <f>'Vehicle price'!X12*1.2*1000</f>
        <v>27599.999999999996</v>
      </c>
      <c r="Q11" s="3">
        <f>P11*'Country Vehicle Prices'!AB88</f>
        <v>28143.212691197718</v>
      </c>
      <c r="R11" s="3">
        <f>Q11-P11</f>
        <v>543.21269119772114</v>
      </c>
      <c r="S11" s="3">
        <f t="shared" si="2"/>
        <v>108.64253823954422</v>
      </c>
      <c r="T11" s="3">
        <f t="shared" si="3"/>
        <v>54.321269119772118</v>
      </c>
      <c r="U11" s="3">
        <f>S11+T11</f>
        <v>162.96380735931635</v>
      </c>
      <c r="V11" s="3"/>
      <c r="W11">
        <v>2016</v>
      </c>
      <c r="X11" s="3">
        <v>121.96703773920697</v>
      </c>
      <c r="Y11" s="20">
        <f>Y10+(Y25-Y4)/21</f>
        <v>8.6666666666666714</v>
      </c>
      <c r="Z11">
        <v>10000</v>
      </c>
      <c r="AA11" s="3">
        <f t="shared" si="5"/>
        <v>1057.0476604064609</v>
      </c>
      <c r="AB11" s="3">
        <v>200</v>
      </c>
      <c r="AC11" s="3">
        <f t="shared" si="6"/>
        <v>857.04766040646086</v>
      </c>
      <c r="AE11">
        <v>2016</v>
      </c>
      <c r="AF11" s="3">
        <f t="shared" si="7"/>
        <v>70.358031727994302</v>
      </c>
      <c r="AH11" s="3">
        <f>-U11+AC11+AF11</f>
        <v>764.44188477513887</v>
      </c>
    </row>
    <row r="12" spans="1:34">
      <c r="A12">
        <v>2017</v>
      </c>
      <c r="B12" s="13">
        <f>'EV %sales'!Y75</f>
        <v>1.6633518305579627</v>
      </c>
      <c r="C12" s="13">
        <f t="shared" si="9"/>
        <v>1.7155002192527367</v>
      </c>
      <c r="E12">
        <f t="shared" si="10"/>
        <v>-3.1375715683325112</v>
      </c>
      <c r="F12">
        <f t="shared" si="11"/>
        <v>-3.1053403976844653</v>
      </c>
      <c r="I12">
        <v>6</v>
      </c>
      <c r="J12" s="3">
        <f t="shared" si="12"/>
        <v>764.44188477513887</v>
      </c>
      <c r="K12" s="3">
        <f>'Range acceptance'!K12</f>
        <v>16.015269525739456</v>
      </c>
      <c r="M12" s="3">
        <f>AH11</f>
        <v>764.44188477513887</v>
      </c>
      <c r="O12">
        <v>2017</v>
      </c>
      <c r="P12">
        <f>'Vehicle price'!X13*1.2*1000</f>
        <v>27599.999999999996</v>
      </c>
      <c r="Q12" s="3">
        <f>P12*'Country Vehicle Prices'!AB89</f>
        <v>28243.385209654316</v>
      </c>
      <c r="R12" s="3">
        <f t="shared" si="1"/>
        <v>643.38520965431962</v>
      </c>
      <c r="S12" s="3">
        <f t="shared" si="2"/>
        <v>128.67704193086394</v>
      </c>
      <c r="T12" s="3">
        <f t="shared" si="3"/>
        <v>64.338520965431968</v>
      </c>
      <c r="U12" s="3">
        <f t="shared" si="4"/>
        <v>193.0155628962959</v>
      </c>
      <c r="V12" s="3"/>
      <c r="W12">
        <v>2017</v>
      </c>
      <c r="X12" s="3">
        <v>135.74775994674863</v>
      </c>
      <c r="Y12" s="20">
        <f>Y11+(Y25-Y4)/21</f>
        <v>8.4761904761904816</v>
      </c>
      <c r="Z12">
        <v>10000</v>
      </c>
      <c r="AA12" s="3">
        <f t="shared" si="5"/>
        <v>1150.6238700248225</v>
      </c>
      <c r="AB12" s="3">
        <v>200</v>
      </c>
      <c r="AC12" s="3">
        <f t="shared" si="6"/>
        <v>950.62387002482251</v>
      </c>
      <c r="AE12">
        <v>2017</v>
      </c>
      <c r="AF12" s="3">
        <f t="shared" si="7"/>
        <v>70.608463024135787</v>
      </c>
      <c r="AH12" s="3">
        <f t="shared" si="8"/>
        <v>828.21677015266232</v>
      </c>
    </row>
    <row r="13" spans="1:34">
      <c r="A13">
        <v>2018</v>
      </c>
      <c r="C13" s="13">
        <f t="shared" si="9"/>
        <v>3.0452535253978139</v>
      </c>
      <c r="F13">
        <f t="shared" si="11"/>
        <v>-2.4961099385635044</v>
      </c>
      <c r="I13">
        <v>7</v>
      </c>
      <c r="J13" s="3">
        <f t="shared" si="12"/>
        <v>828.21677015266232</v>
      </c>
      <c r="K13" s="3">
        <f>'Range acceptance'!K13</f>
        <v>25.4106710714779</v>
      </c>
      <c r="M13" s="3">
        <f t="shared" si="0"/>
        <v>828.21677015266232</v>
      </c>
      <c r="O13">
        <v>2018</v>
      </c>
      <c r="P13">
        <f>'Vehicle price'!X14*1.2*1000</f>
        <v>27599.999999999996</v>
      </c>
      <c r="Q13" s="3">
        <f>P13*'Country Vehicle Prices'!AB90</f>
        <v>28884.429035218349</v>
      </c>
      <c r="R13" s="3">
        <f t="shared" si="1"/>
        <v>1284.4290352183525</v>
      </c>
      <c r="S13" s="3">
        <f t="shared" si="2"/>
        <v>256.88580704367052</v>
      </c>
      <c r="T13" s="3">
        <f t="shared" si="3"/>
        <v>128.44290352183526</v>
      </c>
      <c r="U13" s="3">
        <f t="shared" si="4"/>
        <v>385.32871056550579</v>
      </c>
      <c r="V13" s="3"/>
      <c r="W13">
        <v>2018</v>
      </c>
      <c r="X13" s="3">
        <v>150</v>
      </c>
      <c r="Y13" s="20">
        <f>Y12+(Y25-Y4)/21</f>
        <v>8.2857142857142918</v>
      </c>
      <c r="Z13">
        <v>10000</v>
      </c>
      <c r="AA13" s="3">
        <f>X13/100*Y13/100*Z13</f>
        <v>1242.8571428571438</v>
      </c>
      <c r="AB13" s="3">
        <v>200</v>
      </c>
      <c r="AC13" s="3">
        <f t="shared" si="6"/>
        <v>1042.8571428571438</v>
      </c>
      <c r="AE13">
        <v>2018</v>
      </c>
      <c r="AF13" s="3">
        <f t="shared" si="7"/>
        <v>72.21107258804588</v>
      </c>
      <c r="AH13" s="3">
        <f>-U13+AC13+AF13</f>
        <v>729.73950487968386</v>
      </c>
    </row>
    <row r="14" spans="1:34">
      <c r="A14">
        <v>2019</v>
      </c>
      <c r="C14" s="13">
        <f t="shared" si="9"/>
        <v>6.0130068903609848</v>
      </c>
      <c r="F14">
        <f t="shared" si="11"/>
        <v>-1.732052957856782</v>
      </c>
      <c r="I14">
        <v>8</v>
      </c>
      <c r="J14" s="3">
        <f t="shared" si="12"/>
        <v>729.73950487968386</v>
      </c>
      <c r="K14" s="3">
        <f>'Range acceptance'!K14</f>
        <v>45.767374420577866</v>
      </c>
      <c r="M14" s="3">
        <f t="shared" si="0"/>
        <v>729.73950487968386</v>
      </c>
      <c r="O14">
        <v>2019</v>
      </c>
      <c r="P14">
        <f>'Vehicle price'!X15*1.2*1000</f>
        <v>27599.999999999996</v>
      </c>
      <c r="Q14" s="3">
        <f>P14*'Country Vehicle Prices'!AB91</f>
        <v>30210.536471425905</v>
      </c>
      <c r="R14" s="3">
        <f t="shared" si="1"/>
        <v>2610.5364714259085</v>
      </c>
      <c r="S14" s="3">
        <f t="shared" si="2"/>
        <v>522.10729428518175</v>
      </c>
      <c r="T14" s="3">
        <f t="shared" si="3"/>
        <v>261.05364714259088</v>
      </c>
      <c r="U14" s="3">
        <f t="shared" si="4"/>
        <v>783.16094142777263</v>
      </c>
      <c r="V14" s="3"/>
      <c r="W14">
        <v>2019</v>
      </c>
      <c r="X14" s="3">
        <v>160</v>
      </c>
      <c r="Y14" s="20">
        <f>Y13+(Y25-Y4)/21</f>
        <v>8.095238095238102</v>
      </c>
      <c r="Z14">
        <v>10000</v>
      </c>
      <c r="AA14" s="3">
        <f t="shared" si="5"/>
        <v>1295.2380952380963</v>
      </c>
      <c r="AB14" s="3">
        <v>200</v>
      </c>
      <c r="AC14" s="3">
        <f t="shared" si="6"/>
        <v>1095.2380952380963</v>
      </c>
      <c r="AE14">
        <v>2019</v>
      </c>
      <c r="AF14" s="3">
        <f t="shared" si="7"/>
        <v>75.526341178564763</v>
      </c>
      <c r="AH14" s="3">
        <f t="shared" si="8"/>
        <v>387.60349498888843</v>
      </c>
    </row>
    <row r="15" spans="1:34">
      <c r="A15">
        <v>2020</v>
      </c>
      <c r="C15" s="13">
        <f t="shared" si="9"/>
        <v>9.7056671563993167</v>
      </c>
      <c r="F15">
        <f t="shared" si="11"/>
        <v>-1.1382507023238095</v>
      </c>
      <c r="I15">
        <v>9</v>
      </c>
      <c r="J15" s="3">
        <f t="shared" si="12"/>
        <v>387.60349498888843</v>
      </c>
      <c r="K15" s="3">
        <f>'Range acceptance'!K15</f>
        <v>59.860476739185536</v>
      </c>
      <c r="M15" s="3">
        <f t="shared" si="0"/>
        <v>387.60349498888843</v>
      </c>
      <c r="O15">
        <v>2020</v>
      </c>
      <c r="P15">
        <f>'Vehicle price'!X16*1.2*1000</f>
        <v>27599.999999999996</v>
      </c>
      <c r="Q15" s="3">
        <f>P15*'Country Vehicle Prices'!AB92</f>
        <v>30575.823703537793</v>
      </c>
      <c r="R15" s="3">
        <f t="shared" si="1"/>
        <v>2975.823703537797</v>
      </c>
      <c r="S15" s="3">
        <f t="shared" si="2"/>
        <v>595.16474070755942</v>
      </c>
      <c r="T15" s="3">
        <f t="shared" si="3"/>
        <v>297.58237035377971</v>
      </c>
      <c r="U15" s="3">
        <f t="shared" si="4"/>
        <v>892.74711106133918</v>
      </c>
      <c r="V15" s="3"/>
      <c r="W15">
        <v>2020</v>
      </c>
      <c r="X15" s="3">
        <v>160</v>
      </c>
      <c r="Y15" s="20">
        <f>Y14+(Y25-Y4)/21</f>
        <v>7.9047619047619113</v>
      </c>
      <c r="Z15">
        <v>10000</v>
      </c>
      <c r="AA15" s="3">
        <f t="shared" si="5"/>
        <v>1264.761904761906</v>
      </c>
      <c r="AB15" s="3">
        <v>200</v>
      </c>
      <c r="AC15" s="3">
        <f t="shared" si="6"/>
        <v>1064.761904761906</v>
      </c>
      <c r="AE15">
        <v>2020</v>
      </c>
      <c r="AF15" s="3">
        <f t="shared" si="7"/>
        <v>76.439559258844483</v>
      </c>
      <c r="AH15" s="3">
        <f t="shared" si="8"/>
        <v>248.45435295941127</v>
      </c>
    </row>
    <row r="16" spans="1:34">
      <c r="A16">
        <v>2021</v>
      </c>
      <c r="C16" s="13">
        <f t="shared" si="9"/>
        <v>14.957589055310144</v>
      </c>
      <c r="F16">
        <f t="shared" si="11"/>
        <v>-0.51535202517618006</v>
      </c>
      <c r="I16">
        <v>10</v>
      </c>
      <c r="J16" s="3">
        <f t="shared" si="12"/>
        <v>248.45435295941127</v>
      </c>
      <c r="K16" s="3">
        <f>'Range acceptance'!K16</f>
        <v>72.810723293466779</v>
      </c>
      <c r="M16" s="3">
        <f t="shared" si="0"/>
        <v>248.45435295941127</v>
      </c>
      <c r="O16">
        <v>2021</v>
      </c>
      <c r="P16">
        <f>'Vehicle price'!X17*1.2*1000</f>
        <v>27599.999999999996</v>
      </c>
      <c r="Q16" s="3">
        <f>P16*'Country Vehicle Prices'!AB93</f>
        <v>30249.688219275755</v>
      </c>
      <c r="R16" s="3">
        <f t="shared" si="1"/>
        <v>2649.6882192757585</v>
      </c>
      <c r="S16" s="3">
        <f t="shared" si="2"/>
        <v>529.93764385515169</v>
      </c>
      <c r="T16" s="3">
        <f t="shared" si="3"/>
        <v>264.96882192757585</v>
      </c>
      <c r="U16" s="3">
        <f t="shared" si="4"/>
        <v>794.90646578272754</v>
      </c>
      <c r="V16" s="3"/>
      <c r="W16">
        <v>2021</v>
      </c>
      <c r="X16" s="3">
        <v>160</v>
      </c>
      <c r="Y16" s="20">
        <f>Y15+(Y25-Y4)/21</f>
        <v>7.7142857142857206</v>
      </c>
      <c r="Z16">
        <v>10000</v>
      </c>
      <c r="AA16" s="3">
        <f t="shared" si="5"/>
        <v>1234.2857142857154</v>
      </c>
      <c r="AB16" s="3">
        <v>200</v>
      </c>
      <c r="AC16" s="3">
        <f t="shared" si="6"/>
        <v>1034.2857142857154</v>
      </c>
      <c r="AE16">
        <v>2021</v>
      </c>
      <c r="AF16" s="3">
        <f t="shared" si="7"/>
        <v>75.624220548189385</v>
      </c>
      <c r="AH16" s="3">
        <f t="shared" si="8"/>
        <v>315.00346905117721</v>
      </c>
    </row>
    <row r="17" spans="1:34">
      <c r="A17">
        <v>2022</v>
      </c>
      <c r="C17" s="13">
        <f t="shared" si="9"/>
        <v>20.91010330581587</v>
      </c>
      <c r="F17">
        <f t="shared" si="11"/>
        <v>9.1073227718165839E-2</v>
      </c>
      <c r="I17">
        <v>11</v>
      </c>
      <c r="J17" s="3">
        <f t="shared" si="12"/>
        <v>315.00346905117721</v>
      </c>
      <c r="K17" s="3">
        <f>'Range acceptance'!K17</f>
        <v>82.009794280532631</v>
      </c>
      <c r="M17" s="3">
        <f t="shared" si="0"/>
        <v>315.00346905117721</v>
      </c>
      <c r="O17">
        <v>2022</v>
      </c>
      <c r="P17">
        <f>'Vehicle price'!X18*1.2*1000</f>
        <v>27599.999999999996</v>
      </c>
      <c r="Q17" s="3">
        <f>P17*'Country Vehicle Prices'!AB94</f>
        <v>30792.394887962593</v>
      </c>
      <c r="R17" s="3">
        <f t="shared" si="1"/>
        <v>3192.3948879625968</v>
      </c>
      <c r="S17" s="3">
        <f t="shared" si="2"/>
        <v>638.47897759251941</v>
      </c>
      <c r="T17" s="3">
        <f t="shared" si="3"/>
        <v>319.23948879625971</v>
      </c>
      <c r="U17" s="3">
        <f t="shared" si="4"/>
        <v>957.71846638877912</v>
      </c>
      <c r="V17" s="3"/>
      <c r="W17">
        <v>2022</v>
      </c>
      <c r="X17" s="3">
        <v>160</v>
      </c>
      <c r="Y17" s="20">
        <f>Y16+(Y25-Y4)/21</f>
        <v>7.5238095238095299</v>
      </c>
      <c r="Z17">
        <v>10000</v>
      </c>
      <c r="AA17" s="3">
        <f t="shared" si="5"/>
        <v>1203.809523809525</v>
      </c>
      <c r="AB17" s="3">
        <v>200</v>
      </c>
      <c r="AC17" s="3">
        <f t="shared" si="6"/>
        <v>1003.809523809525</v>
      </c>
      <c r="AE17">
        <v>2022</v>
      </c>
      <c r="AF17" s="3">
        <f t="shared" si="7"/>
        <v>76.980987219906481</v>
      </c>
      <c r="AH17" s="3">
        <f t="shared" si="8"/>
        <v>123.07204464065235</v>
      </c>
    </row>
    <row r="18" spans="1:34">
      <c r="A18">
        <v>2023</v>
      </c>
      <c r="C18" s="13">
        <f t="shared" si="9"/>
        <v>25.424681796459613</v>
      </c>
      <c r="F18">
        <f t="shared" si="11"/>
        <v>0.55639086233106116</v>
      </c>
      <c r="I18">
        <v>12</v>
      </c>
      <c r="J18" s="3">
        <f t="shared" si="12"/>
        <v>123.07204464065235</v>
      </c>
      <c r="K18" s="3">
        <f>'Range acceptance'!K18</f>
        <v>86.793113660401801</v>
      </c>
      <c r="M18" s="3">
        <f t="shared" si="0"/>
        <v>123.07204464065235</v>
      </c>
      <c r="O18">
        <v>2023</v>
      </c>
      <c r="P18">
        <f>'Vehicle price'!X19*1.2*1000</f>
        <v>27599.999999999996</v>
      </c>
      <c r="Q18" s="3">
        <f>P18*'Country Vehicle Prices'!AB95</f>
        <v>30493.336955399103</v>
      </c>
      <c r="R18" s="3">
        <f t="shared" si="1"/>
        <v>2893.336955399107</v>
      </c>
      <c r="S18" s="3">
        <f t="shared" si="2"/>
        <v>578.66739107982141</v>
      </c>
      <c r="T18" s="3">
        <f t="shared" si="3"/>
        <v>289.33369553991071</v>
      </c>
      <c r="U18" s="3">
        <f t="shared" si="4"/>
        <v>868.00108661973218</v>
      </c>
      <c r="V18" s="3"/>
      <c r="W18">
        <v>2023</v>
      </c>
      <c r="X18" s="3">
        <v>160</v>
      </c>
      <c r="Y18" s="20">
        <f>Y17+(Y25-Y4)/21</f>
        <v>7.3333333333333393</v>
      </c>
      <c r="Z18">
        <v>10000</v>
      </c>
      <c r="AA18" s="3">
        <f t="shared" si="5"/>
        <v>1173.3333333333344</v>
      </c>
      <c r="AB18" s="3">
        <v>200</v>
      </c>
      <c r="AC18" s="3">
        <f t="shared" si="6"/>
        <v>973.33333333333439</v>
      </c>
      <c r="AE18">
        <v>2023</v>
      </c>
      <c r="AF18" s="3">
        <f t="shared" si="7"/>
        <v>76.233342388497761</v>
      </c>
      <c r="AH18" s="3">
        <f t="shared" si="8"/>
        <v>181.56558910209998</v>
      </c>
    </row>
    <row r="19" spans="1:34">
      <c r="A19">
        <v>2024</v>
      </c>
      <c r="C19" s="13">
        <f t="shared" si="9"/>
        <v>29.225158801241218</v>
      </c>
      <c r="F19">
        <f t="shared" si="11"/>
        <v>0.99781604314287409</v>
      </c>
      <c r="I19">
        <v>13</v>
      </c>
      <c r="J19" s="3">
        <f t="shared" si="12"/>
        <v>181.56558910209998</v>
      </c>
      <c r="K19" s="3">
        <f>'Range acceptance'!K19</f>
        <v>86.793113660401801</v>
      </c>
      <c r="M19" s="3">
        <f t="shared" si="0"/>
        <v>181.56558910209998</v>
      </c>
      <c r="O19">
        <v>2024</v>
      </c>
      <c r="P19">
        <f>'Vehicle price'!X20*1.2*1000</f>
        <v>27599.999999999996</v>
      </c>
      <c r="Q19" s="3">
        <f>P19*'Country Vehicle Prices'!AB96</f>
        <v>29248.831584104697</v>
      </c>
      <c r="R19" s="3">
        <f t="shared" si="1"/>
        <v>1648.8315841047006</v>
      </c>
      <c r="S19" s="3">
        <f t="shared" si="2"/>
        <v>329.76631682094012</v>
      </c>
      <c r="T19" s="3">
        <f t="shared" si="3"/>
        <v>164.88315841047006</v>
      </c>
      <c r="U19" s="3">
        <f t="shared" si="4"/>
        <v>494.64947523141018</v>
      </c>
      <c r="V19" s="3"/>
      <c r="W19">
        <v>2024</v>
      </c>
      <c r="X19" s="3">
        <v>160</v>
      </c>
      <c r="Y19" s="20">
        <f>Y18+(Y25-Y4)/21</f>
        <v>7.1428571428571486</v>
      </c>
      <c r="Z19">
        <v>10000</v>
      </c>
      <c r="AA19" s="3">
        <f t="shared" si="5"/>
        <v>1142.8571428571438</v>
      </c>
      <c r="AB19" s="3">
        <v>200</v>
      </c>
      <c r="AC19" s="3">
        <f t="shared" si="6"/>
        <v>942.8571428571438</v>
      </c>
      <c r="AE19">
        <v>2024</v>
      </c>
      <c r="AF19" s="3">
        <f t="shared" si="7"/>
        <v>73.122078960261746</v>
      </c>
      <c r="AH19" s="3">
        <f t="shared" si="8"/>
        <v>521.32974658599539</v>
      </c>
    </row>
    <row r="20" spans="1:34">
      <c r="A20">
        <v>2025</v>
      </c>
      <c r="C20" s="13">
        <f t="shared" si="9"/>
        <v>32.74836657605421</v>
      </c>
      <c r="F20">
        <f t="shared" si="11"/>
        <v>1.507626341952131</v>
      </c>
      <c r="I20">
        <v>14</v>
      </c>
      <c r="J20" s="3">
        <f t="shared" si="12"/>
        <v>521.32974658599539</v>
      </c>
      <c r="K20" s="3">
        <f>'Range acceptance'!K20</f>
        <v>86.793113660401801</v>
      </c>
      <c r="M20" s="3">
        <f t="shared" si="0"/>
        <v>521.32974658599539</v>
      </c>
      <c r="O20">
        <v>2025</v>
      </c>
      <c r="P20">
        <f>'Vehicle price'!X21*1.2*1000</f>
        <v>27599.999999999996</v>
      </c>
      <c r="Q20" s="3">
        <f>P20*'Country Vehicle Prices'!AB97</f>
        <v>28184.019949035872</v>
      </c>
      <c r="R20" s="3">
        <f t="shared" si="1"/>
        <v>584.01994903587547</v>
      </c>
      <c r="S20" s="3">
        <f t="shared" si="2"/>
        <v>116.8039898071751</v>
      </c>
      <c r="T20" s="3">
        <f t="shared" si="3"/>
        <v>58.40199490358755</v>
      </c>
      <c r="U20" s="3">
        <f t="shared" si="4"/>
        <v>175.20598471076266</v>
      </c>
      <c r="V20" s="3"/>
      <c r="W20">
        <v>2025</v>
      </c>
      <c r="X20" s="3">
        <v>160</v>
      </c>
      <c r="Y20" s="20">
        <f>Y19+(Y25-Y4)/21</f>
        <v>6.9523809523809579</v>
      </c>
      <c r="Z20">
        <v>10000</v>
      </c>
      <c r="AA20" s="3">
        <f t="shared" si="5"/>
        <v>1112.3809523809534</v>
      </c>
      <c r="AB20" s="3">
        <v>200</v>
      </c>
      <c r="AC20" s="3">
        <f t="shared" si="6"/>
        <v>912.38095238095343</v>
      </c>
      <c r="AE20">
        <v>2025</v>
      </c>
      <c r="AF20" s="3">
        <f t="shared" si="7"/>
        <v>70.460049872589678</v>
      </c>
      <c r="AH20" s="3">
        <f t="shared" si="8"/>
        <v>807.63501754278047</v>
      </c>
    </row>
    <row r="21" spans="1:34">
      <c r="A21">
        <v>2026</v>
      </c>
      <c r="C21" s="13">
        <f t="shared" si="9"/>
        <v>35.250495214458873</v>
      </c>
      <c r="F21">
        <f t="shared" si="11"/>
        <v>2.0044392208607285</v>
      </c>
      <c r="I21">
        <v>15</v>
      </c>
      <c r="J21" s="3">
        <f t="shared" si="12"/>
        <v>807.63501754278047</v>
      </c>
      <c r="K21" s="3">
        <f>'Range acceptance'!K21</f>
        <v>86.793113660401801</v>
      </c>
      <c r="M21" s="3">
        <f t="shared" si="0"/>
        <v>807.63501754278047</v>
      </c>
      <c r="O21">
        <v>2026</v>
      </c>
      <c r="P21">
        <f>'Vehicle price'!X22*1.2*1000</f>
        <v>27599.999999999996</v>
      </c>
      <c r="Q21" s="3">
        <f>P21*'Country Vehicle Prices'!AB98</f>
        <v>27589.427296072146</v>
      </c>
      <c r="R21" s="3">
        <f t="shared" si="1"/>
        <v>-10.572703927849943</v>
      </c>
      <c r="S21" s="3">
        <f t="shared" si="2"/>
        <v>-2.1145407855699885</v>
      </c>
      <c r="T21" s="3">
        <f t="shared" si="3"/>
        <v>-1.0572703927849945</v>
      </c>
      <c r="U21" s="3">
        <f t="shared" si="4"/>
        <v>-3.1718111783549832</v>
      </c>
      <c r="V21" s="3"/>
      <c r="W21">
        <v>2026</v>
      </c>
      <c r="X21" s="3">
        <v>160</v>
      </c>
      <c r="Y21" s="20">
        <f>Y20+(Y25-Y4)/21</f>
        <v>6.7619047619047672</v>
      </c>
      <c r="Z21">
        <v>10000</v>
      </c>
      <c r="AA21" s="3">
        <f t="shared" si="5"/>
        <v>1081.9047619047628</v>
      </c>
      <c r="AB21" s="3">
        <v>200</v>
      </c>
      <c r="AC21" s="3">
        <f t="shared" si="6"/>
        <v>881.90476190476284</v>
      </c>
      <c r="AE21">
        <v>2026</v>
      </c>
      <c r="AF21" s="3">
        <f t="shared" si="7"/>
        <v>68.97356824018037</v>
      </c>
      <c r="AH21" s="3">
        <f t="shared" si="8"/>
        <v>954.05014132329825</v>
      </c>
    </row>
    <row r="22" spans="1:34">
      <c r="A22">
        <v>2027</v>
      </c>
      <c r="C22" s="13">
        <f t="shared" si="9"/>
        <v>36.872524961864606</v>
      </c>
      <c r="F22">
        <f t="shared" si="11"/>
        <v>2.4672407108135772</v>
      </c>
      <c r="I22">
        <v>16</v>
      </c>
      <c r="J22" s="3">
        <f t="shared" si="12"/>
        <v>954.05014132329825</v>
      </c>
      <c r="K22" s="3">
        <f>'Range acceptance'!K22</f>
        <v>86.793113660401801</v>
      </c>
      <c r="M22" s="3">
        <f t="shared" si="0"/>
        <v>954.05014132329825</v>
      </c>
      <c r="O22">
        <v>2027</v>
      </c>
      <c r="P22">
        <f>'Vehicle price'!X23*1.2*1000</f>
        <v>27599.999999999996</v>
      </c>
      <c r="Q22" s="3">
        <f>P22*'Country Vehicle Prices'!AB99</f>
        <v>26994.234802290932</v>
      </c>
      <c r="R22" s="3">
        <f t="shared" si="1"/>
        <v>-605.76519770906452</v>
      </c>
      <c r="S22" s="3">
        <f t="shared" si="2"/>
        <v>-121.1530395418129</v>
      </c>
      <c r="T22" s="3">
        <f t="shared" si="3"/>
        <v>-60.576519770906458</v>
      </c>
      <c r="U22" s="3">
        <f t="shared" si="4"/>
        <v>-181.72955931271935</v>
      </c>
      <c r="V22" s="3"/>
      <c r="W22">
        <v>2027</v>
      </c>
      <c r="X22" s="3">
        <v>160</v>
      </c>
      <c r="Y22" s="20">
        <f>Y21+(Y25-Y4)/21</f>
        <v>6.5714285714285765</v>
      </c>
      <c r="Z22">
        <v>10000</v>
      </c>
      <c r="AA22" s="3">
        <f t="shared" si="5"/>
        <v>1051.4285714285722</v>
      </c>
      <c r="AB22" s="3">
        <v>200</v>
      </c>
      <c r="AC22" s="3">
        <f t="shared" si="6"/>
        <v>851.42857142857224</v>
      </c>
      <c r="AE22">
        <v>2027</v>
      </c>
      <c r="AF22" s="3">
        <f t="shared" si="7"/>
        <v>67.485587005727325</v>
      </c>
      <c r="AH22" s="3">
        <f t="shared" si="8"/>
        <v>1100.6437177470189</v>
      </c>
    </row>
    <row r="23" spans="1:34">
      <c r="A23">
        <v>2028</v>
      </c>
      <c r="C23" s="13">
        <f t="shared" si="9"/>
        <v>37.972551738657067</v>
      </c>
      <c r="F23">
        <f t="shared" si="11"/>
        <v>2.9300855878267771</v>
      </c>
      <c r="I23">
        <v>17</v>
      </c>
      <c r="J23" s="3">
        <f t="shared" si="12"/>
        <v>1100.6437177470189</v>
      </c>
      <c r="K23" s="3">
        <f>'Range acceptance'!K23</f>
        <v>86.793113660401801</v>
      </c>
      <c r="M23" s="3">
        <f t="shared" si="0"/>
        <v>1100.6437177470189</v>
      </c>
      <c r="O23">
        <v>2028</v>
      </c>
      <c r="P23">
        <f>'Vehicle price'!X24*1.2*1000</f>
        <v>27599.999999999996</v>
      </c>
      <c r="Q23" s="3">
        <f>P23*'Country Vehicle Prices'!AB100</f>
        <v>26320.535928826408</v>
      </c>
      <c r="R23" s="3">
        <f t="shared" si="1"/>
        <v>-1279.4640711735883</v>
      </c>
      <c r="S23" s="3">
        <f t="shared" si="2"/>
        <v>-255.89281423471766</v>
      </c>
      <c r="T23" s="3">
        <f t="shared" si="3"/>
        <v>-127.94640711735883</v>
      </c>
      <c r="U23" s="3">
        <f t="shared" si="4"/>
        <v>-383.83922135207649</v>
      </c>
      <c r="V23" s="3"/>
      <c r="W23">
        <v>2028</v>
      </c>
      <c r="X23" s="3">
        <v>160</v>
      </c>
      <c r="Y23" s="20">
        <f>Y22+(Y25-Y4)/21</f>
        <v>6.3809523809523858</v>
      </c>
      <c r="Z23">
        <v>10000</v>
      </c>
      <c r="AA23" s="3">
        <f t="shared" si="5"/>
        <v>1020.9523809523819</v>
      </c>
      <c r="AB23" s="3">
        <v>200</v>
      </c>
      <c r="AC23" s="3">
        <f t="shared" si="6"/>
        <v>820.95238095238187</v>
      </c>
      <c r="AE23">
        <v>2028</v>
      </c>
      <c r="AF23" s="3">
        <f t="shared" si="7"/>
        <v>65.801339822066026</v>
      </c>
      <c r="AH23" s="3">
        <f t="shared" si="8"/>
        <v>1270.5929421265243</v>
      </c>
    </row>
    <row r="24" spans="1:34">
      <c r="A24">
        <v>2029</v>
      </c>
      <c r="C24" s="13">
        <f t="shared" si="9"/>
        <v>38.706441275876365</v>
      </c>
      <c r="F24">
        <f t="shared" si="11"/>
        <v>3.3986089064098239</v>
      </c>
      <c r="I24">
        <v>18</v>
      </c>
      <c r="J24" s="3">
        <f t="shared" si="12"/>
        <v>1270.5929421265243</v>
      </c>
      <c r="K24" s="3">
        <f>'Range acceptance'!K24</f>
        <v>86.793113660401801</v>
      </c>
      <c r="M24" s="3">
        <f t="shared" si="0"/>
        <v>1270.5929421265243</v>
      </c>
      <c r="O24">
        <v>2029</v>
      </c>
      <c r="P24">
        <f>'Vehicle price'!X25*1.2*1000</f>
        <v>27599.999999999996</v>
      </c>
      <c r="Q24" s="3">
        <f>P24*'Country Vehicle Prices'!AB101</f>
        <v>25724.182576941334</v>
      </c>
      <c r="R24" s="3">
        <f t="shared" si="1"/>
        <v>-1875.8174230586628</v>
      </c>
      <c r="S24" s="3">
        <f t="shared" si="2"/>
        <v>-375.16348461173254</v>
      </c>
      <c r="T24" s="3">
        <f t="shared" si="3"/>
        <v>-187.5817423058663</v>
      </c>
      <c r="U24" s="3">
        <f t="shared" si="4"/>
        <v>-562.74522691759887</v>
      </c>
      <c r="V24" s="3"/>
      <c r="W24">
        <v>2029</v>
      </c>
      <c r="X24" s="3">
        <v>160</v>
      </c>
      <c r="Y24" s="20">
        <f>Y23+(Y25-Y4)/21</f>
        <v>6.1904761904761951</v>
      </c>
      <c r="Z24">
        <v>10000</v>
      </c>
      <c r="AA24" s="3">
        <f t="shared" si="5"/>
        <v>990.47619047619116</v>
      </c>
      <c r="AB24" s="3">
        <v>200</v>
      </c>
      <c r="AC24" s="3">
        <f t="shared" si="6"/>
        <v>790.47619047619116</v>
      </c>
      <c r="AE24">
        <v>2029</v>
      </c>
      <c r="AF24" s="3">
        <f t="shared" si="7"/>
        <v>64.310456442353342</v>
      </c>
      <c r="AH24" s="3">
        <f t="shared" si="8"/>
        <v>1417.5318738361434</v>
      </c>
    </row>
    <row r="25" spans="1:34">
      <c r="A25">
        <v>2030</v>
      </c>
      <c r="C25" s="13">
        <f t="shared" si="9"/>
        <v>39.175910161900141</v>
      </c>
      <c r="F25">
        <f>F$28+F$29*I25+F$30*J25+F$31*K25</f>
        <v>3.8615377494005694</v>
      </c>
      <c r="I25">
        <v>19</v>
      </c>
      <c r="J25" s="3">
        <f t="shared" si="12"/>
        <v>1417.5318738361434</v>
      </c>
      <c r="K25" s="3">
        <f>'Range acceptance'!K25</f>
        <v>86.793113660401801</v>
      </c>
      <c r="M25" s="3">
        <f t="shared" si="0"/>
        <v>1417.5318738361434</v>
      </c>
      <c r="O25">
        <v>2030</v>
      </c>
      <c r="P25">
        <f>'Vehicle price'!X26*1.2*1000</f>
        <v>27599.999999999996</v>
      </c>
      <c r="Q25" s="3">
        <f>P25*'Country Vehicle Prices'!AB102</f>
        <v>25054.005806977846</v>
      </c>
      <c r="R25" s="3">
        <f t="shared" si="1"/>
        <v>-2545.9941930221503</v>
      </c>
      <c r="S25" s="3">
        <f t="shared" si="2"/>
        <v>-509.19883860443008</v>
      </c>
      <c r="T25" s="3">
        <f t="shared" si="3"/>
        <v>-254.59941930221504</v>
      </c>
      <c r="U25" s="3">
        <f t="shared" si="4"/>
        <v>-763.79825790664518</v>
      </c>
      <c r="V25" s="3"/>
      <c r="W25">
        <v>2030</v>
      </c>
      <c r="X25" s="3">
        <v>160</v>
      </c>
      <c r="Y25">
        <v>6</v>
      </c>
      <c r="Z25">
        <v>10000</v>
      </c>
      <c r="AA25" s="3">
        <f t="shared" si="5"/>
        <v>960.00000000000011</v>
      </c>
      <c r="AB25" s="3">
        <v>200</v>
      </c>
      <c r="AC25" s="3">
        <f t="shared" si="6"/>
        <v>760.00000000000011</v>
      </c>
      <c r="AE25">
        <v>2030</v>
      </c>
      <c r="AF25" s="3">
        <f t="shared" si="7"/>
        <v>62.635014517444617</v>
      </c>
      <c r="AH25" s="3">
        <f t="shared" si="8"/>
        <v>1586.4332724240899</v>
      </c>
    </row>
    <row r="26" spans="1:34">
      <c r="J26" s="13"/>
      <c r="M26" s="13"/>
    </row>
    <row r="27" spans="1:34">
      <c r="J27" s="13"/>
      <c r="M27" s="13"/>
    </row>
    <row r="28" spans="1:34">
      <c r="E28" s="41" t="s">
        <v>159</v>
      </c>
      <c r="F28" s="41">
        <v>-6.1382704717941392</v>
      </c>
    </row>
    <row r="29" spans="1:34">
      <c r="E29" t="s">
        <v>898</v>
      </c>
      <c r="F29" s="41">
        <v>0.42720368821754262</v>
      </c>
    </row>
    <row r="30" spans="1:34">
      <c r="E30" t="s">
        <v>899</v>
      </c>
      <c r="F30" s="41">
        <v>2.4312926708765445E-4</v>
      </c>
    </row>
    <row r="31" spans="1:34" ht="15.75" thickBot="1">
      <c r="E31" t="s">
        <v>900</v>
      </c>
      <c r="F31" s="42">
        <v>1.772369482584946E-2</v>
      </c>
    </row>
    <row r="41" spans="1:9">
      <c r="B41" t="s">
        <v>828</v>
      </c>
      <c r="C41" t="s">
        <v>826</v>
      </c>
      <c r="D41" t="s">
        <v>896</v>
      </c>
      <c r="E41" t="s">
        <v>1090</v>
      </c>
      <c r="F41" t="s">
        <v>170</v>
      </c>
      <c r="H41" t="s">
        <v>329</v>
      </c>
      <c r="I41" t="s">
        <v>313</v>
      </c>
    </row>
    <row r="42" spans="1:9">
      <c r="A42">
        <v>2009</v>
      </c>
      <c r="B42" s="13">
        <f>'EV %sales'!Y92</f>
        <v>8.2174821687508743E-3</v>
      </c>
      <c r="C42" s="13">
        <f>'EV %sales'!Y105</f>
        <v>1.0151473904868031E-3</v>
      </c>
      <c r="D42" s="13">
        <f>B42+C42</f>
        <v>9.2326295592376779E-3</v>
      </c>
      <c r="E42" s="13"/>
    </row>
    <row r="43" spans="1:9">
      <c r="A43">
        <v>2010</v>
      </c>
      <c r="B43" s="13">
        <f>'EV %sales'!Y93</f>
        <v>1.4321322001514472E-2</v>
      </c>
      <c r="C43" s="13">
        <f>'EV %sales'!Y106</f>
        <v>2.6821460370472336E-3</v>
      </c>
      <c r="D43" s="13">
        <f t="shared" ref="D43:D50" si="13">B43+C43</f>
        <v>1.7003468038561707E-2</v>
      </c>
      <c r="E43" s="13"/>
    </row>
    <row r="44" spans="1:9">
      <c r="A44">
        <v>2011</v>
      </c>
      <c r="B44" s="13">
        <f>'EV %sales'!Y94</f>
        <v>8.0906679848661303E-2</v>
      </c>
      <c r="C44" s="13">
        <f>'EV %sales'!Y107</f>
        <v>2.1436839068631974E-2</v>
      </c>
      <c r="D44" s="13">
        <f t="shared" si="13"/>
        <v>0.10234351891729328</v>
      </c>
      <c r="E44" s="13"/>
    </row>
    <row r="45" spans="1:9">
      <c r="A45">
        <v>2012</v>
      </c>
      <c r="B45" s="13">
        <f>'EV %sales'!Y95</f>
        <v>0.11235312601225401</v>
      </c>
      <c r="C45" s="13">
        <f>'EV %sales'!Y108</f>
        <v>0.12287122991695917</v>
      </c>
      <c r="D45" s="13">
        <f t="shared" si="13"/>
        <v>0.2352243559292132</v>
      </c>
      <c r="E45" s="13">
        <f t="shared" ref="E45:E50" si="14">B45/D45</f>
        <v>0.47764240045815998</v>
      </c>
      <c r="H45">
        <v>1</v>
      </c>
    </row>
    <row r="46" spans="1:9">
      <c r="A46">
        <v>2013</v>
      </c>
      <c r="B46" s="13">
        <f>'EV %sales'!Y96</f>
        <v>0.20861573121263374</v>
      </c>
      <c r="C46" s="13">
        <f>'EV %sales'!Y109</f>
        <v>0.17542413521461303</v>
      </c>
      <c r="D46" s="13">
        <f t="shared" si="13"/>
        <v>0.38403986642724675</v>
      </c>
      <c r="E46" s="13">
        <f t="shared" si="14"/>
        <v>0.54321373755647395</v>
      </c>
      <c r="H46">
        <v>2</v>
      </c>
    </row>
    <row r="47" spans="1:9">
      <c r="A47">
        <v>2014</v>
      </c>
      <c r="B47" s="13">
        <f>'EV %sales'!Y97</f>
        <v>0.33143325566703208</v>
      </c>
      <c r="C47" s="13">
        <f>'EV %sales'!Y110</f>
        <v>0.24103968139051182</v>
      </c>
      <c r="D47" s="13">
        <f t="shared" si="13"/>
        <v>0.57247293705754387</v>
      </c>
      <c r="E47" s="13">
        <f t="shared" si="14"/>
        <v>0.57895008517008206</v>
      </c>
      <c r="H47">
        <v>3</v>
      </c>
    </row>
    <row r="48" spans="1:9">
      <c r="A48">
        <v>2015</v>
      </c>
      <c r="B48" s="13">
        <f>'EV %sales'!Y98</f>
        <v>0.53171664809873675</v>
      </c>
      <c r="C48" s="13">
        <f>'EV %sales'!Y111</f>
        <v>0.37076131341217766</v>
      </c>
      <c r="D48" s="13">
        <f t="shared" si="13"/>
        <v>0.90247796151091442</v>
      </c>
      <c r="E48" s="13">
        <f t="shared" si="14"/>
        <v>0.58917410815056925</v>
      </c>
      <c r="H48">
        <v>4</v>
      </c>
    </row>
    <row r="49" spans="1:8">
      <c r="A49">
        <v>2016</v>
      </c>
      <c r="B49" s="13">
        <f>'EV %sales'!Y99</f>
        <v>0.70056548793611539</v>
      </c>
      <c r="C49" s="13">
        <f>'EV %sales'!Y112</f>
        <v>0.43567314315375177</v>
      </c>
      <c r="D49" s="13">
        <f t="shared" si="13"/>
        <v>1.1362386310898671</v>
      </c>
      <c r="E49" s="13">
        <f t="shared" si="14"/>
        <v>0.61656545444519961</v>
      </c>
      <c r="H49">
        <v>5</v>
      </c>
    </row>
    <row r="50" spans="1:8">
      <c r="A50">
        <v>2017</v>
      </c>
      <c r="B50" s="13">
        <f>'EV %sales'!Y100</f>
        <v>1.0845968500822225</v>
      </c>
      <c r="C50" s="13">
        <f>'EV %sales'!Y113</f>
        <v>0.57779084727047836</v>
      </c>
      <c r="D50" s="13">
        <f t="shared" si="13"/>
        <v>1.6623876973527008</v>
      </c>
      <c r="E50" s="13">
        <f t="shared" si="14"/>
        <v>0.65243315491892073</v>
      </c>
      <c r="H50">
        <v>6</v>
      </c>
    </row>
    <row r="51" spans="1:8">
      <c r="A51">
        <v>2018</v>
      </c>
      <c r="B51" s="13"/>
      <c r="C51" s="13"/>
      <c r="D51" s="13"/>
      <c r="E51" s="13"/>
    </row>
    <row r="52" spans="1:8">
      <c r="A52">
        <v>2019</v>
      </c>
    </row>
    <row r="53" spans="1:8">
      <c r="A53">
        <v>2020</v>
      </c>
    </row>
    <row r="54" spans="1:8">
      <c r="A54">
        <v>2021</v>
      </c>
    </row>
    <row r="55" spans="1:8">
      <c r="A55">
        <v>2022</v>
      </c>
    </row>
    <row r="56" spans="1:8">
      <c r="A56">
        <v>2023</v>
      </c>
    </row>
    <row r="57" spans="1:8">
      <c r="A57">
        <v>2024</v>
      </c>
    </row>
    <row r="58" spans="1:8">
      <c r="A58">
        <v>2025</v>
      </c>
    </row>
    <row r="59" spans="1:8">
      <c r="A59">
        <v>2026</v>
      </c>
    </row>
    <row r="60" spans="1:8">
      <c r="A60">
        <v>2027</v>
      </c>
    </row>
    <row r="61" spans="1:8">
      <c r="A61">
        <v>2028</v>
      </c>
    </row>
    <row r="62" spans="1:8">
      <c r="A62">
        <v>2029</v>
      </c>
    </row>
    <row r="63" spans="1:8">
      <c r="A63">
        <v>2030</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1"/>
  <sheetViews>
    <sheetView workbookViewId="0">
      <selection activeCell="G40" sqref="G40"/>
    </sheetView>
  </sheetViews>
  <sheetFormatPr defaultRowHeight="15"/>
  <cols>
    <col min="2" max="2" width="17" customWidth="1"/>
    <col min="5" max="5" width="16" customWidth="1"/>
    <col min="6" max="6" width="9.140625" customWidth="1"/>
    <col min="7" max="7" width="15.7109375" customWidth="1"/>
    <col min="8" max="8" width="7.28515625" customWidth="1"/>
    <col min="10" max="10" width="18.7109375" customWidth="1"/>
    <col min="11" max="11" width="18.5703125" customWidth="1"/>
    <col min="12" max="13" width="18.7109375" customWidth="1"/>
    <col min="14" max="14" width="16" customWidth="1"/>
    <col min="18" max="18" width="15.5703125" customWidth="1"/>
    <col min="21" max="22" width="14.140625" customWidth="1"/>
    <col min="24" max="24" width="11.85546875" customWidth="1"/>
    <col min="25" max="25" width="13.42578125" customWidth="1"/>
    <col min="27" max="27" width="10.140625" customWidth="1"/>
    <col min="28" max="28" width="13.85546875" customWidth="1"/>
    <col min="29" max="29" width="13.5703125" customWidth="1"/>
    <col min="32" max="32" width="19.85546875" customWidth="1"/>
    <col min="34" max="34" width="14.7109375" customWidth="1"/>
  </cols>
  <sheetData>
    <row r="2" spans="1:34">
      <c r="S2" t="s">
        <v>918</v>
      </c>
      <c r="T2" t="s">
        <v>918</v>
      </c>
      <c r="U2" t="s">
        <v>929</v>
      </c>
      <c r="X2" s="124" t="s">
        <v>919</v>
      </c>
      <c r="Y2" t="s">
        <v>920</v>
      </c>
      <c r="Z2" t="s">
        <v>923</v>
      </c>
      <c r="AC2" t="s">
        <v>929</v>
      </c>
    </row>
    <row r="3" spans="1:34">
      <c r="B3" t="s">
        <v>896</v>
      </c>
      <c r="C3" t="s">
        <v>170</v>
      </c>
      <c r="E3" t="s">
        <v>897</v>
      </c>
      <c r="F3" t="s">
        <v>170</v>
      </c>
      <c r="I3" t="s">
        <v>329</v>
      </c>
      <c r="J3" t="s">
        <v>1088</v>
      </c>
      <c r="K3" t="s">
        <v>900</v>
      </c>
      <c r="M3" t="s">
        <v>932</v>
      </c>
      <c r="P3" t="s">
        <v>725</v>
      </c>
      <c r="Q3" t="s">
        <v>269</v>
      </c>
      <c r="R3" t="s">
        <v>917</v>
      </c>
      <c r="S3" t="s">
        <v>915</v>
      </c>
      <c r="T3" t="s">
        <v>916</v>
      </c>
      <c r="U3" t="s">
        <v>928</v>
      </c>
      <c r="X3" s="124" t="s">
        <v>313</v>
      </c>
      <c r="Y3" t="s">
        <v>921</v>
      </c>
      <c r="Z3" t="s">
        <v>924</v>
      </c>
      <c r="AA3" t="s">
        <v>925</v>
      </c>
      <c r="AB3" t="s">
        <v>926</v>
      </c>
      <c r="AC3" t="s">
        <v>927</v>
      </c>
      <c r="AF3" t="s">
        <v>930</v>
      </c>
      <c r="AH3" t="s">
        <v>931</v>
      </c>
    </row>
    <row r="4" spans="1:34">
      <c r="A4">
        <v>2009</v>
      </c>
      <c r="B4" s="13">
        <f>'EV %sales'!Y67</f>
        <v>9.0944063654437145E-3</v>
      </c>
      <c r="C4" s="13"/>
      <c r="J4" s="3"/>
      <c r="K4" s="3"/>
      <c r="M4" s="3">
        <f>AH4</f>
        <v>563.23215926155547</v>
      </c>
      <c r="O4">
        <v>2009</v>
      </c>
      <c r="P4">
        <f>'Vehicle price'!X5*1.2*1000</f>
        <v>27599.999999999996</v>
      </c>
      <c r="Q4" s="3">
        <f>P4*'Country Vehicle Prices'!AB81</f>
        <v>31302.801852580113</v>
      </c>
      <c r="R4" s="3">
        <f>Q4-P4</f>
        <v>3702.8018525801162</v>
      </c>
      <c r="S4" s="3">
        <f>R4/5</f>
        <v>740.56037051602323</v>
      </c>
      <c r="T4" s="3">
        <f>R4*0.1</f>
        <v>370.28018525801167</v>
      </c>
      <c r="U4" s="3">
        <f>S4+T4</f>
        <v>1110.8405557740348</v>
      </c>
      <c r="V4" s="3"/>
      <c r="W4">
        <v>2009</v>
      </c>
      <c r="X4" s="3">
        <v>179.58157104041402</v>
      </c>
      <c r="Y4">
        <v>10</v>
      </c>
      <c r="Z4">
        <v>10000</v>
      </c>
      <c r="AA4" s="3">
        <f>X4/100*Y4/100*Z4</f>
        <v>1795.81571040414</v>
      </c>
      <c r="AB4" s="3">
        <v>200</v>
      </c>
      <c r="AC4" s="3">
        <f>AA4-AB4</f>
        <v>1595.81571040414</v>
      </c>
      <c r="AE4">
        <v>2009</v>
      </c>
      <c r="AF4" s="3">
        <f>0.0025*Q4</f>
        <v>78.257004631450286</v>
      </c>
      <c r="AH4" s="3">
        <f>-U4+AC4+AF4</f>
        <v>563.23215926155547</v>
      </c>
    </row>
    <row r="5" spans="1:34">
      <c r="A5">
        <v>2010</v>
      </c>
      <c r="B5" s="13">
        <f>'EV %sales'!Y68</f>
        <v>1.6964627629336562E-2</v>
      </c>
      <c r="C5" s="13"/>
      <c r="J5" s="3"/>
      <c r="K5" s="3"/>
      <c r="M5" s="3">
        <f t="shared" ref="M5:M25" si="0">AH4</f>
        <v>563.23215926155547</v>
      </c>
      <c r="O5">
        <v>2010</v>
      </c>
      <c r="P5">
        <f>'Vehicle price'!X6*1.2*1000</f>
        <v>27599.999999999996</v>
      </c>
      <c r="Q5" s="3">
        <f>P5*'Country Vehicle Prices'!AB82</f>
        <v>30683.853085812454</v>
      </c>
      <c r="R5" s="3">
        <f t="shared" ref="R5:R25" si="1">Q5-P5</f>
        <v>3083.8530858124577</v>
      </c>
      <c r="S5" s="3">
        <f t="shared" ref="S5:S25" si="2">R5/5</f>
        <v>616.77061716249159</v>
      </c>
      <c r="T5" s="3">
        <f t="shared" ref="T5:T25" si="3">R5*0.1</f>
        <v>308.38530858124579</v>
      </c>
      <c r="U5" s="3">
        <f t="shared" ref="U5:U25" si="4">S5+T5</f>
        <v>925.15592574373738</v>
      </c>
      <c r="V5" s="3"/>
      <c r="W5">
        <v>2010</v>
      </c>
      <c r="X5" s="3">
        <v>229.53499895399685</v>
      </c>
      <c r="Y5" s="20">
        <f>Y4+(Y25-Y4)/21</f>
        <v>9.8095238095238102</v>
      </c>
      <c r="Z5">
        <v>10000</v>
      </c>
      <c r="AA5" s="3">
        <f t="shared" ref="AA5:AA25" si="5">X5/100*Y5/100*Z5</f>
        <v>2251.6290373582547</v>
      </c>
      <c r="AB5" s="3">
        <v>200</v>
      </c>
      <c r="AC5" s="3">
        <f t="shared" ref="AC5:AC25" si="6">AA5-AB5</f>
        <v>2051.6290373582547</v>
      </c>
      <c r="AE5">
        <v>2010</v>
      </c>
      <c r="AF5" s="3">
        <f t="shared" ref="AF5:AF25" si="7">0.0025*Q5</f>
        <v>76.709632714531139</v>
      </c>
      <c r="AH5" s="3">
        <f t="shared" ref="AH5:AH25" si="8">-U5+AC5+AF5</f>
        <v>1203.1827443290483</v>
      </c>
    </row>
    <row r="6" spans="1:34">
      <c r="A6">
        <v>2011</v>
      </c>
      <c r="B6" s="13">
        <f>'EV %sales'!Y69</f>
        <v>0.10234351891729328</v>
      </c>
      <c r="C6" s="13"/>
      <c r="J6" s="3"/>
      <c r="K6" s="3"/>
      <c r="M6" s="3">
        <f t="shared" si="0"/>
        <v>1203.1827443290483</v>
      </c>
      <c r="O6">
        <v>2011</v>
      </c>
      <c r="P6">
        <f>'Vehicle price'!X7*1.2*1000</f>
        <v>27599.999999999996</v>
      </c>
      <c r="Q6" s="3">
        <f>P6*'Country Vehicle Prices'!AB83</f>
        <v>30567.742112672993</v>
      </c>
      <c r="R6" s="3">
        <f t="shared" si="1"/>
        <v>2967.7421126729969</v>
      </c>
      <c r="S6" s="3">
        <f t="shared" si="2"/>
        <v>593.54842253459935</v>
      </c>
      <c r="T6" s="3">
        <f t="shared" si="3"/>
        <v>296.77421126729968</v>
      </c>
      <c r="U6" s="3">
        <f t="shared" si="4"/>
        <v>890.32263380189897</v>
      </c>
      <c r="V6" s="3"/>
      <c r="W6">
        <v>2011</v>
      </c>
      <c r="X6" s="3">
        <v>296.97618612050064</v>
      </c>
      <c r="Y6" s="20">
        <f>Y5+(Y25-Y4)/21</f>
        <v>9.6190476190476204</v>
      </c>
      <c r="Z6">
        <v>10000</v>
      </c>
      <c r="AA6" s="3">
        <f t="shared" si="5"/>
        <v>2856.6280760162449</v>
      </c>
      <c r="AB6" s="3">
        <v>200</v>
      </c>
      <c r="AC6" s="3">
        <f t="shared" si="6"/>
        <v>2656.6280760162449</v>
      </c>
      <c r="AE6">
        <v>2011</v>
      </c>
      <c r="AF6" s="3">
        <f t="shared" si="7"/>
        <v>76.419355281682485</v>
      </c>
      <c r="AH6" s="3">
        <f t="shared" si="8"/>
        <v>1842.7247974960285</v>
      </c>
    </row>
    <row r="7" spans="1:34">
      <c r="A7">
        <v>2012</v>
      </c>
      <c r="B7" s="13">
        <f>'EV %sales'!Y70</f>
        <v>0.23522435592921317</v>
      </c>
      <c r="C7" s="13">
        <f t="shared" ref="C7:C25" si="9">40*EXP(F7)/(1+EXP(F7))</f>
        <v>0.2381022004250955</v>
      </c>
      <c r="E7">
        <f t="shared" ref="E7:E12" si="10">LN(B7/(40-B7))</f>
        <v>-5.130197000546155</v>
      </c>
      <c r="F7">
        <f>F$28+F$29*I7+F$30*J7+F$31*K7</f>
        <v>-5.1179643959583601</v>
      </c>
      <c r="I7">
        <v>1</v>
      </c>
      <c r="J7" s="3">
        <f>M7</f>
        <v>1842.7247974960285</v>
      </c>
      <c r="K7" s="3">
        <f>'Range acceptance'!K7</f>
        <v>8.1857682376240835</v>
      </c>
      <c r="M7" s="3">
        <f t="shared" si="0"/>
        <v>1842.7247974960285</v>
      </c>
      <c r="O7">
        <v>2012</v>
      </c>
      <c r="P7">
        <f>'Vehicle price'!X8*1.2*1000</f>
        <v>27599.999999999996</v>
      </c>
      <c r="Q7" s="3">
        <f>P7*'Country Vehicle Prices'!AB84</f>
        <v>30068.880295844599</v>
      </c>
      <c r="R7" s="3">
        <f t="shared" si="1"/>
        <v>2468.8802958446031</v>
      </c>
      <c r="S7" s="3">
        <f t="shared" si="2"/>
        <v>493.7760591689206</v>
      </c>
      <c r="T7" s="3">
        <f t="shared" si="3"/>
        <v>246.88802958446033</v>
      </c>
      <c r="U7" s="3">
        <f t="shared" si="4"/>
        <v>740.66408875338095</v>
      </c>
      <c r="V7" s="3"/>
      <c r="W7">
        <v>2012</v>
      </c>
      <c r="X7" s="3">
        <v>272.64178994275176</v>
      </c>
      <c r="Y7" s="20">
        <f>Y6+(Y25-Y4)/21</f>
        <v>9.4285714285714306</v>
      </c>
      <c r="Z7">
        <v>10000</v>
      </c>
      <c r="AA7" s="3">
        <f t="shared" si="5"/>
        <v>2570.6225908888027</v>
      </c>
      <c r="AB7" s="3">
        <v>200</v>
      </c>
      <c r="AC7" s="3">
        <f t="shared" si="6"/>
        <v>2370.6225908888027</v>
      </c>
      <c r="AE7">
        <v>2012</v>
      </c>
      <c r="AF7" s="3">
        <f t="shared" si="7"/>
        <v>75.172200739611498</v>
      </c>
      <c r="AH7" s="3">
        <f t="shared" si="8"/>
        <v>1705.1307028750334</v>
      </c>
    </row>
    <row r="8" spans="1:34">
      <c r="A8">
        <v>2013</v>
      </c>
      <c r="B8" s="13">
        <f>'EV %sales'!Y71</f>
        <v>0.38403986642724675</v>
      </c>
      <c r="C8" s="13">
        <f t="shared" si="9"/>
        <v>0.37703355039996966</v>
      </c>
      <c r="E8">
        <f t="shared" si="10"/>
        <v>-4.636240983702514</v>
      </c>
      <c r="F8">
        <f t="shared" ref="F8:F24" si="11">F$28+F$29*I8+F$30*J8+F$31*K8</f>
        <v>-4.6548300133870333</v>
      </c>
      <c r="I8">
        <v>2</v>
      </c>
      <c r="J8" s="3">
        <f t="shared" ref="J8:J25" si="12">M8</f>
        <v>1705.1307028750334</v>
      </c>
      <c r="K8" s="3">
        <f>'Range acceptance'!K8</f>
        <v>12.10051888168177</v>
      </c>
      <c r="M8" s="3">
        <f t="shared" si="0"/>
        <v>1705.1307028750334</v>
      </c>
      <c r="O8">
        <v>2013</v>
      </c>
      <c r="P8">
        <f>'Vehicle price'!X9*1.2*1000</f>
        <v>27599.999999999996</v>
      </c>
      <c r="Q8" s="3">
        <f>P8*'Country Vehicle Prices'!AB85</f>
        <v>30721.309307596894</v>
      </c>
      <c r="R8" s="3">
        <f t="shared" si="1"/>
        <v>3121.3093075968973</v>
      </c>
      <c r="S8" s="3">
        <f t="shared" si="2"/>
        <v>624.26186151937941</v>
      </c>
      <c r="T8" s="3">
        <f t="shared" si="3"/>
        <v>312.13093075968976</v>
      </c>
      <c r="U8" s="3">
        <f t="shared" si="4"/>
        <v>936.39279227906923</v>
      </c>
      <c r="V8" s="3"/>
      <c r="W8">
        <v>2013</v>
      </c>
      <c r="X8" s="3">
        <v>270.6196908721285</v>
      </c>
      <c r="Y8" s="20">
        <f>Y7+(Y25-Y4)/21</f>
        <v>9.2380952380952408</v>
      </c>
      <c r="Z8">
        <v>10000</v>
      </c>
      <c r="AA8" s="3">
        <f t="shared" si="5"/>
        <v>2500.0104775806167</v>
      </c>
      <c r="AB8" s="3">
        <v>200</v>
      </c>
      <c r="AC8" s="3">
        <f t="shared" si="6"/>
        <v>2300.0104775806167</v>
      </c>
      <c r="AE8">
        <v>2013</v>
      </c>
      <c r="AF8" s="3">
        <f t="shared" si="7"/>
        <v>76.803273268992243</v>
      </c>
      <c r="AH8" s="3">
        <f t="shared" si="8"/>
        <v>1440.4209585705396</v>
      </c>
    </row>
    <row r="9" spans="1:34">
      <c r="A9">
        <v>2014</v>
      </c>
      <c r="B9" s="13">
        <f>'EV %sales'!Y72</f>
        <v>0.57247293705754376</v>
      </c>
      <c r="C9" s="13">
        <f t="shared" si="9"/>
        <v>0.54716637207896057</v>
      </c>
      <c r="E9">
        <f t="shared" si="10"/>
        <v>-4.2322540449632511</v>
      </c>
      <c r="F9">
        <f t="shared" si="11"/>
        <v>-4.2781082421462875</v>
      </c>
      <c r="I9">
        <v>3</v>
      </c>
      <c r="J9" s="3">
        <f t="shared" si="12"/>
        <v>1440.4209585705396</v>
      </c>
      <c r="K9" s="3">
        <f>'Range acceptance'!K9</f>
        <v>12.883469010493306</v>
      </c>
      <c r="M9" s="3">
        <f t="shared" si="0"/>
        <v>1440.4209585705396</v>
      </c>
      <c r="O9">
        <v>2014</v>
      </c>
      <c r="P9">
        <f>'Vehicle price'!X10*1.2*1000</f>
        <v>27599.999999999996</v>
      </c>
      <c r="Q9" s="3">
        <f>P9*'Country Vehicle Prices'!AB86</f>
        <v>29775.082346877851</v>
      </c>
      <c r="R9" s="3">
        <f t="shared" si="1"/>
        <v>2175.0823468778544</v>
      </c>
      <c r="S9" s="3">
        <f t="shared" si="2"/>
        <v>435.01646937557086</v>
      </c>
      <c r="T9" s="3">
        <f t="shared" si="3"/>
        <v>217.50823468778546</v>
      </c>
      <c r="U9" s="3">
        <f t="shared" si="4"/>
        <v>652.52470406335635</v>
      </c>
      <c r="V9" s="3"/>
      <c r="W9">
        <v>2014</v>
      </c>
      <c r="X9" s="3">
        <v>242.992530526802</v>
      </c>
      <c r="Y9" s="20">
        <f>Y8+(Y25-Y4)/21</f>
        <v>9.047619047619051</v>
      </c>
      <c r="Z9">
        <v>10000</v>
      </c>
      <c r="AA9" s="3">
        <f t="shared" si="5"/>
        <v>2198.5038476234477</v>
      </c>
      <c r="AB9" s="3">
        <v>200</v>
      </c>
      <c r="AC9" s="3">
        <f t="shared" si="6"/>
        <v>1998.5038476234477</v>
      </c>
      <c r="AE9">
        <v>2014</v>
      </c>
      <c r="AF9" s="3">
        <f t="shared" si="7"/>
        <v>74.437705867194623</v>
      </c>
      <c r="AH9" s="3">
        <f t="shared" si="8"/>
        <v>1420.416849427286</v>
      </c>
    </row>
    <row r="10" spans="1:34">
      <c r="A10">
        <v>2015</v>
      </c>
      <c r="B10" s="13">
        <f>'EV %sales'!Y73</f>
        <v>0.90247796151091464</v>
      </c>
      <c r="C10" s="13">
        <f t="shared" si="9"/>
        <v>0.84009690877884802</v>
      </c>
      <c r="E10">
        <f t="shared" si="10"/>
        <v>-3.7686700984600847</v>
      </c>
      <c r="F10">
        <f t="shared" si="11"/>
        <v>-3.8418913691765701</v>
      </c>
      <c r="I10">
        <v>4</v>
      </c>
      <c r="J10" s="3">
        <f t="shared" si="12"/>
        <v>1420.416849427286</v>
      </c>
      <c r="K10" s="3">
        <f>'Range acceptance'!K10</f>
        <v>13.666419139304844</v>
      </c>
      <c r="M10" s="3">
        <f t="shared" si="0"/>
        <v>1420.416849427286</v>
      </c>
      <c r="O10">
        <v>2015</v>
      </c>
      <c r="P10">
        <f>'Vehicle price'!X11*1.2*1000</f>
        <v>27599.999999999996</v>
      </c>
      <c r="Q10" s="3">
        <f>P10*'Country Vehicle Prices'!AB87</f>
        <v>29440.569312774787</v>
      </c>
      <c r="R10" s="3">
        <f t="shared" si="1"/>
        <v>1840.5693127747909</v>
      </c>
      <c r="S10" s="3">
        <f t="shared" si="2"/>
        <v>368.11386255495819</v>
      </c>
      <c r="T10" s="3">
        <f t="shared" si="3"/>
        <v>184.05693127747909</v>
      </c>
      <c r="U10" s="3">
        <f t="shared" si="4"/>
        <v>552.17079383243731</v>
      </c>
      <c r="V10" s="3"/>
      <c r="W10">
        <v>2015</v>
      </c>
      <c r="X10" s="3">
        <v>141.3711825424619</v>
      </c>
      <c r="Y10" s="20">
        <f>Y9+(Y25-Y4)/21</f>
        <v>8.8571428571428612</v>
      </c>
      <c r="Z10">
        <v>10000</v>
      </c>
      <c r="AA10" s="3">
        <f t="shared" si="5"/>
        <v>1252.1447596618059</v>
      </c>
      <c r="AB10" s="3">
        <v>200</v>
      </c>
      <c r="AC10" s="3">
        <f t="shared" si="6"/>
        <v>1052.1447596618059</v>
      </c>
      <c r="AE10">
        <v>2015</v>
      </c>
      <c r="AF10" s="3">
        <f t="shared" si="7"/>
        <v>73.601423281936974</v>
      </c>
      <c r="AH10" s="3">
        <f t="shared" si="8"/>
        <v>573.57538911130553</v>
      </c>
    </row>
    <row r="11" spans="1:34">
      <c r="A11">
        <v>2016</v>
      </c>
      <c r="B11" s="13">
        <f>'EV %sales'!Y74</f>
        <v>1.1362386310898671</v>
      </c>
      <c r="C11" s="13">
        <f t="shared" si="9"/>
        <v>1.0427741833839423</v>
      </c>
      <c r="E11">
        <f t="shared" si="10"/>
        <v>-3.5323388712652259</v>
      </c>
      <c r="F11">
        <f t="shared" si="11"/>
        <v>-3.620579624545091</v>
      </c>
      <c r="I11">
        <v>5</v>
      </c>
      <c r="J11" s="3">
        <f t="shared" si="12"/>
        <v>573.57538911130553</v>
      </c>
      <c r="K11" s="3">
        <f>'Range acceptance'!K11</f>
        <v>13.666419139304844</v>
      </c>
      <c r="M11" s="3">
        <f t="shared" si="0"/>
        <v>573.57538911130553</v>
      </c>
      <c r="O11">
        <v>2016</v>
      </c>
      <c r="P11">
        <f>'Vehicle price'!X12*1.2*1000</f>
        <v>27599.999999999996</v>
      </c>
      <c r="Q11" s="3">
        <f>P11*'Country Vehicle Prices'!AB88</f>
        <v>28143.212691197718</v>
      </c>
      <c r="R11" s="3">
        <f>Q11-P11</f>
        <v>543.21269119772114</v>
      </c>
      <c r="S11" s="3">
        <f t="shared" si="2"/>
        <v>108.64253823954422</v>
      </c>
      <c r="T11" s="3">
        <f t="shared" si="3"/>
        <v>54.321269119772118</v>
      </c>
      <c r="U11" s="3">
        <f>S11+T11</f>
        <v>162.96380735931635</v>
      </c>
      <c r="V11" s="3"/>
      <c r="W11">
        <v>2016</v>
      </c>
      <c r="X11" s="3">
        <v>121.96703773920697</v>
      </c>
      <c r="Y11" s="20">
        <f>Y10+(Y25-Y4)/21</f>
        <v>8.6666666666666714</v>
      </c>
      <c r="Z11">
        <v>10000</v>
      </c>
      <c r="AA11" s="3">
        <f t="shared" si="5"/>
        <v>1057.0476604064609</v>
      </c>
      <c r="AB11" s="3">
        <v>200</v>
      </c>
      <c r="AC11" s="3">
        <f t="shared" si="6"/>
        <v>857.04766040646086</v>
      </c>
      <c r="AE11">
        <v>2016</v>
      </c>
      <c r="AF11" s="3">
        <f t="shared" si="7"/>
        <v>70.358031727994302</v>
      </c>
      <c r="AH11" s="3">
        <f>-U11+AC11+AF11</f>
        <v>764.44188477513887</v>
      </c>
    </row>
    <row r="12" spans="1:34">
      <c r="A12">
        <v>2017</v>
      </c>
      <c r="B12" s="13">
        <f>'EV %sales'!Y75</f>
        <v>1.6633518305579627</v>
      </c>
      <c r="C12" s="13">
        <f t="shared" si="9"/>
        <v>1.7155002192527367</v>
      </c>
      <c r="E12">
        <f t="shared" si="10"/>
        <v>-3.1375715683325112</v>
      </c>
      <c r="F12">
        <f t="shared" si="11"/>
        <v>-3.1053403976844653</v>
      </c>
      <c r="I12">
        <v>6</v>
      </c>
      <c r="J12" s="3">
        <f t="shared" si="12"/>
        <v>764.44188477513887</v>
      </c>
      <c r="K12" s="3">
        <f>'Range acceptance'!K12</f>
        <v>16.015269525739456</v>
      </c>
      <c r="M12" s="3">
        <f>AH11</f>
        <v>764.44188477513887</v>
      </c>
      <c r="O12">
        <v>2017</v>
      </c>
      <c r="P12">
        <f>'Vehicle price'!X13*1.2*1000</f>
        <v>27599.999999999996</v>
      </c>
      <c r="Q12" s="3">
        <f>P12*'Country Vehicle Prices'!AB89</f>
        <v>28243.385209654316</v>
      </c>
      <c r="R12" s="3">
        <f t="shared" si="1"/>
        <v>643.38520965431962</v>
      </c>
      <c r="S12" s="3">
        <f t="shared" si="2"/>
        <v>128.67704193086394</v>
      </c>
      <c r="T12" s="3">
        <f t="shared" si="3"/>
        <v>64.338520965431968</v>
      </c>
      <c r="U12" s="3">
        <f t="shared" si="4"/>
        <v>193.0155628962959</v>
      </c>
      <c r="V12" s="3"/>
      <c r="W12">
        <v>2017</v>
      </c>
      <c r="X12" s="3">
        <v>135.74775994674863</v>
      </c>
      <c r="Y12" s="20">
        <f>Y11+(Y25-Y4)/21</f>
        <v>8.4761904761904816</v>
      </c>
      <c r="Z12">
        <v>10000</v>
      </c>
      <c r="AA12" s="3">
        <f t="shared" si="5"/>
        <v>1150.6238700248225</v>
      </c>
      <c r="AB12" s="3">
        <v>200</v>
      </c>
      <c r="AC12" s="3">
        <f t="shared" si="6"/>
        <v>950.62387002482251</v>
      </c>
      <c r="AE12">
        <v>2017</v>
      </c>
      <c r="AF12" s="3">
        <f t="shared" si="7"/>
        <v>70.608463024135787</v>
      </c>
      <c r="AH12" s="3">
        <f t="shared" si="8"/>
        <v>828.21677015266232</v>
      </c>
    </row>
    <row r="13" spans="1:34">
      <c r="A13">
        <v>2018</v>
      </c>
      <c r="C13" s="13">
        <f t="shared" si="9"/>
        <v>3.0452535253978139</v>
      </c>
      <c r="F13">
        <f t="shared" si="11"/>
        <v>-2.4961099385635044</v>
      </c>
      <c r="I13">
        <v>7</v>
      </c>
      <c r="J13" s="3">
        <f t="shared" si="12"/>
        <v>828.21677015266232</v>
      </c>
      <c r="K13" s="3">
        <f>'Range acceptance'!K13</f>
        <v>25.4106710714779</v>
      </c>
      <c r="M13" s="3">
        <f t="shared" si="0"/>
        <v>828.21677015266232</v>
      </c>
      <c r="O13">
        <v>2018</v>
      </c>
      <c r="P13">
        <f>'Vehicle price'!X14*1.2*1000</f>
        <v>27599.999999999996</v>
      </c>
      <c r="Q13" s="3">
        <f>P13*'Country Vehicle Prices'!AB90</f>
        <v>28884.429035218349</v>
      </c>
      <c r="R13" s="3">
        <f t="shared" si="1"/>
        <v>1284.4290352183525</v>
      </c>
      <c r="S13" s="3">
        <f t="shared" si="2"/>
        <v>256.88580704367052</v>
      </c>
      <c r="T13" s="3">
        <f t="shared" si="3"/>
        <v>128.44290352183526</v>
      </c>
      <c r="U13" s="3">
        <f t="shared" si="4"/>
        <v>385.32871056550579</v>
      </c>
      <c r="V13" s="3"/>
      <c r="W13">
        <v>2018</v>
      </c>
      <c r="X13" s="3">
        <v>150</v>
      </c>
      <c r="Y13" s="20">
        <f>Y12+(Y25-Y4)/21</f>
        <v>8.2857142857142918</v>
      </c>
      <c r="Z13">
        <v>10000</v>
      </c>
      <c r="AA13" s="3">
        <f>X13/100*Y13/100*Z13</f>
        <v>1242.8571428571438</v>
      </c>
      <c r="AB13" s="3">
        <v>200</v>
      </c>
      <c r="AC13" s="3">
        <f t="shared" si="6"/>
        <v>1042.8571428571438</v>
      </c>
      <c r="AE13">
        <v>2018</v>
      </c>
      <c r="AF13" s="3">
        <f t="shared" si="7"/>
        <v>72.21107258804588</v>
      </c>
      <c r="AH13" s="3">
        <f>-U13+AC13+AF13</f>
        <v>729.73950487968386</v>
      </c>
    </row>
    <row r="14" spans="1:34">
      <c r="A14">
        <v>2019</v>
      </c>
      <c r="C14" s="13">
        <f t="shared" si="9"/>
        <v>6.0130068903609848</v>
      </c>
      <c r="F14">
        <f t="shared" si="11"/>
        <v>-1.732052957856782</v>
      </c>
      <c r="I14">
        <v>8</v>
      </c>
      <c r="J14" s="3">
        <f t="shared" si="12"/>
        <v>729.73950487968386</v>
      </c>
      <c r="K14" s="3">
        <f>'Range acceptance'!K14</f>
        <v>45.767374420577866</v>
      </c>
      <c r="M14" s="3">
        <f t="shared" si="0"/>
        <v>729.73950487968386</v>
      </c>
      <c r="O14">
        <v>2019</v>
      </c>
      <c r="P14">
        <f>'Vehicle price'!X15*1.2*1000</f>
        <v>27599.999999999996</v>
      </c>
      <c r="Q14" s="3">
        <f>P14*'Country Vehicle Prices'!AB91</f>
        <v>30210.536471425905</v>
      </c>
      <c r="R14" s="3">
        <f t="shared" si="1"/>
        <v>2610.5364714259085</v>
      </c>
      <c r="S14" s="3">
        <f t="shared" si="2"/>
        <v>522.10729428518175</v>
      </c>
      <c r="T14" s="3">
        <f t="shared" si="3"/>
        <v>261.05364714259088</v>
      </c>
      <c r="U14" s="3">
        <f t="shared" si="4"/>
        <v>783.16094142777263</v>
      </c>
      <c r="V14" s="3"/>
      <c r="W14">
        <v>2019</v>
      </c>
      <c r="X14" s="3">
        <v>160</v>
      </c>
      <c r="Y14" s="20">
        <f>Y13+(Y25-Y4)/21</f>
        <v>8.095238095238102</v>
      </c>
      <c r="Z14">
        <v>10000</v>
      </c>
      <c r="AA14" s="3">
        <f t="shared" si="5"/>
        <v>1295.2380952380963</v>
      </c>
      <c r="AB14" s="3">
        <v>200</v>
      </c>
      <c r="AC14" s="3">
        <f t="shared" si="6"/>
        <v>1095.2380952380963</v>
      </c>
      <c r="AE14">
        <v>2019</v>
      </c>
      <c r="AF14" s="3">
        <f t="shared" si="7"/>
        <v>75.526341178564763</v>
      </c>
      <c r="AH14" s="3">
        <f t="shared" si="8"/>
        <v>387.60349498888843</v>
      </c>
    </row>
    <row r="15" spans="1:34">
      <c r="A15">
        <v>2020</v>
      </c>
      <c r="C15" s="13">
        <f t="shared" si="9"/>
        <v>9.7056671563993167</v>
      </c>
      <c r="F15">
        <f t="shared" si="11"/>
        <v>-1.1382507023238095</v>
      </c>
      <c r="I15">
        <v>9</v>
      </c>
      <c r="J15" s="3">
        <f t="shared" si="12"/>
        <v>387.60349498888843</v>
      </c>
      <c r="K15" s="3">
        <f>'Range acceptance'!K15</f>
        <v>59.860476739185536</v>
      </c>
      <c r="M15" s="3">
        <f t="shared" si="0"/>
        <v>387.60349498888843</v>
      </c>
      <c r="O15">
        <v>2020</v>
      </c>
      <c r="P15">
        <f>'Vehicle price'!X16*1.2*1000</f>
        <v>27599.999999999996</v>
      </c>
      <c r="Q15" s="3">
        <f>P15*'Country Vehicle Prices'!AB92</f>
        <v>30575.823703537793</v>
      </c>
      <c r="R15" s="3">
        <f t="shared" si="1"/>
        <v>2975.823703537797</v>
      </c>
      <c r="S15" s="3">
        <f t="shared" si="2"/>
        <v>595.16474070755942</v>
      </c>
      <c r="T15" s="3">
        <f t="shared" si="3"/>
        <v>297.58237035377971</v>
      </c>
      <c r="U15" s="3">
        <f t="shared" si="4"/>
        <v>892.74711106133918</v>
      </c>
      <c r="V15" s="3"/>
      <c r="W15">
        <v>2020</v>
      </c>
      <c r="X15" s="3">
        <v>160</v>
      </c>
      <c r="Y15" s="20">
        <f>Y14+(Y25-Y4)/21</f>
        <v>7.9047619047619113</v>
      </c>
      <c r="Z15">
        <v>10000</v>
      </c>
      <c r="AA15" s="3">
        <f t="shared" si="5"/>
        <v>1264.761904761906</v>
      </c>
      <c r="AB15" s="3">
        <v>200</v>
      </c>
      <c r="AC15" s="3">
        <f t="shared" si="6"/>
        <v>1064.761904761906</v>
      </c>
      <c r="AE15">
        <v>2020</v>
      </c>
      <c r="AF15" s="3">
        <f t="shared" si="7"/>
        <v>76.439559258844483</v>
      </c>
      <c r="AH15" s="3">
        <f t="shared" si="8"/>
        <v>248.45435295941127</v>
      </c>
    </row>
    <row r="16" spans="1:34">
      <c r="A16">
        <v>2021</v>
      </c>
      <c r="C16" s="13">
        <f t="shared" si="9"/>
        <v>14.957589055310144</v>
      </c>
      <c r="F16">
        <f t="shared" si="11"/>
        <v>-0.51535202517618006</v>
      </c>
      <c r="I16">
        <v>10</v>
      </c>
      <c r="J16" s="3">
        <f t="shared" si="12"/>
        <v>248.45435295941127</v>
      </c>
      <c r="K16" s="3">
        <f>'Range acceptance'!K16</f>
        <v>72.810723293466779</v>
      </c>
      <c r="M16" s="3">
        <f t="shared" si="0"/>
        <v>248.45435295941127</v>
      </c>
      <c r="O16">
        <v>2021</v>
      </c>
      <c r="P16">
        <f>'Vehicle price'!X17*1.2*1000</f>
        <v>27599.999999999996</v>
      </c>
      <c r="Q16" s="3">
        <f>P16*'Country Vehicle Prices'!AB93</f>
        <v>30249.688219275755</v>
      </c>
      <c r="R16" s="3">
        <f t="shared" si="1"/>
        <v>2649.6882192757585</v>
      </c>
      <c r="S16" s="3">
        <f t="shared" si="2"/>
        <v>529.93764385515169</v>
      </c>
      <c r="T16" s="3">
        <f t="shared" si="3"/>
        <v>264.96882192757585</v>
      </c>
      <c r="U16" s="3">
        <f t="shared" si="4"/>
        <v>794.90646578272754</v>
      </c>
      <c r="V16" s="3"/>
      <c r="W16">
        <v>2021</v>
      </c>
      <c r="X16" s="3">
        <v>160</v>
      </c>
      <c r="Y16" s="20">
        <f>Y15+(Y25-Y4)/21</f>
        <v>7.7142857142857206</v>
      </c>
      <c r="Z16">
        <v>10000</v>
      </c>
      <c r="AA16" s="3">
        <f t="shared" si="5"/>
        <v>1234.2857142857154</v>
      </c>
      <c r="AB16" s="3">
        <v>200</v>
      </c>
      <c r="AC16" s="3">
        <f t="shared" si="6"/>
        <v>1034.2857142857154</v>
      </c>
      <c r="AE16">
        <v>2021</v>
      </c>
      <c r="AF16" s="3">
        <f t="shared" si="7"/>
        <v>75.624220548189385</v>
      </c>
      <c r="AH16" s="3">
        <f t="shared" si="8"/>
        <v>315.00346905117721</v>
      </c>
    </row>
    <row r="17" spans="1:34">
      <c r="A17">
        <v>2022</v>
      </c>
      <c r="C17" s="13">
        <f t="shared" si="9"/>
        <v>20.91010330581587</v>
      </c>
      <c r="F17">
        <f t="shared" si="11"/>
        <v>9.1073227718165839E-2</v>
      </c>
      <c r="I17">
        <v>11</v>
      </c>
      <c r="J17" s="3">
        <f t="shared" si="12"/>
        <v>315.00346905117721</v>
      </c>
      <c r="K17" s="3">
        <f>'Range acceptance'!K17</f>
        <v>82.009794280532631</v>
      </c>
      <c r="M17" s="3">
        <f t="shared" si="0"/>
        <v>315.00346905117721</v>
      </c>
      <c r="O17">
        <v>2022</v>
      </c>
      <c r="P17">
        <f>'Vehicle price'!X18*1.2*1000</f>
        <v>27599.999999999996</v>
      </c>
      <c r="Q17" s="3">
        <f>P17*'Country Vehicle Prices'!AB94</f>
        <v>30792.394887962593</v>
      </c>
      <c r="R17" s="3">
        <f t="shared" si="1"/>
        <v>3192.3948879625968</v>
      </c>
      <c r="S17" s="3">
        <f t="shared" si="2"/>
        <v>638.47897759251941</v>
      </c>
      <c r="T17" s="3">
        <f t="shared" si="3"/>
        <v>319.23948879625971</v>
      </c>
      <c r="U17" s="3">
        <f t="shared" si="4"/>
        <v>957.71846638877912</v>
      </c>
      <c r="V17" s="3"/>
      <c r="W17">
        <v>2022</v>
      </c>
      <c r="X17" s="3">
        <v>160</v>
      </c>
      <c r="Y17" s="20">
        <f>Y16+(Y25-Y4)/21</f>
        <v>7.5238095238095299</v>
      </c>
      <c r="Z17">
        <v>10000</v>
      </c>
      <c r="AA17" s="3">
        <f t="shared" si="5"/>
        <v>1203.809523809525</v>
      </c>
      <c r="AB17" s="3">
        <v>200</v>
      </c>
      <c r="AC17" s="3">
        <f t="shared" si="6"/>
        <v>1003.809523809525</v>
      </c>
      <c r="AE17">
        <v>2022</v>
      </c>
      <c r="AF17" s="3">
        <f t="shared" si="7"/>
        <v>76.980987219906481</v>
      </c>
      <c r="AH17" s="3">
        <f t="shared" si="8"/>
        <v>123.07204464065235</v>
      </c>
    </row>
    <row r="18" spans="1:34">
      <c r="A18">
        <v>2023</v>
      </c>
      <c r="C18" s="13">
        <f t="shared" si="9"/>
        <v>25.424681796459613</v>
      </c>
      <c r="F18">
        <f t="shared" si="11"/>
        <v>0.55639086233106116</v>
      </c>
      <c r="I18">
        <v>12</v>
      </c>
      <c r="J18" s="3">
        <f t="shared" si="12"/>
        <v>123.07204464065235</v>
      </c>
      <c r="K18" s="3">
        <f>'Range acceptance'!K18</f>
        <v>86.793113660401801</v>
      </c>
      <c r="M18" s="3">
        <f t="shared" si="0"/>
        <v>123.07204464065235</v>
      </c>
      <c r="O18">
        <v>2023</v>
      </c>
      <c r="P18">
        <f>'Vehicle price'!X19*1.2*1000</f>
        <v>27599.999999999996</v>
      </c>
      <c r="Q18" s="3">
        <f>P18*'Country Vehicle Prices'!AB95</f>
        <v>30493.336955399103</v>
      </c>
      <c r="R18" s="3">
        <f t="shared" si="1"/>
        <v>2893.336955399107</v>
      </c>
      <c r="S18" s="3">
        <f t="shared" si="2"/>
        <v>578.66739107982141</v>
      </c>
      <c r="T18" s="3">
        <f t="shared" si="3"/>
        <v>289.33369553991071</v>
      </c>
      <c r="U18" s="3">
        <f t="shared" si="4"/>
        <v>868.00108661973218</v>
      </c>
      <c r="V18" s="3"/>
      <c r="W18">
        <v>2023</v>
      </c>
      <c r="X18" s="3">
        <v>160</v>
      </c>
      <c r="Y18" s="20">
        <f>Y17+(Y25-Y4)/21</f>
        <v>7.3333333333333393</v>
      </c>
      <c r="Z18">
        <v>10000</v>
      </c>
      <c r="AA18" s="3">
        <f t="shared" si="5"/>
        <v>1173.3333333333344</v>
      </c>
      <c r="AB18" s="3">
        <v>200</v>
      </c>
      <c r="AC18" s="3">
        <f t="shared" si="6"/>
        <v>973.33333333333439</v>
      </c>
      <c r="AE18">
        <v>2023</v>
      </c>
      <c r="AF18" s="3">
        <f t="shared" si="7"/>
        <v>76.233342388497761</v>
      </c>
      <c r="AH18" s="3">
        <f t="shared" si="8"/>
        <v>181.56558910209998</v>
      </c>
    </row>
    <row r="19" spans="1:34">
      <c r="A19">
        <v>2024</v>
      </c>
      <c r="C19" s="13">
        <f t="shared" si="9"/>
        <v>29.225158801241218</v>
      </c>
      <c r="F19">
        <f t="shared" si="11"/>
        <v>0.99781604314287409</v>
      </c>
      <c r="I19">
        <v>13</v>
      </c>
      <c r="J19" s="3">
        <f t="shared" si="12"/>
        <v>181.56558910209998</v>
      </c>
      <c r="K19" s="3">
        <f>'Range acceptance'!K19</f>
        <v>86.793113660401801</v>
      </c>
      <c r="M19" s="3">
        <f t="shared" si="0"/>
        <v>181.56558910209998</v>
      </c>
      <c r="O19">
        <v>2024</v>
      </c>
      <c r="P19">
        <f>'Vehicle price'!X20*1.2*1000</f>
        <v>27599.999999999996</v>
      </c>
      <c r="Q19" s="3">
        <f>P19*'Country Vehicle Prices'!AB96</f>
        <v>29248.831584104697</v>
      </c>
      <c r="R19" s="3">
        <f t="shared" si="1"/>
        <v>1648.8315841047006</v>
      </c>
      <c r="S19" s="3">
        <f t="shared" si="2"/>
        <v>329.76631682094012</v>
      </c>
      <c r="T19" s="3">
        <f t="shared" si="3"/>
        <v>164.88315841047006</v>
      </c>
      <c r="U19" s="3">
        <f t="shared" si="4"/>
        <v>494.64947523141018</v>
      </c>
      <c r="V19" s="3"/>
      <c r="W19">
        <v>2024</v>
      </c>
      <c r="X19" s="3">
        <v>160</v>
      </c>
      <c r="Y19" s="20">
        <f>Y18+(Y25-Y4)/21</f>
        <v>7.1428571428571486</v>
      </c>
      <c r="Z19">
        <v>10000</v>
      </c>
      <c r="AA19" s="3">
        <f t="shared" si="5"/>
        <v>1142.8571428571438</v>
      </c>
      <c r="AB19" s="3">
        <v>200</v>
      </c>
      <c r="AC19" s="3">
        <f t="shared" si="6"/>
        <v>942.8571428571438</v>
      </c>
      <c r="AE19">
        <v>2024</v>
      </c>
      <c r="AF19" s="3">
        <f t="shared" si="7"/>
        <v>73.122078960261746</v>
      </c>
      <c r="AH19" s="3">
        <f>-U19+AC19+AF19</f>
        <v>521.32974658599539</v>
      </c>
    </row>
    <row r="20" spans="1:34">
      <c r="A20">
        <v>2025</v>
      </c>
      <c r="C20" s="13">
        <f t="shared" si="9"/>
        <v>32.74836657605421</v>
      </c>
      <c r="F20">
        <f t="shared" si="11"/>
        <v>1.507626341952131</v>
      </c>
      <c r="I20">
        <v>14</v>
      </c>
      <c r="J20" s="3">
        <f t="shared" si="12"/>
        <v>521.32974658599539</v>
      </c>
      <c r="K20" s="3">
        <f>'Range acceptance'!K20</f>
        <v>86.793113660401801</v>
      </c>
      <c r="M20" s="3">
        <f t="shared" si="0"/>
        <v>521.32974658599539</v>
      </c>
      <c r="O20">
        <v>2025</v>
      </c>
      <c r="P20">
        <f>'Vehicle price'!X21*1.2*1000</f>
        <v>27599.999999999996</v>
      </c>
      <c r="Q20" s="3">
        <f>P20*'Country Vehicle Prices'!AB97</f>
        <v>28184.019949035872</v>
      </c>
      <c r="R20" s="3">
        <f t="shared" si="1"/>
        <v>584.01994903587547</v>
      </c>
      <c r="S20" s="3">
        <f t="shared" si="2"/>
        <v>116.8039898071751</v>
      </c>
      <c r="T20" s="3">
        <f t="shared" si="3"/>
        <v>58.40199490358755</v>
      </c>
      <c r="U20" s="3">
        <f t="shared" si="4"/>
        <v>175.20598471076266</v>
      </c>
      <c r="V20" s="3"/>
      <c r="W20">
        <v>2025</v>
      </c>
      <c r="X20" s="3">
        <v>160</v>
      </c>
      <c r="Y20" s="20">
        <f>Y19+(Y25-Y4)/21</f>
        <v>6.9523809523809579</v>
      </c>
      <c r="Z20">
        <v>10000</v>
      </c>
      <c r="AA20" s="3">
        <f t="shared" si="5"/>
        <v>1112.3809523809534</v>
      </c>
      <c r="AB20" s="3">
        <v>200</v>
      </c>
      <c r="AC20" s="3">
        <f t="shared" si="6"/>
        <v>912.38095238095343</v>
      </c>
      <c r="AE20">
        <v>2025</v>
      </c>
      <c r="AF20" s="3">
        <f t="shared" si="7"/>
        <v>70.460049872589678</v>
      </c>
      <c r="AH20" s="3">
        <f>-U20+AC20+AF20</f>
        <v>807.63501754278047</v>
      </c>
    </row>
    <row r="21" spans="1:34">
      <c r="A21">
        <v>2026</v>
      </c>
      <c r="C21" s="13">
        <f t="shared" si="9"/>
        <v>35.250495214458873</v>
      </c>
      <c r="F21">
        <f t="shared" si="11"/>
        <v>2.0044392208607285</v>
      </c>
      <c r="I21">
        <v>15</v>
      </c>
      <c r="J21" s="3">
        <f t="shared" si="12"/>
        <v>807.63501754278047</v>
      </c>
      <c r="K21" s="3">
        <f>'Range acceptance'!K21</f>
        <v>86.793113660401801</v>
      </c>
      <c r="M21" s="3">
        <f t="shared" si="0"/>
        <v>807.63501754278047</v>
      </c>
      <c r="O21">
        <v>2026</v>
      </c>
      <c r="P21">
        <f>'Vehicle price'!X22*1.2*1000</f>
        <v>27599.999999999996</v>
      </c>
      <c r="Q21" s="3">
        <f>P21*'Country Vehicle Prices'!AB98</f>
        <v>27589.427296072146</v>
      </c>
      <c r="R21" s="3">
        <f t="shared" si="1"/>
        <v>-10.572703927849943</v>
      </c>
      <c r="S21" s="3">
        <f t="shared" si="2"/>
        <v>-2.1145407855699885</v>
      </c>
      <c r="T21" s="3">
        <f t="shared" si="3"/>
        <v>-1.0572703927849945</v>
      </c>
      <c r="U21" s="3">
        <f t="shared" si="4"/>
        <v>-3.1718111783549832</v>
      </c>
      <c r="V21" s="3"/>
      <c r="W21">
        <v>2026</v>
      </c>
      <c r="X21" s="3">
        <v>160</v>
      </c>
      <c r="Y21" s="20">
        <f>Y20+(Y25-Y4)/21</f>
        <v>6.7619047619047672</v>
      </c>
      <c r="Z21">
        <v>10000</v>
      </c>
      <c r="AA21" s="3">
        <f t="shared" si="5"/>
        <v>1081.9047619047628</v>
      </c>
      <c r="AB21" s="3">
        <v>200</v>
      </c>
      <c r="AC21" s="3">
        <f t="shared" si="6"/>
        <v>881.90476190476284</v>
      </c>
      <c r="AE21">
        <v>2026</v>
      </c>
      <c r="AF21" s="3">
        <f t="shared" si="7"/>
        <v>68.97356824018037</v>
      </c>
      <c r="AH21" s="3">
        <f t="shared" si="8"/>
        <v>954.05014132329825</v>
      </c>
    </row>
    <row r="22" spans="1:34">
      <c r="A22">
        <v>2027</v>
      </c>
      <c r="C22" s="13">
        <f t="shared" si="9"/>
        <v>36.872524961864606</v>
      </c>
      <c r="F22">
        <f t="shared" si="11"/>
        <v>2.4672407108135772</v>
      </c>
      <c r="I22">
        <v>16</v>
      </c>
      <c r="J22" s="3">
        <f t="shared" si="12"/>
        <v>954.05014132329825</v>
      </c>
      <c r="K22" s="3">
        <f>'Range acceptance'!K22</f>
        <v>86.793113660401801</v>
      </c>
      <c r="M22" s="3">
        <f t="shared" si="0"/>
        <v>954.05014132329825</v>
      </c>
      <c r="O22">
        <v>2027</v>
      </c>
      <c r="P22">
        <f>'Vehicle price'!X23*1.2*1000</f>
        <v>27599.999999999996</v>
      </c>
      <c r="Q22" s="3">
        <f>P22*'Country Vehicle Prices'!AB99</f>
        <v>26994.234802290932</v>
      </c>
      <c r="R22" s="3">
        <f t="shared" si="1"/>
        <v>-605.76519770906452</v>
      </c>
      <c r="S22" s="3">
        <f t="shared" si="2"/>
        <v>-121.1530395418129</v>
      </c>
      <c r="T22" s="3">
        <f t="shared" si="3"/>
        <v>-60.576519770906458</v>
      </c>
      <c r="U22" s="3">
        <f t="shared" si="4"/>
        <v>-181.72955931271935</v>
      </c>
      <c r="V22" s="3"/>
      <c r="W22">
        <v>2027</v>
      </c>
      <c r="X22" s="3">
        <v>160</v>
      </c>
      <c r="Y22" s="20">
        <f>Y21+(Y25-Y4)/21</f>
        <v>6.5714285714285765</v>
      </c>
      <c r="Z22">
        <v>10000</v>
      </c>
      <c r="AA22" s="3">
        <f t="shared" si="5"/>
        <v>1051.4285714285722</v>
      </c>
      <c r="AB22" s="3">
        <v>200</v>
      </c>
      <c r="AC22" s="3">
        <f t="shared" si="6"/>
        <v>851.42857142857224</v>
      </c>
      <c r="AE22">
        <v>2027</v>
      </c>
      <c r="AF22" s="3">
        <f t="shared" si="7"/>
        <v>67.485587005727325</v>
      </c>
      <c r="AH22" s="3">
        <f t="shared" si="8"/>
        <v>1100.6437177470189</v>
      </c>
    </row>
    <row r="23" spans="1:34">
      <c r="A23">
        <v>2028</v>
      </c>
      <c r="C23" s="13">
        <f t="shared" si="9"/>
        <v>37.972551738657067</v>
      </c>
      <c r="F23">
        <f t="shared" si="11"/>
        <v>2.9300855878267771</v>
      </c>
      <c r="I23">
        <v>17</v>
      </c>
      <c r="J23" s="3">
        <f t="shared" si="12"/>
        <v>1100.6437177470189</v>
      </c>
      <c r="K23" s="3">
        <f>'Range acceptance'!K23</f>
        <v>86.793113660401801</v>
      </c>
      <c r="M23" s="3">
        <f t="shared" si="0"/>
        <v>1100.6437177470189</v>
      </c>
      <c r="O23">
        <v>2028</v>
      </c>
      <c r="P23">
        <f>'Vehicle price'!X24*1.2*1000</f>
        <v>27599.999999999996</v>
      </c>
      <c r="Q23" s="3">
        <f>P23*'Country Vehicle Prices'!AB100</f>
        <v>26320.535928826408</v>
      </c>
      <c r="R23" s="3">
        <f t="shared" si="1"/>
        <v>-1279.4640711735883</v>
      </c>
      <c r="S23" s="3">
        <f t="shared" si="2"/>
        <v>-255.89281423471766</v>
      </c>
      <c r="T23" s="3">
        <f t="shared" si="3"/>
        <v>-127.94640711735883</v>
      </c>
      <c r="U23" s="3">
        <f t="shared" si="4"/>
        <v>-383.83922135207649</v>
      </c>
      <c r="V23" s="3"/>
      <c r="W23">
        <v>2028</v>
      </c>
      <c r="X23" s="3">
        <v>160</v>
      </c>
      <c r="Y23" s="20">
        <f>Y22+(Y25-Y4)/21</f>
        <v>6.3809523809523858</v>
      </c>
      <c r="Z23">
        <v>10000</v>
      </c>
      <c r="AA23" s="3">
        <f t="shared" si="5"/>
        <v>1020.9523809523819</v>
      </c>
      <c r="AB23" s="3">
        <v>200</v>
      </c>
      <c r="AC23" s="3">
        <f t="shared" si="6"/>
        <v>820.95238095238187</v>
      </c>
      <c r="AE23">
        <v>2028</v>
      </c>
      <c r="AF23" s="3">
        <f t="shared" si="7"/>
        <v>65.801339822066026</v>
      </c>
      <c r="AH23" s="3">
        <f t="shared" si="8"/>
        <v>1270.5929421265243</v>
      </c>
    </row>
    <row r="24" spans="1:34">
      <c r="A24">
        <v>2029</v>
      </c>
      <c r="C24" s="13">
        <f t="shared" si="9"/>
        <v>38.706441275876365</v>
      </c>
      <c r="F24">
        <f t="shared" si="11"/>
        <v>3.3986089064098239</v>
      </c>
      <c r="I24">
        <v>18</v>
      </c>
      <c r="J24" s="3">
        <f t="shared" si="12"/>
        <v>1270.5929421265243</v>
      </c>
      <c r="K24" s="3">
        <f>'Range acceptance'!K24</f>
        <v>86.793113660401801</v>
      </c>
      <c r="M24" s="3">
        <f t="shared" si="0"/>
        <v>1270.5929421265243</v>
      </c>
      <c r="O24">
        <v>2029</v>
      </c>
      <c r="P24">
        <f>'Vehicle price'!X25*1.2*1000</f>
        <v>27599.999999999996</v>
      </c>
      <c r="Q24" s="3">
        <f>P24*'Country Vehicle Prices'!AB101</f>
        <v>25724.182576941334</v>
      </c>
      <c r="R24" s="3">
        <f t="shared" si="1"/>
        <v>-1875.8174230586628</v>
      </c>
      <c r="S24" s="3">
        <f t="shared" si="2"/>
        <v>-375.16348461173254</v>
      </c>
      <c r="T24" s="3">
        <f t="shared" si="3"/>
        <v>-187.5817423058663</v>
      </c>
      <c r="U24" s="3">
        <f t="shared" si="4"/>
        <v>-562.74522691759887</v>
      </c>
      <c r="V24" s="3"/>
      <c r="W24">
        <v>2029</v>
      </c>
      <c r="X24" s="3">
        <v>160</v>
      </c>
      <c r="Y24" s="20">
        <f>Y23+(Y25-Y4)/21</f>
        <v>6.1904761904761951</v>
      </c>
      <c r="Z24">
        <v>10000</v>
      </c>
      <c r="AA24" s="3">
        <f t="shared" si="5"/>
        <v>990.47619047619116</v>
      </c>
      <c r="AB24" s="3">
        <v>200</v>
      </c>
      <c r="AC24" s="3">
        <f t="shared" si="6"/>
        <v>790.47619047619116</v>
      </c>
      <c r="AE24">
        <v>2029</v>
      </c>
      <c r="AF24" s="3">
        <f t="shared" si="7"/>
        <v>64.310456442353342</v>
      </c>
      <c r="AH24" s="3">
        <f t="shared" si="8"/>
        <v>1417.5318738361434</v>
      </c>
    </row>
    <row r="25" spans="1:34">
      <c r="A25">
        <v>2030</v>
      </c>
      <c r="C25" s="13">
        <f t="shared" si="9"/>
        <v>39.175910161900141</v>
      </c>
      <c r="F25">
        <f>F$28+F$29*I25+F$30*J25+F$31*K25</f>
        <v>3.8615377494005694</v>
      </c>
      <c r="I25">
        <v>19</v>
      </c>
      <c r="J25" s="3">
        <f t="shared" si="12"/>
        <v>1417.5318738361434</v>
      </c>
      <c r="K25" s="3">
        <f>'Range acceptance'!K25</f>
        <v>86.793113660401801</v>
      </c>
      <c r="M25" s="3">
        <f t="shared" si="0"/>
        <v>1417.5318738361434</v>
      </c>
      <c r="O25">
        <v>2030</v>
      </c>
      <c r="P25">
        <f>'Vehicle price'!X26*1.2*1000</f>
        <v>27599.999999999996</v>
      </c>
      <c r="Q25" s="3">
        <f>P25*'Country Vehicle Prices'!AB102</f>
        <v>25054.005806977846</v>
      </c>
      <c r="R25" s="3">
        <f t="shared" si="1"/>
        <v>-2545.9941930221503</v>
      </c>
      <c r="S25" s="3">
        <f t="shared" si="2"/>
        <v>-509.19883860443008</v>
      </c>
      <c r="T25" s="3">
        <f t="shared" si="3"/>
        <v>-254.59941930221504</v>
      </c>
      <c r="U25" s="3">
        <f t="shared" si="4"/>
        <v>-763.79825790664518</v>
      </c>
      <c r="V25" s="3"/>
      <c r="W25">
        <v>2030</v>
      </c>
      <c r="X25" s="3">
        <v>160</v>
      </c>
      <c r="Y25">
        <v>6</v>
      </c>
      <c r="Z25">
        <v>10000</v>
      </c>
      <c r="AA25" s="3">
        <f t="shared" si="5"/>
        <v>960.00000000000011</v>
      </c>
      <c r="AB25" s="3">
        <v>200</v>
      </c>
      <c r="AC25" s="3">
        <f t="shared" si="6"/>
        <v>760.00000000000011</v>
      </c>
      <c r="AE25">
        <v>2030</v>
      </c>
      <c r="AF25" s="3">
        <f t="shared" si="7"/>
        <v>62.635014517444617</v>
      </c>
      <c r="AH25" s="3">
        <f t="shared" si="8"/>
        <v>1586.4332724240899</v>
      </c>
    </row>
    <row r="26" spans="1:34">
      <c r="J26" s="13"/>
      <c r="M26" s="13"/>
    </row>
    <row r="27" spans="1:34">
      <c r="J27" s="13"/>
      <c r="M27" s="13"/>
    </row>
    <row r="28" spans="1:34">
      <c r="E28" s="41" t="s">
        <v>159</v>
      </c>
      <c r="F28" s="41">
        <v>-6.1382704717941392</v>
      </c>
    </row>
    <row r="29" spans="1:34">
      <c r="E29" t="s">
        <v>898</v>
      </c>
      <c r="F29" s="41">
        <v>0.42720368821754262</v>
      </c>
    </row>
    <row r="30" spans="1:34">
      <c r="E30" t="s">
        <v>1088</v>
      </c>
      <c r="F30" s="41">
        <v>2.4312926708765445E-4</v>
      </c>
    </row>
    <row r="31" spans="1:34" ht="15.75" thickBot="1">
      <c r="E31" t="s">
        <v>900</v>
      </c>
      <c r="F31" s="42">
        <v>1.772369482584946E-2</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2"/>
  <sheetViews>
    <sheetView zoomScale="75" zoomScaleNormal="75" workbookViewId="0">
      <pane xSplit="2" ySplit="1" topLeftCell="C2" activePane="bottomRight" state="frozen"/>
      <selection pane="topRight" activeCell="C1" sqref="C1"/>
      <selection pane="bottomLeft" activeCell="A2" sqref="A2"/>
      <selection pane="bottomRight" activeCell="L28" sqref="L28"/>
    </sheetView>
  </sheetViews>
  <sheetFormatPr defaultRowHeight="15"/>
  <cols>
    <col min="1" max="1" width="17.140625" customWidth="1"/>
    <col min="3" max="3" width="19.140625" style="13" customWidth="1"/>
    <col min="4" max="5" width="9.140625" style="13"/>
    <col min="6" max="6" width="14.140625" style="13" customWidth="1"/>
    <col min="7" max="7" width="15.5703125" style="13" customWidth="1"/>
    <col min="8" max="8" width="11.140625" customWidth="1"/>
    <col min="9" max="21" width="11" customWidth="1"/>
    <col min="22" max="22" width="9.140625" style="13"/>
    <col min="23" max="23" width="18.28515625" customWidth="1"/>
    <col min="25" max="25" width="10.85546875" customWidth="1"/>
    <col min="26" max="26" width="11.5703125" customWidth="1"/>
    <col min="27" max="27" width="11.28515625" customWidth="1"/>
    <col min="28" max="28" width="10.7109375" customWidth="1"/>
    <col min="30" max="30" width="11.28515625" customWidth="1"/>
    <col min="31" max="31" width="11" customWidth="1"/>
    <col min="32" max="32" width="13" customWidth="1"/>
    <col min="33" max="33" width="10.140625" customWidth="1"/>
    <col min="34" max="34" width="12.7109375" customWidth="1"/>
  </cols>
  <sheetData>
    <row r="1" spans="1:35">
      <c r="C1" s="183" t="s">
        <v>945</v>
      </c>
      <c r="D1" s="13" t="s">
        <v>949</v>
      </c>
      <c r="E1" s="13" t="s">
        <v>298</v>
      </c>
      <c r="F1" s="13" t="s">
        <v>238</v>
      </c>
      <c r="G1" s="13" t="s">
        <v>239</v>
      </c>
      <c r="H1" s="13" t="s">
        <v>541</v>
      </c>
      <c r="I1" s="13" t="s">
        <v>542</v>
      </c>
      <c r="J1" s="13" t="s">
        <v>240</v>
      </c>
      <c r="K1" s="13" t="s">
        <v>241</v>
      </c>
      <c r="L1" s="13" t="s">
        <v>242</v>
      </c>
      <c r="M1" s="13" t="s">
        <v>544</v>
      </c>
      <c r="N1" s="13" t="s">
        <v>538</v>
      </c>
      <c r="O1" s="13" t="s">
        <v>243</v>
      </c>
      <c r="P1" s="13" t="s">
        <v>244</v>
      </c>
      <c r="Q1" s="13" t="s">
        <v>245</v>
      </c>
      <c r="R1" s="13" t="s">
        <v>331</v>
      </c>
      <c r="S1" s="13" t="s">
        <v>246</v>
      </c>
      <c r="T1" s="13" t="s">
        <v>545</v>
      </c>
      <c r="V1" s="182" t="s">
        <v>952</v>
      </c>
      <c r="W1" s="182" t="s">
        <v>934</v>
      </c>
      <c r="X1" s="182" t="s">
        <v>950</v>
      </c>
      <c r="Y1" s="182" t="s">
        <v>951</v>
      </c>
      <c r="Z1" s="18" t="s">
        <v>957</v>
      </c>
      <c r="AA1" s="18" t="s">
        <v>958</v>
      </c>
      <c r="AB1" s="18" t="s">
        <v>959</v>
      </c>
      <c r="AC1" s="19" t="s">
        <v>961</v>
      </c>
      <c r="AD1" s="18" t="s">
        <v>962</v>
      </c>
      <c r="AE1" s="18" t="s">
        <v>963</v>
      </c>
      <c r="AF1" s="18" t="s">
        <v>965</v>
      </c>
      <c r="AG1" s="18" t="s">
        <v>966</v>
      </c>
      <c r="AH1" s="19" t="s">
        <v>967</v>
      </c>
      <c r="AI1" s="18" t="s">
        <v>969</v>
      </c>
    </row>
    <row r="2" spans="1:35">
      <c r="A2" s="13"/>
      <c r="B2" s="13" t="s">
        <v>246</v>
      </c>
      <c r="C2" s="13" t="s">
        <v>539</v>
      </c>
      <c r="D2" s="13" t="s">
        <v>949</v>
      </c>
      <c r="E2" s="13" t="s">
        <v>298</v>
      </c>
      <c r="F2" s="13" t="s">
        <v>238</v>
      </c>
      <c r="G2" s="13" t="s">
        <v>239</v>
      </c>
      <c r="H2" s="13" t="s">
        <v>541</v>
      </c>
      <c r="I2" s="13" t="s">
        <v>542</v>
      </c>
      <c r="J2" s="13" t="s">
        <v>240</v>
      </c>
      <c r="K2" s="13" t="s">
        <v>241</v>
      </c>
      <c r="L2" s="13" t="s">
        <v>242</v>
      </c>
      <c r="M2" s="13" t="s">
        <v>544</v>
      </c>
      <c r="N2" s="13" t="s">
        <v>538</v>
      </c>
      <c r="O2" s="13" t="s">
        <v>243</v>
      </c>
      <c r="P2" s="13" t="s">
        <v>244</v>
      </c>
      <c r="Q2" s="13" t="s">
        <v>245</v>
      </c>
      <c r="R2" s="13" t="s">
        <v>331</v>
      </c>
      <c r="S2" s="13" t="s">
        <v>246</v>
      </c>
      <c r="T2" s="13" t="s">
        <v>545</v>
      </c>
      <c r="U2" s="13"/>
    </row>
    <row r="3" spans="1:35">
      <c r="A3" s="181" t="s">
        <v>159</v>
      </c>
      <c r="B3" s="41">
        <v>24.678418080903498</v>
      </c>
      <c r="C3" s="41">
        <v>22.262395913854437</v>
      </c>
      <c r="D3" s="41">
        <v>25.715421556427682</v>
      </c>
      <c r="E3" s="41">
        <v>25.700944177254964</v>
      </c>
      <c r="F3" s="41">
        <v>24.675918647175024</v>
      </c>
      <c r="G3" s="41">
        <v>25.357407134578537</v>
      </c>
      <c r="H3" s="41">
        <v>24.376588495147185</v>
      </c>
      <c r="I3" s="41">
        <v>24.943940374219281</v>
      </c>
      <c r="J3" s="41">
        <v>24.708473471154239</v>
      </c>
      <c r="K3" s="41">
        <v>24.081822280053633</v>
      </c>
      <c r="L3" s="41">
        <v>23.99680326781775</v>
      </c>
      <c r="M3" s="41">
        <v>24.154434051146065</v>
      </c>
      <c r="N3" s="41">
        <v>24.850484633188064</v>
      </c>
      <c r="O3" s="41">
        <v>21.362407271693108</v>
      </c>
      <c r="T3" s="41"/>
      <c r="U3" s="41"/>
    </row>
    <row r="4" spans="1:35">
      <c r="A4" s="13" t="s">
        <v>947</v>
      </c>
      <c r="B4" s="41">
        <v>-18.227711684205698</v>
      </c>
      <c r="C4" s="41">
        <v>-17.074319465201267</v>
      </c>
      <c r="D4" s="41">
        <v>-20.523462019564491</v>
      </c>
      <c r="E4" s="41">
        <v>-20.338414509417422</v>
      </c>
      <c r="F4" s="41">
        <v>-19.887010632826215</v>
      </c>
      <c r="G4" s="41">
        <v>-20.079396918040842</v>
      </c>
      <c r="H4" s="41">
        <v>-19.894454233428949</v>
      </c>
      <c r="I4" s="41">
        <v>-19.995708061524102</v>
      </c>
      <c r="J4" s="41">
        <v>-19.927545892895314</v>
      </c>
      <c r="K4" s="41">
        <v>-19.149134672916588</v>
      </c>
      <c r="L4" s="41">
        <v>-19.520410234763339</v>
      </c>
      <c r="M4" s="41">
        <v>-19.595094996631296</v>
      </c>
      <c r="N4" s="41">
        <v>-20.138305026966492</v>
      </c>
      <c r="O4" s="41">
        <v>-17.908080417386362</v>
      </c>
      <c r="T4" s="41"/>
      <c r="U4" s="41"/>
    </row>
    <row r="5" spans="1:35">
      <c r="A5" s="13" t="s">
        <v>825</v>
      </c>
      <c r="B5" s="41">
        <v>0.74990339708519449</v>
      </c>
      <c r="C5" s="41">
        <v>1.2825488477698184</v>
      </c>
      <c r="D5" s="41">
        <v>1.1376572820539814</v>
      </c>
      <c r="E5" s="41">
        <v>1.0564555922098013</v>
      </c>
      <c r="F5" s="41">
        <v>1.3141339237490175</v>
      </c>
      <c r="G5" s="41">
        <v>1.0867363468566487</v>
      </c>
      <c r="H5" s="41">
        <v>1.4668764128003977</v>
      </c>
      <c r="I5" s="41">
        <v>1.2531300488222012</v>
      </c>
      <c r="J5" s="41">
        <v>1.3317988596176111</v>
      </c>
      <c r="K5" s="41">
        <v>1.2750699322229164</v>
      </c>
      <c r="L5" s="41">
        <v>1.4917544606421591</v>
      </c>
      <c r="M5" s="41">
        <v>1.4466081902086183</v>
      </c>
      <c r="N5" s="41">
        <v>1.3775868142613072</v>
      </c>
      <c r="O5" s="41">
        <v>1.8489638564621245</v>
      </c>
      <c r="T5" s="41"/>
      <c r="U5" s="41"/>
    </row>
    <row r="6" spans="1:35" ht="15.75" thickBot="1">
      <c r="A6" s="177" t="s">
        <v>950</v>
      </c>
      <c r="B6" s="41"/>
      <c r="C6" s="42"/>
      <c r="D6" s="41">
        <v>1.7587443572836856</v>
      </c>
      <c r="E6" s="41">
        <v>1.611433971239187</v>
      </c>
      <c r="F6" s="41">
        <v>1.6897614263533274</v>
      </c>
      <c r="G6" s="41">
        <v>1.5541637897007343</v>
      </c>
      <c r="H6" s="41">
        <v>1.8145488785847659</v>
      </c>
      <c r="I6" s="41">
        <v>1.6484378956266299</v>
      </c>
      <c r="J6" s="41">
        <v>1.6927951871012532</v>
      </c>
      <c r="K6" s="41">
        <v>1.293858335602228</v>
      </c>
      <c r="L6" s="41">
        <v>1.6383652863955176</v>
      </c>
      <c r="M6" s="41">
        <v>1.6404099919989608</v>
      </c>
      <c r="N6" s="41">
        <v>1.7916118536382335</v>
      </c>
      <c r="O6" s="41">
        <v>1.5734637284550401</v>
      </c>
      <c r="T6" s="41"/>
      <c r="U6" s="41"/>
    </row>
    <row r="7" spans="1:35">
      <c r="A7" s="177" t="s">
        <v>951</v>
      </c>
      <c r="B7" s="177"/>
      <c r="D7" s="41">
        <v>-5.7933565711008024</v>
      </c>
      <c r="E7" s="41">
        <v>-5.8423214362713649</v>
      </c>
      <c r="F7" s="41">
        <v>-5.5229388256045659</v>
      </c>
      <c r="G7" s="41">
        <v>-5.7603817604512804</v>
      </c>
      <c r="H7" s="41">
        <v>-5.4044721786031804</v>
      </c>
      <c r="I7" s="41">
        <v>-5.6249127578901792</v>
      </c>
      <c r="J7" s="41">
        <v>-5.5446835439974249</v>
      </c>
      <c r="K7" s="41">
        <v>-5.535073814044444</v>
      </c>
      <c r="L7" s="41">
        <v>-5.3880476077253094</v>
      </c>
      <c r="M7" s="41">
        <v>-5.4239565301534229</v>
      </c>
      <c r="N7" s="41">
        <v>-5.5606749548738579</v>
      </c>
      <c r="O7" s="41">
        <v>-4.571574176598733</v>
      </c>
      <c r="T7" s="41"/>
      <c r="U7" s="41"/>
    </row>
    <row r="8" spans="1:35" ht="15.75" thickBot="1">
      <c r="A8" s="31" t="s">
        <v>957</v>
      </c>
      <c r="B8" s="177"/>
      <c r="D8" s="42">
        <v>2.3500178141153683</v>
      </c>
      <c r="E8" s="42">
        <v>2.2658069037678241</v>
      </c>
      <c r="F8" s="41">
        <v>2.2698650892031975</v>
      </c>
      <c r="G8" s="41">
        <v>2.2247895818341785</v>
      </c>
      <c r="H8" s="41">
        <v>2.3172735811027798</v>
      </c>
      <c r="I8" s="41">
        <v>2.2459024227018745</v>
      </c>
      <c r="J8" s="41">
        <v>2.2591380678410453</v>
      </c>
      <c r="K8" s="41">
        <v>1.9830115368931129</v>
      </c>
      <c r="L8" s="41">
        <v>2.1739984891353115</v>
      </c>
      <c r="M8" s="41">
        <v>2.1895894686760471</v>
      </c>
      <c r="N8" s="41">
        <v>2.3094681136833568</v>
      </c>
      <c r="O8" s="41">
        <v>2.1257925836815743</v>
      </c>
      <c r="T8" s="41"/>
      <c r="U8" s="41"/>
    </row>
    <row r="9" spans="1:35" ht="15.75" thickBot="1">
      <c r="A9" s="31" t="s">
        <v>958</v>
      </c>
      <c r="B9" s="177"/>
      <c r="D9" s="41"/>
      <c r="F9" s="42">
        <v>3.1827811598986475</v>
      </c>
      <c r="G9" s="41">
        <v>2.9861331806785416</v>
      </c>
      <c r="H9" s="41">
        <v>3.3312649682620576</v>
      </c>
      <c r="I9" s="41">
        <v>3.1178489367512867</v>
      </c>
      <c r="J9" s="41">
        <v>3.1835301331600512</v>
      </c>
      <c r="K9" s="41">
        <v>2.8740388069175133</v>
      </c>
      <c r="L9" s="41">
        <v>3.2064723645714013</v>
      </c>
      <c r="M9" s="41">
        <v>3.1917745752553359</v>
      </c>
      <c r="N9" s="41">
        <v>3.2630373764891614</v>
      </c>
      <c r="O9" s="41">
        <v>3.4034168967547815</v>
      </c>
      <c r="T9" s="41"/>
      <c r="U9" s="41"/>
    </row>
    <row r="10" spans="1:35" ht="15.75" thickBot="1">
      <c r="A10" s="31" t="s">
        <v>959</v>
      </c>
      <c r="B10" s="177"/>
      <c r="D10" s="41"/>
      <c r="F10"/>
      <c r="G10" s="42">
        <v>-2.8767602565639212</v>
      </c>
      <c r="H10" s="41">
        <v>-2.4756487644377123</v>
      </c>
      <c r="I10" s="41">
        <v>-2.7198809397821013</v>
      </c>
      <c r="J10" s="41">
        <v>-2.635402459969622</v>
      </c>
      <c r="K10" s="41">
        <v>-2.7587499293978612</v>
      </c>
      <c r="L10" s="41">
        <v>-2.5094382078314013</v>
      </c>
      <c r="M10" s="41">
        <v>-2.543506229616435</v>
      </c>
      <c r="N10" s="41">
        <v>-2.6053860774378297</v>
      </c>
      <c r="O10" s="41">
        <v>-1.9127569725491786</v>
      </c>
      <c r="T10" s="41"/>
      <c r="U10" s="41"/>
    </row>
    <row r="11" spans="1:35" ht="15.75" thickBot="1">
      <c r="A11" s="19" t="s">
        <v>961</v>
      </c>
      <c r="B11" s="177"/>
      <c r="D11" s="41"/>
      <c r="F11"/>
      <c r="G11"/>
      <c r="H11" s="42">
        <v>-10.409019469025498</v>
      </c>
      <c r="I11" s="41">
        <v>-9.9575001152392986</v>
      </c>
      <c r="J11" s="41">
        <v>-9.9246996852053417</v>
      </c>
      <c r="K11" s="41">
        <v>-9.728940167482472</v>
      </c>
      <c r="L11" s="41">
        <v>-9.8120887077380203</v>
      </c>
      <c r="M11" s="41">
        <v>-9.828735092376979</v>
      </c>
      <c r="N11" s="41">
        <v>-10.009655208906146</v>
      </c>
      <c r="O11" s="41">
        <v>-9.0095964656767418</v>
      </c>
    </row>
    <row r="12" spans="1:35" ht="15.75" thickBot="1">
      <c r="A12" s="31" t="s">
        <v>962</v>
      </c>
      <c r="B12" s="177"/>
      <c r="D12" s="41"/>
      <c r="F12"/>
      <c r="G12"/>
      <c r="I12" s="42">
        <v>-1.0519356948672394</v>
      </c>
      <c r="J12" s="41">
        <v>-1.0536702249049155</v>
      </c>
      <c r="K12" s="41">
        <v>-1.1438476566977493</v>
      </c>
      <c r="L12" s="41">
        <v>-1.1014629525763577</v>
      </c>
      <c r="M12" s="41">
        <v>-1.0898356711665689</v>
      </c>
      <c r="N12" s="41">
        <v>-1.0487523136669801</v>
      </c>
      <c r="O12" s="41">
        <v>-1.0753458227296566</v>
      </c>
    </row>
    <row r="13" spans="1:35" ht="15.75" thickBot="1">
      <c r="A13" s="31" t="s">
        <v>963</v>
      </c>
      <c r="B13" s="177"/>
      <c r="D13" s="41"/>
      <c r="F13"/>
      <c r="G13"/>
      <c r="J13" s="42">
        <v>1.1668923704676615</v>
      </c>
      <c r="K13" s="41">
        <v>0.95409542377303957</v>
      </c>
      <c r="L13" s="41">
        <v>1.0954493002474439</v>
      </c>
      <c r="M13" s="41">
        <v>1.110146909041047</v>
      </c>
      <c r="N13" s="41">
        <v>1.1969582418055744</v>
      </c>
      <c r="O13" s="41">
        <v>1.1297847960828924</v>
      </c>
    </row>
    <row r="14" spans="1:35" ht="15.75" thickBot="1">
      <c r="A14" s="31" t="s">
        <v>965</v>
      </c>
      <c r="B14" s="177"/>
      <c r="D14" s="41"/>
      <c r="F14"/>
      <c r="G14"/>
      <c r="K14" s="42">
        <v>2.4377257832538413</v>
      </c>
      <c r="L14" s="41">
        <v>2.5528387176238319</v>
      </c>
      <c r="M14" s="41">
        <v>2.6026214866948933</v>
      </c>
      <c r="N14" s="41">
        <v>2.8266484830333023</v>
      </c>
      <c r="O14" s="41">
        <v>2.1105985662453648</v>
      </c>
    </row>
    <row r="15" spans="1:35" ht="15.75" thickBot="1">
      <c r="A15" s="31" t="s">
        <v>966</v>
      </c>
      <c r="B15" s="177"/>
      <c r="D15" s="41"/>
      <c r="F15"/>
      <c r="G15"/>
      <c r="L15" s="42">
        <v>3.990474534349385</v>
      </c>
      <c r="M15" s="41">
        <v>3.9930409766716166</v>
      </c>
      <c r="N15" s="41">
        <v>4.1728637578032401</v>
      </c>
      <c r="O15" s="41">
        <v>3.9159662305523457</v>
      </c>
    </row>
    <row r="16" spans="1:35" ht="15.75" thickBot="1">
      <c r="A16" s="19" t="s">
        <v>967</v>
      </c>
      <c r="B16" s="31"/>
      <c r="F16" s="41"/>
      <c r="M16" s="42">
        <v>-4.7204990857171314</v>
      </c>
      <c r="N16" s="41">
        <v>-4.7238041550420347</v>
      </c>
      <c r="O16" s="41">
        <v>-4.3447859109569897</v>
      </c>
    </row>
    <row r="17" spans="1:41" ht="15.75" thickBot="1">
      <c r="A17" s="31" t="s">
        <v>969</v>
      </c>
      <c r="B17" s="31"/>
      <c r="F17" s="41"/>
      <c r="N17" s="42">
        <v>1.2899745339203055</v>
      </c>
      <c r="O17" s="41">
        <v>0.46644917886805176</v>
      </c>
    </row>
    <row r="18" spans="1:41" ht="15.75" thickBot="1">
      <c r="A18" s="177" t="s">
        <v>972</v>
      </c>
      <c r="B18" s="31"/>
      <c r="F18" s="41"/>
      <c r="O18" s="42">
        <v>-1.4635421758525282</v>
      </c>
    </row>
    <row r="19" spans="1:41">
      <c r="A19" s="177" t="s">
        <v>973</v>
      </c>
      <c r="B19" s="31"/>
      <c r="F19" s="41"/>
    </row>
    <row r="20" spans="1:41">
      <c r="A20" s="177" t="s">
        <v>974</v>
      </c>
      <c r="B20" s="31"/>
      <c r="F20" s="41"/>
    </row>
    <row r="21" spans="1:41">
      <c r="A21" s="177" t="s">
        <v>975</v>
      </c>
      <c r="B21" s="31"/>
      <c r="F21" s="41"/>
    </row>
    <row r="22" spans="1:41">
      <c r="A22" s="177" t="s">
        <v>976</v>
      </c>
      <c r="B22" s="31"/>
      <c r="F22" s="41"/>
    </row>
    <row r="23" spans="1:41">
      <c r="A23" s="177" t="s">
        <v>977</v>
      </c>
      <c r="B23" s="31"/>
      <c r="F23" s="41"/>
    </row>
    <row r="24" spans="1:41">
      <c r="A24" s="31"/>
      <c r="B24" s="31"/>
      <c r="F24" s="41"/>
    </row>
    <row r="25" spans="1:41">
      <c r="F25" s="41"/>
    </row>
    <row r="26" spans="1:41">
      <c r="F26" s="41"/>
    </row>
    <row r="27" spans="1:41">
      <c r="F27" s="41"/>
    </row>
    <row r="28" spans="1:41">
      <c r="F28" s="41"/>
    </row>
    <row r="29" spans="1:41">
      <c r="F29" s="41"/>
    </row>
    <row r="30" spans="1:41">
      <c r="F30" s="41"/>
    </row>
    <row r="31" spans="1:41">
      <c r="D31" s="13" t="s">
        <v>949</v>
      </c>
      <c r="E31" s="13" t="s">
        <v>298</v>
      </c>
      <c r="F31" s="13" t="s">
        <v>238</v>
      </c>
      <c r="G31" s="13" t="s">
        <v>239</v>
      </c>
      <c r="H31" s="13" t="s">
        <v>541</v>
      </c>
      <c r="I31" s="13" t="s">
        <v>542</v>
      </c>
      <c r="J31" s="13" t="s">
        <v>240</v>
      </c>
      <c r="K31" s="13" t="s">
        <v>241</v>
      </c>
      <c r="L31" s="13" t="s">
        <v>242</v>
      </c>
      <c r="M31" s="13" t="s">
        <v>544</v>
      </c>
      <c r="N31" s="13" t="s">
        <v>538</v>
      </c>
      <c r="O31" s="13" t="s">
        <v>243</v>
      </c>
      <c r="P31" s="13" t="s">
        <v>244</v>
      </c>
      <c r="Q31" s="13" t="s">
        <v>245</v>
      </c>
      <c r="R31" s="13" t="s">
        <v>331</v>
      </c>
      <c r="S31" s="13" t="s">
        <v>246</v>
      </c>
      <c r="T31" s="13" t="s">
        <v>545</v>
      </c>
    </row>
    <row r="32" spans="1:41" s="18" customFormat="1">
      <c r="C32" s="183" t="s">
        <v>945</v>
      </c>
      <c r="D32" s="182" t="s">
        <v>170</v>
      </c>
      <c r="E32" s="182" t="s">
        <v>170</v>
      </c>
      <c r="F32" s="182" t="s">
        <v>170</v>
      </c>
      <c r="G32" s="182" t="s">
        <v>170</v>
      </c>
      <c r="H32" s="182" t="s">
        <v>170</v>
      </c>
      <c r="I32" s="182" t="s">
        <v>170</v>
      </c>
      <c r="J32" s="182" t="s">
        <v>170</v>
      </c>
      <c r="K32" s="182" t="s">
        <v>170</v>
      </c>
      <c r="L32" s="182" t="s">
        <v>170</v>
      </c>
      <c r="M32" s="182"/>
      <c r="N32" s="182"/>
      <c r="O32" s="182"/>
      <c r="P32" s="182"/>
      <c r="Q32" s="182"/>
      <c r="R32" s="182"/>
      <c r="S32" s="182"/>
      <c r="T32" s="182"/>
      <c r="U32" s="182"/>
      <c r="V32" s="182" t="s">
        <v>952</v>
      </c>
      <c r="W32" s="182" t="s">
        <v>934</v>
      </c>
      <c r="X32" s="182" t="s">
        <v>950</v>
      </c>
      <c r="Y32" s="182" t="s">
        <v>951</v>
      </c>
      <c r="Z32" s="18" t="s">
        <v>957</v>
      </c>
      <c r="AA32" s="18" t="s">
        <v>958</v>
      </c>
      <c r="AB32" s="18" t="s">
        <v>959</v>
      </c>
      <c r="AC32" s="19" t="s">
        <v>961</v>
      </c>
      <c r="AD32" s="18" t="s">
        <v>962</v>
      </c>
      <c r="AE32" s="18" t="s">
        <v>963</v>
      </c>
      <c r="AF32" s="18" t="s">
        <v>965</v>
      </c>
      <c r="AG32" s="18" t="s">
        <v>966</v>
      </c>
      <c r="AH32" s="19" t="s">
        <v>967</v>
      </c>
      <c r="AI32" s="18" t="s">
        <v>969</v>
      </c>
      <c r="AJ32" s="13" t="s">
        <v>972</v>
      </c>
      <c r="AK32" s="13" t="s">
        <v>973</v>
      </c>
      <c r="AL32" s="13" t="s">
        <v>974</v>
      </c>
      <c r="AM32" s="13" t="s">
        <v>975</v>
      </c>
      <c r="AN32" s="13" t="s">
        <v>976</v>
      </c>
      <c r="AO32" s="13" t="s">
        <v>977</v>
      </c>
    </row>
    <row r="33" spans="1:36">
      <c r="A33" t="s">
        <v>833</v>
      </c>
      <c r="B33">
        <v>2012</v>
      </c>
      <c r="C33" s="13">
        <v>0</v>
      </c>
      <c r="D33" s="13">
        <f t="shared" ref="D33:D56" si="0">D$3+D$4*V33+D$5*W33+D$6*X33+D$7*Y33+D$8*Z33</f>
        <v>-4.9805295550678252E-2</v>
      </c>
      <c r="E33" s="13">
        <f t="shared" ref="E33:E62" si="1">E$3+E$4*V33+E$5*W33+E$6*X33+E$7*Y33+E$8*Z33</f>
        <v>-7.5859060061084449E-2</v>
      </c>
      <c r="F33" s="13">
        <f t="shared" ref="F33:F68" si="2">F$3+F$4*V33+F$5*W33+F$6*X33+F$7*Y33+F$8*Z33+F$9*AA33</f>
        <v>3.0845751047474446E-2</v>
      </c>
      <c r="G33" s="13">
        <f t="shared" ref="G33:G74" si="3">G$3+G$4*V33+G$5*W33+G$6*X33+G$7*Y33+G$8*Z33+G$9*AA33+G$10*AB33</f>
        <v>-5.8554692755057536E-2</v>
      </c>
      <c r="H33" s="13">
        <f t="shared" ref="H33:H80" si="4">H$3+H$4*V33+H$5*W33+H$6*X33+H$7*Y33+H$8*Z33+H$9*AA33+H$10*AB33+H$11*AC33</f>
        <v>8.7734052392199446E-2</v>
      </c>
      <c r="I33" s="13">
        <f t="shared" ref="I33:I64" si="5">I$3+I$4*V33+I$5*W33+I$6*X33+I$7*Y33+I$8*Z33+I$9*AA33+I$10*AB33+I$11*AC33+I$12*AD33</f>
        <v>5.5416561676324694E-3</v>
      </c>
      <c r="J33" s="13">
        <f t="shared" ref="J33:J64" si="6">J$3+J$4*V33+J$5*W33+J$6*X33+J$7*Y33+J$8*Z33+J$9*AA33+J$10*AB33+J$11*AC33+J$12*AD33+J$13*AE33</f>
        <v>3.6507128339030581E-2</v>
      </c>
      <c r="K33" s="13">
        <f t="shared" ref="K33:K64" si="7">K$3+K$4*V33+K$5*W33+K$6*X33+K$7*Y33+K$8*Z33+K$9*AA33+K$10*AB33+K$11*AC33+K$12*AD33+K$13*AE33+K$14*AF33</f>
        <v>3.3323009284223826E-2</v>
      </c>
      <c r="L33" s="13">
        <f>L$3+L$4*V33+L$5*W33+L$6*X33+L$7*Y33+L$8*Z33+L$9*AA33+L$10*AB33+L$11*AC33+L$12*AD33+L$13*AE33+L$14*AF33+L$15*AG33</f>
        <v>0.10568121149875487</v>
      </c>
      <c r="M33" s="13">
        <f>M$3+M$4*V33+M$5*W33+M$6*X33+M$7*Y33+M$8*Z33+M$9*AA33+M$10*AB33+M$11*AC33+M$12*AD33+M$13*AE33+M$14*AF33+M$15*AG33+M$16*AH33</f>
        <v>8.7087965294138758E-2</v>
      </c>
      <c r="N33" s="13">
        <f>N$3+N$4*V33+N$5*W33+N$6*X33+N$7*Y33+N$8*Z33+N$9*AA33+N$10*AB33+N$11*AC33+N$12*AD33+N$13*AE33+N$14*AF33+N$15*AG33+N$16*AH33+N$17*AI33</f>
        <v>4.8736438976661578E-2</v>
      </c>
      <c r="O33" s="13">
        <f>O$3+O$4*V33+O$5*W33+O$6*X33+O$7*Y33+O$8*Z33+O$9*AA33+O$10*AB33+O$11*AC33+O$12*AD33+O$13*AE33+O$14*AF33+O$15*AG33+O$16*AH33+O$17*AI33+O$18*AJ33</f>
        <v>0.27642580858084509</v>
      </c>
      <c r="P33" s="13"/>
      <c r="Q33" s="13"/>
      <c r="R33" s="13"/>
      <c r="S33" s="13"/>
      <c r="T33" s="13"/>
      <c r="U33" s="13"/>
      <c r="V33" s="13">
        <f>AVERAGE(Australia!J6,Australia!J52)/Australia!G98</f>
        <v>1.4289470018941086</v>
      </c>
      <c r="W33" s="13">
        <f>'Country Petrol Prices'!B84</f>
        <v>1.5848079562476622</v>
      </c>
      <c r="X33">
        <v>1</v>
      </c>
      <c r="Y33">
        <v>0</v>
      </c>
      <c r="Z33">
        <v>0</v>
      </c>
      <c r="AA33">
        <v>0</v>
      </c>
      <c r="AB33">
        <v>0</v>
      </c>
      <c r="AC33">
        <v>0</v>
      </c>
      <c r="AD33">
        <v>0</v>
      </c>
      <c r="AE33">
        <v>0</v>
      </c>
      <c r="AF33">
        <v>0</v>
      </c>
      <c r="AG33" s="31">
        <v>0</v>
      </c>
      <c r="AH33" s="19">
        <v>0</v>
      </c>
      <c r="AI33" s="19">
        <v>0</v>
      </c>
      <c r="AJ33" s="19">
        <v>0</v>
      </c>
    </row>
    <row r="34" spans="1:36">
      <c r="B34">
        <v>2013</v>
      </c>
      <c r="C34" s="13">
        <v>0</v>
      </c>
      <c r="D34" s="13">
        <f t="shared" si="0"/>
        <v>-0.31158920138665258</v>
      </c>
      <c r="E34" s="13">
        <f t="shared" si="1"/>
        <v>-0.32715190627203494</v>
      </c>
      <c r="F34" s="13">
        <f t="shared" si="2"/>
        <v>-0.24708882641079088</v>
      </c>
      <c r="G34" s="13">
        <f t="shared" si="3"/>
        <v>-0.31165959129606713</v>
      </c>
      <c r="H34" s="13">
        <f t="shared" si="4"/>
        <v>-0.20775358441514347</v>
      </c>
      <c r="I34" s="13">
        <f t="shared" si="5"/>
        <v>-0.26609736073442991</v>
      </c>
      <c r="J34" s="13">
        <f t="shared" si="6"/>
        <v>-0.24371150377365414</v>
      </c>
      <c r="K34" s="13">
        <f t="shared" si="7"/>
        <v>-0.2354103486641741</v>
      </c>
      <c r="L34" s="13">
        <f t="shared" ref="L34:L97" si="8">L$3+L$4*V34+L$5*W34+L$6*X34+L$7*Y34+L$8*Z34+L$9*AA34+L$10*AB34+L$11*AC34+L$12*AD34+L$13*AE34+L$14*AF34+L$15*AG34</f>
        <v>-0.19026283919891385</v>
      </c>
      <c r="M34" s="13">
        <f t="shared" ref="M34:M97" si="9">M$3+M$4*V34+M$5*W34+M$6*X34+M$7*Y34+M$8*Z34+M$9*AA34+M$10*AB34+M$11*AC34+M$12*AD34+M$13*AE34+M$14*AF34+M$15*AG34+M$16*AH34</f>
        <v>-0.20416015804502763</v>
      </c>
      <c r="N34" s="13">
        <f t="shared" ref="N34:N97" si="10">N$3+N$4*V34+N$5*W34+N$6*X34+N$7*Y34+N$8*Z34+N$9*AA34+N$10*AB34+N$11*AC34+N$12*AD34+N$13*AE34+N$14*AF34+N$15*AG34+N$16*AH34+N$17*AI34</f>
        <v>-0.23807919761812801</v>
      </c>
      <c r="O34" s="13">
        <f t="shared" ref="O34:O97" si="11">O$3+O$4*V34+O$5*W34+O$6*X34+O$7*Y34+O$8*Z34+O$9*AA34+O$10*AB34+O$11*AC34+O$12*AD34+O$13*AE34+O$14*AF34+O$15*AG34+O$16*AH34+O$17*AI34+O$18*AJ34</f>
        <v>-5.0134207928808738E-2</v>
      </c>
      <c r="P34" s="13"/>
      <c r="Q34" s="13"/>
      <c r="R34" s="13"/>
      <c r="S34" s="13"/>
      <c r="T34" s="13"/>
      <c r="U34" s="13"/>
      <c r="V34" s="13">
        <f>AVERAGE(Australia!J7,Australia!J53)/Australia!G99</f>
        <v>1.4353494349589788</v>
      </c>
      <c r="W34" s="13">
        <f>'Country Petrol Prices'!B85</f>
        <v>1.4702006698064385</v>
      </c>
      <c r="X34">
        <v>1</v>
      </c>
      <c r="Y34">
        <v>0</v>
      </c>
      <c r="Z34">
        <v>0</v>
      </c>
      <c r="AA34">
        <v>0</v>
      </c>
      <c r="AB34">
        <v>0</v>
      </c>
      <c r="AC34">
        <v>0</v>
      </c>
      <c r="AD34">
        <v>0</v>
      </c>
      <c r="AE34">
        <v>0</v>
      </c>
      <c r="AF34">
        <v>0</v>
      </c>
      <c r="AG34" s="31">
        <v>0</v>
      </c>
      <c r="AH34" s="19">
        <v>0</v>
      </c>
      <c r="AI34" s="19">
        <v>0</v>
      </c>
      <c r="AJ34" s="19">
        <v>0</v>
      </c>
    </row>
    <row r="35" spans="1:36">
      <c r="B35">
        <v>2014</v>
      </c>
      <c r="C35" s="13">
        <v>0</v>
      </c>
      <c r="D35" s="13">
        <f t="shared" si="0"/>
        <v>-2.4674314708787355</v>
      </c>
      <c r="E35" s="13">
        <f t="shared" si="1"/>
        <v>-2.4559328501212754</v>
      </c>
      <c r="F35" s="13">
        <f t="shared" si="2"/>
        <v>-2.358831072764576</v>
      </c>
      <c r="G35" s="13">
        <f t="shared" si="3"/>
        <v>-2.418029312038299</v>
      </c>
      <c r="H35" s="13">
        <f t="shared" si="4"/>
        <v>-2.3366465756401151</v>
      </c>
      <c r="I35" s="13">
        <f t="shared" si="5"/>
        <v>-2.3820547629009194</v>
      </c>
      <c r="J35" s="13">
        <f t="shared" si="6"/>
        <v>-2.3613684519288025</v>
      </c>
      <c r="K35" s="13">
        <f t="shared" si="7"/>
        <v>-2.2698415279646027</v>
      </c>
      <c r="L35" s="13">
        <f t="shared" si="8"/>
        <v>-2.284766512099905</v>
      </c>
      <c r="M35" s="13">
        <f t="shared" si="9"/>
        <v>-2.3012128021474525</v>
      </c>
      <c r="N35" s="13">
        <f t="shared" si="10"/>
        <v>-2.381539701554602</v>
      </c>
      <c r="O35" s="13">
        <f t="shared" si="11"/>
        <v>-2.0232626187562031</v>
      </c>
      <c r="P35" s="13"/>
      <c r="Q35" s="13"/>
      <c r="R35" s="13"/>
      <c r="S35" s="13"/>
      <c r="T35" s="13"/>
      <c r="U35" s="13"/>
      <c r="V35" s="13">
        <f>AVERAGE(Australia!J8,Australia!J54)/Australia!G100</f>
        <v>1.5344357149306243</v>
      </c>
      <c r="W35" s="13">
        <f>'Country Petrol Prices'!B86</f>
        <v>1.3627440853301607</v>
      </c>
      <c r="X35">
        <v>1</v>
      </c>
      <c r="Y35">
        <v>0</v>
      </c>
      <c r="Z35">
        <v>0</v>
      </c>
      <c r="AA35">
        <v>0</v>
      </c>
      <c r="AB35">
        <v>0</v>
      </c>
      <c r="AC35">
        <v>0</v>
      </c>
      <c r="AD35">
        <v>0</v>
      </c>
      <c r="AE35">
        <v>0</v>
      </c>
      <c r="AF35">
        <v>0</v>
      </c>
      <c r="AG35" s="31">
        <v>0</v>
      </c>
      <c r="AH35" s="19">
        <v>0</v>
      </c>
      <c r="AI35" s="19">
        <v>0</v>
      </c>
      <c r="AJ35" s="19">
        <v>0</v>
      </c>
    </row>
    <row r="36" spans="1:36">
      <c r="B36">
        <v>2015</v>
      </c>
      <c r="C36" s="13">
        <v>0</v>
      </c>
      <c r="D36" s="13">
        <f t="shared" si="0"/>
        <v>0.52765800675172159</v>
      </c>
      <c r="E36" s="13">
        <f t="shared" si="1"/>
        <v>0.53898320389564858</v>
      </c>
      <c r="F36" s="13">
        <f t="shared" si="2"/>
        <v>0.4632904614888318</v>
      </c>
      <c r="G36" s="13">
        <f t="shared" si="3"/>
        <v>0.52220445565059692</v>
      </c>
      <c r="H36" s="13">
        <f t="shared" si="4"/>
        <v>0.42894922780476463</v>
      </c>
      <c r="I36" s="13">
        <f t="shared" si="5"/>
        <v>0.48128033712597662</v>
      </c>
      <c r="J36" s="13">
        <f t="shared" si="6"/>
        <v>0.46083742378895209</v>
      </c>
      <c r="K36" s="13">
        <f t="shared" si="7"/>
        <v>0.44390301578050129</v>
      </c>
      <c r="L36" s="13">
        <f t="shared" si="8"/>
        <v>0.40899247632480562</v>
      </c>
      <c r="M36" s="13">
        <f t="shared" si="9"/>
        <v>0.42208561634118369</v>
      </c>
      <c r="N36" s="13">
        <f t="shared" si="10"/>
        <v>0.45852453081741995</v>
      </c>
      <c r="O36" s="13">
        <f t="shared" si="11"/>
        <v>0.2663005556633018</v>
      </c>
      <c r="P36" s="13"/>
      <c r="Q36" s="13"/>
      <c r="R36" s="13"/>
      <c r="S36" s="13"/>
      <c r="T36" s="13"/>
      <c r="U36" s="13"/>
      <c r="V36" s="13">
        <f>AVERAGE(Australia!J9,Australia!J55)/Australia!G101</f>
        <v>1.3675361036296012</v>
      </c>
      <c r="W36" s="13">
        <f>'Country Petrol Prices'!B87</f>
        <v>0.98453848442253189</v>
      </c>
      <c r="X36">
        <v>1</v>
      </c>
      <c r="Y36">
        <v>0</v>
      </c>
      <c r="Z36">
        <v>0</v>
      </c>
      <c r="AA36">
        <v>0</v>
      </c>
      <c r="AB36">
        <v>0</v>
      </c>
      <c r="AC36">
        <v>0</v>
      </c>
      <c r="AD36">
        <v>0</v>
      </c>
      <c r="AE36">
        <v>0</v>
      </c>
      <c r="AF36">
        <v>0</v>
      </c>
      <c r="AG36" s="31">
        <v>0</v>
      </c>
      <c r="AH36" s="19">
        <v>0</v>
      </c>
      <c r="AI36" s="19">
        <v>0</v>
      </c>
      <c r="AJ36" s="19">
        <v>0</v>
      </c>
    </row>
    <row r="37" spans="1:36">
      <c r="B37">
        <v>2016</v>
      </c>
      <c r="C37" s="13">
        <v>0</v>
      </c>
      <c r="D37" s="13">
        <f t="shared" si="0"/>
        <v>0.41457733446282585</v>
      </c>
      <c r="E37" s="13">
        <f t="shared" si="1"/>
        <v>0.43430693649894203</v>
      </c>
      <c r="F37" s="13">
        <f t="shared" si="2"/>
        <v>0.3316740473525075</v>
      </c>
      <c r="G37" s="13">
        <f t="shared" si="3"/>
        <v>0.4143087369906493</v>
      </c>
      <c r="H37" s="13">
        <f t="shared" si="4"/>
        <v>0.2814352447750943</v>
      </c>
      <c r="I37" s="13">
        <f t="shared" si="5"/>
        <v>0.35604232540623126</v>
      </c>
      <c r="J37" s="13">
        <f t="shared" si="6"/>
        <v>0.32739275496370235</v>
      </c>
      <c r="K37" s="13">
        <f t="shared" si="7"/>
        <v>0.3161608472924422</v>
      </c>
      <c r="L37" s="13">
        <f t="shared" si="8"/>
        <v>0.25879148840731658</v>
      </c>
      <c r="M37" s="13">
        <f t="shared" si="9"/>
        <v>0.27660350341200135</v>
      </c>
      <c r="N37" s="13">
        <f t="shared" si="10"/>
        <v>0.32036849070531326</v>
      </c>
      <c r="O37" s="13">
        <f t="shared" si="11"/>
        <v>7.8496699954413662E-2</v>
      </c>
      <c r="P37" s="13"/>
      <c r="Q37" s="13"/>
      <c r="R37" s="13"/>
      <c r="S37" s="13"/>
      <c r="T37" s="13"/>
      <c r="U37" s="13"/>
      <c r="V37" s="13">
        <f>AVERAGE(Australia!J10,Australia!J56)/Australia!G102</f>
        <v>1.3672758112094396</v>
      </c>
      <c r="W37" s="13">
        <f>'Country Petrol Prices'!B88</f>
        <v>0.88044494434141485</v>
      </c>
      <c r="X37">
        <v>1</v>
      </c>
      <c r="Y37">
        <v>0</v>
      </c>
      <c r="Z37">
        <v>0</v>
      </c>
      <c r="AA37">
        <v>0</v>
      </c>
      <c r="AB37">
        <v>0</v>
      </c>
      <c r="AC37">
        <v>0</v>
      </c>
      <c r="AD37">
        <v>0</v>
      </c>
      <c r="AE37">
        <v>0</v>
      </c>
      <c r="AF37">
        <v>0</v>
      </c>
      <c r="AG37" s="31">
        <v>0</v>
      </c>
      <c r="AH37" s="19">
        <v>0</v>
      </c>
      <c r="AI37" s="19">
        <v>0</v>
      </c>
      <c r="AJ37" s="19">
        <v>0</v>
      </c>
    </row>
    <row r="38" spans="1:36" s="18" customFormat="1">
      <c r="B38" s="18">
        <v>2017</v>
      </c>
      <c r="C38" s="182">
        <v>0</v>
      </c>
      <c r="D38" s="13">
        <f t="shared" si="0"/>
        <v>0.48843198311105529</v>
      </c>
      <c r="E38" s="13">
        <f t="shared" si="1"/>
        <v>0.50010137430265522</v>
      </c>
      <c r="F38" s="13">
        <f t="shared" si="2"/>
        <v>0.42530917808919533</v>
      </c>
      <c r="G38" s="13">
        <f t="shared" si="3"/>
        <v>0.48382364725511717</v>
      </c>
      <c r="H38" s="13">
        <f t="shared" si="4"/>
        <v>0.39097407939513062</v>
      </c>
      <c r="I38" s="13">
        <f t="shared" si="5"/>
        <v>0.44308234309479277</v>
      </c>
      <c r="J38" s="13">
        <f t="shared" si="6"/>
        <v>0.42278072717931181</v>
      </c>
      <c r="K38" s="13">
        <f t="shared" si="7"/>
        <v>0.40733226350996143</v>
      </c>
      <c r="L38" s="13">
        <f t="shared" si="8"/>
        <v>0.37173832657342842</v>
      </c>
      <c r="M38" s="13">
        <f t="shared" si="9"/>
        <v>0.38468213527811779</v>
      </c>
      <c r="N38" s="13">
        <f t="shared" si="10"/>
        <v>0.42006957389330535</v>
      </c>
      <c r="O38" s="13">
        <f t="shared" si="11"/>
        <v>0.23218770945008993</v>
      </c>
      <c r="P38" s="182"/>
      <c r="Q38" s="182"/>
      <c r="R38" s="182"/>
      <c r="S38" s="182"/>
      <c r="T38" s="182"/>
      <c r="U38" s="182"/>
      <c r="V38" s="182">
        <f>AVERAGE(Australia!J11,Australia!J57)/Australia!G103</f>
        <v>1.3694547903039631</v>
      </c>
      <c r="W38" s="182">
        <f>'Country Petrol Prices'!B89</f>
        <v>0.98467215336698788</v>
      </c>
      <c r="X38" s="18">
        <v>1</v>
      </c>
      <c r="Y38" s="18">
        <v>0</v>
      </c>
      <c r="Z38">
        <v>0</v>
      </c>
      <c r="AA38">
        <v>0</v>
      </c>
      <c r="AB38">
        <v>0</v>
      </c>
      <c r="AC38">
        <v>0</v>
      </c>
      <c r="AD38">
        <v>0</v>
      </c>
      <c r="AE38">
        <v>0</v>
      </c>
      <c r="AF38">
        <v>0</v>
      </c>
      <c r="AG38" s="31">
        <v>0</v>
      </c>
      <c r="AH38" s="19">
        <v>0</v>
      </c>
      <c r="AI38" s="19">
        <v>0</v>
      </c>
      <c r="AJ38" s="19">
        <v>0</v>
      </c>
    </row>
    <row r="39" spans="1:36">
      <c r="A39" t="s">
        <v>246</v>
      </c>
      <c r="B39">
        <v>2012</v>
      </c>
      <c r="C39" s="13">
        <v>0</v>
      </c>
      <c r="D39" s="13">
        <f t="shared" si="0"/>
        <v>10.302152266530232</v>
      </c>
      <c r="E39" s="13">
        <f t="shared" si="1"/>
        <v>10.235754779715418</v>
      </c>
      <c r="F39" s="13">
        <f t="shared" si="2"/>
        <v>10.31041027752795</v>
      </c>
      <c r="G39" s="13">
        <f t="shared" si="3"/>
        <v>10.206852725792505</v>
      </c>
      <c r="H39" s="13">
        <f t="shared" si="4"/>
        <v>10.415369857998872</v>
      </c>
      <c r="I39" s="13">
        <f t="shared" si="5"/>
        <v>10.316441378790239</v>
      </c>
      <c r="J39" s="13">
        <f t="shared" si="6"/>
        <v>10.354008596298963</v>
      </c>
      <c r="K39" s="13">
        <f t="shared" si="7"/>
        <v>10.275409635808654</v>
      </c>
      <c r="L39" s="13">
        <f t="shared" si="8"/>
        <v>10.439224564109548</v>
      </c>
      <c r="M39" s="13">
        <f t="shared" si="9"/>
        <v>10.408150252234169</v>
      </c>
      <c r="N39" s="13">
        <f t="shared" si="10"/>
        <v>10.429506162691837</v>
      </c>
      <c r="O39" s="13">
        <f t="shared" si="11"/>
        <v>10.217341284418527</v>
      </c>
      <c r="P39" s="13"/>
      <c r="Q39" s="13"/>
      <c r="R39" s="13"/>
      <c r="S39" s="13"/>
      <c r="T39" s="13"/>
      <c r="U39" s="13"/>
      <c r="V39" s="13">
        <f>'Norway with subs'!J7/'Norway with subs'!H57</f>
        <v>0.90016041403720137</v>
      </c>
      <c r="W39" s="13">
        <f>'Country Petrol Prices'!R84</f>
        <v>2.6907389662937611</v>
      </c>
      <c r="X39">
        <v>0</v>
      </c>
      <c r="Y39">
        <v>0</v>
      </c>
      <c r="Z39">
        <v>0</v>
      </c>
      <c r="AA39">
        <v>0</v>
      </c>
      <c r="AB39">
        <v>0</v>
      </c>
      <c r="AC39">
        <v>0</v>
      </c>
      <c r="AD39">
        <v>0</v>
      </c>
      <c r="AE39">
        <v>0</v>
      </c>
      <c r="AF39">
        <v>0</v>
      </c>
      <c r="AG39" s="31">
        <v>0</v>
      </c>
      <c r="AH39" s="19">
        <v>0</v>
      </c>
      <c r="AI39" s="19">
        <v>0</v>
      </c>
      <c r="AJ39" s="19">
        <v>0</v>
      </c>
    </row>
    <row r="40" spans="1:36">
      <c r="B40">
        <v>2013</v>
      </c>
      <c r="C40" s="13">
        <v>0</v>
      </c>
      <c r="D40" s="13">
        <f t="shared" si="0"/>
        <v>10.151999382392027</v>
      </c>
      <c r="E40" s="13">
        <f t="shared" si="1"/>
        <v>10.083776294529269</v>
      </c>
      <c r="F40" s="13">
        <f t="shared" si="2"/>
        <v>10.174403865602322</v>
      </c>
      <c r="G40" s="13">
        <f t="shared" si="3"/>
        <v>10.058769782438823</v>
      </c>
      <c r="H40" s="13">
        <f t="shared" si="4"/>
        <v>10.286135815430457</v>
      </c>
      <c r="I40" s="13">
        <f t="shared" si="5"/>
        <v>10.176635733566998</v>
      </c>
      <c r="J40" s="13">
        <f t="shared" si="6"/>
        <v>10.218396595622728</v>
      </c>
      <c r="K40" s="13">
        <f t="shared" si="7"/>
        <v>10.144884011589767</v>
      </c>
      <c r="L40" s="13">
        <f t="shared" si="8"/>
        <v>10.314771240521551</v>
      </c>
      <c r="M40" s="13">
        <f t="shared" si="9"/>
        <v>10.280941708908909</v>
      </c>
      <c r="N40" s="13">
        <f t="shared" si="10"/>
        <v>10.293880673955478</v>
      </c>
      <c r="O40" s="13">
        <f t="shared" si="11"/>
        <v>10.124698169772758</v>
      </c>
      <c r="P40" s="13"/>
      <c r="Q40" s="13"/>
      <c r="R40" s="13"/>
      <c r="S40" s="13"/>
      <c r="T40" s="13"/>
      <c r="U40" s="13"/>
      <c r="V40" s="13">
        <f>'Norway with subs'!J8/'Norway with subs'!H58</f>
        <v>0.90996081827869157</v>
      </c>
      <c r="W40" s="13">
        <f>'Country Petrol Prices'!R85</f>
        <v>2.7355550465779297</v>
      </c>
      <c r="X40">
        <v>0</v>
      </c>
      <c r="Y40">
        <v>0</v>
      </c>
      <c r="Z40">
        <v>0</v>
      </c>
      <c r="AA40">
        <v>0</v>
      </c>
      <c r="AB40">
        <v>0</v>
      </c>
      <c r="AC40">
        <v>0</v>
      </c>
      <c r="AD40">
        <v>0</v>
      </c>
      <c r="AE40">
        <v>0</v>
      </c>
      <c r="AF40">
        <v>0</v>
      </c>
      <c r="AG40" s="31">
        <v>0</v>
      </c>
      <c r="AH40" s="19">
        <v>0</v>
      </c>
      <c r="AI40" s="19">
        <v>0</v>
      </c>
      <c r="AJ40" s="19">
        <v>0</v>
      </c>
    </row>
    <row r="41" spans="1:36">
      <c r="B41">
        <v>2014</v>
      </c>
      <c r="C41" s="13">
        <v>0</v>
      </c>
      <c r="D41" s="13">
        <f t="shared" si="0"/>
        <v>8.6135094511766752</v>
      </c>
      <c r="E41" s="13">
        <f t="shared" si="1"/>
        <v>8.5710696682006446</v>
      </c>
      <c r="F41" s="13">
        <f t="shared" si="2"/>
        <v>8.6480695281492448</v>
      </c>
      <c r="G41" s="13">
        <f t="shared" si="3"/>
        <v>8.5579848335236228</v>
      </c>
      <c r="H41" s="13">
        <f t="shared" si="4"/>
        <v>8.7336669524569484</v>
      </c>
      <c r="I41" s="13">
        <f t="shared" si="5"/>
        <v>8.6534075207805259</v>
      </c>
      <c r="J41" s="13">
        <f t="shared" si="6"/>
        <v>8.6864349191373886</v>
      </c>
      <c r="K41" s="13">
        <f t="shared" si="7"/>
        <v>8.6735540973009666</v>
      </c>
      <c r="L41" s="13">
        <f t="shared" si="8"/>
        <v>8.7826832785183804</v>
      </c>
      <c r="M41" s="13">
        <f t="shared" si="9"/>
        <v>8.7515304563495402</v>
      </c>
      <c r="N41" s="13">
        <f t="shared" si="10"/>
        <v>8.7403936346173516</v>
      </c>
      <c r="O41" s="13">
        <f t="shared" si="11"/>
        <v>8.638491978828041</v>
      </c>
      <c r="P41" s="13"/>
      <c r="Q41" s="13"/>
      <c r="R41" s="13"/>
      <c r="S41" s="13"/>
      <c r="T41" s="13"/>
      <c r="U41" s="13"/>
      <c r="V41" s="13">
        <f>'Norway with subs'!J9/'Norway with subs'!H59</f>
        <v>0.97561614819887621</v>
      </c>
      <c r="W41" s="13">
        <f>'Country Petrol Prices'!R86</f>
        <v>2.5676527580507567</v>
      </c>
      <c r="X41">
        <v>0</v>
      </c>
      <c r="Y41">
        <v>0</v>
      </c>
      <c r="Z41">
        <v>0</v>
      </c>
      <c r="AA41">
        <v>0</v>
      </c>
      <c r="AB41">
        <v>0</v>
      </c>
      <c r="AC41">
        <v>0</v>
      </c>
      <c r="AD41">
        <v>0</v>
      </c>
      <c r="AE41">
        <v>0</v>
      </c>
      <c r="AF41">
        <v>0</v>
      </c>
      <c r="AG41" s="31">
        <v>0</v>
      </c>
      <c r="AH41" s="19">
        <v>0</v>
      </c>
      <c r="AI41" s="19">
        <v>0</v>
      </c>
      <c r="AJ41" s="19">
        <v>0</v>
      </c>
    </row>
    <row r="42" spans="1:36">
      <c r="B42">
        <v>2015</v>
      </c>
      <c r="C42" s="13">
        <v>0</v>
      </c>
      <c r="D42" s="13">
        <f t="shared" si="0"/>
        <v>10.05559514085105</v>
      </c>
      <c r="E42" s="13">
        <f t="shared" si="1"/>
        <v>10.045933120768293</v>
      </c>
      <c r="F42" s="13">
        <f t="shared" si="2"/>
        <v>9.9087886237480607</v>
      </c>
      <c r="G42" s="13">
        <f t="shared" si="3"/>
        <v>9.985843100198462</v>
      </c>
      <c r="H42" s="13">
        <f t="shared" si="4"/>
        <v>9.8966107753394184</v>
      </c>
      <c r="I42" s="13">
        <f t="shared" si="5"/>
        <v>9.9650181305166186</v>
      </c>
      <c r="J42" s="13">
        <f t="shared" si="6"/>
        <v>9.9400530260812445</v>
      </c>
      <c r="K42" s="13">
        <f t="shared" si="7"/>
        <v>9.881240128781446</v>
      </c>
      <c r="L42" s="13">
        <f t="shared" si="8"/>
        <v>9.8899113985700424</v>
      </c>
      <c r="M42" s="13">
        <f t="shared" si="9"/>
        <v>9.8958106473344873</v>
      </c>
      <c r="N42" s="13">
        <f t="shared" si="10"/>
        <v>9.9868127663914308</v>
      </c>
      <c r="O42" s="13">
        <f t="shared" si="11"/>
        <v>9.3442491444918989</v>
      </c>
      <c r="P42" s="13"/>
      <c r="Q42" s="13"/>
      <c r="R42" s="13"/>
      <c r="S42" s="13"/>
      <c r="T42" s="13"/>
      <c r="U42" s="13"/>
      <c r="V42" s="13">
        <f>'Norway with subs'!J10/'Norway with subs'!H60</f>
        <v>0.86958069149008743</v>
      </c>
      <c r="W42" s="13">
        <f>'Country Petrol Prices'!R87</f>
        <v>1.9223538702431777</v>
      </c>
      <c r="X42">
        <v>0</v>
      </c>
      <c r="Y42">
        <v>0</v>
      </c>
      <c r="Z42">
        <v>0</v>
      </c>
      <c r="AA42">
        <v>0</v>
      </c>
      <c r="AB42">
        <v>0</v>
      </c>
      <c r="AC42">
        <v>0</v>
      </c>
      <c r="AD42">
        <v>0</v>
      </c>
      <c r="AE42">
        <v>0</v>
      </c>
      <c r="AF42">
        <v>0</v>
      </c>
      <c r="AG42" s="31">
        <v>0</v>
      </c>
      <c r="AH42" s="19">
        <v>0</v>
      </c>
      <c r="AI42" s="19">
        <v>0</v>
      </c>
      <c r="AJ42" s="19">
        <v>0</v>
      </c>
    </row>
    <row r="43" spans="1:36">
      <c r="B43">
        <v>2016</v>
      </c>
      <c r="C43" s="13">
        <v>0</v>
      </c>
      <c r="D43" s="13">
        <f t="shared" si="0"/>
        <v>9.899766850462413</v>
      </c>
      <c r="E43" s="13">
        <f t="shared" si="1"/>
        <v>9.9012773860538275</v>
      </c>
      <c r="F43" s="13">
        <f t="shared" si="2"/>
        <v>9.7286382062141534</v>
      </c>
      <c r="G43" s="13">
        <f t="shared" si="3"/>
        <v>9.8370081851547972</v>
      </c>
      <c r="H43" s="13">
        <f t="shared" si="4"/>
        <v>9.695431150656475</v>
      </c>
      <c r="I43" s="13">
        <f t="shared" si="5"/>
        <v>9.7932709483111644</v>
      </c>
      <c r="J43" s="13">
        <f t="shared" si="6"/>
        <v>9.7574720976587592</v>
      </c>
      <c r="K43" s="13">
        <f t="shared" si="7"/>
        <v>9.7064391235039729</v>
      </c>
      <c r="L43" s="13">
        <f t="shared" si="8"/>
        <v>9.685291930623249</v>
      </c>
      <c r="M43" s="13">
        <f t="shared" si="9"/>
        <v>9.6974098168254859</v>
      </c>
      <c r="N43" s="13">
        <f t="shared" si="10"/>
        <v>9.7979360320155919</v>
      </c>
      <c r="O43" s="13">
        <f t="shared" si="11"/>
        <v>9.0903861509052373</v>
      </c>
      <c r="P43" s="13"/>
      <c r="Q43" s="13"/>
      <c r="R43" s="13"/>
      <c r="S43" s="13"/>
      <c r="T43" s="13"/>
      <c r="U43" s="13"/>
      <c r="V43" s="13">
        <f>'Norway with subs'!J11/'Norway with subs'!H61</f>
        <v>0.86954153072987939</v>
      </c>
      <c r="W43" s="13">
        <f>'Country Petrol Prices'!R88</f>
        <v>1.7846744414431119</v>
      </c>
      <c r="X43">
        <v>0</v>
      </c>
      <c r="Y43">
        <v>0</v>
      </c>
      <c r="Z43">
        <v>0</v>
      </c>
      <c r="AA43">
        <v>0</v>
      </c>
      <c r="AB43">
        <v>0</v>
      </c>
      <c r="AC43">
        <v>0</v>
      </c>
      <c r="AD43">
        <v>0</v>
      </c>
      <c r="AE43">
        <v>0</v>
      </c>
      <c r="AF43">
        <v>0</v>
      </c>
      <c r="AG43" s="31">
        <v>0</v>
      </c>
      <c r="AH43" s="19">
        <v>0</v>
      </c>
      <c r="AI43" s="19">
        <v>0</v>
      </c>
      <c r="AJ43" s="19">
        <v>0</v>
      </c>
    </row>
    <row r="44" spans="1:36" s="18" customFormat="1">
      <c r="B44" s="18">
        <v>2017</v>
      </c>
      <c r="C44" s="13">
        <v>0</v>
      </c>
      <c r="D44" s="13">
        <f t="shared" si="0"/>
        <v>10.079994946248803</v>
      </c>
      <c r="E44" s="13">
        <f t="shared" si="1"/>
        <v>10.067095041149106</v>
      </c>
      <c r="F44" s="13">
        <f t="shared" si="2"/>
        <v>9.941439659657183</v>
      </c>
      <c r="G44" s="13">
        <f t="shared" si="3"/>
        <v>10.008595960494308</v>
      </c>
      <c r="H44" s="13">
        <f t="shared" si="4"/>
        <v>9.9357506096224455</v>
      </c>
      <c r="I44" s="13">
        <f t="shared" si="5"/>
        <v>9.9949470441750297</v>
      </c>
      <c r="J44" s="13">
        <f t="shared" si="6"/>
        <v>9.9734081177308695</v>
      </c>
      <c r="K44" s="13">
        <f t="shared" si="7"/>
        <v>9.913092108808673</v>
      </c>
      <c r="L44" s="13">
        <f t="shared" si="8"/>
        <v>9.9305468300284829</v>
      </c>
      <c r="M44" s="13">
        <f t="shared" si="9"/>
        <v>9.934438287715043</v>
      </c>
      <c r="N44" s="13">
        <f t="shared" si="10"/>
        <v>10.021869220266966</v>
      </c>
      <c r="O44" s="13">
        <f t="shared" si="11"/>
        <v>9.4019649269677341</v>
      </c>
      <c r="P44" s="182"/>
      <c r="Q44" s="182"/>
      <c r="R44" s="182"/>
      <c r="S44" s="182"/>
      <c r="T44" s="182"/>
      <c r="U44" s="182"/>
      <c r="V44" s="182">
        <f>'Norway with subs'!J12/'Norway with subs'!H62</f>
        <v>0.87074983685319152</v>
      </c>
      <c r="W44" s="182">
        <f>'Country Petrol Prices'!R89</f>
        <v>1.9648927935342015</v>
      </c>
      <c r="X44" s="18">
        <v>0</v>
      </c>
      <c r="Y44" s="18">
        <v>0</v>
      </c>
      <c r="Z44">
        <v>0</v>
      </c>
      <c r="AA44">
        <v>0</v>
      </c>
      <c r="AB44">
        <v>0</v>
      </c>
      <c r="AC44">
        <v>0</v>
      </c>
      <c r="AD44">
        <v>0</v>
      </c>
      <c r="AE44">
        <v>0</v>
      </c>
      <c r="AF44">
        <v>0</v>
      </c>
      <c r="AG44" s="31">
        <v>0</v>
      </c>
      <c r="AH44" s="19">
        <v>0</v>
      </c>
      <c r="AI44" s="19">
        <v>0</v>
      </c>
      <c r="AJ44" s="19">
        <v>0</v>
      </c>
    </row>
    <row r="45" spans="1:36">
      <c r="A45" t="s">
        <v>539</v>
      </c>
      <c r="B45">
        <v>2012</v>
      </c>
      <c r="C45" s="13">
        <f>'Austria EV uptake'!K16</f>
        <v>0</v>
      </c>
      <c r="D45" s="13">
        <f t="shared" si="0"/>
        <v>6.5335661915605208</v>
      </c>
      <c r="E45" s="13">
        <f t="shared" si="1"/>
        <v>6.5506938064196287</v>
      </c>
      <c r="F45" s="13">
        <f t="shared" si="2"/>
        <v>6.5108047437901195</v>
      </c>
      <c r="G45" s="13">
        <f t="shared" si="3"/>
        <v>6.5381786309572272</v>
      </c>
      <c r="H45" s="13">
        <f t="shared" si="4"/>
        <v>6.5080131448506231</v>
      </c>
      <c r="I45" s="13">
        <f t="shared" si="5"/>
        <v>6.5436884101110664</v>
      </c>
      <c r="J45" s="13">
        <f t="shared" si="6"/>
        <v>6.5361922097287311</v>
      </c>
      <c r="K45" s="13">
        <f t="shared" si="7"/>
        <v>6.6100117221102455</v>
      </c>
      <c r="L45" s="13">
        <f t="shared" si="8"/>
        <v>6.5686964260892218</v>
      </c>
      <c r="M45" s="13">
        <f t="shared" si="9"/>
        <v>6.5583288184346555</v>
      </c>
      <c r="N45" s="13">
        <f t="shared" si="10"/>
        <v>6.5491710835883747</v>
      </c>
      <c r="O45" s="13">
        <f t="shared" si="11"/>
        <v>6.3309884174867612</v>
      </c>
      <c r="P45" s="13"/>
      <c r="Q45" s="13"/>
      <c r="R45" s="13"/>
      <c r="S45" s="13"/>
      <c r="T45" s="13"/>
      <c r="U45" s="13"/>
      <c r="V45" s="13">
        <f>Austria!J6/Austria!G56-0.3</f>
        <v>1.0450710200945637</v>
      </c>
      <c r="W45" s="13">
        <f>'Country Petrol Prices'!C84</f>
        <v>1.9923575048004516</v>
      </c>
      <c r="X45">
        <v>0</v>
      </c>
      <c r="Y45">
        <v>0</v>
      </c>
      <c r="Z45">
        <v>0</v>
      </c>
      <c r="AA45">
        <v>0</v>
      </c>
      <c r="AB45">
        <v>0</v>
      </c>
      <c r="AC45">
        <v>0</v>
      </c>
      <c r="AD45">
        <v>0</v>
      </c>
      <c r="AE45">
        <v>0</v>
      </c>
      <c r="AF45">
        <v>0</v>
      </c>
      <c r="AG45" s="31">
        <v>0</v>
      </c>
      <c r="AH45" s="19">
        <v>0</v>
      </c>
      <c r="AI45" s="19">
        <v>0</v>
      </c>
      <c r="AJ45" s="19">
        <v>0</v>
      </c>
    </row>
    <row r="46" spans="1:36">
      <c r="B46">
        <v>2013</v>
      </c>
      <c r="C46" s="13">
        <f>'Austria EV uptake'!K17</f>
        <v>0</v>
      </c>
      <c r="D46" s="13">
        <f t="shared" si="0"/>
        <v>6.1604151102288869</v>
      </c>
      <c r="E46" s="13">
        <f t="shared" si="1"/>
        <v>6.1844465063026011</v>
      </c>
      <c r="F46" s="13">
        <f t="shared" si="2"/>
        <v>6.1386611794663715</v>
      </c>
      <c r="G46" s="13">
        <f t="shared" si="3"/>
        <v>6.1744137462597957</v>
      </c>
      <c r="H46" s="13">
        <f t="shared" si="4"/>
        <v>6.1281347132658404</v>
      </c>
      <c r="I46" s="13">
        <f t="shared" si="5"/>
        <v>6.172912538855007</v>
      </c>
      <c r="J46" s="13">
        <f t="shared" si="6"/>
        <v>6.1625424639300812</v>
      </c>
      <c r="K46" s="13">
        <f t="shared" si="7"/>
        <v>6.2511922905362223</v>
      </c>
      <c r="L46" s="13">
        <f t="shared" si="8"/>
        <v>6.1933432199502274</v>
      </c>
      <c r="M46" s="13">
        <f t="shared" si="9"/>
        <v>6.1840765389844474</v>
      </c>
      <c r="N46" s="13">
        <f t="shared" si="10"/>
        <v>6.1699879226774677</v>
      </c>
      <c r="O46" s="13">
        <f t="shared" si="11"/>
        <v>5.9626706073147293</v>
      </c>
      <c r="P46" s="13"/>
      <c r="Q46" s="13"/>
      <c r="R46" s="13"/>
      <c r="S46" s="13"/>
      <c r="T46" s="13"/>
      <c r="U46" s="13"/>
      <c r="V46" s="13">
        <f>Austria!J7/Austria!G57-0.3</f>
        <v>1.0604872743374116</v>
      </c>
      <c r="W46" s="13">
        <f>'Country Petrol Prices'!C85</f>
        <v>1.9424688662887521</v>
      </c>
      <c r="X46">
        <v>0</v>
      </c>
      <c r="Y46">
        <v>0</v>
      </c>
      <c r="Z46">
        <v>0</v>
      </c>
      <c r="AA46">
        <v>0</v>
      </c>
      <c r="AB46">
        <v>0</v>
      </c>
      <c r="AC46">
        <v>0</v>
      </c>
      <c r="AD46">
        <v>0</v>
      </c>
      <c r="AE46">
        <v>0</v>
      </c>
      <c r="AF46">
        <v>0</v>
      </c>
      <c r="AG46" s="31">
        <v>0</v>
      </c>
      <c r="AH46" s="19">
        <v>0</v>
      </c>
      <c r="AI46" s="19">
        <v>0</v>
      </c>
      <c r="AJ46" s="19">
        <v>0</v>
      </c>
    </row>
    <row r="47" spans="1:36">
      <c r="B47">
        <v>2014</v>
      </c>
      <c r="C47" s="13">
        <f>'Austria EV uptake'!K18</f>
        <v>0</v>
      </c>
      <c r="D47" s="13">
        <f t="shared" si="0"/>
        <v>3.9749210078709951</v>
      </c>
      <c r="E47" s="13">
        <f t="shared" si="1"/>
        <v>4.0260635003561651</v>
      </c>
      <c r="F47" s="13">
        <f t="shared" si="2"/>
        <v>3.9988360759491064</v>
      </c>
      <c r="G47" s="13">
        <f t="shared" si="3"/>
        <v>4.0389530903416224</v>
      </c>
      <c r="H47" s="13">
        <f t="shared" si="4"/>
        <v>3.9716152977459891</v>
      </c>
      <c r="I47" s="13">
        <f t="shared" si="5"/>
        <v>4.0285096611489211</v>
      </c>
      <c r="J47" s="13">
        <f t="shared" si="6"/>
        <v>4.0167913802811617</v>
      </c>
      <c r="K47" s="13">
        <f t="shared" si="7"/>
        <v>4.1897499575059651</v>
      </c>
      <c r="L47" s="13">
        <f t="shared" si="8"/>
        <v>4.0718934227119101</v>
      </c>
      <c r="M47" s="13">
        <f t="shared" si="9"/>
        <v>4.0598187096756337</v>
      </c>
      <c r="N47" s="13">
        <f t="shared" si="10"/>
        <v>3.9982333818053006</v>
      </c>
      <c r="O47" s="13">
        <f t="shared" si="11"/>
        <v>3.9662951782738256</v>
      </c>
      <c r="P47" s="13"/>
      <c r="Q47" s="13"/>
      <c r="R47" s="13"/>
      <c r="S47" s="13"/>
      <c r="T47" s="13"/>
      <c r="U47" s="13"/>
      <c r="V47" s="13">
        <f>Austria!J8/Austria!G58-0.3</f>
        <v>1.16118833860523</v>
      </c>
      <c r="W47" s="13">
        <f>'Country Petrol Prices'!C86</f>
        <v>1.8380792259278311</v>
      </c>
      <c r="X47">
        <v>0</v>
      </c>
      <c r="Y47">
        <v>0</v>
      </c>
      <c r="Z47">
        <v>0</v>
      </c>
      <c r="AA47">
        <v>0</v>
      </c>
      <c r="AB47">
        <v>0</v>
      </c>
      <c r="AC47">
        <v>0</v>
      </c>
      <c r="AD47">
        <v>0</v>
      </c>
      <c r="AE47">
        <v>0</v>
      </c>
      <c r="AF47">
        <v>0</v>
      </c>
      <c r="AG47" s="31">
        <v>0</v>
      </c>
      <c r="AH47" s="19">
        <v>0</v>
      </c>
      <c r="AI47" s="19">
        <v>0</v>
      </c>
      <c r="AJ47" s="19">
        <v>0</v>
      </c>
    </row>
    <row r="48" spans="1:36">
      <c r="B48">
        <v>2015</v>
      </c>
      <c r="C48" s="13">
        <f>'Austria EV uptake'!K19</f>
        <v>0</v>
      </c>
      <c r="D48" s="13">
        <f t="shared" si="0"/>
        <v>3.7617765537825192</v>
      </c>
      <c r="E48" s="13">
        <f t="shared" si="1"/>
        <v>3.7976600149855595</v>
      </c>
      <c r="F48" s="13">
        <f t="shared" si="2"/>
        <v>3.7379309337815325</v>
      </c>
      <c r="G48" s="13">
        <f t="shared" si="3"/>
        <v>3.7966241172291535</v>
      </c>
      <c r="H48" s="13">
        <f t="shared" si="4"/>
        <v>3.6991597289067792</v>
      </c>
      <c r="I48" s="13">
        <f t="shared" si="5"/>
        <v>3.7624052271172772</v>
      </c>
      <c r="J48" s="13">
        <f t="shared" si="6"/>
        <v>3.7430511958166783</v>
      </c>
      <c r="K48" s="13">
        <f t="shared" si="7"/>
        <v>3.8254309585846316</v>
      </c>
      <c r="L48" s="13">
        <f t="shared" si="8"/>
        <v>3.7372560474001708</v>
      </c>
      <c r="M48" s="13">
        <f t="shared" si="9"/>
        <v>3.7402091635916359</v>
      </c>
      <c r="N48" s="13">
        <f t="shared" si="10"/>
        <v>3.7279894974050083</v>
      </c>
      <c r="O48" s="13">
        <f t="shared" si="11"/>
        <v>3.6187057833795868</v>
      </c>
      <c r="P48" s="13"/>
      <c r="Q48" s="13"/>
      <c r="R48" s="13"/>
      <c r="S48" s="13"/>
      <c r="T48" s="13"/>
      <c r="U48" s="13"/>
      <c r="V48" s="13">
        <f>Austria!J9/Austria!G59-0.3</f>
        <v>1.0043218911226606</v>
      </c>
      <c r="W48" s="13">
        <f>'Country Petrol Prices'!C87</f>
        <v>1.3670157922872173</v>
      </c>
      <c r="X48">
        <v>0</v>
      </c>
      <c r="Y48">
        <v>0.5</v>
      </c>
      <c r="Z48">
        <v>0</v>
      </c>
      <c r="AA48">
        <v>0</v>
      </c>
      <c r="AB48">
        <v>0</v>
      </c>
      <c r="AC48">
        <v>0</v>
      </c>
      <c r="AD48">
        <v>0</v>
      </c>
      <c r="AE48">
        <v>0</v>
      </c>
      <c r="AF48">
        <v>0</v>
      </c>
      <c r="AG48" s="31">
        <v>0</v>
      </c>
      <c r="AH48" s="19">
        <v>0</v>
      </c>
      <c r="AI48" s="19">
        <v>0</v>
      </c>
      <c r="AJ48" s="19">
        <v>0</v>
      </c>
    </row>
    <row r="49" spans="1:36">
      <c r="B49">
        <v>2016</v>
      </c>
      <c r="C49" s="13">
        <f>'Austria EV uptake'!K20</f>
        <v>0</v>
      </c>
      <c r="D49" s="13">
        <f t="shared" si="0"/>
        <v>0.70230816700152232</v>
      </c>
      <c r="E49" s="13">
        <f t="shared" si="1"/>
        <v>0.72389656020979132</v>
      </c>
      <c r="F49" s="13">
        <f t="shared" si="2"/>
        <v>0.79269317560500774</v>
      </c>
      <c r="G49" s="13">
        <f t="shared" si="3"/>
        <v>0.76039856792664295</v>
      </c>
      <c r="H49" s="13">
        <f t="shared" si="4"/>
        <v>0.79437372491235614</v>
      </c>
      <c r="I49" s="13">
        <f t="shared" si="5"/>
        <v>0.77355673517313939</v>
      </c>
      <c r="J49" s="13">
        <f t="shared" si="6"/>
        <v>0.78472456647593614</v>
      </c>
      <c r="K49" s="13">
        <f t="shared" si="7"/>
        <v>0.87975256496464826</v>
      </c>
      <c r="L49" s="13">
        <f t="shared" si="8"/>
        <v>0.83804313117234219</v>
      </c>
      <c r="M49" s="13">
        <f t="shared" si="9"/>
        <v>0.8285070513800008</v>
      </c>
      <c r="N49" s="13">
        <f t="shared" si="10"/>
        <v>0.75580365369151536</v>
      </c>
      <c r="O49" s="13">
        <f t="shared" si="11"/>
        <v>1.0856297611343182</v>
      </c>
      <c r="P49" s="13"/>
      <c r="Q49" s="13"/>
      <c r="R49" s="13"/>
      <c r="S49" s="13"/>
      <c r="T49" s="13"/>
      <c r="U49" s="13"/>
      <c r="V49" s="13">
        <f>Austria!J10/Austria!G60-0.3</f>
        <v>1.0054407650045762</v>
      </c>
      <c r="W49" s="13">
        <f>'Country Petrol Prices'!C88</f>
        <v>1.2441080081802447</v>
      </c>
      <c r="X49">
        <v>0</v>
      </c>
      <c r="Y49">
        <v>1</v>
      </c>
      <c r="Z49">
        <v>0</v>
      </c>
      <c r="AA49">
        <v>0</v>
      </c>
      <c r="AB49">
        <v>0</v>
      </c>
      <c r="AC49">
        <v>0</v>
      </c>
      <c r="AD49">
        <v>0</v>
      </c>
      <c r="AE49">
        <v>0</v>
      </c>
      <c r="AF49">
        <v>0</v>
      </c>
      <c r="AG49" s="31">
        <v>0</v>
      </c>
      <c r="AH49" s="19">
        <v>0</v>
      </c>
      <c r="AI49" s="19">
        <v>0</v>
      </c>
      <c r="AJ49" s="19">
        <v>0</v>
      </c>
    </row>
    <row r="50" spans="1:36" s="18" customFormat="1">
      <c r="B50" s="18">
        <v>2017</v>
      </c>
      <c r="C50" s="182">
        <f>'Austria EV uptake'!K21</f>
        <v>0</v>
      </c>
      <c r="D50" s="13">
        <f t="shared" si="0"/>
        <v>3.9841013638484837</v>
      </c>
      <c r="E50" s="13">
        <f t="shared" si="1"/>
        <v>3.9696611645196418</v>
      </c>
      <c r="F50" s="13">
        <f t="shared" si="2"/>
        <v>3.9919333132529964</v>
      </c>
      <c r="G50" s="13">
        <f t="shared" si="3"/>
        <v>3.9687963666843329</v>
      </c>
      <c r="H50" s="13">
        <f t="shared" si="4"/>
        <v>4.0086291154245099</v>
      </c>
      <c r="I50" s="13">
        <f t="shared" si="5"/>
        <v>3.9840947147041899</v>
      </c>
      <c r="J50" s="13">
        <f t="shared" si="6"/>
        <v>3.9918457616522067</v>
      </c>
      <c r="K50" s="13">
        <f t="shared" si="7"/>
        <v>3.9611698515626577</v>
      </c>
      <c r="L50" s="13">
        <f t="shared" si="8"/>
        <v>3.996626826614146</v>
      </c>
      <c r="M50" s="13">
        <f t="shared" si="9"/>
        <v>3.9945601108182283</v>
      </c>
      <c r="N50" s="13">
        <f t="shared" si="10"/>
        <v>3.9997214528090757</v>
      </c>
      <c r="O50" s="13">
        <f t="shared" si="11"/>
        <v>4.0269253133318061</v>
      </c>
      <c r="P50" s="182"/>
      <c r="Q50" s="182"/>
      <c r="R50" s="182"/>
      <c r="S50" s="182"/>
      <c r="T50" s="182"/>
      <c r="U50" s="182"/>
      <c r="V50" s="182">
        <f>Austria!J11/Austria!G61-0.3</f>
        <v>0.8505671408207065</v>
      </c>
      <c r="W50" s="182">
        <f>'Country Petrol Prices'!C89</f>
        <v>1.3348649124832646</v>
      </c>
      <c r="X50" s="18">
        <v>0</v>
      </c>
      <c r="Y50" s="18">
        <v>1</v>
      </c>
      <c r="Z50">
        <v>0</v>
      </c>
      <c r="AA50">
        <v>0</v>
      </c>
      <c r="AB50">
        <v>0</v>
      </c>
      <c r="AC50">
        <v>0</v>
      </c>
      <c r="AD50">
        <v>0</v>
      </c>
      <c r="AE50">
        <v>0</v>
      </c>
      <c r="AF50">
        <v>0</v>
      </c>
      <c r="AG50" s="31">
        <v>0</v>
      </c>
      <c r="AH50" s="19">
        <v>0</v>
      </c>
      <c r="AI50" s="19">
        <v>0</v>
      </c>
      <c r="AJ50" s="19">
        <v>0</v>
      </c>
    </row>
    <row r="51" spans="1:36">
      <c r="A51" t="s">
        <v>540</v>
      </c>
      <c r="B51">
        <v>2012</v>
      </c>
      <c r="C51" s="13">
        <f>'Belgian EV uptake'!AM7</f>
        <v>3.7000000000000455</v>
      </c>
      <c r="D51" s="13">
        <f t="shared" si="0"/>
        <v>4.0150573555752249</v>
      </c>
      <c r="E51" s="13">
        <f t="shared" si="1"/>
        <v>4.0294265893491428</v>
      </c>
      <c r="F51" s="13">
        <f t="shared" si="2"/>
        <v>4.1464096588038011</v>
      </c>
      <c r="G51" s="13">
        <f t="shared" si="3"/>
        <v>4.0647199705640311</v>
      </c>
      <c r="H51" s="13">
        <f t="shared" si="4"/>
        <v>4.1973852413520998</v>
      </c>
      <c r="I51" s="13">
        <f t="shared" si="5"/>
        <v>4.1418937441083372</v>
      </c>
      <c r="J51" s="13">
        <f t="shared" si="6"/>
        <v>4.1723573631439237</v>
      </c>
      <c r="K51" s="13">
        <f t="shared" si="7"/>
        <v>4.3368238487888782</v>
      </c>
      <c r="L51" s="13">
        <f t="shared" si="8"/>
        <v>4.3203418172188126</v>
      </c>
      <c r="M51" s="13">
        <f t="shared" si="9"/>
        <v>4.2831175053864907</v>
      </c>
      <c r="N51" s="13">
        <f t="shared" si="10"/>
        <v>4.1717156617796229</v>
      </c>
      <c r="O51" s="13">
        <f t="shared" si="11"/>
        <v>4.4407953369043165</v>
      </c>
      <c r="P51" s="13"/>
      <c r="Q51" s="13"/>
      <c r="R51" s="13"/>
      <c r="S51" s="13"/>
      <c r="T51" s="13"/>
      <c r="U51" s="13"/>
      <c r="V51" s="13">
        <f>AVERAGE(Belgium!J6,Belgium!J32)/Belgium!G58</f>
        <v>1.187682651059869</v>
      </c>
      <c r="W51" s="13">
        <f>'Country Petrol Prices'!D84</f>
        <v>2.3513193486889699</v>
      </c>
      <c r="X51">
        <v>0</v>
      </c>
      <c r="Y51">
        <v>0</v>
      </c>
      <c r="Z51">
        <v>0</v>
      </c>
      <c r="AA51">
        <v>0</v>
      </c>
      <c r="AB51">
        <v>0</v>
      </c>
      <c r="AC51">
        <v>0</v>
      </c>
      <c r="AD51">
        <v>0</v>
      </c>
      <c r="AE51">
        <v>0</v>
      </c>
      <c r="AF51">
        <v>0</v>
      </c>
      <c r="AG51" s="31">
        <v>0</v>
      </c>
      <c r="AH51" s="19">
        <v>0</v>
      </c>
      <c r="AI51" s="19">
        <v>0</v>
      </c>
      <c r="AJ51" s="19">
        <v>0</v>
      </c>
    </row>
    <row r="52" spans="1:36">
      <c r="B52">
        <v>2013</v>
      </c>
      <c r="C52" s="13">
        <f>'Belgian EV uptake'!AM8</f>
        <v>2.5</v>
      </c>
      <c r="D52" s="13">
        <f t="shared" si="0"/>
        <v>1.6708716073899432</v>
      </c>
      <c r="E52" s="13">
        <f t="shared" si="1"/>
        <v>1.7105031234969794</v>
      </c>
      <c r="F52" s="13">
        <f t="shared" si="2"/>
        <v>1.8626032623005209</v>
      </c>
      <c r="G52" s="13">
        <f t="shared" si="3"/>
        <v>1.7727852083380622</v>
      </c>
      <c r="H52" s="13">
        <f t="shared" si="4"/>
        <v>1.9038689567388687</v>
      </c>
      <c r="I52" s="13">
        <f t="shared" si="5"/>
        <v>1.8495704443323557</v>
      </c>
      <c r="J52" s="13">
        <f t="shared" si="6"/>
        <v>1.8830243095455774</v>
      </c>
      <c r="K52" s="13">
        <f t="shared" si="7"/>
        <v>2.1371905988497644</v>
      </c>
      <c r="L52" s="13">
        <f t="shared" si="8"/>
        <v>2.0668959131242546</v>
      </c>
      <c r="M52" s="13">
        <f t="shared" si="9"/>
        <v>2.0240076649183472</v>
      </c>
      <c r="N52" s="13">
        <f t="shared" si="10"/>
        <v>1.8563261470843608</v>
      </c>
      <c r="O52" s="13">
        <f t="shared" si="11"/>
        <v>2.3455355753552727</v>
      </c>
      <c r="P52" s="13"/>
      <c r="Q52" s="13"/>
      <c r="R52" s="13"/>
      <c r="S52" s="13"/>
      <c r="T52" s="13"/>
      <c r="U52" s="13"/>
      <c r="V52" s="13">
        <f>AVERAGE(Belgium!J7,Belgium!J33)/Belgium!G59</f>
        <v>1.2986784608361888</v>
      </c>
      <c r="W52" s="13">
        <f>'Country Petrol Prices'!D85</f>
        <v>2.2931581933446146</v>
      </c>
      <c r="X52">
        <v>0</v>
      </c>
      <c r="Y52">
        <v>0</v>
      </c>
      <c r="Z52">
        <v>0</v>
      </c>
      <c r="AA52">
        <v>0</v>
      </c>
      <c r="AB52">
        <v>0</v>
      </c>
      <c r="AC52">
        <v>0</v>
      </c>
      <c r="AD52">
        <v>0</v>
      </c>
      <c r="AE52">
        <v>0</v>
      </c>
      <c r="AF52">
        <v>0</v>
      </c>
      <c r="AG52" s="31">
        <v>0</v>
      </c>
      <c r="AH52" s="19">
        <v>0</v>
      </c>
      <c r="AI52" s="19">
        <v>0</v>
      </c>
      <c r="AJ52" s="19">
        <v>0</v>
      </c>
    </row>
    <row r="53" spans="1:36">
      <c r="B53">
        <v>2014</v>
      </c>
      <c r="C53" s="13">
        <f>'Belgian EV uptake'!AM9</f>
        <v>3.2999999999999545</v>
      </c>
      <c r="D53" s="13">
        <f t="shared" si="0"/>
        <v>1.7252799324994035</v>
      </c>
      <c r="E53" s="13">
        <f t="shared" si="1"/>
        <v>1.7100044051727581</v>
      </c>
      <c r="F53" s="13">
        <f t="shared" si="2"/>
        <v>1.8823610566764786</v>
      </c>
      <c r="G53" s="13">
        <f t="shared" si="3"/>
        <v>1.7548262318644228</v>
      </c>
      <c r="H53" s="13">
        <f t="shared" si="4"/>
        <v>1.9517245324853203</v>
      </c>
      <c r="I53" s="13">
        <f t="shared" si="5"/>
        <v>1.8413383105343337</v>
      </c>
      <c r="J53" s="13">
        <f t="shared" si="6"/>
        <v>1.8856508418277156</v>
      </c>
      <c r="K53" s="13">
        <f t="shared" si="7"/>
        <v>1.9524054811105636</v>
      </c>
      <c r="L53" s="13">
        <f t="shared" si="8"/>
        <v>2.0077814204342088</v>
      </c>
      <c r="M53" s="13">
        <f t="shared" si="9"/>
        <v>1.9781090221719175</v>
      </c>
      <c r="N53" s="13">
        <f t="shared" si="10"/>
        <v>1.8815716291597853</v>
      </c>
      <c r="O53" s="13">
        <f t="shared" si="11"/>
        <v>2.3643868581630936</v>
      </c>
      <c r="P53" s="13"/>
      <c r="Q53" s="13"/>
      <c r="R53" s="13"/>
      <c r="S53" s="13"/>
      <c r="T53" s="13"/>
      <c r="U53" s="13"/>
      <c r="V53" s="13">
        <f>AVERAGE(Belgium!J8,Belgium!J34)/Belgium!G60</f>
        <v>1.4038073062521756</v>
      </c>
      <c r="W53" s="13">
        <f>'Country Petrol Prices'!D86</f>
        <v>2.1718548578611205</v>
      </c>
      <c r="X53">
        <v>0</v>
      </c>
      <c r="Y53">
        <v>0</v>
      </c>
      <c r="Z53">
        <v>1</v>
      </c>
      <c r="AA53">
        <v>0</v>
      </c>
      <c r="AB53">
        <v>0</v>
      </c>
      <c r="AC53">
        <v>0</v>
      </c>
      <c r="AD53">
        <v>0</v>
      </c>
      <c r="AE53">
        <v>0</v>
      </c>
      <c r="AF53">
        <v>0</v>
      </c>
      <c r="AG53" s="31">
        <v>0</v>
      </c>
      <c r="AH53" s="19">
        <v>0</v>
      </c>
      <c r="AI53" s="19">
        <v>0</v>
      </c>
      <c r="AJ53" s="19">
        <v>0</v>
      </c>
    </row>
    <row r="54" spans="1:36">
      <c r="B54">
        <v>2015</v>
      </c>
      <c r="C54" s="13">
        <f>'Belgian EV uptake'!AM10</f>
        <v>3.2999999999999545</v>
      </c>
      <c r="D54" s="13">
        <f t="shared" si="0"/>
        <v>4.0564917722896654</v>
      </c>
      <c r="E54" s="13">
        <f t="shared" si="1"/>
        <v>4.0597373988964112</v>
      </c>
      <c r="F54" s="13">
        <f t="shared" si="2"/>
        <v>4.0232587553635755</v>
      </c>
      <c r="G54" s="13">
        <f t="shared" si="3"/>
        <v>4.0502589668722049</v>
      </c>
      <c r="H54" s="13">
        <f t="shared" si="4"/>
        <v>4.0085676312952092</v>
      </c>
      <c r="I54" s="13">
        <f t="shared" si="5"/>
        <v>4.0319409962829962</v>
      </c>
      <c r="J54" s="13">
        <f t="shared" si="6"/>
        <v>4.0225597288213182</v>
      </c>
      <c r="K54" s="13">
        <f t="shared" si="7"/>
        <v>4.0084651989195361</v>
      </c>
      <c r="L54" s="13">
        <f t="shared" si="8"/>
        <v>3.9967161398201592</v>
      </c>
      <c r="M54" s="13">
        <f t="shared" si="9"/>
        <v>4.0029963621755797</v>
      </c>
      <c r="N54" s="13">
        <f t="shared" si="10"/>
        <v>4.0234118613468191</v>
      </c>
      <c r="O54" s="13">
        <f t="shared" si="11"/>
        <v>3.9212799612740405</v>
      </c>
      <c r="P54" s="13"/>
      <c r="Q54" s="13"/>
      <c r="R54" s="13"/>
      <c r="S54" s="13"/>
      <c r="T54" s="13"/>
      <c r="U54" s="13"/>
      <c r="V54" s="13">
        <f>AVERAGE(Belgium!J9,Belgium!J35)/Belgium!G61</f>
        <v>1.2593249576370664</v>
      </c>
      <c r="W54" s="13">
        <f>'Country Petrol Prices'!D87</f>
        <v>1.6145111265709406</v>
      </c>
      <c r="X54">
        <v>0</v>
      </c>
      <c r="Y54">
        <v>0</v>
      </c>
      <c r="Z54">
        <v>1</v>
      </c>
      <c r="AA54">
        <v>0</v>
      </c>
      <c r="AB54">
        <v>0</v>
      </c>
      <c r="AC54">
        <v>0</v>
      </c>
      <c r="AD54">
        <v>0</v>
      </c>
      <c r="AE54">
        <v>0</v>
      </c>
      <c r="AF54">
        <v>0</v>
      </c>
      <c r="AG54" s="31">
        <v>0</v>
      </c>
      <c r="AH54" s="19">
        <v>0</v>
      </c>
      <c r="AI54" s="19">
        <v>0</v>
      </c>
      <c r="AJ54" s="19">
        <v>0</v>
      </c>
    </row>
    <row r="55" spans="1:36">
      <c r="B55">
        <v>2016</v>
      </c>
      <c r="C55" s="13">
        <f>'Belgian EV uptake'!AM11</f>
        <v>4</v>
      </c>
      <c r="D55" s="13">
        <f t="shared" si="0"/>
        <v>3.4410046379380264</v>
      </c>
      <c r="E55" s="13">
        <f t="shared" si="1"/>
        <v>3.4600565459073742</v>
      </c>
      <c r="F55" s="13">
        <f t="shared" si="2"/>
        <v>3.3962435678794352</v>
      </c>
      <c r="G55" s="13">
        <f t="shared" si="3"/>
        <v>3.4518922375203314</v>
      </c>
      <c r="H55" s="13">
        <f t="shared" si="4"/>
        <v>3.3593059882782836</v>
      </c>
      <c r="I55" s="13">
        <f t="shared" si="5"/>
        <v>3.4113568387468769</v>
      </c>
      <c r="J55" s="13">
        <f t="shared" si="6"/>
        <v>3.3920998429593752</v>
      </c>
      <c r="K55" s="13">
        <f t="shared" si="7"/>
        <v>3.4033127714420277</v>
      </c>
      <c r="L55" s="13">
        <f t="shared" si="8"/>
        <v>3.3520774618790425</v>
      </c>
      <c r="M55" s="13">
        <f t="shared" si="9"/>
        <v>3.3632435257323983</v>
      </c>
      <c r="N55" s="13">
        <f t="shared" si="10"/>
        <v>3.3817006453728533</v>
      </c>
      <c r="O55" s="13">
        <f t="shared" si="11"/>
        <v>3.2604288585292216</v>
      </c>
      <c r="P55" s="13"/>
      <c r="Q55" s="13"/>
      <c r="R55" s="13"/>
      <c r="S55" s="13"/>
      <c r="T55" s="13"/>
      <c r="U55" s="13"/>
      <c r="V55" s="13">
        <f>AVERAGE(Belgium!J10,Belgium!J36)/Belgium!G62</f>
        <v>1.2813002622149108</v>
      </c>
      <c r="W55" s="13">
        <f>'Country Petrol Prices'!D88</f>
        <v>1.4699352441198299</v>
      </c>
      <c r="X55">
        <v>0</v>
      </c>
      <c r="Y55">
        <v>0</v>
      </c>
      <c r="Z55">
        <v>1</v>
      </c>
      <c r="AA55">
        <v>0</v>
      </c>
      <c r="AB55">
        <v>0</v>
      </c>
      <c r="AC55">
        <v>0</v>
      </c>
      <c r="AD55">
        <v>0</v>
      </c>
      <c r="AE55">
        <v>0</v>
      </c>
      <c r="AF55">
        <v>0</v>
      </c>
      <c r="AG55" s="31">
        <v>0</v>
      </c>
      <c r="AH55" s="19">
        <v>0</v>
      </c>
      <c r="AI55" s="19">
        <v>0</v>
      </c>
      <c r="AJ55" s="19">
        <v>0</v>
      </c>
    </row>
    <row r="56" spans="1:36" s="18" customFormat="1">
      <c r="B56" s="18">
        <v>2017</v>
      </c>
      <c r="C56" s="182">
        <f>'Belgian EV uptake'!AM12</f>
        <v>4</v>
      </c>
      <c r="D56" s="13">
        <f t="shared" si="0"/>
        <v>3.1479609301379279</v>
      </c>
      <c r="E56" s="13">
        <f t="shared" si="1"/>
        <v>3.1610388220539889</v>
      </c>
      <c r="F56" s="13">
        <f t="shared" si="2"/>
        <v>3.1380053753794703</v>
      </c>
      <c r="G56" s="13">
        <f t="shared" si="3"/>
        <v>3.1619942805973342</v>
      </c>
      <c r="H56" s="13">
        <f t="shared" si="4"/>
        <v>3.1194620777894739</v>
      </c>
      <c r="I56" s="13">
        <f t="shared" si="5"/>
        <v>3.1434258723480459</v>
      </c>
      <c r="J56" s="13">
        <f t="shared" si="6"/>
        <v>3.1351553932834415</v>
      </c>
      <c r="K56" s="13">
        <f t="shared" si="7"/>
        <v>3.1558335445626211</v>
      </c>
      <c r="L56" s="13">
        <f t="shared" si="8"/>
        <v>3.1231139449006089</v>
      </c>
      <c r="M56" s="13">
        <f t="shared" si="9"/>
        <v>3.1272277825357508</v>
      </c>
      <c r="N56" s="13">
        <f t="shared" si="10"/>
        <v>3.1258889698911809</v>
      </c>
      <c r="O56" s="13">
        <f t="shared" si="11"/>
        <v>3.1087248902712044</v>
      </c>
      <c r="P56" s="182"/>
      <c r="Q56" s="182"/>
      <c r="R56" s="182"/>
      <c r="S56" s="182"/>
      <c r="T56" s="182"/>
      <c r="U56" s="182"/>
      <c r="V56" s="182">
        <f>AVERAGE(Belgium!J11,Belgium!J37)/Belgium!G63</f>
        <v>1.3023109935214123</v>
      </c>
      <c r="W56" s="182">
        <f>'Country Petrol Prices'!D89</f>
        <v>1.5913859132727608</v>
      </c>
      <c r="X56" s="18">
        <v>0</v>
      </c>
      <c r="Y56" s="18">
        <v>0</v>
      </c>
      <c r="Z56">
        <v>1</v>
      </c>
      <c r="AA56">
        <v>0</v>
      </c>
      <c r="AB56">
        <v>0</v>
      </c>
      <c r="AC56">
        <v>0</v>
      </c>
      <c r="AD56">
        <v>0</v>
      </c>
      <c r="AE56">
        <v>0</v>
      </c>
      <c r="AF56">
        <v>0</v>
      </c>
      <c r="AG56" s="31">
        <v>0</v>
      </c>
      <c r="AH56" s="19">
        <v>0</v>
      </c>
      <c r="AI56" s="19">
        <v>0</v>
      </c>
      <c r="AJ56" s="19">
        <v>0</v>
      </c>
    </row>
    <row r="57" spans="1:36">
      <c r="A57" t="s">
        <v>298</v>
      </c>
      <c r="B57">
        <v>2012</v>
      </c>
      <c r="C57" s="13">
        <f>'British EV uptake'!O7</f>
        <v>2017.2678731409455</v>
      </c>
      <c r="E57" s="13">
        <f t="shared" si="1"/>
        <v>4.08332002437092</v>
      </c>
      <c r="F57" s="13">
        <f t="shared" si="2"/>
        <v>4.1860487721877044</v>
      </c>
      <c r="G57" s="13">
        <f t="shared" si="3"/>
        <v>4.115895574816931</v>
      </c>
      <c r="H57" s="13">
        <f t="shared" si="4"/>
        <v>4.2299672186361104</v>
      </c>
      <c r="I57" s="13">
        <f t="shared" si="5"/>
        <v>4.1849167520719659</v>
      </c>
      <c r="J57" s="13">
        <f t="shared" si="6"/>
        <v>4.2113811621204693</v>
      </c>
      <c r="K57" s="13">
        <f t="shared" si="7"/>
        <v>4.3745418938238245</v>
      </c>
      <c r="L57" s="13">
        <f t="shared" si="8"/>
        <v>4.3498745839782451</v>
      </c>
      <c r="M57" s="13">
        <f t="shared" si="9"/>
        <v>4.3151253954730535</v>
      </c>
      <c r="N57" s="13">
        <f t="shared" si="10"/>
        <v>4.2096796206800633</v>
      </c>
      <c r="O57" s="13">
        <f t="shared" si="11"/>
        <v>4.4455733013008558</v>
      </c>
      <c r="P57" s="13"/>
      <c r="Q57" s="13"/>
      <c r="R57" s="13"/>
      <c r="S57" s="13"/>
      <c r="T57" s="13"/>
      <c r="U57" s="13"/>
      <c r="V57" s="13">
        <f>AVERAGE(Britain!I6,Britain!I31)/Britain!F56</f>
        <v>1.1826200478117883</v>
      </c>
      <c r="W57" s="13">
        <f>'Country Petrol Prices'!V84</f>
        <v>2.3048697972868433</v>
      </c>
      <c r="X57">
        <v>0</v>
      </c>
      <c r="Y57">
        <v>0</v>
      </c>
      <c r="Z57">
        <v>0</v>
      </c>
      <c r="AA57">
        <v>0</v>
      </c>
      <c r="AB57">
        <v>0</v>
      </c>
      <c r="AC57">
        <v>0</v>
      </c>
      <c r="AD57">
        <v>0</v>
      </c>
      <c r="AE57">
        <v>0</v>
      </c>
      <c r="AF57">
        <v>0</v>
      </c>
      <c r="AG57" s="31">
        <v>0</v>
      </c>
      <c r="AH57" s="19">
        <v>0</v>
      </c>
      <c r="AI57" s="19">
        <v>0</v>
      </c>
      <c r="AJ57" s="19">
        <v>0</v>
      </c>
    </row>
    <row r="58" spans="1:36">
      <c r="B58">
        <v>2013</v>
      </c>
      <c r="C58" s="13">
        <f>'British EV uptake'!O8</f>
        <v>2017.2250499190925</v>
      </c>
      <c r="E58" s="13">
        <f t="shared" si="1"/>
        <v>3.6242239748065987</v>
      </c>
      <c r="F58" s="13">
        <f t="shared" si="2"/>
        <v>3.7094792988385179</v>
      </c>
      <c r="G58" s="13">
        <f t="shared" si="3"/>
        <v>3.658342739393023</v>
      </c>
      <c r="H58" s="13">
        <f t="shared" si="4"/>
        <v>3.7382378530790787</v>
      </c>
      <c r="I58" s="13">
        <f t="shared" si="5"/>
        <v>3.7124520550845514</v>
      </c>
      <c r="J58" s="13">
        <f t="shared" si="6"/>
        <v>3.73236564391823</v>
      </c>
      <c r="K58" s="13">
        <f t="shared" si="7"/>
        <v>3.9147007964192162</v>
      </c>
      <c r="L58" s="13">
        <f t="shared" si="8"/>
        <v>3.8622286013352598</v>
      </c>
      <c r="M58" s="13">
        <f t="shared" si="9"/>
        <v>3.8306177094799536</v>
      </c>
      <c r="N58" s="13">
        <f t="shared" si="10"/>
        <v>3.7224783681895648</v>
      </c>
      <c r="O58" s="13">
        <f t="shared" si="11"/>
        <v>3.9509315805346334</v>
      </c>
      <c r="P58" s="13"/>
      <c r="Q58" s="13"/>
      <c r="R58" s="13"/>
      <c r="S58" s="13"/>
      <c r="T58" s="13"/>
      <c r="U58" s="13"/>
      <c r="V58" s="13">
        <f>AVERAGE(Britain!I7,Britain!I32)/Britain!F57</f>
        <v>1.2000816076994942</v>
      </c>
      <c r="W58" s="13">
        <f>'Country Petrol Prices'!V85</f>
        <v>2.2064694410828536</v>
      </c>
      <c r="X58">
        <v>0</v>
      </c>
      <c r="Y58">
        <v>0</v>
      </c>
      <c r="Z58">
        <v>0</v>
      </c>
      <c r="AA58">
        <v>0</v>
      </c>
      <c r="AB58">
        <v>0</v>
      </c>
      <c r="AC58">
        <v>0</v>
      </c>
      <c r="AD58">
        <v>0</v>
      </c>
      <c r="AE58">
        <v>0</v>
      </c>
      <c r="AF58">
        <v>0</v>
      </c>
      <c r="AG58" s="31">
        <v>0</v>
      </c>
      <c r="AH58" s="19">
        <v>0</v>
      </c>
      <c r="AI58" s="19">
        <v>0</v>
      </c>
      <c r="AJ58" s="19">
        <v>0</v>
      </c>
    </row>
    <row r="59" spans="1:36">
      <c r="B59">
        <v>2014</v>
      </c>
      <c r="C59" s="13">
        <f>'British EV uptake'!O9</f>
        <v>2017.8014239680281</v>
      </c>
      <c r="E59" s="13">
        <f t="shared" si="1"/>
        <v>1.5634174887316599</v>
      </c>
      <c r="F59" s="13">
        <f t="shared" si="2"/>
        <v>1.6814644183041634</v>
      </c>
      <c r="G59" s="13">
        <f t="shared" si="3"/>
        <v>1.6217672007570152</v>
      </c>
      <c r="H59" s="13">
        <f t="shared" si="4"/>
        <v>1.7024519931915996</v>
      </c>
      <c r="I59" s="13">
        <f t="shared" si="5"/>
        <v>1.6764928871580649</v>
      </c>
      <c r="J59" s="13">
        <f t="shared" si="6"/>
        <v>1.6995269076047266</v>
      </c>
      <c r="K59" s="13">
        <f t="shared" si="7"/>
        <v>1.961485691663456</v>
      </c>
      <c r="L59" s="13">
        <f t="shared" si="8"/>
        <v>1.8623024806500554</v>
      </c>
      <c r="M59" s="13">
        <f t="shared" si="9"/>
        <v>1.8253819728347342</v>
      </c>
      <c r="N59" s="13">
        <f t="shared" si="10"/>
        <v>1.6666797190811318</v>
      </c>
      <c r="O59" s="13">
        <f t="shared" si="11"/>
        <v>2.0940676773550031</v>
      </c>
      <c r="P59" s="13"/>
      <c r="Q59" s="13"/>
      <c r="R59" s="13"/>
      <c r="S59" s="13"/>
      <c r="T59" s="13"/>
      <c r="U59" s="13"/>
      <c r="V59" s="13">
        <f>AVERAGE(Britain!I8,Britain!I33)/Britain!F58</f>
        <v>1.299015150791492</v>
      </c>
      <c r="W59" s="13">
        <f>'Country Petrol Prices'!V86</f>
        <v>2.1604144264250151</v>
      </c>
      <c r="X59">
        <v>0</v>
      </c>
      <c r="Y59">
        <v>0</v>
      </c>
      <c r="Z59">
        <v>0</v>
      </c>
      <c r="AA59">
        <v>0</v>
      </c>
      <c r="AB59">
        <v>0</v>
      </c>
      <c r="AC59">
        <v>0</v>
      </c>
      <c r="AD59">
        <v>0</v>
      </c>
      <c r="AE59">
        <v>0</v>
      </c>
      <c r="AF59">
        <v>0</v>
      </c>
      <c r="AG59" s="31">
        <v>0</v>
      </c>
      <c r="AH59" s="19">
        <v>0</v>
      </c>
      <c r="AI59" s="19">
        <v>0</v>
      </c>
      <c r="AJ59" s="19">
        <v>0</v>
      </c>
    </row>
    <row r="60" spans="1:36">
      <c r="B60">
        <v>2015</v>
      </c>
      <c r="C60" s="13">
        <f>'British EV uptake'!O10</f>
        <v>2017.0074449217677</v>
      </c>
      <c r="E60" s="13">
        <f t="shared" si="1"/>
        <v>3.9710943280157944</v>
      </c>
      <c r="F60" s="13">
        <f t="shared" si="2"/>
        <v>3.9192565972503282</v>
      </c>
      <c r="G60" s="13">
        <f t="shared" si="3"/>
        <v>3.9806655149276713</v>
      </c>
      <c r="H60" s="13">
        <f t="shared" si="4"/>
        <v>3.8780169907594368</v>
      </c>
      <c r="I60" s="13">
        <f t="shared" si="5"/>
        <v>3.9547603203896848</v>
      </c>
      <c r="J60" s="13">
        <f t="shared" si="6"/>
        <v>3.9356727240649416</v>
      </c>
      <c r="K60" s="13">
        <f t="shared" si="7"/>
        <v>4.1122323688808731</v>
      </c>
      <c r="L60" s="13">
        <f t="shared" si="8"/>
        <v>3.9752350221545689</v>
      </c>
      <c r="M60" s="13">
        <f t="shared" si="9"/>
        <v>3.9674630188214008</v>
      </c>
      <c r="N60" s="13">
        <f t="shared" si="10"/>
        <v>3.9133439148175926</v>
      </c>
      <c r="O60" s="13">
        <f t="shared" si="11"/>
        <v>3.8334783177969314</v>
      </c>
      <c r="P60" s="13"/>
      <c r="Q60" s="13"/>
      <c r="R60" s="13"/>
      <c r="S60" s="13"/>
      <c r="T60" s="13"/>
      <c r="U60" s="13"/>
      <c r="V60" s="13">
        <f>AVERAGE(Britain!I9,Britain!I34)/Britain!F59</f>
        <v>1.159118376829019</v>
      </c>
      <c r="W60" s="13">
        <f>'Country Petrol Prices'!V87</f>
        <v>1.7461975475313363</v>
      </c>
      <c r="X60">
        <v>0</v>
      </c>
      <c r="Y60">
        <v>0</v>
      </c>
      <c r="Z60">
        <v>0</v>
      </c>
      <c r="AA60">
        <v>0</v>
      </c>
      <c r="AB60">
        <v>0</v>
      </c>
      <c r="AC60">
        <v>0</v>
      </c>
      <c r="AD60">
        <v>0</v>
      </c>
      <c r="AE60">
        <v>0</v>
      </c>
      <c r="AF60">
        <v>0</v>
      </c>
      <c r="AG60" s="31">
        <v>0</v>
      </c>
      <c r="AH60" s="19">
        <v>0</v>
      </c>
      <c r="AI60" s="19">
        <v>0</v>
      </c>
      <c r="AJ60" s="19">
        <v>0</v>
      </c>
    </row>
    <row r="61" spans="1:36">
      <c r="B61">
        <v>2016</v>
      </c>
      <c r="C61" s="13">
        <f>'British EV uptake'!O11</f>
        <v>2017.648681601019</v>
      </c>
      <c r="E61" s="13">
        <f t="shared" si="1"/>
        <v>3.3584633120975003</v>
      </c>
      <c r="F61" s="13">
        <f t="shared" si="2"/>
        <v>3.2481292978706797</v>
      </c>
      <c r="G61" s="13">
        <f t="shared" si="3"/>
        <v>3.3646209291539222</v>
      </c>
      <c r="H61" s="13">
        <f t="shared" si="4"/>
        <v>3.1675945519780639</v>
      </c>
      <c r="I61" s="13">
        <f t="shared" si="5"/>
        <v>3.2974509340667297</v>
      </c>
      <c r="J61" s="13">
        <f t="shared" si="6"/>
        <v>3.2593342990426883</v>
      </c>
      <c r="K61" s="13">
        <f t="shared" si="7"/>
        <v>3.4635199818148168</v>
      </c>
      <c r="L61" s="13">
        <f t="shared" si="8"/>
        <v>3.2647170836920849</v>
      </c>
      <c r="M61" s="13">
        <f t="shared" si="9"/>
        <v>3.2672678375493778</v>
      </c>
      <c r="N61" s="13">
        <f t="shared" si="10"/>
        <v>3.221722399960929</v>
      </c>
      <c r="O61" s="13">
        <f t="shared" si="11"/>
        <v>3.0584446824720506</v>
      </c>
      <c r="P61" s="13"/>
      <c r="Q61" s="13"/>
      <c r="R61" s="13"/>
      <c r="S61" s="13"/>
      <c r="T61" s="13"/>
      <c r="U61" s="13"/>
      <c r="V61" s="13">
        <f>AVERAGE(Britain!I10,Britain!I35)/Britain!F60</f>
        <v>1.175919492125755</v>
      </c>
      <c r="W61" s="13">
        <f>'Country Petrol Prices'!V88</f>
        <v>1.4897523445426626</v>
      </c>
      <c r="X61">
        <v>0</v>
      </c>
      <c r="Y61">
        <v>0</v>
      </c>
      <c r="Z61">
        <v>0</v>
      </c>
      <c r="AA61">
        <v>0</v>
      </c>
      <c r="AB61">
        <v>0</v>
      </c>
      <c r="AC61">
        <v>0</v>
      </c>
      <c r="AD61">
        <v>0</v>
      </c>
      <c r="AE61">
        <v>0</v>
      </c>
      <c r="AF61">
        <v>0</v>
      </c>
      <c r="AG61" s="31">
        <v>0</v>
      </c>
      <c r="AH61" s="19">
        <v>0</v>
      </c>
      <c r="AI61" s="19">
        <v>0</v>
      </c>
      <c r="AJ61" s="19">
        <v>0</v>
      </c>
    </row>
    <row r="62" spans="1:36" s="18" customFormat="1">
      <c r="B62" s="18">
        <v>2017</v>
      </c>
      <c r="C62" s="182">
        <f>'British EV uptake'!O12</f>
        <v>2017.8255650522617</v>
      </c>
      <c r="D62" s="182"/>
      <c r="E62" s="13">
        <f t="shared" si="1"/>
        <v>3.2157599955711267</v>
      </c>
      <c r="F62" s="13">
        <f t="shared" si="2"/>
        <v>3.1171857093816255</v>
      </c>
      <c r="G62" s="13">
        <f t="shared" si="3"/>
        <v>3.2250717374655373</v>
      </c>
      <c r="H62" s="13">
        <f t="shared" si="4"/>
        <v>3.0412554178163895</v>
      </c>
      <c r="I62" s="13">
        <f t="shared" si="5"/>
        <v>3.1637075504144718</v>
      </c>
      <c r="J62" s="13">
        <f t="shared" si="6"/>
        <v>3.1285818620394896</v>
      </c>
      <c r="K62" s="13">
        <f t="shared" si="7"/>
        <v>3.3377311660257969</v>
      </c>
      <c r="L62" s="13">
        <f t="shared" si="8"/>
        <v>3.1423566397987024</v>
      </c>
      <c r="M62" s="13">
        <f t="shared" si="9"/>
        <v>3.1428849261800766</v>
      </c>
      <c r="N62" s="13">
        <f t="shared" si="10"/>
        <v>3.0905560607897065</v>
      </c>
      <c r="O62" s="13">
        <f t="shared" si="11"/>
        <v>2.960874785903278</v>
      </c>
      <c r="P62" s="177"/>
      <c r="Q62" s="177"/>
      <c r="R62" s="177"/>
      <c r="S62" s="177"/>
      <c r="T62" s="177"/>
      <c r="U62" s="177"/>
      <c r="V62" s="177">
        <f>AVERAGE(Britain!I11,Britain!I36)/Britain!F61</f>
        <v>1.184523573150966</v>
      </c>
      <c r="W62" s="177">
        <f>'Country Petrol Prices'!V89</f>
        <v>1.5203168567427807</v>
      </c>
      <c r="X62" s="31">
        <v>0</v>
      </c>
      <c r="Y62" s="31">
        <v>0</v>
      </c>
      <c r="Z62">
        <v>0</v>
      </c>
      <c r="AA62">
        <v>0</v>
      </c>
      <c r="AB62">
        <v>0</v>
      </c>
      <c r="AC62">
        <v>0</v>
      </c>
      <c r="AD62">
        <v>0</v>
      </c>
      <c r="AE62">
        <v>0</v>
      </c>
      <c r="AF62">
        <v>0</v>
      </c>
      <c r="AG62" s="31">
        <v>0</v>
      </c>
      <c r="AH62" s="19">
        <v>0</v>
      </c>
      <c r="AI62" s="19">
        <v>0</v>
      </c>
      <c r="AJ62" s="19">
        <v>0</v>
      </c>
    </row>
    <row r="63" spans="1:36">
      <c r="A63" t="s">
        <v>238</v>
      </c>
      <c r="B63">
        <v>2012</v>
      </c>
      <c r="C63" s="13">
        <f>'Canada EV uptake'!O7</f>
        <v>2017.0015547616606</v>
      </c>
      <c r="F63" s="13">
        <f t="shared" si="2"/>
        <v>4.1556895265236058</v>
      </c>
      <c r="G63" s="13">
        <f t="shared" si="3"/>
        <v>4.0880513158010823</v>
      </c>
      <c r="H63" s="177">
        <f t="shared" si="4"/>
        <v>4.2008929261241095</v>
      </c>
      <c r="I63" s="177">
        <f t="shared" si="5"/>
        <v>4.1374485728950789</v>
      </c>
      <c r="J63" s="13">
        <f t="shared" si="6"/>
        <v>4.16085088693338</v>
      </c>
      <c r="K63" s="13">
        <f t="shared" si="7"/>
        <v>4.1453621704108992</v>
      </c>
      <c r="L63" s="13">
        <f t="shared" si="8"/>
        <v>4.2088843697917468</v>
      </c>
      <c r="M63" s="13">
        <f t="shared" si="9"/>
        <v>4.1953946956050245</v>
      </c>
      <c r="N63" s="13">
        <f t="shared" si="10"/>
        <v>4.1740521309590903</v>
      </c>
      <c r="O63" s="13">
        <f t="shared" si="11"/>
        <v>4.3173300970527988</v>
      </c>
      <c r="P63" s="31"/>
      <c r="Q63" s="31"/>
      <c r="R63" s="31"/>
      <c r="S63" s="31"/>
      <c r="T63" s="31"/>
      <c r="U63" s="31"/>
      <c r="V63" s="177">
        <f>AVERAGE(Canada!J6,Canada!J31)/Canada!G56</f>
        <v>1.2808243908117991</v>
      </c>
      <c r="W63" s="177">
        <f>'Country Petrol Prices'!E84</f>
        <v>1.3459495766316971</v>
      </c>
      <c r="X63" s="31">
        <v>0</v>
      </c>
      <c r="Y63" s="31">
        <v>0</v>
      </c>
      <c r="Z63" s="31">
        <v>0</v>
      </c>
      <c r="AA63" s="31">
        <v>1</v>
      </c>
      <c r="AB63">
        <v>0</v>
      </c>
      <c r="AC63">
        <v>0</v>
      </c>
      <c r="AD63">
        <v>0</v>
      </c>
      <c r="AE63">
        <v>0</v>
      </c>
      <c r="AF63">
        <v>0</v>
      </c>
      <c r="AG63" s="31">
        <v>0</v>
      </c>
      <c r="AH63" s="19">
        <v>0</v>
      </c>
      <c r="AI63" s="19">
        <v>0</v>
      </c>
      <c r="AJ63" s="19">
        <v>0</v>
      </c>
    </row>
    <row r="64" spans="1:36">
      <c r="B64">
        <v>2013</v>
      </c>
      <c r="C64" s="13">
        <f>'Canada EV uptake'!O8</f>
        <v>2017.2592952763096</v>
      </c>
      <c r="F64" s="13">
        <f t="shared" si="2"/>
        <v>3.7510700686518401</v>
      </c>
      <c r="G64" s="13">
        <f t="shared" si="3"/>
        <v>3.69408531097277</v>
      </c>
      <c r="H64" s="177">
        <f t="shared" si="4"/>
        <v>3.7868848329449163</v>
      </c>
      <c r="I64" s="177">
        <f t="shared" si="5"/>
        <v>3.7347545116833238</v>
      </c>
      <c r="J64" s="13">
        <f t="shared" si="6"/>
        <v>3.7544974651270886</v>
      </c>
      <c r="K64" s="13">
        <f t="shared" si="7"/>
        <v>3.7551672788156623</v>
      </c>
      <c r="L64" s="13">
        <f t="shared" si="8"/>
        <v>3.7994775764309567</v>
      </c>
      <c r="M64" s="13">
        <f t="shared" si="9"/>
        <v>3.7875068605345641</v>
      </c>
      <c r="N64" s="13">
        <f t="shared" si="10"/>
        <v>3.7614775852041271</v>
      </c>
      <c r="O64" s="13">
        <f t="shared" si="11"/>
        <v>3.9125913499929852</v>
      </c>
      <c r="P64" s="31"/>
      <c r="Q64" s="31"/>
      <c r="R64" s="31"/>
      <c r="S64" s="31"/>
      <c r="T64" s="31"/>
      <c r="U64" s="31"/>
      <c r="V64" s="177">
        <f>AVERAGE(Canada!J7,Canada!J32)/Canada!G57</f>
        <v>1.2971611706082982</v>
      </c>
      <c r="W64" s="177">
        <f>'Country Petrol Prices'!E85</f>
        <v>1.2852786336541411</v>
      </c>
      <c r="X64" s="31">
        <v>0</v>
      </c>
      <c r="Y64" s="31">
        <v>0</v>
      </c>
      <c r="Z64" s="31">
        <v>0</v>
      </c>
      <c r="AA64" s="31">
        <v>1</v>
      </c>
      <c r="AB64">
        <v>0</v>
      </c>
      <c r="AC64">
        <v>0</v>
      </c>
      <c r="AD64">
        <v>0</v>
      </c>
      <c r="AE64">
        <v>0</v>
      </c>
      <c r="AF64">
        <v>0</v>
      </c>
      <c r="AG64" s="31">
        <v>0</v>
      </c>
      <c r="AH64" s="19">
        <v>0</v>
      </c>
      <c r="AI64" s="19">
        <v>0</v>
      </c>
      <c r="AJ64" s="19">
        <v>0</v>
      </c>
    </row>
    <row r="65" spans="1:36">
      <c r="B65">
        <v>2014</v>
      </c>
      <c r="C65" s="13">
        <f>'Canada EV uptake'!O9</f>
        <v>2018.4664745793218</v>
      </c>
      <c r="F65" s="13">
        <f t="shared" si="2"/>
        <v>1.430349965805916</v>
      </c>
      <c r="G65" s="13">
        <f t="shared" si="3"/>
        <v>1.374525882260325</v>
      </c>
      <c r="H65" s="177">
        <f t="shared" si="4"/>
        <v>1.4503245446520672</v>
      </c>
      <c r="I65" s="177">
        <f t="shared" ref="I65:I86" si="12">I$3+I$4*V65+I$5*W65+I$6*X65+I$7*Y65+I$8*Z65+I$9*AA65+I$10*AB65+I$11*AC65+I$12*AD65</f>
        <v>1.4080550571394295</v>
      </c>
      <c r="J65" s="13">
        <f t="shared" ref="J65:J92" si="13">J$3+J$4*V65+J$5*W65+J$6*X65+J$7*Y65+J$8*Z65+J$9*AA65+J$10*AB65+J$11*AC65+J$12*AD65+J$13*AE65</f>
        <v>1.4275734060366192</v>
      </c>
      <c r="K65" s="13">
        <f t="shared" ref="K65:K98" si="14">K$3+K$4*V65+K$5*W65+K$6*X65+K$7*Y65+K$8*Z65+K$9*AA65+K$10*AB65+K$11*AC65+K$12*AD65+K$13*AE65+K$14*AF65</f>
        <v>1.519600467900238</v>
      </c>
      <c r="L65" s="13">
        <f t="shared" si="8"/>
        <v>1.5016895453905095</v>
      </c>
      <c r="M65" s="13">
        <f t="shared" si="9"/>
        <v>1.485928225490172</v>
      </c>
      <c r="N65" s="13">
        <f t="shared" si="10"/>
        <v>1.4068258839624415</v>
      </c>
      <c r="O65" s="13">
        <f t="shared" si="11"/>
        <v>1.7573515508905011</v>
      </c>
      <c r="P65" s="31"/>
      <c r="Q65" s="31"/>
      <c r="R65" s="31"/>
      <c r="S65" s="31"/>
      <c r="T65" s="31"/>
      <c r="U65" s="31"/>
      <c r="V65" s="177">
        <f>AVERAGE(Canada!J8,Canada!J33)/Canada!G58</f>
        <v>1.4073584690470162</v>
      </c>
      <c r="W65" s="177">
        <f>'Country Petrol Prices'!E86</f>
        <v>1.1869437115042327</v>
      </c>
      <c r="X65" s="31">
        <v>0</v>
      </c>
      <c r="Y65" s="31">
        <v>0</v>
      </c>
      <c r="Z65" s="31">
        <v>0</v>
      </c>
      <c r="AA65" s="31">
        <v>1</v>
      </c>
      <c r="AB65">
        <v>0</v>
      </c>
      <c r="AC65">
        <v>0</v>
      </c>
      <c r="AD65">
        <v>0</v>
      </c>
      <c r="AE65">
        <v>0</v>
      </c>
      <c r="AF65">
        <v>0</v>
      </c>
      <c r="AG65" s="31">
        <v>0</v>
      </c>
      <c r="AH65" s="19">
        <v>0</v>
      </c>
      <c r="AI65" s="19">
        <v>0</v>
      </c>
      <c r="AJ65" s="19">
        <v>0</v>
      </c>
    </row>
    <row r="66" spans="1:36">
      <c r="B66">
        <v>2015</v>
      </c>
      <c r="C66" s="13">
        <f>'Canada EV uptake'!O10</f>
        <v>2017.766183496047</v>
      </c>
      <c r="F66" s="13">
        <f t="shared" si="2"/>
        <v>3.8843591309904992</v>
      </c>
      <c r="G66" s="13">
        <f t="shared" si="3"/>
        <v>3.9333986645766266</v>
      </c>
      <c r="H66" s="177">
        <f t="shared" si="4"/>
        <v>3.8538129078647234</v>
      </c>
      <c r="I66" s="177">
        <f t="shared" si="12"/>
        <v>3.8985147176826738</v>
      </c>
      <c r="J66" s="13">
        <f t="shared" si="13"/>
        <v>3.8815212379516586</v>
      </c>
      <c r="K66" s="13">
        <f t="shared" si="14"/>
        <v>3.8792820170638644</v>
      </c>
      <c r="L66" s="13">
        <f t="shared" si="8"/>
        <v>3.842265677141993</v>
      </c>
      <c r="M66" s="13">
        <f t="shared" si="9"/>
        <v>3.8526407696680307</v>
      </c>
      <c r="N66" s="13">
        <f t="shared" si="10"/>
        <v>3.8760163457642034</v>
      </c>
      <c r="O66" s="13">
        <f t="shared" si="11"/>
        <v>3.7422869711751217</v>
      </c>
      <c r="P66" s="31"/>
      <c r="Q66" s="31"/>
      <c r="R66" s="31"/>
      <c r="S66" s="31"/>
      <c r="T66" s="31"/>
      <c r="U66" s="31"/>
      <c r="V66" s="177">
        <f>AVERAGE(Canada!J9,Canada!J34)/Canada!G59</f>
        <v>1.2616351166038293</v>
      </c>
      <c r="W66" s="177">
        <f>'Country Petrol Prices'!E87</f>
        <v>0.8490841628841681</v>
      </c>
      <c r="X66" s="31">
        <v>0</v>
      </c>
      <c r="Y66" s="31">
        <v>0</v>
      </c>
      <c r="Z66" s="31">
        <v>0</v>
      </c>
      <c r="AA66" s="31">
        <v>1</v>
      </c>
      <c r="AB66">
        <v>0</v>
      </c>
      <c r="AC66">
        <v>0</v>
      </c>
      <c r="AD66">
        <v>0</v>
      </c>
      <c r="AE66">
        <v>0</v>
      </c>
      <c r="AF66">
        <v>0</v>
      </c>
      <c r="AG66" s="31">
        <v>0</v>
      </c>
      <c r="AH66" s="19">
        <v>0</v>
      </c>
      <c r="AI66" s="19">
        <v>0</v>
      </c>
      <c r="AJ66" s="19">
        <v>0</v>
      </c>
    </row>
    <row r="67" spans="1:36">
      <c r="B67">
        <v>2016</v>
      </c>
      <c r="C67" s="13">
        <f>'Canada EV uptake'!O11</f>
        <v>2017.7612958281914</v>
      </c>
      <c r="F67" s="13">
        <f t="shared" si="2"/>
        <v>4.018325620942961</v>
      </c>
      <c r="G67" s="13">
        <f t="shared" si="3"/>
        <v>4.0872701991053688</v>
      </c>
      <c r="H67" s="177">
        <f t="shared" si="4"/>
        <v>3.9760298034410129</v>
      </c>
      <c r="I67" s="177">
        <f t="shared" si="12"/>
        <v>4.038498037557452</v>
      </c>
      <c r="J67" s="13">
        <f t="shared" si="13"/>
        <v>4.0145993145992112</v>
      </c>
      <c r="K67" s="13">
        <f t="shared" si="14"/>
        <v>4.0075265212664579</v>
      </c>
      <c r="L67" s="13">
        <f t="shared" si="8"/>
        <v>3.9581191639679698</v>
      </c>
      <c r="M67" s="13">
        <f t="shared" si="9"/>
        <v>3.972878776656283</v>
      </c>
      <c r="N67" s="13">
        <f t="shared" si="10"/>
        <v>4.0080448839127536</v>
      </c>
      <c r="O67" s="13">
        <f t="shared" si="11"/>
        <v>3.8113374378029032</v>
      </c>
      <c r="P67" s="31"/>
      <c r="Q67" s="31"/>
      <c r="R67" s="31"/>
      <c r="S67" s="31"/>
      <c r="T67" s="31"/>
      <c r="U67" s="31"/>
      <c r="V67" s="177">
        <f>AVERAGE(Canada!J10,Canada!J35)/Canada!G60</f>
        <v>1.2497773975789306</v>
      </c>
      <c r="W67" s="177">
        <f>'Country Petrol Prices'!E88</f>
        <v>0.77158209666689281</v>
      </c>
      <c r="X67" s="31">
        <v>0</v>
      </c>
      <c r="Y67" s="31">
        <v>0</v>
      </c>
      <c r="Z67" s="31">
        <v>0</v>
      </c>
      <c r="AA67" s="31">
        <v>1</v>
      </c>
      <c r="AB67">
        <v>0</v>
      </c>
      <c r="AC67">
        <v>0</v>
      </c>
      <c r="AD67">
        <v>0</v>
      </c>
      <c r="AE67">
        <v>0</v>
      </c>
      <c r="AF67">
        <v>0</v>
      </c>
      <c r="AG67" s="31">
        <v>0</v>
      </c>
      <c r="AH67" s="19">
        <v>0</v>
      </c>
      <c r="AI67" s="19">
        <v>0</v>
      </c>
      <c r="AJ67" s="19">
        <v>0</v>
      </c>
    </row>
    <row r="68" spans="1:36" s="18" customFormat="1">
      <c r="B68" s="18">
        <v>2017</v>
      </c>
      <c r="C68" s="182">
        <f>'Canada EV uptake'!O12</f>
        <v>2017.562179717394</v>
      </c>
      <c r="D68" s="182"/>
      <c r="E68" s="182"/>
      <c r="F68" s="182">
        <f t="shared" si="2"/>
        <v>4.2054052258877803</v>
      </c>
      <c r="G68" s="13">
        <f t="shared" si="3"/>
        <v>4.2547618710907216</v>
      </c>
      <c r="H68" s="177">
        <f t="shared" si="4"/>
        <v>4.1767474292850633</v>
      </c>
      <c r="I68" s="177">
        <f t="shared" si="12"/>
        <v>4.2205236412013019</v>
      </c>
      <c r="J68" s="13">
        <f t="shared" si="13"/>
        <v>4.2033957679205418</v>
      </c>
      <c r="K68" s="13">
        <f t="shared" si="14"/>
        <v>4.1885288037811756</v>
      </c>
      <c r="L68" s="13">
        <f t="shared" si="8"/>
        <v>4.1597378187822667</v>
      </c>
      <c r="M68" s="13">
        <f t="shared" si="9"/>
        <v>4.1707369321788574</v>
      </c>
      <c r="N68" s="13">
        <f t="shared" si="10"/>
        <v>4.2016633054173269</v>
      </c>
      <c r="O68" s="13">
        <f t="shared" si="11"/>
        <v>4.0391165400492799</v>
      </c>
      <c r="P68" s="31"/>
      <c r="Q68" s="31"/>
      <c r="R68" s="31"/>
      <c r="S68" s="31"/>
      <c r="T68" s="31"/>
      <c r="U68" s="31"/>
      <c r="V68" s="177">
        <f>AVERAGE(Canada!J11,Canada!J36)/Canada!G61</f>
        <v>1.2462590724709</v>
      </c>
      <c r="W68" s="177">
        <f>'Country Petrol Prices'!E89</f>
        <v>0.86069830772822509</v>
      </c>
      <c r="X68" s="31">
        <v>0</v>
      </c>
      <c r="Y68" s="31">
        <v>0</v>
      </c>
      <c r="Z68" s="31">
        <v>0</v>
      </c>
      <c r="AA68" s="31">
        <v>1</v>
      </c>
      <c r="AB68" s="18">
        <v>0</v>
      </c>
      <c r="AC68">
        <v>0</v>
      </c>
      <c r="AD68">
        <v>0</v>
      </c>
      <c r="AE68">
        <v>0</v>
      </c>
      <c r="AF68">
        <v>0</v>
      </c>
      <c r="AG68" s="31">
        <v>0</v>
      </c>
      <c r="AH68" s="19">
        <v>0</v>
      </c>
      <c r="AI68" s="19">
        <v>0</v>
      </c>
      <c r="AJ68" s="19">
        <v>0</v>
      </c>
    </row>
    <row r="69" spans="1:36">
      <c r="A69" t="s">
        <v>239</v>
      </c>
      <c r="B69">
        <v>2012</v>
      </c>
      <c r="C69" s="13">
        <f>'China EV uptake'!O7</f>
        <v>2017.417420148292</v>
      </c>
      <c r="G69" s="13">
        <f t="shared" si="3"/>
        <v>1.9181129225033917</v>
      </c>
      <c r="H69" s="177">
        <f t="shared" si="4"/>
        <v>2.0470858828555749</v>
      </c>
      <c r="I69" s="177">
        <f t="shared" si="12"/>
        <v>1.9747259708844358</v>
      </c>
      <c r="J69" s="13">
        <f t="shared" si="13"/>
        <v>2.0031577982786222</v>
      </c>
      <c r="K69" s="13">
        <f t="shared" si="14"/>
        <v>2.0308677128817956</v>
      </c>
      <c r="L69" s="13">
        <f t="shared" si="8"/>
        <v>2.076612465611186</v>
      </c>
      <c r="M69" s="13">
        <f t="shared" si="9"/>
        <v>2.0582239455163638</v>
      </c>
      <c r="N69" s="13">
        <f t="shared" si="10"/>
        <v>2.0051163783297516</v>
      </c>
      <c r="O69" s="13">
        <f t="shared" si="11"/>
        <v>2.2816125728590908</v>
      </c>
      <c r="P69" s="31"/>
      <c r="Q69" s="31"/>
      <c r="R69" s="31"/>
      <c r="S69" s="31"/>
      <c r="T69" s="31"/>
      <c r="U69" s="31"/>
      <c r="V69" s="177">
        <f>AVERAGE(China!K6,China!K31)/China!G56</f>
        <v>1.0960974458178685</v>
      </c>
      <c r="W69" s="177">
        <f>'Country Petrol Prices'!F84</f>
        <v>1.3309959900580419</v>
      </c>
      <c r="X69" s="31">
        <v>0</v>
      </c>
      <c r="Y69" s="31">
        <v>0</v>
      </c>
      <c r="Z69" s="31">
        <v>0</v>
      </c>
      <c r="AA69" s="31">
        <v>0</v>
      </c>
      <c r="AB69">
        <v>1</v>
      </c>
      <c r="AC69">
        <v>0</v>
      </c>
      <c r="AD69">
        <v>0</v>
      </c>
      <c r="AE69">
        <v>0</v>
      </c>
      <c r="AF69">
        <v>0</v>
      </c>
      <c r="AG69" s="31">
        <v>0</v>
      </c>
      <c r="AH69" s="19">
        <v>0</v>
      </c>
      <c r="AI69" s="19">
        <v>0</v>
      </c>
      <c r="AJ69" s="19">
        <v>0</v>
      </c>
    </row>
    <row r="70" spans="1:36">
      <c r="B70">
        <v>2013</v>
      </c>
      <c r="C70" s="13">
        <f>'China EV uptake'!O8</f>
        <v>2016.4622799886668</v>
      </c>
      <c r="G70" s="13">
        <f t="shared" si="3"/>
        <v>2.8627967331839566</v>
      </c>
      <c r="H70" s="177">
        <f t="shared" si="4"/>
        <v>2.9656212930361172</v>
      </c>
      <c r="I70" s="177">
        <f t="shared" si="12"/>
        <v>2.9078288266272483</v>
      </c>
      <c r="J70" s="13">
        <f t="shared" si="13"/>
        <v>2.9293707897205725</v>
      </c>
      <c r="K70" s="13">
        <f t="shared" si="14"/>
        <v>2.9211113614137099</v>
      </c>
      <c r="L70" s="13">
        <f t="shared" si="8"/>
        <v>2.9755322318965467</v>
      </c>
      <c r="M70" s="13">
        <f t="shared" si="9"/>
        <v>2.9628571199407885</v>
      </c>
      <c r="N70" s="13">
        <f t="shared" si="10"/>
        <v>2.9397075276751323</v>
      </c>
      <c r="O70" s="13">
        <f t="shared" si="11"/>
        <v>3.0847997857836589</v>
      </c>
      <c r="P70" s="31"/>
      <c r="Q70" s="31"/>
      <c r="R70" s="31"/>
      <c r="S70" s="31"/>
      <c r="T70" s="31"/>
      <c r="U70" s="31"/>
      <c r="V70" s="177">
        <f>AVERAGE(China!K7,China!K32)/China!G57</f>
        <v>1.0466297147010672</v>
      </c>
      <c r="W70" s="177">
        <f>'Country Petrol Prices'!F85</f>
        <v>1.2862764063345584</v>
      </c>
      <c r="X70" s="31">
        <v>0</v>
      </c>
      <c r="Y70" s="31">
        <v>0</v>
      </c>
      <c r="Z70" s="31">
        <v>0</v>
      </c>
      <c r="AA70" s="31">
        <v>0</v>
      </c>
      <c r="AB70">
        <v>1</v>
      </c>
      <c r="AC70">
        <v>0</v>
      </c>
      <c r="AD70">
        <v>0</v>
      </c>
      <c r="AE70">
        <v>0</v>
      </c>
      <c r="AF70">
        <v>0</v>
      </c>
      <c r="AG70" s="31">
        <v>0</v>
      </c>
      <c r="AH70" s="19">
        <v>0</v>
      </c>
      <c r="AI70" s="19">
        <v>0</v>
      </c>
      <c r="AJ70" s="19">
        <v>0</v>
      </c>
    </row>
    <row r="71" spans="1:36">
      <c r="B71">
        <v>2014</v>
      </c>
      <c r="C71" s="13">
        <f>'China EV uptake'!O9</f>
        <v>2017.6253415948945</v>
      </c>
      <c r="G71" s="13">
        <f t="shared" si="3"/>
        <v>0.57496757735347348</v>
      </c>
      <c r="H71" s="177">
        <f t="shared" si="4"/>
        <v>0.66785431898383107</v>
      </c>
      <c r="I71" s="177">
        <f t="shared" si="12"/>
        <v>0.61594972490117383</v>
      </c>
      <c r="J71" s="13">
        <f t="shared" si="13"/>
        <v>0.63871202306574837</v>
      </c>
      <c r="K71" s="13">
        <f t="shared" si="14"/>
        <v>0.7203045236269241</v>
      </c>
      <c r="L71" s="13">
        <f t="shared" si="8"/>
        <v>0.7167970991438195</v>
      </c>
      <c r="M71" s="13">
        <f t="shared" si="9"/>
        <v>0.69952207940793709</v>
      </c>
      <c r="N71" s="13">
        <f t="shared" si="10"/>
        <v>0.62230234171324517</v>
      </c>
      <c r="O71" s="13">
        <f t="shared" si="11"/>
        <v>0.97444442335159942</v>
      </c>
      <c r="P71" s="31"/>
      <c r="Q71" s="31"/>
      <c r="R71" s="31"/>
      <c r="S71" s="31"/>
      <c r="T71" s="31"/>
      <c r="U71" s="31"/>
      <c r="V71" s="177">
        <f>AVERAGE(China!K8,China!K33)/China!G58</f>
        <v>1.1562671072649344</v>
      </c>
      <c r="W71" s="177">
        <f>'Country Petrol Prices'!F86</f>
        <v>1.2067939875019005</v>
      </c>
      <c r="X71" s="31">
        <v>0</v>
      </c>
      <c r="Y71" s="31">
        <v>0</v>
      </c>
      <c r="Z71" s="31">
        <v>0</v>
      </c>
      <c r="AA71" s="31">
        <v>0</v>
      </c>
      <c r="AB71">
        <v>1</v>
      </c>
      <c r="AC71">
        <v>0</v>
      </c>
      <c r="AD71">
        <v>0</v>
      </c>
      <c r="AE71">
        <v>0</v>
      </c>
      <c r="AF71">
        <v>0</v>
      </c>
      <c r="AG71" s="31">
        <v>0</v>
      </c>
      <c r="AH71" s="19">
        <v>0</v>
      </c>
      <c r="AI71" s="19">
        <v>0</v>
      </c>
      <c r="AJ71" s="19">
        <v>0</v>
      </c>
    </row>
    <row r="72" spans="1:36">
      <c r="B72">
        <v>2015</v>
      </c>
      <c r="C72" s="13">
        <f>'China EV uptake'!O10</f>
        <v>2016.5389416660378</v>
      </c>
      <c r="G72" s="13">
        <f t="shared" si="3"/>
        <v>3.4492621921146762</v>
      </c>
      <c r="H72" s="177">
        <f t="shared" si="4"/>
        <v>3.3663983767205381</v>
      </c>
      <c r="I72" s="177">
        <f t="shared" si="12"/>
        <v>3.4128670044588882</v>
      </c>
      <c r="J72" s="13">
        <f t="shared" si="13"/>
        <v>3.3943608521115345</v>
      </c>
      <c r="K72" s="13">
        <f t="shared" si="14"/>
        <v>3.3701126231390544</v>
      </c>
      <c r="L72" s="13">
        <f t="shared" si="8"/>
        <v>3.3445337573890077</v>
      </c>
      <c r="M72" s="13">
        <f t="shared" si="9"/>
        <v>3.3567697501504492</v>
      </c>
      <c r="N72" s="13">
        <f t="shared" si="10"/>
        <v>3.3949658451978761</v>
      </c>
      <c r="O72" s="13">
        <f t="shared" si="11"/>
        <v>3.2013206275786423</v>
      </c>
      <c r="P72" s="31"/>
      <c r="Q72" s="31"/>
      <c r="R72" s="31"/>
      <c r="S72" s="31"/>
      <c r="T72" s="31"/>
      <c r="U72" s="31"/>
      <c r="V72" s="177">
        <f>AVERAGE(China!K9,China!K34)/China!G59</f>
        <v>0.99241282642051309</v>
      </c>
      <c r="W72" s="177">
        <f>'Country Petrol Prices'!F87</f>
        <v>0.82417999999999991</v>
      </c>
      <c r="X72" s="31">
        <v>0</v>
      </c>
      <c r="Y72" s="31">
        <v>0</v>
      </c>
      <c r="Z72" s="31">
        <v>0</v>
      </c>
      <c r="AA72" s="31">
        <v>0</v>
      </c>
      <c r="AB72">
        <v>1</v>
      </c>
      <c r="AC72">
        <v>0</v>
      </c>
      <c r="AD72">
        <v>0</v>
      </c>
      <c r="AE72">
        <v>0</v>
      </c>
      <c r="AF72">
        <v>0</v>
      </c>
      <c r="AG72" s="31">
        <v>0</v>
      </c>
      <c r="AH72" s="19">
        <v>0</v>
      </c>
      <c r="AI72" s="19">
        <v>0</v>
      </c>
      <c r="AJ72" s="19">
        <v>0</v>
      </c>
    </row>
    <row r="73" spans="1:36">
      <c r="B73">
        <v>2016</v>
      </c>
      <c r="C73" s="13">
        <f>'China EV uptake'!O11</f>
        <v>2016.7044232275296</v>
      </c>
      <c r="G73" s="13">
        <f t="shared" si="3"/>
        <v>3.2717350386055797</v>
      </c>
      <c r="H73" s="177">
        <f t="shared" si="4"/>
        <v>3.1623940214590296</v>
      </c>
      <c r="I73" s="177">
        <f t="shared" si="12"/>
        <v>3.2237638558659714</v>
      </c>
      <c r="J73" s="13">
        <f t="shared" si="13"/>
        <v>3.1999260238866234</v>
      </c>
      <c r="K73" s="13">
        <f t="shared" si="14"/>
        <v>3.1836119217204222</v>
      </c>
      <c r="L73" s="13">
        <f t="shared" si="8"/>
        <v>3.1405851412902202</v>
      </c>
      <c r="M73" s="13">
        <f t="shared" si="9"/>
        <v>3.1557051068085613</v>
      </c>
      <c r="N73" s="13">
        <f t="shared" si="10"/>
        <v>3.1961902902166841</v>
      </c>
      <c r="O73" s="13">
        <f t="shared" si="11"/>
        <v>2.97960050008479</v>
      </c>
      <c r="P73" s="31"/>
      <c r="Q73" s="31"/>
      <c r="R73" s="31"/>
      <c r="S73" s="31"/>
      <c r="T73" s="31"/>
      <c r="U73" s="31"/>
      <c r="V73" s="177">
        <f>AVERAGE(China!K10,China!K35)/China!G60</f>
        <v>0.99735431332190871</v>
      </c>
      <c r="W73" s="177">
        <f>'Country Petrol Prices'!F88</f>
        <v>0.75212473390241319</v>
      </c>
      <c r="X73" s="31">
        <v>0</v>
      </c>
      <c r="Y73" s="31">
        <v>0</v>
      </c>
      <c r="Z73" s="31">
        <v>0</v>
      </c>
      <c r="AA73" s="31">
        <v>0</v>
      </c>
      <c r="AB73">
        <v>1</v>
      </c>
      <c r="AC73">
        <v>0</v>
      </c>
      <c r="AD73">
        <v>0</v>
      </c>
      <c r="AE73">
        <v>0</v>
      </c>
      <c r="AF73">
        <v>0</v>
      </c>
      <c r="AG73" s="31">
        <v>0</v>
      </c>
      <c r="AH73" s="19">
        <v>0</v>
      </c>
      <c r="AI73" s="19">
        <v>0</v>
      </c>
      <c r="AJ73" s="19">
        <v>0</v>
      </c>
    </row>
    <row r="74" spans="1:36" s="18" customFormat="1">
      <c r="B74" s="18">
        <v>2017</v>
      </c>
      <c r="C74" s="182">
        <f>'China EV uptake'!O12</f>
        <v>2016.8726518224853</v>
      </c>
      <c r="D74" s="182"/>
      <c r="E74" s="182"/>
      <c r="F74" s="182"/>
      <c r="G74" s="182">
        <f t="shared" si="3"/>
        <v>3.055218780045875</v>
      </c>
      <c r="H74" s="182">
        <f t="shared" si="4"/>
        <v>2.9353385512568528</v>
      </c>
      <c r="I74" s="182">
        <f t="shared" si="12"/>
        <v>3.0026591554215813</v>
      </c>
      <c r="J74" s="13">
        <f t="shared" si="13"/>
        <v>2.9769105915054532</v>
      </c>
      <c r="K74" s="13">
        <f t="shared" si="14"/>
        <v>2.9694591164564286</v>
      </c>
      <c r="L74" s="13">
        <f t="shared" si="8"/>
        <v>2.916113456174708</v>
      </c>
      <c r="M74" s="13">
        <f t="shared" si="9"/>
        <v>2.9320082583088665</v>
      </c>
      <c r="N74" s="13">
        <f t="shared" si="10"/>
        <v>2.9697977520872652</v>
      </c>
      <c r="O74" s="13">
        <f t="shared" si="11"/>
        <v>2.7582360373058572</v>
      </c>
      <c r="V74" s="182">
        <f>AVERAGE(China!K11,China!K36)/China!G61</f>
        <v>1.0063986657661639</v>
      </c>
      <c r="W74" s="182">
        <f>'Country Petrol Prices'!F89</f>
        <v>0.72</v>
      </c>
      <c r="X74" s="18">
        <v>0</v>
      </c>
      <c r="Y74" s="18">
        <v>0</v>
      </c>
      <c r="Z74" s="18">
        <v>0</v>
      </c>
      <c r="AA74" s="18">
        <v>0</v>
      </c>
      <c r="AB74" s="18">
        <v>1</v>
      </c>
      <c r="AC74" s="18">
        <v>0</v>
      </c>
      <c r="AD74" s="18">
        <v>0</v>
      </c>
      <c r="AE74">
        <v>0</v>
      </c>
      <c r="AF74">
        <v>0</v>
      </c>
      <c r="AG74" s="31">
        <v>0</v>
      </c>
      <c r="AH74" s="19">
        <v>0</v>
      </c>
      <c r="AI74" s="19">
        <v>0</v>
      </c>
      <c r="AJ74" s="19">
        <v>0</v>
      </c>
    </row>
    <row r="75" spans="1:36">
      <c r="A75" t="s">
        <v>541</v>
      </c>
      <c r="B75">
        <v>2012</v>
      </c>
      <c r="C75" s="13">
        <f>'Denmark EV uptake'!U16</f>
        <v>0</v>
      </c>
      <c r="H75" s="177">
        <f t="shared" si="4"/>
        <v>3.253831740163001</v>
      </c>
      <c r="I75" s="177">
        <f t="shared" si="12"/>
        <v>3.7012821873733976</v>
      </c>
      <c r="J75" s="13">
        <f t="shared" si="13"/>
        <v>3.7308870330090169</v>
      </c>
      <c r="K75" s="13">
        <f t="shared" si="14"/>
        <v>3.7207475449830785</v>
      </c>
      <c r="L75" s="13">
        <f t="shared" si="8"/>
        <v>3.7949847424734671</v>
      </c>
      <c r="M75" s="13">
        <f t="shared" si="9"/>
        <v>3.7773915106251597</v>
      </c>
      <c r="N75" s="13">
        <f t="shared" si="10"/>
        <v>3.745121589954195</v>
      </c>
      <c r="O75" s="13">
        <f t="shared" si="11"/>
        <v>3.9438200198845212</v>
      </c>
      <c r="P75" s="31"/>
      <c r="Q75" s="31"/>
      <c r="R75" s="31"/>
      <c r="S75" s="31"/>
      <c r="T75" s="31"/>
      <c r="U75" s="31"/>
      <c r="V75" s="177">
        <f>AVERAGE(Denmark!I6,Denmark!I31)/Denmark!G56</f>
        <v>0.71081602625970686</v>
      </c>
      <c r="W75" s="177">
        <f>'Country Petrol Prices'!G84</f>
        <v>2.3366383063651321</v>
      </c>
      <c r="X75" s="31">
        <v>0</v>
      </c>
      <c r="Y75" s="31">
        <v>0</v>
      </c>
      <c r="Z75" s="31">
        <v>0</v>
      </c>
      <c r="AA75" s="31">
        <v>0</v>
      </c>
      <c r="AB75" s="19">
        <v>0</v>
      </c>
      <c r="AC75">
        <v>1</v>
      </c>
      <c r="AD75">
        <v>0</v>
      </c>
      <c r="AE75">
        <v>0</v>
      </c>
      <c r="AF75">
        <v>0</v>
      </c>
      <c r="AG75" s="31">
        <v>0</v>
      </c>
      <c r="AH75" s="19">
        <v>0</v>
      </c>
      <c r="AI75" s="19">
        <v>0</v>
      </c>
      <c r="AJ75" s="19">
        <v>0</v>
      </c>
    </row>
    <row r="76" spans="1:36">
      <c r="B76">
        <v>2013</v>
      </c>
      <c r="C76" s="13">
        <f>'Denmark EV uptake'!U17</f>
        <v>0</v>
      </c>
      <c r="H76" s="177">
        <f t="shared" si="4"/>
        <v>2.9901046562959248</v>
      </c>
      <c r="I76" s="177">
        <f t="shared" si="12"/>
        <v>3.4360522311274497</v>
      </c>
      <c r="J76" s="13">
        <f t="shared" si="13"/>
        <v>3.4666214255963794</v>
      </c>
      <c r="K76" s="13">
        <f t="shared" si="14"/>
        <v>3.4668012825289214</v>
      </c>
      <c r="L76" s="13">
        <f t="shared" si="8"/>
        <v>3.5362541912382373</v>
      </c>
      <c r="M76" s="13">
        <f t="shared" si="9"/>
        <v>3.5176341362394226</v>
      </c>
      <c r="N76" s="13">
        <f t="shared" si="10"/>
        <v>3.4780840566377336</v>
      </c>
      <c r="O76" s="13">
        <f t="shared" si="11"/>
        <v>3.7068087005279153</v>
      </c>
      <c r="P76" s="31"/>
      <c r="Q76" s="31"/>
      <c r="R76" s="31"/>
      <c r="S76" s="31"/>
      <c r="T76" s="31"/>
      <c r="U76" s="31"/>
      <c r="V76" s="177">
        <f>AVERAGE(Denmark!I7,Denmark!I32)/Denmark!G57</f>
        <v>0.72412587463767608</v>
      </c>
      <c r="W76" s="177">
        <f>'Country Petrol Prices'!G85</f>
        <v>2.3373643972157425</v>
      </c>
      <c r="X76" s="31">
        <v>0</v>
      </c>
      <c r="Y76" s="31">
        <v>0</v>
      </c>
      <c r="Z76" s="31">
        <v>0</v>
      </c>
      <c r="AA76" s="31">
        <v>0</v>
      </c>
      <c r="AB76" s="19">
        <v>0</v>
      </c>
      <c r="AC76">
        <v>1</v>
      </c>
      <c r="AD76">
        <v>0</v>
      </c>
      <c r="AE76">
        <v>0</v>
      </c>
      <c r="AF76">
        <v>0</v>
      </c>
      <c r="AG76" s="31">
        <v>0</v>
      </c>
      <c r="AH76" s="19">
        <v>0</v>
      </c>
      <c r="AI76" s="19">
        <v>0</v>
      </c>
      <c r="AJ76" s="19">
        <v>0</v>
      </c>
    </row>
    <row r="77" spans="1:36">
      <c r="B77">
        <v>2014</v>
      </c>
      <c r="C77" s="13">
        <f>'Denmark EV uptake'!U18</f>
        <v>0</v>
      </c>
      <c r="H77" s="177">
        <f t="shared" si="4"/>
        <v>3.3379558081052068</v>
      </c>
      <c r="I77" s="177">
        <f t="shared" si="12"/>
        <v>3.7310657297447545</v>
      </c>
      <c r="J77" s="13">
        <f t="shared" si="13"/>
        <v>3.7529021580254494</v>
      </c>
      <c r="K77" s="13">
        <f t="shared" si="14"/>
        <v>3.7711354389225882</v>
      </c>
      <c r="L77" s="13">
        <f t="shared" si="8"/>
        <v>3.8123856721142495</v>
      </c>
      <c r="M77" s="13">
        <f t="shared" si="9"/>
        <v>3.796530805720792</v>
      </c>
      <c r="N77" s="13">
        <f t="shared" si="10"/>
        <v>3.7613718674775587</v>
      </c>
      <c r="O77" s="13">
        <f t="shared" si="11"/>
        <v>3.9155745815296168</v>
      </c>
      <c r="P77" s="31"/>
      <c r="Q77" s="31"/>
      <c r="R77" s="31"/>
      <c r="S77" s="31"/>
      <c r="T77" s="31"/>
      <c r="U77" s="31"/>
      <c r="V77" s="177">
        <f>AVERAGE(Denmark!I8,Denmark!I33)/Denmark!G58</f>
        <v>0.77810114160882993</v>
      </c>
      <c r="W77" s="177">
        <f>'Country Petrol Prices'!G86</f>
        <v>2.2421325911611842</v>
      </c>
      <c r="X77" s="31">
        <v>0</v>
      </c>
      <c r="Y77" s="31">
        <v>0</v>
      </c>
      <c r="Z77" s="31">
        <v>0</v>
      </c>
      <c r="AA77" s="31">
        <v>0</v>
      </c>
      <c r="AB77" s="19">
        <v>0</v>
      </c>
      <c r="AC77">
        <v>0.85</v>
      </c>
      <c r="AD77">
        <v>0</v>
      </c>
      <c r="AE77">
        <v>0</v>
      </c>
      <c r="AF77">
        <v>0</v>
      </c>
      <c r="AG77" s="31">
        <v>0</v>
      </c>
      <c r="AH77" s="19">
        <v>0</v>
      </c>
      <c r="AI77" s="19">
        <v>0</v>
      </c>
      <c r="AJ77" s="19">
        <v>0</v>
      </c>
    </row>
    <row r="78" spans="1:36">
      <c r="B78">
        <v>2015</v>
      </c>
      <c r="C78" s="13">
        <f>'Denmark EV uptake'!U19</f>
        <v>0</v>
      </c>
      <c r="H78" s="177">
        <f t="shared" si="4"/>
        <v>5.3214425399321268</v>
      </c>
      <c r="I78" s="177">
        <f t="shared" si="12"/>
        <v>5.8175127133208431</v>
      </c>
      <c r="J78" s="13">
        <f t="shared" si="13"/>
        <v>5.7880176514589046</v>
      </c>
      <c r="K78" s="13">
        <f t="shared" si="14"/>
        <v>5.7388633641740592</v>
      </c>
      <c r="L78" s="13">
        <f t="shared" si="8"/>
        <v>5.7105152903154508</v>
      </c>
      <c r="M78" s="13">
        <f t="shared" si="9"/>
        <v>5.7280252248037407</v>
      </c>
      <c r="N78" s="13">
        <f t="shared" si="10"/>
        <v>5.8000869630608722</v>
      </c>
      <c r="O78" s="13">
        <f t="shared" si="11"/>
        <v>5.4008564937921557</v>
      </c>
      <c r="P78" s="31"/>
      <c r="Q78" s="31"/>
      <c r="R78" s="31"/>
      <c r="S78" s="31"/>
      <c r="T78" s="31"/>
      <c r="U78" s="31"/>
      <c r="V78" s="177">
        <f>AVERAGE(Denmark!I9,Denmark!I34)/Denmark!G59</f>
        <v>0.66520028992021507</v>
      </c>
      <c r="W78" s="177">
        <f>'Country Petrol Prices'!G87</f>
        <v>1.7083009325255996</v>
      </c>
      <c r="X78" s="31">
        <v>0</v>
      </c>
      <c r="Y78" s="31">
        <v>0</v>
      </c>
      <c r="Z78" s="31">
        <v>0</v>
      </c>
      <c r="AA78" s="31">
        <v>0</v>
      </c>
      <c r="AB78" s="19">
        <v>0</v>
      </c>
      <c r="AC78">
        <v>0.8</v>
      </c>
      <c r="AD78">
        <v>0</v>
      </c>
      <c r="AE78">
        <v>0</v>
      </c>
      <c r="AF78">
        <v>0</v>
      </c>
      <c r="AG78" s="31">
        <v>0</v>
      </c>
      <c r="AH78" s="19">
        <v>0</v>
      </c>
      <c r="AI78" s="19">
        <v>0</v>
      </c>
      <c r="AJ78" s="19">
        <v>0</v>
      </c>
    </row>
    <row r="79" spans="1:36">
      <c r="B79">
        <v>2016</v>
      </c>
      <c r="C79" s="13">
        <f>'Denmark EV uptake'!U20</f>
        <v>0</v>
      </c>
      <c r="H79" s="177">
        <f t="shared" si="4"/>
        <v>-2.3890769273881958</v>
      </c>
      <c r="I79" s="177">
        <f t="shared" si="12"/>
        <v>-1.7530030245863397</v>
      </c>
      <c r="J79" s="13">
        <f t="shared" si="13"/>
        <v>-1.7674942584852662</v>
      </c>
      <c r="K79" s="13">
        <f t="shared" si="14"/>
        <v>-1.57849703980777</v>
      </c>
      <c r="L79" s="13">
        <f t="shared" si="8"/>
        <v>-1.7412831228234449</v>
      </c>
      <c r="M79" s="13">
        <f t="shared" si="9"/>
        <v>-1.7396019556971538</v>
      </c>
      <c r="N79" s="13">
        <f t="shared" si="10"/>
        <v>-1.8333289650385876</v>
      </c>
      <c r="O79" s="13">
        <f t="shared" si="11"/>
        <v>-1.4984201588760886</v>
      </c>
      <c r="P79" s="31"/>
      <c r="Q79" s="31"/>
      <c r="R79" s="31"/>
      <c r="S79" s="31"/>
      <c r="T79" s="31"/>
      <c r="U79" s="31"/>
      <c r="V79" s="177">
        <f>AVERAGE(Denmark!I10,Denmark!I35)/Denmark!G60</f>
        <v>0.88650923670330362</v>
      </c>
      <c r="W79" s="177">
        <f>'Country Petrol Prices'!G88</f>
        <v>1.5821874360007044</v>
      </c>
      <c r="X79" s="31">
        <v>0</v>
      </c>
      <c r="Y79" s="31">
        <v>0</v>
      </c>
      <c r="Z79" s="31">
        <v>0</v>
      </c>
      <c r="AA79" s="31">
        <v>0</v>
      </c>
      <c r="AB79" s="19">
        <v>0</v>
      </c>
      <c r="AC79">
        <v>1.1000000000000001</v>
      </c>
      <c r="AD79">
        <v>0</v>
      </c>
      <c r="AE79">
        <v>0</v>
      </c>
      <c r="AF79">
        <v>0</v>
      </c>
      <c r="AG79" s="31">
        <v>0</v>
      </c>
      <c r="AH79" s="19">
        <v>0</v>
      </c>
      <c r="AI79" s="19">
        <v>0</v>
      </c>
      <c r="AJ79" s="19">
        <v>0</v>
      </c>
    </row>
    <row r="80" spans="1:36" s="18" customFormat="1">
      <c r="B80" s="18">
        <v>2017</v>
      </c>
      <c r="C80" s="182">
        <f>'Denmark EV uptake'!U21</f>
        <v>0</v>
      </c>
      <c r="D80" s="182"/>
      <c r="E80" s="182"/>
      <c r="F80" s="182"/>
      <c r="G80" s="182"/>
      <c r="H80" s="182">
        <f t="shared" si="4"/>
        <v>-6.0262561993777197</v>
      </c>
      <c r="I80" s="182">
        <f t="shared" si="12"/>
        <v>-5.3815549542797045</v>
      </c>
      <c r="J80" s="13">
        <f t="shared" si="13"/>
        <v>-5.3750513052556217</v>
      </c>
      <c r="K80" s="13">
        <f t="shared" si="14"/>
        <v>-5.0648233328275589</v>
      </c>
      <c r="L80" s="13">
        <f t="shared" si="8"/>
        <v>-5.2644278031605154</v>
      </c>
      <c r="M80" s="13">
        <f t="shared" si="9"/>
        <v>-5.2794954977130715</v>
      </c>
      <c r="N80" s="13">
        <f t="shared" si="10"/>
        <v>-5.4736987159502997</v>
      </c>
      <c r="O80" s="13">
        <f t="shared" si="11"/>
        <v>-4.6807332869925373</v>
      </c>
      <c r="V80" s="182">
        <f>AVERAGE(Denmark!I11,Denmark!I36)/Denmark!G61</f>
        <v>1.0247815712065862</v>
      </c>
      <c r="W80" s="182">
        <f>'Country Petrol Prices'!G89</f>
        <v>1.6875646198514307</v>
      </c>
      <c r="X80" s="18">
        <v>0</v>
      </c>
      <c r="Y80" s="18">
        <v>0</v>
      </c>
      <c r="Z80" s="18">
        <v>0</v>
      </c>
      <c r="AA80" s="18">
        <v>0</v>
      </c>
      <c r="AB80" s="27">
        <v>0</v>
      </c>
      <c r="AC80" s="18">
        <v>1.2</v>
      </c>
      <c r="AD80" s="18">
        <v>0</v>
      </c>
      <c r="AE80">
        <v>0</v>
      </c>
      <c r="AF80">
        <v>0</v>
      </c>
      <c r="AG80" s="31">
        <v>0</v>
      </c>
      <c r="AH80" s="19">
        <v>0</v>
      </c>
      <c r="AI80" s="19">
        <v>0</v>
      </c>
      <c r="AJ80" s="19">
        <v>0</v>
      </c>
    </row>
    <row r="81" spans="1:36">
      <c r="A81" t="s">
        <v>542</v>
      </c>
      <c r="B81">
        <v>2012</v>
      </c>
      <c r="C81" s="13">
        <f>'Finland EV uptake'!O7</f>
        <v>2016.6008082526105</v>
      </c>
      <c r="H81" s="177"/>
      <c r="I81" s="177">
        <f t="shared" si="12"/>
        <v>1.4121469326700327</v>
      </c>
      <c r="J81" s="13">
        <f t="shared" si="13"/>
        <v>1.4313673029376028</v>
      </c>
      <c r="K81" s="13">
        <f t="shared" si="14"/>
        <v>1.3091549039622121</v>
      </c>
      <c r="L81" s="13">
        <f t="shared" si="8"/>
        <v>1.4170404503958913</v>
      </c>
      <c r="M81" s="13">
        <f t="shared" si="9"/>
        <v>1.4190451607946204</v>
      </c>
      <c r="N81" s="13">
        <f t="shared" si="10"/>
        <v>1.4481681812973193</v>
      </c>
      <c r="O81" s="13">
        <f t="shared" si="11"/>
        <v>1.5561453202410203</v>
      </c>
      <c r="P81" s="31"/>
      <c r="Q81" s="31"/>
      <c r="R81" s="31"/>
      <c r="S81" s="31"/>
      <c r="T81" s="31"/>
      <c r="U81" s="31"/>
      <c r="V81" s="177">
        <f>AVERAGE(Finland!J6,Finland!J31)/Finland!G56</f>
        <v>1.1629089057475723</v>
      </c>
      <c r="W81" s="177">
        <f>'Country Petrol Prices'!H84</f>
        <v>2.2960111979052882</v>
      </c>
      <c r="X81" s="19">
        <v>0</v>
      </c>
      <c r="Y81" s="19">
        <v>0</v>
      </c>
      <c r="Z81" s="19">
        <v>0</v>
      </c>
      <c r="AA81" s="19">
        <v>0</v>
      </c>
      <c r="AB81" s="19">
        <v>0</v>
      </c>
      <c r="AC81" s="19">
        <v>0</v>
      </c>
      <c r="AD81">
        <v>3</v>
      </c>
      <c r="AE81">
        <v>0</v>
      </c>
      <c r="AF81">
        <v>0</v>
      </c>
      <c r="AG81" s="31">
        <v>0</v>
      </c>
      <c r="AH81" s="19">
        <v>0</v>
      </c>
      <c r="AI81" s="19">
        <v>0</v>
      </c>
      <c r="AJ81" s="19">
        <v>0</v>
      </c>
    </row>
    <row r="82" spans="1:36">
      <c r="B82">
        <v>2013</v>
      </c>
      <c r="C82" s="13">
        <f>'Finland EV uptake'!O8</f>
        <v>2016.7279901164497</v>
      </c>
      <c r="H82" s="177"/>
      <c r="I82" s="177">
        <f t="shared" si="12"/>
        <v>3.2383533327110978</v>
      </c>
      <c r="J82" s="13">
        <f t="shared" si="13"/>
        <v>3.2615288914362708</v>
      </c>
      <c r="K82" s="13">
        <f t="shared" si="14"/>
        <v>3.3305246592069189</v>
      </c>
      <c r="L82" s="13">
        <f t="shared" si="8"/>
        <v>3.3474115603666581</v>
      </c>
      <c r="M82" s="13">
        <f t="shared" si="9"/>
        <v>3.3254011970918458</v>
      </c>
      <c r="N82" s="13">
        <f t="shared" si="10"/>
        <v>3.265386453960426</v>
      </c>
      <c r="O82" s="13">
        <f t="shared" si="11"/>
        <v>3.454127671222845</v>
      </c>
      <c r="P82" s="31"/>
      <c r="Q82" s="31"/>
      <c r="R82" s="31"/>
      <c r="S82" s="31"/>
      <c r="T82" s="31"/>
      <c r="U82" s="31"/>
      <c r="V82" s="177">
        <f>AVERAGE(Finland!J7,Finland!J32)/Finland!G57</f>
        <v>1.1764472661801539</v>
      </c>
      <c r="W82" s="177">
        <f>'Country Petrol Prices'!H85</f>
        <v>2.2904603878689622</v>
      </c>
      <c r="X82" s="19">
        <v>0</v>
      </c>
      <c r="Y82" s="19">
        <v>0</v>
      </c>
      <c r="Z82" s="19">
        <v>0</v>
      </c>
      <c r="AA82" s="19">
        <v>0</v>
      </c>
      <c r="AB82" s="19">
        <v>0</v>
      </c>
      <c r="AC82" s="19">
        <v>0</v>
      </c>
      <c r="AD82">
        <v>1</v>
      </c>
      <c r="AE82">
        <v>0</v>
      </c>
      <c r="AF82">
        <v>0</v>
      </c>
      <c r="AG82" s="31">
        <v>0</v>
      </c>
      <c r="AH82" s="19">
        <v>0</v>
      </c>
      <c r="AI82" s="19">
        <v>0</v>
      </c>
      <c r="AJ82" s="19">
        <v>0</v>
      </c>
    </row>
    <row r="83" spans="1:36">
      <c r="B83">
        <v>2014</v>
      </c>
      <c r="C83" s="13">
        <f>'Finland EV uptake'!O9</f>
        <v>2017.5663798375936</v>
      </c>
      <c r="H83" s="177"/>
      <c r="I83" s="177">
        <f t="shared" si="12"/>
        <v>1.4076438593642713</v>
      </c>
      <c r="J83" s="13">
        <f t="shared" si="13"/>
        <v>1.4286395263382712</v>
      </c>
      <c r="K83" s="13">
        <f t="shared" si="14"/>
        <v>1.5697095338104903</v>
      </c>
      <c r="L83" s="13">
        <f t="shared" si="8"/>
        <v>1.532967741379794</v>
      </c>
      <c r="M83" s="13">
        <f t="shared" si="9"/>
        <v>1.5091782375340679</v>
      </c>
      <c r="N83" s="13">
        <f t="shared" si="10"/>
        <v>1.4098933774349682</v>
      </c>
      <c r="O83" s="13">
        <f t="shared" si="11"/>
        <v>1.7407769401877029</v>
      </c>
      <c r="P83" s="31"/>
      <c r="Q83" s="31"/>
      <c r="R83" s="31"/>
      <c r="S83" s="31"/>
      <c r="T83" s="31"/>
      <c r="U83" s="31"/>
      <c r="V83" s="177">
        <f>AVERAGE(Finland!J8,Finland!J33)/Finland!G58</f>
        <v>1.2616398582860264</v>
      </c>
      <c r="W83" s="177">
        <f>'Country Petrol Prices'!H86</f>
        <v>2.1889359908497772</v>
      </c>
      <c r="X83" s="19">
        <v>0</v>
      </c>
      <c r="Y83" s="19">
        <v>0</v>
      </c>
      <c r="Z83" s="19">
        <v>0</v>
      </c>
      <c r="AA83" s="19">
        <v>0</v>
      </c>
      <c r="AB83" s="19">
        <v>0</v>
      </c>
      <c r="AC83" s="19">
        <v>0</v>
      </c>
      <c r="AD83">
        <v>1</v>
      </c>
      <c r="AE83">
        <v>0</v>
      </c>
      <c r="AF83">
        <v>0</v>
      </c>
      <c r="AG83" s="31">
        <v>0</v>
      </c>
      <c r="AH83" s="19">
        <v>0</v>
      </c>
      <c r="AI83" s="19">
        <v>0</v>
      </c>
      <c r="AJ83" s="19">
        <v>0</v>
      </c>
    </row>
    <row r="84" spans="1:36">
      <c r="B84">
        <v>2015</v>
      </c>
      <c r="C84" s="13">
        <f>'Finland EV uptake'!O10</f>
        <v>2016.7405539582485</v>
      </c>
      <c r="H84" s="177"/>
      <c r="I84" s="177">
        <f t="shared" si="12"/>
        <v>3.4660218818850241</v>
      </c>
      <c r="J84" s="13">
        <f t="shared" si="13"/>
        <v>3.4369196397283472</v>
      </c>
      <c r="K84" s="13">
        <f t="shared" si="14"/>
        <v>3.5019865258888974</v>
      </c>
      <c r="L84" s="13">
        <f t="shared" si="8"/>
        <v>3.4029991016392804</v>
      </c>
      <c r="M84" s="13">
        <f t="shared" si="9"/>
        <v>3.4127788920522284</v>
      </c>
      <c r="N84" s="13">
        <f t="shared" si="10"/>
        <v>3.4229466014298211</v>
      </c>
      <c r="O84" s="13">
        <f t="shared" si="11"/>
        <v>3.206805740455783</v>
      </c>
      <c r="P84" s="31"/>
      <c r="Q84" s="31"/>
      <c r="R84" s="31"/>
      <c r="S84" s="31"/>
      <c r="T84" s="31"/>
      <c r="U84" s="31"/>
      <c r="V84" s="177">
        <f>AVERAGE(Finland!J9,Finland!J34)/Finland!G59</f>
        <v>1.1261466457206428</v>
      </c>
      <c r="W84" s="177">
        <f>'Country Petrol Prices'!H87</f>
        <v>1.6695128863871047</v>
      </c>
      <c r="X84" s="19">
        <v>0</v>
      </c>
      <c r="Y84" s="19">
        <v>0</v>
      </c>
      <c r="Z84" s="19">
        <v>0</v>
      </c>
      <c r="AA84" s="19">
        <v>0</v>
      </c>
      <c r="AB84" s="19">
        <v>0</v>
      </c>
      <c r="AC84" s="19">
        <v>0</v>
      </c>
      <c r="AD84">
        <v>1</v>
      </c>
      <c r="AE84">
        <v>0</v>
      </c>
      <c r="AF84">
        <v>0</v>
      </c>
      <c r="AG84" s="31">
        <v>0</v>
      </c>
      <c r="AH84" s="19">
        <v>0</v>
      </c>
      <c r="AI84" s="19">
        <v>0</v>
      </c>
      <c r="AJ84" s="19">
        <v>0</v>
      </c>
    </row>
    <row r="85" spans="1:36">
      <c r="B85">
        <v>2016</v>
      </c>
      <c r="C85" s="13">
        <f>'Finland EV uptake'!O11</f>
        <v>2016.8216684689783</v>
      </c>
      <c r="H85" s="177"/>
      <c r="I85" s="177">
        <f t="shared" si="12"/>
        <v>3.3434619190792398</v>
      </c>
      <c r="J85" s="13">
        <f t="shared" si="13"/>
        <v>3.3045077762491006</v>
      </c>
      <c r="K85" s="13">
        <f t="shared" si="14"/>
        <v>3.375329653544294</v>
      </c>
      <c r="L85" s="13">
        <f t="shared" si="8"/>
        <v>3.2501177282008671</v>
      </c>
      <c r="M85" s="13">
        <f t="shared" si="9"/>
        <v>3.2656092967000601</v>
      </c>
      <c r="N85" s="13">
        <f t="shared" si="10"/>
        <v>3.2852089152843025</v>
      </c>
      <c r="O85" s="13">
        <f t="shared" si="11"/>
        <v>3.007065875384483</v>
      </c>
      <c r="P85" s="31"/>
      <c r="Q85" s="31"/>
      <c r="R85" s="31"/>
      <c r="S85" s="31"/>
      <c r="T85" s="31"/>
      <c r="U85" s="31"/>
      <c r="V85" s="177">
        <f>AVERAGE(Finland!J10,Finland!J35)/Finland!G60</f>
        <v>1.1245161722736696</v>
      </c>
      <c r="W85" s="177">
        <f>'Country Petrol Prices'!H88</f>
        <v>1.5456929891630606</v>
      </c>
      <c r="X85" s="19">
        <v>0</v>
      </c>
      <c r="Y85" s="19">
        <v>0</v>
      </c>
      <c r="Z85" s="19">
        <v>0</v>
      </c>
      <c r="AA85" s="19">
        <v>0</v>
      </c>
      <c r="AB85" s="19">
        <v>0</v>
      </c>
      <c r="AC85" s="19">
        <v>0</v>
      </c>
      <c r="AD85">
        <v>1</v>
      </c>
      <c r="AE85">
        <v>0</v>
      </c>
      <c r="AF85">
        <v>0</v>
      </c>
      <c r="AG85" s="31">
        <v>0</v>
      </c>
      <c r="AH85" s="19">
        <v>0</v>
      </c>
      <c r="AI85" s="19">
        <v>0</v>
      </c>
      <c r="AJ85" s="19">
        <v>0</v>
      </c>
    </row>
    <row r="86" spans="1:36" s="18" customFormat="1">
      <c r="B86" s="18">
        <v>2017</v>
      </c>
      <c r="C86" s="182">
        <f>'Finland EV uptake'!O12</f>
        <v>2016.7328213196818</v>
      </c>
      <c r="D86" s="182"/>
      <c r="E86" s="182"/>
      <c r="F86" s="182"/>
      <c r="G86" s="182"/>
      <c r="H86" s="182"/>
      <c r="I86" s="182">
        <f t="shared" si="12"/>
        <v>3.4894459091605281</v>
      </c>
      <c r="J86" s="13">
        <f t="shared" si="13"/>
        <v>3.4594831961271959</v>
      </c>
      <c r="K86" s="13">
        <f t="shared" si="14"/>
        <v>3.5237129960968847</v>
      </c>
      <c r="L86" s="13">
        <f t="shared" si="8"/>
        <v>3.4233400985944531</v>
      </c>
      <c r="M86" s="13">
        <f t="shared" si="9"/>
        <v>3.4336763396451322</v>
      </c>
      <c r="N86" s="13">
        <f t="shared" si="10"/>
        <v>3.4454504177155867</v>
      </c>
      <c r="O86" s="13">
        <f t="shared" si="11"/>
        <v>3.2209449605260678</v>
      </c>
      <c r="V86" s="182">
        <f>AVERAGE(Finland!J11,Finland!J36)/Finland!G61</f>
        <v>1.1243853540831028</v>
      </c>
      <c r="W86" s="182">
        <f>'Country Petrol Prices'!H89</f>
        <v>1.660101057079336</v>
      </c>
      <c r="X86" s="27">
        <v>0</v>
      </c>
      <c r="Y86" s="27">
        <v>0</v>
      </c>
      <c r="Z86" s="27">
        <v>0</v>
      </c>
      <c r="AA86" s="27">
        <v>0</v>
      </c>
      <c r="AB86" s="27">
        <v>0</v>
      </c>
      <c r="AC86" s="27">
        <v>0</v>
      </c>
      <c r="AD86" s="18">
        <v>1</v>
      </c>
      <c r="AE86">
        <v>0</v>
      </c>
      <c r="AF86">
        <v>0</v>
      </c>
      <c r="AG86" s="31">
        <v>0</v>
      </c>
      <c r="AH86" s="19">
        <v>0</v>
      </c>
      <c r="AI86" s="19">
        <v>0</v>
      </c>
      <c r="AJ86" s="19">
        <v>0</v>
      </c>
    </row>
    <row r="87" spans="1:36">
      <c r="A87" t="s">
        <v>240</v>
      </c>
      <c r="B87">
        <v>2012</v>
      </c>
      <c r="C87" s="13">
        <f>'France EV uptake'!O7</f>
        <v>2017.1419061939387</v>
      </c>
      <c r="I87" s="182"/>
      <c r="J87" s="13">
        <f t="shared" si="13"/>
        <v>4.3858823132453129</v>
      </c>
      <c r="K87" s="13">
        <f t="shared" si="14"/>
        <v>4.3757273132020442</v>
      </c>
      <c r="L87" s="13">
        <f t="shared" si="8"/>
        <v>4.4447179054055601</v>
      </c>
      <c r="M87" s="13">
        <f t="shared" si="9"/>
        <v>4.4285789194643099</v>
      </c>
      <c r="N87" s="13">
        <f t="shared" si="10"/>
        <v>4.3989251254124362</v>
      </c>
      <c r="O87" s="13">
        <f t="shared" si="11"/>
        <v>4.5842696670676704</v>
      </c>
      <c r="V87" s="13">
        <f>AVERAGE(France!H6,France!H31)/France!E56</f>
        <v>1.2222469154296247</v>
      </c>
      <c r="W87" s="13">
        <f>'Country Petrol Prices'!I84</f>
        <v>2.152650868104923</v>
      </c>
      <c r="X87" s="19">
        <v>0</v>
      </c>
      <c r="Y87" s="19">
        <v>0</v>
      </c>
      <c r="Z87" s="19">
        <v>0</v>
      </c>
      <c r="AA87" s="19">
        <v>0</v>
      </c>
      <c r="AB87" s="19">
        <v>0</v>
      </c>
      <c r="AC87" s="19">
        <v>0</v>
      </c>
      <c r="AD87" s="19">
        <v>0</v>
      </c>
      <c r="AE87" s="19">
        <v>1</v>
      </c>
      <c r="AF87">
        <v>0</v>
      </c>
      <c r="AG87" s="31">
        <v>0</v>
      </c>
      <c r="AH87" s="19">
        <v>0</v>
      </c>
      <c r="AI87" s="19">
        <v>0</v>
      </c>
      <c r="AJ87" s="19">
        <v>0</v>
      </c>
    </row>
    <row r="88" spans="1:36">
      <c r="B88">
        <v>2013</v>
      </c>
      <c r="C88" s="13">
        <f>'France EV uptake'!O8</f>
        <v>2016.3410074258666</v>
      </c>
      <c r="I88" s="182"/>
      <c r="J88" s="13">
        <f t="shared" si="13"/>
        <v>5.096502274652992</v>
      </c>
      <c r="K88" s="13">
        <f t="shared" si="14"/>
        <v>5.0586317425586111</v>
      </c>
      <c r="L88" s="13">
        <f t="shared" si="8"/>
        <v>5.1391189120414245</v>
      </c>
      <c r="M88" s="13">
        <f t="shared" si="9"/>
        <v>5.1260987053995155</v>
      </c>
      <c r="N88" s="13">
        <f t="shared" si="10"/>
        <v>5.1167727750241925</v>
      </c>
      <c r="O88" s="13">
        <f t="shared" si="11"/>
        <v>5.2169504279609598</v>
      </c>
      <c r="V88" s="13">
        <f>AVERAGE(France!H7,France!H32)/France!E57</f>
        <v>1.1859795527769605</v>
      </c>
      <c r="W88" s="13">
        <f>'Country Petrol Prices'!I85</f>
        <v>2.143565733228745</v>
      </c>
      <c r="X88" s="19">
        <v>0</v>
      </c>
      <c r="Y88" s="19">
        <v>0</v>
      </c>
      <c r="Z88" s="19">
        <v>0</v>
      </c>
      <c r="AA88" s="19">
        <v>0</v>
      </c>
      <c r="AB88" s="19">
        <v>0</v>
      </c>
      <c r="AC88" s="19">
        <v>0</v>
      </c>
      <c r="AD88" s="19">
        <v>0</v>
      </c>
      <c r="AE88" s="19">
        <v>1</v>
      </c>
      <c r="AF88">
        <v>0</v>
      </c>
      <c r="AG88" s="31">
        <v>0</v>
      </c>
      <c r="AH88" s="19">
        <v>0</v>
      </c>
      <c r="AI88" s="19">
        <v>0</v>
      </c>
      <c r="AJ88" s="19">
        <v>0</v>
      </c>
    </row>
    <row r="89" spans="1:36">
      <c r="B89">
        <v>2014</v>
      </c>
      <c r="C89" s="13">
        <f>'France EV uptake'!O9</f>
        <v>2017.7298303682742</v>
      </c>
      <c r="I89" s="182"/>
      <c r="J89" s="13">
        <f t="shared" si="13"/>
        <v>2.5052554375787919</v>
      </c>
      <c r="K89" s="13">
        <f t="shared" si="14"/>
        <v>2.5691305504844744</v>
      </c>
      <c r="L89" s="13">
        <f t="shared" si="8"/>
        <v>2.5798868991118686</v>
      </c>
      <c r="M89" s="13">
        <f t="shared" si="9"/>
        <v>2.5627609195211472</v>
      </c>
      <c r="N89" s="13">
        <f t="shared" si="10"/>
        <v>2.4945756439977158</v>
      </c>
      <c r="O89" s="13">
        <f t="shared" si="11"/>
        <v>2.8153887988934954</v>
      </c>
      <c r="V89" s="13">
        <f>AVERAGE(France!H8,France!H33)/France!E58</f>
        <v>1.3085406673497813</v>
      </c>
      <c r="W89" s="13">
        <f>'Country Petrol Prices'!I86</f>
        <v>2.0317586081027579</v>
      </c>
      <c r="X89" s="19">
        <v>0</v>
      </c>
      <c r="Y89" s="19">
        <v>0</v>
      </c>
      <c r="Z89" s="19">
        <v>0</v>
      </c>
      <c r="AA89" s="19">
        <v>0</v>
      </c>
      <c r="AB89" s="19">
        <v>0</v>
      </c>
      <c r="AC89" s="19">
        <v>0</v>
      </c>
      <c r="AD89" s="19">
        <v>0</v>
      </c>
      <c r="AE89" s="19">
        <v>1</v>
      </c>
      <c r="AF89">
        <v>0</v>
      </c>
      <c r="AG89" s="31">
        <v>0</v>
      </c>
      <c r="AH89" s="19">
        <v>0</v>
      </c>
      <c r="AI89" s="19">
        <v>0</v>
      </c>
      <c r="AJ89" s="19">
        <v>0</v>
      </c>
    </row>
    <row r="90" spans="1:36">
      <c r="B90">
        <v>2015</v>
      </c>
      <c r="C90" s="13">
        <f>'France EV uptake'!O10</f>
        <v>2016.8802226471998</v>
      </c>
      <c r="I90" s="182"/>
      <c r="J90" s="13">
        <f t="shared" si="13"/>
        <v>4.4774112917062086</v>
      </c>
      <c r="K90" s="13">
        <f t="shared" si="14"/>
        <v>4.4665525352579047</v>
      </c>
      <c r="L90" s="13">
        <f t="shared" si="8"/>
        <v>4.4201729882930678</v>
      </c>
      <c r="M90" s="13">
        <f t="shared" si="9"/>
        <v>4.434969827864454</v>
      </c>
      <c r="N90" s="13">
        <f t="shared" si="10"/>
        <v>4.4720780241891838</v>
      </c>
      <c r="O90" s="13">
        <f t="shared" si="11"/>
        <v>4.2686086129282641</v>
      </c>
      <c r="V90" s="13">
        <f>AVERAGE(France!H9,France!H34)/France!E59</f>
        <v>1.1768744738745096</v>
      </c>
      <c r="W90" s="13">
        <f>'Country Petrol Prices'!I87</f>
        <v>1.54247431852093</v>
      </c>
      <c r="X90" s="19">
        <v>0</v>
      </c>
      <c r="Y90" s="19">
        <v>0</v>
      </c>
      <c r="Z90" s="19">
        <v>0</v>
      </c>
      <c r="AA90" s="19">
        <v>0</v>
      </c>
      <c r="AB90" s="19">
        <v>0</v>
      </c>
      <c r="AC90" s="19">
        <v>0</v>
      </c>
      <c r="AD90" s="19">
        <v>0</v>
      </c>
      <c r="AE90" s="19">
        <v>1</v>
      </c>
      <c r="AF90">
        <v>0</v>
      </c>
      <c r="AG90" s="31">
        <v>0</v>
      </c>
      <c r="AH90" s="19">
        <v>0</v>
      </c>
      <c r="AI90" s="19">
        <v>0</v>
      </c>
      <c r="AJ90" s="19">
        <v>0</v>
      </c>
    </row>
    <row r="91" spans="1:36">
      <c r="B91">
        <v>2016</v>
      </c>
      <c r="C91" s="13">
        <f>'France EV uptake'!O11</f>
        <v>2016.9187227611449</v>
      </c>
      <c r="I91" s="182"/>
      <c r="J91" s="13">
        <f t="shared" si="13"/>
        <v>3.5797254838563983</v>
      </c>
      <c r="K91" s="13">
        <f t="shared" si="14"/>
        <v>3.6043367582529724</v>
      </c>
      <c r="L91" s="13">
        <f t="shared" si="8"/>
        <v>3.5247378158548077</v>
      </c>
      <c r="M91" s="13">
        <f t="shared" si="9"/>
        <v>3.5404804104420036</v>
      </c>
      <c r="N91" s="13">
        <f t="shared" si="10"/>
        <v>3.5621727202221631</v>
      </c>
      <c r="O91" s="13">
        <f t="shared" si="11"/>
        <v>3.4058338143565545</v>
      </c>
      <c r="V91" s="13">
        <f>AVERAGE(France!H10,France!H35)/France!E60</f>
        <v>1.216176691975537</v>
      </c>
      <c r="W91" s="13">
        <f>'Country Petrol Prices'!I88</f>
        <v>1.4565085947014338</v>
      </c>
      <c r="X91" s="19">
        <v>0</v>
      </c>
      <c r="Y91" s="19">
        <v>0</v>
      </c>
      <c r="Z91" s="19">
        <v>0</v>
      </c>
      <c r="AA91" s="19">
        <v>0</v>
      </c>
      <c r="AB91" s="19">
        <v>0</v>
      </c>
      <c r="AC91" s="19">
        <v>0</v>
      </c>
      <c r="AD91" s="19">
        <v>0</v>
      </c>
      <c r="AE91" s="19">
        <v>1</v>
      </c>
      <c r="AF91">
        <v>0</v>
      </c>
      <c r="AG91" s="31">
        <v>0</v>
      </c>
      <c r="AH91" s="19">
        <v>0</v>
      </c>
      <c r="AI91" s="19">
        <v>0</v>
      </c>
      <c r="AJ91" s="19">
        <v>0</v>
      </c>
    </row>
    <row r="92" spans="1:36" s="18" customFormat="1">
      <c r="B92" s="18">
        <v>2017</v>
      </c>
      <c r="C92" s="13">
        <f>'France EV uptake'!O12</f>
        <v>2016.9736662841631</v>
      </c>
      <c r="D92" s="182"/>
      <c r="E92" s="182"/>
      <c r="F92" s="182"/>
      <c r="G92" s="182"/>
      <c r="I92" s="182"/>
      <c r="J92" s="13">
        <f t="shared" si="13"/>
        <v>3.5976612775286192</v>
      </c>
      <c r="K92" s="13">
        <f t="shared" si="14"/>
        <v>3.621088359482119</v>
      </c>
      <c r="L92" s="13">
        <f t="shared" si="8"/>
        <v>3.5615396307985181</v>
      </c>
      <c r="M92" s="13">
        <f t="shared" si="9"/>
        <v>3.5721974774412963</v>
      </c>
      <c r="N92" s="13">
        <f t="shared" si="10"/>
        <v>3.583555846374038</v>
      </c>
      <c r="O92" s="13">
        <f t="shared" si="11"/>
        <v>3.4889626257564776</v>
      </c>
      <c r="V92" s="182">
        <f>AVERAGE(France!H11,France!H36)/France!E61</f>
        <v>1.2221440738362432</v>
      </c>
      <c r="W92" s="13">
        <f>'Country Petrol Prices'!I89</f>
        <v>1.5592651548032868</v>
      </c>
      <c r="X92" s="19">
        <v>0</v>
      </c>
      <c r="Y92" s="19">
        <v>0</v>
      </c>
      <c r="Z92" s="19">
        <v>0</v>
      </c>
      <c r="AA92" s="19">
        <v>0</v>
      </c>
      <c r="AB92" s="19">
        <v>0</v>
      </c>
      <c r="AC92" s="19">
        <v>0</v>
      </c>
      <c r="AD92" s="19">
        <v>0</v>
      </c>
      <c r="AE92" s="19">
        <v>1</v>
      </c>
      <c r="AF92">
        <v>0</v>
      </c>
      <c r="AG92" s="31">
        <v>0</v>
      </c>
      <c r="AH92" s="19">
        <v>0</v>
      </c>
      <c r="AI92" s="19">
        <v>0</v>
      </c>
      <c r="AJ92" s="19">
        <v>0</v>
      </c>
    </row>
    <row r="93" spans="1:36">
      <c r="A93" t="s">
        <v>964</v>
      </c>
      <c r="B93">
        <v>2012</v>
      </c>
      <c r="C93" s="13">
        <f>'Germany EV uptake'!O7</f>
        <v>2018.2222335160914</v>
      </c>
      <c r="J93" s="13"/>
      <c r="K93" s="13">
        <f t="shared" si="14"/>
        <v>2.5000000000000044</v>
      </c>
      <c r="L93" s="13">
        <f t="shared" si="8"/>
        <v>2.5000000000000111</v>
      </c>
      <c r="M93" s="13">
        <f t="shared" si="9"/>
        <v>2.5000000000000075</v>
      </c>
      <c r="N93" s="13">
        <f t="shared" si="10"/>
        <v>2.5000000000000093</v>
      </c>
      <c r="O93" s="13">
        <f t="shared" si="11"/>
        <v>2.5000000000000089</v>
      </c>
      <c r="V93" s="13">
        <f>AVERAGE(Germany!J6,Germany!J31)/Germany!G56</f>
        <v>1.4054424798561698</v>
      </c>
      <c r="W93" s="13">
        <f>'Country Petrol Prices'!J84</f>
        <v>2.269255344647505</v>
      </c>
      <c r="X93" s="19">
        <v>0</v>
      </c>
      <c r="Y93" s="19">
        <v>0</v>
      </c>
      <c r="Z93" s="19">
        <v>0</v>
      </c>
      <c r="AA93" s="19">
        <v>0</v>
      </c>
      <c r="AB93" s="19">
        <v>0</v>
      </c>
      <c r="AC93" s="19">
        <v>0</v>
      </c>
      <c r="AD93" s="19">
        <v>0</v>
      </c>
      <c r="AE93" s="19">
        <v>0</v>
      </c>
      <c r="AF93">
        <v>1</v>
      </c>
      <c r="AG93" s="31">
        <v>0</v>
      </c>
      <c r="AH93" s="19">
        <v>0</v>
      </c>
      <c r="AI93" s="19">
        <v>0</v>
      </c>
      <c r="AJ93" s="19">
        <v>0</v>
      </c>
    </row>
    <row r="94" spans="1:36">
      <c r="B94">
        <v>2013</v>
      </c>
      <c r="C94" s="13">
        <f>'Germany EV uptake'!O8</f>
        <v>2016.199676727641</v>
      </c>
      <c r="J94" s="13"/>
      <c r="K94" s="13">
        <f t="shared" si="14"/>
        <v>3.1405034429440857</v>
      </c>
      <c r="L94" s="13">
        <f t="shared" si="8"/>
        <v>3.0780538853289778</v>
      </c>
      <c r="M94" s="13">
        <f t="shared" si="9"/>
        <v>3.0421093687644531</v>
      </c>
      <c r="N94" s="13">
        <f t="shared" si="10"/>
        <v>2.9092499773806937</v>
      </c>
      <c r="O94" s="13">
        <f t="shared" si="11"/>
        <v>3.244124175450267</v>
      </c>
      <c r="V94" s="13">
        <f>AVERAGE(Germany!J7,Germany!J32)/Germany!G57</f>
        <v>1.2422573893852964</v>
      </c>
      <c r="W94" s="13">
        <f>'Country Petrol Prices'!J85</f>
        <v>2.2326894695824211</v>
      </c>
      <c r="X94" s="19">
        <v>0</v>
      </c>
      <c r="Y94" s="19">
        <v>0</v>
      </c>
      <c r="Z94" s="19">
        <v>0</v>
      </c>
      <c r="AA94" s="19">
        <v>0</v>
      </c>
      <c r="AB94" s="19">
        <v>0</v>
      </c>
      <c r="AC94" s="19">
        <v>0</v>
      </c>
      <c r="AD94" s="19">
        <v>0</v>
      </c>
      <c r="AE94" s="19">
        <v>0</v>
      </c>
      <c r="AF94">
        <v>0</v>
      </c>
      <c r="AG94" s="31">
        <v>0</v>
      </c>
      <c r="AH94" s="19">
        <v>0</v>
      </c>
      <c r="AI94" s="19">
        <v>0</v>
      </c>
      <c r="AJ94" s="19">
        <v>0</v>
      </c>
    </row>
    <row r="95" spans="1:36">
      <c r="B95">
        <v>2014</v>
      </c>
      <c r="C95" s="13">
        <f>'Germany EV uptake'!O9</f>
        <v>2017.215701187065</v>
      </c>
      <c r="J95" s="13"/>
      <c r="K95" s="13">
        <f t="shared" si="14"/>
        <v>0.9458081656200199</v>
      </c>
      <c r="L95" s="13">
        <f t="shared" si="8"/>
        <v>0.81563360277910091</v>
      </c>
      <c r="M95" s="13">
        <f t="shared" si="9"/>
        <v>0.77770176095043553</v>
      </c>
      <c r="N95" s="13">
        <f t="shared" si="10"/>
        <v>0.59637892788777602</v>
      </c>
      <c r="O95" s="13">
        <f t="shared" si="11"/>
        <v>1.1055733103415437</v>
      </c>
      <c r="V95" s="13">
        <f>AVERAGE(Germany!J8,Germany!J33)/Germany!G58</f>
        <v>1.3481363281803931</v>
      </c>
      <c r="W95" s="13">
        <f>'Country Petrol Prices'!J86</f>
        <v>2.1015553136543872</v>
      </c>
      <c r="X95" s="19">
        <v>0</v>
      </c>
      <c r="Y95" s="19">
        <v>0</v>
      </c>
      <c r="Z95" s="19">
        <v>0</v>
      </c>
      <c r="AA95" s="19">
        <v>0</v>
      </c>
      <c r="AB95" s="19">
        <v>0</v>
      </c>
      <c r="AC95" s="19">
        <v>0</v>
      </c>
      <c r="AD95" s="19">
        <v>0</v>
      </c>
      <c r="AE95" s="19">
        <v>0</v>
      </c>
      <c r="AF95">
        <v>0</v>
      </c>
      <c r="AG95" s="31">
        <v>0</v>
      </c>
      <c r="AH95" s="19">
        <v>0</v>
      </c>
      <c r="AI95" s="19">
        <v>0</v>
      </c>
      <c r="AJ95" s="19">
        <v>0</v>
      </c>
    </row>
    <row r="96" spans="1:36">
      <c r="B96">
        <v>2015</v>
      </c>
      <c r="C96" s="13">
        <f>'Germany EV uptake'!O10</f>
        <v>2016.7075785059585</v>
      </c>
      <c r="J96" s="13"/>
      <c r="K96" s="13">
        <f t="shared" si="14"/>
        <v>2.633505489350199</v>
      </c>
      <c r="L96" s="13">
        <f t="shared" si="8"/>
        <v>2.4376087534634507</v>
      </c>
      <c r="M96" s="13">
        <f t="shared" si="9"/>
        <v>2.4319618911984979</v>
      </c>
      <c r="N96" s="13">
        <f t="shared" si="10"/>
        <v>2.3524600705981298</v>
      </c>
      <c r="O96" s="13">
        <f t="shared" si="11"/>
        <v>2.3472018533023369</v>
      </c>
      <c r="V96" s="13">
        <f>AVERAGE(Germany!J9,Germany!J34)/Germany!G59</f>
        <v>1.2258544508183737</v>
      </c>
      <c r="W96" s="13">
        <f>'Country Petrol Prices'!J87</f>
        <v>1.5887247642019198</v>
      </c>
      <c r="X96" s="19">
        <v>0</v>
      </c>
      <c r="Y96" s="19">
        <v>0</v>
      </c>
      <c r="Z96" s="19">
        <v>0</v>
      </c>
      <c r="AA96" s="19">
        <v>0</v>
      </c>
      <c r="AB96" s="19">
        <v>0</v>
      </c>
      <c r="AC96" s="19">
        <v>0</v>
      </c>
      <c r="AD96" s="19">
        <v>0</v>
      </c>
      <c r="AE96" s="19">
        <v>0</v>
      </c>
      <c r="AF96">
        <v>0</v>
      </c>
      <c r="AG96" s="31">
        <v>0</v>
      </c>
      <c r="AH96" s="19">
        <v>0</v>
      </c>
      <c r="AI96" s="19">
        <v>0</v>
      </c>
      <c r="AJ96" s="19">
        <v>0</v>
      </c>
    </row>
    <row r="97" spans="1:36">
      <c r="B97">
        <v>2016</v>
      </c>
      <c r="C97" s="13">
        <f>'Germany EV uptake'!O11</f>
        <v>2016.7848496820138</v>
      </c>
      <c r="J97" s="13"/>
      <c r="K97" s="13">
        <f t="shared" si="14"/>
        <v>2.4751962333880506</v>
      </c>
      <c r="L97" s="13">
        <f t="shared" si="8"/>
        <v>2.2517633291918879</v>
      </c>
      <c r="M97" s="13">
        <f t="shared" si="9"/>
        <v>2.2518870276941421</v>
      </c>
      <c r="N97" s="13">
        <f t="shared" si="10"/>
        <v>2.181301696417548</v>
      </c>
      <c r="O97" s="13">
        <f t="shared" si="11"/>
        <v>2.1154738653334899</v>
      </c>
      <c r="V97" s="13">
        <f>AVERAGE(Germany!J10,Germany!J35)/Germany!G60</f>
        <v>1.2256348121900458</v>
      </c>
      <c r="W97" s="13">
        <f>'Country Petrol Prices'!J88</f>
        <v>1.4612688956817899</v>
      </c>
      <c r="X97" s="19">
        <v>0</v>
      </c>
      <c r="Y97" s="19">
        <v>0</v>
      </c>
      <c r="Z97" s="19">
        <v>0</v>
      </c>
      <c r="AA97" s="19">
        <v>0</v>
      </c>
      <c r="AB97" s="19">
        <v>0</v>
      </c>
      <c r="AC97" s="19">
        <v>0</v>
      </c>
      <c r="AD97" s="19">
        <v>0</v>
      </c>
      <c r="AE97" s="19">
        <v>0</v>
      </c>
      <c r="AF97">
        <v>0</v>
      </c>
      <c r="AG97" s="31">
        <v>0</v>
      </c>
      <c r="AH97" s="19">
        <v>0</v>
      </c>
      <c r="AI97" s="19">
        <v>0</v>
      </c>
      <c r="AJ97" s="19">
        <v>0</v>
      </c>
    </row>
    <row r="98" spans="1:36" s="18" customFormat="1">
      <c r="B98" s="18">
        <v>2017</v>
      </c>
      <c r="C98" s="182">
        <f>'Germany EV uptake'!O12</f>
        <v>2016.7295960758513</v>
      </c>
      <c r="D98" s="182"/>
      <c r="E98" s="182"/>
      <c r="F98" s="182"/>
      <c r="G98" s="182"/>
      <c r="J98" s="182"/>
      <c r="K98" s="182">
        <f t="shared" si="14"/>
        <v>2.5808119686009077</v>
      </c>
      <c r="L98" s="13">
        <f t="shared" ref="L98:L104" si="15">L$3+L$4*V98+L$5*W98+L$6*X98+L$7*Y98+L$8*Z98+L$9*AA98+L$10*AB98+L$11*AC98+L$12*AD98+L$13*AE98+L$14*AF98+L$15*AG98</f>
        <v>2.3779128603363504</v>
      </c>
      <c r="M98" s="13">
        <f t="shared" ref="M98:M110" si="16">M$3+M$4*V98+M$5*W98+M$6*X98+M$7*Y98+M$8*Z98+M$9*AA98+M$10*AB98+M$11*AC98+M$12*AD98+M$13*AE98+M$14*AF98+M$15*AG98+M$16*AH98</f>
        <v>2.3736219813859694</v>
      </c>
      <c r="N98" s="13">
        <f t="shared" ref="N98:N116" si="17">N$3+N$4*V98+N$5*W98+N$6*X98+N$7*Y98+N$8*Z98+N$9*AA98+N$10*AB98+N$11*AC98+N$12*AD98+N$13*AE98+N$14*AF98+N$15*AG98+N$16*AH98+N$17*AI98</f>
        <v>2.2959026995982588</v>
      </c>
      <c r="O98" s="13">
        <f t="shared" ref="O98:O122" si="18">O$3+O$4*V98+O$5*W98+O$6*X98+O$7*Y98+O$8*Z98+O$9*AA98+O$10*AB98+O$11*AC98+O$12*AD98+O$13*AE98+O$14*AF98+O$15*AG98+O$16*AH98+O$17*AI98+O$18*AJ98</f>
        <v>2.2774687580489714</v>
      </c>
      <c r="V98" s="182">
        <f>AVERAGE(Germany!J11,Germany!J36)/Germany!G61</f>
        <v>1.2265316573296099</v>
      </c>
      <c r="W98" s="182">
        <f>'Country Petrol Prices'!J89</f>
        <v>1.5575691380983383</v>
      </c>
      <c r="X98" s="27">
        <v>0</v>
      </c>
      <c r="Y98" s="27">
        <v>0</v>
      </c>
      <c r="Z98" s="27">
        <v>0</v>
      </c>
      <c r="AA98" s="27">
        <v>0</v>
      </c>
      <c r="AB98" s="27">
        <v>0</v>
      </c>
      <c r="AC98" s="27">
        <v>0</v>
      </c>
      <c r="AD98" s="27">
        <v>0</v>
      </c>
      <c r="AE98" s="27">
        <v>0</v>
      </c>
      <c r="AF98" s="18">
        <v>0</v>
      </c>
      <c r="AG98" s="31">
        <v>0</v>
      </c>
      <c r="AH98" s="19">
        <v>0</v>
      </c>
      <c r="AI98" s="19">
        <v>0</v>
      </c>
      <c r="AJ98" s="19">
        <v>0</v>
      </c>
    </row>
    <row r="99" spans="1:36">
      <c r="A99" t="s">
        <v>242</v>
      </c>
      <c r="B99">
        <v>2012</v>
      </c>
      <c r="C99" s="13">
        <f>'India EV uptake'!O7</f>
        <v>2025.7753083178627</v>
      </c>
      <c r="K99" s="182"/>
      <c r="L99" s="13">
        <f t="shared" si="15"/>
        <v>2.9422618249213444</v>
      </c>
      <c r="M99" s="13">
        <f t="shared" si="16"/>
        <v>2.9512136014614048</v>
      </c>
      <c r="N99" s="13">
        <f t="shared" si="17"/>
        <v>2.9132894982968507</v>
      </c>
      <c r="O99" s="13">
        <f t="shared" si="18"/>
        <v>2.6904966243500468</v>
      </c>
      <c r="V99" s="13">
        <f>AVERAGE(India!J6,India!J31)/India!G56</f>
        <v>1.1809653001544056</v>
      </c>
      <c r="W99" s="13">
        <f>'Country Petrol Prices'!K84</f>
        <v>1.3396210581986554</v>
      </c>
      <c r="X99" s="19">
        <v>0</v>
      </c>
      <c r="Y99" s="19">
        <v>0</v>
      </c>
      <c r="Z99" s="19">
        <v>0</v>
      </c>
      <c r="AA99" s="19">
        <v>0</v>
      </c>
      <c r="AB99" s="19">
        <v>0</v>
      </c>
      <c r="AC99" s="19">
        <v>0</v>
      </c>
      <c r="AD99" s="19">
        <v>0</v>
      </c>
      <c r="AE99" s="19">
        <v>0</v>
      </c>
      <c r="AF99" s="19">
        <v>0</v>
      </c>
      <c r="AG99" s="31">
        <v>0</v>
      </c>
      <c r="AH99" s="19">
        <v>0</v>
      </c>
      <c r="AI99" s="19">
        <v>0</v>
      </c>
      <c r="AJ99" s="19">
        <v>0</v>
      </c>
    </row>
    <row r="100" spans="1:36">
      <c r="B100">
        <v>2013</v>
      </c>
      <c r="C100" s="13">
        <f>'India EV uptake'!O8</f>
        <v>2028.3889876449657</v>
      </c>
      <c r="K100" s="182"/>
      <c r="L100" s="13">
        <f t="shared" si="15"/>
        <v>2.0376170360846464</v>
      </c>
      <c r="M100" s="13">
        <f t="shared" si="16"/>
        <v>2.0355690930635761</v>
      </c>
      <c r="N100" s="13">
        <f t="shared" si="17"/>
        <v>2.0524683508258792</v>
      </c>
      <c r="O100" s="13">
        <f t="shared" si="18"/>
        <v>2.0668954273977813</v>
      </c>
      <c r="V100" s="13">
        <f>AVERAGE(India!J7,India!J32)/India!G57</f>
        <v>1.4239766804731573</v>
      </c>
      <c r="W100" s="13">
        <f>'Country Petrol Prices'!K85</f>
        <v>1.2381046949878041</v>
      </c>
      <c r="X100" s="19">
        <v>0</v>
      </c>
      <c r="Y100" s="19">
        <v>0</v>
      </c>
      <c r="Z100" s="19">
        <v>0</v>
      </c>
      <c r="AA100" s="19">
        <v>0</v>
      </c>
      <c r="AB100" s="19">
        <v>0</v>
      </c>
      <c r="AC100" s="19">
        <v>0</v>
      </c>
      <c r="AD100" s="19">
        <v>0</v>
      </c>
      <c r="AE100" s="19">
        <v>0</v>
      </c>
      <c r="AF100" s="19">
        <v>0</v>
      </c>
      <c r="AG100" s="31">
        <v>1</v>
      </c>
      <c r="AH100" s="19">
        <v>0</v>
      </c>
      <c r="AI100" s="19">
        <v>0</v>
      </c>
      <c r="AJ100" s="19">
        <v>0</v>
      </c>
    </row>
    <row r="101" spans="1:36">
      <c r="B101">
        <v>2014</v>
      </c>
      <c r="C101" s="13">
        <f>'India EV uptake'!O9</f>
        <v>2028.5558626462118</v>
      </c>
      <c r="K101" s="182"/>
      <c r="L101" s="13">
        <f t="shared" si="15"/>
        <v>-0.10505992066389691</v>
      </c>
      <c r="M101" s="13">
        <f t="shared" si="16"/>
        <v>-0.10605192599424851</v>
      </c>
      <c r="N101" s="13">
        <f t="shared" si="17"/>
        <v>-0.17685656643185865</v>
      </c>
      <c r="O101" s="13">
        <f t="shared" si="18"/>
        <v>-5.3776907831984522E-2</v>
      </c>
      <c r="V101" s="13">
        <f>AVERAGE(India!J8,India!J33)/India!G58</f>
        <v>1.4271669183630469</v>
      </c>
      <c r="W101" s="13">
        <f>'Country Petrol Prices'!K86</f>
        <v>1.1810142424611467</v>
      </c>
      <c r="X101" s="19">
        <v>0</v>
      </c>
      <c r="Y101" s="19">
        <v>0</v>
      </c>
      <c r="Z101" s="19">
        <v>0</v>
      </c>
      <c r="AA101" s="19">
        <v>0</v>
      </c>
      <c r="AB101" s="19">
        <v>0</v>
      </c>
      <c r="AC101" s="19">
        <v>0</v>
      </c>
      <c r="AD101" s="19">
        <v>0</v>
      </c>
      <c r="AE101" s="19">
        <v>0</v>
      </c>
      <c r="AF101" s="19">
        <v>0</v>
      </c>
      <c r="AG101" s="31">
        <v>0.5</v>
      </c>
      <c r="AH101" s="19">
        <v>0</v>
      </c>
      <c r="AI101" s="19">
        <v>0</v>
      </c>
      <c r="AJ101" s="19">
        <v>0</v>
      </c>
    </row>
    <row r="102" spans="1:36">
      <c r="B102">
        <v>2015</v>
      </c>
      <c r="C102" s="13">
        <f>'India EV uptake'!O10</f>
        <v>2027.2917994886172</v>
      </c>
      <c r="K102" s="182"/>
      <c r="L102" s="13">
        <f t="shared" si="15"/>
        <v>0.64067466717887811</v>
      </c>
      <c r="M102" s="13">
        <f t="shared" si="16"/>
        <v>0.65837885802809359</v>
      </c>
      <c r="N102" s="13">
        <f t="shared" si="17"/>
        <v>0.59457057706292304</v>
      </c>
      <c r="O102" s="13">
        <f t="shared" si="18"/>
        <v>0.41313802741601546</v>
      </c>
      <c r="V102" s="13">
        <f>AVERAGE(India!J9,India!J34)/India!G59</f>
        <v>1.2724863959143449</v>
      </c>
      <c r="W102" s="13">
        <f>'Country Petrol Prices'!K87</f>
        <v>0.99435121858197106</v>
      </c>
      <c r="X102" s="19">
        <v>0</v>
      </c>
      <c r="Y102" s="19">
        <v>0</v>
      </c>
      <c r="Z102" s="19">
        <v>0</v>
      </c>
      <c r="AA102" s="19">
        <v>0</v>
      </c>
      <c r="AB102" s="19">
        <v>0</v>
      </c>
      <c r="AC102" s="19">
        <v>0</v>
      </c>
      <c r="AD102" s="19">
        <v>0</v>
      </c>
      <c r="AE102" s="19">
        <v>0</v>
      </c>
      <c r="AF102" s="19">
        <v>0</v>
      </c>
      <c r="AG102" s="31">
        <v>0</v>
      </c>
      <c r="AH102" s="19">
        <v>0</v>
      </c>
      <c r="AI102" s="19">
        <v>0</v>
      </c>
      <c r="AJ102" s="19">
        <v>0</v>
      </c>
    </row>
    <row r="103" spans="1:36">
      <c r="B103">
        <v>2016</v>
      </c>
      <c r="C103" s="13">
        <f>'India EV uptake'!O11</f>
        <v>2027.4301279831573</v>
      </c>
      <c r="K103" s="182"/>
      <c r="L103" s="13">
        <f t="shared" si="15"/>
        <v>0.41552398904305732</v>
      </c>
      <c r="M103" s="13">
        <f t="shared" si="16"/>
        <v>0.4345605594932398</v>
      </c>
      <c r="N103" s="13">
        <f t="shared" si="17"/>
        <v>0.36925519425011255</v>
      </c>
      <c r="O103" s="13">
        <f t="shared" si="18"/>
        <v>0.1858589036133691</v>
      </c>
      <c r="V103" s="13">
        <f>AVERAGE(India!J10,India!J35)/India!G60</f>
        <v>1.2807237822058057</v>
      </c>
      <c r="W103" s="13">
        <f>'Country Petrol Prices'!K88</f>
        <v>0.95121173406078063</v>
      </c>
      <c r="X103" s="19">
        <v>0</v>
      </c>
      <c r="Y103" s="19">
        <v>0</v>
      </c>
      <c r="Z103" s="19">
        <v>0</v>
      </c>
      <c r="AA103" s="19">
        <v>0</v>
      </c>
      <c r="AB103" s="19">
        <v>0</v>
      </c>
      <c r="AC103" s="19">
        <v>0</v>
      </c>
      <c r="AD103" s="19">
        <v>0</v>
      </c>
      <c r="AE103" s="19">
        <v>0</v>
      </c>
      <c r="AF103" s="19">
        <v>0</v>
      </c>
      <c r="AG103" s="31">
        <v>0</v>
      </c>
      <c r="AH103" s="19">
        <v>0</v>
      </c>
      <c r="AI103" s="19">
        <v>0</v>
      </c>
      <c r="AJ103" s="19">
        <v>0</v>
      </c>
    </row>
    <row r="104" spans="1:36" s="18" customFormat="1">
      <c r="B104" s="18">
        <v>2017</v>
      </c>
      <c r="C104" s="13">
        <f>'India EV uptake'!O12</f>
        <v>2027.3719619832832</v>
      </c>
      <c r="D104" s="182"/>
      <c r="E104" s="182"/>
      <c r="F104" s="182"/>
      <c r="G104" s="182"/>
      <c r="K104" s="182"/>
      <c r="L104" s="13">
        <f t="shared" si="15"/>
        <v>0.54612952588492525</v>
      </c>
      <c r="M104" s="13">
        <f t="shared" si="16"/>
        <v>0.56056260459396268</v>
      </c>
      <c r="N104" s="13">
        <f t="shared" si="17"/>
        <v>0.48779961674514905</v>
      </c>
      <c r="O104" s="13">
        <f t="shared" si="18"/>
        <v>0.35388751722852896</v>
      </c>
      <c r="V104" s="13">
        <f>AVERAGE(India!J11,India!J36)/India!G61</f>
        <v>1.2817018632767603</v>
      </c>
      <c r="W104" s="182">
        <f>'Country Petrol Prices'!K89</f>
        <v>1.0515620829548709</v>
      </c>
      <c r="X104" s="19">
        <v>0</v>
      </c>
      <c r="Y104" s="19">
        <v>0</v>
      </c>
      <c r="Z104" s="19">
        <v>0</v>
      </c>
      <c r="AA104" s="19">
        <v>0</v>
      </c>
      <c r="AB104" s="19">
        <v>0</v>
      </c>
      <c r="AC104" s="19">
        <v>0</v>
      </c>
      <c r="AD104" s="19">
        <v>0</v>
      </c>
      <c r="AE104" s="19">
        <v>0</v>
      </c>
      <c r="AF104" s="19">
        <v>0</v>
      </c>
      <c r="AG104" s="31">
        <v>0</v>
      </c>
      <c r="AH104" s="19">
        <v>0</v>
      </c>
      <c r="AI104" s="19">
        <v>0</v>
      </c>
      <c r="AJ104" s="19">
        <v>0</v>
      </c>
    </row>
    <row r="105" spans="1:36">
      <c r="A105" t="s">
        <v>544</v>
      </c>
      <c r="B105">
        <v>2012</v>
      </c>
      <c r="C105" s="13">
        <f>'Ireland EV uptake'!O7</f>
        <v>2018.8750156872493</v>
      </c>
      <c r="L105" s="13"/>
      <c r="M105" s="13">
        <f t="shared" si="16"/>
        <v>3.1306014989315765</v>
      </c>
      <c r="N105" s="13">
        <f t="shared" si="17"/>
        <v>3.0652829084453779</v>
      </c>
      <c r="O105" s="13">
        <f t="shared" si="18"/>
        <v>3.3033264989841271</v>
      </c>
      <c r="V105" s="13">
        <f>AVERAGE(Ireland!K6,Ireland!K31)/Ireland!G56</f>
        <v>1.1164040901423504</v>
      </c>
      <c r="W105" s="13">
        <f>'Country Petrol Prices'!L84</f>
        <v>2.2206850571942964</v>
      </c>
      <c r="X105" s="19">
        <v>0</v>
      </c>
      <c r="Y105" s="19">
        <v>0</v>
      </c>
      <c r="Z105" s="19">
        <v>0</v>
      </c>
      <c r="AA105" s="19">
        <v>0</v>
      </c>
      <c r="AB105" s="19">
        <v>0</v>
      </c>
      <c r="AC105" s="19">
        <v>0</v>
      </c>
      <c r="AD105" s="19">
        <v>0</v>
      </c>
      <c r="AE105" s="19">
        <v>0</v>
      </c>
      <c r="AF105" s="19">
        <v>0</v>
      </c>
      <c r="AG105" s="19">
        <v>0</v>
      </c>
      <c r="AH105" s="19">
        <v>0.5</v>
      </c>
      <c r="AI105" s="19">
        <v>0</v>
      </c>
      <c r="AJ105" s="19">
        <v>0</v>
      </c>
    </row>
    <row r="106" spans="1:36">
      <c r="B106">
        <v>2013</v>
      </c>
      <c r="C106" s="13">
        <f>'Ireland EV uptake'!O8</f>
        <v>2018.9213655214492</v>
      </c>
      <c r="L106" s="13"/>
      <c r="M106" s="13">
        <f t="shared" si="16"/>
        <v>2.9342659877687742</v>
      </c>
      <c r="N106" s="13">
        <f t="shared" si="17"/>
        <v>2.8641770087808429</v>
      </c>
      <c r="O106" s="13">
        <f t="shared" si="18"/>
        <v>3.1206477223154314</v>
      </c>
      <c r="V106" s="13">
        <f>AVERAGE(Ireland!K7,Ireland!K32)/Ireland!G57</f>
        <v>1.1259688387583557</v>
      </c>
      <c r="W106" s="13">
        <f>'Country Petrol Prices'!L85</f>
        <v>2.2145235039322504</v>
      </c>
      <c r="X106" s="19">
        <v>0</v>
      </c>
      <c r="Y106" s="19">
        <v>0</v>
      </c>
      <c r="Z106" s="19">
        <v>0</v>
      </c>
      <c r="AA106" s="19">
        <v>0</v>
      </c>
      <c r="AB106" s="19">
        <v>0</v>
      </c>
      <c r="AC106" s="19">
        <v>0</v>
      </c>
      <c r="AD106" s="19">
        <v>0</v>
      </c>
      <c r="AE106" s="19">
        <v>0</v>
      </c>
      <c r="AF106" s="19">
        <v>0</v>
      </c>
      <c r="AG106" s="19">
        <v>0</v>
      </c>
      <c r="AH106" s="19">
        <v>0.5</v>
      </c>
      <c r="AI106" s="19">
        <v>0</v>
      </c>
      <c r="AJ106" s="19">
        <v>0</v>
      </c>
    </row>
    <row r="107" spans="1:36">
      <c r="B107">
        <v>2014</v>
      </c>
      <c r="C107" s="13">
        <f>'Ireland EV uptake'!O9</f>
        <v>2020.0055118566152</v>
      </c>
      <c r="L107" s="13"/>
      <c r="M107" s="13">
        <f t="shared" si="16"/>
        <v>0.85097122707103257</v>
      </c>
      <c r="N107" s="13">
        <f t="shared" si="17"/>
        <v>0.73743501814909163</v>
      </c>
      <c r="O107" s="13">
        <f t="shared" si="18"/>
        <v>1.1476389983501485</v>
      </c>
      <c r="V107" s="13">
        <f>AVERAGE(Ireland!K8,Ireland!K33)/Ireland!G58</f>
        <v>1.2226080917162914</v>
      </c>
      <c r="W107" s="13">
        <f>'Country Petrol Prices'!L86</f>
        <v>2.0834310492737709</v>
      </c>
      <c r="X107" s="19">
        <v>0</v>
      </c>
      <c r="Y107" s="19">
        <v>0</v>
      </c>
      <c r="Z107" s="19">
        <v>0</v>
      </c>
      <c r="AA107" s="19">
        <v>0</v>
      </c>
      <c r="AB107" s="19">
        <v>0</v>
      </c>
      <c r="AC107" s="19">
        <v>0</v>
      </c>
      <c r="AD107" s="19">
        <v>0</v>
      </c>
      <c r="AE107" s="19">
        <v>0</v>
      </c>
      <c r="AF107" s="19">
        <v>0</v>
      </c>
      <c r="AG107" s="19">
        <v>0</v>
      </c>
      <c r="AH107" s="19">
        <v>0.5</v>
      </c>
      <c r="AI107" s="19">
        <v>0</v>
      </c>
      <c r="AJ107" s="19">
        <v>0</v>
      </c>
    </row>
    <row r="108" spans="1:36">
      <c r="B108">
        <v>2015</v>
      </c>
      <c r="C108" s="13">
        <f>'Ireland EV uptake'!O10</f>
        <v>2019.424683248825</v>
      </c>
      <c r="L108" s="13"/>
      <c r="M108" s="13">
        <f t="shared" si="16"/>
        <v>1.7320340542487678</v>
      </c>
      <c r="N108" s="13">
        <f t="shared" si="17"/>
        <v>1.7641641403072308</v>
      </c>
      <c r="O108" s="13">
        <f t="shared" si="18"/>
        <v>1.6600393781029288</v>
      </c>
      <c r="V108" s="13">
        <f>AVERAGE(Ireland!K9,Ireland!K34)/Ireland!G59</f>
        <v>1.0183177686079716</v>
      </c>
      <c r="W108" s="13">
        <f>'Country Petrol Prices'!L87</f>
        <v>1.5568365482058133</v>
      </c>
      <c r="X108" s="19">
        <v>0</v>
      </c>
      <c r="Y108" s="19">
        <v>0</v>
      </c>
      <c r="Z108" s="19">
        <v>0</v>
      </c>
      <c r="AA108" s="19">
        <v>0</v>
      </c>
      <c r="AB108" s="19">
        <v>0</v>
      </c>
      <c r="AC108" s="19">
        <v>0</v>
      </c>
      <c r="AD108" s="19">
        <v>0</v>
      </c>
      <c r="AE108" s="19">
        <v>0</v>
      </c>
      <c r="AF108" s="19">
        <v>0</v>
      </c>
      <c r="AG108" s="19">
        <v>0</v>
      </c>
      <c r="AH108" s="19">
        <v>1</v>
      </c>
      <c r="AI108" s="19">
        <v>0</v>
      </c>
      <c r="AJ108" s="19">
        <v>0</v>
      </c>
    </row>
    <row r="109" spans="1:36">
      <c r="B109">
        <v>2016</v>
      </c>
      <c r="C109" s="13">
        <f>'Ireland EV uptake'!O11</f>
        <v>2019.4989317643808</v>
      </c>
      <c r="L109" s="13"/>
      <c r="M109" s="13">
        <f t="shared" si="16"/>
        <v>1.5543870793054388</v>
      </c>
      <c r="N109" s="13">
        <f t="shared" si="17"/>
        <v>1.5947576376214609</v>
      </c>
      <c r="O109" s="13">
        <f t="shared" si="18"/>
        <v>1.4341193503915655</v>
      </c>
      <c r="V109" s="13">
        <f>AVERAGE(Ireland!K10,Ireland!K35)/Ireland!G60</f>
        <v>1.0184771032101883</v>
      </c>
      <c r="W109" s="13">
        <f>'Country Petrol Prices'!L88</f>
        <v>1.4361924101054515</v>
      </c>
      <c r="X109" s="19">
        <v>0</v>
      </c>
      <c r="Y109" s="19">
        <v>0</v>
      </c>
      <c r="Z109" s="19">
        <v>0</v>
      </c>
      <c r="AA109" s="19">
        <v>0</v>
      </c>
      <c r="AB109" s="19">
        <v>0</v>
      </c>
      <c r="AC109" s="19">
        <v>0</v>
      </c>
      <c r="AD109" s="19">
        <v>0</v>
      </c>
      <c r="AE109" s="19">
        <v>0</v>
      </c>
      <c r="AF109" s="19">
        <v>0</v>
      </c>
      <c r="AG109" s="19">
        <v>0</v>
      </c>
      <c r="AH109" s="19">
        <v>1</v>
      </c>
      <c r="AI109" s="19">
        <v>0</v>
      </c>
      <c r="AJ109" s="19">
        <v>0</v>
      </c>
    </row>
    <row r="110" spans="1:36" s="18" customFormat="1">
      <c r="B110" s="18">
        <v>2017</v>
      </c>
      <c r="C110" s="13">
        <f>'Ireland EV uptake'!O12</f>
        <v>2019.3585127420033</v>
      </c>
      <c r="D110" s="182"/>
      <c r="E110" s="182"/>
      <c r="F110" s="182"/>
      <c r="G110" s="182"/>
      <c r="L110" s="13"/>
      <c r="M110" s="13">
        <f t="shared" si="16"/>
        <v>1.7945756860735447</v>
      </c>
      <c r="N110" s="13">
        <f t="shared" si="17"/>
        <v>1.8296066270940106</v>
      </c>
      <c r="O110" s="13">
        <f t="shared" si="18"/>
        <v>1.7115613164561267</v>
      </c>
      <c r="V110" s="13">
        <f>AVERAGE(Ireland!K11,Ireland!K36)/Ireland!G61</f>
        <v>1.0143365031638669</v>
      </c>
      <c r="W110" s="13">
        <f>'Country Petrol Prices'!L89</f>
        <v>1.5461414319580415</v>
      </c>
      <c r="X110" s="19">
        <v>0</v>
      </c>
      <c r="Y110" s="19">
        <v>0</v>
      </c>
      <c r="Z110" s="19">
        <v>0</v>
      </c>
      <c r="AA110" s="19">
        <v>0</v>
      </c>
      <c r="AB110" s="19">
        <v>0</v>
      </c>
      <c r="AC110" s="19">
        <v>0</v>
      </c>
      <c r="AD110" s="19">
        <v>0</v>
      </c>
      <c r="AE110" s="19">
        <v>0</v>
      </c>
      <c r="AF110" s="19">
        <v>0</v>
      </c>
      <c r="AG110" s="19">
        <v>0</v>
      </c>
      <c r="AH110" s="19">
        <v>1</v>
      </c>
      <c r="AI110" s="19">
        <v>0</v>
      </c>
      <c r="AJ110" s="19">
        <v>0</v>
      </c>
    </row>
    <row r="111" spans="1:36">
      <c r="A111" t="s">
        <v>538</v>
      </c>
      <c r="B111">
        <v>2012</v>
      </c>
      <c r="C111" s="13">
        <f>'Italy EV uptake'!O7</f>
        <v>2021.5525832426733</v>
      </c>
      <c r="M111" s="13"/>
      <c r="N111" s="13">
        <f t="shared" si="17"/>
        <v>1.1650272908326371</v>
      </c>
      <c r="O111" s="13">
        <f t="shared" si="18"/>
        <v>1.1526390225424326</v>
      </c>
      <c r="V111" s="13">
        <f>AVERAGE(Italy!I6,Italy!I31)/Italy!F56</f>
        <v>1.4083006826842031</v>
      </c>
      <c r="W111" s="13">
        <f>'Country Petrol Prices'!M84</f>
        <v>2.4574544458885539</v>
      </c>
      <c r="X111" s="19">
        <v>0</v>
      </c>
      <c r="Y111" s="19">
        <v>0</v>
      </c>
      <c r="Z111" s="19">
        <v>0</v>
      </c>
      <c r="AA111" s="19">
        <v>0</v>
      </c>
      <c r="AB111" s="19">
        <v>0</v>
      </c>
      <c r="AC111" s="19">
        <v>0</v>
      </c>
      <c r="AD111" s="19">
        <v>0</v>
      </c>
      <c r="AE111" s="19">
        <v>0</v>
      </c>
      <c r="AF111" s="19">
        <v>0</v>
      </c>
      <c r="AG111" s="19">
        <v>0</v>
      </c>
      <c r="AH111" s="19">
        <v>0</v>
      </c>
      <c r="AI111" s="19">
        <v>1</v>
      </c>
      <c r="AJ111" s="19">
        <v>0</v>
      </c>
    </row>
    <row r="112" spans="1:36">
      <c r="B112">
        <v>2013</v>
      </c>
      <c r="C112" s="13">
        <f>'Italy EV uptake'!O8</f>
        <v>2021.6918581333885</v>
      </c>
      <c r="M112" s="13"/>
      <c r="N112" s="13">
        <f t="shared" si="17"/>
        <v>0.83497270916738064</v>
      </c>
      <c r="O112" s="13">
        <f t="shared" si="18"/>
        <v>0.8473609774575932</v>
      </c>
      <c r="V112" s="13">
        <f>AVERAGE(Italy!I7,Italy!I32)/Italy!F57</f>
        <v>1.4233990540569008</v>
      </c>
      <c r="W112" s="13">
        <f>'Country Petrol Prices'!M85</f>
        <v>2.438581607326002</v>
      </c>
      <c r="X112" s="19">
        <v>0</v>
      </c>
      <c r="Y112" s="19">
        <v>0</v>
      </c>
      <c r="Z112" s="19">
        <v>0</v>
      </c>
      <c r="AA112" s="19">
        <v>0</v>
      </c>
      <c r="AB112" s="19">
        <v>0</v>
      </c>
      <c r="AC112" s="19">
        <v>0</v>
      </c>
      <c r="AD112" s="19">
        <v>0</v>
      </c>
      <c r="AE112" s="19">
        <v>0</v>
      </c>
      <c r="AF112" s="19">
        <v>0</v>
      </c>
      <c r="AG112" s="19">
        <v>0</v>
      </c>
      <c r="AH112" s="19">
        <v>0</v>
      </c>
      <c r="AI112" s="19">
        <v>1</v>
      </c>
      <c r="AJ112" s="19">
        <v>0</v>
      </c>
    </row>
    <row r="113" spans="1:36">
      <c r="B113">
        <v>2014</v>
      </c>
      <c r="C113" s="13">
        <f>'Italy EV uptake'!O9</f>
        <v>2020.2779543408324</v>
      </c>
      <c r="M113" s="13"/>
      <c r="N113" s="13">
        <f t="shared" si="17"/>
        <v>0.17050130578614642</v>
      </c>
      <c r="O113" s="13">
        <f t="shared" si="18"/>
        <v>0.87389105353754015</v>
      </c>
      <c r="V113" s="13">
        <f>AVERAGE(Italy!I8,Italy!I33)/Italy!F58</f>
        <v>1.385403942408554</v>
      </c>
      <c r="W113" s="13">
        <f>'Country Petrol Prices'!M86</f>
        <v>2.3372057695760837</v>
      </c>
      <c r="X113" s="19">
        <v>0</v>
      </c>
      <c r="Y113" s="19">
        <v>0</v>
      </c>
      <c r="Z113" s="19">
        <v>0</v>
      </c>
      <c r="AA113" s="19">
        <v>0</v>
      </c>
      <c r="AB113" s="19">
        <v>0</v>
      </c>
      <c r="AC113" s="19">
        <v>0</v>
      </c>
      <c r="AD113" s="19">
        <v>0</v>
      </c>
      <c r="AE113" s="19">
        <v>0</v>
      </c>
      <c r="AF113" s="19">
        <v>0</v>
      </c>
      <c r="AG113" s="19">
        <v>0</v>
      </c>
      <c r="AH113" s="19">
        <v>0</v>
      </c>
      <c r="AI113" s="19">
        <v>0</v>
      </c>
      <c r="AJ113" s="19">
        <v>0</v>
      </c>
    </row>
    <row r="114" spans="1:36">
      <c r="B114">
        <v>2015</v>
      </c>
      <c r="C114" s="13">
        <f>'Italy EV uptake'!O10</f>
        <v>2020.6362648624145</v>
      </c>
      <c r="M114" s="13"/>
      <c r="N114" s="13">
        <f t="shared" si="17"/>
        <v>-0.15664175266538383</v>
      </c>
      <c r="O114" s="13">
        <f t="shared" si="18"/>
        <v>0.21576484090866854</v>
      </c>
      <c r="V114" s="13">
        <f>AVERAGE(Italy!I9,Italy!I34)/Italy!F59</f>
        <v>1.3613889168167475</v>
      </c>
      <c r="W114" s="13">
        <f>'Country Petrol Prices'!M87</f>
        <v>1.7486657511493757</v>
      </c>
      <c r="X114" s="19">
        <v>0</v>
      </c>
      <c r="Y114" s="19">
        <v>0</v>
      </c>
      <c r="Z114" s="19">
        <v>0</v>
      </c>
      <c r="AA114" s="19">
        <v>0</v>
      </c>
      <c r="AB114" s="19">
        <v>0</v>
      </c>
      <c r="AC114" s="19">
        <v>0</v>
      </c>
      <c r="AD114" s="19">
        <v>0</v>
      </c>
      <c r="AE114" s="19">
        <v>0</v>
      </c>
      <c r="AF114" s="19">
        <v>0</v>
      </c>
      <c r="AG114" s="19">
        <v>0</v>
      </c>
      <c r="AH114" s="19">
        <v>0</v>
      </c>
      <c r="AI114" s="19">
        <v>0</v>
      </c>
      <c r="AJ114" s="19">
        <v>0</v>
      </c>
    </row>
    <row r="115" spans="1:36">
      <c r="B115">
        <v>2016</v>
      </c>
      <c r="C115" s="13">
        <f>'Italy EV uptake'!O11</f>
        <v>2020.669654394253</v>
      </c>
      <c r="M115" s="13"/>
      <c r="N115" s="13">
        <f t="shared" si="17"/>
        <v>-0.33899516130713625</v>
      </c>
      <c r="O115" s="13">
        <f t="shared" si="18"/>
        <v>-2.9456884960205265E-2</v>
      </c>
      <c r="V115" s="13">
        <f>AVERAGE(Italy!I10,Italy!I35)/Italy!F60</f>
        <v>1.3613372374528663</v>
      </c>
      <c r="W115" s="13">
        <f>'Country Petrol Prices'!M88</f>
        <v>1.6155386468996658</v>
      </c>
      <c r="X115" s="19">
        <v>0</v>
      </c>
      <c r="Y115" s="19">
        <v>0</v>
      </c>
      <c r="Z115" s="19">
        <v>0</v>
      </c>
      <c r="AA115" s="19">
        <v>0</v>
      </c>
      <c r="AB115" s="19">
        <v>0</v>
      </c>
      <c r="AC115" s="19">
        <v>0</v>
      </c>
      <c r="AD115" s="19">
        <v>0</v>
      </c>
      <c r="AE115" s="19">
        <v>0</v>
      </c>
      <c r="AF115" s="19">
        <v>0</v>
      </c>
      <c r="AG115" s="19">
        <v>0</v>
      </c>
      <c r="AH115" s="19">
        <v>0</v>
      </c>
      <c r="AI115" s="19">
        <v>0</v>
      </c>
      <c r="AJ115" s="19">
        <v>0</v>
      </c>
    </row>
    <row r="116" spans="1:36" s="18" customFormat="1">
      <c r="B116" s="18">
        <v>2017</v>
      </c>
      <c r="C116" s="13">
        <f>'Italy EV uptake'!O12</f>
        <v>2020.5932146346756</v>
      </c>
      <c r="D116" s="182"/>
      <c r="E116" s="182"/>
      <c r="F116" s="182"/>
      <c r="G116" s="182"/>
      <c r="M116" s="13"/>
      <c r="N116" s="13">
        <f t="shared" si="17"/>
        <v>-0.21082896685403929</v>
      </c>
      <c r="O116" s="13">
        <f t="shared" si="18"/>
        <v>0.15710885762355842</v>
      </c>
      <c r="V116" s="13">
        <f>AVERAGE(Italy!I11,Italy!I36)/Italy!F61</f>
        <v>1.3629318053696959</v>
      </c>
      <c r="W116" s="13">
        <f>'Country Petrol Prices'!M89</f>
        <v>1.7318856443368991</v>
      </c>
      <c r="X116" s="19">
        <v>0</v>
      </c>
      <c r="Y116" s="19">
        <v>0</v>
      </c>
      <c r="Z116" s="19">
        <v>0</v>
      </c>
      <c r="AA116" s="19">
        <v>0</v>
      </c>
      <c r="AB116" s="19">
        <v>0</v>
      </c>
      <c r="AC116" s="19">
        <v>0</v>
      </c>
      <c r="AD116" s="19">
        <v>0</v>
      </c>
      <c r="AE116" s="19">
        <v>0</v>
      </c>
      <c r="AF116" s="19">
        <v>0</v>
      </c>
      <c r="AG116" s="19">
        <v>0</v>
      </c>
      <c r="AH116" s="19">
        <v>0</v>
      </c>
      <c r="AI116" s="19">
        <v>0</v>
      </c>
      <c r="AJ116" s="19">
        <v>0</v>
      </c>
    </row>
    <row r="117" spans="1:36">
      <c r="A117" t="s">
        <v>243</v>
      </c>
      <c r="B117">
        <v>2012</v>
      </c>
      <c r="C117" s="13">
        <f>'Japan EV uptake'!O7</f>
        <v>2022.0496368757667</v>
      </c>
      <c r="N117" s="13"/>
      <c r="O117" s="13">
        <f t="shared" si="18"/>
        <v>2.1653628922016011</v>
      </c>
      <c r="V117" s="13">
        <f>AVERAGE(Japan!J6,Japan!J31)/Japan!F56</f>
        <v>1.27393511606208</v>
      </c>
      <c r="W117" s="13">
        <f>'Country Petrol Prices'!N84</f>
        <v>1.9560621008573718</v>
      </c>
      <c r="X117" s="19">
        <v>0</v>
      </c>
      <c r="Y117" s="19">
        <v>0</v>
      </c>
      <c r="Z117" s="19">
        <v>0</v>
      </c>
      <c r="AA117" s="19">
        <v>0</v>
      </c>
      <c r="AB117" s="19">
        <v>0</v>
      </c>
      <c r="AC117" s="19">
        <v>0</v>
      </c>
      <c r="AD117" s="19">
        <v>0</v>
      </c>
      <c r="AE117" s="19">
        <v>0</v>
      </c>
      <c r="AF117" s="19">
        <v>0</v>
      </c>
      <c r="AG117" s="19">
        <v>0</v>
      </c>
      <c r="AH117" s="19">
        <v>0</v>
      </c>
      <c r="AI117" s="19">
        <v>0</v>
      </c>
      <c r="AJ117" s="19">
        <v>0</v>
      </c>
    </row>
    <row r="118" spans="1:36">
      <c r="B118">
        <v>2013</v>
      </c>
      <c r="C118" s="13">
        <f>'Japan EV uptake'!O8</f>
        <v>2019.1020916160128</v>
      </c>
      <c r="N118" s="13"/>
      <c r="O118" s="13">
        <f t="shared" si="18"/>
        <v>6.2757360249819589</v>
      </c>
      <c r="V118" s="13">
        <f>AVERAGE(Japan!J7,Japan!J32)/Japan!F57</f>
        <v>0.93330897609760255</v>
      </c>
      <c r="W118" s="13">
        <f>'Country Petrol Prices'!N85</f>
        <v>1.6715541066765489</v>
      </c>
      <c r="X118" s="19">
        <v>0</v>
      </c>
      <c r="Y118" s="19">
        <v>0</v>
      </c>
      <c r="Z118" s="19">
        <v>0</v>
      </c>
      <c r="AA118" s="19">
        <v>0</v>
      </c>
      <c r="AB118" s="19">
        <v>0</v>
      </c>
      <c r="AC118" s="19">
        <v>0</v>
      </c>
      <c r="AD118" s="19">
        <v>0</v>
      </c>
      <c r="AE118" s="19">
        <v>0</v>
      </c>
      <c r="AF118" s="19">
        <v>0</v>
      </c>
      <c r="AG118" s="19">
        <v>0</v>
      </c>
      <c r="AH118" s="19">
        <v>0</v>
      </c>
      <c r="AI118" s="19">
        <v>0</v>
      </c>
      <c r="AJ118" s="19">
        <v>1</v>
      </c>
    </row>
    <row r="119" spans="1:36">
      <c r="B119">
        <v>2014</v>
      </c>
      <c r="C119" s="13">
        <f>'Japan EV uptake'!O9</f>
        <v>2021.183253910898</v>
      </c>
      <c r="N119" s="13"/>
      <c r="O119" s="13">
        <f t="shared" si="18"/>
        <v>2.4971455369517166</v>
      </c>
      <c r="V119" s="13">
        <f>AVERAGE(Japan!J8,Japan!J33)/Japan!F58</f>
        <v>1.1352611013483924</v>
      </c>
      <c r="W119" s="13">
        <f>'Country Petrol Prices'!N86</f>
        <v>1.5839290360129055</v>
      </c>
      <c r="X119" s="19">
        <v>0</v>
      </c>
      <c r="Y119" s="19">
        <v>0</v>
      </c>
      <c r="Z119" s="19">
        <v>0</v>
      </c>
      <c r="AA119" s="19">
        <v>0</v>
      </c>
      <c r="AB119" s="19">
        <v>0</v>
      </c>
      <c r="AC119" s="19">
        <v>0</v>
      </c>
      <c r="AD119" s="19">
        <v>0</v>
      </c>
      <c r="AE119" s="19">
        <v>0</v>
      </c>
      <c r="AF119" s="19">
        <v>0</v>
      </c>
      <c r="AG119" s="19">
        <v>0</v>
      </c>
      <c r="AH119" s="19">
        <v>0</v>
      </c>
      <c r="AI119" s="19">
        <v>0</v>
      </c>
      <c r="AJ119" s="19">
        <v>1</v>
      </c>
    </row>
    <row r="120" spans="1:36">
      <c r="B120">
        <v>2015</v>
      </c>
      <c r="C120" s="13">
        <f>'Japan EV uptake'!O10</f>
        <v>2020.2968040972059</v>
      </c>
      <c r="N120" s="13"/>
      <c r="O120" s="13">
        <f t="shared" si="18"/>
        <v>3.8421473848572196</v>
      </c>
      <c r="V120" s="13">
        <f>AVERAGE(Japan!J9,Japan!J34)/Japan!F59</f>
        <v>1.0175407741404585</v>
      </c>
      <c r="W120" s="13">
        <f>'Country Petrol Prices'!N87</f>
        <v>1.1711880103687171</v>
      </c>
      <c r="X120" s="19">
        <v>0</v>
      </c>
      <c r="Y120" s="19">
        <v>0</v>
      </c>
      <c r="Z120" s="19">
        <v>0</v>
      </c>
      <c r="AA120" s="19">
        <v>0</v>
      </c>
      <c r="AB120" s="19">
        <v>0</v>
      </c>
      <c r="AC120" s="19">
        <v>0</v>
      </c>
      <c r="AD120" s="19">
        <v>0</v>
      </c>
      <c r="AE120" s="19">
        <v>0</v>
      </c>
      <c r="AF120" s="19">
        <v>0</v>
      </c>
      <c r="AG120" s="19">
        <v>0</v>
      </c>
      <c r="AH120" s="19">
        <v>0</v>
      </c>
      <c r="AI120" s="19">
        <v>0</v>
      </c>
      <c r="AJ120" s="19">
        <v>1</v>
      </c>
    </row>
    <row r="121" spans="1:36">
      <c r="B121">
        <v>2016</v>
      </c>
      <c r="C121" s="13">
        <f>'Japan EV uptake'!O11</f>
        <v>2020.2449836486119</v>
      </c>
      <c r="N121" s="13"/>
      <c r="O121" s="13">
        <f t="shared" si="18"/>
        <v>3.8570560986510136</v>
      </c>
      <c r="V121" s="13">
        <f>AVERAGE(Japan!J10,Japan!J35)/Japan!F60</f>
        <v>1.0129610164909109</v>
      </c>
      <c r="W121" s="13">
        <f>'Country Petrol Prices'!N88</f>
        <v>1.1348941941040496</v>
      </c>
      <c r="X121" s="19">
        <v>0</v>
      </c>
      <c r="Y121" s="19">
        <v>0</v>
      </c>
      <c r="Z121" s="19">
        <v>0</v>
      </c>
      <c r="AA121" s="19">
        <v>0</v>
      </c>
      <c r="AB121" s="19">
        <v>0</v>
      </c>
      <c r="AC121" s="19">
        <v>0</v>
      </c>
      <c r="AD121" s="19">
        <v>0</v>
      </c>
      <c r="AE121" s="19">
        <v>0</v>
      </c>
      <c r="AF121" s="19">
        <v>0</v>
      </c>
      <c r="AG121" s="19">
        <v>0</v>
      </c>
      <c r="AH121" s="19">
        <v>0</v>
      </c>
      <c r="AI121" s="19">
        <v>0</v>
      </c>
      <c r="AJ121" s="19">
        <v>1</v>
      </c>
    </row>
    <row r="122" spans="1:36" s="18" customFormat="1">
      <c r="B122" s="18">
        <v>2017</v>
      </c>
      <c r="C122" s="13">
        <f>'Japan EV uptake'!O12</f>
        <v>2020.2019547598193</v>
      </c>
      <c r="D122" s="182"/>
      <c r="E122" s="182"/>
      <c r="F122" s="182"/>
      <c r="G122" s="182"/>
      <c r="N122" s="13"/>
      <c r="O122" s="13">
        <f t="shared" si="18"/>
        <v>3.9965810549431566</v>
      </c>
      <c r="V122" s="182">
        <f>AVERAGE(Japan!J11,Japan!J36)/Japan!F61</f>
        <v>1.0110761873811431</v>
      </c>
      <c r="W122" s="13">
        <f>'Country Petrol Prices'!N89</f>
        <v>1.1920999013176987</v>
      </c>
      <c r="X122" s="19">
        <v>0</v>
      </c>
      <c r="Y122" s="19">
        <v>0</v>
      </c>
      <c r="Z122" s="19">
        <v>0</v>
      </c>
      <c r="AA122" s="19">
        <v>0</v>
      </c>
      <c r="AB122" s="19">
        <v>0</v>
      </c>
      <c r="AC122" s="19">
        <v>0</v>
      </c>
      <c r="AD122" s="19">
        <v>0</v>
      </c>
      <c r="AE122" s="19">
        <v>0</v>
      </c>
      <c r="AF122" s="19">
        <v>0</v>
      </c>
      <c r="AG122" s="19">
        <v>0</v>
      </c>
      <c r="AH122" s="19">
        <v>0</v>
      </c>
      <c r="AI122" s="19">
        <v>0</v>
      </c>
      <c r="AJ122" s="19">
        <v>1</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2"/>
  <sheetViews>
    <sheetView zoomScale="75" zoomScaleNormal="75" workbookViewId="0">
      <pane xSplit="2" ySplit="1" topLeftCell="C2" activePane="bottomRight" state="frozen"/>
      <selection pane="topRight" activeCell="C1" sqref="C1"/>
      <selection pane="bottomLeft" activeCell="A2" sqref="A2"/>
      <selection pane="bottomRight" activeCell="C39" sqref="C39:C44"/>
    </sheetView>
  </sheetViews>
  <sheetFormatPr defaultRowHeight="15"/>
  <cols>
    <col min="1" max="1" width="17.140625" customWidth="1"/>
    <col min="3" max="3" width="19.140625" style="13" customWidth="1"/>
    <col min="4" max="5" width="9.140625" style="13"/>
    <col min="6" max="6" width="14.140625" style="13" customWidth="1"/>
    <col min="7" max="7" width="15.5703125" style="13" customWidth="1"/>
    <col min="8" max="8" width="11.140625" customWidth="1"/>
    <col min="9" max="21" width="11" customWidth="1"/>
    <col min="22" max="22" width="9.140625" style="13"/>
    <col min="23" max="23" width="18.28515625" customWidth="1"/>
    <col min="25" max="25" width="10.85546875" customWidth="1"/>
    <col min="26" max="27" width="11.5703125" customWidth="1"/>
    <col min="28" max="28" width="11.28515625" customWidth="1"/>
    <col min="29" max="29" width="10.7109375" customWidth="1"/>
    <col min="31" max="31" width="11.28515625" customWidth="1"/>
    <col min="32" max="32" width="11" customWidth="1"/>
    <col min="33" max="33" width="13" customWidth="1"/>
    <col min="34" max="34" width="10.140625" customWidth="1"/>
    <col min="35" max="35" width="12.7109375" customWidth="1"/>
  </cols>
  <sheetData>
    <row r="1" spans="1:36">
      <c r="C1" s="183" t="s">
        <v>945</v>
      </c>
      <c r="D1" s="13" t="s">
        <v>949</v>
      </c>
      <c r="E1" s="13" t="s">
        <v>298</v>
      </c>
      <c r="F1" s="13" t="s">
        <v>238</v>
      </c>
      <c r="G1" s="13" t="s">
        <v>239</v>
      </c>
      <c r="H1" s="13" t="s">
        <v>541</v>
      </c>
      <c r="I1" s="13" t="s">
        <v>542</v>
      </c>
      <c r="J1" s="13" t="s">
        <v>240</v>
      </c>
      <c r="K1" s="13" t="s">
        <v>241</v>
      </c>
      <c r="L1" s="13" t="s">
        <v>242</v>
      </c>
      <c r="M1" s="13" t="s">
        <v>544</v>
      </c>
      <c r="N1" s="13" t="s">
        <v>538</v>
      </c>
      <c r="O1" s="13" t="s">
        <v>243</v>
      </c>
      <c r="P1" s="13" t="s">
        <v>244</v>
      </c>
      <c r="Q1" s="13" t="s">
        <v>245</v>
      </c>
      <c r="R1" s="13" t="s">
        <v>331</v>
      </c>
      <c r="S1" s="13" t="s">
        <v>246</v>
      </c>
      <c r="T1" s="13" t="s">
        <v>545</v>
      </c>
      <c r="V1" s="182" t="s">
        <v>952</v>
      </c>
      <c r="W1" s="182" t="s">
        <v>934</v>
      </c>
      <c r="X1" s="182" t="s">
        <v>950</v>
      </c>
      <c r="Y1" s="182" t="s">
        <v>951</v>
      </c>
      <c r="Z1" s="18" t="s">
        <v>957</v>
      </c>
      <c r="AA1" s="18"/>
      <c r="AB1" s="18" t="s">
        <v>958</v>
      </c>
      <c r="AC1" s="18" t="s">
        <v>959</v>
      </c>
      <c r="AD1" s="19" t="s">
        <v>961</v>
      </c>
      <c r="AE1" s="18" t="s">
        <v>962</v>
      </c>
      <c r="AF1" s="18" t="s">
        <v>963</v>
      </c>
      <c r="AG1" s="18" t="s">
        <v>965</v>
      </c>
      <c r="AH1" s="18" t="s">
        <v>966</v>
      </c>
      <c r="AI1" s="19" t="s">
        <v>967</v>
      </c>
      <c r="AJ1" s="18" t="s">
        <v>969</v>
      </c>
    </row>
    <row r="2" spans="1:36">
      <c r="A2" s="13"/>
      <c r="B2" s="13" t="s">
        <v>246</v>
      </c>
      <c r="C2" s="13" t="s">
        <v>539</v>
      </c>
      <c r="D2" s="13" t="s">
        <v>949</v>
      </c>
      <c r="E2" s="13" t="s">
        <v>298</v>
      </c>
      <c r="F2" s="13" t="s">
        <v>238</v>
      </c>
      <c r="G2" s="13" t="s">
        <v>239</v>
      </c>
      <c r="H2" s="13" t="s">
        <v>541</v>
      </c>
      <c r="I2" s="13" t="s">
        <v>542</v>
      </c>
      <c r="J2" s="13" t="s">
        <v>240</v>
      </c>
      <c r="K2" s="13" t="s">
        <v>241</v>
      </c>
      <c r="L2" s="13" t="s">
        <v>242</v>
      </c>
      <c r="M2" s="13" t="s">
        <v>544</v>
      </c>
      <c r="N2" s="13" t="s">
        <v>538</v>
      </c>
      <c r="O2" s="13" t="s">
        <v>243</v>
      </c>
      <c r="P2" s="13" t="s">
        <v>244</v>
      </c>
      <c r="Q2" s="13" t="s">
        <v>245</v>
      </c>
      <c r="R2" s="13" t="s">
        <v>331</v>
      </c>
      <c r="S2" s="13" t="s">
        <v>246</v>
      </c>
      <c r="T2" s="13" t="s">
        <v>545</v>
      </c>
      <c r="U2" s="13"/>
    </row>
    <row r="3" spans="1:36">
      <c r="A3" s="181" t="s">
        <v>159</v>
      </c>
      <c r="B3" s="41">
        <v>7.0636337907444897</v>
      </c>
      <c r="C3" s="41">
        <v>22.262395913854437</v>
      </c>
      <c r="D3" s="41">
        <v>22.394457267078145</v>
      </c>
      <c r="E3" s="41">
        <v>22.220514071203009</v>
      </c>
      <c r="F3" s="41">
        <v>22.139797491970427</v>
      </c>
      <c r="G3" s="41">
        <v>22.133263934599121</v>
      </c>
      <c r="H3" s="41">
        <v>22.155760095725004</v>
      </c>
      <c r="I3" s="41">
        <v>21.888703289340441</v>
      </c>
      <c r="J3" s="41">
        <v>21.849068137993925</v>
      </c>
      <c r="K3" s="41">
        <v>12.547856043451196</v>
      </c>
      <c r="L3" s="41">
        <v>23.99680326781775</v>
      </c>
      <c r="M3" s="41">
        <v>24.154434051146065</v>
      </c>
      <c r="N3" s="41">
        <v>24.850484633188064</v>
      </c>
      <c r="O3" s="41">
        <v>21.362407271693108</v>
      </c>
      <c r="T3" s="41"/>
      <c r="U3" s="41"/>
    </row>
    <row r="4" spans="1:36">
      <c r="A4" s="182" t="s">
        <v>984</v>
      </c>
      <c r="B4" s="41">
        <v>4.2820205114862215</v>
      </c>
      <c r="C4" s="41">
        <v>1.2825488477698184</v>
      </c>
      <c r="D4" s="41">
        <v>-16.471422710462704</v>
      </c>
      <c r="E4" s="41">
        <v>-16.279907240375746</v>
      </c>
      <c r="F4" s="41">
        <v>-16.191036425177924</v>
      </c>
      <c r="G4" s="41">
        <v>-16.183842827837076</v>
      </c>
      <c r="H4" s="41">
        <v>-16.210142116889866</v>
      </c>
      <c r="I4" s="41">
        <v>-15.997115587681442</v>
      </c>
      <c r="J4" s="41">
        <v>-15.953392563492839</v>
      </c>
      <c r="K4" s="41">
        <v>-7.765692497497275</v>
      </c>
      <c r="L4" s="41">
        <v>1.4917544606421591</v>
      </c>
      <c r="M4" s="41">
        <v>1.4466081902086183</v>
      </c>
      <c r="N4" s="41">
        <v>1.3775868142613072</v>
      </c>
      <c r="O4" s="41">
        <v>1.8489638564621245</v>
      </c>
      <c r="T4" s="41"/>
      <c r="U4" s="41"/>
    </row>
    <row r="5" spans="1:36" ht="15.75" thickBot="1">
      <c r="A5" s="13" t="s">
        <v>950</v>
      </c>
      <c r="B5" s="42">
        <v>-12.404658679205403</v>
      </c>
      <c r="C5" s="42"/>
      <c r="D5" s="41">
        <v>-1.8494182115769591</v>
      </c>
      <c r="E5" s="41">
        <v>-1.914354976579147</v>
      </c>
      <c r="F5" s="41">
        <v>-1.9444882250286553</v>
      </c>
      <c r="G5" s="41">
        <v>-1.9469273436013286</v>
      </c>
      <c r="H5" s="41">
        <v>-1.9366200286572042</v>
      </c>
      <c r="I5" s="41">
        <v>-1.9352742321458214</v>
      </c>
      <c r="J5" s="41">
        <v>-1.9501754287134925</v>
      </c>
      <c r="K5" s="41">
        <v>-2.8615977002208002</v>
      </c>
      <c r="L5" s="41">
        <v>1.6383652863955176</v>
      </c>
      <c r="M5" s="41">
        <v>1.6404099919989608</v>
      </c>
      <c r="N5" s="41">
        <v>1.7916118536382335</v>
      </c>
      <c r="O5" s="41">
        <v>1.5734637284550401</v>
      </c>
      <c r="T5" s="41"/>
      <c r="U5" s="41"/>
    </row>
    <row r="6" spans="1:36">
      <c r="A6" s="13" t="s">
        <v>956</v>
      </c>
      <c r="B6" s="13"/>
      <c r="D6" s="41">
        <v>-2.9606019092370173</v>
      </c>
      <c r="E6" s="41">
        <v>-2.9739060481401078</v>
      </c>
      <c r="F6" s="41">
        <v>-2.9800796991213359</v>
      </c>
      <c r="G6" s="41">
        <v>-2.9805794217713748</v>
      </c>
      <c r="H6" s="41">
        <v>-2.9772079507658278</v>
      </c>
      <c r="I6" s="41">
        <v>-2.9102549989491489</v>
      </c>
      <c r="J6" s="41">
        <v>-2.9133769131951701</v>
      </c>
      <c r="K6" s="41">
        <v>-1.4101968009418711</v>
      </c>
      <c r="L6" s="41">
        <v>-5.3880476077253094</v>
      </c>
      <c r="M6" s="41">
        <v>-5.4239565301534229</v>
      </c>
      <c r="N6" s="41">
        <v>-5.5606749548738579</v>
      </c>
      <c r="O6" s="41">
        <v>-4.571574176598733</v>
      </c>
      <c r="T6" s="41"/>
      <c r="U6" s="41"/>
    </row>
    <row r="7" spans="1:36" ht="15.75" thickBot="1">
      <c r="A7" s="13" t="s">
        <v>957</v>
      </c>
      <c r="B7" s="13"/>
      <c r="D7" s="42">
        <v>-6.0288275471328152</v>
      </c>
      <c r="E7" s="41">
        <v>-6.0331280729133878</v>
      </c>
      <c r="F7" s="41">
        <v>-6.0351236883679755</v>
      </c>
      <c r="G7" s="41">
        <v>-6.0352852223203213</v>
      </c>
      <c r="H7" s="41">
        <v>-6.0324918255855371</v>
      </c>
      <c r="I7" s="41">
        <v>-5.9206791076777572</v>
      </c>
      <c r="J7" s="41">
        <v>-5.9217815440097477</v>
      </c>
      <c r="K7" s="41">
        <v>-3.1505466920380525</v>
      </c>
      <c r="L7" s="41">
        <v>2.1739984891353115</v>
      </c>
      <c r="M7" s="41">
        <v>2.1895894686760471</v>
      </c>
      <c r="N7" s="41">
        <v>2.3094681136833568</v>
      </c>
      <c r="O7" s="41">
        <v>2.1257925836815743</v>
      </c>
      <c r="T7" s="41"/>
      <c r="U7" s="41"/>
      <c r="X7" s="183" t="s">
        <v>945</v>
      </c>
      <c r="Y7" t="s">
        <v>997</v>
      </c>
      <c r="Z7" t="s">
        <v>982</v>
      </c>
      <c r="AA7" t="s">
        <v>1032</v>
      </c>
    </row>
    <row r="8" spans="1:36" ht="15.75" thickBot="1">
      <c r="A8" s="13" t="s">
        <v>990</v>
      </c>
      <c r="B8" s="13"/>
      <c r="D8" s="41"/>
      <c r="E8" s="42">
        <v>-3.7780724496332838</v>
      </c>
      <c r="F8" s="41">
        <v>-3.7788345771350924</v>
      </c>
      <c r="G8" s="41">
        <v>-3.7788962671101221</v>
      </c>
      <c r="H8" s="41">
        <v>-3.7772806649390751</v>
      </c>
      <c r="I8" s="41">
        <v>-3.7055312388387995</v>
      </c>
      <c r="J8" s="41">
        <v>-3.7059823121710354</v>
      </c>
      <c r="K8" s="41">
        <v>-1.9114326806801625</v>
      </c>
      <c r="L8" s="41"/>
      <c r="M8" s="41"/>
      <c r="N8" s="41"/>
      <c r="O8" s="41"/>
      <c r="T8" s="41"/>
      <c r="U8" s="41"/>
      <c r="W8" t="s">
        <v>255</v>
      </c>
      <c r="X8" s="13">
        <f>AVERAGE(C33:C38)</f>
        <v>0</v>
      </c>
      <c r="Y8" s="13">
        <f>AVERAGE(W33:W38)</f>
        <v>0.8079031611999028</v>
      </c>
      <c r="Z8" s="13">
        <f>1/Y8</f>
        <v>1.2377721093636938</v>
      </c>
      <c r="AA8" s="13"/>
    </row>
    <row r="9" spans="1:36" ht="15.75" thickBot="1">
      <c r="A9" s="18" t="s">
        <v>958</v>
      </c>
      <c r="B9" s="13"/>
      <c r="D9" s="41"/>
      <c r="F9" s="42">
        <v>-0.2628901660296209</v>
      </c>
      <c r="G9" s="41">
        <v>-0.26438808910563211</v>
      </c>
      <c r="H9" s="41">
        <v>-0.25752171910866539</v>
      </c>
      <c r="I9" s="41">
        <v>-0.22830396918371718</v>
      </c>
      <c r="J9" s="41">
        <v>-0.23748453509655032</v>
      </c>
      <c r="K9" s="41">
        <v>-7.764495179346538E-2</v>
      </c>
      <c r="L9" s="41">
        <v>3.2064723645714013</v>
      </c>
      <c r="M9" s="41">
        <v>3.1917745752553359</v>
      </c>
      <c r="N9" s="41">
        <v>3.2630373764891614</v>
      </c>
      <c r="O9" s="41">
        <v>3.4034168967547815</v>
      </c>
      <c r="T9" s="41"/>
      <c r="U9" s="41"/>
      <c r="W9" s="13" t="s">
        <v>246</v>
      </c>
      <c r="X9" s="13" t="e">
        <f>AVERAGE(C39:C44)</f>
        <v>#DIV/0!</v>
      </c>
      <c r="Y9" s="13">
        <f>AVERAGE(W39:W44)</f>
        <v>2.2887512519313833</v>
      </c>
      <c r="Z9" s="13">
        <f t="shared" ref="Z9:Z18" si="0">1/Y9</f>
        <v>0.43691947701006872</v>
      </c>
      <c r="AA9" s="13"/>
    </row>
    <row r="10" spans="1:36" ht="15.75" thickBot="1">
      <c r="A10" s="18" t="s">
        <v>959</v>
      </c>
      <c r="B10" s="13"/>
      <c r="D10" s="41"/>
      <c r="F10"/>
      <c r="G10" s="42">
        <v>-5.2743671349340868</v>
      </c>
      <c r="H10" s="41">
        <v>-5.2739358641083784</v>
      </c>
      <c r="I10" s="41">
        <v>-5.1925932510810817</v>
      </c>
      <c r="J10" s="41">
        <v>-5.1910753530104872</v>
      </c>
      <c r="K10" s="41">
        <v>-3.0278104374308663</v>
      </c>
      <c r="L10" s="41">
        <v>-2.5094382078314013</v>
      </c>
      <c r="M10" s="41">
        <v>-2.543506229616435</v>
      </c>
      <c r="N10" s="41">
        <v>-2.6053860774378297</v>
      </c>
      <c r="O10" s="41">
        <v>-1.9127569725491786</v>
      </c>
      <c r="T10" s="41"/>
      <c r="U10" s="41"/>
      <c r="W10" s="13" t="s">
        <v>539</v>
      </c>
      <c r="X10" s="13">
        <f>AVERAGE(C45:C50)</f>
        <v>0</v>
      </c>
      <c r="Y10" s="13">
        <f>AVERAGE(W45:W50)</f>
        <v>0.9122911030051889</v>
      </c>
      <c r="Z10" s="13">
        <f t="shared" si="0"/>
        <v>1.0961413486395826</v>
      </c>
      <c r="AA10" s="13"/>
    </row>
    <row r="11" spans="1:36" ht="15.75" thickBot="1">
      <c r="A11" s="13"/>
      <c r="B11" s="13"/>
      <c r="D11" s="41"/>
      <c r="F11"/>
      <c r="G11"/>
      <c r="H11" s="42">
        <v>-10.610421114091462</v>
      </c>
      <c r="I11" s="41">
        <v>-10.445510988700466</v>
      </c>
      <c r="J11" s="41">
        <v>-10.43006057401908</v>
      </c>
      <c r="K11" s="41">
        <v>-5.2591724973044096</v>
      </c>
      <c r="L11" s="41">
        <v>-9.8120887077380203</v>
      </c>
      <c r="M11" s="41">
        <v>-9.828735092376979</v>
      </c>
      <c r="N11" s="41">
        <v>-10.009655208906146</v>
      </c>
      <c r="O11" s="41">
        <v>-9.0095964656767418</v>
      </c>
      <c r="W11" s="13" t="s">
        <v>949</v>
      </c>
      <c r="X11" s="13">
        <f>AVERAGE(C51:C56)</f>
        <v>3.4666666666666592</v>
      </c>
      <c r="Y11" s="13">
        <f>AVERAGE(W51:W56)</f>
        <v>1.0117846776717005</v>
      </c>
      <c r="Z11" s="13">
        <f t="shared" si="0"/>
        <v>0.98835258337888732</v>
      </c>
      <c r="AA11" s="13"/>
    </row>
    <row r="12" spans="1:36" ht="15.75" thickBot="1">
      <c r="A12" s="13"/>
      <c r="B12" s="13"/>
      <c r="D12" s="41"/>
      <c r="F12"/>
      <c r="G12"/>
      <c r="I12" s="42">
        <v>-2.8238107081455603</v>
      </c>
      <c r="J12" s="41">
        <v>-2.8260265109831457</v>
      </c>
      <c r="K12" s="41">
        <v>-1.7795049967499705</v>
      </c>
      <c r="L12" s="41">
        <v>-1.1014629525763577</v>
      </c>
      <c r="M12" s="41">
        <v>-1.0898356711665689</v>
      </c>
      <c r="N12" s="41">
        <v>-1.0487523136669801</v>
      </c>
      <c r="O12" s="41">
        <v>-1.0753458227296566</v>
      </c>
      <c r="W12" s="13" t="s">
        <v>298</v>
      </c>
      <c r="X12" s="13">
        <f>AVERAGE(C57:C62)</f>
        <v>2017.4626731005192</v>
      </c>
      <c r="Y12" s="13">
        <f>AVERAGE(W57:W62)</f>
        <v>1.2498660421978693</v>
      </c>
      <c r="Z12" s="13">
        <f t="shared" si="0"/>
        <v>0.80008574218203099</v>
      </c>
      <c r="AA12" s="13"/>
    </row>
    <row r="13" spans="1:36" ht="15.75" thickBot="1">
      <c r="A13" s="13"/>
      <c r="B13" s="13"/>
      <c r="D13" s="41"/>
      <c r="F13"/>
      <c r="G13"/>
      <c r="J13" s="42">
        <v>-2.3249068203531253</v>
      </c>
      <c r="K13" s="41">
        <v>-0.90556433234489386</v>
      </c>
      <c r="L13" s="41">
        <v>1.0954493002474439</v>
      </c>
      <c r="M13" s="41">
        <v>1.110146909041047</v>
      </c>
      <c r="N13" s="41">
        <v>1.1969582418055744</v>
      </c>
      <c r="O13" s="41">
        <v>1.1297847960828924</v>
      </c>
      <c r="W13" s="13" t="s">
        <v>238</v>
      </c>
      <c r="X13" s="13">
        <f>AVERAGE(C63:C70)</f>
        <v>2017.4620854744853</v>
      </c>
      <c r="Y13" s="13">
        <f>AVERAGE(W63:W68)</f>
        <v>0.93590455680875406</v>
      </c>
      <c r="Z13" s="13">
        <f t="shared" si="0"/>
        <v>1.0684850209617511</v>
      </c>
      <c r="AA13" s="13"/>
    </row>
    <row r="14" spans="1:36" ht="15.75" thickBot="1">
      <c r="A14" s="13"/>
      <c r="B14" s="13"/>
      <c r="D14" s="41"/>
      <c r="F14"/>
      <c r="G14"/>
      <c r="K14" s="42">
        <v>-1.8192784130185093</v>
      </c>
      <c r="L14" s="41">
        <v>2.5528387176238319</v>
      </c>
      <c r="M14" s="41">
        <v>2.6026214866948933</v>
      </c>
      <c r="N14" s="41">
        <v>2.8266484830333023</v>
      </c>
      <c r="O14" s="41">
        <v>2.1105985662453648</v>
      </c>
      <c r="W14" s="13" t="s">
        <v>239</v>
      </c>
      <c r="X14" s="13">
        <f>AVERAGE(C71:C74)</f>
        <v>2016.9353395777366</v>
      </c>
      <c r="Y14" s="13">
        <f>AVERAGE(W69:W74)</f>
        <v>1.1802789577496979</v>
      </c>
      <c r="Z14" s="13">
        <f t="shared" si="0"/>
        <v>0.84725733135714365</v>
      </c>
      <c r="AA14" s="13"/>
    </row>
    <row r="15" spans="1:36" ht="15.75" thickBot="1">
      <c r="A15" s="13"/>
      <c r="B15" s="13"/>
      <c r="D15" s="41"/>
      <c r="F15"/>
      <c r="G15"/>
      <c r="L15" s="42">
        <v>3.990474534349385</v>
      </c>
      <c r="M15" s="41">
        <v>3.9930409766716166</v>
      </c>
      <c r="N15" s="41">
        <v>4.1728637578032401</v>
      </c>
      <c r="O15" s="41">
        <v>3.9159662305523457</v>
      </c>
      <c r="W15" s="13" t="s">
        <v>541</v>
      </c>
      <c r="X15" s="20">
        <f>AVERAGE(C75:C78)</f>
        <v>0</v>
      </c>
      <c r="Y15" s="13">
        <f>AVERAGE(W75:W80)</f>
        <v>1.4573169237957992</v>
      </c>
      <c r="Z15" s="13">
        <f t="shared" si="0"/>
        <v>0.68619253895395027</v>
      </c>
      <c r="AA15" s="13"/>
    </row>
    <row r="16" spans="1:36" ht="15.75" thickBot="1">
      <c r="F16" s="41"/>
      <c r="M16" s="42">
        <v>-4.7204990857171314</v>
      </c>
      <c r="N16" s="41">
        <v>-4.7238041550420347</v>
      </c>
      <c r="O16" s="41">
        <v>-4.3447859109569897</v>
      </c>
      <c r="W16" s="13" t="s">
        <v>542</v>
      </c>
      <c r="X16" s="13">
        <f>AVERAGE(C82:C86)</f>
        <v>2016.9178827401902</v>
      </c>
      <c r="Y16" s="13">
        <f>AVERAGE(W81:W86)</f>
        <v>1.0021931138110065</v>
      </c>
      <c r="Z16" s="13">
        <f t="shared" si="0"/>
        <v>0.99781168541193943</v>
      </c>
      <c r="AA16" s="13"/>
    </row>
    <row r="17" spans="3:42" ht="15.75" thickBot="1">
      <c r="F17" s="41"/>
      <c r="N17" s="42">
        <v>1.2899745339203055</v>
      </c>
      <c r="O17" s="41">
        <v>0.46644917886805176</v>
      </c>
      <c r="W17" s="13" t="s">
        <v>240</v>
      </c>
      <c r="X17" s="13">
        <f>AVERAGE(C87:C92)</f>
        <v>2016.9975592800977</v>
      </c>
      <c r="Y17" s="13">
        <f>AVERAGE(W87:W92)</f>
        <v>0.99056577771744314</v>
      </c>
      <c r="Z17" s="13">
        <f t="shared" si="0"/>
        <v>1.0095240745186009</v>
      </c>
      <c r="AA17" s="13"/>
    </row>
    <row r="18" spans="3:42" ht="15.75" thickBot="1">
      <c r="F18" s="41"/>
      <c r="O18" s="42">
        <v>-1.4635421758525282</v>
      </c>
      <c r="W18" s="13" t="s">
        <v>241</v>
      </c>
      <c r="X18" s="13">
        <f>AVERAGE(C93:C98)</f>
        <v>2016.9766059491033</v>
      </c>
      <c r="Y18" s="13">
        <f>AVERAGE(W93:W98)</f>
        <v>0.99425021735618468</v>
      </c>
      <c r="Z18" s="13">
        <f t="shared" si="0"/>
        <v>1.0057830338313676</v>
      </c>
      <c r="AA18" s="13"/>
    </row>
    <row r="19" spans="3:42">
      <c r="F19" s="41"/>
    </row>
    <row r="20" spans="3:42">
      <c r="F20" s="41"/>
    </row>
    <row r="21" spans="3:42">
      <c r="F21" s="41"/>
    </row>
    <row r="22" spans="3:42">
      <c r="F22" s="41"/>
    </row>
    <row r="23" spans="3:42">
      <c r="F23" s="41"/>
    </row>
    <row r="24" spans="3:42">
      <c r="F24" s="41"/>
    </row>
    <row r="25" spans="3:42">
      <c r="F25" s="41"/>
    </row>
    <row r="26" spans="3:42">
      <c r="F26" s="41"/>
    </row>
    <row r="27" spans="3:42">
      <c r="F27" s="41"/>
    </row>
    <row r="28" spans="3:42">
      <c r="F28" s="41"/>
    </row>
    <row r="29" spans="3:42">
      <c r="F29" s="41"/>
    </row>
    <row r="30" spans="3:42">
      <c r="F30" s="41"/>
    </row>
    <row r="31" spans="3:42">
      <c r="D31" s="13" t="s">
        <v>949</v>
      </c>
      <c r="E31" s="13" t="s">
        <v>298</v>
      </c>
      <c r="F31" s="13" t="s">
        <v>238</v>
      </c>
      <c r="G31" s="13" t="s">
        <v>239</v>
      </c>
      <c r="H31" s="13" t="s">
        <v>541</v>
      </c>
      <c r="I31" s="13" t="s">
        <v>542</v>
      </c>
      <c r="J31" s="13" t="s">
        <v>240</v>
      </c>
      <c r="K31" s="13" t="s">
        <v>241</v>
      </c>
      <c r="L31" s="13" t="s">
        <v>242</v>
      </c>
      <c r="M31" s="13" t="s">
        <v>544</v>
      </c>
      <c r="N31" s="13" t="s">
        <v>538</v>
      </c>
      <c r="O31" s="13" t="s">
        <v>243</v>
      </c>
      <c r="P31" s="13" t="s">
        <v>244</v>
      </c>
      <c r="Q31" s="13" t="s">
        <v>245</v>
      </c>
      <c r="R31" s="13" t="s">
        <v>331</v>
      </c>
      <c r="S31" s="13" t="s">
        <v>246</v>
      </c>
      <c r="T31" s="13" t="s">
        <v>545</v>
      </c>
    </row>
    <row r="32" spans="3:42" s="18" customFormat="1">
      <c r="C32" s="183" t="s">
        <v>945</v>
      </c>
      <c r="D32" s="182" t="s">
        <v>170</v>
      </c>
      <c r="E32" s="182" t="s">
        <v>170</v>
      </c>
      <c r="F32" s="182" t="s">
        <v>170</v>
      </c>
      <c r="G32" s="182" t="s">
        <v>170</v>
      </c>
      <c r="H32" s="182" t="s">
        <v>170</v>
      </c>
      <c r="I32" s="182" t="s">
        <v>170</v>
      </c>
      <c r="J32" s="182" t="s">
        <v>170</v>
      </c>
      <c r="K32" s="182" t="s">
        <v>170</v>
      </c>
      <c r="L32" s="182" t="s">
        <v>170</v>
      </c>
      <c r="M32" s="182"/>
      <c r="N32" s="182"/>
      <c r="O32" s="182"/>
      <c r="P32" s="182"/>
      <c r="Q32" s="182"/>
      <c r="R32" s="182"/>
      <c r="S32" s="182"/>
      <c r="T32" s="182"/>
      <c r="U32" s="182"/>
      <c r="V32" s="182"/>
      <c r="W32" s="182" t="s">
        <v>984</v>
      </c>
      <c r="X32" s="182" t="s">
        <v>950</v>
      </c>
      <c r="Y32" s="182" t="s">
        <v>951</v>
      </c>
      <c r="Z32" s="18" t="s">
        <v>957</v>
      </c>
      <c r="AA32" s="18" t="s">
        <v>990</v>
      </c>
      <c r="AB32" s="18" t="s">
        <v>958</v>
      </c>
      <c r="AC32" s="18" t="s">
        <v>959</v>
      </c>
      <c r="AD32" s="19" t="s">
        <v>961</v>
      </c>
      <c r="AE32" s="18" t="s">
        <v>962</v>
      </c>
      <c r="AF32" s="18" t="s">
        <v>963</v>
      </c>
      <c r="AG32" s="18" t="s">
        <v>965</v>
      </c>
      <c r="AH32" s="18" t="s">
        <v>966</v>
      </c>
      <c r="AI32" s="19" t="s">
        <v>967</v>
      </c>
      <c r="AJ32" s="18" t="s">
        <v>969</v>
      </c>
      <c r="AK32" s="13" t="s">
        <v>972</v>
      </c>
      <c r="AL32" s="13" t="s">
        <v>973</v>
      </c>
      <c r="AM32" s="13" t="s">
        <v>974</v>
      </c>
      <c r="AN32" s="13" t="s">
        <v>975</v>
      </c>
      <c r="AO32" s="13" t="s">
        <v>976</v>
      </c>
      <c r="AP32" s="13" t="s">
        <v>977</v>
      </c>
    </row>
    <row r="33" spans="1:37">
      <c r="A33" s="14" t="s">
        <v>833</v>
      </c>
      <c r="B33">
        <v>2012</v>
      </c>
      <c r="C33" s="13">
        <v>0</v>
      </c>
      <c r="D33" s="13">
        <f>D$3+D$4*W33+D$5*X33+D$6*Y33+D$7*Z33</f>
        <v>6.7236406892952711</v>
      </c>
      <c r="E33" s="13">
        <f>E$3+E$4*W33+E$5*X33+E$6*Y33+E$7*Z33+E$8*AA33</f>
        <v>6.6454640053535607</v>
      </c>
      <c r="F33" s="13">
        <f>F$3+F$4*W33+F$5*X33+F$6*Y33+F$7*Z33+F$8*AA33+F$9*AB33</f>
        <v>6.6091869065468174</v>
      </c>
      <c r="G33" s="13">
        <f>G$3+G$4*W33+G$5*X33+G$6*Y33+G$7*Z33+G$8*AA33+G$9*AB33+G$10*AC33</f>
        <v>6.6062504775185813</v>
      </c>
      <c r="H33" s="13">
        <f>H$3+H$4*W33+H$5*X33+H$6*Y33+H$7*Z33+H$8*AA33+H$9*AB33+H$10*AC33+H$11*AD33</f>
        <v>6.6169858567923274</v>
      </c>
      <c r="I33" s="13">
        <f>I$3+I$4*W33+I$5*X33+I$6*Y33+I$7*Z33+I$8*AA33+I$9*AB33+I$10*AC33+I$11*AD33+I$12*AE33</f>
        <v>6.5300283507612642</v>
      </c>
      <c r="J33" s="13">
        <f>J$3+J$4*W33+J$5*X33+J$6*Y33+J$7*Z33+J$8*AA33+J$9*AB33+J$10*AC33+J$11*AD33+J$12*AE33+J$13*AF33</f>
        <v>6.5121805965228425</v>
      </c>
      <c r="K33" s="13">
        <f>K$3+K$4*W33+K$5*X33+K$6*Y33+K$7*Z33+K$8*AA33+K$9*AB33+K$10*AC33+K$11*AD33+K$12*AE33+K$13*AF33+K$14*AG33</f>
        <v>3.1699584774520586</v>
      </c>
      <c r="L33" s="13">
        <f>L$3+L$4*W33+L$5*X33+L$6*Y33+L$7*Z33+L$8*AA33+L$9*AB33+L$10*AC33+L$11*AD33+L$12*AE33+L$13*AF33+L$14*AG33+L$15*AH33</f>
        <v>26.886920332279363</v>
      </c>
      <c r="M33" s="13">
        <f>M$3+M$4*W33+M$5*X33+M$6*Y33+M$7*Z33+M$8*AA33+M$9*AB33+M$10*AC33+M$11*AD33+M$12*AE33+M$13*AF33+M$14*AG33+M$15*AH33+M$16*AI33</f>
        <v>27.008712961947598</v>
      </c>
      <c r="N33" s="13">
        <f>N$3+N$4*W33+N$5*X33+N$6*Y33+N$7*Z33+N$8*AA33+N$9*AB33+N$10*AC33+N$11*AD33+N$12*AE33+N$13*AF33+N$14*AG33+N$15*AH33+N$16*AI33+N$17*AJ33</f>
        <v>27.798048615469298</v>
      </c>
      <c r="O33" s="13">
        <f>O$3+O$4*W33+O$5*X33+O$6*Y33+O$7*Z33+O$8*AA33+O$9*AB33+O$10*AC33+O$11*AD33+O$12*AE33+O$13*AF33+O$14*AG33+O$15*AH33+O$16*AI33+O$17*AJ33+O$18*AK33</f>
        <v>24.487362117466542</v>
      </c>
      <c r="P33" s="13"/>
      <c r="Q33" s="13"/>
      <c r="R33" s="13"/>
      <c r="S33" s="13"/>
      <c r="T33" s="13"/>
      <c r="U33" s="13"/>
      <c r="W33" s="13">
        <f>Australia!R141</f>
        <v>0.83911381604131352</v>
      </c>
      <c r="X33">
        <v>1</v>
      </c>
      <c r="Y33">
        <v>0</v>
      </c>
      <c r="Z33">
        <v>0</v>
      </c>
      <c r="AA33">
        <v>0</v>
      </c>
      <c r="AB33">
        <v>0</v>
      </c>
      <c r="AC33">
        <v>0</v>
      </c>
      <c r="AD33">
        <v>0</v>
      </c>
      <c r="AE33">
        <v>0</v>
      </c>
      <c r="AF33">
        <v>0</v>
      </c>
      <c r="AG33">
        <v>0</v>
      </c>
      <c r="AH33" s="31">
        <v>0</v>
      </c>
      <c r="AI33" s="19">
        <v>0</v>
      </c>
      <c r="AJ33" s="19">
        <v>0</v>
      </c>
      <c r="AK33" s="19">
        <v>0</v>
      </c>
    </row>
    <row r="34" spans="1:37">
      <c r="B34">
        <v>2013</v>
      </c>
      <c r="C34" s="13">
        <v>0</v>
      </c>
      <c r="D34" s="13">
        <f t="shared" ref="D34:D56" si="1">D$3+D$4*W34+D$5*X34+D$6*Y34+D$7*Z34</f>
        <v>6.99379169879853</v>
      </c>
      <c r="E34" s="13">
        <f t="shared" ref="E34:E62" si="2">E$3+E$4*W34+E$5*X34+E$6*Y34+E$7*Z34+E$8*AA34</f>
        <v>6.9124739323596396</v>
      </c>
      <c r="F34" s="13">
        <f t="shared" ref="F34:F68" si="3">F$3+F$4*W34+F$5*X34+F$6*Y34+F$7*Z34+F$8*AA34+F$9*AB34</f>
        <v>6.8747392460170111</v>
      </c>
      <c r="G34" s="13">
        <f t="shared" ref="G34:G74" si="4">G$3+G$4*W34+G$5*X34+G$6*Y34+G$7*Z34+G$8*AA34+G$9*AB34+G$10*AC34</f>
        <v>6.8716848333987874</v>
      </c>
      <c r="H34" s="13">
        <f t="shared" ref="H34:H80" si="5">H$3+H$4*W34+H$5*X34+H$6*Y34+H$7*Z34+H$8*AA34+H$9*AB34+H$10*AC34+H$11*AD34</f>
        <v>6.8828515524305942</v>
      </c>
      <c r="I34" s="13">
        <f t="shared" ref="I34:I62" si="6">I$3+I$4*W34+I$5*X34+I$6*Y34+I$7*Z34+I$8*AA34+I$9*AB34+I$10*AC34+I$11*AD34+I$12*AE34</f>
        <v>6.7924001568352681</v>
      </c>
      <c r="J34" s="13">
        <f t="shared" ref="J34:J62" si="7">J$3+J$4*W34+J$5*X34+J$6*Y34+J$7*Z34+J$8*AA34+J$9*AB34+J$10*AC34+J$11*AD34+J$12*AE34+J$13*AF34</f>
        <v>6.773835292767858</v>
      </c>
      <c r="K34" s="13">
        <f t="shared" ref="K34:K62" si="8">K$3+K$4*W34+K$5*X34+K$6*Y34+K$7*Z34+K$8*AA34+K$9*AB34+K$10*AC34+K$11*AD34+K$12*AE34+K$13*AF34+K$14*AG34</f>
        <v>3.2973251114440441</v>
      </c>
      <c r="L34" s="13">
        <f t="shared" ref="L34:L62" si="9">L$3+L$4*W34+L$5*X34+L$6*Y34+L$7*Z34+L$8*AA34+L$9*AB34+L$10*AC34+L$11*AD34+L$12*AE34+L$13*AF34+L$14*AG34+L$15*AH34</f>
        <v>26.862453777048678</v>
      </c>
      <c r="M34" s="13">
        <f t="shared" ref="M34:M62" si="10">M$3+M$4*W34+M$5*X34+M$6*Y34+M$7*Z34+M$8*AA34+M$9*AB34+M$10*AC34+M$11*AD34+M$12*AE34+M$13*AF34+M$14*AG34+M$15*AH34+M$16*AI34</f>
        <v>26.984986859484554</v>
      </c>
      <c r="N34" s="13">
        <f t="shared" ref="N34:N62" si="11">N$3+N$4*W34+N$5*X34+N$6*Y34+N$7*Z34+N$8*AA34+N$9*AB34+N$10*AC34+N$11*AD34+N$12*AE34+N$13*AF34+N$14*AG34+N$15*AH34+N$16*AI34+N$17*AJ34</f>
        <v>27.775454546025944</v>
      </c>
      <c r="O34" s="13">
        <f t="shared" ref="O34:O62" si="12">O$3+O$4*W34+O$5*X34+O$6*Y34+O$7*Z34+O$8*AA34+O$9*AB34+O$10*AC34+O$11*AD34+O$12*AE34+O$13*AF34+O$14*AG34+O$15*AH34+O$16*AI34+O$17*AJ34+O$18*AK34</f>
        <v>24.457036901415776</v>
      </c>
      <c r="P34" s="13"/>
      <c r="Q34" s="13"/>
      <c r="R34" s="13"/>
      <c r="S34" s="13"/>
      <c r="T34" s="13"/>
      <c r="U34" s="13"/>
      <c r="W34" s="13">
        <f>Australia!R142</f>
        <v>0.82271262142370116</v>
      </c>
      <c r="X34">
        <v>1</v>
      </c>
      <c r="Y34">
        <v>0</v>
      </c>
      <c r="Z34">
        <v>0</v>
      </c>
      <c r="AA34">
        <v>0</v>
      </c>
      <c r="AB34">
        <v>0</v>
      </c>
      <c r="AC34">
        <v>0</v>
      </c>
      <c r="AD34">
        <v>0</v>
      </c>
      <c r="AE34">
        <v>0</v>
      </c>
      <c r="AF34">
        <v>0</v>
      </c>
      <c r="AG34">
        <v>0</v>
      </c>
      <c r="AH34" s="31">
        <v>0</v>
      </c>
      <c r="AI34" s="19">
        <v>0</v>
      </c>
      <c r="AJ34" s="19">
        <v>0</v>
      </c>
      <c r="AK34" s="19">
        <v>0</v>
      </c>
    </row>
    <row r="35" spans="1:37">
      <c r="B35">
        <v>2014</v>
      </c>
      <c r="C35" s="13">
        <v>0</v>
      </c>
      <c r="D35" s="13">
        <f t="shared" si="1"/>
        <v>8.0681496700475996</v>
      </c>
      <c r="E35" s="13">
        <f t="shared" si="2"/>
        <v>7.974340197487007</v>
      </c>
      <c r="F35" s="13">
        <f t="shared" si="3"/>
        <v>7.93080886137116</v>
      </c>
      <c r="G35" s="13">
        <f t="shared" si="4"/>
        <v>7.9272852422501972</v>
      </c>
      <c r="H35" s="13">
        <f t="shared" si="5"/>
        <v>7.9401673474589423</v>
      </c>
      <c r="I35" s="13">
        <f t="shared" si="6"/>
        <v>7.8358211746020752</v>
      </c>
      <c r="J35" s="13">
        <f t="shared" si="7"/>
        <v>7.8144044512636199</v>
      </c>
      <c r="K35" s="13">
        <f t="shared" si="8"/>
        <v>3.8038468481277672</v>
      </c>
      <c r="L35" s="13">
        <f t="shared" si="9"/>
        <v>26.765153238770392</v>
      </c>
      <c r="M35" s="13">
        <f t="shared" si="10"/>
        <v>26.890631012528019</v>
      </c>
      <c r="N35" s="13">
        <f t="shared" si="11"/>
        <v>27.685600657809648</v>
      </c>
      <c r="O35" s="13">
        <f t="shared" si="12"/>
        <v>24.336437175899675</v>
      </c>
      <c r="P35" s="13"/>
      <c r="Q35" s="13"/>
      <c r="R35" s="13"/>
      <c r="S35" s="13"/>
      <c r="T35" s="13"/>
      <c r="U35" s="13"/>
      <c r="W35" s="13">
        <f>Australia!R143</f>
        <v>0.75748704922302945</v>
      </c>
      <c r="X35">
        <v>1</v>
      </c>
      <c r="Y35">
        <v>0</v>
      </c>
      <c r="Z35">
        <v>0</v>
      </c>
      <c r="AA35">
        <v>0</v>
      </c>
      <c r="AB35">
        <v>0</v>
      </c>
      <c r="AC35">
        <v>0</v>
      </c>
      <c r="AD35">
        <v>0</v>
      </c>
      <c r="AE35">
        <v>0</v>
      </c>
      <c r="AF35">
        <v>0</v>
      </c>
      <c r="AG35">
        <v>0</v>
      </c>
      <c r="AH35" s="31">
        <v>0</v>
      </c>
      <c r="AI35" s="19">
        <v>0</v>
      </c>
      <c r="AJ35" s="19">
        <v>0</v>
      </c>
      <c r="AK35" s="19">
        <v>0</v>
      </c>
    </row>
    <row r="36" spans="1:37">
      <c r="B36">
        <v>2015</v>
      </c>
      <c r="C36" s="13">
        <v>0</v>
      </c>
      <c r="D36" s="13">
        <f t="shared" si="1"/>
        <v>7.1312967173195165</v>
      </c>
      <c r="E36" s="13">
        <f t="shared" si="2"/>
        <v>7.0483801613453041</v>
      </c>
      <c r="F36" s="13">
        <f t="shared" si="3"/>
        <v>7.0099035729032284</v>
      </c>
      <c r="G36" s="13">
        <f t="shared" si="4"/>
        <v>7.0067891074436099</v>
      </c>
      <c r="H36" s="13">
        <f t="shared" si="5"/>
        <v>7.0181753754659226</v>
      </c>
      <c r="I36" s="13">
        <f t="shared" si="6"/>
        <v>6.925945613948044</v>
      </c>
      <c r="J36" s="13">
        <f t="shared" si="7"/>
        <v>6.9070157458760288</v>
      </c>
      <c r="K36" s="13">
        <f t="shared" si="8"/>
        <v>3.3621538581447377</v>
      </c>
      <c r="L36" s="13">
        <f t="shared" si="9"/>
        <v>26.850000467559568</v>
      </c>
      <c r="M36" s="13">
        <f t="shared" si="10"/>
        <v>26.972910435396376</v>
      </c>
      <c r="N36" s="13">
        <f t="shared" si="11"/>
        <v>27.763954319012221</v>
      </c>
      <c r="O36" s="13">
        <f t="shared" si="12"/>
        <v>24.441601573587903</v>
      </c>
      <c r="P36" s="13"/>
      <c r="Q36" s="13"/>
      <c r="R36" s="13"/>
      <c r="S36" s="13"/>
      <c r="T36" s="13"/>
      <c r="U36" s="13"/>
      <c r="W36" s="13">
        <f>Australia!R144</f>
        <v>0.81436452539471382</v>
      </c>
      <c r="X36">
        <v>1</v>
      </c>
      <c r="Y36">
        <v>0</v>
      </c>
      <c r="Z36">
        <v>0</v>
      </c>
      <c r="AA36">
        <v>0</v>
      </c>
      <c r="AB36">
        <v>0</v>
      </c>
      <c r="AC36">
        <v>0</v>
      </c>
      <c r="AD36">
        <v>0</v>
      </c>
      <c r="AE36">
        <v>0</v>
      </c>
      <c r="AF36">
        <v>0</v>
      </c>
      <c r="AG36">
        <v>0</v>
      </c>
      <c r="AH36" s="31">
        <v>0</v>
      </c>
      <c r="AI36" s="19">
        <v>0</v>
      </c>
      <c r="AJ36" s="19">
        <v>0</v>
      </c>
      <c r="AK36" s="19">
        <v>0</v>
      </c>
    </row>
    <row r="37" spans="1:37">
      <c r="B37">
        <v>2016</v>
      </c>
      <c r="C37" s="13">
        <v>0</v>
      </c>
      <c r="D37" s="13">
        <f t="shared" si="1"/>
        <v>7.3162736917358746</v>
      </c>
      <c r="E37" s="13">
        <f t="shared" si="2"/>
        <v>7.2312063833443796</v>
      </c>
      <c r="F37" s="13">
        <f t="shared" si="3"/>
        <v>7.1917317600149619</v>
      </c>
      <c r="G37" s="13">
        <f t="shared" si="4"/>
        <v>7.1885365091918283</v>
      </c>
      <c r="H37" s="13">
        <f t="shared" si="5"/>
        <v>7.2002181228563362</v>
      </c>
      <c r="I37" s="13">
        <f t="shared" si="6"/>
        <v>7.1055960359433739</v>
      </c>
      <c r="J37" s="13">
        <f t="shared" si="7"/>
        <v>7.0861751506186952</v>
      </c>
      <c r="K37" s="13">
        <f t="shared" si="8"/>
        <v>3.4493639509026881</v>
      </c>
      <c r="L37" s="13">
        <f t="shared" si="9"/>
        <v>26.833247802562003</v>
      </c>
      <c r="M37" s="13">
        <f t="shared" si="10"/>
        <v>26.956664770957154</v>
      </c>
      <c r="N37" s="13">
        <f t="shared" si="11"/>
        <v>27.74848377676598</v>
      </c>
      <c r="O37" s="13">
        <f t="shared" si="12"/>
        <v>24.420837384240961</v>
      </c>
      <c r="P37" s="13"/>
      <c r="Q37" s="13"/>
      <c r="R37" s="13"/>
      <c r="S37" s="13"/>
      <c r="T37" s="13"/>
      <c r="U37" s="13"/>
      <c r="W37" s="13">
        <f>Australia!R145</f>
        <v>0.8031343494913985</v>
      </c>
      <c r="X37">
        <v>1</v>
      </c>
      <c r="Y37">
        <v>0</v>
      </c>
      <c r="Z37">
        <v>0</v>
      </c>
      <c r="AA37">
        <v>0</v>
      </c>
      <c r="AB37">
        <v>0</v>
      </c>
      <c r="AC37">
        <v>0</v>
      </c>
      <c r="AD37">
        <v>0</v>
      </c>
      <c r="AE37">
        <v>0</v>
      </c>
      <c r="AF37">
        <v>0</v>
      </c>
      <c r="AG37">
        <v>0</v>
      </c>
      <c r="AH37" s="31">
        <v>0</v>
      </c>
      <c r="AI37" s="19">
        <v>0</v>
      </c>
      <c r="AJ37" s="19">
        <v>0</v>
      </c>
      <c r="AK37" s="19">
        <v>0</v>
      </c>
    </row>
    <row r="38" spans="1:37" s="18" customFormat="1">
      <c r="B38" s="18">
        <v>2017</v>
      </c>
      <c r="C38" s="182">
        <v>0</v>
      </c>
      <c r="D38" s="13">
        <f t="shared" si="1"/>
        <v>7.193195002354198</v>
      </c>
      <c r="E38" s="13">
        <f t="shared" si="2"/>
        <v>7.1095587466087897</v>
      </c>
      <c r="F38" s="13">
        <f t="shared" si="3"/>
        <v>7.0707481887733543</v>
      </c>
      <c r="G38" s="13">
        <f t="shared" si="4"/>
        <v>7.0676066903520764</v>
      </c>
      <c r="H38" s="13">
        <f t="shared" si="5"/>
        <v>7.0790917889926419</v>
      </c>
      <c r="I38" s="13">
        <f t="shared" si="6"/>
        <v>6.9860614908692336</v>
      </c>
      <c r="J38" s="13">
        <f t="shared" si="7"/>
        <v>6.9669673151802396</v>
      </c>
      <c r="K38" s="13">
        <f t="shared" si="8"/>
        <v>3.3913367075045837</v>
      </c>
      <c r="L38" s="13">
        <f t="shared" si="9"/>
        <v>26.84439457398075</v>
      </c>
      <c r="M38" s="13">
        <f t="shared" si="10"/>
        <v>26.967474197879735</v>
      </c>
      <c r="N38" s="13">
        <f t="shared" si="11"/>
        <v>27.758777458288769</v>
      </c>
      <c r="O38" s="13">
        <f t="shared" si="12"/>
        <v>24.434653315758698</v>
      </c>
      <c r="P38" s="182"/>
      <c r="Q38" s="182"/>
      <c r="R38" s="182"/>
      <c r="S38" s="182"/>
      <c r="T38" s="182"/>
      <c r="U38" s="182"/>
      <c r="V38" s="182"/>
      <c r="W38" s="13">
        <f>Australia!R146</f>
        <v>0.81060660562525977</v>
      </c>
      <c r="X38" s="18">
        <v>1</v>
      </c>
      <c r="Y38" s="18">
        <v>0</v>
      </c>
      <c r="Z38">
        <v>0</v>
      </c>
      <c r="AA38">
        <v>0</v>
      </c>
      <c r="AB38">
        <v>0</v>
      </c>
      <c r="AC38">
        <v>0</v>
      </c>
      <c r="AD38">
        <v>0</v>
      </c>
      <c r="AE38">
        <v>0</v>
      </c>
      <c r="AF38">
        <v>0</v>
      </c>
      <c r="AG38">
        <v>0</v>
      </c>
      <c r="AH38" s="31">
        <v>0</v>
      </c>
      <c r="AI38" s="19">
        <v>0</v>
      </c>
      <c r="AJ38" s="19">
        <v>0</v>
      </c>
      <c r="AK38" s="19">
        <v>0</v>
      </c>
    </row>
    <row r="39" spans="1:37">
      <c r="A39" s="14" t="s">
        <v>246</v>
      </c>
      <c r="B39">
        <v>2012</v>
      </c>
      <c r="D39" s="13">
        <f t="shared" si="1"/>
        <v>-16.784743475300978</v>
      </c>
      <c r="E39" s="13">
        <f t="shared" si="2"/>
        <v>-16.503144780247542</v>
      </c>
      <c r="F39" s="13">
        <f t="shared" si="3"/>
        <v>-16.372471756409425</v>
      </c>
      <c r="G39" s="13">
        <f t="shared" si="4"/>
        <v>-16.361894503182818</v>
      </c>
      <c r="H39" s="13">
        <f t="shared" si="5"/>
        <v>-16.401954269574151</v>
      </c>
      <c r="I39" s="13">
        <f t="shared" si="6"/>
        <v>-16.162302621077792</v>
      </c>
      <c r="J39" s="13">
        <f t="shared" si="7"/>
        <v>-16.097937457948674</v>
      </c>
      <c r="K39" s="13">
        <f t="shared" si="8"/>
        <v>-5.9237496345313314</v>
      </c>
      <c r="L39" s="13">
        <f t="shared" si="9"/>
        <v>27.545115304926341</v>
      </c>
      <c r="M39" s="13">
        <f t="shared" si="10"/>
        <v>27.595360416526258</v>
      </c>
      <c r="N39" s="13">
        <f t="shared" si="11"/>
        <v>28.1272356027151</v>
      </c>
      <c r="O39" s="13">
        <f t="shared" si="12"/>
        <v>25.760383534649332</v>
      </c>
      <c r="P39" s="13"/>
      <c r="Q39" s="13"/>
      <c r="R39" s="13"/>
      <c r="S39" s="13"/>
      <c r="T39" s="13"/>
      <c r="U39" s="13"/>
      <c r="W39" s="13">
        <f>'Norway with subs'!R79</f>
        <v>2.3786166763537895</v>
      </c>
      <c r="X39">
        <v>0</v>
      </c>
      <c r="Y39">
        <v>0</v>
      </c>
      <c r="Z39">
        <v>0</v>
      </c>
      <c r="AA39">
        <v>0</v>
      </c>
      <c r="AB39">
        <v>0</v>
      </c>
      <c r="AC39">
        <v>0</v>
      </c>
      <c r="AD39">
        <v>0</v>
      </c>
      <c r="AE39">
        <v>0</v>
      </c>
      <c r="AF39">
        <v>0</v>
      </c>
      <c r="AG39">
        <v>0</v>
      </c>
      <c r="AH39" s="31">
        <v>0</v>
      </c>
      <c r="AI39" s="19">
        <v>0</v>
      </c>
      <c r="AJ39" s="19">
        <v>0</v>
      </c>
      <c r="AK39" s="19">
        <v>0</v>
      </c>
    </row>
    <row r="40" spans="1:37">
      <c r="B40">
        <v>2013</v>
      </c>
      <c r="D40" s="13">
        <f t="shared" si="1"/>
        <v>-16.025858846187397</v>
      </c>
      <c r="E40" s="13">
        <f t="shared" si="2"/>
        <v>-15.753083805838305</v>
      </c>
      <c r="F40" s="13">
        <f t="shared" si="3"/>
        <v>-15.626505309644585</v>
      </c>
      <c r="G40" s="13">
        <f t="shared" si="4"/>
        <v>-15.616259485617867</v>
      </c>
      <c r="H40" s="13">
        <f t="shared" si="5"/>
        <v>-15.65510757002097</v>
      </c>
      <c r="I40" s="13">
        <f t="shared" si="6"/>
        <v>-15.425270651038346</v>
      </c>
      <c r="J40" s="13">
        <f t="shared" si="7"/>
        <v>-15.362919930230234</v>
      </c>
      <c r="K40" s="13">
        <f t="shared" si="8"/>
        <v>-5.5659624066539291</v>
      </c>
      <c r="L40" s="13">
        <f t="shared" si="9"/>
        <v>27.476385994138035</v>
      </c>
      <c r="M40" s="13">
        <f t="shared" si="10"/>
        <v>27.528711121004154</v>
      </c>
      <c r="N40" s="13">
        <f t="shared" si="11"/>
        <v>28.063766315514524</v>
      </c>
      <c r="O40" s="13">
        <f t="shared" si="12"/>
        <v>25.67519658540272</v>
      </c>
      <c r="P40" s="13"/>
      <c r="Q40" s="13"/>
      <c r="R40" s="13"/>
      <c r="S40" s="13"/>
      <c r="T40" s="13"/>
      <c r="U40" s="13"/>
      <c r="W40" s="13">
        <f>'Norway with subs'!R80</f>
        <v>2.3325438724161227</v>
      </c>
      <c r="X40">
        <v>0</v>
      </c>
      <c r="Y40">
        <v>0</v>
      </c>
      <c r="Z40">
        <v>0</v>
      </c>
      <c r="AA40">
        <v>0</v>
      </c>
      <c r="AB40">
        <v>0</v>
      </c>
      <c r="AC40">
        <v>0</v>
      </c>
      <c r="AD40">
        <v>0</v>
      </c>
      <c r="AE40">
        <v>0</v>
      </c>
      <c r="AF40">
        <v>0</v>
      </c>
      <c r="AG40">
        <v>0</v>
      </c>
      <c r="AH40" s="31">
        <v>0</v>
      </c>
      <c r="AI40" s="19">
        <v>0</v>
      </c>
      <c r="AJ40" s="19">
        <v>0</v>
      </c>
      <c r="AK40" s="19">
        <v>0</v>
      </c>
    </row>
    <row r="41" spans="1:37">
      <c r="B41">
        <v>2014</v>
      </c>
      <c r="D41" s="13">
        <f t="shared" si="1"/>
        <v>-11.099447115906329</v>
      </c>
      <c r="E41" s="13">
        <f t="shared" si="2"/>
        <v>-10.883952134174596</v>
      </c>
      <c r="F41" s="13">
        <f t="shared" si="3"/>
        <v>-10.783953869340735</v>
      </c>
      <c r="G41" s="13">
        <f t="shared" si="4"/>
        <v>-10.775859566949144</v>
      </c>
      <c r="H41" s="13">
        <f t="shared" si="5"/>
        <v>-10.806841838643468</v>
      </c>
      <c r="I41" s="13">
        <f t="shared" si="6"/>
        <v>-10.640718686880653</v>
      </c>
      <c r="J41" s="13">
        <f t="shared" si="7"/>
        <v>-10.591445016126585</v>
      </c>
      <c r="K41" s="13">
        <f t="shared" si="8"/>
        <v>-3.2433337372357549</v>
      </c>
      <c r="L41" s="13">
        <f t="shared" si="9"/>
        <v>27.030219515213389</v>
      </c>
      <c r="M41" s="13">
        <f t="shared" si="10"/>
        <v>27.09604736859875</v>
      </c>
      <c r="N41" s="13">
        <f t="shared" si="11"/>
        <v>27.651746057121994</v>
      </c>
      <c r="O41" s="13">
        <f t="shared" si="12"/>
        <v>25.122192914046824</v>
      </c>
      <c r="P41" s="13"/>
      <c r="Q41" s="13"/>
      <c r="R41" s="13"/>
      <c r="S41" s="13"/>
      <c r="T41" s="13"/>
      <c r="U41" s="13"/>
      <c r="W41" s="13">
        <f>'Norway with subs'!R81</f>
        <v>2.0334554562617733</v>
      </c>
      <c r="X41">
        <v>0</v>
      </c>
      <c r="Y41">
        <v>0</v>
      </c>
      <c r="Z41">
        <v>0</v>
      </c>
      <c r="AA41">
        <v>0</v>
      </c>
      <c r="AB41">
        <v>0</v>
      </c>
      <c r="AC41">
        <v>0</v>
      </c>
      <c r="AD41">
        <v>0</v>
      </c>
      <c r="AE41">
        <v>0</v>
      </c>
      <c r="AF41">
        <v>0</v>
      </c>
      <c r="AG41">
        <v>0</v>
      </c>
      <c r="AH41" s="31">
        <v>0</v>
      </c>
      <c r="AI41" s="19">
        <v>0</v>
      </c>
      <c r="AJ41" s="19">
        <v>0</v>
      </c>
      <c r="AK41" s="19">
        <v>0</v>
      </c>
    </row>
    <row r="42" spans="1:37">
      <c r="B42">
        <v>2015</v>
      </c>
      <c r="D42" s="13">
        <f t="shared" si="1"/>
        <v>-16.228607447789614</v>
      </c>
      <c r="E42" s="13">
        <f t="shared" si="2"/>
        <v>-15.953475021899042</v>
      </c>
      <c r="F42" s="13">
        <f t="shared" si="3"/>
        <v>-15.825802604808416</v>
      </c>
      <c r="G42" s="13">
        <f t="shared" si="4"/>
        <v>-15.815468233979949</v>
      </c>
      <c r="H42" s="13">
        <f t="shared" si="5"/>
        <v>-15.854640039300929</v>
      </c>
      <c r="I42" s="13">
        <f t="shared" si="6"/>
        <v>-15.622180952721713</v>
      </c>
      <c r="J42" s="13">
        <f t="shared" si="7"/>
        <v>-15.559292040272972</v>
      </c>
      <c r="K42" s="13">
        <f t="shared" si="8"/>
        <v>-5.6615511922747555</v>
      </c>
      <c r="L42" s="13">
        <f t="shared" si="9"/>
        <v>27.494748168198264</v>
      </c>
      <c r="M42" s="13">
        <f t="shared" si="10"/>
        <v>27.546517584525052</v>
      </c>
      <c r="N42" s="13">
        <f t="shared" si="11"/>
        <v>28.08072318712706</v>
      </c>
      <c r="O42" s="13">
        <f t="shared" si="12"/>
        <v>25.697955690241468</v>
      </c>
      <c r="P42" s="13"/>
      <c r="Q42" s="13"/>
      <c r="R42" s="13"/>
      <c r="S42" s="13"/>
      <c r="T42" s="13"/>
      <c r="U42" s="13"/>
      <c r="W42" s="13">
        <f>'Norway with subs'!R82</f>
        <v>2.3448529853061362</v>
      </c>
      <c r="X42">
        <v>0</v>
      </c>
      <c r="Y42">
        <v>0</v>
      </c>
      <c r="Z42">
        <v>0</v>
      </c>
      <c r="AA42">
        <v>0</v>
      </c>
      <c r="AB42">
        <v>0</v>
      </c>
      <c r="AC42">
        <v>0</v>
      </c>
      <c r="AD42">
        <v>0</v>
      </c>
      <c r="AE42">
        <v>0</v>
      </c>
      <c r="AF42">
        <v>0</v>
      </c>
      <c r="AG42">
        <v>0</v>
      </c>
      <c r="AH42" s="31">
        <v>0</v>
      </c>
      <c r="AI42" s="19">
        <v>0</v>
      </c>
      <c r="AJ42" s="19">
        <v>0</v>
      </c>
      <c r="AK42" s="19">
        <v>0</v>
      </c>
    </row>
    <row r="43" spans="1:37">
      <c r="B43">
        <v>2016</v>
      </c>
      <c r="D43" s="13">
        <f t="shared" si="1"/>
        <v>-15.701247624248232</v>
      </c>
      <c r="E43" s="13">
        <f t="shared" si="2"/>
        <v>-15.43224688268668</v>
      </c>
      <c r="F43" s="13">
        <f t="shared" si="3"/>
        <v>-15.307419811638383</v>
      </c>
      <c r="G43" s="13">
        <f t="shared" si="4"/>
        <v>-15.297315755719012</v>
      </c>
      <c r="H43" s="13">
        <f t="shared" si="5"/>
        <v>-15.33564554583111</v>
      </c>
      <c r="I43" s="13">
        <f t="shared" si="6"/>
        <v>-15.110006855694131</v>
      </c>
      <c r="J43" s="13">
        <f t="shared" si="7"/>
        <v>-15.048517808134179</v>
      </c>
      <c r="K43" s="13">
        <f t="shared" si="8"/>
        <v>-5.4129197111243439</v>
      </c>
      <c r="L43" s="13">
        <f t="shared" si="9"/>
        <v>27.446987183433322</v>
      </c>
      <c r="M43" s="13">
        <f t="shared" si="10"/>
        <v>27.5002020322299</v>
      </c>
      <c r="N43" s="13">
        <f t="shared" si="11"/>
        <v>28.036617468267671</v>
      </c>
      <c r="O43" s="13">
        <f t="shared" si="12"/>
        <v>25.638758056241162</v>
      </c>
      <c r="P43" s="13"/>
      <c r="Q43" s="13"/>
      <c r="R43" s="13"/>
      <c r="S43" s="13"/>
      <c r="T43" s="13"/>
      <c r="U43" s="13"/>
      <c r="W43" s="13">
        <f>'Norway with subs'!R83</f>
        <v>2.3128363324151624</v>
      </c>
      <c r="X43">
        <v>0</v>
      </c>
      <c r="Y43">
        <v>0</v>
      </c>
      <c r="Z43">
        <v>0</v>
      </c>
      <c r="AA43">
        <v>0</v>
      </c>
      <c r="AB43">
        <v>0</v>
      </c>
      <c r="AC43">
        <v>0</v>
      </c>
      <c r="AD43">
        <v>0</v>
      </c>
      <c r="AE43">
        <v>0</v>
      </c>
      <c r="AF43">
        <v>0</v>
      </c>
      <c r="AG43">
        <v>0</v>
      </c>
      <c r="AH43" s="31">
        <v>0</v>
      </c>
      <c r="AI43" s="19">
        <v>0</v>
      </c>
      <c r="AJ43" s="19">
        <v>0</v>
      </c>
      <c r="AK43" s="19">
        <v>0</v>
      </c>
    </row>
    <row r="44" spans="1:37" s="18" customFormat="1">
      <c r="B44" s="18">
        <v>2017</v>
      </c>
      <c r="C44" s="182"/>
      <c r="D44" s="13">
        <f t="shared" si="1"/>
        <v>-15.987287986073746</v>
      </c>
      <c r="E44" s="13">
        <f t="shared" si="2"/>
        <v>-15.714961414356427</v>
      </c>
      <c r="F44" s="13">
        <f t="shared" si="3"/>
        <v>-15.588591025491468</v>
      </c>
      <c r="G44" s="13">
        <f t="shared" si="4"/>
        <v>-15.578362046593526</v>
      </c>
      <c r="H44" s="13">
        <f t="shared" si="5"/>
        <v>-15.617148546383273</v>
      </c>
      <c r="I44" s="13">
        <f t="shared" si="6"/>
        <v>-15.387810468126375</v>
      </c>
      <c r="J44" s="13">
        <f t="shared" si="7"/>
        <v>-15.325562132806112</v>
      </c>
      <c r="K44" s="13">
        <f t="shared" si="8"/>
        <v>-5.5477776120389297</v>
      </c>
      <c r="L44" s="13">
        <f t="shared" si="9"/>
        <v>27.472892777210951</v>
      </c>
      <c r="M44" s="13">
        <f t="shared" si="10"/>
        <v>27.525323622357281</v>
      </c>
      <c r="N44" s="13">
        <f t="shared" si="11"/>
        <v>28.060540443090428</v>
      </c>
      <c r="O44" s="13">
        <f t="shared" si="12"/>
        <v>25.670866897098534</v>
      </c>
      <c r="P44" s="182"/>
      <c r="Q44" s="182"/>
      <c r="R44" s="182"/>
      <c r="S44" s="182"/>
      <c r="T44" s="182"/>
      <c r="U44" s="182"/>
      <c r="V44" s="182"/>
      <c r="W44" s="13">
        <f>'Norway with subs'!R84</f>
        <v>2.3302021888353139</v>
      </c>
      <c r="X44" s="18">
        <v>0</v>
      </c>
      <c r="Y44" s="18">
        <v>0</v>
      </c>
      <c r="Z44">
        <v>0</v>
      </c>
      <c r="AA44">
        <v>0</v>
      </c>
      <c r="AB44">
        <v>0</v>
      </c>
      <c r="AC44">
        <v>0</v>
      </c>
      <c r="AD44">
        <v>0</v>
      </c>
      <c r="AE44">
        <v>0</v>
      </c>
      <c r="AF44">
        <v>0</v>
      </c>
      <c r="AG44">
        <v>0</v>
      </c>
      <c r="AH44" s="31">
        <v>0</v>
      </c>
      <c r="AI44" s="19">
        <v>0</v>
      </c>
      <c r="AJ44" s="19">
        <v>0</v>
      </c>
      <c r="AK44" s="19">
        <v>0</v>
      </c>
    </row>
    <row r="45" spans="1:37">
      <c r="A45" s="14" t="s">
        <v>539</v>
      </c>
      <c r="B45">
        <v>2012</v>
      </c>
      <c r="C45" s="13">
        <f>'Austria EV uptake'!K16</f>
        <v>0</v>
      </c>
      <c r="D45" s="13">
        <f t="shared" si="1"/>
        <v>6.8075450700841156</v>
      </c>
      <c r="E45" s="13">
        <f t="shared" si="2"/>
        <v>6.8148330203634213</v>
      </c>
      <c r="F45" s="13">
        <f t="shared" si="3"/>
        <v>6.818214919915178</v>
      </c>
      <c r="G45" s="13">
        <f t="shared" si="4"/>
        <v>6.818488665841425</v>
      </c>
      <c r="H45" s="13">
        <f t="shared" si="5"/>
        <v>6.8160978019352303</v>
      </c>
      <c r="I45" s="13">
        <f t="shared" si="6"/>
        <v>6.750628063332794</v>
      </c>
      <c r="J45" s="13">
        <f t="shared" si="7"/>
        <v>6.7523680227459515</v>
      </c>
      <c r="K45" s="13">
        <f t="shared" si="8"/>
        <v>5.1991789294543418</v>
      </c>
      <c r="L45" s="13">
        <f t="shared" si="9"/>
        <v>25.408450956437498</v>
      </c>
      <c r="M45" s="13">
        <f t="shared" si="10"/>
        <v>25.523359810662363</v>
      </c>
      <c r="N45" s="13">
        <f t="shared" si="11"/>
        <v>26.15409544417092</v>
      </c>
      <c r="O45" s="13">
        <f t="shared" si="12"/>
        <v>23.112082317539894</v>
      </c>
      <c r="P45" s="13"/>
      <c r="Q45" s="13"/>
      <c r="R45" s="13"/>
      <c r="S45" s="13"/>
      <c r="T45" s="13"/>
      <c r="U45" s="13"/>
      <c r="W45" s="13">
        <f>Austria!R79</f>
        <v>0.94630029664002069</v>
      </c>
      <c r="X45">
        <v>0</v>
      </c>
      <c r="Y45">
        <v>0</v>
      </c>
      <c r="Z45">
        <v>0</v>
      </c>
      <c r="AA45">
        <v>0</v>
      </c>
      <c r="AB45">
        <v>0</v>
      </c>
      <c r="AC45">
        <v>0</v>
      </c>
      <c r="AD45">
        <v>0</v>
      </c>
      <c r="AE45">
        <v>0</v>
      </c>
      <c r="AF45">
        <v>0</v>
      </c>
      <c r="AG45">
        <v>0</v>
      </c>
      <c r="AH45" s="31">
        <v>0</v>
      </c>
      <c r="AI45" s="19">
        <v>0</v>
      </c>
      <c r="AJ45" s="19">
        <v>0</v>
      </c>
      <c r="AK45" s="19">
        <v>0</v>
      </c>
    </row>
    <row r="46" spans="1:37">
      <c r="B46">
        <v>2013</v>
      </c>
      <c r="C46" s="13">
        <f>'Austria EV uptake'!K17</f>
        <v>0</v>
      </c>
      <c r="D46" s="13">
        <f t="shared" si="1"/>
        <v>7.0776903315191095</v>
      </c>
      <c r="E46" s="13">
        <f t="shared" si="2"/>
        <v>7.0818372661348068</v>
      </c>
      <c r="F46" s="13">
        <f t="shared" si="3"/>
        <v>7.0837616091641191</v>
      </c>
      <c r="G46" s="13">
        <f t="shared" si="4"/>
        <v>7.0839173740107455</v>
      </c>
      <c r="H46" s="13">
        <f t="shared" si="5"/>
        <v>7.0819578406848898</v>
      </c>
      <c r="I46" s="13">
        <f t="shared" si="6"/>
        <v>7.0129942868585218</v>
      </c>
      <c r="J46" s="13">
        <f t="shared" si="7"/>
        <v>7.014017151700811</v>
      </c>
      <c r="K46" s="13">
        <f t="shared" si="8"/>
        <v>5.3265428534356989</v>
      </c>
      <c r="L46" s="13">
        <f t="shared" si="9"/>
        <v>25.383984921787619</v>
      </c>
      <c r="M46" s="13">
        <f t="shared" si="10"/>
        <v>25.499634213025331</v>
      </c>
      <c r="N46" s="13">
        <f t="shared" si="11"/>
        <v>26.131501855467036</v>
      </c>
      <c r="O46" s="13">
        <f t="shared" si="12"/>
        <v>23.081757746726073</v>
      </c>
      <c r="P46" s="13"/>
      <c r="Q46" s="13"/>
      <c r="R46" s="13"/>
      <c r="S46" s="13"/>
      <c r="T46" s="13"/>
      <c r="U46" s="13"/>
      <c r="W46" s="13">
        <f>Austria!R80</f>
        <v>0.92989945099458671</v>
      </c>
      <c r="X46">
        <v>0</v>
      </c>
      <c r="Y46">
        <v>0</v>
      </c>
      <c r="Z46">
        <v>0</v>
      </c>
      <c r="AA46">
        <v>0</v>
      </c>
      <c r="AB46">
        <v>0</v>
      </c>
      <c r="AC46">
        <v>0</v>
      </c>
      <c r="AD46">
        <v>0</v>
      </c>
      <c r="AE46">
        <v>0</v>
      </c>
      <c r="AF46">
        <v>0</v>
      </c>
      <c r="AG46">
        <v>0</v>
      </c>
      <c r="AH46" s="31">
        <v>0</v>
      </c>
      <c r="AI46" s="19">
        <v>0</v>
      </c>
      <c r="AJ46" s="19">
        <v>0</v>
      </c>
      <c r="AK46" s="19">
        <v>0</v>
      </c>
    </row>
    <row r="47" spans="1:37">
      <c r="B47">
        <v>2014</v>
      </c>
      <c r="C47" s="13">
        <f>'Austria EV uptake'!K18</f>
        <v>0</v>
      </c>
      <c r="D47" s="13">
        <f t="shared" si="1"/>
        <v>8.3395435619341267</v>
      </c>
      <c r="E47" s="13">
        <f t="shared" si="2"/>
        <v>8.3290187575718555</v>
      </c>
      <c r="F47" s="13">
        <f t="shared" si="3"/>
        <v>8.3241348286493029</v>
      </c>
      <c r="G47" s="13">
        <f t="shared" si="4"/>
        <v>8.3237395018141456</v>
      </c>
      <c r="H47" s="13">
        <f t="shared" si="5"/>
        <v>8.323794721156121</v>
      </c>
      <c r="I47" s="13">
        <f t="shared" si="6"/>
        <v>8.2385114954488916</v>
      </c>
      <c r="J47" s="13">
        <f t="shared" si="7"/>
        <v>8.2361847990367743</v>
      </c>
      <c r="K47" s="13">
        <f t="shared" si="8"/>
        <v>5.9214619649555642</v>
      </c>
      <c r="L47" s="13">
        <f t="shared" si="9"/>
        <v>25.269703646986041</v>
      </c>
      <c r="M47" s="13">
        <f t="shared" si="10"/>
        <v>25.388811532431987</v>
      </c>
      <c r="N47" s="13">
        <f t="shared" si="11"/>
        <v>26.025966808354887</v>
      </c>
      <c r="O47" s="13">
        <f t="shared" si="12"/>
        <v>22.940111147266553</v>
      </c>
      <c r="P47" s="13"/>
      <c r="Q47" s="13"/>
      <c r="R47" s="13"/>
      <c r="S47" s="13"/>
      <c r="T47" s="13"/>
      <c r="U47" s="13"/>
      <c r="W47" s="13">
        <f>Austria!R81</f>
        <v>0.85329081477681279</v>
      </c>
      <c r="X47">
        <v>0</v>
      </c>
      <c r="Y47">
        <v>0</v>
      </c>
      <c r="Z47">
        <v>0</v>
      </c>
      <c r="AA47">
        <v>0</v>
      </c>
      <c r="AB47">
        <v>0</v>
      </c>
      <c r="AC47">
        <v>0</v>
      </c>
      <c r="AD47">
        <v>0</v>
      </c>
      <c r="AE47">
        <v>0</v>
      </c>
      <c r="AF47">
        <v>0</v>
      </c>
      <c r="AG47">
        <v>0</v>
      </c>
      <c r="AH47" s="31">
        <v>0</v>
      </c>
      <c r="AI47" s="19">
        <v>0</v>
      </c>
      <c r="AJ47" s="19">
        <v>0</v>
      </c>
      <c r="AK47" s="19">
        <v>0</v>
      </c>
    </row>
    <row r="48" spans="1:37">
      <c r="B48">
        <v>2015</v>
      </c>
      <c r="C48" s="13">
        <f>'Austria EV uptake'!K19</f>
        <v>0</v>
      </c>
      <c r="D48" s="13">
        <f t="shared" si="1"/>
        <v>5.5781314480987874</v>
      </c>
      <c r="E48" s="13">
        <f t="shared" si="2"/>
        <v>5.5758502278179964</v>
      </c>
      <c r="F48" s="13">
        <f t="shared" si="3"/>
        <v>5.5747916506393018</v>
      </c>
      <c r="G48" s="13">
        <f t="shared" si="4"/>
        <v>5.5747059647146191</v>
      </c>
      <c r="H48" s="13">
        <f t="shared" si="5"/>
        <v>5.5744014184950554</v>
      </c>
      <c r="I48" s="13">
        <f t="shared" si="6"/>
        <v>5.5391634052634551</v>
      </c>
      <c r="J48" s="13">
        <f t="shared" si="7"/>
        <v>5.5386764327251887</v>
      </c>
      <c r="K48" s="13">
        <f t="shared" si="8"/>
        <v>4.6123650215250862</v>
      </c>
      <c r="L48" s="13">
        <f t="shared" si="9"/>
        <v>22.691705235703846</v>
      </c>
      <c r="M48" s="13">
        <f t="shared" si="10"/>
        <v>22.789347281965167</v>
      </c>
      <c r="N48" s="13">
        <f t="shared" si="11"/>
        <v>23.35277501417573</v>
      </c>
      <c r="O48" s="13">
        <f t="shared" si="12"/>
        <v>20.798132415485025</v>
      </c>
      <c r="P48" s="13"/>
      <c r="Q48" s="13"/>
      <c r="R48" s="13"/>
      <c r="S48" s="13"/>
      <c r="T48" s="13"/>
      <c r="U48" s="13"/>
      <c r="W48" s="13">
        <f>Austria!R82</f>
        <v>0.93106862315052807</v>
      </c>
      <c r="X48">
        <v>0</v>
      </c>
      <c r="Y48">
        <v>0.5</v>
      </c>
      <c r="Z48">
        <v>0</v>
      </c>
      <c r="AA48">
        <v>0</v>
      </c>
      <c r="AB48">
        <v>0</v>
      </c>
      <c r="AC48">
        <v>0</v>
      </c>
      <c r="AD48">
        <v>0</v>
      </c>
      <c r="AE48">
        <v>0</v>
      </c>
      <c r="AF48">
        <v>0</v>
      </c>
      <c r="AG48">
        <v>0</v>
      </c>
      <c r="AH48" s="31">
        <v>0</v>
      </c>
      <c r="AI48" s="19">
        <v>0</v>
      </c>
      <c r="AJ48" s="19">
        <v>0</v>
      </c>
      <c r="AK48" s="19">
        <v>0</v>
      </c>
    </row>
    <row r="49" spans="1:37">
      <c r="B49">
        <v>2016</v>
      </c>
      <c r="C49" s="13">
        <f>'Austria EV uptake'!K20</f>
        <v>0</v>
      </c>
      <c r="D49" s="13">
        <f t="shared" si="1"/>
        <v>5.483174385817188</v>
      </c>
      <c r="E49" s="13">
        <f t="shared" si="2"/>
        <v>5.4581335144000906</v>
      </c>
      <c r="F49" s="13">
        <f t="shared" si="3"/>
        <v>5.4465135515057499</v>
      </c>
      <c r="G49" s="13">
        <f t="shared" si="4"/>
        <v>5.4455729802508204</v>
      </c>
      <c r="H49" s="13">
        <f t="shared" si="5"/>
        <v>5.4491660950065617</v>
      </c>
      <c r="I49" s="13">
        <f t="shared" si="6"/>
        <v>5.4294877689315211</v>
      </c>
      <c r="J49" s="13">
        <f t="shared" si="7"/>
        <v>5.4237624748082336</v>
      </c>
      <c r="K49" s="13">
        <f t="shared" si="8"/>
        <v>4.5604072064354479</v>
      </c>
      <c r="L49" s="13">
        <f t="shared" si="9"/>
        <v>19.872216074825968</v>
      </c>
      <c r="M49" s="13">
        <f t="shared" si="10"/>
        <v>19.955700727746862</v>
      </c>
      <c r="N49" s="13">
        <f t="shared" si="11"/>
        <v>20.456574352796078</v>
      </c>
      <c r="O49" s="13">
        <f t="shared" si="12"/>
        <v>18.356836551123799</v>
      </c>
      <c r="P49" s="13"/>
      <c r="Q49" s="13"/>
      <c r="R49" s="13"/>
      <c r="S49" s="13"/>
      <c r="T49" s="13"/>
      <c r="U49" s="13"/>
      <c r="W49" s="13">
        <f>Austria!R83</f>
        <v>0.84696271944756907</v>
      </c>
      <c r="X49">
        <v>0</v>
      </c>
      <c r="Y49">
        <v>1</v>
      </c>
      <c r="Z49">
        <v>0</v>
      </c>
      <c r="AA49">
        <v>0</v>
      </c>
      <c r="AB49">
        <v>0</v>
      </c>
      <c r="AC49">
        <v>0</v>
      </c>
      <c r="AD49">
        <v>0</v>
      </c>
      <c r="AE49">
        <v>0</v>
      </c>
      <c r="AF49">
        <v>0</v>
      </c>
      <c r="AG49">
        <v>0</v>
      </c>
      <c r="AH49" s="31">
        <v>0</v>
      </c>
      <c r="AI49" s="19">
        <v>0</v>
      </c>
      <c r="AJ49" s="19">
        <v>0</v>
      </c>
      <c r="AK49" s="19">
        <v>0</v>
      </c>
    </row>
    <row r="50" spans="1:37" s="18" customFormat="1">
      <c r="B50" s="18">
        <v>2017</v>
      </c>
      <c r="C50" s="182">
        <f>'Austria EV uptake'!K21</f>
        <v>0</v>
      </c>
      <c r="D50" s="13">
        <f t="shared" si="1"/>
        <v>3.5187596763665652</v>
      </c>
      <c r="E50" s="13">
        <f t="shared" si="2"/>
        <v>3.5165593217123097</v>
      </c>
      <c r="F50" s="13">
        <f t="shared" si="3"/>
        <v>3.5155382694090127</v>
      </c>
      <c r="G50" s="13">
        <f t="shared" si="4"/>
        <v>3.5154556209139214</v>
      </c>
      <c r="H50" s="13">
        <f t="shared" si="5"/>
        <v>3.515912230027646</v>
      </c>
      <c r="I50" s="13">
        <f t="shared" si="6"/>
        <v>3.5216398725101627</v>
      </c>
      <c r="J50" s="13">
        <f t="shared" si="7"/>
        <v>3.5211290734166956</v>
      </c>
      <c r="K50" s="13">
        <f t="shared" si="8"/>
        <v>3.6342552377009003</v>
      </c>
      <c r="L50" s="13">
        <f t="shared" si="9"/>
        <v>20.050125685725128</v>
      </c>
      <c r="M50" s="13">
        <f t="shared" si="10"/>
        <v>20.128226104431686</v>
      </c>
      <c r="N50" s="13">
        <f t="shared" si="11"/>
        <v>20.620868102586201</v>
      </c>
      <c r="O50" s="13">
        <f t="shared" si="12"/>
        <v>18.577347666691832</v>
      </c>
      <c r="P50" s="182"/>
      <c r="Q50" s="182"/>
      <c r="R50" s="182"/>
      <c r="S50" s="182"/>
      <c r="T50" s="182"/>
      <c r="U50" s="182"/>
      <c r="V50" s="182"/>
      <c r="W50" s="13">
        <f>Austria!R84</f>
        <v>0.9662247130216165</v>
      </c>
      <c r="X50" s="18">
        <v>0</v>
      </c>
      <c r="Y50" s="18">
        <v>1</v>
      </c>
      <c r="Z50">
        <v>0</v>
      </c>
      <c r="AA50">
        <v>0</v>
      </c>
      <c r="AB50">
        <v>0</v>
      </c>
      <c r="AC50">
        <v>0</v>
      </c>
      <c r="AD50">
        <v>0</v>
      </c>
      <c r="AE50">
        <v>0</v>
      </c>
      <c r="AF50">
        <v>0</v>
      </c>
      <c r="AG50">
        <v>0</v>
      </c>
      <c r="AH50" s="31">
        <v>0</v>
      </c>
      <c r="AI50" s="19">
        <v>0</v>
      </c>
      <c r="AJ50" s="19">
        <v>0</v>
      </c>
      <c r="AK50" s="19">
        <v>0</v>
      </c>
    </row>
    <row r="51" spans="1:37">
      <c r="A51" s="14" t="s">
        <v>540</v>
      </c>
      <c r="B51">
        <v>2012</v>
      </c>
      <c r="C51" s="13">
        <f>'Belgian EV uptake'!AM7</f>
        <v>3.7000000000000455</v>
      </c>
      <c r="D51" s="13">
        <f t="shared" si="1"/>
        <v>-4.3320700289331047</v>
      </c>
      <c r="E51" s="13">
        <f t="shared" si="2"/>
        <v>-4.2696587830851724</v>
      </c>
      <c r="F51" s="13">
        <f t="shared" si="3"/>
        <v>-4.2406974762335716</v>
      </c>
      <c r="G51" s="13">
        <f t="shared" si="4"/>
        <v>-4.2383532198036979</v>
      </c>
      <c r="H51" s="13">
        <f t="shared" si="5"/>
        <v>-4.2461108854884406</v>
      </c>
      <c r="I51" s="13">
        <f t="shared" si="6"/>
        <v>-4.1336695883366383</v>
      </c>
      <c r="J51" s="13">
        <f t="shared" si="7"/>
        <v>-4.1194655936954954</v>
      </c>
      <c r="K51" s="13">
        <f t="shared" si="8"/>
        <v>-0.36092310249740978</v>
      </c>
      <c r="L51" s="13">
        <f t="shared" si="9"/>
        <v>28.045314145358287</v>
      </c>
      <c r="M51" s="13">
        <f t="shared" si="10"/>
        <v>28.161805899736841</v>
      </c>
      <c r="N51" s="13">
        <f t="shared" si="11"/>
        <v>28.891004081100313</v>
      </c>
      <c r="O51" s="13">
        <f t="shared" si="12"/>
        <v>25.811575280818204</v>
      </c>
      <c r="P51" s="13"/>
      <c r="Q51" s="13"/>
      <c r="R51" s="13"/>
      <c r="S51" s="13"/>
      <c r="T51" s="13"/>
      <c r="U51" s="13"/>
      <c r="W51" s="13">
        <f>Belgium!R82</f>
        <v>1.2565823919831276</v>
      </c>
      <c r="X51">
        <v>0</v>
      </c>
      <c r="Y51">
        <v>0</v>
      </c>
      <c r="Z51">
        <v>1</v>
      </c>
      <c r="AA51">
        <v>0</v>
      </c>
      <c r="AB51">
        <v>0</v>
      </c>
      <c r="AC51">
        <v>0</v>
      </c>
      <c r="AD51">
        <v>0</v>
      </c>
      <c r="AE51">
        <v>0</v>
      </c>
      <c r="AF51">
        <v>0</v>
      </c>
      <c r="AG51">
        <v>0</v>
      </c>
      <c r="AH51" s="31">
        <v>0</v>
      </c>
      <c r="AI51" s="19">
        <v>0</v>
      </c>
      <c r="AJ51" s="19">
        <v>0</v>
      </c>
      <c r="AK51" s="19">
        <v>0</v>
      </c>
    </row>
    <row r="52" spans="1:37">
      <c r="B52">
        <v>2013</v>
      </c>
      <c r="C52" s="13">
        <f>'Belgian EV uptake'!AM8</f>
        <v>2.5</v>
      </c>
      <c r="D52" s="13">
        <f t="shared" si="1"/>
        <v>2.4193727628627242</v>
      </c>
      <c r="E52" s="13">
        <f t="shared" si="2"/>
        <v>2.4404833273968216</v>
      </c>
      <c r="F52" s="13">
        <f t="shared" si="3"/>
        <v>2.4502794711682827</v>
      </c>
      <c r="G52" s="13">
        <f t="shared" si="4"/>
        <v>2.4510724144267457</v>
      </c>
      <c r="H52" s="13">
        <f t="shared" si="5"/>
        <v>2.4478848213133841</v>
      </c>
      <c r="I52" s="13">
        <f t="shared" si="6"/>
        <v>2.4560883958338375</v>
      </c>
      <c r="J52" s="13">
        <f t="shared" si="7"/>
        <v>2.4609237484667967</v>
      </c>
      <c r="K52" s="13">
        <f t="shared" si="8"/>
        <v>2.9762270843946164</v>
      </c>
      <c r="L52" s="13">
        <f t="shared" si="9"/>
        <v>26.619866315899916</v>
      </c>
      <c r="M52" s="13">
        <f t="shared" si="10"/>
        <v>26.738805346153828</v>
      </c>
      <c r="N52" s="13">
        <f t="shared" si="11"/>
        <v>27.423723743920952</v>
      </c>
      <c r="O52" s="13">
        <f t="shared" si="12"/>
        <v>24.329186896113619</v>
      </c>
      <c r="P52" s="13"/>
      <c r="Q52" s="13"/>
      <c r="R52" s="13"/>
      <c r="S52" s="13"/>
      <c r="T52" s="13"/>
      <c r="U52" s="13"/>
      <c r="W52" s="13">
        <f>Belgium!R83</f>
        <v>1.0297028392013483</v>
      </c>
      <c r="X52">
        <v>0</v>
      </c>
      <c r="Y52">
        <v>0</v>
      </c>
      <c r="Z52">
        <v>0.5</v>
      </c>
      <c r="AA52">
        <v>0</v>
      </c>
      <c r="AB52">
        <v>0</v>
      </c>
      <c r="AC52">
        <v>0</v>
      </c>
      <c r="AD52">
        <v>0</v>
      </c>
      <c r="AE52">
        <v>0</v>
      </c>
      <c r="AF52">
        <v>0</v>
      </c>
      <c r="AG52">
        <v>0</v>
      </c>
      <c r="AH52" s="31">
        <v>0</v>
      </c>
      <c r="AI52" s="19">
        <v>0</v>
      </c>
      <c r="AJ52" s="19">
        <v>0</v>
      </c>
      <c r="AK52" s="19">
        <v>0</v>
      </c>
    </row>
    <row r="53" spans="1:37">
      <c r="B53">
        <v>2014</v>
      </c>
      <c r="C53" s="13">
        <f>'Belgian EV uptake'!AM9</f>
        <v>3.2999999999999545</v>
      </c>
      <c r="D53" s="13">
        <f t="shared" si="1"/>
        <v>3.9713042112690635</v>
      </c>
      <c r="E53" s="13">
        <f t="shared" si="2"/>
        <v>3.974370257967101</v>
      </c>
      <c r="F53" s="13">
        <f t="shared" si="3"/>
        <v>3.9757930258999692</v>
      </c>
      <c r="G53" s="13">
        <f t="shared" si="4"/>
        <v>3.9759081910370964</v>
      </c>
      <c r="H53" s="13">
        <f t="shared" si="5"/>
        <v>3.9751985073593201</v>
      </c>
      <c r="I53" s="13">
        <f t="shared" si="6"/>
        <v>3.9633307998882397</v>
      </c>
      <c r="J53" s="13">
        <f t="shared" si="7"/>
        <v>3.9640465851073539</v>
      </c>
      <c r="K53" s="13">
        <f t="shared" si="8"/>
        <v>3.7079078030166839</v>
      </c>
      <c r="L53" s="13">
        <f t="shared" si="9"/>
        <v>26.479313753958774</v>
      </c>
      <c r="M53" s="13">
        <f t="shared" si="10"/>
        <v>26.602506449369343</v>
      </c>
      <c r="N53" s="13">
        <f t="shared" si="11"/>
        <v>27.293928016038624</v>
      </c>
      <c r="O53" s="13">
        <f t="shared" si="12"/>
        <v>24.154978195004421</v>
      </c>
      <c r="P53" s="13"/>
      <c r="Q53" s="13"/>
      <c r="R53" s="13"/>
      <c r="S53" s="13"/>
      <c r="T53" s="13"/>
      <c r="U53" s="13"/>
      <c r="W53" s="13">
        <f>Belgium!R84</f>
        <v>0.9354832034305689</v>
      </c>
      <c r="X53">
        <v>0</v>
      </c>
      <c r="Y53">
        <v>0</v>
      </c>
      <c r="Z53">
        <v>0.5</v>
      </c>
      <c r="AA53">
        <v>0</v>
      </c>
      <c r="AB53">
        <v>0</v>
      </c>
      <c r="AC53">
        <v>0</v>
      </c>
      <c r="AD53">
        <v>0</v>
      </c>
      <c r="AE53">
        <v>0</v>
      </c>
      <c r="AF53">
        <v>0</v>
      </c>
      <c r="AG53">
        <v>0</v>
      </c>
      <c r="AH53" s="31">
        <v>0</v>
      </c>
      <c r="AI53" s="19">
        <v>0</v>
      </c>
      <c r="AJ53" s="19">
        <v>0</v>
      </c>
      <c r="AK53" s="19">
        <v>0</v>
      </c>
    </row>
    <row r="54" spans="1:37">
      <c r="B54">
        <v>2015</v>
      </c>
      <c r="C54" s="13">
        <f>'Belgian EV uptake'!AM10</f>
        <v>3.2999999999999545</v>
      </c>
      <c r="D54" s="13">
        <f t="shared" si="1"/>
        <v>3.078388281852944</v>
      </c>
      <c r="E54" s="13">
        <f t="shared" si="2"/>
        <v>3.0918363833968976</v>
      </c>
      <c r="F54" s="13">
        <f t="shared" si="3"/>
        <v>3.0980768387842867</v>
      </c>
      <c r="G54" s="13">
        <f t="shared" si="4"/>
        <v>3.0985819688788063</v>
      </c>
      <c r="H54" s="13">
        <f t="shared" si="5"/>
        <v>3.0964466005749753</v>
      </c>
      <c r="I54" s="13">
        <f t="shared" si="6"/>
        <v>3.0961270626009703</v>
      </c>
      <c r="J54" s="13">
        <f t="shared" si="7"/>
        <v>3.0992130732381642</v>
      </c>
      <c r="K54" s="13">
        <f t="shared" si="8"/>
        <v>3.2869295635621176</v>
      </c>
      <c r="L54" s="13">
        <f t="shared" si="9"/>
        <v>26.560181772714607</v>
      </c>
      <c r="M54" s="13">
        <f t="shared" si="10"/>
        <v>26.680927088519148</v>
      </c>
      <c r="N54" s="13">
        <f t="shared" si="11"/>
        <v>27.368607005961344</v>
      </c>
      <c r="O54" s="13">
        <f t="shared" si="12"/>
        <v>24.255210537369177</v>
      </c>
      <c r="P54" s="13"/>
      <c r="Q54" s="13"/>
      <c r="R54" s="13"/>
      <c r="S54" s="13"/>
      <c r="T54" s="13"/>
      <c r="U54" s="13"/>
      <c r="W54" s="13">
        <f>Belgium!R85</f>
        <v>0.98969320976165132</v>
      </c>
      <c r="X54">
        <v>0</v>
      </c>
      <c r="Y54">
        <v>0</v>
      </c>
      <c r="Z54">
        <v>0.5</v>
      </c>
      <c r="AA54">
        <v>0</v>
      </c>
      <c r="AB54">
        <v>0</v>
      </c>
      <c r="AC54">
        <v>0</v>
      </c>
      <c r="AD54">
        <v>0</v>
      </c>
      <c r="AE54">
        <v>0</v>
      </c>
      <c r="AF54">
        <v>0</v>
      </c>
      <c r="AG54">
        <v>0</v>
      </c>
      <c r="AH54" s="31">
        <v>0</v>
      </c>
      <c r="AI54" s="19">
        <v>0</v>
      </c>
      <c r="AJ54" s="19">
        <v>0</v>
      </c>
      <c r="AK54" s="19">
        <v>0</v>
      </c>
    </row>
    <row r="55" spans="1:37">
      <c r="B55">
        <v>2016</v>
      </c>
      <c r="C55" s="13">
        <f>'Belgian EV uptake'!AM11</f>
        <v>4</v>
      </c>
      <c r="D55" s="13">
        <f t="shared" si="1"/>
        <v>5.6854755884305419</v>
      </c>
      <c r="E55" s="13">
        <f t="shared" si="2"/>
        <v>5.6909302884657142</v>
      </c>
      <c r="F55" s="13">
        <f t="shared" si="3"/>
        <v>5.6934614867995297</v>
      </c>
      <c r="G55" s="13">
        <f t="shared" si="4"/>
        <v>5.6936663732019221</v>
      </c>
      <c r="H55" s="13">
        <f t="shared" si="5"/>
        <v>5.6919678228809456</v>
      </c>
      <c r="I55" s="13">
        <f t="shared" si="6"/>
        <v>5.6477781789047778</v>
      </c>
      <c r="J55" s="13">
        <f t="shared" si="7"/>
        <v>5.6490754818126598</v>
      </c>
      <c r="K55" s="13">
        <f t="shared" si="8"/>
        <v>4.608529304173647</v>
      </c>
      <c r="L55" s="13">
        <f t="shared" si="9"/>
        <v>25.835670621564105</v>
      </c>
      <c r="M55" s="13">
        <f t="shared" si="10"/>
        <v>25.953927072858782</v>
      </c>
      <c r="N55" s="13">
        <f t="shared" si="11"/>
        <v>26.608989152796173</v>
      </c>
      <c r="O55" s="13">
        <f t="shared" si="12"/>
        <v>23.527845718079995</v>
      </c>
      <c r="P55" s="13"/>
      <c r="Q55" s="13"/>
      <c r="R55" s="13"/>
      <c r="S55" s="13"/>
      <c r="T55" s="13"/>
      <c r="U55" s="13"/>
      <c r="W55" s="13">
        <f>Belgium!R86</f>
        <v>0.9412190095378552</v>
      </c>
      <c r="X55">
        <v>0</v>
      </c>
      <c r="Y55">
        <v>0</v>
      </c>
      <c r="Z55">
        <v>0.2</v>
      </c>
      <c r="AA55">
        <v>0</v>
      </c>
      <c r="AB55">
        <v>0</v>
      </c>
      <c r="AC55">
        <v>0</v>
      </c>
      <c r="AD55">
        <v>0</v>
      </c>
      <c r="AE55">
        <v>0</v>
      </c>
      <c r="AF55">
        <v>0</v>
      </c>
      <c r="AG55">
        <v>0</v>
      </c>
      <c r="AH55" s="31">
        <v>0</v>
      </c>
      <c r="AI55" s="19">
        <v>0</v>
      </c>
      <c r="AJ55" s="19">
        <v>0</v>
      </c>
      <c r="AK55" s="19">
        <v>0</v>
      </c>
    </row>
    <row r="56" spans="1:37" s="18" customFormat="1">
      <c r="B56" s="18">
        <v>2017</v>
      </c>
      <c r="C56" s="182">
        <f>'Belgian EV uptake'!AM12</f>
        <v>4</v>
      </c>
      <c r="D56" s="13">
        <f t="shared" si="1"/>
        <v>6.0674741929025302</v>
      </c>
      <c r="E56" s="13">
        <f t="shared" si="2"/>
        <v>6.068487343255323</v>
      </c>
      <c r="F56" s="13">
        <f t="shared" si="3"/>
        <v>6.0689574854204871</v>
      </c>
      <c r="G56" s="13">
        <f t="shared" si="4"/>
        <v>6.0689955408093335</v>
      </c>
      <c r="H56" s="13">
        <f t="shared" si="5"/>
        <v>6.0679069130125569</v>
      </c>
      <c r="I56" s="13">
        <f t="shared" si="6"/>
        <v>6.0187768435307394</v>
      </c>
      <c r="J56" s="13">
        <f t="shared" si="7"/>
        <v>6.0190601396635595</v>
      </c>
      <c r="K56" s="13">
        <f t="shared" si="8"/>
        <v>4.7886281182802293</v>
      </c>
      <c r="L56" s="13">
        <f t="shared" si="9"/>
        <v>25.801074452660114</v>
      </c>
      <c r="M56" s="13">
        <f t="shared" si="10"/>
        <v>25.920377918083801</v>
      </c>
      <c r="N56" s="13">
        <f t="shared" si="11"/>
        <v>26.577040713985689</v>
      </c>
      <c r="O56" s="13">
        <f t="shared" si="12"/>
        <v>23.484965292672722</v>
      </c>
      <c r="P56" s="182"/>
      <c r="Q56" s="182"/>
      <c r="R56" s="182"/>
      <c r="S56" s="182"/>
      <c r="T56" s="182"/>
      <c r="U56" s="182"/>
      <c r="V56" s="182"/>
      <c r="W56" s="13">
        <f>Belgium!R87</f>
        <v>0.91802741211565186</v>
      </c>
      <c r="X56" s="18">
        <v>0</v>
      </c>
      <c r="Y56" s="18">
        <v>0</v>
      </c>
      <c r="Z56">
        <v>0.2</v>
      </c>
      <c r="AA56">
        <v>0</v>
      </c>
      <c r="AB56">
        <v>0</v>
      </c>
      <c r="AC56">
        <v>0</v>
      </c>
      <c r="AD56">
        <v>0</v>
      </c>
      <c r="AE56">
        <v>0</v>
      </c>
      <c r="AF56">
        <v>0</v>
      </c>
      <c r="AG56">
        <v>0</v>
      </c>
      <c r="AH56" s="31">
        <v>0</v>
      </c>
      <c r="AI56" s="19">
        <v>0</v>
      </c>
      <c r="AJ56" s="19">
        <v>0</v>
      </c>
      <c r="AK56" s="19">
        <v>0</v>
      </c>
    </row>
    <row r="57" spans="1:37">
      <c r="A57" s="14" t="s">
        <v>298</v>
      </c>
      <c r="B57">
        <v>2012</v>
      </c>
      <c r="C57" s="13">
        <f>'British EV uptake'!O7</f>
        <v>2017.2678731409455</v>
      </c>
      <c r="E57" s="13">
        <f t="shared" si="2"/>
        <v>-2.3474263455253692</v>
      </c>
      <c r="F57" s="13">
        <f t="shared" si="3"/>
        <v>-2.3154146934505553</v>
      </c>
      <c r="G57" s="13">
        <f t="shared" si="4"/>
        <v>-2.3128235285700587</v>
      </c>
      <c r="H57" s="13">
        <f t="shared" si="5"/>
        <v>-2.322296646253283</v>
      </c>
      <c r="I57" s="13">
        <f t="shared" si="6"/>
        <v>-2.2455635689145779</v>
      </c>
      <c r="J57" s="13">
        <f t="shared" si="7"/>
        <v>-2.2298143464632156</v>
      </c>
      <c r="K57" s="13">
        <f t="shared" si="8"/>
        <v>0.71943063595602297</v>
      </c>
      <c r="L57" s="13">
        <f t="shared" si="9"/>
        <v>25.901812787722108</v>
      </c>
      <c r="M57" s="13">
        <f t="shared" si="10"/>
        <v>26.0017906011863</v>
      </c>
      <c r="N57" s="13">
        <f t="shared" si="11"/>
        <v>26.609699078260217</v>
      </c>
      <c r="O57" s="13">
        <f t="shared" si="12"/>
        <v>23.723582546478724</v>
      </c>
      <c r="P57" s="13"/>
      <c r="Q57" s="13"/>
      <c r="R57" s="13"/>
      <c r="S57" s="13"/>
      <c r="T57" s="13"/>
      <c r="U57" s="13"/>
      <c r="W57" s="13">
        <f>Britain!R81</f>
        <v>1.2770261930936688</v>
      </c>
      <c r="X57">
        <v>0</v>
      </c>
      <c r="Y57">
        <v>0</v>
      </c>
      <c r="Z57">
        <v>0</v>
      </c>
      <c r="AA57">
        <v>1</v>
      </c>
      <c r="AB57">
        <v>0</v>
      </c>
      <c r="AC57">
        <v>0</v>
      </c>
      <c r="AD57">
        <v>0</v>
      </c>
      <c r="AE57">
        <v>0</v>
      </c>
      <c r="AF57">
        <v>0</v>
      </c>
      <c r="AG57">
        <v>0</v>
      </c>
      <c r="AH57" s="31">
        <v>0</v>
      </c>
      <c r="AI57" s="19">
        <v>0</v>
      </c>
      <c r="AJ57" s="19">
        <v>0</v>
      </c>
      <c r="AK57" s="19">
        <v>0</v>
      </c>
    </row>
    <row r="58" spans="1:37">
      <c r="B58">
        <v>2013</v>
      </c>
      <c r="C58" s="13">
        <f>'British EV uptake'!O8</f>
        <v>2017.2250499190925</v>
      </c>
      <c r="E58" s="13">
        <f t="shared" si="2"/>
        <v>-2.4533914367500089</v>
      </c>
      <c r="F58" s="13">
        <f t="shared" si="3"/>
        <v>-2.4208013290427024</v>
      </c>
      <c r="G58" s="13">
        <f t="shared" si="4"/>
        <v>-2.4181633414016606</v>
      </c>
      <c r="H58" s="13">
        <f t="shared" si="5"/>
        <v>-2.4278076398245836</v>
      </c>
      <c r="I58" s="13">
        <f t="shared" si="6"/>
        <v>-2.3496879836026259</v>
      </c>
      <c r="J58" s="13">
        <f t="shared" si="7"/>
        <v>-2.3336541702025331</v>
      </c>
      <c r="K58" s="13">
        <f t="shared" si="8"/>
        <v>0.66888413702518434</v>
      </c>
      <c r="L58" s="13">
        <f t="shared" si="9"/>
        <v>25.91152254191006</v>
      </c>
      <c r="M58" s="13">
        <f t="shared" si="10"/>
        <v>26.011206500587839</v>
      </c>
      <c r="N58" s="13">
        <f t="shared" si="11"/>
        <v>26.618665721023451</v>
      </c>
      <c r="O58" s="13">
        <f t="shared" si="12"/>
        <v>23.735617358522074</v>
      </c>
      <c r="P58" s="13"/>
      <c r="Q58" s="13"/>
      <c r="R58" s="13"/>
      <c r="S58" s="13"/>
      <c r="T58" s="13"/>
      <c r="U58" s="13"/>
      <c r="W58" s="13">
        <f>Britain!R82</f>
        <v>1.2835351424175223</v>
      </c>
      <c r="X58">
        <v>0</v>
      </c>
      <c r="Y58">
        <v>0</v>
      </c>
      <c r="Z58">
        <v>0</v>
      </c>
      <c r="AA58">
        <v>1</v>
      </c>
      <c r="AB58">
        <v>0</v>
      </c>
      <c r="AC58">
        <v>0</v>
      </c>
      <c r="AD58">
        <v>0</v>
      </c>
      <c r="AE58">
        <v>0</v>
      </c>
      <c r="AF58">
        <v>0</v>
      </c>
      <c r="AG58">
        <v>0</v>
      </c>
      <c r="AH58" s="31">
        <v>0</v>
      </c>
      <c r="AI58" s="19">
        <v>0</v>
      </c>
      <c r="AJ58" s="19">
        <v>0</v>
      </c>
      <c r="AK58" s="19">
        <v>0</v>
      </c>
    </row>
    <row r="59" spans="1:37">
      <c r="B59">
        <v>2014</v>
      </c>
      <c r="C59" s="13">
        <f>'British EV uptake'!O9</f>
        <v>2017.8014239680281</v>
      </c>
      <c r="E59" s="13">
        <f t="shared" si="2"/>
        <v>-1.1119246901675717</v>
      </c>
      <c r="F59" s="13">
        <f t="shared" si="3"/>
        <v>-1.0866575506792655</v>
      </c>
      <c r="G59" s="13">
        <f t="shared" si="4"/>
        <v>-1.0846123165151642</v>
      </c>
      <c r="H59" s="13">
        <f t="shared" si="5"/>
        <v>-1.0920895496592649</v>
      </c>
      <c r="I59" s="13">
        <f t="shared" si="6"/>
        <v>-1.0315233107174904</v>
      </c>
      <c r="J59" s="13">
        <f t="shared" si="7"/>
        <v>-1.0190922809293079</v>
      </c>
      <c r="K59" s="13">
        <f t="shared" si="8"/>
        <v>1.3087783388632079</v>
      </c>
      <c r="L59" s="13">
        <f t="shared" si="9"/>
        <v>25.788601755355792</v>
      </c>
      <c r="M59" s="13">
        <f t="shared" si="10"/>
        <v>25.892005773345005</v>
      </c>
      <c r="N59" s="13">
        <f t="shared" si="11"/>
        <v>26.505152365291373</v>
      </c>
      <c r="O59" s="13">
        <f t="shared" si="12"/>
        <v>23.583262465312036</v>
      </c>
      <c r="P59" s="13"/>
      <c r="Q59" s="13"/>
      <c r="R59" s="13"/>
      <c r="S59" s="13"/>
      <c r="T59" s="13"/>
      <c r="U59" s="13"/>
      <c r="W59" s="13">
        <f>Britain!R83</f>
        <v>1.2011349956122954</v>
      </c>
      <c r="X59">
        <v>0</v>
      </c>
      <c r="Y59">
        <v>0</v>
      </c>
      <c r="Z59">
        <v>0</v>
      </c>
      <c r="AA59">
        <v>1</v>
      </c>
      <c r="AB59">
        <v>0</v>
      </c>
      <c r="AC59">
        <v>0</v>
      </c>
      <c r="AD59">
        <v>0</v>
      </c>
      <c r="AE59">
        <v>0</v>
      </c>
      <c r="AF59">
        <v>0</v>
      </c>
      <c r="AG59">
        <v>0</v>
      </c>
      <c r="AH59" s="31">
        <v>0</v>
      </c>
      <c r="AI59" s="19">
        <v>0</v>
      </c>
      <c r="AJ59" s="19">
        <v>0</v>
      </c>
      <c r="AK59" s="19">
        <v>0</v>
      </c>
    </row>
    <row r="60" spans="1:37">
      <c r="B60">
        <v>2015</v>
      </c>
      <c r="C60" s="13">
        <f>'British EV uptake'!O10</f>
        <v>2017.0074449217677</v>
      </c>
      <c r="E60" s="13">
        <f t="shared" si="2"/>
        <v>-3.0089844557167198</v>
      </c>
      <c r="F60" s="13">
        <f t="shared" si="3"/>
        <v>-2.973361406618241</v>
      </c>
      <c r="G60" s="13">
        <f t="shared" si="4"/>
        <v>-2.9704779192698059</v>
      </c>
      <c r="H60" s="13">
        <f t="shared" si="5"/>
        <v>-2.9810197474627578</v>
      </c>
      <c r="I60" s="13">
        <f t="shared" si="6"/>
        <v>-2.8956300220238602</v>
      </c>
      <c r="J60" s="13">
        <f t="shared" si="7"/>
        <v>-2.8781040498142234</v>
      </c>
      <c r="K60" s="13">
        <f t="shared" si="8"/>
        <v>0.40386023514746938</v>
      </c>
      <c r="L60" s="13">
        <f t="shared" si="9"/>
        <v>25.962432436672216</v>
      </c>
      <c r="M60" s="13">
        <f t="shared" si="10"/>
        <v>26.060575664661862</v>
      </c>
      <c r="N60" s="13">
        <f t="shared" si="11"/>
        <v>26.665679356035202</v>
      </c>
      <c r="O60" s="13">
        <f t="shared" si="12"/>
        <v>23.798717927573499</v>
      </c>
      <c r="P60" s="13"/>
      <c r="Q60" s="13"/>
      <c r="R60" s="13"/>
      <c r="S60" s="13"/>
      <c r="T60" s="13"/>
      <c r="U60" s="13"/>
      <c r="W60" s="13">
        <f>Britain!R84</f>
        <v>1.3176626721855536</v>
      </c>
      <c r="X60">
        <v>0</v>
      </c>
      <c r="Y60">
        <v>0</v>
      </c>
      <c r="Z60">
        <v>0</v>
      </c>
      <c r="AA60">
        <v>1</v>
      </c>
      <c r="AB60">
        <v>0</v>
      </c>
      <c r="AC60">
        <v>0</v>
      </c>
      <c r="AD60">
        <v>0</v>
      </c>
      <c r="AE60">
        <v>0</v>
      </c>
      <c r="AF60">
        <v>0</v>
      </c>
      <c r="AG60">
        <v>0</v>
      </c>
      <c r="AH60" s="31">
        <v>0</v>
      </c>
      <c r="AI60" s="19">
        <v>0</v>
      </c>
      <c r="AJ60" s="19">
        <v>0</v>
      </c>
      <c r="AK60" s="19">
        <v>0</v>
      </c>
    </row>
    <row r="61" spans="1:37">
      <c r="B61">
        <v>2016</v>
      </c>
      <c r="C61" s="13">
        <f>'British EV uptake'!O11</f>
        <v>2017.648681601019</v>
      </c>
      <c r="E61" s="13">
        <f t="shared" si="2"/>
        <v>-1.4503565144928303</v>
      </c>
      <c r="F61" s="13">
        <f t="shared" si="3"/>
        <v>-1.4232419005888195</v>
      </c>
      <c r="G61" s="13">
        <f t="shared" si="4"/>
        <v>-1.4210471236640903</v>
      </c>
      <c r="H61" s="13">
        <f t="shared" si="5"/>
        <v>-1.4290710746881614</v>
      </c>
      <c r="I61" s="13">
        <f t="shared" si="6"/>
        <v>-1.3640763733574288</v>
      </c>
      <c r="J61" s="13">
        <f t="shared" si="7"/>
        <v>-1.3507364156114479</v>
      </c>
      <c r="K61" s="13">
        <f t="shared" si="8"/>
        <v>1.1473426844536494</v>
      </c>
      <c r="L61" s="13">
        <f t="shared" si="9"/>
        <v>25.819612815560632</v>
      </c>
      <c r="M61" s="13">
        <f t="shared" si="10"/>
        <v>25.922078318702141</v>
      </c>
      <c r="N61" s="13">
        <f t="shared" si="11"/>
        <v>26.533790072609548</v>
      </c>
      <c r="O61" s="13">
        <f t="shared" si="12"/>
        <v>23.621699306616758</v>
      </c>
      <c r="P61" s="13"/>
      <c r="Q61" s="13"/>
      <c r="R61" s="13"/>
      <c r="S61" s="13"/>
      <c r="T61" s="13"/>
      <c r="U61" s="13"/>
      <c r="W61" s="13">
        <f>Britain!R85</f>
        <v>1.2219233096566111</v>
      </c>
      <c r="X61">
        <v>0</v>
      </c>
      <c r="Y61">
        <v>0</v>
      </c>
      <c r="Z61">
        <v>0</v>
      </c>
      <c r="AA61">
        <v>1</v>
      </c>
      <c r="AB61">
        <v>0</v>
      </c>
      <c r="AC61">
        <v>0</v>
      </c>
      <c r="AD61">
        <v>0</v>
      </c>
      <c r="AE61">
        <v>0</v>
      </c>
      <c r="AF61">
        <v>0</v>
      </c>
      <c r="AG61">
        <v>0</v>
      </c>
      <c r="AH61" s="31">
        <v>0</v>
      </c>
      <c r="AI61" s="19">
        <v>0</v>
      </c>
      <c r="AJ61" s="19">
        <v>0</v>
      </c>
      <c r="AK61" s="19">
        <v>0</v>
      </c>
    </row>
    <row r="62" spans="1:37" s="18" customFormat="1">
      <c r="B62" s="18">
        <v>2017</v>
      </c>
      <c r="C62" s="182">
        <f>'British EV uptake'!O12</f>
        <v>2017.8255650522617</v>
      </c>
      <c r="D62" s="182"/>
      <c r="E62" s="13">
        <f t="shared" si="2"/>
        <v>-1.0594862071903699</v>
      </c>
      <c r="F62" s="13">
        <f t="shared" si="3"/>
        <v>-1.0345053255204339</v>
      </c>
      <c r="G62" s="13">
        <f t="shared" si="4"/>
        <v>-1.0324832623318283</v>
      </c>
      <c r="H62" s="13">
        <f t="shared" si="5"/>
        <v>-1.0398757840091526</v>
      </c>
      <c r="I62" s="13">
        <f t="shared" si="6"/>
        <v>-0.97999571531765062</v>
      </c>
      <c r="J62" s="13">
        <f t="shared" si="7"/>
        <v>-0.96770551981223196</v>
      </c>
      <c r="K62" s="13">
        <f t="shared" si="8"/>
        <v>1.3337920645450261</v>
      </c>
      <c r="L62" s="13">
        <f t="shared" si="9"/>
        <v>25.783796731608696</v>
      </c>
      <c r="M62" s="13">
        <f t="shared" si="10"/>
        <v>25.887346168235659</v>
      </c>
      <c r="N62" s="13">
        <f t="shared" si="11"/>
        <v>26.500715081857098</v>
      </c>
      <c r="O62" s="13">
        <f t="shared" si="12"/>
        <v>23.577306850314912</v>
      </c>
      <c r="P62" s="182"/>
      <c r="Q62" s="182"/>
      <c r="R62" s="182"/>
      <c r="S62" s="182"/>
      <c r="T62" s="182"/>
      <c r="U62" s="182"/>
      <c r="V62" s="182"/>
      <c r="W62" s="13">
        <f>Britain!R86</f>
        <v>1.1979139402215651</v>
      </c>
      <c r="X62" s="18">
        <v>0</v>
      </c>
      <c r="Y62" s="18">
        <v>0</v>
      </c>
      <c r="Z62" s="18">
        <v>0</v>
      </c>
      <c r="AA62">
        <v>1</v>
      </c>
      <c r="AB62" s="18">
        <v>0</v>
      </c>
      <c r="AC62" s="18">
        <v>0</v>
      </c>
      <c r="AD62" s="18">
        <v>0</v>
      </c>
      <c r="AE62" s="18">
        <v>0</v>
      </c>
      <c r="AF62" s="18">
        <v>0</v>
      </c>
      <c r="AG62" s="18">
        <v>0</v>
      </c>
      <c r="AH62" s="18">
        <v>0</v>
      </c>
      <c r="AI62" s="27">
        <v>0</v>
      </c>
      <c r="AJ62" s="27">
        <v>0</v>
      </c>
      <c r="AK62" s="27">
        <v>0</v>
      </c>
    </row>
    <row r="63" spans="1:37">
      <c r="A63" s="14" t="s">
        <v>238</v>
      </c>
      <c r="B63">
        <v>2012</v>
      </c>
      <c r="C63" s="13">
        <f>'Canada EV uptake'!O7</f>
        <v>2017.0015547616606</v>
      </c>
      <c r="F63" s="13">
        <f t="shared" si="3"/>
        <v>5.867002735975813</v>
      </c>
      <c r="G63" s="13">
        <f t="shared" si="4"/>
        <v>5.8660843768915294</v>
      </c>
      <c r="H63" s="13">
        <f t="shared" si="5"/>
        <v>5.8694418335112823</v>
      </c>
      <c r="I63" s="13">
        <f t="shared" ref="I63:I86" si="13">I$3+I$4*W63+I$5*X63+I$6*Y63+I$7*Z63+I$8*AA63+I$9*AB63+I$10*AC63+I$11*AD63+I$12*AE63</f>
        <v>5.8422461428126589</v>
      </c>
      <c r="J63" s="13">
        <f t="shared" ref="J63:J92" si="14">J$3+J$4*W63+J$5*X63+J$6*Y63+J$7*Z63+J$8*AA63+J$9*AB63+J$10*AC63+J$11*AD63+J$12*AE63+J$13*AF63</f>
        <v>5.8366643129501483</v>
      </c>
      <c r="K63" s="13">
        <f t="shared" ref="K63:K98" si="15">K$3+K$4*W63+K$5*X63+K$6*Y63+K$7*Z63+K$8*AA63+K$9*AB63+K$10*AC63+K$11*AD63+K$12*AE63+K$13*AF63+K$14*AG63</f>
        <v>4.7913946962723371</v>
      </c>
      <c r="L63" s="13">
        <f t="shared" ref="L63:L104" si="16">L$3+L$4*W63+L$5*X63+L$6*Y63+L$7*Z63+L$8*AA63+L$9*AB63+L$10*AC63+L$11*AD63+L$12*AE63+L$13*AF63+L$14*AG63+L$15*AH63</f>
        <v>28.678341586128624</v>
      </c>
      <c r="M63" s="13">
        <f t="shared" ref="M63:M110" si="17">M$3+M$4*W63+M$5*X63+M$6*Y63+M$7*Z63+M$8*AA63+M$9*AB63+M$10*AC63+M$11*AD63+M$12*AE63+M$13*AF63+M$14*AG63+M$15*AH63+M$16*AI63</f>
        <v>28.776633368593124</v>
      </c>
      <c r="N63" s="13">
        <f t="shared" ref="N63:N116" si="18">N$3+N$4*W63+N$5*X63+N$6*Y63+N$7*Z63+N$8*AA63+N$9*AB63+N$10*AC63+N$11*AD63+N$12*AE63+N$13*AF63+N$14*AG63+N$15*AH63+N$16*AI63+N$17*AJ63</f>
        <v>29.475697529610009</v>
      </c>
      <c r="O63" s="13">
        <f t="shared" ref="O63:O122" si="19">O$3+O$4*W63+O$5*X63+O$6*Y63+O$7*Z63+O$8*AA63+O$9*AB63+O$10*AC63+O$11*AD63+O$12*AE63+O$13*AF63+O$14*AG63+O$15*AH63+O$16*AI63+O$17*AJ63+O$18*AK63</f>
        <v>26.594103356691829</v>
      </c>
      <c r="P63" s="31"/>
      <c r="Q63" s="31"/>
      <c r="R63" s="31"/>
      <c r="S63" s="31"/>
      <c r="T63" s="31"/>
      <c r="U63" s="31"/>
      <c r="V63" s="177"/>
      <c r="W63" s="177">
        <f>Canada!R80</f>
        <v>0.98881283257869401</v>
      </c>
      <c r="X63" s="31">
        <v>0</v>
      </c>
      <c r="Y63" s="31">
        <v>0</v>
      </c>
      <c r="Z63" s="31">
        <v>0</v>
      </c>
      <c r="AA63">
        <v>0</v>
      </c>
      <c r="AB63" s="31">
        <v>1</v>
      </c>
      <c r="AC63">
        <v>0</v>
      </c>
      <c r="AD63">
        <v>0</v>
      </c>
      <c r="AE63">
        <v>0</v>
      </c>
      <c r="AF63">
        <v>0</v>
      </c>
      <c r="AG63">
        <v>0</v>
      </c>
      <c r="AH63" s="31">
        <v>0</v>
      </c>
      <c r="AI63" s="19">
        <v>0</v>
      </c>
      <c r="AJ63" s="19">
        <v>0</v>
      </c>
      <c r="AK63" s="19">
        <v>0</v>
      </c>
    </row>
    <row r="64" spans="1:37">
      <c r="B64">
        <v>2013</v>
      </c>
      <c r="C64" s="13">
        <f>'Canada EV uptake'!O8</f>
        <v>2017.2592952763096</v>
      </c>
      <c r="F64" s="13">
        <f t="shared" si="3"/>
        <v>6.2366310140179486</v>
      </c>
      <c r="G64" s="13">
        <f t="shared" si="4"/>
        <v>6.2355484309193274</v>
      </c>
      <c r="H64" s="13">
        <f t="shared" si="5"/>
        <v>6.2395062790564024</v>
      </c>
      <c r="I64" s="13">
        <f t="shared" si="13"/>
        <v>6.207447364837007</v>
      </c>
      <c r="J64" s="13">
        <f t="shared" si="14"/>
        <v>6.2008673736636801</v>
      </c>
      <c r="K64" s="13">
        <f t="shared" si="15"/>
        <v>4.9686791807412254</v>
      </c>
      <c r="L64" s="13">
        <f t="shared" si="16"/>
        <v>28.644286037239155</v>
      </c>
      <c r="M64" s="13">
        <f t="shared" si="17"/>
        <v>28.743608472576156</v>
      </c>
      <c r="N64" s="13">
        <f t="shared" si="18"/>
        <v>29.444248335831585</v>
      </c>
      <c r="O64" s="13">
        <f t="shared" si="19"/>
        <v>26.551893005947171</v>
      </c>
      <c r="P64" s="31"/>
      <c r="Q64" s="31"/>
      <c r="R64" s="31"/>
      <c r="S64" s="31"/>
      <c r="T64" s="31"/>
      <c r="U64" s="31"/>
      <c r="V64" s="177"/>
      <c r="W64" s="177">
        <f>Canada!R81</f>
        <v>0.96598364065202125</v>
      </c>
      <c r="X64" s="31">
        <v>0</v>
      </c>
      <c r="Y64" s="31">
        <v>0</v>
      </c>
      <c r="Z64" s="31">
        <v>0</v>
      </c>
      <c r="AA64">
        <v>0</v>
      </c>
      <c r="AB64" s="31">
        <v>1</v>
      </c>
      <c r="AC64">
        <v>0</v>
      </c>
      <c r="AD64">
        <v>0</v>
      </c>
      <c r="AE64">
        <v>0</v>
      </c>
      <c r="AF64">
        <v>0</v>
      </c>
      <c r="AG64">
        <v>0</v>
      </c>
      <c r="AH64" s="31">
        <v>0</v>
      </c>
      <c r="AI64" s="19">
        <v>0</v>
      </c>
      <c r="AJ64" s="19">
        <v>0</v>
      </c>
      <c r="AK64" s="19">
        <v>0</v>
      </c>
    </row>
    <row r="65" spans="1:37">
      <c r="B65">
        <v>2014</v>
      </c>
      <c r="C65" s="13">
        <f>'Canada EV uptake'!O9</f>
        <v>2018.4664745793218</v>
      </c>
      <c r="F65" s="13">
        <f t="shared" si="3"/>
        <v>7.7628517760810709</v>
      </c>
      <c r="G65" s="13">
        <f t="shared" si="4"/>
        <v>7.7610911006523979</v>
      </c>
      <c r="H65" s="13">
        <f t="shared" si="5"/>
        <v>7.7675280069501627</v>
      </c>
      <c r="I65" s="13">
        <f t="shared" si="13"/>
        <v>7.7153885059659455</v>
      </c>
      <c r="J65" s="13">
        <f t="shared" si="14"/>
        <v>7.7046870376033603</v>
      </c>
      <c r="K65" s="13">
        <f t="shared" si="15"/>
        <v>5.7006990965909248</v>
      </c>
      <c r="L65" s="13">
        <f t="shared" si="16"/>
        <v>28.503668317042326</v>
      </c>
      <c r="M65" s="13">
        <f t="shared" si="17"/>
        <v>28.607246389477286</v>
      </c>
      <c r="N65" s="13">
        <f t="shared" si="18"/>
        <v>29.314392436415503</v>
      </c>
      <c r="O65" s="13">
        <f t="shared" si="19"/>
        <v>26.377603544054015</v>
      </c>
      <c r="P65" s="31"/>
      <c r="Q65" s="31"/>
      <c r="R65" s="31"/>
      <c r="S65" s="31"/>
      <c r="T65" s="31"/>
      <c r="U65" s="31"/>
      <c r="V65" s="177"/>
      <c r="W65" s="177">
        <f>Canada!R82</f>
        <v>0.87172032593982851</v>
      </c>
      <c r="X65" s="31">
        <v>0</v>
      </c>
      <c r="Y65" s="31">
        <v>0</v>
      </c>
      <c r="Z65" s="31">
        <v>0</v>
      </c>
      <c r="AA65">
        <v>0</v>
      </c>
      <c r="AB65" s="31">
        <v>1</v>
      </c>
      <c r="AC65">
        <v>0</v>
      </c>
      <c r="AD65">
        <v>0</v>
      </c>
      <c r="AE65">
        <v>0</v>
      </c>
      <c r="AF65">
        <v>0</v>
      </c>
      <c r="AG65">
        <v>0</v>
      </c>
      <c r="AH65" s="31">
        <v>0</v>
      </c>
      <c r="AI65" s="19">
        <v>0</v>
      </c>
      <c r="AJ65" s="19">
        <v>0</v>
      </c>
      <c r="AK65" s="19">
        <v>0</v>
      </c>
    </row>
    <row r="66" spans="1:37">
      <c r="B66">
        <v>2015</v>
      </c>
      <c r="C66" s="13">
        <f>'Canada EV uptake'!O10</f>
        <v>2017.766183496047</v>
      </c>
      <c r="F66" s="13">
        <f t="shared" si="3"/>
        <v>6.9159374071156119</v>
      </c>
      <c r="G66" s="13">
        <f t="shared" si="4"/>
        <v>6.9145530115489899</v>
      </c>
      <c r="H66" s="13">
        <f t="shared" si="5"/>
        <v>6.9196142649726893</v>
      </c>
      <c r="I66" s="13">
        <f t="shared" si="13"/>
        <v>6.8786176719419689</v>
      </c>
      <c r="J66" s="13">
        <f t="shared" si="14"/>
        <v>6.870203250342021</v>
      </c>
      <c r="K66" s="13">
        <f t="shared" si="15"/>
        <v>5.2944943059655198</v>
      </c>
      <c r="L66" s="13">
        <f t="shared" si="16"/>
        <v>28.581698422991661</v>
      </c>
      <c r="M66" s="13">
        <f t="shared" si="17"/>
        <v>28.682915002058849</v>
      </c>
      <c r="N66" s="13">
        <f t="shared" si="18"/>
        <v>29.386450705994896</v>
      </c>
      <c r="O66" s="13">
        <f t="shared" si="19"/>
        <v>26.474318418668247</v>
      </c>
      <c r="P66" s="31"/>
      <c r="Q66" s="31"/>
      <c r="R66" s="31"/>
      <c r="S66" s="31"/>
      <c r="T66" s="31"/>
      <c r="U66" s="31"/>
      <c r="V66" s="177"/>
      <c r="W66" s="177">
        <f>Canada!R83</f>
        <v>0.92402793286043683</v>
      </c>
      <c r="X66" s="31">
        <v>0</v>
      </c>
      <c r="Y66" s="31">
        <v>0</v>
      </c>
      <c r="Z66" s="31">
        <v>0</v>
      </c>
      <c r="AA66">
        <v>0</v>
      </c>
      <c r="AB66" s="31">
        <v>1</v>
      </c>
      <c r="AC66">
        <v>0</v>
      </c>
      <c r="AD66">
        <v>0</v>
      </c>
      <c r="AE66">
        <v>0</v>
      </c>
      <c r="AF66">
        <v>0</v>
      </c>
      <c r="AG66">
        <v>0</v>
      </c>
      <c r="AH66" s="31">
        <v>0</v>
      </c>
      <c r="AI66" s="19">
        <v>0</v>
      </c>
      <c r="AJ66" s="19">
        <v>0</v>
      </c>
      <c r="AK66" s="19">
        <v>0</v>
      </c>
    </row>
    <row r="67" spans="1:37">
      <c r="B67">
        <v>2016</v>
      </c>
      <c r="C67" s="13">
        <f>'Canada EV uptake'!O11</f>
        <v>2017.7612958281914</v>
      </c>
      <c r="F67" s="13">
        <f t="shared" si="3"/>
        <v>6.9096690686315458</v>
      </c>
      <c r="G67" s="13">
        <f t="shared" si="4"/>
        <v>6.9082874580566846</v>
      </c>
      <c r="H67" s="13">
        <f t="shared" si="5"/>
        <v>6.9133385297451744</v>
      </c>
      <c r="I67" s="13">
        <f t="shared" si="13"/>
        <v>6.8724244096554123</v>
      </c>
      <c r="J67" s="13">
        <f t="shared" si="14"/>
        <v>6.8640269153668463</v>
      </c>
      <c r="K67" s="13">
        <f t="shared" si="15"/>
        <v>5.2914878283158382</v>
      </c>
      <c r="L67" s="13">
        <f t="shared" si="16"/>
        <v>28.582275953771585</v>
      </c>
      <c r="M67" s="13">
        <f t="shared" si="17"/>
        <v>28.68347505451948</v>
      </c>
      <c r="N67" s="13">
        <f t="shared" si="18"/>
        <v>29.386984036920492</v>
      </c>
      <c r="O67" s="13">
        <f t="shared" si="19"/>
        <v>26.475034242596546</v>
      </c>
      <c r="P67" s="31"/>
      <c r="Q67" s="31"/>
      <c r="R67" s="31"/>
      <c r="S67" s="31"/>
      <c r="T67" s="31"/>
      <c r="U67" s="31"/>
      <c r="V67" s="177"/>
      <c r="W67" s="177">
        <f>Canada!R84</f>
        <v>0.92441508154687413</v>
      </c>
      <c r="X67" s="31">
        <v>0</v>
      </c>
      <c r="Y67" s="31">
        <v>0</v>
      </c>
      <c r="Z67" s="31">
        <v>0</v>
      </c>
      <c r="AA67">
        <v>0</v>
      </c>
      <c r="AB67" s="31">
        <v>1</v>
      </c>
      <c r="AC67">
        <v>0</v>
      </c>
      <c r="AD67">
        <v>0</v>
      </c>
      <c r="AE67">
        <v>0</v>
      </c>
      <c r="AF67">
        <v>0</v>
      </c>
      <c r="AG67">
        <v>0</v>
      </c>
      <c r="AH67" s="31">
        <v>0</v>
      </c>
      <c r="AI67" s="19">
        <v>0</v>
      </c>
      <c r="AJ67" s="19">
        <v>0</v>
      </c>
      <c r="AK67" s="19">
        <v>0</v>
      </c>
    </row>
    <row r="68" spans="1:37" s="18" customFormat="1">
      <c r="B68" s="18">
        <v>2017</v>
      </c>
      <c r="C68" s="182">
        <f>'Canada EV uptake'!O12</f>
        <v>2017.562179717394</v>
      </c>
      <c r="D68" s="182"/>
      <c r="E68" s="182"/>
      <c r="F68" s="13">
        <f t="shared" si="3"/>
        <v>6.6497633351396068</v>
      </c>
      <c r="G68" s="13">
        <f t="shared" si="4"/>
        <v>6.6484971993956465</v>
      </c>
      <c r="H68" s="13">
        <f t="shared" si="5"/>
        <v>6.6531261031739364</v>
      </c>
      <c r="I68" s="13">
        <f t="shared" si="13"/>
        <v>6.6156315798828746</v>
      </c>
      <c r="J68" s="13">
        <f t="shared" si="14"/>
        <v>6.6079359470671495</v>
      </c>
      <c r="K68" s="13">
        <f t="shared" si="15"/>
        <v>5.1668294709610088</v>
      </c>
      <c r="L68" s="13">
        <f t="shared" si="16"/>
        <v>28.606222261290242</v>
      </c>
      <c r="M68" s="13">
        <f t="shared" si="17"/>
        <v>28.706696653982188</v>
      </c>
      <c r="N68" s="13">
        <f t="shared" si="18"/>
        <v>29.409097674491747</v>
      </c>
      <c r="O68" s="13">
        <f t="shared" si="19"/>
        <v>26.504714634555061</v>
      </c>
      <c r="V68" s="182"/>
      <c r="W68" s="177">
        <f>Canada!R85</f>
        <v>0.94046752727467031</v>
      </c>
      <c r="X68" s="18">
        <v>0</v>
      </c>
      <c r="Y68" s="18">
        <v>0</v>
      </c>
      <c r="Z68" s="18">
        <v>0</v>
      </c>
      <c r="AA68">
        <v>0</v>
      </c>
      <c r="AB68" s="18">
        <v>1</v>
      </c>
      <c r="AC68" s="18">
        <v>0</v>
      </c>
      <c r="AD68" s="18">
        <v>0</v>
      </c>
      <c r="AE68" s="18">
        <v>0</v>
      </c>
      <c r="AF68" s="18">
        <v>0</v>
      </c>
      <c r="AG68" s="18">
        <v>0</v>
      </c>
      <c r="AH68" s="18">
        <v>0</v>
      </c>
      <c r="AI68" s="27">
        <v>0</v>
      </c>
      <c r="AJ68" s="27">
        <v>0</v>
      </c>
      <c r="AK68" s="27">
        <v>0</v>
      </c>
    </row>
    <row r="69" spans="1:37">
      <c r="A69" s="14" t="s">
        <v>239</v>
      </c>
      <c r="B69">
        <v>2012</v>
      </c>
      <c r="C69" s="13">
        <f>'China EV uptake'!O7</f>
        <v>2017.417420148292</v>
      </c>
      <c r="G69" s="13">
        <f t="shared" si="4"/>
        <v>-1.2496560257692781</v>
      </c>
      <c r="H69" s="13">
        <f t="shared" si="5"/>
        <v>-1.2561556013677526</v>
      </c>
      <c r="I69" s="13">
        <f t="shared" si="13"/>
        <v>-1.2035084735958748</v>
      </c>
      <c r="J69" s="13">
        <f t="shared" si="14"/>
        <v>-1.1927028164339122</v>
      </c>
      <c r="K69" s="13">
        <f t="shared" si="15"/>
        <v>0.83079582072675162</v>
      </c>
      <c r="L69" s="13">
        <f t="shared" si="16"/>
        <v>23.156530705036431</v>
      </c>
      <c r="M69" s="13">
        <f t="shared" si="17"/>
        <v>23.229578046248832</v>
      </c>
      <c r="N69" s="13">
        <f t="shared" si="18"/>
        <v>23.786518839118536</v>
      </c>
      <c r="O69" s="13">
        <f t="shared" si="19"/>
        <v>21.518507493522524</v>
      </c>
      <c r="P69" s="31"/>
      <c r="Q69" s="31"/>
      <c r="R69" s="31"/>
      <c r="S69" s="31"/>
      <c r="T69" s="31"/>
      <c r="U69" s="31"/>
      <c r="V69" s="177"/>
      <c r="W69" s="177">
        <f>China!R79</f>
        <v>1.1189278725746541</v>
      </c>
      <c r="X69" s="31">
        <v>0</v>
      </c>
      <c r="Y69" s="31">
        <v>0</v>
      </c>
      <c r="Z69" s="31">
        <v>0</v>
      </c>
      <c r="AA69">
        <v>0</v>
      </c>
      <c r="AB69" s="31">
        <v>0</v>
      </c>
      <c r="AC69">
        <v>1</v>
      </c>
      <c r="AD69">
        <v>0</v>
      </c>
      <c r="AE69">
        <v>0</v>
      </c>
      <c r="AF69">
        <v>0</v>
      </c>
      <c r="AG69">
        <v>0</v>
      </c>
      <c r="AH69" s="31">
        <v>0</v>
      </c>
      <c r="AI69" s="19">
        <v>0</v>
      </c>
      <c r="AJ69" s="19">
        <v>0</v>
      </c>
      <c r="AK69" s="19">
        <v>0</v>
      </c>
    </row>
    <row r="70" spans="1:37">
      <c r="B70">
        <v>2013</v>
      </c>
      <c r="C70" s="13">
        <f>'China EV uptake'!O8</f>
        <v>2016.4622799886668</v>
      </c>
      <c r="G70" s="13">
        <f t="shared" si="4"/>
        <v>-3.2417163501852695</v>
      </c>
      <c r="H70" s="13">
        <f t="shared" si="5"/>
        <v>-3.2514530908279022</v>
      </c>
      <c r="I70" s="13">
        <f t="shared" si="13"/>
        <v>-3.1725846445843544</v>
      </c>
      <c r="J70" s="13">
        <f t="shared" si="14"/>
        <v>-3.156397144390664</v>
      </c>
      <c r="K70" s="13">
        <f t="shared" si="15"/>
        <v>-0.12507900334596567</v>
      </c>
      <c r="L70" s="13">
        <f t="shared" si="16"/>
        <v>23.340149942224301</v>
      </c>
      <c r="M70" s="13">
        <f t="shared" si="17"/>
        <v>23.407640253806427</v>
      </c>
      <c r="N70" s="13">
        <f t="shared" si="18"/>
        <v>23.956085243421988</v>
      </c>
      <c r="O70" s="13">
        <f t="shared" si="19"/>
        <v>21.746095439038282</v>
      </c>
      <c r="P70" s="31"/>
      <c r="Q70" s="31"/>
      <c r="R70" s="31"/>
      <c r="S70" s="31"/>
      <c r="T70" s="31"/>
      <c r="U70" s="31"/>
      <c r="V70" s="177"/>
      <c r="W70" s="177">
        <f>China!R80</f>
        <v>1.2420173233069327</v>
      </c>
      <c r="X70" s="31">
        <v>0</v>
      </c>
      <c r="Y70" s="31">
        <v>0</v>
      </c>
      <c r="Z70" s="31">
        <v>0</v>
      </c>
      <c r="AA70">
        <v>0</v>
      </c>
      <c r="AB70" s="31">
        <v>0</v>
      </c>
      <c r="AC70">
        <v>1</v>
      </c>
      <c r="AD70">
        <v>0</v>
      </c>
      <c r="AE70">
        <v>0</v>
      </c>
      <c r="AF70">
        <v>0</v>
      </c>
      <c r="AG70">
        <v>0</v>
      </c>
      <c r="AH70" s="31">
        <v>0</v>
      </c>
      <c r="AI70" s="19">
        <v>0</v>
      </c>
      <c r="AJ70" s="19">
        <v>0</v>
      </c>
      <c r="AK70" s="19">
        <v>0</v>
      </c>
    </row>
    <row r="71" spans="1:37">
      <c r="B71">
        <v>2014</v>
      </c>
      <c r="C71" s="13">
        <f>'China EV uptake'!O9</f>
        <v>2017.6253415948945</v>
      </c>
      <c r="G71" s="13">
        <f t="shared" si="4"/>
        <v>-0.86723709039277175</v>
      </c>
      <c r="H71" s="13">
        <f t="shared" si="5"/>
        <v>-0.87311522235590378</v>
      </c>
      <c r="I71" s="13">
        <f t="shared" si="13"/>
        <v>-0.82550184209216937</v>
      </c>
      <c r="J71" s="13">
        <f t="shared" si="14"/>
        <v>-0.81572934575236378</v>
      </c>
      <c r="K71" s="13">
        <f t="shared" si="15"/>
        <v>1.0142966053640139</v>
      </c>
      <c r="L71" s="13">
        <f t="shared" si="16"/>
        <v>23.121281032956034</v>
      </c>
      <c r="M71" s="13">
        <f t="shared" si="17"/>
        <v>23.195395165835848</v>
      </c>
      <c r="N71" s="13">
        <f t="shared" si="18"/>
        <v>23.753966911340761</v>
      </c>
      <c r="O71" s="13">
        <f t="shared" si="19"/>
        <v>21.474817079752459</v>
      </c>
      <c r="P71" s="31"/>
      <c r="Q71" s="31"/>
      <c r="R71" s="31"/>
      <c r="S71" s="31"/>
      <c r="T71" s="31"/>
      <c r="U71" s="31"/>
      <c r="V71" s="177"/>
      <c r="W71" s="177">
        <f>China!R81</f>
        <v>1.0952981982479406</v>
      </c>
      <c r="X71" s="31">
        <v>0</v>
      </c>
      <c r="Y71" s="31">
        <v>0</v>
      </c>
      <c r="Z71" s="31">
        <v>0</v>
      </c>
      <c r="AA71">
        <v>0</v>
      </c>
      <c r="AB71" s="31">
        <v>0</v>
      </c>
      <c r="AC71">
        <v>1</v>
      </c>
      <c r="AD71">
        <v>0</v>
      </c>
      <c r="AE71">
        <v>0</v>
      </c>
      <c r="AF71">
        <v>0</v>
      </c>
      <c r="AG71">
        <v>0</v>
      </c>
      <c r="AH71" s="31">
        <v>0</v>
      </c>
      <c r="AI71" s="19">
        <v>0</v>
      </c>
      <c r="AJ71" s="19">
        <v>0</v>
      </c>
      <c r="AK71" s="19">
        <v>0</v>
      </c>
    </row>
    <row r="72" spans="1:37">
      <c r="B72">
        <v>2015</v>
      </c>
      <c r="C72" s="13">
        <f>'China EV uptake'!O10</f>
        <v>2016.5389416660378</v>
      </c>
      <c r="G72" s="13">
        <f t="shared" si="4"/>
        <v>-3.0657937889946449</v>
      </c>
      <c r="H72" s="13">
        <f t="shared" si="5"/>
        <v>-3.0752446495569474</v>
      </c>
      <c r="I72" s="13">
        <f t="shared" si="13"/>
        <v>-2.9986918568339256</v>
      </c>
      <c r="J72" s="13">
        <f t="shared" si="14"/>
        <v>-2.9829796372321207</v>
      </c>
      <c r="K72" s="13">
        <f t="shared" si="15"/>
        <v>-4.0663915525866123E-2</v>
      </c>
      <c r="L72" s="13">
        <f t="shared" si="16"/>
        <v>23.32393418505368</v>
      </c>
      <c r="M72" s="13">
        <f t="shared" si="17"/>
        <v>23.391915248282821</v>
      </c>
      <c r="N72" s="13">
        <f t="shared" si="18"/>
        <v>23.941110518123097</v>
      </c>
      <c r="O72" s="13">
        <f t="shared" si="19"/>
        <v>21.725996723261197</v>
      </c>
      <c r="P72" s="31"/>
      <c r="Q72" s="31"/>
      <c r="R72" s="31"/>
      <c r="S72" s="31"/>
      <c r="T72" s="31"/>
      <c r="U72" s="31"/>
      <c r="V72" s="177"/>
      <c r="W72" s="177">
        <f>China!R82</f>
        <v>1.2311470644282423</v>
      </c>
      <c r="X72" s="31">
        <v>0</v>
      </c>
      <c r="Y72" s="31">
        <v>0</v>
      </c>
      <c r="Z72" s="31">
        <v>0</v>
      </c>
      <c r="AA72">
        <v>0</v>
      </c>
      <c r="AB72" s="31">
        <v>0</v>
      </c>
      <c r="AC72">
        <v>1</v>
      </c>
      <c r="AD72">
        <v>0</v>
      </c>
      <c r="AE72">
        <v>0</v>
      </c>
      <c r="AF72">
        <v>0</v>
      </c>
      <c r="AG72">
        <v>0</v>
      </c>
      <c r="AH72" s="31">
        <v>0</v>
      </c>
      <c r="AI72" s="19">
        <v>0</v>
      </c>
      <c r="AJ72" s="19">
        <v>0</v>
      </c>
      <c r="AK72" s="19">
        <v>0</v>
      </c>
    </row>
    <row r="73" spans="1:37">
      <c r="B73">
        <v>2016</v>
      </c>
      <c r="C73" s="13">
        <f>'China EV uptake'!O11</f>
        <v>2016.7044232275296</v>
      </c>
      <c r="G73" s="13">
        <f t="shared" si="4"/>
        <v>-2.6963512871874098</v>
      </c>
      <c r="H73" s="13">
        <f t="shared" si="5"/>
        <v>-2.7052017912554733</v>
      </c>
      <c r="I73" s="13">
        <f t="shared" si="13"/>
        <v>-2.6335119383631991</v>
      </c>
      <c r="J73" s="13">
        <f t="shared" si="14"/>
        <v>-2.6187978218457326</v>
      </c>
      <c r="K73" s="13">
        <f t="shared" si="15"/>
        <v>0.136610227275761</v>
      </c>
      <c r="L73" s="13">
        <f t="shared" si="16"/>
        <v>23.289880622751788</v>
      </c>
      <c r="M73" s="13">
        <f t="shared" si="17"/>
        <v>23.358892278731595</v>
      </c>
      <c r="N73" s="13">
        <f t="shared" si="18"/>
        <v>23.909663158893807</v>
      </c>
      <c r="O73" s="13">
        <f t="shared" si="19"/>
        <v>21.683788834804222</v>
      </c>
      <c r="P73" s="31"/>
      <c r="Q73" s="31"/>
      <c r="R73" s="31"/>
      <c r="S73" s="31"/>
      <c r="T73" s="31"/>
      <c r="U73" s="31"/>
      <c r="V73" s="177"/>
      <c r="W73" s="177">
        <f>China!R83</f>
        <v>1.2083192042137465</v>
      </c>
      <c r="X73" s="31">
        <v>0</v>
      </c>
      <c r="Y73" s="31">
        <v>0</v>
      </c>
      <c r="Z73" s="31">
        <v>0</v>
      </c>
      <c r="AA73">
        <v>0</v>
      </c>
      <c r="AB73" s="31">
        <v>0</v>
      </c>
      <c r="AC73">
        <v>1</v>
      </c>
      <c r="AD73">
        <v>0</v>
      </c>
      <c r="AE73">
        <v>0</v>
      </c>
      <c r="AF73">
        <v>0</v>
      </c>
      <c r="AG73">
        <v>0</v>
      </c>
      <c r="AH73" s="31">
        <v>0</v>
      </c>
      <c r="AI73" s="19">
        <v>0</v>
      </c>
      <c r="AJ73" s="19">
        <v>0</v>
      </c>
      <c r="AK73" s="19">
        <v>0</v>
      </c>
    </row>
    <row r="74" spans="1:37" s="18" customFormat="1">
      <c r="B74" s="18">
        <v>2017</v>
      </c>
      <c r="C74" s="182">
        <f>'China EV uptake'!O12</f>
        <v>2016.8726518224853</v>
      </c>
      <c r="D74" s="182"/>
      <c r="E74" s="182"/>
      <c r="F74" s="182"/>
      <c r="G74" s="13">
        <f t="shared" si="4"/>
        <v>-2.3345595308272298</v>
      </c>
      <c r="H74" s="13">
        <f t="shared" si="5"/>
        <v>-2.3428221111197951</v>
      </c>
      <c r="I74" s="13">
        <f t="shared" si="13"/>
        <v>-2.2758944919549187</v>
      </c>
      <c r="J74" s="13">
        <f t="shared" si="14"/>
        <v>-2.2621578089112448</v>
      </c>
      <c r="K74" s="13">
        <f t="shared" si="15"/>
        <v>0.31021321872288521</v>
      </c>
      <c r="L74" s="13">
        <f t="shared" si="16"/>
        <v>23.256532272047004</v>
      </c>
      <c r="M74" s="13">
        <f t="shared" si="17"/>
        <v>23.326553178341896</v>
      </c>
      <c r="N74" s="13">
        <f t="shared" si="18"/>
        <v>23.878867039679591</v>
      </c>
      <c r="O74" s="13">
        <f t="shared" si="19"/>
        <v>21.642455025016766</v>
      </c>
      <c r="V74" s="182"/>
      <c r="W74" s="177">
        <f>China!R84</f>
        <v>1.1859640837266716</v>
      </c>
      <c r="X74" s="18">
        <v>0</v>
      </c>
      <c r="Y74" s="18">
        <v>0</v>
      </c>
      <c r="Z74" s="18">
        <v>0</v>
      </c>
      <c r="AA74">
        <v>0</v>
      </c>
      <c r="AB74" s="18">
        <v>0</v>
      </c>
      <c r="AC74" s="18">
        <v>1</v>
      </c>
      <c r="AD74" s="18">
        <v>0</v>
      </c>
      <c r="AE74" s="18">
        <v>0</v>
      </c>
      <c r="AF74">
        <v>0</v>
      </c>
      <c r="AG74">
        <v>0</v>
      </c>
      <c r="AH74" s="31">
        <v>0</v>
      </c>
      <c r="AI74" s="19">
        <v>0</v>
      </c>
      <c r="AJ74" s="19">
        <v>0</v>
      </c>
      <c r="AK74" s="19">
        <v>0</v>
      </c>
    </row>
    <row r="75" spans="1:37">
      <c r="A75" s="14" t="s">
        <v>541</v>
      </c>
      <c r="B75">
        <v>2012</v>
      </c>
      <c r="C75" s="13">
        <f>'Denmark EV uptake'!U16</f>
        <v>0</v>
      </c>
      <c r="H75" s="13">
        <f t="shared" si="5"/>
        <v>-11.773093661925117</v>
      </c>
      <c r="I75" s="13">
        <f t="shared" si="13"/>
        <v>-11.576441595690376</v>
      </c>
      <c r="J75" s="13">
        <f t="shared" si="14"/>
        <v>-11.533779769809495</v>
      </c>
      <c r="K75" s="13">
        <f t="shared" si="15"/>
        <v>-3.8295026083365498</v>
      </c>
      <c r="L75" s="13">
        <f t="shared" si="16"/>
        <v>19.567173511686558</v>
      </c>
      <c r="M75" s="13">
        <f t="shared" si="17"/>
        <v>19.639343308859232</v>
      </c>
      <c r="N75" s="13">
        <f t="shared" si="18"/>
        <v>20.095908475047274</v>
      </c>
      <c r="O75" s="13">
        <f t="shared" si="19"/>
        <v>18.078514859557885</v>
      </c>
      <c r="P75" s="31"/>
      <c r="Q75" s="31"/>
      <c r="R75" s="31"/>
      <c r="S75" s="31"/>
      <c r="T75" s="31"/>
      <c r="U75" s="31"/>
      <c r="V75" s="177"/>
      <c r="W75" s="177">
        <f>Denmark!R80</f>
        <v>1.6348751779401904</v>
      </c>
      <c r="X75" s="31">
        <v>0</v>
      </c>
      <c r="Y75" s="31">
        <v>0</v>
      </c>
      <c r="Z75" s="31">
        <v>0</v>
      </c>
      <c r="AA75">
        <v>0</v>
      </c>
      <c r="AB75" s="31">
        <v>0</v>
      </c>
      <c r="AC75" s="19">
        <v>0</v>
      </c>
      <c r="AD75">
        <v>0.7</v>
      </c>
      <c r="AE75">
        <v>0</v>
      </c>
      <c r="AF75">
        <v>0</v>
      </c>
      <c r="AG75">
        <v>0</v>
      </c>
      <c r="AH75" s="31">
        <v>0</v>
      </c>
      <c r="AI75" s="19">
        <v>0</v>
      </c>
      <c r="AJ75" s="19">
        <v>0</v>
      </c>
      <c r="AK75" s="19">
        <v>0</v>
      </c>
    </row>
    <row r="76" spans="1:37">
      <c r="B76">
        <v>2013</v>
      </c>
      <c r="C76" s="13">
        <f>'Denmark EV uptake'!U17</f>
        <v>0</v>
      </c>
      <c r="H76" s="13">
        <f t="shared" si="5"/>
        <v>-11.325520045858152</v>
      </c>
      <c r="I76" s="13">
        <f t="shared" si="13"/>
        <v>-11.13474979443469</v>
      </c>
      <c r="J76" s="13">
        <f t="shared" si="14"/>
        <v>-11.093295192518926</v>
      </c>
      <c r="K76" s="13">
        <f t="shared" si="15"/>
        <v>-3.615086285067707</v>
      </c>
      <c r="L76" s="13">
        <f t="shared" si="16"/>
        <v>19.525985104242679</v>
      </c>
      <c r="M76" s="13">
        <f t="shared" si="17"/>
        <v>19.599401422227089</v>
      </c>
      <c r="N76" s="13">
        <f t="shared" si="18"/>
        <v>20.0578723179637</v>
      </c>
      <c r="O76" s="13">
        <f t="shared" si="19"/>
        <v>18.02746364524733</v>
      </c>
      <c r="P76" s="31"/>
      <c r="Q76" s="31"/>
      <c r="R76" s="31"/>
      <c r="S76" s="31"/>
      <c r="T76" s="31"/>
      <c r="U76" s="31"/>
      <c r="V76" s="177"/>
      <c r="W76" s="177">
        <f>Denmark!R81</f>
        <v>1.6072644628187838</v>
      </c>
      <c r="X76" s="31">
        <v>0</v>
      </c>
      <c r="Y76" s="31">
        <v>0</v>
      </c>
      <c r="Z76" s="31">
        <v>0</v>
      </c>
      <c r="AA76">
        <v>0</v>
      </c>
      <c r="AB76" s="31">
        <v>0</v>
      </c>
      <c r="AC76" s="19">
        <v>0</v>
      </c>
      <c r="AD76">
        <v>0.7</v>
      </c>
      <c r="AE76">
        <v>0</v>
      </c>
      <c r="AF76">
        <v>0</v>
      </c>
      <c r="AG76">
        <v>0</v>
      </c>
      <c r="AH76" s="31">
        <v>0</v>
      </c>
      <c r="AI76" s="19">
        <v>0</v>
      </c>
      <c r="AJ76" s="19">
        <v>0</v>
      </c>
      <c r="AK76" s="19">
        <v>0</v>
      </c>
    </row>
    <row r="77" spans="1:37">
      <c r="B77">
        <v>2014</v>
      </c>
      <c r="C77" s="13">
        <f>'Denmark EV uptake'!U18</f>
        <v>0</v>
      </c>
      <c r="H77" s="13">
        <f t="shared" si="5"/>
        <v>-9.3490052402272568</v>
      </c>
      <c r="I77" s="13">
        <f t="shared" si="13"/>
        <v>-9.1842094735391164</v>
      </c>
      <c r="J77" s="13">
        <f t="shared" si="14"/>
        <v>-9.1480860528081109</v>
      </c>
      <c r="K77" s="13">
        <f t="shared" si="15"/>
        <v>-2.6682095651352205</v>
      </c>
      <c r="L77" s="13">
        <f t="shared" si="16"/>
        <v>19.344094362226727</v>
      </c>
      <c r="M77" s="13">
        <f t="shared" si="17"/>
        <v>19.423015398879699</v>
      </c>
      <c r="N77" s="13">
        <f t="shared" si="18"/>
        <v>19.889902122835529</v>
      </c>
      <c r="O77" s="13">
        <f t="shared" si="19"/>
        <v>17.80201809325763</v>
      </c>
      <c r="P77" s="31"/>
      <c r="Q77" s="31"/>
      <c r="R77" s="31"/>
      <c r="S77" s="31"/>
      <c r="T77" s="31"/>
      <c r="U77" s="31"/>
      <c r="V77" s="177"/>
      <c r="W77" s="177">
        <f>Denmark!R82</f>
        <v>1.4853337116027594</v>
      </c>
      <c r="X77" s="31">
        <v>0</v>
      </c>
      <c r="Y77" s="31">
        <v>0</v>
      </c>
      <c r="Z77" s="31">
        <v>0</v>
      </c>
      <c r="AA77">
        <v>0</v>
      </c>
      <c r="AB77" s="31">
        <v>0</v>
      </c>
      <c r="AC77" s="19">
        <v>0</v>
      </c>
      <c r="AD77">
        <v>0.7</v>
      </c>
      <c r="AE77">
        <v>0</v>
      </c>
      <c r="AF77">
        <v>0</v>
      </c>
      <c r="AG77">
        <v>0</v>
      </c>
      <c r="AH77" s="31">
        <v>0</v>
      </c>
      <c r="AI77" s="19">
        <v>0</v>
      </c>
      <c r="AJ77" s="19">
        <v>0</v>
      </c>
      <c r="AK77" s="19">
        <v>0</v>
      </c>
    </row>
    <row r="78" spans="1:37">
      <c r="B78">
        <v>2015</v>
      </c>
      <c r="C78" s="13">
        <f>'Denmark EV uptake'!U19</f>
        <v>0</v>
      </c>
      <c r="H78" s="13">
        <f t="shared" si="5"/>
        <v>-12.517127191731692</v>
      </c>
      <c r="I78" s="13">
        <f t="shared" si="13"/>
        <v>-12.31069736541771</v>
      </c>
      <c r="J78" s="13">
        <f t="shared" si="14"/>
        <v>-12.266028685075824</v>
      </c>
      <c r="K78" s="13">
        <f t="shared" si="15"/>
        <v>-4.1859421483875368</v>
      </c>
      <c r="L78" s="13">
        <f t="shared" si="16"/>
        <v>19.635643937729267</v>
      </c>
      <c r="M78" s="13">
        <f t="shared" si="17"/>
        <v>19.705741554491304</v>
      </c>
      <c r="N78" s="13">
        <f t="shared" si="18"/>
        <v>20.159138690590044</v>
      </c>
      <c r="O78" s="13">
        <f t="shared" si="19"/>
        <v>18.163380932581077</v>
      </c>
      <c r="P78" s="31"/>
      <c r="Q78" s="31"/>
      <c r="R78" s="31"/>
      <c r="S78" s="31"/>
      <c r="T78" s="31"/>
      <c r="U78" s="31"/>
      <c r="V78" s="177"/>
      <c r="W78" s="177">
        <f>Denmark!R83</f>
        <v>1.6807744380726075</v>
      </c>
      <c r="X78" s="31">
        <v>0</v>
      </c>
      <c r="Y78" s="31">
        <v>0</v>
      </c>
      <c r="Z78" s="31">
        <v>0</v>
      </c>
      <c r="AA78">
        <v>0</v>
      </c>
      <c r="AB78" s="31">
        <v>0</v>
      </c>
      <c r="AC78" s="19">
        <v>0</v>
      </c>
      <c r="AD78">
        <v>0.7</v>
      </c>
      <c r="AE78">
        <v>0</v>
      </c>
      <c r="AF78">
        <v>0</v>
      </c>
      <c r="AG78">
        <v>0</v>
      </c>
      <c r="AH78" s="31">
        <v>0</v>
      </c>
      <c r="AI78" s="19">
        <v>0</v>
      </c>
      <c r="AJ78" s="19">
        <v>0</v>
      </c>
      <c r="AK78" s="19">
        <v>0</v>
      </c>
    </row>
    <row r="79" spans="1:37">
      <c r="B79">
        <v>2016</v>
      </c>
      <c r="C79" s="13">
        <f>'Denmark EV uptake'!U20</f>
        <v>0</v>
      </c>
      <c r="H79" s="13">
        <f t="shared" si="5"/>
        <v>-8.7318808150021745</v>
      </c>
      <c r="I79" s="13">
        <f t="shared" si="13"/>
        <v>-8.5675532279649325</v>
      </c>
      <c r="J79" s="13">
        <f t="shared" si="14"/>
        <v>-8.5370449603829144</v>
      </c>
      <c r="K79" s="13">
        <f t="shared" si="15"/>
        <v>-2.425398693808881</v>
      </c>
      <c r="L79" s="13">
        <f t="shared" si="16"/>
        <v>16.050745891756694</v>
      </c>
      <c r="M79" s="13">
        <f t="shared" si="17"/>
        <v>16.135256951595714</v>
      </c>
      <c r="N79" s="13">
        <f t="shared" si="18"/>
        <v>16.564048777961659</v>
      </c>
      <c r="O79" s="13">
        <f t="shared" si="19"/>
        <v>14.665674335723102</v>
      </c>
      <c r="P79" s="31"/>
      <c r="Q79" s="31"/>
      <c r="R79" s="31"/>
      <c r="S79" s="31"/>
      <c r="T79" s="31"/>
      <c r="U79" s="31"/>
      <c r="V79" s="177"/>
      <c r="W79" s="177">
        <f>Denmark!R84</f>
        <v>1.2508971019759434</v>
      </c>
      <c r="X79" s="31">
        <v>0</v>
      </c>
      <c r="Y79" s="31">
        <v>0</v>
      </c>
      <c r="Z79" s="31">
        <v>0</v>
      </c>
      <c r="AA79">
        <v>0</v>
      </c>
      <c r="AB79" s="31">
        <v>0</v>
      </c>
      <c r="AC79" s="19">
        <v>0</v>
      </c>
      <c r="AD79">
        <v>1</v>
      </c>
      <c r="AE79">
        <v>0</v>
      </c>
      <c r="AF79">
        <v>0</v>
      </c>
      <c r="AG79">
        <v>0</v>
      </c>
      <c r="AH79" s="31">
        <v>0</v>
      </c>
      <c r="AI79" s="19">
        <v>0</v>
      </c>
      <c r="AJ79" s="19">
        <v>0</v>
      </c>
      <c r="AK79" s="19">
        <v>0</v>
      </c>
    </row>
    <row r="80" spans="1:37" s="18" customFormat="1">
      <c r="B80" s="18">
        <v>2017</v>
      </c>
      <c r="C80" s="182">
        <f>'Denmark EV uptake'!U21</f>
        <v>0</v>
      </c>
      <c r="D80" s="182"/>
      <c r="E80" s="182"/>
      <c r="F80" s="182"/>
      <c r="G80" s="182"/>
      <c r="H80" s="13">
        <f t="shared" si="5"/>
        <v>-6.0387204830165722</v>
      </c>
      <c r="I80" s="13">
        <f t="shared" si="13"/>
        <v>-5.9097852197472314</v>
      </c>
      <c r="J80" s="13">
        <f t="shared" si="14"/>
        <v>-5.8865411151497256</v>
      </c>
      <c r="K80" s="13">
        <f t="shared" si="15"/>
        <v>-1.1352030351991607</v>
      </c>
      <c r="L80" s="13">
        <f t="shared" si="16"/>
        <v>15.802905131972235</v>
      </c>
      <c r="M80" s="13">
        <f t="shared" si="17"/>
        <v>15.894916813569653</v>
      </c>
      <c r="N80" s="13">
        <f t="shared" si="18"/>
        <v>16.335175882506327</v>
      </c>
      <c r="O80" s="13">
        <f t="shared" si="19"/>
        <v>14.358486645597266</v>
      </c>
      <c r="V80" s="182"/>
      <c r="W80" s="177">
        <f>Denmark!R85</f>
        <v>1.0847566503645096</v>
      </c>
      <c r="X80" s="18">
        <v>0</v>
      </c>
      <c r="Y80" s="18">
        <v>0</v>
      </c>
      <c r="Z80" s="18">
        <v>0</v>
      </c>
      <c r="AA80">
        <v>0</v>
      </c>
      <c r="AB80" s="18">
        <v>0</v>
      </c>
      <c r="AC80" s="27">
        <v>0</v>
      </c>
      <c r="AD80">
        <v>1</v>
      </c>
      <c r="AE80" s="18">
        <v>0</v>
      </c>
      <c r="AF80">
        <v>0</v>
      </c>
      <c r="AG80">
        <v>0</v>
      </c>
      <c r="AH80" s="31">
        <v>0</v>
      </c>
      <c r="AI80" s="19">
        <v>0</v>
      </c>
      <c r="AJ80" s="19">
        <v>0</v>
      </c>
      <c r="AK80" s="19">
        <v>0</v>
      </c>
    </row>
    <row r="81" spans="1:37">
      <c r="A81" s="14" t="s">
        <v>542</v>
      </c>
      <c r="B81">
        <v>2012</v>
      </c>
      <c r="C81" s="13">
        <f>'Finland EV uptake'!O7</f>
        <v>2016.6008082526105</v>
      </c>
      <c r="H81" s="177"/>
      <c r="I81" s="13">
        <f t="shared" si="13"/>
        <v>-0.18049546377919246</v>
      </c>
      <c r="J81" s="13">
        <f t="shared" si="14"/>
        <v>-0.17967906551093105</v>
      </c>
      <c r="K81" s="13">
        <f t="shared" si="15"/>
        <v>1.0171014424495834</v>
      </c>
      <c r="L81" s="13">
        <f t="shared" si="16"/>
        <v>23.325213503153886</v>
      </c>
      <c r="M81" s="13">
        <f t="shared" si="17"/>
        <v>23.459754683859561</v>
      </c>
      <c r="N81" s="13">
        <f t="shared" si="18"/>
        <v>24.167119216425753</v>
      </c>
      <c r="O81" s="13">
        <f t="shared" si="19"/>
        <v>21.109739229018434</v>
      </c>
      <c r="P81" s="31"/>
      <c r="Q81" s="31"/>
      <c r="R81" s="31"/>
      <c r="S81" s="31"/>
      <c r="T81" s="31"/>
      <c r="U81" s="31"/>
      <c r="V81" s="177"/>
      <c r="W81" s="177">
        <f>Finland!R82</f>
        <v>1.0265336426945573</v>
      </c>
      <c r="X81" s="19">
        <v>0</v>
      </c>
      <c r="Y81" s="19">
        <v>0</v>
      </c>
      <c r="Z81" s="19">
        <v>0</v>
      </c>
      <c r="AA81">
        <v>0</v>
      </c>
      <c r="AB81" s="19">
        <v>0</v>
      </c>
      <c r="AC81" s="19">
        <v>0</v>
      </c>
      <c r="AD81" s="19">
        <v>0</v>
      </c>
      <c r="AE81">
        <v>2</v>
      </c>
      <c r="AF81">
        <v>0</v>
      </c>
      <c r="AG81">
        <v>0</v>
      </c>
      <c r="AH81" s="31">
        <v>0</v>
      </c>
      <c r="AI81" s="19">
        <v>0</v>
      </c>
      <c r="AJ81" s="19">
        <v>0</v>
      </c>
      <c r="AK81" s="19">
        <v>0</v>
      </c>
    </row>
    <row r="82" spans="1:37">
      <c r="B82">
        <v>2013</v>
      </c>
      <c r="C82" s="13">
        <f>'Finland EV uptake'!O8</f>
        <v>2016.7279901164497</v>
      </c>
      <c r="H82" s="177"/>
      <c r="I82" s="13">
        <f t="shared" si="13"/>
        <v>2.8397466687588966</v>
      </c>
      <c r="J82" s="13">
        <f t="shared" si="14"/>
        <v>2.8422419870827818</v>
      </c>
      <c r="K82" s="13">
        <f t="shared" si="15"/>
        <v>2.8919627570505311</v>
      </c>
      <c r="L82" s="13">
        <f t="shared" si="16"/>
        <v>24.40835893767883</v>
      </c>
      <c r="M82" s="13">
        <f t="shared" si="17"/>
        <v>24.531827196050184</v>
      </c>
      <c r="N82" s="13">
        <f t="shared" si="18"/>
        <v>25.198955896854571</v>
      </c>
      <c r="O82" s="13">
        <f t="shared" si="19"/>
        <v>22.162381296062609</v>
      </c>
      <c r="P82" s="31"/>
      <c r="Q82" s="31"/>
      <c r="R82" s="31"/>
      <c r="S82" s="31"/>
      <c r="T82" s="31"/>
      <c r="U82" s="31"/>
      <c r="V82" s="177"/>
      <c r="W82" s="177">
        <f>Finland!R83</f>
        <v>1.014254465031817</v>
      </c>
      <c r="X82" s="19">
        <v>0</v>
      </c>
      <c r="Y82" s="19">
        <v>0</v>
      </c>
      <c r="Z82" s="19">
        <v>0</v>
      </c>
      <c r="AA82">
        <v>0</v>
      </c>
      <c r="AB82" s="19">
        <v>0</v>
      </c>
      <c r="AC82" s="19">
        <v>0</v>
      </c>
      <c r="AD82" s="19">
        <v>0</v>
      </c>
      <c r="AE82">
        <v>1</v>
      </c>
      <c r="AF82">
        <v>0</v>
      </c>
      <c r="AG82">
        <v>0</v>
      </c>
      <c r="AH82" s="31">
        <v>0</v>
      </c>
      <c r="AI82" s="19">
        <v>0</v>
      </c>
      <c r="AJ82" s="19">
        <v>0</v>
      </c>
      <c r="AK82" s="19">
        <v>0</v>
      </c>
    </row>
    <row r="83" spans="1:37">
      <c r="B83">
        <v>2014</v>
      </c>
      <c r="C83" s="13">
        <f>'Finland EV uptake'!O9</f>
        <v>2017.5663798375936</v>
      </c>
      <c r="H83" s="177"/>
      <c r="I83" s="13">
        <f t="shared" si="13"/>
        <v>4.02563362745442</v>
      </c>
      <c r="J83" s="13">
        <f t="shared" si="14"/>
        <v>4.0248877011991908</v>
      </c>
      <c r="K83" s="13">
        <f t="shared" si="15"/>
        <v>3.4676436294893866</v>
      </c>
      <c r="L83" s="13">
        <f t="shared" si="16"/>
        <v>24.297773241729139</v>
      </c>
      <c r="M83" s="13">
        <f t="shared" si="17"/>
        <v>24.424588251772533</v>
      </c>
      <c r="N83" s="13">
        <f t="shared" si="18"/>
        <v>25.096833596834347</v>
      </c>
      <c r="O83" s="13">
        <f t="shared" si="19"/>
        <v>22.025315203587397</v>
      </c>
      <c r="P83" s="31"/>
      <c r="Q83" s="31"/>
      <c r="R83" s="31"/>
      <c r="S83" s="31"/>
      <c r="T83" s="31"/>
      <c r="U83" s="31"/>
      <c r="V83" s="177"/>
      <c r="W83" s="177">
        <f>Finland!R84</f>
        <v>0.94012316603634616</v>
      </c>
      <c r="X83" s="19">
        <v>0</v>
      </c>
      <c r="Y83" s="19">
        <v>0</v>
      </c>
      <c r="Z83" s="19">
        <v>0</v>
      </c>
      <c r="AA83">
        <v>0</v>
      </c>
      <c r="AB83" s="19">
        <v>0</v>
      </c>
      <c r="AC83" s="19">
        <v>0</v>
      </c>
      <c r="AD83" s="19">
        <v>0</v>
      </c>
      <c r="AE83">
        <v>1</v>
      </c>
      <c r="AF83">
        <v>0</v>
      </c>
      <c r="AG83">
        <v>0</v>
      </c>
      <c r="AH83" s="31">
        <v>0</v>
      </c>
      <c r="AI83" s="19">
        <v>0</v>
      </c>
      <c r="AJ83" s="19">
        <v>0</v>
      </c>
      <c r="AK83" s="19">
        <v>0</v>
      </c>
    </row>
    <row r="84" spans="1:37">
      <c r="B84">
        <v>2015</v>
      </c>
      <c r="C84" s="13">
        <f>'Finland EV uptake'!O10</f>
        <v>2016.7405539582485</v>
      </c>
      <c r="H84" s="177"/>
      <c r="I84" s="13">
        <f t="shared" si="13"/>
        <v>2.8588966827042674</v>
      </c>
      <c r="J84" s="13">
        <f t="shared" si="14"/>
        <v>2.8613396605597488</v>
      </c>
      <c r="K84" s="13">
        <f t="shared" si="15"/>
        <v>2.90125900291482</v>
      </c>
      <c r="L84" s="13">
        <f t="shared" si="16"/>
        <v>24.406573170828064</v>
      </c>
      <c r="M84" s="13">
        <f t="shared" si="17"/>
        <v>24.530095473424055</v>
      </c>
      <c r="N84" s="13">
        <f t="shared" si="18"/>
        <v>25.197306799143206</v>
      </c>
      <c r="O84" s="13">
        <f t="shared" si="19"/>
        <v>22.160167916816729</v>
      </c>
      <c r="P84" s="31"/>
      <c r="Q84" s="31"/>
      <c r="R84" s="31"/>
      <c r="S84" s="31"/>
      <c r="T84" s="31"/>
      <c r="U84" s="31"/>
      <c r="V84" s="177"/>
      <c r="W84" s="177">
        <f>Finland!R85</f>
        <v>1.0130573733536075</v>
      </c>
      <c r="X84" s="19">
        <v>0</v>
      </c>
      <c r="Y84" s="19">
        <v>0</v>
      </c>
      <c r="Z84" s="19">
        <v>0</v>
      </c>
      <c r="AA84">
        <v>0</v>
      </c>
      <c r="AB84" s="19">
        <v>0</v>
      </c>
      <c r="AC84" s="19">
        <v>0</v>
      </c>
      <c r="AD84" s="19">
        <v>0</v>
      </c>
      <c r="AE84">
        <v>1</v>
      </c>
      <c r="AF84">
        <v>0</v>
      </c>
      <c r="AG84">
        <v>0</v>
      </c>
      <c r="AH84" s="31">
        <v>0</v>
      </c>
      <c r="AI84" s="19">
        <v>0</v>
      </c>
      <c r="AJ84" s="19">
        <v>0</v>
      </c>
      <c r="AK84" s="19">
        <v>0</v>
      </c>
    </row>
    <row r="85" spans="1:37">
      <c r="B85">
        <v>2016</v>
      </c>
      <c r="C85" s="13">
        <f>'Finland EV uptake'!O11</f>
        <v>2016.8216684689783</v>
      </c>
      <c r="H85" s="177"/>
      <c r="I85" s="13">
        <f t="shared" si="13"/>
        <v>2.9814529458880386</v>
      </c>
      <c r="J85" s="13">
        <f t="shared" si="14"/>
        <v>2.9835609552030804</v>
      </c>
      <c r="K85" s="13">
        <f t="shared" si="15"/>
        <v>2.9607531191078911</v>
      </c>
      <c r="L85" s="13">
        <f t="shared" si="16"/>
        <v>24.395144619769471</v>
      </c>
      <c r="M85" s="13">
        <f t="shared" si="17"/>
        <v>24.519012794605409</v>
      </c>
      <c r="N85" s="13">
        <f t="shared" si="18"/>
        <v>25.18675290327106</v>
      </c>
      <c r="O85" s="13">
        <f t="shared" si="19"/>
        <v>22.146002731863991</v>
      </c>
      <c r="P85" s="31"/>
      <c r="Q85" s="31"/>
      <c r="R85" s="31"/>
      <c r="S85" s="31"/>
      <c r="T85" s="31"/>
      <c r="U85" s="31"/>
      <c r="V85" s="177"/>
      <c r="W85" s="177">
        <f>Finland!R86</f>
        <v>1.0053962257853455</v>
      </c>
      <c r="X85" s="19">
        <v>0</v>
      </c>
      <c r="Y85" s="19">
        <v>0</v>
      </c>
      <c r="Z85" s="19">
        <v>0</v>
      </c>
      <c r="AA85">
        <v>0</v>
      </c>
      <c r="AB85" s="19">
        <v>0</v>
      </c>
      <c r="AC85" s="19">
        <v>0</v>
      </c>
      <c r="AD85" s="19">
        <v>0</v>
      </c>
      <c r="AE85">
        <v>1</v>
      </c>
      <c r="AF85">
        <v>0</v>
      </c>
      <c r="AG85">
        <v>0</v>
      </c>
      <c r="AH85" s="31">
        <v>0</v>
      </c>
      <c r="AI85" s="19">
        <v>0</v>
      </c>
      <c r="AJ85" s="19">
        <v>0</v>
      </c>
      <c r="AK85" s="19">
        <v>0</v>
      </c>
    </row>
    <row r="86" spans="1:37" s="18" customFormat="1">
      <c r="B86" s="18">
        <v>2017</v>
      </c>
      <c r="C86" s="182">
        <f>'Finland EV uptake'!O12</f>
        <v>2016.7328213196818</v>
      </c>
      <c r="D86" s="182"/>
      <c r="E86" s="182"/>
      <c r="F86" s="182"/>
      <c r="G86" s="182"/>
      <c r="H86" s="182"/>
      <c r="I86" s="13">
        <f t="shared" si="13"/>
        <v>2.8471158211189738</v>
      </c>
      <c r="J86" s="13">
        <f t="shared" si="14"/>
        <v>2.8495909982102021</v>
      </c>
      <c r="K86" s="13">
        <f t="shared" si="15"/>
        <v>2.8955400626517758</v>
      </c>
      <c r="L86" s="13">
        <f t="shared" si="16"/>
        <v>24.407671753427142</v>
      </c>
      <c r="M86" s="13">
        <f t="shared" si="17"/>
        <v>24.531160808656747</v>
      </c>
      <c r="N86" s="13">
        <f t="shared" si="18"/>
        <v>25.198321304507726</v>
      </c>
      <c r="O86" s="13">
        <f t="shared" si="19"/>
        <v>22.161529561492596</v>
      </c>
      <c r="V86" s="182"/>
      <c r="W86" s="177">
        <f>Finland!R87</f>
        <v>1.0137938099643653</v>
      </c>
      <c r="X86" s="27">
        <v>0</v>
      </c>
      <c r="Y86" s="27">
        <v>0</v>
      </c>
      <c r="Z86" s="27">
        <v>0</v>
      </c>
      <c r="AA86">
        <v>0</v>
      </c>
      <c r="AB86" s="27">
        <v>0</v>
      </c>
      <c r="AC86" s="27">
        <v>0</v>
      </c>
      <c r="AD86" s="27">
        <v>0</v>
      </c>
      <c r="AE86" s="18">
        <v>1</v>
      </c>
      <c r="AF86">
        <v>0</v>
      </c>
      <c r="AG86">
        <v>0</v>
      </c>
      <c r="AH86" s="31">
        <v>0</v>
      </c>
      <c r="AI86" s="19">
        <v>0</v>
      </c>
      <c r="AJ86" s="19">
        <v>0</v>
      </c>
      <c r="AK86" s="19">
        <v>0</v>
      </c>
    </row>
    <row r="87" spans="1:37">
      <c r="A87" s="14" t="s">
        <v>240</v>
      </c>
      <c r="B87">
        <v>2012</v>
      </c>
      <c r="C87" s="13">
        <f>'France EV uptake'!O7</f>
        <v>2017.1419061939387</v>
      </c>
      <c r="I87" s="182"/>
      <c r="J87" s="13">
        <f t="shared" si="14"/>
        <v>3.9496747676169859</v>
      </c>
      <c r="K87" s="13">
        <f t="shared" si="15"/>
        <v>4.0610407093186263</v>
      </c>
      <c r="L87" s="13">
        <f t="shared" si="16"/>
        <v>26.548576650278001</v>
      </c>
      <c r="M87" s="13">
        <f t="shared" si="17"/>
        <v>26.676831032508133</v>
      </c>
      <c r="N87" s="13">
        <f t="shared" si="18"/>
        <v>27.392310885030589</v>
      </c>
      <c r="O87" s="13">
        <f t="shared" si="19"/>
        <v>24.297241532919028</v>
      </c>
      <c r="W87" s="13">
        <f>France!S83</f>
        <v>0.97624918888186196</v>
      </c>
      <c r="X87" s="19">
        <v>0</v>
      </c>
      <c r="Y87" s="19">
        <v>0</v>
      </c>
      <c r="Z87" s="19">
        <v>0</v>
      </c>
      <c r="AA87">
        <v>0</v>
      </c>
      <c r="AB87" s="19">
        <v>0</v>
      </c>
      <c r="AC87" s="19">
        <v>0</v>
      </c>
      <c r="AD87" s="19">
        <v>0</v>
      </c>
      <c r="AE87" s="19">
        <v>0</v>
      </c>
      <c r="AF87" s="19">
        <v>1</v>
      </c>
      <c r="AG87">
        <v>0</v>
      </c>
      <c r="AH87" s="31">
        <v>0</v>
      </c>
      <c r="AI87" s="19">
        <v>0</v>
      </c>
      <c r="AJ87" s="19">
        <v>0</v>
      </c>
      <c r="AK87" s="19">
        <v>0</v>
      </c>
    </row>
    <row r="88" spans="1:37">
      <c r="B88">
        <v>2013</v>
      </c>
      <c r="C88" s="13">
        <f>'France EV uptake'!O8</f>
        <v>2016.3410074258666</v>
      </c>
      <c r="I88" s="182"/>
      <c r="J88" s="13">
        <f t="shared" si="14"/>
        <v>2.7321886653715692</v>
      </c>
      <c r="K88" s="13">
        <f t="shared" si="15"/>
        <v>3.468400450992001</v>
      </c>
      <c r="L88" s="13">
        <f t="shared" si="16"/>
        <v>26.662420167671947</v>
      </c>
      <c r="M88" s="13">
        <f t="shared" si="17"/>
        <v>26.787229203929282</v>
      </c>
      <c r="N88" s="13">
        <f t="shared" si="18"/>
        <v>27.497441677388679</v>
      </c>
      <c r="O88" s="13">
        <f t="shared" si="19"/>
        <v>24.438345551380156</v>
      </c>
      <c r="W88" s="13">
        <f>France!S84</f>
        <v>1.0525643737179369</v>
      </c>
      <c r="X88" s="19">
        <v>0</v>
      </c>
      <c r="Y88" s="19">
        <v>0</v>
      </c>
      <c r="Z88" s="19">
        <v>0</v>
      </c>
      <c r="AA88">
        <v>0</v>
      </c>
      <c r="AB88" s="19">
        <v>0</v>
      </c>
      <c r="AC88" s="19">
        <v>0</v>
      </c>
      <c r="AD88" s="19">
        <v>0</v>
      </c>
      <c r="AE88" s="19">
        <v>0</v>
      </c>
      <c r="AF88" s="19">
        <v>1</v>
      </c>
      <c r="AG88">
        <v>0</v>
      </c>
      <c r="AH88" s="31">
        <v>0</v>
      </c>
      <c r="AI88" s="19">
        <v>0</v>
      </c>
      <c r="AJ88" s="19">
        <v>0</v>
      </c>
      <c r="AK88" s="19">
        <v>0</v>
      </c>
    </row>
    <row r="89" spans="1:37">
      <c r="B89">
        <v>2014</v>
      </c>
      <c r="C89" s="13">
        <f>'France EV uptake'!O9</f>
        <v>2017.7298303682742</v>
      </c>
      <c r="I89" s="182"/>
      <c r="J89" s="13">
        <f t="shared" si="14"/>
        <v>4.736718843922664</v>
      </c>
      <c r="K89" s="13">
        <f t="shared" si="15"/>
        <v>4.4441530946148431</v>
      </c>
      <c r="L89" s="13">
        <f t="shared" si="16"/>
        <v>26.474982491112279</v>
      </c>
      <c r="M89" s="13">
        <f t="shared" si="17"/>
        <v>26.60546411777149</v>
      </c>
      <c r="N89" s="13">
        <f t="shared" si="18"/>
        <v>27.324349068291856</v>
      </c>
      <c r="O89" s="13">
        <f t="shared" si="19"/>
        <v>24.206024818684721</v>
      </c>
      <c r="W89" s="13">
        <f>France!S85</f>
        <v>0.92691522601638843</v>
      </c>
      <c r="X89" s="19">
        <v>0</v>
      </c>
      <c r="Y89" s="19">
        <v>0</v>
      </c>
      <c r="Z89" s="19">
        <v>0</v>
      </c>
      <c r="AA89">
        <v>0</v>
      </c>
      <c r="AB89" s="19">
        <v>0</v>
      </c>
      <c r="AC89" s="19">
        <v>0</v>
      </c>
      <c r="AD89" s="19">
        <v>0</v>
      </c>
      <c r="AE89" s="19">
        <v>0</v>
      </c>
      <c r="AF89" s="19">
        <v>1</v>
      </c>
      <c r="AG89">
        <v>0</v>
      </c>
      <c r="AH89" s="31">
        <v>0</v>
      </c>
      <c r="AI89" s="19">
        <v>0</v>
      </c>
      <c r="AJ89" s="19">
        <v>0</v>
      </c>
      <c r="AK89" s="19">
        <v>0</v>
      </c>
    </row>
    <row r="90" spans="1:37">
      <c r="B90">
        <v>2015</v>
      </c>
      <c r="C90" s="13">
        <f>'France EV uptake'!O10</f>
        <v>2016.8802226471998</v>
      </c>
      <c r="I90" s="182"/>
      <c r="J90" s="13">
        <f t="shared" si="14"/>
        <v>3.5717659808998041</v>
      </c>
      <c r="K90" s="13">
        <f t="shared" si="15"/>
        <v>3.8770846374005039</v>
      </c>
      <c r="L90" s="13">
        <f t="shared" si="16"/>
        <v>26.583913780989075</v>
      </c>
      <c r="M90" s="13">
        <f t="shared" si="17"/>
        <v>26.711098724714734</v>
      </c>
      <c r="N90" s="13">
        <f t="shared" si="18"/>
        <v>27.424943578014425</v>
      </c>
      <c r="O90" s="13">
        <f t="shared" si="19"/>
        <v>24.341040347804238</v>
      </c>
      <c r="W90" s="13">
        <f>France!S86</f>
        <v>0.99993749124219977</v>
      </c>
      <c r="X90" s="19">
        <v>0</v>
      </c>
      <c r="Y90" s="19">
        <v>0</v>
      </c>
      <c r="Z90" s="19">
        <v>0</v>
      </c>
      <c r="AA90">
        <v>0</v>
      </c>
      <c r="AB90" s="19">
        <v>0</v>
      </c>
      <c r="AC90" s="19">
        <v>0</v>
      </c>
      <c r="AD90" s="19">
        <v>0</v>
      </c>
      <c r="AE90" s="19">
        <v>0</v>
      </c>
      <c r="AF90" s="19">
        <v>1</v>
      </c>
      <c r="AG90">
        <v>0</v>
      </c>
      <c r="AH90" s="31">
        <v>0</v>
      </c>
      <c r="AI90" s="19">
        <v>0</v>
      </c>
      <c r="AJ90" s="19">
        <v>0</v>
      </c>
      <c r="AK90" s="19">
        <v>0</v>
      </c>
    </row>
    <row r="91" spans="1:37">
      <c r="B91">
        <v>2016</v>
      </c>
      <c r="C91" s="13">
        <f>'France EV uptake'!O11</f>
        <v>2016.9187227611449</v>
      </c>
      <c r="I91" s="182"/>
      <c r="J91" s="13">
        <f t="shared" si="14"/>
        <v>3.6285122242426846</v>
      </c>
      <c r="K91" s="13">
        <f t="shared" si="15"/>
        <v>3.9047072182675597</v>
      </c>
      <c r="L91" s="13">
        <f t="shared" si="16"/>
        <v>26.578607607941901</v>
      </c>
      <c r="M91" s="13">
        <f t="shared" si="17"/>
        <v>26.705953137025052</v>
      </c>
      <c r="N91" s="13">
        <f t="shared" si="18"/>
        <v>27.420043499471451</v>
      </c>
      <c r="O91" s="13">
        <f t="shared" si="19"/>
        <v>24.334463580354093</v>
      </c>
      <c r="W91" s="13">
        <f>France!S87</f>
        <v>0.9963804896127948</v>
      </c>
      <c r="X91" s="19">
        <v>0</v>
      </c>
      <c r="Y91" s="19">
        <v>0</v>
      </c>
      <c r="Z91" s="19">
        <v>0</v>
      </c>
      <c r="AA91">
        <v>0</v>
      </c>
      <c r="AB91" s="19">
        <v>0</v>
      </c>
      <c r="AC91" s="19">
        <v>0</v>
      </c>
      <c r="AD91" s="19">
        <v>0</v>
      </c>
      <c r="AE91" s="19">
        <v>0</v>
      </c>
      <c r="AF91" s="19">
        <v>1</v>
      </c>
      <c r="AG91">
        <v>0</v>
      </c>
      <c r="AH91" s="31">
        <v>0</v>
      </c>
      <c r="AI91" s="19">
        <v>0</v>
      </c>
      <c r="AJ91" s="19">
        <v>0</v>
      </c>
      <c r="AK91" s="19">
        <v>0</v>
      </c>
    </row>
    <row r="92" spans="1:37" s="18" customFormat="1">
      <c r="B92" s="18">
        <v>2017</v>
      </c>
      <c r="C92" s="13">
        <f>'France EV uptake'!O12</f>
        <v>2016.9736662841631</v>
      </c>
      <c r="D92" s="182"/>
      <c r="E92" s="182"/>
      <c r="F92" s="182"/>
      <c r="G92" s="182"/>
      <c r="I92" s="182"/>
      <c r="J92" s="13">
        <f t="shared" si="14"/>
        <v>3.7087991524633486</v>
      </c>
      <c r="K92" s="13">
        <f t="shared" si="15"/>
        <v>3.9437887862568708</v>
      </c>
      <c r="L92" s="13">
        <f t="shared" si="16"/>
        <v>26.571100215214756</v>
      </c>
      <c r="M92" s="13">
        <f t="shared" si="17"/>
        <v>26.698672947092508</v>
      </c>
      <c r="N92" s="13">
        <f t="shared" si="18"/>
        <v>27.413110666017115</v>
      </c>
      <c r="O92" s="13">
        <f t="shared" si="19"/>
        <v>24.325158498200839</v>
      </c>
      <c r="V92" s="182"/>
      <c r="W92" s="13">
        <f>France!S88</f>
        <v>0.99134789683347657</v>
      </c>
      <c r="X92" s="19">
        <v>0</v>
      </c>
      <c r="Y92" s="19">
        <v>0</v>
      </c>
      <c r="Z92" s="19">
        <v>0</v>
      </c>
      <c r="AA92">
        <v>0</v>
      </c>
      <c r="AB92" s="19">
        <v>0</v>
      </c>
      <c r="AC92" s="19">
        <v>0</v>
      </c>
      <c r="AD92" s="19">
        <v>0</v>
      </c>
      <c r="AE92" s="19">
        <v>0</v>
      </c>
      <c r="AF92" s="19">
        <v>1</v>
      </c>
      <c r="AG92">
        <v>0</v>
      </c>
      <c r="AH92" s="31">
        <v>0</v>
      </c>
      <c r="AI92" s="19">
        <v>0</v>
      </c>
      <c r="AJ92" s="19">
        <v>0</v>
      </c>
      <c r="AK92" s="19">
        <v>0</v>
      </c>
    </row>
    <row r="93" spans="1:37">
      <c r="A93" t="s">
        <v>964</v>
      </c>
      <c r="B93">
        <v>2012</v>
      </c>
      <c r="C93" s="13">
        <f>'Germany EV uptake'!O7</f>
        <v>2018.2222335160914</v>
      </c>
      <c r="J93" s="13"/>
      <c r="K93" s="13">
        <f t="shared" si="15"/>
        <v>4.7323604179008534</v>
      </c>
      <c r="L93" s="13">
        <f t="shared" si="16"/>
        <v>26.599806459427434</v>
      </c>
      <c r="M93" s="13">
        <f t="shared" si="17"/>
        <v>26.742181060082086</v>
      </c>
      <c r="N93" s="13">
        <f t="shared" si="18"/>
        <v>27.488865976453052</v>
      </c>
      <c r="O93" s="13">
        <f t="shared" si="19"/>
        <v>24.061948703322059</v>
      </c>
      <c r="W93" s="13">
        <f>Germany!R84</f>
        <v>0.88927760418877067</v>
      </c>
      <c r="X93" s="19">
        <v>0</v>
      </c>
      <c r="Y93" s="19">
        <v>0</v>
      </c>
      <c r="Z93" s="19">
        <v>0</v>
      </c>
      <c r="AA93">
        <v>0</v>
      </c>
      <c r="AB93" s="19">
        <v>0</v>
      </c>
      <c r="AC93" s="19">
        <v>0</v>
      </c>
      <c r="AD93" s="19">
        <v>0</v>
      </c>
      <c r="AE93" s="19">
        <v>0</v>
      </c>
      <c r="AF93" s="19">
        <v>0</v>
      </c>
      <c r="AG93">
        <v>0.5</v>
      </c>
      <c r="AH93" s="31">
        <v>0</v>
      </c>
      <c r="AI93" s="19">
        <v>0</v>
      </c>
      <c r="AJ93" s="19">
        <v>0</v>
      </c>
      <c r="AK93" s="19">
        <v>0</v>
      </c>
    </row>
    <row r="94" spans="1:37">
      <c r="B94">
        <v>2013</v>
      </c>
      <c r="C94" s="13">
        <f>'Germany EV uptake'!O8</f>
        <v>2016.199676727641</v>
      </c>
      <c r="J94" s="13"/>
      <c r="K94" s="13">
        <f t="shared" si="15"/>
        <v>2.4403536245354487</v>
      </c>
      <c r="L94" s="13">
        <f t="shared" si="16"/>
        <v>28.141772389212178</v>
      </c>
      <c r="M94" s="13">
        <f t="shared" si="17"/>
        <v>28.301001906188496</v>
      </c>
      <c r="N94" s="13">
        <f t="shared" si="18"/>
        <v>29.147413855234376</v>
      </c>
      <c r="O94" s="13">
        <f t="shared" si="19"/>
        <v>25.446381248580156</v>
      </c>
      <c r="W94" s="13">
        <f>Germany!R85</f>
        <v>1.067287174784266</v>
      </c>
      <c r="X94" s="19">
        <v>0</v>
      </c>
      <c r="Y94" s="19">
        <v>0</v>
      </c>
      <c r="Z94" s="19">
        <v>0</v>
      </c>
      <c r="AA94">
        <v>0</v>
      </c>
      <c r="AB94" s="19">
        <v>0</v>
      </c>
      <c r="AC94" s="19">
        <v>0</v>
      </c>
      <c r="AD94" s="19">
        <v>0</v>
      </c>
      <c r="AE94" s="19">
        <v>0</v>
      </c>
      <c r="AF94" s="19">
        <v>0</v>
      </c>
      <c r="AG94">
        <v>1</v>
      </c>
      <c r="AH94" s="31">
        <v>0</v>
      </c>
      <c r="AI94" s="19">
        <v>0</v>
      </c>
      <c r="AJ94" s="19">
        <v>0</v>
      </c>
      <c r="AK94" s="19">
        <v>0</v>
      </c>
    </row>
    <row r="95" spans="1:37">
      <c r="B95">
        <v>2014</v>
      </c>
      <c r="C95" s="13">
        <f>'Germany EV uptake'!O9</f>
        <v>2017.215701187065</v>
      </c>
      <c r="J95" s="13"/>
      <c r="K95" s="13">
        <f t="shared" si="15"/>
        <v>3.1976373758374073</v>
      </c>
      <c r="L95" s="13">
        <f t="shared" si="16"/>
        <v>27.99630160031079</v>
      </c>
      <c r="M95" s="13">
        <f t="shared" si="17"/>
        <v>28.159933627049401</v>
      </c>
      <c r="N95" s="13">
        <f t="shared" si="18"/>
        <v>29.013076304425592</v>
      </c>
      <c r="O95" s="13">
        <f t="shared" si="19"/>
        <v>25.266076622084242</v>
      </c>
      <c r="W95" s="13">
        <f>Germany!R86</f>
        <v>0.9697705976668981</v>
      </c>
      <c r="X95" s="19">
        <v>0</v>
      </c>
      <c r="Y95" s="19">
        <v>0</v>
      </c>
      <c r="Z95" s="19">
        <v>0</v>
      </c>
      <c r="AA95">
        <v>0</v>
      </c>
      <c r="AB95" s="19">
        <v>0</v>
      </c>
      <c r="AC95" s="19">
        <v>0</v>
      </c>
      <c r="AD95" s="19">
        <v>0</v>
      </c>
      <c r="AE95" s="19">
        <v>0</v>
      </c>
      <c r="AF95" s="19">
        <v>0</v>
      </c>
      <c r="AG95">
        <v>1</v>
      </c>
      <c r="AH95" s="31">
        <v>0</v>
      </c>
      <c r="AI95" s="19">
        <v>0</v>
      </c>
      <c r="AJ95" s="19">
        <v>0</v>
      </c>
      <c r="AK95" s="19">
        <v>0</v>
      </c>
    </row>
    <row r="96" spans="1:37">
      <c r="B96">
        <v>2015</v>
      </c>
      <c r="C96" s="13">
        <f>'Germany EV uptake'!O10</f>
        <v>2016.7075785059585</v>
      </c>
      <c r="J96" s="13"/>
      <c r="K96" s="13">
        <f t="shared" si="15"/>
        <v>2.8370394380116095</v>
      </c>
      <c r="L96" s="13">
        <f t="shared" si="16"/>
        <v>28.065570835787646</v>
      </c>
      <c r="M96" s="13">
        <f t="shared" si="17"/>
        <v>28.227106507046805</v>
      </c>
      <c r="N96" s="13">
        <f t="shared" si="18"/>
        <v>29.07704419454727</v>
      </c>
      <c r="O96" s="13">
        <f t="shared" si="19"/>
        <v>25.351932784167602</v>
      </c>
      <c r="W96" s="13">
        <f>Germany!R87</f>
        <v>1.0162053409872152</v>
      </c>
      <c r="X96" s="19">
        <v>0</v>
      </c>
      <c r="Y96" s="19">
        <v>0</v>
      </c>
      <c r="Z96" s="19">
        <v>0</v>
      </c>
      <c r="AA96">
        <v>0</v>
      </c>
      <c r="AB96" s="19">
        <v>0</v>
      </c>
      <c r="AC96" s="19">
        <v>0</v>
      </c>
      <c r="AD96" s="19">
        <v>0</v>
      </c>
      <c r="AE96" s="19">
        <v>0</v>
      </c>
      <c r="AF96" s="19">
        <v>0</v>
      </c>
      <c r="AG96">
        <v>1</v>
      </c>
      <c r="AH96" s="31">
        <v>0</v>
      </c>
      <c r="AI96" s="19">
        <v>0</v>
      </c>
      <c r="AJ96" s="19">
        <v>0</v>
      </c>
      <c r="AK96" s="19">
        <v>0</v>
      </c>
    </row>
    <row r="97" spans="1:37">
      <c r="B97">
        <v>2016</v>
      </c>
      <c r="C97" s="13">
        <f>'Germany EV uptake'!O11</f>
        <v>2016.7848496820138</v>
      </c>
      <c r="J97" s="13"/>
      <c r="K97" s="13">
        <f t="shared" si="15"/>
        <v>2.8940865637022299</v>
      </c>
      <c r="L97" s="13">
        <f t="shared" si="16"/>
        <v>28.054612340554513</v>
      </c>
      <c r="M97" s="13">
        <f t="shared" si="17"/>
        <v>28.216479658342905</v>
      </c>
      <c r="N97" s="13">
        <f t="shared" si="18"/>
        <v>29.066924379969468</v>
      </c>
      <c r="O97" s="13">
        <f t="shared" si="19"/>
        <v>25.33835021267755</v>
      </c>
      <c r="W97" s="13">
        <f>Germany!R88</f>
        <v>1.0088592960969487</v>
      </c>
      <c r="X97" s="19">
        <v>0</v>
      </c>
      <c r="Y97" s="19">
        <v>0</v>
      </c>
      <c r="Z97" s="19">
        <v>0</v>
      </c>
      <c r="AA97">
        <v>0</v>
      </c>
      <c r="AB97" s="19">
        <v>0</v>
      </c>
      <c r="AC97" s="19">
        <v>0</v>
      </c>
      <c r="AD97" s="19">
        <v>0</v>
      </c>
      <c r="AE97" s="19">
        <v>0</v>
      </c>
      <c r="AF97" s="19">
        <v>0</v>
      </c>
      <c r="AG97">
        <v>1</v>
      </c>
      <c r="AH97" s="31">
        <v>0</v>
      </c>
      <c r="AI97" s="19">
        <v>0</v>
      </c>
      <c r="AJ97" s="19">
        <v>0</v>
      </c>
      <c r="AK97" s="19">
        <v>0</v>
      </c>
    </row>
    <row r="98" spans="1:37" s="18" customFormat="1">
      <c r="B98" s="18">
        <v>2017</v>
      </c>
      <c r="C98" s="182">
        <f>'Germany EV uptake'!O12</f>
        <v>2016.7295960758513</v>
      </c>
      <c r="D98" s="182"/>
      <c r="E98" s="182"/>
      <c r="F98" s="182"/>
      <c r="G98" s="182"/>
      <c r="J98" s="182"/>
      <c r="K98" s="13">
        <f t="shared" si="15"/>
        <v>2.8533788477700726</v>
      </c>
      <c r="L98" s="13">
        <f t="shared" si="16"/>
        <v>28.062432108958159</v>
      </c>
      <c r="M98" s="13">
        <f t="shared" si="17"/>
        <v>28.224062770253546</v>
      </c>
      <c r="N98" s="13">
        <f t="shared" si="18"/>
        <v>29.074145682219704</v>
      </c>
      <c r="O98" s="13">
        <f t="shared" si="19"/>
        <v>25.348042470703728</v>
      </c>
      <c r="V98" s="182"/>
      <c r="W98" s="13">
        <f>Germany!R89</f>
        <v>1.0141012904130096</v>
      </c>
      <c r="X98" s="27">
        <v>0</v>
      </c>
      <c r="Y98" s="27">
        <v>0</v>
      </c>
      <c r="Z98" s="27">
        <v>0</v>
      </c>
      <c r="AA98">
        <v>0</v>
      </c>
      <c r="AB98" s="27">
        <v>0</v>
      </c>
      <c r="AC98" s="27">
        <v>0</v>
      </c>
      <c r="AD98" s="27">
        <v>0</v>
      </c>
      <c r="AE98" s="27">
        <v>0</v>
      </c>
      <c r="AF98" s="27">
        <v>0</v>
      </c>
      <c r="AG98">
        <v>1</v>
      </c>
      <c r="AH98" s="31">
        <v>0</v>
      </c>
      <c r="AI98" s="19">
        <v>0</v>
      </c>
      <c r="AJ98" s="19">
        <v>0</v>
      </c>
      <c r="AK98" s="19">
        <v>0</v>
      </c>
    </row>
    <row r="99" spans="1:37">
      <c r="A99" t="s">
        <v>242</v>
      </c>
      <c r="B99">
        <v>2012</v>
      </c>
      <c r="C99" s="13">
        <f>'India EV uptake'!O7</f>
        <v>2025.7753083178627</v>
      </c>
      <c r="K99" s="13"/>
      <c r="L99" s="13">
        <f t="shared" si="16"/>
        <v>25.995188956955765</v>
      </c>
      <c r="M99" s="13">
        <f t="shared" si="17"/>
        <v>26.092340845712176</v>
      </c>
      <c r="N99" s="13">
        <f t="shared" si="18"/>
        <v>26.695928939069312</v>
      </c>
      <c r="O99" s="13">
        <f t="shared" si="19"/>
        <v>23.839318189657966</v>
      </c>
      <c r="W99" s="13">
        <f>'Country Petrol Prices'!K84</f>
        <v>1.3396210581986554</v>
      </c>
      <c r="X99" s="19">
        <v>0</v>
      </c>
      <c r="Y99" s="19">
        <v>0</v>
      </c>
      <c r="Z99" s="19">
        <v>0</v>
      </c>
      <c r="AA99">
        <v>0</v>
      </c>
      <c r="AB99" s="19">
        <v>0</v>
      </c>
      <c r="AC99" s="19">
        <v>0</v>
      </c>
      <c r="AD99" s="19">
        <v>0</v>
      </c>
      <c r="AE99" s="19">
        <v>0</v>
      </c>
      <c r="AF99" s="19">
        <v>0</v>
      </c>
      <c r="AG99" s="19">
        <v>0</v>
      </c>
      <c r="AH99" s="31">
        <v>0</v>
      </c>
      <c r="AI99" s="19">
        <v>0</v>
      </c>
      <c r="AJ99" s="19">
        <v>0</v>
      </c>
      <c r="AK99" s="19">
        <v>0</v>
      </c>
    </row>
    <row r="100" spans="1:37">
      <c r="B100">
        <v>2013</v>
      </c>
      <c r="C100" s="13">
        <f>'India EV uptake'!O8</f>
        <v>2028.3889876449657</v>
      </c>
      <c r="K100" s="13"/>
      <c r="L100" s="13">
        <f t="shared" si="16"/>
        <v>29.834226003657193</v>
      </c>
      <c r="M100" s="13">
        <f t="shared" si="17"/>
        <v>29.938527419922782</v>
      </c>
      <c r="N100" s="13">
        <f t="shared" si="18"/>
        <v>30.728945093481521</v>
      </c>
      <c r="O100" s="13">
        <f t="shared" si="19"/>
        <v>27.567584333793967</v>
      </c>
      <c r="W100" s="13">
        <f>'Country Petrol Prices'!K85</f>
        <v>1.2381046949878041</v>
      </c>
      <c r="X100" s="19">
        <v>0</v>
      </c>
      <c r="Y100" s="19">
        <v>0</v>
      </c>
      <c r="Z100" s="19">
        <v>0</v>
      </c>
      <c r="AA100">
        <v>0</v>
      </c>
      <c r="AB100" s="19">
        <v>0</v>
      </c>
      <c r="AC100" s="19">
        <v>0</v>
      </c>
      <c r="AD100" s="19">
        <v>0</v>
      </c>
      <c r="AE100" s="19">
        <v>0</v>
      </c>
      <c r="AF100" s="19">
        <v>0</v>
      </c>
      <c r="AG100" s="19">
        <v>0</v>
      </c>
      <c r="AH100" s="31">
        <v>1</v>
      </c>
      <c r="AI100" s="19">
        <v>0</v>
      </c>
      <c r="AJ100" s="19">
        <v>0</v>
      </c>
      <c r="AK100" s="19">
        <v>0</v>
      </c>
    </row>
    <row r="101" spans="1:37">
      <c r="B101">
        <v>2014</v>
      </c>
      <c r="C101" s="13">
        <f>'India EV uptake'!O9</f>
        <v>2028.5558626462118</v>
      </c>
      <c r="K101" s="13"/>
      <c r="L101" s="13">
        <f t="shared" si="16"/>
        <v>27.753823799265781</v>
      </c>
      <c r="M101" s="13">
        <f t="shared" si="17"/>
        <v>27.859419415379193</v>
      </c>
      <c r="N101" s="13">
        <f t="shared" si="18"/>
        <v>28.563866159958966</v>
      </c>
      <c r="O101" s="13">
        <f t="shared" si="19"/>
        <v>25.504043035246937</v>
      </c>
      <c r="W101" s="13">
        <f>'Country Petrol Prices'!K86</f>
        <v>1.1810142424611467</v>
      </c>
      <c r="X101" s="19">
        <v>0</v>
      </c>
      <c r="Y101" s="19">
        <v>0</v>
      </c>
      <c r="Z101" s="19">
        <v>0</v>
      </c>
      <c r="AA101">
        <v>0</v>
      </c>
      <c r="AB101" s="19">
        <v>0</v>
      </c>
      <c r="AC101" s="19">
        <v>0</v>
      </c>
      <c r="AD101" s="19">
        <v>0</v>
      </c>
      <c r="AE101" s="19">
        <v>0</v>
      </c>
      <c r="AF101" s="19">
        <v>0</v>
      </c>
      <c r="AG101" s="19">
        <v>0</v>
      </c>
      <c r="AH101" s="31">
        <v>0.5</v>
      </c>
      <c r="AI101" s="19">
        <v>0</v>
      </c>
      <c r="AJ101" s="19">
        <v>0</v>
      </c>
      <c r="AK101" s="19">
        <v>0</v>
      </c>
    </row>
    <row r="102" spans="1:37">
      <c r="B102">
        <v>2015</v>
      </c>
      <c r="C102" s="13">
        <f>'India EV uptake'!O10</f>
        <v>2027.2917994886172</v>
      </c>
      <c r="K102" s="13"/>
      <c r="L102" s="13">
        <f t="shared" si="16"/>
        <v>25.480131133582372</v>
      </c>
      <c r="M102" s="13">
        <f t="shared" si="17"/>
        <v>25.592870667890665</v>
      </c>
      <c r="N102" s="13">
        <f t="shared" si="18"/>
        <v>26.220289760651251</v>
      </c>
      <c r="O102" s="13">
        <f t="shared" si="19"/>
        <v>23.200926735480241</v>
      </c>
      <c r="W102" s="13">
        <f>'Country Petrol Prices'!K87</f>
        <v>0.99435121858197106</v>
      </c>
      <c r="X102" s="19">
        <v>0</v>
      </c>
      <c r="Y102" s="19">
        <v>0</v>
      </c>
      <c r="Z102" s="19">
        <v>0</v>
      </c>
      <c r="AA102">
        <v>0</v>
      </c>
      <c r="AB102" s="19">
        <v>0</v>
      </c>
      <c r="AC102" s="19">
        <v>0</v>
      </c>
      <c r="AD102" s="19">
        <v>0</v>
      </c>
      <c r="AE102" s="19">
        <v>0</v>
      </c>
      <c r="AF102" s="19">
        <v>0</v>
      </c>
      <c r="AG102" s="19">
        <v>0</v>
      </c>
      <c r="AH102" s="31">
        <v>0</v>
      </c>
      <c r="AI102" s="19">
        <v>0</v>
      </c>
      <c r="AJ102" s="19">
        <v>0</v>
      </c>
      <c r="AK102" s="19">
        <v>0</v>
      </c>
    </row>
    <row r="103" spans="1:37">
      <c r="B103">
        <v>2016</v>
      </c>
      <c r="C103" s="13">
        <f>'India EV uptake'!O11</f>
        <v>2027.4301279831573</v>
      </c>
      <c r="K103" s="13"/>
      <c r="L103" s="13">
        <f t="shared" si="16"/>
        <v>25.415777615118081</v>
      </c>
      <c r="M103" s="13">
        <f t="shared" si="17"/>
        <v>25.530464736260932</v>
      </c>
      <c r="N103" s="13">
        <f t="shared" si="18"/>
        <v>26.160861375600827</v>
      </c>
      <c r="O103" s="13">
        <f t="shared" si="19"/>
        <v>23.121163387814153</v>
      </c>
      <c r="W103" s="13">
        <f>'Country Petrol Prices'!K88</f>
        <v>0.95121173406078063</v>
      </c>
      <c r="X103" s="19">
        <v>0</v>
      </c>
      <c r="Y103" s="19">
        <v>0</v>
      </c>
      <c r="Z103" s="19">
        <v>0</v>
      </c>
      <c r="AA103">
        <v>0</v>
      </c>
      <c r="AB103" s="19">
        <v>0</v>
      </c>
      <c r="AC103" s="19">
        <v>0</v>
      </c>
      <c r="AD103" s="19">
        <v>0</v>
      </c>
      <c r="AE103" s="19">
        <v>0</v>
      </c>
      <c r="AF103" s="19">
        <v>0</v>
      </c>
      <c r="AG103" s="19">
        <v>0</v>
      </c>
      <c r="AH103" s="31">
        <v>0</v>
      </c>
      <c r="AI103" s="19">
        <v>0</v>
      </c>
      <c r="AJ103" s="19">
        <v>0</v>
      </c>
      <c r="AK103" s="19">
        <v>0</v>
      </c>
    </row>
    <row r="104" spans="1:37" s="18" customFormat="1">
      <c r="B104" s="18">
        <v>2017</v>
      </c>
      <c r="C104" s="13">
        <f>'India EV uptake'!O12</f>
        <v>2027.3719619832832</v>
      </c>
      <c r="D104" s="182"/>
      <c r="E104" s="182"/>
      <c r="F104" s="182"/>
      <c r="G104" s="182"/>
      <c r="K104" s="13"/>
      <c r="L104" s="13">
        <f t="shared" si="16"/>
        <v>25.565475695707839</v>
      </c>
      <c r="M104" s="13">
        <f t="shared" si="17"/>
        <v>25.675632372861415</v>
      </c>
      <c r="N104" s="13">
        <f t="shared" si="18"/>
        <v>26.299102693043849</v>
      </c>
      <c r="O104" s="13">
        <f t="shared" si="19"/>
        <v>23.30670755590269</v>
      </c>
      <c r="V104" s="13"/>
      <c r="W104" s="182">
        <f>'Country Petrol Prices'!K89</f>
        <v>1.0515620829548709</v>
      </c>
      <c r="X104" s="19">
        <v>0</v>
      </c>
      <c r="Y104" s="19">
        <v>0</v>
      </c>
      <c r="Z104" s="19">
        <v>0</v>
      </c>
      <c r="AA104">
        <v>0</v>
      </c>
      <c r="AB104" s="19">
        <v>0</v>
      </c>
      <c r="AC104" s="19">
        <v>0</v>
      </c>
      <c r="AD104" s="19">
        <v>0</v>
      </c>
      <c r="AE104" s="19">
        <v>0</v>
      </c>
      <c r="AF104" s="19">
        <v>0</v>
      </c>
      <c r="AG104" s="19">
        <v>0</v>
      </c>
      <c r="AH104" s="31">
        <v>0</v>
      </c>
      <c r="AI104" s="19">
        <v>0</v>
      </c>
      <c r="AJ104" s="19">
        <v>0</v>
      </c>
      <c r="AK104" s="19">
        <v>0</v>
      </c>
    </row>
    <row r="105" spans="1:37">
      <c r="A105" t="s">
        <v>544</v>
      </c>
      <c r="B105">
        <v>2012</v>
      </c>
      <c r="C105" s="13">
        <f>'Ireland EV uptake'!O7</f>
        <v>2018.8750156872493</v>
      </c>
      <c r="L105" s="13"/>
      <c r="M105" s="13">
        <f t="shared" si="17"/>
        <v>25.006645699898662</v>
      </c>
      <c r="N105" s="13">
        <f t="shared" si="18"/>
        <v>25.547769009085027</v>
      </c>
      <c r="O105" s="13">
        <f t="shared" si="19"/>
        <v>23.295980723552397</v>
      </c>
      <c r="W105" s="13">
        <f>'Country Petrol Prices'!L84</f>
        <v>2.2206850571942964</v>
      </c>
      <c r="X105" s="19">
        <v>0</v>
      </c>
      <c r="Y105" s="19">
        <v>0</v>
      </c>
      <c r="Z105" s="19">
        <v>0</v>
      </c>
      <c r="AA105">
        <v>0</v>
      </c>
      <c r="AB105" s="19">
        <v>0</v>
      </c>
      <c r="AC105" s="19">
        <v>0</v>
      </c>
      <c r="AD105" s="19">
        <v>0</v>
      </c>
      <c r="AE105" s="19">
        <v>0</v>
      </c>
      <c r="AF105" s="19">
        <v>0</v>
      </c>
      <c r="AG105" s="19">
        <v>0</v>
      </c>
      <c r="AH105" s="19">
        <v>0</v>
      </c>
      <c r="AI105" s="19">
        <v>0.5</v>
      </c>
      <c r="AJ105" s="19">
        <v>0</v>
      </c>
      <c r="AK105" s="19">
        <v>0</v>
      </c>
    </row>
    <row r="106" spans="1:37">
      <c r="B106">
        <v>2013</v>
      </c>
      <c r="C106" s="13">
        <f>'Ireland EV uptake'!O8</f>
        <v>2018.9213655214492</v>
      </c>
      <c r="L106" s="13"/>
      <c r="M106" s="13">
        <f t="shared" si="17"/>
        <v>24.997732346485382</v>
      </c>
      <c r="N106" s="13">
        <f t="shared" si="18"/>
        <v>25.539280934555865</v>
      </c>
      <c r="O106" s="13">
        <f t="shared" si="19"/>
        <v>23.284588234271204</v>
      </c>
      <c r="W106" s="13">
        <f>'Country Petrol Prices'!L85</f>
        <v>2.2145235039322504</v>
      </c>
      <c r="X106" s="19">
        <v>0</v>
      </c>
      <c r="Y106" s="19">
        <v>0</v>
      </c>
      <c r="Z106" s="19">
        <v>0</v>
      </c>
      <c r="AA106">
        <v>0</v>
      </c>
      <c r="AB106" s="19">
        <v>0</v>
      </c>
      <c r="AC106" s="19">
        <v>0</v>
      </c>
      <c r="AD106" s="19">
        <v>0</v>
      </c>
      <c r="AE106" s="19">
        <v>0</v>
      </c>
      <c r="AF106" s="19">
        <v>0</v>
      </c>
      <c r="AG106" s="19">
        <v>0</v>
      </c>
      <c r="AH106" s="19">
        <v>0</v>
      </c>
      <c r="AI106" s="19">
        <v>0.5</v>
      </c>
      <c r="AJ106" s="19">
        <v>0</v>
      </c>
      <c r="AK106" s="19">
        <v>0</v>
      </c>
    </row>
    <row r="107" spans="1:37">
      <c r="B107">
        <v>2014</v>
      </c>
      <c r="C107" s="13">
        <f>'Ireland EV uptake'!O9</f>
        <v>2020.0055118566152</v>
      </c>
      <c r="L107" s="13"/>
      <c r="M107" s="13">
        <f t="shared" si="17"/>
        <v>24.808092927901871</v>
      </c>
      <c r="N107" s="13">
        <f t="shared" si="18"/>
        <v>25.358689697569194</v>
      </c>
      <c r="O107" s="13">
        <f t="shared" si="19"/>
        <v>23.042203023752776</v>
      </c>
      <c r="W107" s="13">
        <f>'Country Petrol Prices'!L86</f>
        <v>2.0834310492737709</v>
      </c>
      <c r="X107" s="19">
        <v>0</v>
      </c>
      <c r="Y107" s="19">
        <v>0</v>
      </c>
      <c r="Z107" s="19">
        <v>0</v>
      </c>
      <c r="AA107">
        <v>0</v>
      </c>
      <c r="AB107" s="19">
        <v>0</v>
      </c>
      <c r="AC107" s="19">
        <v>0</v>
      </c>
      <c r="AD107" s="19">
        <v>0</v>
      </c>
      <c r="AE107" s="19">
        <v>0</v>
      </c>
      <c r="AF107" s="19">
        <v>0</v>
      </c>
      <c r="AG107" s="19">
        <v>0</v>
      </c>
      <c r="AH107" s="19">
        <v>0</v>
      </c>
      <c r="AI107" s="19">
        <v>0.5</v>
      </c>
      <c r="AJ107" s="19">
        <v>0</v>
      </c>
      <c r="AK107" s="19">
        <v>0</v>
      </c>
    </row>
    <row r="108" spans="1:37">
      <c r="B108">
        <v>2015</v>
      </c>
      <c r="C108" s="13">
        <f>'Ireland EV uptake'!O10</f>
        <v>2019.424683248825</v>
      </c>
      <c r="L108" s="13"/>
      <c r="M108" s="13">
        <f t="shared" si="17"/>
        <v>21.686067466879578</v>
      </c>
      <c r="N108" s="13">
        <f t="shared" si="18"/>
        <v>22.271357978914445</v>
      </c>
      <c r="O108" s="13">
        <f t="shared" si="19"/>
        <v>19.896155868787922</v>
      </c>
      <c r="W108" s="13">
        <f>'Country Petrol Prices'!L87</f>
        <v>1.5568365482058133</v>
      </c>
      <c r="X108" s="19">
        <v>0</v>
      </c>
      <c r="Y108" s="19">
        <v>0</v>
      </c>
      <c r="Z108" s="19">
        <v>0</v>
      </c>
      <c r="AA108">
        <v>0</v>
      </c>
      <c r="AB108" s="19">
        <v>0</v>
      </c>
      <c r="AC108" s="19">
        <v>0</v>
      </c>
      <c r="AD108" s="19">
        <v>0</v>
      </c>
      <c r="AE108" s="19">
        <v>0</v>
      </c>
      <c r="AF108" s="19">
        <v>0</v>
      </c>
      <c r="AG108" s="19">
        <v>0</v>
      </c>
      <c r="AH108" s="19">
        <v>0</v>
      </c>
      <c r="AI108" s="19">
        <v>1</v>
      </c>
      <c r="AJ108" s="19">
        <v>0</v>
      </c>
      <c r="AK108" s="19">
        <v>0</v>
      </c>
    </row>
    <row r="109" spans="1:37">
      <c r="B109">
        <v>2016</v>
      </c>
      <c r="C109" s="13">
        <f>'Ireland EV uptake'!O11</f>
        <v>2019.4989317643808</v>
      </c>
      <c r="L109" s="13"/>
      <c r="M109" s="13">
        <f t="shared" si="17"/>
        <v>21.511542668602935</v>
      </c>
      <c r="N109" s="13">
        <f t="shared" si="18"/>
        <v>22.105160205049465</v>
      </c>
      <c r="O109" s="13">
        <f t="shared" si="19"/>
        <v>19.673089217946327</v>
      </c>
      <c r="W109" s="13">
        <f>'Country Petrol Prices'!L88</f>
        <v>1.4361924101054515</v>
      </c>
      <c r="X109" s="19">
        <v>0</v>
      </c>
      <c r="Y109" s="19">
        <v>0</v>
      </c>
      <c r="Z109" s="19">
        <v>0</v>
      </c>
      <c r="AA109">
        <v>0</v>
      </c>
      <c r="AB109" s="19">
        <v>0</v>
      </c>
      <c r="AC109" s="19">
        <v>0</v>
      </c>
      <c r="AD109" s="19">
        <v>0</v>
      </c>
      <c r="AE109" s="19">
        <v>0</v>
      </c>
      <c r="AF109" s="19">
        <v>0</v>
      </c>
      <c r="AG109" s="19">
        <v>0</v>
      </c>
      <c r="AH109" s="19">
        <v>0</v>
      </c>
      <c r="AI109" s="19">
        <v>1</v>
      </c>
      <c r="AJ109" s="19">
        <v>0</v>
      </c>
      <c r="AK109" s="19">
        <v>0</v>
      </c>
    </row>
    <row r="110" spans="1:37" s="18" customFormat="1">
      <c r="B110" s="18">
        <v>2017</v>
      </c>
      <c r="C110" s="13">
        <f>'Ireland EV uptake'!O12</f>
        <v>2019.3585127420033</v>
      </c>
      <c r="D110" s="182"/>
      <c r="E110" s="182"/>
      <c r="F110" s="182"/>
      <c r="G110" s="182"/>
      <c r="L110" s="13"/>
      <c r="M110" s="13">
        <f t="shared" si="17"/>
        <v>21.670595824120319</v>
      </c>
      <c r="N110" s="13">
        <f t="shared" si="18"/>
        <v>22.256624527794521</v>
      </c>
      <c r="O110" s="13">
        <f t="shared" si="19"/>
        <v>19.876380985405131</v>
      </c>
      <c r="V110" s="13"/>
      <c r="W110" s="13">
        <f>'Country Petrol Prices'!L89</f>
        <v>1.5461414319580415</v>
      </c>
      <c r="X110" s="19">
        <v>0</v>
      </c>
      <c r="Y110" s="19">
        <v>0</v>
      </c>
      <c r="Z110" s="19">
        <v>0</v>
      </c>
      <c r="AA110">
        <v>0</v>
      </c>
      <c r="AB110" s="19">
        <v>0</v>
      </c>
      <c r="AC110" s="19">
        <v>0</v>
      </c>
      <c r="AD110" s="19">
        <v>0</v>
      </c>
      <c r="AE110" s="19">
        <v>0</v>
      </c>
      <c r="AF110" s="19">
        <v>0</v>
      </c>
      <c r="AG110" s="19">
        <v>0</v>
      </c>
      <c r="AH110" s="19">
        <v>0</v>
      </c>
      <c r="AI110" s="19">
        <v>1</v>
      </c>
      <c r="AJ110" s="19">
        <v>0</v>
      </c>
      <c r="AK110" s="19">
        <v>0</v>
      </c>
    </row>
    <row r="111" spans="1:37">
      <c r="A111" t="s">
        <v>538</v>
      </c>
      <c r="B111">
        <v>2012</v>
      </c>
      <c r="C111" s="13">
        <f>'Italy EV uptake'!O7</f>
        <v>2021.5525832426733</v>
      </c>
      <c r="M111" s="13"/>
      <c r="N111" s="13">
        <f t="shared" si="18"/>
        <v>29.525816008412267</v>
      </c>
      <c r="O111" s="13">
        <f t="shared" si="19"/>
        <v>26.372600899911252</v>
      </c>
      <c r="W111" s="13">
        <f>'Country Petrol Prices'!M84</f>
        <v>2.4574544458885539</v>
      </c>
      <c r="X111" s="19">
        <v>0</v>
      </c>
      <c r="Y111" s="19">
        <v>0</v>
      </c>
      <c r="Z111" s="19">
        <v>0</v>
      </c>
      <c r="AA111">
        <v>0</v>
      </c>
      <c r="AB111" s="19">
        <v>0</v>
      </c>
      <c r="AC111" s="19">
        <v>0</v>
      </c>
      <c r="AD111" s="19">
        <v>0</v>
      </c>
      <c r="AE111" s="19">
        <v>0</v>
      </c>
      <c r="AF111" s="19">
        <v>0</v>
      </c>
      <c r="AG111" s="19">
        <v>0</v>
      </c>
      <c r="AH111" s="19">
        <v>0</v>
      </c>
      <c r="AI111" s="19">
        <v>0</v>
      </c>
      <c r="AJ111" s="19">
        <v>1</v>
      </c>
      <c r="AK111" s="19">
        <v>0</v>
      </c>
    </row>
    <row r="112" spans="1:37">
      <c r="B112">
        <v>2013</v>
      </c>
      <c r="C112" s="13">
        <f>'Italy EV uptake'!O8</f>
        <v>2021.6918581333885</v>
      </c>
      <c r="M112" s="13"/>
      <c r="N112" s="13">
        <f t="shared" si="18"/>
        <v>29.499817034860815</v>
      </c>
      <c r="O112" s="13">
        <f t="shared" si="19"/>
        <v>26.337705703540248</v>
      </c>
      <c r="W112" s="13">
        <f>'Country Petrol Prices'!M85</f>
        <v>2.438581607326002</v>
      </c>
      <c r="X112" s="19">
        <v>0</v>
      </c>
      <c r="Y112" s="19">
        <v>0</v>
      </c>
      <c r="Z112" s="19">
        <v>0</v>
      </c>
      <c r="AA112">
        <v>0</v>
      </c>
      <c r="AB112" s="19">
        <v>0</v>
      </c>
      <c r="AC112" s="19">
        <v>0</v>
      </c>
      <c r="AD112" s="19">
        <v>0</v>
      </c>
      <c r="AE112" s="19">
        <v>0</v>
      </c>
      <c r="AF112" s="19">
        <v>0</v>
      </c>
      <c r="AG112" s="19">
        <v>0</v>
      </c>
      <c r="AH112" s="19">
        <v>0</v>
      </c>
      <c r="AI112" s="19">
        <v>0</v>
      </c>
      <c r="AJ112" s="19">
        <v>1</v>
      </c>
      <c r="AK112" s="19">
        <v>0</v>
      </c>
    </row>
    <row r="113" spans="1:37">
      <c r="B113">
        <v>2014</v>
      </c>
      <c r="C113" s="13">
        <f>'Italy EV uptake'!O9</f>
        <v>2020.2779543408324</v>
      </c>
      <c r="M113" s="13"/>
      <c r="N113" s="13">
        <f t="shared" si="18"/>
        <v>28.070188483571528</v>
      </c>
      <c r="O113" s="13">
        <f t="shared" si="19"/>
        <v>25.683816264754032</v>
      </c>
      <c r="W113" s="13">
        <f>'Country Petrol Prices'!M86</f>
        <v>2.3372057695760837</v>
      </c>
      <c r="X113" s="19">
        <v>0</v>
      </c>
      <c r="Y113" s="19">
        <v>0</v>
      </c>
      <c r="Z113" s="19">
        <v>0</v>
      </c>
      <c r="AA113">
        <v>0</v>
      </c>
      <c r="AB113" s="19">
        <v>0</v>
      </c>
      <c r="AC113" s="19">
        <v>0</v>
      </c>
      <c r="AD113" s="19">
        <v>0</v>
      </c>
      <c r="AE113" s="19">
        <v>0</v>
      </c>
      <c r="AF113" s="19">
        <v>0</v>
      </c>
      <c r="AG113" s="19">
        <v>0</v>
      </c>
      <c r="AH113" s="19">
        <v>0</v>
      </c>
      <c r="AI113" s="19">
        <v>0</v>
      </c>
      <c r="AJ113" s="19">
        <v>0</v>
      </c>
      <c r="AK113" s="19">
        <v>0</v>
      </c>
    </row>
    <row r="114" spans="1:37">
      <c r="B114">
        <v>2015</v>
      </c>
      <c r="C114" s="13">
        <f>'Italy EV uptake'!O10</f>
        <v>2020.6362648624145</v>
      </c>
      <c r="M114" s="13"/>
      <c r="N114" s="13">
        <f t="shared" si="18"/>
        <v>27.259423514521789</v>
      </c>
      <c r="O114" s="13">
        <f t="shared" si="19"/>
        <v>24.595627042601496</v>
      </c>
      <c r="W114" s="13">
        <f>'Country Petrol Prices'!M87</f>
        <v>1.7486657511493757</v>
      </c>
      <c r="X114" s="19">
        <v>0</v>
      </c>
      <c r="Y114" s="19">
        <v>0</v>
      </c>
      <c r="Z114" s="19">
        <v>0</v>
      </c>
      <c r="AA114">
        <v>0</v>
      </c>
      <c r="AB114" s="19">
        <v>0</v>
      </c>
      <c r="AC114" s="19">
        <v>0</v>
      </c>
      <c r="AD114" s="19">
        <v>0</v>
      </c>
      <c r="AE114" s="19">
        <v>0</v>
      </c>
      <c r="AF114" s="19">
        <v>0</v>
      </c>
      <c r="AG114" s="19">
        <v>0</v>
      </c>
      <c r="AH114" s="19">
        <v>0</v>
      </c>
      <c r="AI114" s="19">
        <v>0</v>
      </c>
      <c r="AJ114" s="19">
        <v>0</v>
      </c>
      <c r="AK114" s="19">
        <v>0</v>
      </c>
    </row>
    <row r="115" spans="1:37">
      <c r="B115">
        <v>2016</v>
      </c>
      <c r="C115" s="13">
        <f>'Italy EV uptake'!O11</f>
        <v>2020.669654394253</v>
      </c>
      <c r="M115" s="13"/>
      <c r="N115" s="13">
        <f t="shared" si="18"/>
        <v>27.076029371086598</v>
      </c>
      <c r="O115" s="13">
        <f t="shared" si="19"/>
        <v>24.349479838528318</v>
      </c>
      <c r="W115" s="13">
        <f>'Country Petrol Prices'!M88</f>
        <v>1.6155386468996658</v>
      </c>
      <c r="X115" s="19">
        <v>0</v>
      </c>
      <c r="Y115" s="19">
        <v>0</v>
      </c>
      <c r="Z115" s="19">
        <v>0</v>
      </c>
      <c r="AA115">
        <v>0</v>
      </c>
      <c r="AB115" s="19">
        <v>0</v>
      </c>
      <c r="AC115" s="19">
        <v>0</v>
      </c>
      <c r="AD115" s="19">
        <v>0</v>
      </c>
      <c r="AE115" s="19">
        <v>0</v>
      </c>
      <c r="AF115" s="19">
        <v>0</v>
      </c>
      <c r="AG115" s="19">
        <v>0</v>
      </c>
      <c r="AH115" s="19">
        <v>0</v>
      </c>
      <c r="AI115" s="19">
        <v>0</v>
      </c>
      <c r="AJ115" s="19">
        <v>0</v>
      </c>
      <c r="AK115" s="19">
        <v>0</v>
      </c>
    </row>
    <row r="116" spans="1:37" s="18" customFormat="1">
      <c r="B116" s="18">
        <v>2017</v>
      </c>
      <c r="C116" s="13">
        <f>'Italy EV uptake'!O12</f>
        <v>2020.5932146346756</v>
      </c>
      <c r="D116" s="182"/>
      <c r="E116" s="182"/>
      <c r="F116" s="182"/>
      <c r="G116" s="182"/>
      <c r="M116" s="13"/>
      <c r="N116" s="13">
        <f t="shared" si="18"/>
        <v>27.236307460635025</v>
      </c>
      <c r="O116" s="13">
        <f t="shared" si="19"/>
        <v>24.564601231597653</v>
      </c>
      <c r="V116" s="13"/>
      <c r="W116" s="13">
        <f>'Country Petrol Prices'!M89</f>
        <v>1.7318856443368991</v>
      </c>
      <c r="X116" s="19">
        <v>0</v>
      </c>
      <c r="Y116" s="19">
        <v>0</v>
      </c>
      <c r="Z116" s="19">
        <v>0</v>
      </c>
      <c r="AA116">
        <v>0</v>
      </c>
      <c r="AB116" s="19">
        <v>0</v>
      </c>
      <c r="AC116" s="19">
        <v>0</v>
      </c>
      <c r="AD116" s="19">
        <v>0</v>
      </c>
      <c r="AE116" s="19">
        <v>0</v>
      </c>
      <c r="AF116" s="19">
        <v>0</v>
      </c>
      <c r="AG116" s="19">
        <v>0</v>
      </c>
      <c r="AH116" s="19">
        <v>0</v>
      </c>
      <c r="AI116" s="19">
        <v>0</v>
      </c>
      <c r="AJ116" s="19">
        <v>0</v>
      </c>
      <c r="AK116" s="19">
        <v>0</v>
      </c>
    </row>
    <row r="117" spans="1:37">
      <c r="A117" t="s">
        <v>243</v>
      </c>
      <c r="B117">
        <v>2012</v>
      </c>
      <c r="C117" s="13">
        <f>'Japan EV uptake'!O7</f>
        <v>2022.0496368757667</v>
      </c>
      <c r="N117" s="13"/>
      <c r="O117" s="13">
        <f t="shared" si="19"/>
        <v>24.979095397173758</v>
      </c>
      <c r="W117" s="13">
        <f>'Country Petrol Prices'!N84</f>
        <v>1.9560621008573718</v>
      </c>
      <c r="X117" s="19">
        <v>0</v>
      </c>
      <c r="Y117" s="19">
        <v>0</v>
      </c>
      <c r="Z117" s="19">
        <v>0</v>
      </c>
      <c r="AA117">
        <v>0</v>
      </c>
      <c r="AB117" s="19">
        <v>0</v>
      </c>
      <c r="AC117" s="19">
        <v>0</v>
      </c>
      <c r="AD117" s="19">
        <v>0</v>
      </c>
      <c r="AE117" s="19">
        <v>0</v>
      </c>
      <c r="AF117" s="19">
        <v>0</v>
      </c>
      <c r="AG117" s="19">
        <v>0</v>
      </c>
      <c r="AH117" s="19">
        <v>0</v>
      </c>
      <c r="AI117" s="19">
        <v>0</v>
      </c>
      <c r="AJ117" s="19">
        <v>0</v>
      </c>
      <c r="AK117" s="19">
        <v>0</v>
      </c>
    </row>
    <row r="118" spans="1:37">
      <c r="B118">
        <v>2013</v>
      </c>
      <c r="C118" s="13">
        <f>'Japan EV uptake'!O8</f>
        <v>2019.1020916160128</v>
      </c>
      <c r="N118" s="13"/>
      <c r="O118" s="13">
        <f t="shared" si="19"/>
        <v>22.989508223206354</v>
      </c>
      <c r="W118" s="13">
        <f>'Country Petrol Prices'!N85</f>
        <v>1.6715541066765489</v>
      </c>
      <c r="X118" s="19">
        <v>0</v>
      </c>
      <c r="Y118" s="19">
        <v>0</v>
      </c>
      <c r="Z118" s="19">
        <v>0</v>
      </c>
      <c r="AA118">
        <v>0</v>
      </c>
      <c r="AB118" s="19">
        <v>0</v>
      </c>
      <c r="AC118" s="19">
        <v>0</v>
      </c>
      <c r="AD118" s="19">
        <v>0</v>
      </c>
      <c r="AE118" s="19">
        <v>0</v>
      </c>
      <c r="AF118" s="19">
        <v>0</v>
      </c>
      <c r="AG118" s="19">
        <v>0</v>
      </c>
      <c r="AH118" s="19">
        <v>0</v>
      </c>
      <c r="AI118" s="19">
        <v>0</v>
      </c>
      <c r="AJ118" s="19">
        <v>0</v>
      </c>
      <c r="AK118" s="19">
        <v>1</v>
      </c>
    </row>
    <row r="119" spans="1:37">
      <c r="B119">
        <v>2014</v>
      </c>
      <c r="C119" s="13">
        <f>'Japan EV uptake'!O9</f>
        <v>2021.183253910898</v>
      </c>
      <c r="N119" s="13"/>
      <c r="O119" s="13">
        <f t="shared" si="19"/>
        <v>22.827492634629337</v>
      </c>
      <c r="W119" s="13">
        <f>'Country Petrol Prices'!N86</f>
        <v>1.5839290360129055</v>
      </c>
      <c r="X119" s="19">
        <v>0</v>
      </c>
      <c r="Y119" s="19">
        <v>0</v>
      </c>
      <c r="Z119" s="19">
        <v>0</v>
      </c>
      <c r="AA119">
        <v>0</v>
      </c>
      <c r="AB119" s="19">
        <v>0</v>
      </c>
      <c r="AC119" s="19">
        <v>0</v>
      </c>
      <c r="AD119" s="19">
        <v>0</v>
      </c>
      <c r="AE119" s="19">
        <v>0</v>
      </c>
      <c r="AF119" s="19">
        <v>0</v>
      </c>
      <c r="AG119" s="19">
        <v>0</v>
      </c>
      <c r="AH119" s="19">
        <v>0</v>
      </c>
      <c r="AI119" s="19">
        <v>0</v>
      </c>
      <c r="AJ119" s="19">
        <v>0</v>
      </c>
      <c r="AK119" s="19">
        <v>1</v>
      </c>
    </row>
    <row r="120" spans="1:37">
      <c r="B120">
        <v>2015</v>
      </c>
      <c r="C120" s="13">
        <f>'Japan EV uptake'!O10</f>
        <v>2020.2968040972059</v>
      </c>
      <c r="N120" s="13"/>
      <c r="O120" s="13">
        <f t="shared" si="19"/>
        <v>22.064349396134126</v>
      </c>
      <c r="W120" s="13">
        <f>'Country Petrol Prices'!N87</f>
        <v>1.1711880103687171</v>
      </c>
      <c r="X120" s="19">
        <v>0</v>
      </c>
      <c r="Y120" s="19">
        <v>0</v>
      </c>
      <c r="Z120" s="19">
        <v>0</v>
      </c>
      <c r="AA120">
        <v>0</v>
      </c>
      <c r="AB120" s="19">
        <v>0</v>
      </c>
      <c r="AC120" s="19">
        <v>0</v>
      </c>
      <c r="AD120" s="19">
        <v>0</v>
      </c>
      <c r="AE120" s="19">
        <v>0</v>
      </c>
      <c r="AF120" s="19">
        <v>0</v>
      </c>
      <c r="AG120" s="19">
        <v>0</v>
      </c>
      <c r="AH120" s="19">
        <v>0</v>
      </c>
      <c r="AI120" s="19">
        <v>0</v>
      </c>
      <c r="AJ120" s="19">
        <v>0</v>
      </c>
      <c r="AK120" s="19">
        <v>1</v>
      </c>
    </row>
    <row r="121" spans="1:37">
      <c r="B121">
        <v>2016</v>
      </c>
      <c r="C121" s="13">
        <f>'Japan EV uptake'!O11</f>
        <v>2020.2449836486119</v>
      </c>
      <c r="N121" s="13"/>
      <c r="O121" s="13">
        <f t="shared" si="19"/>
        <v>21.997243441647679</v>
      </c>
      <c r="W121" s="13">
        <f>'Country Petrol Prices'!N88</f>
        <v>1.1348941941040496</v>
      </c>
      <c r="X121" s="19">
        <v>0</v>
      </c>
      <c r="Y121" s="19">
        <v>0</v>
      </c>
      <c r="Z121" s="19">
        <v>0</v>
      </c>
      <c r="AA121">
        <v>0</v>
      </c>
      <c r="AB121" s="19">
        <v>0</v>
      </c>
      <c r="AC121" s="19">
        <v>0</v>
      </c>
      <c r="AD121" s="19">
        <v>0</v>
      </c>
      <c r="AE121" s="19">
        <v>0</v>
      </c>
      <c r="AF121" s="19">
        <v>0</v>
      </c>
      <c r="AG121" s="19">
        <v>0</v>
      </c>
      <c r="AH121" s="19">
        <v>0</v>
      </c>
      <c r="AI121" s="19">
        <v>0</v>
      </c>
      <c r="AJ121" s="19">
        <v>0</v>
      </c>
      <c r="AK121" s="19">
        <v>1</v>
      </c>
    </row>
    <row r="122" spans="1:37" s="18" customFormat="1">
      <c r="B122" s="18">
        <v>2017</v>
      </c>
      <c r="C122" s="13">
        <f>'Japan EV uptake'!O12</f>
        <v>2020.2019547598193</v>
      </c>
      <c r="D122" s="182"/>
      <c r="E122" s="182"/>
      <c r="F122" s="182"/>
      <c r="G122" s="182"/>
      <c r="N122" s="13"/>
      <c r="O122" s="13">
        <f t="shared" si="19"/>
        <v>22.10301472666907</v>
      </c>
      <c r="V122" s="182"/>
      <c r="W122" s="13">
        <f>'Country Petrol Prices'!N89</f>
        <v>1.1920999013176987</v>
      </c>
      <c r="X122" s="19">
        <v>0</v>
      </c>
      <c r="Y122" s="19">
        <v>0</v>
      </c>
      <c r="Z122" s="19">
        <v>0</v>
      </c>
      <c r="AA122">
        <v>0</v>
      </c>
      <c r="AB122" s="19">
        <v>0</v>
      </c>
      <c r="AC122" s="19">
        <v>0</v>
      </c>
      <c r="AD122" s="19">
        <v>0</v>
      </c>
      <c r="AE122" s="19">
        <v>0</v>
      </c>
      <c r="AF122" s="19">
        <v>0</v>
      </c>
      <c r="AG122" s="19">
        <v>0</v>
      </c>
      <c r="AH122" s="19">
        <v>0</v>
      </c>
      <c r="AI122" s="19">
        <v>0</v>
      </c>
      <c r="AJ122" s="19">
        <v>0</v>
      </c>
      <c r="AK122" s="19">
        <v>1</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5"/>
  <sheetViews>
    <sheetView zoomScale="75" zoomScaleNormal="75" workbookViewId="0">
      <pane xSplit="2" ySplit="2" topLeftCell="C3" activePane="bottomRight" state="frozen"/>
      <selection pane="topRight" activeCell="C1" sqref="C1"/>
      <selection pane="bottomLeft" activeCell="A3" sqref="A3"/>
      <selection pane="bottomRight" activeCell="P25" sqref="P25"/>
    </sheetView>
  </sheetViews>
  <sheetFormatPr defaultRowHeight="15"/>
  <cols>
    <col min="1" max="1" width="17.140625" customWidth="1"/>
    <col min="3" max="3" width="20.140625" style="13" customWidth="1"/>
    <col min="4" max="5" width="9.140625" style="13"/>
    <col min="6" max="6" width="14.140625" style="13" customWidth="1"/>
    <col min="7" max="7" width="15.5703125" style="13" customWidth="1"/>
    <col min="8" max="8" width="11.140625" customWidth="1"/>
    <col min="9" max="21" width="11" customWidth="1"/>
    <col min="22" max="22" width="9.140625" style="13"/>
    <col min="23" max="23" width="18.28515625" customWidth="1"/>
    <col min="26" max="26" width="12.140625" customWidth="1"/>
    <col min="27" max="27" width="11.42578125" customWidth="1"/>
    <col min="28" max="30" width="11.5703125" customWidth="1"/>
    <col min="31" max="31" width="11.28515625" customWidth="1"/>
    <col min="32" max="32" width="10.7109375" customWidth="1"/>
    <col min="33" max="33" width="11.5703125" customWidth="1"/>
    <col min="34" max="34" width="14" customWidth="1"/>
    <col min="35" max="35" width="12.85546875" customWidth="1"/>
    <col min="36" max="39" width="16.140625" customWidth="1"/>
    <col min="40" max="40" width="13" customWidth="1"/>
    <col min="41" max="41" width="10.140625" customWidth="1"/>
    <col min="42" max="42" width="12.7109375" customWidth="1"/>
  </cols>
  <sheetData>
    <row r="1" spans="1:43">
      <c r="C1" s="183" t="s">
        <v>1033</v>
      </c>
      <c r="D1" s="13" t="s">
        <v>949</v>
      </c>
      <c r="E1" s="13" t="s">
        <v>298</v>
      </c>
      <c r="F1" s="13" t="s">
        <v>238</v>
      </c>
      <c r="G1" s="13" t="s">
        <v>239</v>
      </c>
      <c r="H1" s="13" t="s">
        <v>541</v>
      </c>
      <c r="I1" s="13" t="s">
        <v>542</v>
      </c>
      <c r="J1" s="13" t="s">
        <v>240</v>
      </c>
      <c r="K1" s="13" t="s">
        <v>241</v>
      </c>
      <c r="L1" s="13" t="s">
        <v>242</v>
      </c>
      <c r="M1" s="13" t="s">
        <v>544</v>
      </c>
      <c r="N1" s="13" t="s">
        <v>538</v>
      </c>
      <c r="O1" s="13" t="s">
        <v>243</v>
      </c>
      <c r="P1" s="13" t="s">
        <v>244</v>
      </c>
      <c r="Q1" s="13" t="s">
        <v>245</v>
      </c>
      <c r="R1" s="13" t="s">
        <v>331</v>
      </c>
      <c r="S1" s="13" t="s">
        <v>246</v>
      </c>
      <c r="T1" s="13" t="s">
        <v>545</v>
      </c>
      <c r="V1" s="182"/>
      <c r="W1" s="182" t="s">
        <v>1035</v>
      </c>
      <c r="X1" s="182" t="s">
        <v>1036</v>
      </c>
      <c r="Y1" s="182" t="s">
        <v>1040</v>
      </c>
      <c r="Z1" s="182"/>
      <c r="AA1" s="182" t="s">
        <v>1037</v>
      </c>
      <c r="AB1" s="18" t="s">
        <v>1039</v>
      </c>
      <c r="AC1" s="18" t="s">
        <v>1041</v>
      </c>
      <c r="AD1" s="18" t="s">
        <v>1048</v>
      </c>
      <c r="AE1" s="18" t="s">
        <v>1047</v>
      </c>
      <c r="AF1" s="18" t="s">
        <v>1049</v>
      </c>
      <c r="AG1" s="19" t="s">
        <v>959</v>
      </c>
      <c r="AH1" s="18" t="s">
        <v>1050</v>
      </c>
      <c r="AI1" s="18" t="str">
        <f>AI35</f>
        <v>dum Denmark</v>
      </c>
      <c r="AJ1" s="18" t="s">
        <v>1052</v>
      </c>
      <c r="AK1" s="18" t="s">
        <v>1053</v>
      </c>
      <c r="AL1" s="18" t="s">
        <v>1054</v>
      </c>
      <c r="AM1" s="18" t="s">
        <v>963</v>
      </c>
      <c r="AN1" s="18" t="str">
        <f>AN35</f>
        <v>dum Germany</v>
      </c>
      <c r="AO1" s="18" t="str">
        <f>AO35</f>
        <v>dum India</v>
      </c>
      <c r="AP1" s="18" t="str">
        <f>AP35</f>
        <v>dum Ireland</v>
      </c>
      <c r="AQ1" s="18" t="str">
        <f>AQ35</f>
        <v>dum Italy</v>
      </c>
    </row>
    <row r="2" spans="1:43">
      <c r="A2" s="13"/>
      <c r="B2" s="13" t="s">
        <v>246</v>
      </c>
      <c r="C2" s="13" t="s">
        <v>539</v>
      </c>
      <c r="D2" s="13" t="s">
        <v>949</v>
      </c>
      <c r="E2" s="13" t="s">
        <v>298</v>
      </c>
      <c r="F2" s="13" t="s">
        <v>238</v>
      </c>
      <c r="G2" s="13" t="s">
        <v>239</v>
      </c>
      <c r="H2" s="13" t="s">
        <v>541</v>
      </c>
      <c r="I2" s="13" t="s">
        <v>542</v>
      </c>
      <c r="J2" s="13" t="s">
        <v>240</v>
      </c>
      <c r="K2" s="13" t="s">
        <v>241</v>
      </c>
      <c r="L2" s="13" t="s">
        <v>242</v>
      </c>
      <c r="M2" s="13" t="s">
        <v>544</v>
      </c>
      <c r="N2" s="13" t="s">
        <v>538</v>
      </c>
      <c r="O2" s="13" t="s">
        <v>243</v>
      </c>
      <c r="P2" s="13" t="s">
        <v>244</v>
      </c>
      <c r="Q2" s="13" t="s">
        <v>245</v>
      </c>
      <c r="R2" s="13" t="s">
        <v>331</v>
      </c>
      <c r="S2" s="13" t="s">
        <v>246</v>
      </c>
      <c r="T2" s="13" t="s">
        <v>545</v>
      </c>
      <c r="U2" s="13"/>
    </row>
    <row r="3" spans="1:43">
      <c r="A3" s="181" t="s">
        <v>159</v>
      </c>
      <c r="B3" s="41"/>
      <c r="C3" s="41"/>
      <c r="D3" s="41">
        <v>10.885562871180676</v>
      </c>
      <c r="E3" s="41">
        <v>10.665217085420238</v>
      </c>
      <c r="F3" s="41">
        <v>10.658898805412356</v>
      </c>
      <c r="G3" s="41">
        <v>10.372602293142286</v>
      </c>
      <c r="H3" s="41">
        <v>10.395988527539917</v>
      </c>
      <c r="I3" s="41">
        <v>10.372703517359403</v>
      </c>
      <c r="J3" s="41">
        <v>8.6155537898061993</v>
      </c>
      <c r="K3" s="41">
        <v>12.547856043451196</v>
      </c>
      <c r="L3" s="41">
        <v>23.99680326781775</v>
      </c>
      <c r="M3" s="41">
        <v>24.154434051146065</v>
      </c>
      <c r="N3" s="41">
        <v>24.850484633188064</v>
      </c>
      <c r="O3" s="41">
        <v>21.362407271693108</v>
      </c>
      <c r="T3" s="41"/>
      <c r="U3" s="41"/>
    </row>
    <row r="4" spans="1:43">
      <c r="A4" s="182" t="s">
        <v>1035</v>
      </c>
      <c r="B4" s="41"/>
      <c r="C4" s="41"/>
      <c r="D4" s="41">
        <v>-4.3527831290162018</v>
      </c>
      <c r="E4" s="41">
        <v>-4.268872436675049</v>
      </c>
      <c r="F4" s="41">
        <v>-4.2660354796103466</v>
      </c>
      <c r="G4" s="41">
        <v>-4.1514841144947656</v>
      </c>
      <c r="H4" s="41">
        <v>-4.1754635220910057</v>
      </c>
      <c r="I4" s="41">
        <v>-4.1648228463688159</v>
      </c>
      <c r="J4" s="41">
        <v>-3.4505538066664205</v>
      </c>
      <c r="K4" s="41">
        <v>-7.765692497497275</v>
      </c>
      <c r="L4" s="41">
        <v>1.4917544606421591</v>
      </c>
      <c r="M4" s="41">
        <v>1.4466081902086183</v>
      </c>
      <c r="N4" s="41">
        <v>1.3775868142613072</v>
      </c>
      <c r="O4" s="41">
        <v>1.8489638564621245</v>
      </c>
      <c r="T4" s="41"/>
      <c r="U4" s="41"/>
    </row>
    <row r="5" spans="1:43">
      <c r="A5" s="182" t="s">
        <v>1036</v>
      </c>
      <c r="B5" s="41"/>
      <c r="C5" s="41"/>
      <c r="D5" s="41">
        <v>0.21484602295540664</v>
      </c>
      <c r="E5" s="41">
        <v>0.23877895131295085</v>
      </c>
      <c r="F5" s="41">
        <v>0.23940897291940513</v>
      </c>
      <c r="G5" s="41">
        <v>0.26978389941051029</v>
      </c>
      <c r="H5" s="41">
        <v>0.26921131959482913</v>
      </c>
      <c r="I5" s="41">
        <v>0.27150894737382475</v>
      </c>
      <c r="J5" s="41">
        <v>0.45647261162460173</v>
      </c>
      <c r="K5" s="41"/>
      <c r="L5" s="41"/>
      <c r="M5" s="41"/>
      <c r="N5" s="41"/>
      <c r="O5" s="41"/>
      <c r="T5" s="41"/>
      <c r="U5" s="41"/>
    </row>
    <row r="6" spans="1:43">
      <c r="A6" s="182" t="s">
        <v>1040</v>
      </c>
      <c r="B6" s="41"/>
      <c r="C6" s="41"/>
      <c r="D6" s="41">
        <v>-1.7235664122826735</v>
      </c>
      <c r="E6" s="41">
        <v>-1.6937808773185132</v>
      </c>
      <c r="F6" s="41">
        <v>-1.6929851355139551</v>
      </c>
      <c r="G6" s="41">
        <v>-1.655032812344861</v>
      </c>
      <c r="H6" s="41">
        <v>-1.6561530979190164</v>
      </c>
      <c r="I6" s="41">
        <v>-1.653245638952916</v>
      </c>
      <c r="J6" s="41">
        <v>-1.4218301922193222</v>
      </c>
      <c r="K6" s="41">
        <v>-2.8615977002208002</v>
      </c>
      <c r="L6" s="41">
        <v>1.6383652863955176</v>
      </c>
      <c r="M6" s="41">
        <v>1.6404099919989608</v>
      </c>
      <c r="N6" s="41">
        <v>1.7916118536382335</v>
      </c>
      <c r="O6" s="41">
        <v>1.5734637284550401</v>
      </c>
      <c r="T6" s="41"/>
      <c r="U6" s="41"/>
    </row>
    <row r="7" spans="1:43">
      <c r="A7" s="182" t="s">
        <v>956</v>
      </c>
      <c r="B7" s="41"/>
      <c r="C7" s="41"/>
      <c r="D7" s="41">
        <v>-3.8217537325068873</v>
      </c>
      <c r="E7" s="41">
        <v>-3.6659804497362249</v>
      </c>
      <c r="F7" s="41">
        <v>-3.6618453172323289</v>
      </c>
      <c r="G7" s="41">
        <v>-3.463700483372155</v>
      </c>
      <c r="H7" s="41">
        <v>-3.4686336419399986</v>
      </c>
      <c r="I7" s="41">
        <v>-3.4535370407180377</v>
      </c>
      <c r="J7" s="41">
        <v>-2.2460447932172141</v>
      </c>
      <c r="K7" s="41"/>
      <c r="L7" s="41"/>
      <c r="M7" s="41"/>
      <c r="N7" s="41"/>
      <c r="O7" s="41"/>
      <c r="T7" s="41"/>
      <c r="U7" s="41"/>
    </row>
    <row r="8" spans="1:43">
      <c r="A8" s="182" t="s">
        <v>1037</v>
      </c>
      <c r="B8" s="177"/>
      <c r="C8" s="177"/>
      <c r="D8" s="41">
        <v>0.41523697205981608</v>
      </c>
      <c r="E8" s="41">
        <v>0.41203819866654184</v>
      </c>
      <c r="F8" s="41">
        <v>0.41193005055665044</v>
      </c>
      <c r="G8" s="41">
        <v>0.40756321900430031</v>
      </c>
      <c r="H8" s="41">
        <v>0.40847734197081542</v>
      </c>
      <c r="I8" s="41">
        <v>0.40807170701015943</v>
      </c>
      <c r="J8" s="41">
        <v>0.38084293870790181</v>
      </c>
      <c r="K8" s="41">
        <v>-1.4101968009418711</v>
      </c>
      <c r="L8" s="41">
        <v>-5.3880476077253094</v>
      </c>
      <c r="M8" s="41">
        <v>-5.4239565301534229</v>
      </c>
      <c r="N8" s="41">
        <v>-5.5606749548738579</v>
      </c>
      <c r="O8" s="41">
        <v>-4.571574176598733</v>
      </c>
      <c r="T8" s="41"/>
      <c r="U8" s="41"/>
    </row>
    <row r="9" spans="1:43">
      <c r="A9" s="18" t="s">
        <v>1039</v>
      </c>
      <c r="B9" s="177"/>
      <c r="C9" s="177"/>
      <c r="D9" s="41">
        <v>-0.19250612641160395</v>
      </c>
      <c r="E9" s="41">
        <v>-0.16995520783690585</v>
      </c>
      <c r="F9" s="41">
        <v>-0.16938040479005675</v>
      </c>
      <c r="G9" s="41">
        <v>-0.14100107056226041</v>
      </c>
      <c r="H9" s="41">
        <v>-0.14088155898249372</v>
      </c>
      <c r="I9" s="41">
        <v>-0.13879414325173101</v>
      </c>
      <c r="J9" s="41">
        <v>3.3515994113312582E-2</v>
      </c>
      <c r="K9" s="41">
        <v>-3.1505466920380525</v>
      </c>
      <c r="L9" s="41">
        <v>2.1739984891353115</v>
      </c>
      <c r="M9" s="41">
        <v>2.1895894686760471</v>
      </c>
      <c r="N9" s="41">
        <v>2.3094681136833568</v>
      </c>
      <c r="O9" s="41">
        <v>2.1257925836815743</v>
      </c>
      <c r="U9" s="41"/>
      <c r="V9" s="41"/>
      <c r="W9" s="13"/>
    </row>
    <row r="10" spans="1:43">
      <c r="A10" s="18" t="s">
        <v>1041</v>
      </c>
      <c r="B10" s="177"/>
      <c r="C10" s="177"/>
      <c r="D10" s="41"/>
      <c r="E10" s="41">
        <v>1.5225256618689292E-2</v>
      </c>
      <c r="F10" s="41">
        <v>1.5683056068239113E-2</v>
      </c>
      <c r="G10" s="41">
        <v>3.9337989648309125E-2</v>
      </c>
      <c r="H10" s="41">
        <v>4.0446475289323436E-2</v>
      </c>
      <c r="I10" s="41">
        <v>4.2095041467979093E-2</v>
      </c>
      <c r="J10" s="41">
        <v>0.18494683837225215</v>
      </c>
      <c r="K10" s="41">
        <v>-1.9114326806801625</v>
      </c>
      <c r="L10" s="41"/>
      <c r="M10" s="41"/>
      <c r="N10" s="41"/>
      <c r="O10" s="41"/>
      <c r="W10" s="13"/>
    </row>
    <row r="11" spans="1:43">
      <c r="A11" s="18" t="s">
        <v>1048</v>
      </c>
      <c r="B11" s="177"/>
      <c r="C11" s="177"/>
      <c r="D11" s="41"/>
      <c r="E11" s="41"/>
      <c r="F11" s="41">
        <v>-3.6970021706624854</v>
      </c>
      <c r="G11" s="41">
        <v>-3.5247323459296043</v>
      </c>
      <c r="H11" s="41">
        <v>-3.52424900518472</v>
      </c>
      <c r="I11" s="41">
        <v>-3.5115559334288173</v>
      </c>
      <c r="J11" s="41">
        <v>-2.4654036918108724</v>
      </c>
      <c r="K11" s="41"/>
      <c r="L11" s="41"/>
      <c r="M11" s="41"/>
      <c r="N11" s="41"/>
      <c r="O11" s="41"/>
      <c r="R11" s="183" t="s">
        <v>1034</v>
      </c>
      <c r="S11" s="221" t="s">
        <v>170</v>
      </c>
      <c r="T11" t="s">
        <v>997</v>
      </c>
      <c r="U11" t="s">
        <v>982</v>
      </c>
      <c r="V11" t="s">
        <v>1032</v>
      </c>
      <c r="W11" s="13"/>
    </row>
    <row r="12" spans="1:43" ht="15.75" thickBot="1">
      <c r="A12" s="18" t="s">
        <v>1047</v>
      </c>
      <c r="B12" s="177"/>
      <c r="C12" s="177"/>
      <c r="D12" s="41"/>
      <c r="E12" s="177"/>
      <c r="F12" s="42">
        <v>0.36628003376652152</v>
      </c>
      <c r="G12" s="41">
        <v>0.36739111456304085</v>
      </c>
      <c r="H12" s="41">
        <v>0.36715852842785812</v>
      </c>
      <c r="I12" s="41">
        <v>0.36726173671738865</v>
      </c>
      <c r="J12" s="41">
        <v>0.37418972585798765</v>
      </c>
      <c r="K12" s="41">
        <v>-7.764495179346538E-2</v>
      </c>
      <c r="L12" s="41">
        <v>3.2064723645714013</v>
      </c>
      <c r="M12" s="41">
        <v>3.1917745752553359</v>
      </c>
      <c r="N12" s="41">
        <v>3.2630373764891614</v>
      </c>
      <c r="O12" s="41">
        <v>3.4034168967547815</v>
      </c>
      <c r="Q12" t="s">
        <v>255</v>
      </c>
      <c r="R12" s="13">
        <v>0</v>
      </c>
      <c r="S12" s="13">
        <f>AVERAGE(F36:F41)</f>
        <v>8.1058583228224546</v>
      </c>
      <c r="T12" s="13">
        <f>AVERAGE(W36:W41)</f>
        <v>0.8079031611999028</v>
      </c>
      <c r="U12" s="13">
        <f>1/T12</f>
        <v>1.2377721093636938</v>
      </c>
      <c r="V12" s="13">
        <f t="shared" ref="V12:V22" si="0">R$13-R12</f>
        <v>0</v>
      </c>
      <c r="W12" s="13"/>
    </row>
    <row r="13" spans="1:43">
      <c r="A13" s="18" t="s">
        <v>1049</v>
      </c>
      <c r="B13" s="177"/>
      <c r="C13" s="177"/>
      <c r="D13" s="41"/>
      <c r="E13" s="177"/>
      <c r="F13" s="31"/>
      <c r="G13" s="41">
        <v>1.0423218814632164E-2</v>
      </c>
      <c r="H13" s="41">
        <v>1.1220463175268949E-2</v>
      </c>
      <c r="I13" s="41">
        <v>1.2816116283513626E-2</v>
      </c>
      <c r="J13" s="41">
        <v>0.14924329277284595</v>
      </c>
      <c r="K13" s="41">
        <v>-3.0278104374308663</v>
      </c>
      <c r="L13" s="41">
        <v>-2.5094382078314013</v>
      </c>
      <c r="M13" s="41">
        <v>-2.543506229616435</v>
      </c>
      <c r="N13" s="41">
        <v>-2.6053860774378297</v>
      </c>
      <c r="O13" s="41">
        <v>-1.9127569725491786</v>
      </c>
      <c r="Q13" s="13" t="s">
        <v>246</v>
      </c>
      <c r="R13" s="13">
        <f>AVERAGE(C42:C47)</f>
        <v>0</v>
      </c>
      <c r="S13" s="13">
        <f>AVERAGE(F42:F47)</f>
        <v>0.8950047606704773</v>
      </c>
      <c r="T13" s="13">
        <f>AVERAGE(W42:W47)</f>
        <v>2.2887512519313833</v>
      </c>
      <c r="U13" s="13">
        <f t="shared" ref="U13:U22" si="1">1/T13</f>
        <v>0.43691947701006872</v>
      </c>
      <c r="V13" s="13">
        <f t="shared" si="0"/>
        <v>0</v>
      </c>
      <c r="W13" s="13"/>
    </row>
    <row r="14" spans="1:43" ht="15.75" thickBot="1">
      <c r="A14" s="19" t="s">
        <v>959</v>
      </c>
      <c r="B14" s="177"/>
      <c r="C14" s="177"/>
      <c r="D14" s="41"/>
      <c r="E14" s="177"/>
      <c r="F14" s="31"/>
      <c r="G14" s="42">
        <v>1.2550345752656897</v>
      </c>
      <c r="H14" s="41">
        <v>1.2578856084563468</v>
      </c>
      <c r="I14" s="41">
        <v>1.2635320791623126</v>
      </c>
      <c r="J14" s="41">
        <v>1.7465004570231204</v>
      </c>
      <c r="K14" s="41">
        <v>-5.2591724973044096</v>
      </c>
      <c r="L14" s="41">
        <v>-9.8120887077380203</v>
      </c>
      <c r="M14" s="41">
        <v>-9.828735092376979</v>
      </c>
      <c r="N14" s="41">
        <v>-10.009655208906146</v>
      </c>
      <c r="O14" s="41">
        <v>-9.0095964656767418</v>
      </c>
      <c r="Q14" s="13" t="s">
        <v>539</v>
      </c>
      <c r="R14" s="13">
        <f>AVERAGE(C48:C53)</f>
        <v>0</v>
      </c>
      <c r="S14" s="13">
        <f>AVERAGE(F48:F53)</f>
        <v>5.3708025530886117</v>
      </c>
      <c r="T14" s="13">
        <f>AVERAGE(W48:W53)</f>
        <v>0.9122911030051889</v>
      </c>
      <c r="U14" s="13">
        <f t="shared" si="1"/>
        <v>1.0961413486395826</v>
      </c>
      <c r="V14" s="13">
        <f t="shared" si="0"/>
        <v>0</v>
      </c>
      <c r="W14" s="13"/>
    </row>
    <row r="15" spans="1:43">
      <c r="A15" s="18" t="s">
        <v>1050</v>
      </c>
      <c r="B15" s="177"/>
      <c r="C15" s="177"/>
      <c r="D15" s="41"/>
      <c r="E15" s="177"/>
      <c r="F15" s="31"/>
      <c r="G15" s="31"/>
      <c r="H15" s="41">
        <v>-6.9279501366894605E-2</v>
      </c>
      <c r="I15" s="41">
        <v>-6.9046236238633527E-2</v>
      </c>
      <c r="J15" s="41">
        <v>-2.5657517546288085E-2</v>
      </c>
      <c r="K15" s="41">
        <v>-1.7795049967499705</v>
      </c>
      <c r="L15" s="41">
        <v>-1.1014629525763577</v>
      </c>
      <c r="M15" s="41">
        <v>-1.0898356711665689</v>
      </c>
      <c r="N15" s="41">
        <v>-1.0487523136669801</v>
      </c>
      <c r="O15" s="41">
        <v>-1.0753458227296566</v>
      </c>
      <c r="Q15" s="13" t="s">
        <v>949</v>
      </c>
      <c r="R15" s="13">
        <f>AVERAGE(C54:C59)</f>
        <v>0</v>
      </c>
      <c r="S15" s="13">
        <f>AVERAGE(F54:F59)</f>
        <v>5.4109972463934506</v>
      </c>
      <c r="T15" s="13">
        <f>AVERAGE(W54:W59)</f>
        <v>1.0117846776717005</v>
      </c>
      <c r="U15" s="13">
        <f t="shared" si="1"/>
        <v>0.98835258337888732</v>
      </c>
      <c r="V15" s="13">
        <f t="shared" si="0"/>
        <v>0</v>
      </c>
      <c r="W15" s="13"/>
    </row>
    <row r="16" spans="1:43">
      <c r="A16" s="13" t="s">
        <v>1051</v>
      </c>
      <c r="B16" s="177"/>
      <c r="C16" s="177"/>
      <c r="D16" s="41"/>
      <c r="E16" s="177"/>
      <c r="F16" s="31"/>
      <c r="G16" s="31"/>
      <c r="H16" s="41">
        <v>1.8980577457945087</v>
      </c>
      <c r="I16" s="41">
        <v>1.9074315719332766</v>
      </c>
      <c r="J16" s="41">
        <v>2.5736357004568466</v>
      </c>
      <c r="K16" s="41">
        <v>-0.90556433234489386</v>
      </c>
      <c r="L16" s="41">
        <v>1.0954493002474439</v>
      </c>
      <c r="M16" s="41">
        <v>1.110146909041047</v>
      </c>
      <c r="N16" s="41">
        <v>1.1969582418055744</v>
      </c>
      <c r="O16" s="41">
        <v>1.1297847960828924</v>
      </c>
      <c r="Q16" s="13" t="s">
        <v>298</v>
      </c>
      <c r="R16" s="13">
        <f>AVERAGE(C60:C65)</f>
        <v>2017.4626731005192</v>
      </c>
      <c r="S16" s="13">
        <f>AVERAGE(F60:F65)</f>
        <v>5.4131827330113973</v>
      </c>
      <c r="T16" s="13">
        <f>AVERAGE(W60:W65)</f>
        <v>1.2498660421978693</v>
      </c>
      <c r="U16" s="13">
        <f t="shared" si="1"/>
        <v>0.80008574218203099</v>
      </c>
      <c r="V16" s="13">
        <f t="shared" si="0"/>
        <v>-2017.4626731005192</v>
      </c>
      <c r="W16" s="13"/>
    </row>
    <row r="17" spans="1:23">
      <c r="A17" s="13" t="s">
        <v>1052</v>
      </c>
      <c r="B17" s="177"/>
      <c r="C17" s="177"/>
      <c r="D17" s="41"/>
      <c r="E17" s="177"/>
      <c r="F17" s="31"/>
      <c r="G17" s="31"/>
      <c r="H17" s="31"/>
      <c r="I17" s="41">
        <v>0.22590364368386714</v>
      </c>
      <c r="J17" s="41">
        <v>0.21407315543691155</v>
      </c>
      <c r="K17" s="41">
        <v>-1.8192784130185093</v>
      </c>
      <c r="L17" s="41">
        <v>2.5528387176238319</v>
      </c>
      <c r="M17" s="41">
        <v>2.6026214866948933</v>
      </c>
      <c r="N17" s="41">
        <v>2.8266484830333023</v>
      </c>
      <c r="O17" s="41">
        <v>2.1105985662453648</v>
      </c>
      <c r="Q17" s="13" t="s">
        <v>238</v>
      </c>
      <c r="R17" s="13">
        <f>AVERAGE(C66:C71)</f>
        <v>2017.6361639431541</v>
      </c>
      <c r="S17" s="13">
        <f>AVERAGE(F66:F71)</f>
        <v>4.983834775590597</v>
      </c>
      <c r="T17" s="13">
        <f>AVERAGE(W66:W71)</f>
        <v>0.93590455680875406</v>
      </c>
      <c r="U17" s="13">
        <f t="shared" si="1"/>
        <v>1.0684850209617511</v>
      </c>
      <c r="V17" s="13">
        <f t="shared" si="0"/>
        <v>-2017.6361639431541</v>
      </c>
      <c r="W17" s="13"/>
    </row>
    <row r="18" spans="1:23" ht="15.75" thickBot="1">
      <c r="A18" s="13" t="s">
        <v>1053</v>
      </c>
      <c r="B18" s="177"/>
      <c r="C18" s="177"/>
      <c r="D18" s="41"/>
      <c r="E18" s="177"/>
      <c r="F18" s="31"/>
      <c r="G18" s="31"/>
      <c r="H18" s="31"/>
      <c r="I18" s="42">
        <v>-1.8725702488281213</v>
      </c>
      <c r="J18" s="41">
        <v>-0.79752796109389379</v>
      </c>
      <c r="K18" s="31"/>
      <c r="L18" s="41">
        <v>3.990474534349385</v>
      </c>
      <c r="M18" s="41">
        <v>3.9930409766716166</v>
      </c>
      <c r="N18" s="41">
        <v>4.1728637578032401</v>
      </c>
      <c r="O18" s="41">
        <v>3.9159662305523457</v>
      </c>
      <c r="Q18" s="13" t="s">
        <v>239</v>
      </c>
      <c r="R18" s="13">
        <f>AVERAGE(C74:C77)</f>
        <v>2016.9353395777366</v>
      </c>
      <c r="S18" s="13">
        <f>AVERAGE(G72:G77)</f>
        <v>5.8437792966688749</v>
      </c>
      <c r="T18" s="13">
        <f>AVERAGE(W72:W77)</f>
        <v>1.1802789577496979</v>
      </c>
      <c r="U18" s="13">
        <f t="shared" si="1"/>
        <v>0.84725733135714365</v>
      </c>
      <c r="V18" s="13">
        <f t="shared" si="0"/>
        <v>-2016.9353395777366</v>
      </c>
      <c r="W18" s="13"/>
    </row>
    <row r="19" spans="1:23" ht="15.75" thickBot="1">
      <c r="A19" s="13" t="s">
        <v>1054</v>
      </c>
      <c r="B19" s="31"/>
      <c r="C19" s="177"/>
      <c r="D19" s="177"/>
      <c r="E19" s="177"/>
      <c r="F19" s="41"/>
      <c r="G19" s="177"/>
      <c r="H19" s="31"/>
      <c r="I19" s="31"/>
      <c r="J19" s="42">
        <v>-3.3890812075153549E-2</v>
      </c>
      <c r="K19" s="31"/>
      <c r="L19" s="31"/>
      <c r="M19" s="41">
        <v>-4.7204990857171314</v>
      </c>
      <c r="N19" s="41">
        <v>-4.7238041550420347</v>
      </c>
      <c r="O19" s="41">
        <v>-4.3447859109569897</v>
      </c>
      <c r="Q19" s="13" t="s">
        <v>541</v>
      </c>
      <c r="R19" s="20">
        <f>AVERAGE(C78:C81)</f>
        <v>0</v>
      </c>
      <c r="S19" s="20"/>
      <c r="T19" s="13">
        <f>AVERAGE(W78:W83)</f>
        <v>1.4573169237957992</v>
      </c>
      <c r="U19" s="13">
        <f t="shared" si="1"/>
        <v>0.68619253895395027</v>
      </c>
      <c r="V19" s="13">
        <f t="shared" si="0"/>
        <v>0</v>
      </c>
      <c r="W19" s="13"/>
    </row>
    <row r="20" spans="1:23">
      <c r="A20" s="13" t="s">
        <v>963</v>
      </c>
      <c r="B20" s="31"/>
      <c r="C20" s="177"/>
      <c r="D20" s="177"/>
      <c r="E20" s="177"/>
      <c r="F20" s="41"/>
      <c r="G20" s="177"/>
      <c r="H20" s="31"/>
      <c r="I20" s="31"/>
      <c r="J20" s="31"/>
      <c r="K20" s="31"/>
      <c r="L20" s="31"/>
      <c r="M20" s="31"/>
      <c r="N20" s="41">
        <v>1.2899745339203055</v>
      </c>
      <c r="O20" s="41">
        <v>0.46644917886805176</v>
      </c>
      <c r="Q20" s="13" t="s">
        <v>542</v>
      </c>
      <c r="R20" s="13">
        <f>AVERAGE(C85:C89)</f>
        <v>2016.9178827401902</v>
      </c>
      <c r="S20" s="13"/>
      <c r="T20" s="13">
        <f>AVERAGE(W84:W89)</f>
        <v>1.0021931138110065</v>
      </c>
      <c r="U20" s="13">
        <f t="shared" si="1"/>
        <v>0.99781168541193943</v>
      </c>
      <c r="V20" s="13">
        <f t="shared" si="0"/>
        <v>-2016.9178827401902</v>
      </c>
      <c r="W20" s="13"/>
    </row>
    <row r="21" spans="1:23">
      <c r="B21" s="31"/>
      <c r="C21" s="177"/>
      <c r="D21" s="177"/>
      <c r="E21" s="177"/>
      <c r="F21" s="41"/>
      <c r="G21" s="177"/>
      <c r="H21" s="31"/>
      <c r="I21" s="31"/>
      <c r="J21" s="31"/>
      <c r="K21" s="31"/>
      <c r="L21" s="31"/>
      <c r="M21" s="31"/>
      <c r="N21" s="31"/>
      <c r="O21" s="41">
        <v>-1.4635421758525282</v>
      </c>
      <c r="Q21" s="13" t="s">
        <v>240</v>
      </c>
      <c r="R21" s="13">
        <f>AVERAGE(C90:C95)</f>
        <v>2016.9975592800977</v>
      </c>
      <c r="S21" s="13"/>
      <c r="T21" s="13">
        <f>AVERAGE(W90:W95)</f>
        <v>0.99056577771744314</v>
      </c>
      <c r="U21" s="13">
        <f t="shared" si="1"/>
        <v>1.0095240745186009</v>
      </c>
      <c r="V21" s="13">
        <f t="shared" si="0"/>
        <v>-2016.9975592800977</v>
      </c>
      <c r="W21" s="13"/>
    </row>
    <row r="22" spans="1:23">
      <c r="F22" s="41"/>
      <c r="Q22" s="13" t="s">
        <v>241</v>
      </c>
      <c r="R22" s="13">
        <f>AVERAGE(C96:C101)</f>
        <v>2016.9766059491033</v>
      </c>
      <c r="S22" s="13"/>
      <c r="T22" s="13">
        <f>AVERAGE(W96:W101)</f>
        <v>0.99425021735618468</v>
      </c>
      <c r="U22" s="13">
        <f t="shared" si="1"/>
        <v>1.0057830338313676</v>
      </c>
      <c r="V22" s="13">
        <f t="shared" si="0"/>
        <v>-2016.9766059491033</v>
      </c>
      <c r="W22" s="13"/>
    </row>
    <row r="23" spans="1:23">
      <c r="F23" s="41"/>
    </row>
    <row r="24" spans="1:23">
      <c r="F24" s="41"/>
    </row>
    <row r="25" spans="1:23">
      <c r="F25" s="41"/>
    </row>
    <row r="26" spans="1:23">
      <c r="F26" s="41"/>
    </row>
    <row r="27" spans="1:23">
      <c r="F27" s="41"/>
    </row>
    <row r="28" spans="1:23">
      <c r="F28" s="41"/>
    </row>
    <row r="29" spans="1:23">
      <c r="F29" s="41"/>
    </row>
    <row r="30" spans="1:23">
      <c r="F30" s="41"/>
    </row>
    <row r="31" spans="1:23">
      <c r="F31" s="41"/>
    </row>
    <row r="32" spans="1:23">
      <c r="F32" s="41"/>
    </row>
    <row r="33" spans="1:49">
      <c r="F33" s="41"/>
    </row>
    <row r="34" spans="1:49">
      <c r="D34" s="13" t="s">
        <v>949</v>
      </c>
      <c r="E34" s="13" t="s">
        <v>298</v>
      </c>
      <c r="F34" s="13" t="s">
        <v>238</v>
      </c>
      <c r="G34" s="13" t="s">
        <v>239</v>
      </c>
      <c r="H34" s="13" t="s">
        <v>541</v>
      </c>
      <c r="I34" s="13" t="s">
        <v>542</v>
      </c>
      <c r="J34" s="13" t="s">
        <v>240</v>
      </c>
      <c r="K34" s="13" t="s">
        <v>241</v>
      </c>
      <c r="L34" s="13" t="s">
        <v>242</v>
      </c>
      <c r="M34" s="13" t="s">
        <v>544</v>
      </c>
      <c r="N34" s="13" t="s">
        <v>538</v>
      </c>
      <c r="O34" s="13" t="s">
        <v>243</v>
      </c>
      <c r="P34" s="13" t="s">
        <v>244</v>
      </c>
      <c r="Q34" s="13" t="s">
        <v>245</v>
      </c>
      <c r="R34" s="13" t="s">
        <v>331</v>
      </c>
      <c r="S34" s="13" t="s">
        <v>246</v>
      </c>
      <c r="T34" s="13" t="s">
        <v>545</v>
      </c>
    </row>
    <row r="35" spans="1:49" s="18" customFormat="1">
      <c r="C35" s="183" t="s">
        <v>1033</v>
      </c>
      <c r="D35" s="13" t="s">
        <v>949</v>
      </c>
      <c r="E35" s="13" t="s">
        <v>298</v>
      </c>
      <c r="F35" s="13" t="s">
        <v>238</v>
      </c>
      <c r="G35" s="13" t="s">
        <v>239</v>
      </c>
      <c r="H35" s="13" t="s">
        <v>541</v>
      </c>
      <c r="I35" s="13" t="s">
        <v>542</v>
      </c>
      <c r="J35" s="13" t="s">
        <v>240</v>
      </c>
      <c r="K35" s="13" t="s">
        <v>241</v>
      </c>
      <c r="L35" s="13" t="s">
        <v>242</v>
      </c>
      <c r="M35" s="13" t="s">
        <v>544</v>
      </c>
      <c r="N35" s="13" t="s">
        <v>538</v>
      </c>
      <c r="O35" s="13" t="s">
        <v>243</v>
      </c>
      <c r="P35" s="13" t="s">
        <v>244</v>
      </c>
      <c r="Q35" s="13" t="s">
        <v>245</v>
      </c>
      <c r="R35" s="13" t="s">
        <v>331</v>
      </c>
      <c r="S35" s="13" t="s">
        <v>246</v>
      </c>
      <c r="T35" s="13" t="s">
        <v>545</v>
      </c>
      <c r="U35" s="182"/>
      <c r="V35" s="182"/>
      <c r="W35" s="182" t="s">
        <v>1035</v>
      </c>
      <c r="X35" s="182" t="s">
        <v>1036</v>
      </c>
      <c r="Y35" s="182" t="s">
        <v>1040</v>
      </c>
      <c r="Z35" s="182" t="s">
        <v>956</v>
      </c>
      <c r="AA35" s="182" t="s">
        <v>1037</v>
      </c>
      <c r="AB35" s="18" t="s">
        <v>1039</v>
      </c>
      <c r="AC35" s="18" t="s">
        <v>1041</v>
      </c>
      <c r="AD35" s="18" t="s">
        <v>1048</v>
      </c>
      <c r="AE35" s="18" t="s">
        <v>1047</v>
      </c>
      <c r="AF35" s="18" t="s">
        <v>1049</v>
      </c>
      <c r="AG35" s="19" t="s">
        <v>959</v>
      </c>
      <c r="AH35" s="18" t="s">
        <v>1050</v>
      </c>
      <c r="AI35" s="18" t="s">
        <v>1051</v>
      </c>
      <c r="AJ35" s="18" t="s">
        <v>1052</v>
      </c>
      <c r="AK35" s="18" t="s">
        <v>1053</v>
      </c>
      <c r="AL35" s="18" t="s">
        <v>1054</v>
      </c>
      <c r="AM35" s="18" t="s">
        <v>963</v>
      </c>
      <c r="AN35" s="18" t="s">
        <v>965</v>
      </c>
      <c r="AO35" s="18" t="s">
        <v>966</v>
      </c>
      <c r="AP35" s="19" t="s">
        <v>967</v>
      </c>
      <c r="AQ35" s="18" t="s">
        <v>969</v>
      </c>
      <c r="AR35" s="13" t="s">
        <v>972</v>
      </c>
      <c r="AS35" s="13" t="s">
        <v>973</v>
      </c>
      <c r="AT35" s="13" t="s">
        <v>974</v>
      </c>
      <c r="AU35" s="13" t="s">
        <v>975</v>
      </c>
      <c r="AV35" s="13" t="s">
        <v>976</v>
      </c>
      <c r="AW35" s="13" t="s">
        <v>977</v>
      </c>
    </row>
    <row r="36" spans="1:49">
      <c r="A36" s="135" t="s">
        <v>833</v>
      </c>
      <c r="B36">
        <v>2012</v>
      </c>
      <c r="D36" s="13">
        <f>D$3+D$4*W36+D$5*X36+D$6*Y36+D$7*Z36+D$8*AA36+D$9*AB36</f>
        <v>7.877620478257862</v>
      </c>
      <c r="E36" s="13">
        <f>E$3+E$4*W36+E$5*X36+E$6*Y36+E$7*Z36+E$8*AA36+E$9*AB36+E$10*AC36</f>
        <v>7.7994840988271097</v>
      </c>
      <c r="F36" s="13">
        <f>F$3+F$4*W36+F$5*X36+F$6*Y36+F$7*Z36+F$8*AA36+F$9*AB36+F$10*AC36+F$11*AD36+F$12*AE36</f>
        <v>7.797436413507099</v>
      </c>
      <c r="G36" s="13">
        <f>G$3+G$4*W36+G$5*X36+G$6*Y36+G$7*Z36+G$8*AA36+G$9*AB36+G$10*AC36+G$11*AD36+G$12*AE36+G$13*AF36+G$14*AG36</f>
        <v>7.6983863138252211</v>
      </c>
      <c r="H36" s="13">
        <f>H$3+H$4*W36+H$5*X36+H$6*Y36+H$7*Z36+H$8*AA36+H$9*AB36+H$10*AC36+H$11*AD36+H$12*AE36+H$13*AF36+H$14*AG36+H$15*AH36+H$16*AI36</f>
        <v>7.6999333565613171</v>
      </c>
      <c r="I36" s="13">
        <f>I$3+I$4*W36+I$5*X36+I$6*Y36+I$7*Z36+I$8*AA36+I$9*AB36+I$10*AC36+I$11*AD36+I$12*AE36+I$13*AF36+I$14*AG36+I$15*AH36+I$16*AI36+I$17*AJ36+I$18*AK36</f>
        <v>7.6924699677282948</v>
      </c>
      <c r="J36" s="13">
        <f>J$3+J$4*W36+J$5*X36+J$6*Y36+J$7*Z36+J$8*AA36+J$9*AB36+J$10*AC36+J$11*AD36+J$12*AE36+J$13*AF36+J$14*AG36+J$15*AH36+J$16*AI36+J$17*AJ36+J$18*AK36+J$19*AL36</f>
        <v>7.0895642525122637</v>
      </c>
      <c r="K36" s="13">
        <f t="shared" ref="K36:K67" si="2">K$3+K$4*W36+K$6*X36+K$8*AA36+K$9*AB36+K$10*AC36+K$12*AE36+K$13*AF36+K$14*AG36+K$15*AH36+K$16*AI36+K$17*AN36</f>
        <v>-2.5532369229895417</v>
      </c>
      <c r="L36" s="13">
        <f t="shared" ref="L36:L67" si="3">L$3+L$4*W36+L$6*X36+L$8*AA36+L$9*AB36+L$10*AC36+L$12*AE36+L$13*AF36+L$14*AG36+L$15*AH36+L$16*AI36+L$17*AN36+L$18*AO36</f>
        <v>30.163650905070398</v>
      </c>
      <c r="M36" s="13">
        <f t="shared" ref="M36:M67" si="4">M$3+M$4*W36+M$6*X36+M$8*AA36+M$9*AB36+M$10*AC36+M$12*AE36+M$13*AF36+M$14*AG36+M$15*AH36+M$16*AI36+M$17*AN36+M$18*AO36+M$19*AP36</f>
        <v>30.289532945945517</v>
      </c>
      <c r="N36" s="13">
        <f t="shared" ref="N36:N67" si="5">N$3+N$4*W36+N$6*X36+N$8*AA36+N$9*AB36+N$10*AC36+N$12*AE36+N$13*AF36+N$14*AG36+N$15*AH36+N$16*AI36+N$17*AN36+N$18*AO36+N$19*AP36+N$20*AQ36</f>
        <v>31.381272322745765</v>
      </c>
      <c r="O36" s="13">
        <f t="shared" ref="O36:O67" si="6">O$3+O$4*W36+O$6*X36+O$8*AA36+O$9*AB36+O$10*AC36+O$12*AE36+O$13*AF36+O$14*AG36+O$15*AH36+O$16*AI36+O$17*AN36+O$18*AO36+O$19*AP36+O$20*AQ36+O$21*AR36</f>
        <v>27.634289574376623</v>
      </c>
      <c r="P36" s="13"/>
      <c r="Q36" s="13"/>
      <c r="R36" s="13"/>
      <c r="S36" s="13"/>
      <c r="T36" s="13"/>
      <c r="U36" s="13"/>
      <c r="W36" s="13">
        <f>Australia!R141</f>
        <v>0.83911381604131352</v>
      </c>
      <c r="X36">
        <f>'Australia EV uptake'!AK7</f>
        <v>3</v>
      </c>
      <c r="Y36">
        <v>0</v>
      </c>
      <c r="Z36">
        <v>0</v>
      </c>
      <c r="AA36">
        <v>0</v>
      </c>
      <c r="AB36">
        <v>0</v>
      </c>
      <c r="AC36">
        <v>0</v>
      </c>
      <c r="AD36">
        <v>0</v>
      </c>
      <c r="AE36">
        <v>0</v>
      </c>
      <c r="AF36">
        <v>0</v>
      </c>
      <c r="AG36">
        <v>0</v>
      </c>
      <c r="AH36">
        <v>0</v>
      </c>
      <c r="AI36">
        <v>0</v>
      </c>
      <c r="AJ36">
        <v>0</v>
      </c>
      <c r="AK36">
        <v>0</v>
      </c>
      <c r="AL36">
        <v>0</v>
      </c>
      <c r="AM36">
        <v>0</v>
      </c>
      <c r="AN36">
        <v>0</v>
      </c>
      <c r="AO36" s="31">
        <v>0</v>
      </c>
      <c r="AP36" s="19">
        <v>0</v>
      </c>
      <c r="AQ36" s="19">
        <v>0</v>
      </c>
      <c r="AR36" s="19">
        <v>0</v>
      </c>
    </row>
    <row r="37" spans="1:49">
      <c r="B37">
        <v>2013</v>
      </c>
      <c r="D37" s="13">
        <f t="shared" ref="D37:D59" si="7">D$3+D$4*W37+D$5*X37+D$6*Y37+D$7*Z37+D$8*AA37+D$9*AB37</f>
        <v>8.1638573444405225</v>
      </c>
      <c r="E37" s="13">
        <f t="shared" ref="E37:E65" si="8">E$3+E$4*W37+E$5*X37+E$6*Y37+E$7*Z37+E$8*AA37+E$9*AB37+E$10*AC37</f>
        <v>8.1082776577717297</v>
      </c>
      <c r="F37" s="13">
        <f t="shared" ref="F37:F71" si="9">F$3+F$4*W37+F$5*X37+F$6*Y37+F$7*Z37+F$8*AA37+F$9*AB37+F$10*AC37+F$11*AD37+F$12*AE37</f>
        <v>8.1068134645732322</v>
      </c>
      <c r="G37" s="13">
        <f t="shared" ref="G37:G77" si="10">G$3+G$4*W37+G$5*X37+G$6*Y37+G$7*Z37+G$8*AA37+G$9*AB37+G$10*AC37+G$11*AD37+G$12*AE37+G$13*AF37+G$14*AG37</f>
        <v>8.0362595121494866</v>
      </c>
      <c r="H37" s="13">
        <f t="shared" ref="H37:H83" si="11">H$3+H$4*W37+H$5*X37+H$6*Y37+H$7*Z37+H$8*AA37+H$9*AB37+H$10*AC37+H$11*AD37+H$12*AE37+H$13*AF37+H$14*AG37+H$15*AH37+H$16*AI37</f>
        <v>8.0376272660007011</v>
      </c>
      <c r="I37" s="13">
        <f t="shared" ref="I37:I89" si="12">I$3+I$4*W37+I$5*X37+I$6*Y37+I$7*Z37+I$8*AA37+I$9*AB37+I$10*AC37+I$11*AD37+I$12*AE37+I$13*AF37+I$14*AG37+I$15*AH37+I$16*AI37+I$17*AJ37+I$18*AK37</f>
        <v>8.0322869851532914</v>
      </c>
      <c r="J37" s="13">
        <f t="shared" ref="J37:J95" si="13">J$3+J$4*W37+J$5*X37+J$6*Y37+J$7*Z37+J$8*AA37+J$9*AB37+J$10*AC37+J$11*AD37+J$12*AE37+J$13*AF37+J$14*AG37+J$15*AH37+J$16*AI37+J$17*AJ37+J$18*AK37+J$19*AL37</f>
        <v>7.6026300686585451</v>
      </c>
      <c r="K37" s="13">
        <f t="shared" si="2"/>
        <v>-5.2874679892183565</v>
      </c>
      <c r="L37" s="13">
        <f t="shared" si="3"/>
        <v>31.777549636235229</v>
      </c>
      <c r="M37" s="13">
        <f t="shared" si="4"/>
        <v>31.906216835481437</v>
      </c>
      <c r="N37" s="13">
        <f t="shared" si="5"/>
        <v>33.150290106940645</v>
      </c>
      <c r="O37" s="13">
        <f t="shared" si="6"/>
        <v>29.1774280867809</v>
      </c>
      <c r="P37" s="13"/>
      <c r="Q37" s="13"/>
      <c r="R37" s="13"/>
      <c r="S37" s="13"/>
      <c r="T37" s="13"/>
      <c r="U37" s="13"/>
      <c r="W37" s="13">
        <f>Australia!R142</f>
        <v>0.82271262142370116</v>
      </c>
      <c r="X37">
        <f>'Australia EV uptake'!AK8</f>
        <v>4</v>
      </c>
      <c r="Y37">
        <v>0</v>
      </c>
      <c r="Z37">
        <v>0</v>
      </c>
      <c r="AA37">
        <v>0</v>
      </c>
      <c r="AB37">
        <v>0</v>
      </c>
      <c r="AC37">
        <v>0</v>
      </c>
      <c r="AD37">
        <v>0</v>
      </c>
      <c r="AE37">
        <v>0</v>
      </c>
      <c r="AF37">
        <v>0</v>
      </c>
      <c r="AG37">
        <v>0</v>
      </c>
      <c r="AH37">
        <v>0</v>
      </c>
      <c r="AI37">
        <v>0</v>
      </c>
      <c r="AJ37">
        <v>0</v>
      </c>
      <c r="AK37">
        <v>0</v>
      </c>
      <c r="AL37">
        <v>0</v>
      </c>
      <c r="AM37">
        <v>0</v>
      </c>
      <c r="AN37">
        <v>0</v>
      </c>
      <c r="AO37" s="31">
        <v>0</v>
      </c>
      <c r="AP37" s="19">
        <v>0</v>
      </c>
      <c r="AQ37" s="19">
        <v>0</v>
      </c>
      <c r="AR37" s="19">
        <v>0</v>
      </c>
    </row>
    <row r="38" spans="1:49">
      <c r="B38">
        <v>2014</v>
      </c>
      <c r="D38" s="13">
        <f t="shared" si="7"/>
        <v>6.9390497253687666</v>
      </c>
      <c r="E38" s="13">
        <f t="shared" si="8"/>
        <v>6.9317153790999733</v>
      </c>
      <c r="F38" s="13">
        <f t="shared" si="9"/>
        <v>6.9314919071646335</v>
      </c>
      <c r="G38" s="13">
        <f t="shared" si="10"/>
        <v>6.9217935260650547</v>
      </c>
      <c r="H38" s="13">
        <f t="shared" si="11"/>
        <v>6.9230324851079317</v>
      </c>
      <c r="I38" s="13">
        <f t="shared" si="12"/>
        <v>6.9222032468430381</v>
      </c>
      <c r="J38" s="13">
        <f t="shared" si="13"/>
        <v>6.8623368345128481</v>
      </c>
      <c r="K38" s="13">
        <f t="shared" si="2"/>
        <v>-7.6425439527554335</v>
      </c>
      <c r="L38" s="13">
        <f t="shared" si="3"/>
        <v>33.318614384352458</v>
      </c>
      <c r="M38" s="13">
        <f t="shared" si="4"/>
        <v>33.452270980523863</v>
      </c>
      <c r="N38" s="13">
        <f t="shared" si="5"/>
        <v>34.852048072362578</v>
      </c>
      <c r="O38" s="13">
        <f t="shared" si="6"/>
        <v>30.630292089719838</v>
      </c>
      <c r="P38" s="13"/>
      <c r="Q38" s="13"/>
      <c r="R38" s="13"/>
      <c r="S38" s="13"/>
      <c r="T38" s="13"/>
      <c r="U38" s="13"/>
      <c r="W38" s="13">
        <f>Australia!R143</f>
        <v>0.75748704922302945</v>
      </c>
      <c r="X38">
        <f>'Australia EV uptake'!AK9</f>
        <v>5</v>
      </c>
      <c r="Y38">
        <v>1</v>
      </c>
      <c r="Z38">
        <v>0</v>
      </c>
      <c r="AA38">
        <v>0</v>
      </c>
      <c r="AB38">
        <v>0</v>
      </c>
      <c r="AC38">
        <v>0</v>
      </c>
      <c r="AD38">
        <v>0</v>
      </c>
      <c r="AE38">
        <v>0</v>
      </c>
      <c r="AF38">
        <v>0</v>
      </c>
      <c r="AG38">
        <v>0</v>
      </c>
      <c r="AH38">
        <v>0</v>
      </c>
      <c r="AI38">
        <v>0</v>
      </c>
      <c r="AJ38">
        <v>0</v>
      </c>
      <c r="AK38">
        <v>0</v>
      </c>
      <c r="AL38">
        <v>0</v>
      </c>
      <c r="AM38">
        <v>0</v>
      </c>
      <c r="AN38">
        <v>0</v>
      </c>
      <c r="AO38" s="31">
        <v>0</v>
      </c>
      <c r="AP38" s="19">
        <v>0</v>
      </c>
      <c r="AQ38" s="19">
        <v>0</v>
      </c>
      <c r="AR38" s="19">
        <v>0</v>
      </c>
    </row>
    <row r="39" spans="1:49">
      <c r="B39">
        <v>2015</v>
      </c>
      <c r="D39" s="13">
        <f t="shared" si="7"/>
        <v>7.7681036357643825</v>
      </c>
      <c r="E39" s="13">
        <f t="shared" si="8"/>
        <v>7.774582078775234</v>
      </c>
      <c r="F39" s="13">
        <f t="shared" si="9"/>
        <v>7.7747521165019196</v>
      </c>
      <c r="G39" s="13">
        <f t="shared" si="10"/>
        <v>7.7829678928486938</v>
      </c>
      <c r="H39" s="13">
        <f t="shared" si="11"/>
        <v>7.7828305266788007</v>
      </c>
      <c r="I39" s="13">
        <f t="shared" si="12"/>
        <v>7.7834504014896924</v>
      </c>
      <c r="J39" s="13">
        <f t="shared" si="13"/>
        <v>7.8334657503293261</v>
      </c>
      <c r="K39" s="13">
        <f t="shared" si="2"/>
        <v>-10.945834642959262</v>
      </c>
      <c r="L39" s="13">
        <f t="shared" si="3"/>
        <v>35.041826899537156</v>
      </c>
      <c r="M39" s="13">
        <f t="shared" si="4"/>
        <v>35.174960395391182</v>
      </c>
      <c r="N39" s="13">
        <f t="shared" si="5"/>
        <v>36.722013587203392</v>
      </c>
      <c r="O39" s="13">
        <f t="shared" si="6"/>
        <v>32.308920215863104</v>
      </c>
      <c r="P39" s="13"/>
      <c r="Q39" s="13"/>
      <c r="R39" s="13"/>
      <c r="S39" s="13"/>
      <c r="T39" s="13"/>
      <c r="U39" s="13"/>
      <c r="W39" s="13">
        <f>Australia!R144</f>
        <v>0.81436452539471382</v>
      </c>
      <c r="X39">
        <f>'Australia EV uptake'!AK10</f>
        <v>6</v>
      </c>
      <c r="Y39">
        <v>0.5</v>
      </c>
      <c r="Z39">
        <v>0</v>
      </c>
      <c r="AA39">
        <v>0</v>
      </c>
      <c r="AB39">
        <v>0</v>
      </c>
      <c r="AC39">
        <v>0</v>
      </c>
      <c r="AD39">
        <v>0</v>
      </c>
      <c r="AE39">
        <v>0</v>
      </c>
      <c r="AF39">
        <v>0</v>
      </c>
      <c r="AG39">
        <v>0</v>
      </c>
      <c r="AH39">
        <v>0</v>
      </c>
      <c r="AI39">
        <v>0</v>
      </c>
      <c r="AJ39">
        <v>0</v>
      </c>
      <c r="AK39">
        <v>0</v>
      </c>
      <c r="AL39">
        <v>0</v>
      </c>
      <c r="AM39">
        <v>0</v>
      </c>
      <c r="AN39">
        <v>0</v>
      </c>
      <c r="AO39" s="31">
        <v>0</v>
      </c>
      <c r="AP39" s="19">
        <v>0</v>
      </c>
      <c r="AQ39" s="19">
        <v>0</v>
      </c>
      <c r="AR39" s="19">
        <v>0</v>
      </c>
    </row>
    <row r="40" spans="1:49">
      <c r="B40">
        <v>2016</v>
      </c>
      <c r="D40" s="13">
        <f t="shared" si="7"/>
        <v>8.8936153850689621</v>
      </c>
      <c r="E40" s="13">
        <f t="shared" si="8"/>
        <v>8.908191657120117</v>
      </c>
      <c r="F40" s="13">
        <f t="shared" si="9"/>
        <v>8.908561986024111</v>
      </c>
      <c r="G40" s="13">
        <f t="shared" si="10"/>
        <v>8.9268900952972299</v>
      </c>
      <c r="H40" s="13">
        <f t="shared" si="11"/>
        <v>8.9270095850640967</v>
      </c>
      <c r="I40" s="13">
        <f t="shared" si="12"/>
        <v>8.9283538615108426</v>
      </c>
      <c r="J40" s="13">
        <f t="shared" si="13"/>
        <v>9.0396037842763075</v>
      </c>
      <c r="K40" s="13">
        <f t="shared" si="2"/>
        <v>-13.720222250422115</v>
      </c>
      <c r="L40" s="13">
        <f t="shared" si="3"/>
        <v>36.663439520935107</v>
      </c>
      <c r="M40" s="13">
        <f t="shared" si="4"/>
        <v>36.799124722950921</v>
      </c>
      <c r="N40" s="13">
        <f t="shared" si="5"/>
        <v>38.498154898595381</v>
      </c>
      <c r="O40" s="13">
        <f t="shared" si="6"/>
        <v>33.861619754971201</v>
      </c>
      <c r="P40" s="13"/>
      <c r="Q40" s="13"/>
      <c r="R40" s="13"/>
      <c r="S40" s="13"/>
      <c r="T40" s="13"/>
      <c r="U40" s="13"/>
      <c r="W40" s="13">
        <f>Australia!R145</f>
        <v>0.8031343494913985</v>
      </c>
      <c r="X40">
        <f>'Australia EV uptake'!AK11</f>
        <v>7</v>
      </c>
      <c r="Y40">
        <v>0</v>
      </c>
      <c r="Z40">
        <v>0</v>
      </c>
      <c r="AA40">
        <v>0</v>
      </c>
      <c r="AB40">
        <v>0</v>
      </c>
      <c r="AC40">
        <v>0</v>
      </c>
      <c r="AD40">
        <v>0</v>
      </c>
      <c r="AE40">
        <v>0</v>
      </c>
      <c r="AF40">
        <v>0</v>
      </c>
      <c r="AG40">
        <v>0</v>
      </c>
      <c r="AH40">
        <v>0</v>
      </c>
      <c r="AI40">
        <v>0</v>
      </c>
      <c r="AJ40">
        <v>0</v>
      </c>
      <c r="AK40">
        <v>0</v>
      </c>
      <c r="AL40">
        <v>0</v>
      </c>
      <c r="AM40">
        <v>0</v>
      </c>
      <c r="AN40">
        <v>0</v>
      </c>
      <c r="AO40" s="31">
        <v>0</v>
      </c>
      <c r="AP40" s="19">
        <v>0</v>
      </c>
      <c r="AQ40" s="19">
        <v>0</v>
      </c>
      <c r="AR40" s="19">
        <v>0</v>
      </c>
    </row>
    <row r="41" spans="1:49" s="18" customFormat="1">
      <c r="B41" s="18">
        <v>2017</v>
      </c>
      <c r="C41" s="13"/>
      <c r="D41" s="13">
        <f t="shared" si="7"/>
        <v>9.0759362975892088</v>
      </c>
      <c r="E41" s="13">
        <f t="shared" si="8"/>
        <v>9.1150725001834516</v>
      </c>
      <c r="F41" s="13">
        <f t="shared" si="9"/>
        <v>9.1160940491637277</v>
      </c>
      <c r="G41" s="13">
        <f t="shared" si="10"/>
        <v>9.1656530420685804</v>
      </c>
      <c r="H41" s="13">
        <f t="shared" si="11"/>
        <v>9.1650207717442669</v>
      </c>
      <c r="I41" s="13">
        <f t="shared" si="12"/>
        <v>9.168742185824442</v>
      </c>
      <c r="J41" s="13">
        <f t="shared" si="13"/>
        <v>9.4702929740538266</v>
      </c>
      <c r="K41" s="13">
        <f t="shared" si="2"/>
        <v>-16.639847194041018</v>
      </c>
      <c r="L41" s="13">
        <f t="shared" si="3"/>
        <v>38.31295157874937</v>
      </c>
      <c r="M41" s="13">
        <f t="shared" si="4"/>
        <v>38.450344141872463</v>
      </c>
      <c r="N41" s="13">
        <f t="shared" si="5"/>
        <v>40.3000604337564</v>
      </c>
      <c r="O41" s="13">
        <f t="shared" si="6"/>
        <v>35.44889941494398</v>
      </c>
      <c r="P41" s="182"/>
      <c r="Q41" s="182"/>
      <c r="R41" s="182"/>
      <c r="S41" s="182"/>
      <c r="T41" s="182"/>
      <c r="U41" s="182"/>
      <c r="V41" s="182"/>
      <c r="W41" s="13">
        <f>Australia!R146</f>
        <v>0.81060660562525977</v>
      </c>
      <c r="X41">
        <f>'Australia EV uptake'!AK12</f>
        <v>8</v>
      </c>
      <c r="Y41">
        <v>0</v>
      </c>
      <c r="Z41">
        <v>0</v>
      </c>
      <c r="AA41" s="18">
        <v>0</v>
      </c>
      <c r="AB41">
        <v>0</v>
      </c>
      <c r="AC41">
        <v>0</v>
      </c>
      <c r="AD41">
        <v>0</v>
      </c>
      <c r="AE41">
        <v>0</v>
      </c>
      <c r="AF41">
        <v>0</v>
      </c>
      <c r="AG41">
        <v>0</v>
      </c>
      <c r="AH41">
        <v>0</v>
      </c>
      <c r="AI41">
        <v>0</v>
      </c>
      <c r="AJ41">
        <v>0</v>
      </c>
      <c r="AK41">
        <v>0</v>
      </c>
      <c r="AL41">
        <v>0</v>
      </c>
      <c r="AM41">
        <v>0</v>
      </c>
      <c r="AN41">
        <v>0</v>
      </c>
      <c r="AO41" s="31">
        <v>0</v>
      </c>
      <c r="AP41" s="19">
        <v>0</v>
      </c>
      <c r="AQ41" s="19">
        <v>0</v>
      </c>
      <c r="AR41" s="19">
        <v>0</v>
      </c>
    </row>
    <row r="42" spans="1:49">
      <c r="A42" s="135" t="s">
        <v>246</v>
      </c>
      <c r="B42">
        <v>2012</v>
      </c>
      <c r="C42" s="13">
        <v>0</v>
      </c>
      <c r="D42" s="13">
        <f t="shared" si="7"/>
        <v>0.53196033195131065</v>
      </c>
      <c r="E42" s="13">
        <f t="shared" si="8"/>
        <v>0.5112059183179305</v>
      </c>
      <c r="F42" s="13">
        <f t="shared" si="9"/>
        <v>0.51163567169424873</v>
      </c>
      <c r="G42" s="13">
        <f t="shared" si="10"/>
        <v>0.49781294678719235</v>
      </c>
      <c r="H42" s="13">
        <f t="shared" si="11"/>
        <v>0.46416136238732086</v>
      </c>
      <c r="I42" s="13">
        <f t="shared" si="12"/>
        <v>0.4661864409272809</v>
      </c>
      <c r="J42" s="13">
        <f t="shared" si="13"/>
        <v>0.40800896261340114</v>
      </c>
      <c r="K42" s="13">
        <f t="shared" si="2"/>
        <v>-5.9237496345313314</v>
      </c>
      <c r="L42" s="13">
        <f t="shared" si="3"/>
        <v>27.545115304926341</v>
      </c>
      <c r="M42" s="13">
        <f t="shared" si="4"/>
        <v>27.595360416526258</v>
      </c>
      <c r="N42" s="13">
        <f t="shared" si="5"/>
        <v>28.1272356027151</v>
      </c>
      <c r="O42" s="13">
        <f t="shared" si="6"/>
        <v>25.760383534649332</v>
      </c>
      <c r="P42" s="13"/>
      <c r="Q42" s="13"/>
      <c r="R42" s="13"/>
      <c r="S42" s="13"/>
      <c r="T42" s="13"/>
      <c r="U42" s="13"/>
      <c r="W42" s="13">
        <f>'Norway with subs'!R79</f>
        <v>2.3786166763537895</v>
      </c>
      <c r="X42">
        <v>0</v>
      </c>
      <c r="Y42">
        <v>0</v>
      </c>
      <c r="Z42">
        <v>0</v>
      </c>
      <c r="AA42">
        <v>0</v>
      </c>
      <c r="AB42">
        <v>0</v>
      </c>
      <c r="AC42">
        <v>0</v>
      </c>
      <c r="AD42">
        <v>0</v>
      </c>
      <c r="AE42">
        <v>0</v>
      </c>
      <c r="AF42">
        <v>0</v>
      </c>
      <c r="AG42">
        <v>0</v>
      </c>
      <c r="AH42">
        <v>0</v>
      </c>
      <c r="AI42">
        <v>0</v>
      </c>
      <c r="AJ42">
        <v>0</v>
      </c>
      <c r="AK42">
        <v>0</v>
      </c>
      <c r="AL42">
        <v>0</v>
      </c>
      <c r="AM42">
        <v>0</v>
      </c>
      <c r="AN42">
        <v>0</v>
      </c>
      <c r="AO42" s="31">
        <v>0</v>
      </c>
      <c r="AP42" s="19">
        <v>0</v>
      </c>
      <c r="AQ42" s="19">
        <v>0</v>
      </c>
      <c r="AR42" s="19">
        <v>0</v>
      </c>
    </row>
    <row r="43" spans="1:49">
      <c r="B43">
        <v>2013</v>
      </c>
      <c r="C43" s="13">
        <v>0</v>
      </c>
      <c r="D43" s="13">
        <f t="shared" si="7"/>
        <v>0.73250525563765656</v>
      </c>
      <c r="E43" s="13">
        <f t="shared" si="8"/>
        <v>0.70788484112777006</v>
      </c>
      <c r="F43" s="13">
        <f t="shared" si="9"/>
        <v>0.70818388793746756</v>
      </c>
      <c r="G43" s="13">
        <f t="shared" si="10"/>
        <v>0.68908346044464786</v>
      </c>
      <c r="H43" s="13">
        <f t="shared" si="11"/>
        <v>0.65653667458949982</v>
      </c>
      <c r="I43" s="13">
        <f t="shared" si="12"/>
        <v>0.65807150736314668</v>
      </c>
      <c r="J43" s="13">
        <f t="shared" si="13"/>
        <v>0.56698565162431436</v>
      </c>
      <c r="K43" s="13">
        <f t="shared" si="2"/>
        <v>-5.5659624066539291</v>
      </c>
      <c r="L43" s="13">
        <f t="shared" si="3"/>
        <v>27.476385994138035</v>
      </c>
      <c r="M43" s="13">
        <f t="shared" si="4"/>
        <v>27.528711121004154</v>
      </c>
      <c r="N43" s="13">
        <f t="shared" si="5"/>
        <v>28.063766315514524</v>
      </c>
      <c r="O43" s="13">
        <f t="shared" si="6"/>
        <v>25.67519658540272</v>
      </c>
      <c r="P43" s="13"/>
      <c r="Q43" s="13"/>
      <c r="R43" s="13"/>
      <c r="S43" s="13"/>
      <c r="T43" s="13"/>
      <c r="U43" s="13"/>
      <c r="W43" s="13">
        <f>'Norway with subs'!R80</f>
        <v>2.3325438724161227</v>
      </c>
      <c r="X43">
        <v>0</v>
      </c>
      <c r="Y43">
        <v>0</v>
      </c>
      <c r="Z43">
        <v>0</v>
      </c>
      <c r="AA43">
        <v>0</v>
      </c>
      <c r="AB43">
        <v>0</v>
      </c>
      <c r="AC43">
        <v>0</v>
      </c>
      <c r="AD43">
        <v>0</v>
      </c>
      <c r="AE43">
        <v>0</v>
      </c>
      <c r="AF43">
        <v>0</v>
      </c>
      <c r="AG43">
        <v>0</v>
      </c>
      <c r="AH43">
        <v>0</v>
      </c>
      <c r="AI43">
        <v>0</v>
      </c>
      <c r="AJ43">
        <v>0</v>
      </c>
      <c r="AK43">
        <v>0</v>
      </c>
      <c r="AL43">
        <v>0</v>
      </c>
      <c r="AM43">
        <v>0</v>
      </c>
      <c r="AN43">
        <v>0</v>
      </c>
      <c r="AO43" s="31">
        <v>0</v>
      </c>
      <c r="AP43" s="19">
        <v>0</v>
      </c>
      <c r="AQ43" s="19">
        <v>0</v>
      </c>
      <c r="AR43" s="19">
        <v>0</v>
      </c>
    </row>
    <row r="44" spans="1:49">
      <c r="B44">
        <v>2014</v>
      </c>
      <c r="C44" s="13">
        <v>0</v>
      </c>
      <c r="D44" s="13">
        <f t="shared" si="7"/>
        <v>2.0343722675584868</v>
      </c>
      <c r="E44" s="13">
        <f t="shared" si="8"/>
        <v>1.9846551369778691</v>
      </c>
      <c r="F44" s="13">
        <f t="shared" si="9"/>
        <v>1.9841056827923857</v>
      </c>
      <c r="G44" s="13">
        <f t="shared" si="10"/>
        <v>1.9307442689388292</v>
      </c>
      <c r="H44" s="13">
        <f t="shared" si="11"/>
        <v>1.9053694461219592</v>
      </c>
      <c r="I44" s="13">
        <f t="shared" si="12"/>
        <v>1.9037217760470444</v>
      </c>
      <c r="J44" s="13">
        <f t="shared" si="13"/>
        <v>1.5990063245155346</v>
      </c>
      <c r="K44" s="13">
        <f t="shared" si="2"/>
        <v>-3.2433337372357549</v>
      </c>
      <c r="L44" s="13">
        <f t="shared" si="3"/>
        <v>27.030219515213389</v>
      </c>
      <c r="M44" s="13">
        <f t="shared" si="4"/>
        <v>27.09604736859875</v>
      </c>
      <c r="N44" s="13">
        <f t="shared" si="5"/>
        <v>27.651746057121994</v>
      </c>
      <c r="O44" s="13">
        <f t="shared" si="6"/>
        <v>25.122192914046824</v>
      </c>
      <c r="P44" s="13"/>
      <c r="Q44" s="13"/>
      <c r="R44" s="13"/>
      <c r="S44" s="13"/>
      <c r="T44" s="13"/>
      <c r="U44" s="13"/>
      <c r="W44" s="13">
        <f>'Norway with subs'!R81</f>
        <v>2.0334554562617733</v>
      </c>
      <c r="X44">
        <v>0</v>
      </c>
      <c r="Y44">
        <v>0</v>
      </c>
      <c r="Z44">
        <v>0</v>
      </c>
      <c r="AA44">
        <v>0</v>
      </c>
      <c r="AB44">
        <v>0</v>
      </c>
      <c r="AC44">
        <v>0</v>
      </c>
      <c r="AD44">
        <v>0</v>
      </c>
      <c r="AE44">
        <v>0</v>
      </c>
      <c r="AF44">
        <v>0</v>
      </c>
      <c r="AG44">
        <v>0</v>
      </c>
      <c r="AH44">
        <v>0</v>
      </c>
      <c r="AI44">
        <v>0</v>
      </c>
      <c r="AJ44">
        <v>0</v>
      </c>
      <c r="AK44">
        <v>0</v>
      </c>
      <c r="AL44">
        <v>0</v>
      </c>
      <c r="AM44">
        <v>0</v>
      </c>
      <c r="AN44">
        <v>0</v>
      </c>
      <c r="AO44" s="31">
        <v>0</v>
      </c>
      <c r="AP44" s="19">
        <v>0</v>
      </c>
      <c r="AQ44" s="19">
        <v>0</v>
      </c>
      <c r="AR44" s="19">
        <v>0</v>
      </c>
    </row>
    <row r="45" spans="1:49">
      <c r="B45">
        <v>2015</v>
      </c>
      <c r="C45" s="13">
        <v>0</v>
      </c>
      <c r="D45" s="13">
        <f t="shared" si="7"/>
        <v>0.67892635671685042</v>
      </c>
      <c r="E45" s="13">
        <f t="shared" si="8"/>
        <v>0.65533880839167047</v>
      </c>
      <c r="F45" s="13">
        <f t="shared" si="9"/>
        <v>0.65567277562614024</v>
      </c>
      <c r="G45" s="13">
        <f t="shared" si="10"/>
        <v>0.63798237381823419</v>
      </c>
      <c r="H45" s="13">
        <f t="shared" si="11"/>
        <v>0.60514042272794732</v>
      </c>
      <c r="I45" s="13">
        <f t="shared" si="12"/>
        <v>0.60680623278028634</v>
      </c>
      <c r="J45" s="13">
        <f t="shared" si="13"/>
        <v>0.52451239528499016</v>
      </c>
      <c r="K45" s="13">
        <f t="shared" si="2"/>
        <v>-5.6615511922747555</v>
      </c>
      <c r="L45" s="13">
        <f t="shared" si="3"/>
        <v>27.494748168198264</v>
      </c>
      <c r="M45" s="13">
        <f t="shared" si="4"/>
        <v>27.546517584525052</v>
      </c>
      <c r="N45" s="13">
        <f t="shared" si="5"/>
        <v>28.08072318712706</v>
      </c>
      <c r="O45" s="13">
        <f t="shared" si="6"/>
        <v>25.697955690241468</v>
      </c>
      <c r="P45" s="13"/>
      <c r="Q45" s="13"/>
      <c r="R45" s="13"/>
      <c r="S45" s="13"/>
      <c r="T45" s="13"/>
      <c r="U45" s="13"/>
      <c r="W45" s="13">
        <f>'Norway with subs'!R82</f>
        <v>2.3448529853061362</v>
      </c>
      <c r="X45">
        <v>0</v>
      </c>
      <c r="Y45">
        <v>0</v>
      </c>
      <c r="Z45">
        <v>0</v>
      </c>
      <c r="AA45">
        <v>0</v>
      </c>
      <c r="AB45">
        <v>0</v>
      </c>
      <c r="AC45">
        <v>0</v>
      </c>
      <c r="AD45">
        <v>0</v>
      </c>
      <c r="AE45">
        <v>0</v>
      </c>
      <c r="AF45">
        <v>0</v>
      </c>
      <c r="AG45">
        <v>0</v>
      </c>
      <c r="AH45">
        <v>0</v>
      </c>
      <c r="AI45">
        <v>0</v>
      </c>
      <c r="AJ45">
        <v>0</v>
      </c>
      <c r="AK45">
        <v>0</v>
      </c>
      <c r="AL45">
        <v>0</v>
      </c>
      <c r="AM45">
        <v>0</v>
      </c>
      <c r="AN45">
        <v>0</v>
      </c>
      <c r="AO45" s="31">
        <v>0</v>
      </c>
      <c r="AP45" s="19">
        <v>0</v>
      </c>
      <c r="AQ45" s="19">
        <v>0</v>
      </c>
      <c r="AR45" s="19">
        <v>0</v>
      </c>
    </row>
    <row r="46" spans="1:49">
      <c r="B46">
        <v>2016</v>
      </c>
      <c r="C46" s="13">
        <v>0</v>
      </c>
      <c r="D46" s="13">
        <f t="shared" si="7"/>
        <v>0.81828790326824929</v>
      </c>
      <c r="E46" s="13">
        <f t="shared" si="8"/>
        <v>0.79201381543254001</v>
      </c>
      <c r="F46" s="13">
        <f t="shared" si="9"/>
        <v>0.79225695279740371</v>
      </c>
      <c r="G46" s="13">
        <f t="shared" si="10"/>
        <v>0.77089899969440445</v>
      </c>
      <c r="H46" s="13">
        <f t="shared" si="11"/>
        <v>0.738824788973659</v>
      </c>
      <c r="I46" s="13">
        <f t="shared" si="12"/>
        <v>0.74014992020487291</v>
      </c>
      <c r="J46" s="13">
        <f t="shared" si="13"/>
        <v>0.63498757879465817</v>
      </c>
      <c r="K46" s="13">
        <f t="shared" si="2"/>
        <v>-5.4129197111243439</v>
      </c>
      <c r="L46" s="13">
        <f t="shared" si="3"/>
        <v>27.446987183433322</v>
      </c>
      <c r="M46" s="13">
        <f t="shared" si="4"/>
        <v>27.5002020322299</v>
      </c>
      <c r="N46" s="13">
        <f t="shared" si="5"/>
        <v>28.036617468267671</v>
      </c>
      <c r="O46" s="13">
        <f t="shared" si="6"/>
        <v>25.638758056241162</v>
      </c>
      <c r="P46" s="13"/>
      <c r="Q46" s="13"/>
      <c r="R46" s="13"/>
      <c r="S46" s="13"/>
      <c r="T46" s="13"/>
      <c r="U46" s="13"/>
      <c r="W46" s="13">
        <f>'Norway with subs'!R83</f>
        <v>2.3128363324151624</v>
      </c>
      <c r="X46">
        <v>0</v>
      </c>
      <c r="Y46">
        <v>0</v>
      </c>
      <c r="Z46">
        <v>0</v>
      </c>
      <c r="AA46">
        <v>0</v>
      </c>
      <c r="AB46">
        <v>0</v>
      </c>
      <c r="AC46">
        <v>0</v>
      </c>
      <c r="AD46">
        <v>0</v>
      </c>
      <c r="AE46">
        <v>0</v>
      </c>
      <c r="AF46">
        <v>0</v>
      </c>
      <c r="AG46">
        <v>0</v>
      </c>
      <c r="AH46">
        <v>0</v>
      </c>
      <c r="AI46">
        <v>0</v>
      </c>
      <c r="AJ46">
        <v>0</v>
      </c>
      <c r="AK46">
        <v>0</v>
      </c>
      <c r="AL46">
        <v>0</v>
      </c>
      <c r="AM46">
        <v>0</v>
      </c>
      <c r="AN46">
        <v>0</v>
      </c>
      <c r="AO46" s="31">
        <v>0</v>
      </c>
      <c r="AP46" s="19">
        <v>0</v>
      </c>
      <c r="AQ46" s="19">
        <v>0</v>
      </c>
      <c r="AR46" s="19">
        <v>0</v>
      </c>
    </row>
    <row r="47" spans="1:49" s="18" customFormat="1">
      <c r="B47" s="18">
        <v>2017</v>
      </c>
      <c r="C47" s="13">
        <v>0</v>
      </c>
      <c r="D47" s="13">
        <f t="shared" si="7"/>
        <v>0.74269809642169626</v>
      </c>
      <c r="E47" s="13">
        <f t="shared" si="8"/>
        <v>0.71788118962129843</v>
      </c>
      <c r="F47" s="13">
        <f t="shared" si="9"/>
        <v>0.71817359317521756</v>
      </c>
      <c r="G47" s="13">
        <f t="shared" si="10"/>
        <v>0.69880492263154892</v>
      </c>
      <c r="H47" s="13">
        <f t="shared" si="11"/>
        <v>0.66631428896144662</v>
      </c>
      <c r="I47" s="13">
        <f t="shared" si="12"/>
        <v>0.66782420463946579</v>
      </c>
      <c r="J47" s="13">
        <f t="shared" si="13"/>
        <v>0.57506575681808236</v>
      </c>
      <c r="K47" s="13">
        <f t="shared" si="2"/>
        <v>-5.5477776120389297</v>
      </c>
      <c r="L47" s="13">
        <f t="shared" si="3"/>
        <v>27.472892777210951</v>
      </c>
      <c r="M47" s="13">
        <f t="shared" si="4"/>
        <v>27.525323622357281</v>
      </c>
      <c r="N47" s="13">
        <f t="shared" si="5"/>
        <v>28.060540443090428</v>
      </c>
      <c r="O47" s="13">
        <f t="shared" si="6"/>
        <v>25.670866897098534</v>
      </c>
      <c r="P47" s="182"/>
      <c r="Q47" s="182"/>
      <c r="R47" s="182"/>
      <c r="S47" s="182"/>
      <c r="T47" s="182"/>
      <c r="U47" s="182"/>
      <c r="V47" s="182"/>
      <c r="W47" s="13">
        <f>'Norway with subs'!R84</f>
        <v>2.3302021888353139</v>
      </c>
      <c r="X47" s="18">
        <v>0</v>
      </c>
      <c r="Y47">
        <v>0</v>
      </c>
      <c r="Z47">
        <v>0</v>
      </c>
      <c r="AA47" s="18">
        <v>0</v>
      </c>
      <c r="AB47">
        <v>0</v>
      </c>
      <c r="AC47">
        <v>0</v>
      </c>
      <c r="AD47">
        <v>0</v>
      </c>
      <c r="AE47">
        <v>0</v>
      </c>
      <c r="AF47">
        <v>0</v>
      </c>
      <c r="AG47">
        <v>0</v>
      </c>
      <c r="AH47">
        <v>0</v>
      </c>
      <c r="AI47">
        <v>0</v>
      </c>
      <c r="AJ47">
        <v>0</v>
      </c>
      <c r="AK47">
        <v>0</v>
      </c>
      <c r="AL47">
        <v>0</v>
      </c>
      <c r="AM47">
        <v>0</v>
      </c>
      <c r="AN47">
        <v>0</v>
      </c>
      <c r="AO47" s="31">
        <v>0</v>
      </c>
      <c r="AP47" s="19">
        <v>0</v>
      </c>
      <c r="AQ47" s="19">
        <v>0</v>
      </c>
      <c r="AR47" s="19">
        <v>0</v>
      </c>
    </row>
    <row r="48" spans="1:49">
      <c r="A48" s="135" t="s">
        <v>539</v>
      </c>
      <c r="B48">
        <v>2012</v>
      </c>
      <c r="C48" s="13">
        <f>'Austria EV uptake'!K16</f>
        <v>0</v>
      </c>
      <c r="D48" s="13">
        <f t="shared" si="7"/>
        <v>4.1904800886555282</v>
      </c>
      <c r="E48" s="13">
        <f t="shared" si="8"/>
        <v>4.1957159785396323</v>
      </c>
      <c r="F48" s="13">
        <f t="shared" si="9"/>
        <v>4.195893000017854</v>
      </c>
      <c r="G48" s="13">
        <f t="shared" si="10"/>
        <v>4.2030408177403018</v>
      </c>
      <c r="H48" s="13">
        <f t="shared" si="11"/>
        <v>4.2015445419480599</v>
      </c>
      <c r="I48" s="13">
        <f t="shared" si="12"/>
        <v>4.2022085026998974</v>
      </c>
      <c r="J48" s="13">
        <f t="shared" si="13"/>
        <v>4.2467777218919043</v>
      </c>
      <c r="K48" s="13">
        <f t="shared" si="2"/>
        <v>0.96858852662872863</v>
      </c>
      <c r="L48" s="13">
        <f t="shared" si="3"/>
        <v>9.2443081332615691</v>
      </c>
      <c r="M48" s="13">
        <f t="shared" si="4"/>
        <v>9.2514902202020934</v>
      </c>
      <c r="N48" s="13">
        <f t="shared" si="5"/>
        <v>9.4720705795493458</v>
      </c>
      <c r="O48" s="13">
        <f t="shared" si="6"/>
        <v>9.3973597877436958</v>
      </c>
      <c r="P48" s="13"/>
      <c r="Q48" s="13"/>
      <c r="R48" s="13"/>
      <c r="S48" s="13"/>
      <c r="T48" s="13"/>
      <c r="U48" s="13"/>
      <c r="W48" s="13">
        <f>Austria!R79</f>
        <v>0.94630029664002069</v>
      </c>
      <c r="X48">
        <v>0</v>
      </c>
      <c r="Y48">
        <v>0</v>
      </c>
      <c r="Z48">
        <v>1</v>
      </c>
      <c r="AA48">
        <f>'Austria EV uptake'!AG7</f>
        <v>3</v>
      </c>
      <c r="AB48">
        <v>0</v>
      </c>
      <c r="AC48">
        <v>0</v>
      </c>
      <c r="AD48">
        <v>0</v>
      </c>
      <c r="AE48">
        <v>0</v>
      </c>
      <c r="AF48">
        <v>0</v>
      </c>
      <c r="AG48">
        <v>0</v>
      </c>
      <c r="AH48">
        <v>0</v>
      </c>
      <c r="AI48">
        <v>0</v>
      </c>
      <c r="AJ48">
        <v>0</v>
      </c>
      <c r="AK48">
        <v>0</v>
      </c>
      <c r="AL48">
        <v>0</v>
      </c>
      <c r="AM48">
        <v>0</v>
      </c>
      <c r="AN48">
        <v>0</v>
      </c>
      <c r="AO48" s="31">
        <v>0</v>
      </c>
      <c r="AP48" s="19">
        <v>0</v>
      </c>
      <c r="AQ48" s="19">
        <v>0</v>
      </c>
      <c r="AR48" s="19">
        <v>0</v>
      </c>
    </row>
    <row r="49" spans="1:44">
      <c r="B49">
        <v>2013</v>
      </c>
      <c r="C49" s="13">
        <f>'Austria EV uptake'!K17</f>
        <v>0</v>
      </c>
      <c r="D49" s="13">
        <f t="shared" si="7"/>
        <v>4.6771063849423884</v>
      </c>
      <c r="E49" s="13">
        <f t="shared" si="8"/>
        <v>4.6777672951201286</v>
      </c>
      <c r="F49" s="13">
        <f t="shared" si="9"/>
        <v>4.6777896399935397</v>
      </c>
      <c r="G49" s="13">
        <f t="shared" si="10"/>
        <v>4.6786918869059022</v>
      </c>
      <c r="H49" s="13">
        <f t="shared" si="11"/>
        <v>4.6785030166428303</v>
      </c>
      <c r="I49" s="13">
        <f t="shared" si="12"/>
        <v>4.6785868263539285</v>
      </c>
      <c r="J49" s="13">
        <f t="shared" si="13"/>
        <v>4.6842126609742065</v>
      </c>
      <c r="K49" s="13">
        <f t="shared" si="2"/>
        <v>-0.31424435033178533</v>
      </c>
      <c r="L49" s="13">
        <f t="shared" si="3"/>
        <v>3.8317944908863808</v>
      </c>
      <c r="M49" s="13">
        <f t="shared" si="4"/>
        <v>3.8038080924116393</v>
      </c>
      <c r="N49" s="13">
        <f t="shared" si="5"/>
        <v>3.8888020359716045</v>
      </c>
      <c r="O49" s="13">
        <f t="shared" si="6"/>
        <v>4.7954610403311406</v>
      </c>
      <c r="P49" s="13"/>
      <c r="Q49" s="13"/>
      <c r="R49" s="13"/>
      <c r="S49" s="13"/>
      <c r="T49" s="13"/>
      <c r="U49" s="13"/>
      <c r="W49" s="13">
        <f>Austria!R80</f>
        <v>0.92989945099458671</v>
      </c>
      <c r="X49">
        <v>0</v>
      </c>
      <c r="Y49">
        <v>0</v>
      </c>
      <c r="Z49">
        <v>1</v>
      </c>
      <c r="AA49">
        <f>'Austria EV uptake'!AG8</f>
        <v>4</v>
      </c>
      <c r="AB49">
        <v>0</v>
      </c>
      <c r="AC49">
        <v>0</v>
      </c>
      <c r="AD49">
        <v>0</v>
      </c>
      <c r="AE49">
        <v>0</v>
      </c>
      <c r="AF49">
        <v>0</v>
      </c>
      <c r="AG49">
        <v>0</v>
      </c>
      <c r="AH49">
        <v>0</v>
      </c>
      <c r="AI49">
        <v>0</v>
      </c>
      <c r="AJ49">
        <v>0</v>
      </c>
      <c r="AK49">
        <v>0</v>
      </c>
      <c r="AL49">
        <v>0</v>
      </c>
      <c r="AM49">
        <v>0</v>
      </c>
      <c r="AN49">
        <v>0</v>
      </c>
      <c r="AO49" s="31">
        <v>0</v>
      </c>
      <c r="AP49" s="19">
        <v>0</v>
      </c>
      <c r="AQ49" s="19">
        <v>0</v>
      </c>
      <c r="AR49" s="19">
        <v>0</v>
      </c>
    </row>
    <row r="50" spans="1:44">
      <c r="B50">
        <v>2014</v>
      </c>
      <c r="C50" s="13">
        <f>'Austria EV uptake'!K18</f>
        <v>0</v>
      </c>
      <c r="D50" s="13">
        <f t="shared" si="7"/>
        <v>5.4258041362678693</v>
      </c>
      <c r="E50" s="13">
        <f t="shared" si="8"/>
        <v>5.4168379893479921</v>
      </c>
      <c r="F50" s="13">
        <f t="shared" si="9"/>
        <v>5.4165348506997759</v>
      </c>
      <c r="G50" s="13">
        <f t="shared" si="10"/>
        <v>5.4042946422013998</v>
      </c>
      <c r="H50" s="13">
        <f t="shared" si="11"/>
        <v>5.4068569246181006</v>
      </c>
      <c r="I50" s="13">
        <f t="shared" si="12"/>
        <v>5.4057199317130316</v>
      </c>
      <c r="J50" s="13">
        <f t="shared" si="13"/>
        <v>5.3293978210068715</v>
      </c>
      <c r="K50" s="13">
        <f t="shared" si="2"/>
        <v>-1.1295220397537911</v>
      </c>
      <c r="L50" s="13">
        <f t="shared" si="3"/>
        <v>-1.6705343916405049</v>
      </c>
      <c r="M50" s="13">
        <f t="shared" si="4"/>
        <v>-1.7309711183351268</v>
      </c>
      <c r="N50" s="13">
        <f t="shared" si="5"/>
        <v>-1.7774079660144011</v>
      </c>
      <c r="O50" s="13">
        <f t="shared" si="6"/>
        <v>8.2240264272886776E-2</v>
      </c>
      <c r="P50" s="13"/>
      <c r="Q50" s="13"/>
      <c r="R50" s="13"/>
      <c r="S50" s="13"/>
      <c r="T50" s="13"/>
      <c r="U50" s="13"/>
      <c r="W50" s="13">
        <f>Austria!R81</f>
        <v>0.85329081477681279</v>
      </c>
      <c r="X50">
        <v>0</v>
      </c>
      <c r="Y50">
        <v>0</v>
      </c>
      <c r="Z50">
        <v>1</v>
      </c>
      <c r="AA50">
        <f>'Austria EV uptake'!AG9</f>
        <v>5</v>
      </c>
      <c r="AB50">
        <v>0</v>
      </c>
      <c r="AC50">
        <v>0</v>
      </c>
      <c r="AD50">
        <v>0</v>
      </c>
      <c r="AE50">
        <v>0</v>
      </c>
      <c r="AF50">
        <v>0</v>
      </c>
      <c r="AG50">
        <v>0</v>
      </c>
      <c r="AH50">
        <v>0</v>
      </c>
      <c r="AI50">
        <v>0</v>
      </c>
      <c r="AJ50">
        <v>0</v>
      </c>
      <c r="AK50">
        <v>0</v>
      </c>
      <c r="AL50">
        <v>0</v>
      </c>
      <c r="AM50">
        <v>0</v>
      </c>
      <c r="AN50">
        <v>0</v>
      </c>
      <c r="AO50" s="31">
        <v>0</v>
      </c>
      <c r="AP50" s="19">
        <v>0</v>
      </c>
      <c r="AQ50" s="19">
        <v>0</v>
      </c>
      <c r="AR50" s="19">
        <v>0</v>
      </c>
    </row>
    <row r="51" spans="1:44">
      <c r="B51">
        <v>2015</v>
      </c>
      <c r="C51" s="13">
        <f>'Austria EV uptake'!K19</f>
        <v>0</v>
      </c>
      <c r="D51" s="13">
        <f t="shared" si="7"/>
        <v>5.502491176226723</v>
      </c>
      <c r="E51" s="13">
        <f t="shared" si="8"/>
        <v>5.4968526456629867</v>
      </c>
      <c r="F51" s="13">
        <f t="shared" si="9"/>
        <v>5.4966620112078219</v>
      </c>
      <c r="G51" s="13">
        <f t="shared" si="10"/>
        <v>5.4889645252820021</v>
      </c>
      <c r="H51" s="13">
        <f t="shared" si="11"/>
        <v>5.4905758648962824</v>
      </c>
      <c r="I51" s="13">
        <f t="shared" si="12"/>
        <v>5.4898608454678453</v>
      </c>
      <c r="J51" s="13">
        <f t="shared" si="13"/>
        <v>5.4418642469566789</v>
      </c>
      <c r="K51" s="13">
        <f t="shared" si="2"/>
        <v>-3.1437173836552041</v>
      </c>
      <c r="L51" s="13">
        <f t="shared" si="3"/>
        <v>-6.9425566067853559</v>
      </c>
      <c r="M51" s="13">
        <f t="shared" si="4"/>
        <v>-7.0424136338786596</v>
      </c>
      <c r="N51" s="13">
        <f t="shared" si="5"/>
        <v>-7.2309372376304886</v>
      </c>
      <c r="O51" s="13">
        <f t="shared" si="6"/>
        <v>-4.3455255558080061</v>
      </c>
      <c r="P51" s="13"/>
      <c r="Q51" s="13"/>
      <c r="R51" s="13"/>
      <c r="S51" s="13"/>
      <c r="T51" s="13"/>
      <c r="U51" s="13"/>
      <c r="W51" s="13">
        <f>Austria!R82</f>
        <v>0.93106862315052807</v>
      </c>
      <c r="X51">
        <v>0</v>
      </c>
      <c r="Y51">
        <v>0</v>
      </c>
      <c r="Z51">
        <v>1</v>
      </c>
      <c r="AA51">
        <f>'Austria EV uptake'!AG10</f>
        <v>6</v>
      </c>
      <c r="AB51">
        <v>0</v>
      </c>
      <c r="AC51">
        <v>0</v>
      </c>
      <c r="AD51">
        <v>0</v>
      </c>
      <c r="AE51">
        <v>0</v>
      </c>
      <c r="AF51">
        <v>0</v>
      </c>
      <c r="AG51">
        <v>0</v>
      </c>
      <c r="AH51">
        <v>0</v>
      </c>
      <c r="AI51">
        <v>0</v>
      </c>
      <c r="AJ51">
        <v>0</v>
      </c>
      <c r="AK51">
        <v>0</v>
      </c>
      <c r="AL51">
        <v>0</v>
      </c>
      <c r="AM51">
        <v>0</v>
      </c>
      <c r="AN51">
        <v>0</v>
      </c>
      <c r="AO51" s="31">
        <v>0</v>
      </c>
      <c r="AP51" s="19">
        <v>0</v>
      </c>
      <c r="AQ51" s="19">
        <v>0</v>
      </c>
      <c r="AR51" s="19">
        <v>0</v>
      </c>
    </row>
    <row r="52" spans="1:44">
      <c r="B52">
        <v>2016</v>
      </c>
      <c r="C52" s="13">
        <f>'Austria EV uptake'!K20</f>
        <v>0</v>
      </c>
      <c r="D52" s="13">
        <f t="shared" si="7"/>
        <v>6.2838229069754394</v>
      </c>
      <c r="E52" s="13">
        <f t="shared" si="8"/>
        <v>6.2679282184087359</v>
      </c>
      <c r="F52" s="13">
        <f t="shared" si="9"/>
        <v>6.2673908310059874</v>
      </c>
      <c r="G52" s="13">
        <f t="shared" si="10"/>
        <v>6.2456920674443639</v>
      </c>
      <c r="H52" s="13">
        <f t="shared" si="11"/>
        <v>6.2502343397713034</v>
      </c>
      <c r="I52" s="13">
        <f t="shared" si="12"/>
        <v>6.2482187417345845</v>
      </c>
      <c r="J52" s="13">
        <f t="shared" si="13"/>
        <v>6.1129191318499441</v>
      </c>
      <c r="K52" s="13">
        <f t="shared" si="2"/>
        <v>-3.9007735992157775</v>
      </c>
      <c r="L52" s="13">
        <f t="shared" si="3"/>
        <v>-12.456069571525887</v>
      </c>
      <c r="M52" s="13">
        <f t="shared" si="4"/>
        <v>-12.588038453173674</v>
      </c>
      <c r="N52" s="13">
        <f t="shared" si="5"/>
        <v>-12.907475376447067</v>
      </c>
      <c r="O52" s="13">
        <f t="shared" si="6"/>
        <v>-9.0726085084686012</v>
      </c>
      <c r="P52" s="13"/>
      <c r="Q52" s="13"/>
      <c r="R52" s="13"/>
      <c r="S52" s="13"/>
      <c r="T52" s="13"/>
      <c r="U52" s="13"/>
      <c r="W52" s="13">
        <f>Austria!R83</f>
        <v>0.84696271944756907</v>
      </c>
      <c r="X52">
        <v>0</v>
      </c>
      <c r="Y52">
        <v>0</v>
      </c>
      <c r="Z52">
        <v>1</v>
      </c>
      <c r="AA52">
        <f>'Austria EV uptake'!AG11</f>
        <v>7</v>
      </c>
      <c r="AB52">
        <v>0</v>
      </c>
      <c r="AC52">
        <v>0</v>
      </c>
      <c r="AD52">
        <v>0</v>
      </c>
      <c r="AE52">
        <v>0</v>
      </c>
      <c r="AF52">
        <v>0</v>
      </c>
      <c r="AG52">
        <v>0</v>
      </c>
      <c r="AH52">
        <v>0</v>
      </c>
      <c r="AI52">
        <v>0</v>
      </c>
      <c r="AJ52">
        <v>0</v>
      </c>
      <c r="AK52">
        <v>0</v>
      </c>
      <c r="AL52">
        <v>0</v>
      </c>
      <c r="AM52">
        <v>0</v>
      </c>
      <c r="AN52">
        <v>0</v>
      </c>
      <c r="AO52" s="31">
        <v>0</v>
      </c>
      <c r="AP52" s="19">
        <v>0</v>
      </c>
      <c r="AQ52" s="19">
        <v>0</v>
      </c>
      <c r="AR52" s="19">
        <v>0</v>
      </c>
    </row>
    <row r="53" spans="1:44" s="18" customFormat="1">
      <c r="B53" s="18">
        <v>2017</v>
      </c>
      <c r="C53" s="182">
        <f>'Austria EV uptake'!K21</f>
        <v>0</v>
      </c>
      <c r="D53" s="13">
        <f t="shared" si="7"/>
        <v>6.1799382854733036</v>
      </c>
      <c r="E53" s="13">
        <f t="shared" si="8"/>
        <v>6.1708521799641103</v>
      </c>
      <c r="F53" s="13">
        <f t="shared" si="9"/>
        <v>6.1705449856066892</v>
      </c>
      <c r="G53" s="13">
        <f t="shared" si="10"/>
        <v>6.1581410146630287</v>
      </c>
      <c r="H53" s="13">
        <f t="shared" si="11"/>
        <v>6.1607375780018314</v>
      </c>
      <c r="I53" s="13">
        <f t="shared" si="12"/>
        <v>6.1595853732040595</v>
      </c>
      <c r="J53" s="13">
        <f t="shared" si="13"/>
        <v>6.0822421446402917</v>
      </c>
      <c r="K53" s="13">
        <f t="shared" si="2"/>
        <v>-6.2371223688921971</v>
      </c>
      <c r="L53" s="13">
        <f t="shared" si="3"/>
        <v>-17.666207568352039</v>
      </c>
      <c r="M53" s="13">
        <f t="shared" si="4"/>
        <v>-17.839469606642275</v>
      </c>
      <c r="N53" s="13">
        <f t="shared" si="5"/>
        <v>-18.303856581530805</v>
      </c>
      <c r="O53" s="13">
        <f t="shared" si="6"/>
        <v>-13.423671569499298</v>
      </c>
      <c r="P53" s="182"/>
      <c r="Q53" s="182"/>
      <c r="R53" s="182"/>
      <c r="S53" s="182"/>
      <c r="T53" s="182"/>
      <c r="U53" s="182"/>
      <c r="V53" s="182"/>
      <c r="W53" s="13">
        <f>Austria!R84</f>
        <v>0.9662247130216165</v>
      </c>
      <c r="X53" s="18">
        <v>0</v>
      </c>
      <c r="Y53">
        <v>0</v>
      </c>
      <c r="Z53">
        <v>1</v>
      </c>
      <c r="AA53">
        <f>'Austria EV uptake'!AG12</f>
        <v>8</v>
      </c>
      <c r="AB53">
        <v>0</v>
      </c>
      <c r="AC53">
        <v>0</v>
      </c>
      <c r="AD53">
        <v>0</v>
      </c>
      <c r="AE53">
        <v>0</v>
      </c>
      <c r="AF53">
        <v>0</v>
      </c>
      <c r="AG53">
        <v>0</v>
      </c>
      <c r="AH53">
        <v>0</v>
      </c>
      <c r="AI53">
        <v>0</v>
      </c>
      <c r="AJ53">
        <v>0</v>
      </c>
      <c r="AK53">
        <v>0</v>
      </c>
      <c r="AL53">
        <v>0</v>
      </c>
      <c r="AM53">
        <v>0</v>
      </c>
      <c r="AN53">
        <v>0</v>
      </c>
      <c r="AO53" s="31">
        <v>0</v>
      </c>
      <c r="AP53" s="19">
        <v>0</v>
      </c>
      <c r="AQ53" s="19">
        <v>0</v>
      </c>
      <c r="AR53" s="19">
        <v>0</v>
      </c>
    </row>
    <row r="54" spans="1:44">
      <c r="A54" s="135" t="s">
        <v>540</v>
      </c>
      <c r="B54">
        <v>2012</v>
      </c>
      <c r="C54" s="13">
        <f>'Belgian EV uptake'!K7</f>
        <v>0</v>
      </c>
      <c r="D54" s="13">
        <f t="shared" si="7"/>
        <v>4.8384138559028829</v>
      </c>
      <c r="E54" s="13">
        <f t="shared" si="8"/>
        <v>4.7911615243615451</v>
      </c>
      <c r="F54" s="13">
        <f t="shared" si="9"/>
        <v>4.7901325237885271</v>
      </c>
      <c r="G54" s="13">
        <f t="shared" si="10"/>
        <v>4.7329172425837154</v>
      </c>
      <c r="H54" s="13">
        <f t="shared" si="11"/>
        <v>4.7265299103650245</v>
      </c>
      <c r="I54" s="13">
        <f t="shared" si="12"/>
        <v>4.7228780331281053</v>
      </c>
      <c r="J54" s="13">
        <f t="shared" si="13"/>
        <v>4.3801966160987602</v>
      </c>
      <c r="K54" s="13">
        <f t="shared" si="2"/>
        <v>-6.6620164865735152</v>
      </c>
      <c r="L54" s="13">
        <f t="shared" si="3"/>
        <v>32.393311123628912</v>
      </c>
      <c r="M54" s="13">
        <f t="shared" si="4"/>
        <v>32.540984837088935</v>
      </c>
      <c r="N54" s="13">
        <f t="shared" si="5"/>
        <v>33.509940308467023</v>
      </c>
      <c r="O54" s="13">
        <f t="shared" si="6"/>
        <v>30.063160448181353</v>
      </c>
      <c r="P54" s="13"/>
      <c r="Q54" s="13"/>
      <c r="R54" s="13"/>
      <c r="S54" s="13"/>
      <c r="T54" s="13"/>
      <c r="U54" s="13"/>
      <c r="W54" s="13">
        <f>Belgium!R82</f>
        <v>1.2565823919831276</v>
      </c>
      <c r="X54">
        <v>0</v>
      </c>
      <c r="Y54">
        <v>0</v>
      </c>
      <c r="Z54">
        <v>0</v>
      </c>
      <c r="AA54">
        <v>0</v>
      </c>
      <c r="AB54">
        <f>'Belgian EV uptake'!AG7</f>
        <v>3</v>
      </c>
      <c r="AC54">
        <v>0</v>
      </c>
      <c r="AD54">
        <v>0</v>
      </c>
      <c r="AE54">
        <v>0</v>
      </c>
      <c r="AF54">
        <v>0</v>
      </c>
      <c r="AG54">
        <v>0</v>
      </c>
      <c r="AH54">
        <v>0</v>
      </c>
      <c r="AI54">
        <v>0</v>
      </c>
      <c r="AJ54">
        <v>0</v>
      </c>
      <c r="AK54">
        <v>0</v>
      </c>
      <c r="AL54">
        <v>0</v>
      </c>
      <c r="AM54">
        <v>0</v>
      </c>
      <c r="AN54">
        <v>0</v>
      </c>
      <c r="AO54" s="31">
        <v>0</v>
      </c>
      <c r="AP54" s="19">
        <v>0</v>
      </c>
      <c r="AQ54" s="19">
        <v>0</v>
      </c>
      <c r="AR54" s="19">
        <v>0</v>
      </c>
    </row>
    <row r="55" spans="1:44">
      <c r="B55">
        <v>2013</v>
      </c>
      <c r="C55" s="13">
        <f>'Belgian EV uptake'!K8</f>
        <v>0</v>
      </c>
      <c r="D55" s="13">
        <f t="shared" si="7"/>
        <v>5.6334652191585484</v>
      </c>
      <c r="E55" s="13">
        <f t="shared" si="8"/>
        <v>5.5897261858399387</v>
      </c>
      <c r="F55" s="13">
        <f t="shared" si="9"/>
        <v>5.5886283407636697</v>
      </c>
      <c r="G55" s="13">
        <f t="shared" si="10"/>
        <v>5.5338030312986888</v>
      </c>
      <c r="H55" s="13">
        <f t="shared" si="11"/>
        <v>5.5329756479311714</v>
      </c>
      <c r="I55" s="13">
        <f t="shared" si="12"/>
        <v>5.5289970346758679</v>
      </c>
      <c r="J55" s="13">
        <f t="shared" si="13"/>
        <v>5.1965727147180161</v>
      </c>
      <c r="K55" s="13">
        <f t="shared" si="2"/>
        <v>-8.0506863377385685</v>
      </c>
      <c r="L55" s="13">
        <f t="shared" si="3"/>
        <v>34.228861027873506</v>
      </c>
      <c r="M55" s="13">
        <f t="shared" si="4"/>
        <v>34.40236848651999</v>
      </c>
      <c r="N55" s="13">
        <f t="shared" si="5"/>
        <v>35.506862141812704</v>
      </c>
      <c r="O55" s="13">
        <f t="shared" si="6"/>
        <v>31.769460938999131</v>
      </c>
      <c r="P55" s="13"/>
      <c r="Q55" s="13"/>
      <c r="R55" s="13"/>
      <c r="S55" s="13"/>
      <c r="T55" s="13"/>
      <c r="U55" s="13"/>
      <c r="W55" s="13">
        <f>Belgium!R83</f>
        <v>1.0297028392013483</v>
      </c>
      <c r="X55">
        <v>0</v>
      </c>
      <c r="Y55">
        <v>0</v>
      </c>
      <c r="Z55">
        <v>0</v>
      </c>
      <c r="AA55">
        <v>0</v>
      </c>
      <c r="AB55">
        <f>'Belgian EV uptake'!AG8</f>
        <v>4</v>
      </c>
      <c r="AC55">
        <v>0</v>
      </c>
      <c r="AD55">
        <v>0</v>
      </c>
      <c r="AE55">
        <v>0</v>
      </c>
      <c r="AF55">
        <v>0</v>
      </c>
      <c r="AG55">
        <v>0</v>
      </c>
      <c r="AH55">
        <v>0</v>
      </c>
      <c r="AI55">
        <v>0</v>
      </c>
      <c r="AJ55">
        <v>0</v>
      </c>
      <c r="AK55">
        <v>0</v>
      </c>
      <c r="AL55">
        <v>0</v>
      </c>
      <c r="AM55">
        <v>0</v>
      </c>
      <c r="AN55">
        <v>0</v>
      </c>
      <c r="AO55" s="31">
        <v>0</v>
      </c>
      <c r="AP55" s="19">
        <v>0</v>
      </c>
      <c r="AQ55" s="19">
        <v>0</v>
      </c>
      <c r="AR55" s="19">
        <v>0</v>
      </c>
    </row>
    <row r="56" spans="1:44">
      <c r="B56">
        <v>2014</v>
      </c>
      <c r="C56" s="13">
        <f>'Belgian EV uptake'!K9</f>
        <v>0</v>
      </c>
      <c r="D56" s="13">
        <f t="shared" si="7"/>
        <v>5.8510767337520448</v>
      </c>
      <c r="E56" s="13">
        <f t="shared" si="8"/>
        <v>5.8219825841384747</v>
      </c>
      <c r="F56" s="13">
        <f t="shared" si="9"/>
        <v>5.8211922450477225</v>
      </c>
      <c r="G56" s="13">
        <f t="shared" si="10"/>
        <v>5.7839532819123018</v>
      </c>
      <c r="H56" s="13">
        <f t="shared" si="11"/>
        <v>5.7855047411742682</v>
      </c>
      <c r="I56" s="13">
        <f t="shared" si="12"/>
        <v>5.7826109830588281</v>
      </c>
      <c r="J56" s="13">
        <f t="shared" si="13"/>
        <v>5.5551986317029156</v>
      </c>
      <c r="K56" s="13">
        <f t="shared" si="2"/>
        <v>-10.469552311154551</v>
      </c>
      <c r="L56" s="13">
        <f t="shared" si="3"/>
        <v>36.262306955067672</v>
      </c>
      <c r="M56" s="13">
        <f t="shared" si="4"/>
        <v>36.455659058411555</v>
      </c>
      <c r="N56" s="13">
        <f t="shared" si="5"/>
        <v>37.68653452761373</v>
      </c>
      <c r="O56" s="13">
        <f t="shared" si="6"/>
        <v>33.72104482157151</v>
      </c>
      <c r="P56" s="13"/>
      <c r="Q56" s="13"/>
      <c r="R56" s="13"/>
      <c r="S56" s="13"/>
      <c r="T56" s="13"/>
      <c r="U56" s="13"/>
      <c r="W56" s="13">
        <f>Belgium!R84</f>
        <v>0.9354832034305689</v>
      </c>
      <c r="X56">
        <v>0</v>
      </c>
      <c r="Y56">
        <v>0</v>
      </c>
      <c r="Z56">
        <v>0</v>
      </c>
      <c r="AA56">
        <v>0</v>
      </c>
      <c r="AB56">
        <f>'Belgian EV uptake'!AG9</f>
        <v>5</v>
      </c>
      <c r="AC56">
        <v>0</v>
      </c>
      <c r="AD56">
        <v>0</v>
      </c>
      <c r="AE56">
        <v>0</v>
      </c>
      <c r="AF56">
        <v>0</v>
      </c>
      <c r="AG56">
        <v>0</v>
      </c>
      <c r="AH56">
        <v>0</v>
      </c>
      <c r="AI56">
        <v>0</v>
      </c>
      <c r="AJ56">
        <v>0</v>
      </c>
      <c r="AK56">
        <v>0</v>
      </c>
      <c r="AL56">
        <v>0</v>
      </c>
      <c r="AM56">
        <v>0</v>
      </c>
      <c r="AN56">
        <v>0</v>
      </c>
      <c r="AO56" s="31">
        <v>0</v>
      </c>
      <c r="AP56" s="19">
        <v>0</v>
      </c>
      <c r="AQ56" s="19">
        <v>0</v>
      </c>
      <c r="AR56" s="19">
        <v>0</v>
      </c>
    </row>
    <row r="57" spans="1:44">
      <c r="B57">
        <v>2015</v>
      </c>
      <c r="C57" s="13">
        <f>'Belgian EV uptake'!K10</f>
        <v>0</v>
      </c>
      <c r="D57" s="13">
        <f t="shared" si="7"/>
        <v>5.4226062063586431</v>
      </c>
      <c r="E57" s="13">
        <f t="shared" si="8"/>
        <v>5.4206117744828326</v>
      </c>
      <c r="F57" s="13">
        <f t="shared" si="9"/>
        <v>5.4205500298993661</v>
      </c>
      <c r="G57" s="13">
        <f t="shared" si="10"/>
        <v>5.4179002312198925</v>
      </c>
      <c r="H57" s="13">
        <f t="shared" si="11"/>
        <v>5.418271278224017</v>
      </c>
      <c r="I57" s="13">
        <f t="shared" si="12"/>
        <v>5.4180417669376073</v>
      </c>
      <c r="J57" s="13">
        <f t="shared" si="13"/>
        <v>5.4016600821111007</v>
      </c>
      <c r="K57" s="13">
        <f t="shared" si="2"/>
        <v>-14.041077242647173</v>
      </c>
      <c r="L57" s="13">
        <f t="shared" si="3"/>
        <v>38.517173462958823</v>
      </c>
      <c r="M57" s="13">
        <f t="shared" si="4"/>
        <v>38.723669166237407</v>
      </c>
      <c r="N57" s="13">
        <f t="shared" si="5"/>
        <v>40.070681631219806</v>
      </c>
      <c r="O57" s="13">
        <f t="shared" si="6"/>
        <v>35.947069747617832</v>
      </c>
      <c r="P57" s="13"/>
      <c r="Q57" s="13"/>
      <c r="R57" s="13"/>
      <c r="S57" s="13"/>
      <c r="T57" s="13"/>
      <c r="U57" s="13"/>
      <c r="W57" s="13">
        <f>Belgium!R85</f>
        <v>0.98969320976165132</v>
      </c>
      <c r="X57">
        <v>0</v>
      </c>
      <c r="Y57">
        <v>0</v>
      </c>
      <c r="Z57">
        <v>0</v>
      </c>
      <c r="AA57">
        <v>0</v>
      </c>
      <c r="AB57">
        <f>'Belgian EV uptake'!AG10</f>
        <v>6</v>
      </c>
      <c r="AC57">
        <v>0</v>
      </c>
      <c r="AD57">
        <v>0</v>
      </c>
      <c r="AE57">
        <v>0</v>
      </c>
      <c r="AF57">
        <v>0</v>
      </c>
      <c r="AG57">
        <v>0</v>
      </c>
      <c r="AH57">
        <v>0</v>
      </c>
      <c r="AI57">
        <v>0</v>
      </c>
      <c r="AJ57">
        <v>0</v>
      </c>
      <c r="AK57">
        <v>0</v>
      </c>
      <c r="AL57">
        <v>0</v>
      </c>
      <c r="AM57">
        <v>0</v>
      </c>
      <c r="AN57">
        <v>0</v>
      </c>
      <c r="AO57" s="31">
        <v>0</v>
      </c>
      <c r="AP57" s="19">
        <v>0</v>
      </c>
      <c r="AQ57" s="19">
        <v>0</v>
      </c>
      <c r="AR57" s="19">
        <v>0</v>
      </c>
    </row>
    <row r="58" spans="1:44">
      <c r="B58">
        <v>2016</v>
      </c>
      <c r="C58" s="13">
        <f>'Belgian EV uptake'!K11</f>
        <v>0</v>
      </c>
      <c r="D58" s="13">
        <f t="shared" si="7"/>
        <v>5.441097760873733</v>
      </c>
      <c r="E58" s="13">
        <f t="shared" si="8"/>
        <v>5.4575867438711567</v>
      </c>
      <c r="F58" s="13">
        <f t="shared" si="9"/>
        <v>5.4579622831097589</v>
      </c>
      <c r="G58" s="13">
        <f t="shared" si="10"/>
        <v>5.4781390328495601</v>
      </c>
      <c r="H58" s="13">
        <f t="shared" si="11"/>
        <v>5.4797919740385206</v>
      </c>
      <c r="I58" s="13">
        <f t="shared" si="12"/>
        <v>5.481134080237398</v>
      </c>
      <c r="J58" s="13">
        <f t="shared" si="13"/>
        <v>5.6024389123317437</v>
      </c>
      <c r="K58" s="13">
        <f t="shared" si="2"/>
        <v>-16.81518820168511</v>
      </c>
      <c r="L58" s="13">
        <f t="shared" si="3"/>
        <v>40.618860347684219</v>
      </c>
      <c r="M58" s="13">
        <f t="shared" si="4"/>
        <v>40.843135459855901</v>
      </c>
      <c r="N58" s="13">
        <f t="shared" si="5"/>
        <v>42.313372325842998</v>
      </c>
      <c r="O58" s="13">
        <f t="shared" si="6"/>
        <v>37.983235287114702</v>
      </c>
      <c r="P58" s="13"/>
      <c r="Q58" s="13"/>
      <c r="R58" s="13"/>
      <c r="S58" s="13"/>
      <c r="T58" s="13"/>
      <c r="U58" s="13"/>
      <c r="W58" s="13">
        <f>Belgium!R86</f>
        <v>0.9412190095378552</v>
      </c>
      <c r="X58">
        <v>0</v>
      </c>
      <c r="Y58">
        <v>0</v>
      </c>
      <c r="Z58">
        <v>0</v>
      </c>
      <c r="AA58">
        <v>0</v>
      </c>
      <c r="AB58">
        <f>'Belgian EV uptake'!AG11</f>
        <v>7</v>
      </c>
      <c r="AC58">
        <v>0</v>
      </c>
      <c r="AD58">
        <v>0</v>
      </c>
      <c r="AE58">
        <v>0</v>
      </c>
      <c r="AF58">
        <v>0</v>
      </c>
      <c r="AG58">
        <v>0</v>
      </c>
      <c r="AH58">
        <v>0</v>
      </c>
      <c r="AI58">
        <v>0</v>
      </c>
      <c r="AJ58">
        <v>0</v>
      </c>
      <c r="AK58">
        <v>0</v>
      </c>
      <c r="AL58">
        <v>0</v>
      </c>
      <c r="AM58">
        <v>0</v>
      </c>
      <c r="AN58">
        <v>0</v>
      </c>
      <c r="AO58" s="31">
        <v>0</v>
      </c>
      <c r="AP58" s="19">
        <v>0</v>
      </c>
      <c r="AQ58" s="19">
        <v>0</v>
      </c>
      <c r="AR58" s="19">
        <v>0</v>
      </c>
    </row>
    <row r="59" spans="1:44" s="18" customFormat="1">
      <c r="B59" s="18">
        <v>2017</v>
      </c>
      <c r="C59" s="13">
        <f>'Belgian EV uptake'!K12</f>
        <v>0</v>
      </c>
      <c r="D59" s="13">
        <f t="shared" si="7"/>
        <v>5.3495396284564318</v>
      </c>
      <c r="E59" s="13">
        <f t="shared" si="8"/>
        <v>5.386633507032359</v>
      </c>
      <c r="F59" s="13">
        <f t="shared" si="9"/>
        <v>5.387518055751662</v>
      </c>
      <c r="G59" s="13">
        <f t="shared" si="10"/>
        <v>5.4334175105753344</v>
      </c>
      <c r="H59" s="13">
        <f t="shared" si="11"/>
        <v>5.4357460841114555</v>
      </c>
      <c r="I59" s="13">
        <f t="shared" si="12"/>
        <v>5.4389288317734472</v>
      </c>
      <c r="J59" s="13">
        <f t="shared" si="13"/>
        <v>5.7159787612129156</v>
      </c>
      <c r="K59" s="13">
        <f t="shared" si="2"/>
        <v>-19.78563607961658</v>
      </c>
      <c r="L59" s="13">
        <f t="shared" si="3"/>
        <v>42.758262667915545</v>
      </c>
      <c r="M59" s="13">
        <f t="shared" si="4"/>
        <v>42.999175773756967</v>
      </c>
      <c r="N59" s="13">
        <f t="shared" si="5"/>
        <v>44.590892000715868</v>
      </c>
      <c r="O59" s="13">
        <f t="shared" si="6"/>
        <v>40.066147445389007</v>
      </c>
      <c r="P59" s="182"/>
      <c r="Q59" s="182"/>
      <c r="R59" s="182"/>
      <c r="S59" s="182"/>
      <c r="T59" s="182"/>
      <c r="U59" s="182"/>
      <c r="V59" s="182"/>
      <c r="W59" s="13">
        <f>Belgium!R87</f>
        <v>0.91802741211565186</v>
      </c>
      <c r="X59" s="18">
        <v>0</v>
      </c>
      <c r="Y59">
        <v>0</v>
      </c>
      <c r="Z59">
        <v>0</v>
      </c>
      <c r="AA59" s="18">
        <v>0</v>
      </c>
      <c r="AB59">
        <f>'Belgian EV uptake'!AG12</f>
        <v>8</v>
      </c>
      <c r="AC59">
        <v>0</v>
      </c>
      <c r="AD59">
        <v>0</v>
      </c>
      <c r="AE59">
        <v>0</v>
      </c>
      <c r="AF59">
        <v>0</v>
      </c>
      <c r="AG59">
        <v>0</v>
      </c>
      <c r="AH59">
        <v>0</v>
      </c>
      <c r="AI59">
        <v>0</v>
      </c>
      <c r="AJ59">
        <v>0</v>
      </c>
      <c r="AK59">
        <v>0</v>
      </c>
      <c r="AL59">
        <v>0</v>
      </c>
      <c r="AM59">
        <v>0</v>
      </c>
      <c r="AN59">
        <v>0</v>
      </c>
      <c r="AO59" s="31">
        <v>0</v>
      </c>
      <c r="AP59" s="19">
        <v>0</v>
      </c>
      <c r="AQ59" s="19">
        <v>0</v>
      </c>
      <c r="AR59" s="19">
        <v>0</v>
      </c>
    </row>
    <row r="60" spans="1:44">
      <c r="A60" s="135" t="s">
        <v>298</v>
      </c>
      <c r="B60">
        <v>2012</v>
      </c>
      <c r="C60" s="13">
        <f>'British EV uptake'!O7</f>
        <v>2017.2678731409455</v>
      </c>
      <c r="E60" s="13">
        <f t="shared" si="8"/>
        <v>5.2594309386666742</v>
      </c>
      <c r="F60" s="13">
        <f t="shared" si="9"/>
        <v>5.2581089254877487</v>
      </c>
      <c r="G60" s="13">
        <f t="shared" si="10"/>
        <v>5.1890623076651226</v>
      </c>
      <c r="H60" s="13">
        <f t="shared" si="11"/>
        <v>5.1851516673905271</v>
      </c>
      <c r="I60" s="13">
        <f t="shared" si="12"/>
        <v>5.180400777355433</v>
      </c>
      <c r="J60" s="13">
        <f t="shared" si="13"/>
        <v>4.7639467131308697</v>
      </c>
      <c r="K60" s="13">
        <f t="shared" si="2"/>
        <v>-3.103434725404302</v>
      </c>
      <c r="L60" s="13">
        <f t="shared" si="3"/>
        <v>25.901812787722108</v>
      </c>
      <c r="M60" s="13">
        <f t="shared" si="4"/>
        <v>26.0017906011863</v>
      </c>
      <c r="N60" s="13">
        <f t="shared" si="5"/>
        <v>26.609699078260217</v>
      </c>
      <c r="O60" s="13">
        <f t="shared" si="6"/>
        <v>23.723582546478724</v>
      </c>
      <c r="P60" s="13"/>
      <c r="Q60" s="13"/>
      <c r="R60" s="13"/>
      <c r="S60" s="13"/>
      <c r="T60" s="13"/>
      <c r="U60" s="13"/>
      <c r="W60" s="13">
        <f>Britain!R81</f>
        <v>1.2770261930936688</v>
      </c>
      <c r="X60">
        <v>0</v>
      </c>
      <c r="Y60">
        <v>0</v>
      </c>
      <c r="Z60">
        <v>0</v>
      </c>
      <c r="AA60">
        <v>0</v>
      </c>
      <c r="AB60">
        <v>0</v>
      </c>
      <c r="AC60" s="3">
        <f t="shared" ref="AC60:AC65" si="14">AB54</f>
        <v>3</v>
      </c>
      <c r="AD60">
        <v>0</v>
      </c>
      <c r="AE60">
        <v>0</v>
      </c>
      <c r="AF60">
        <v>0</v>
      </c>
      <c r="AG60">
        <v>0</v>
      </c>
      <c r="AH60">
        <v>0</v>
      </c>
      <c r="AI60">
        <v>0</v>
      </c>
      <c r="AJ60">
        <v>0</v>
      </c>
      <c r="AK60">
        <v>0</v>
      </c>
      <c r="AL60">
        <v>0</v>
      </c>
      <c r="AM60">
        <v>0</v>
      </c>
      <c r="AN60">
        <v>0</v>
      </c>
      <c r="AO60" s="31">
        <v>0</v>
      </c>
      <c r="AP60" s="19">
        <v>0</v>
      </c>
      <c r="AQ60" s="19">
        <v>0</v>
      </c>
      <c r="AR60" s="19">
        <v>0</v>
      </c>
    </row>
    <row r="61" spans="1:44">
      <c r="B61">
        <v>2013</v>
      </c>
      <c r="C61" s="13">
        <f>'British EV uptake'!O8</f>
        <v>2017.2250499190925</v>
      </c>
      <c r="E61" s="13">
        <f t="shared" si="8"/>
        <v>5.2468703209250505</v>
      </c>
      <c r="F61" s="13">
        <f t="shared" si="9"/>
        <v>5.2460245728054433</v>
      </c>
      <c r="G61" s="13">
        <f t="shared" si="10"/>
        <v>5.2013784975934021</v>
      </c>
      <c r="H61" s="13">
        <f t="shared" si="11"/>
        <v>5.1984202622109619</v>
      </c>
      <c r="I61" s="13">
        <f t="shared" si="12"/>
        <v>5.1953871979735702</v>
      </c>
      <c r="J61" s="13">
        <f t="shared" si="13"/>
        <v>4.9264340716363</v>
      </c>
      <c r="K61" s="13">
        <f t="shared" si="2"/>
        <v>-5.0654139050153031</v>
      </c>
      <c r="L61" s="13">
        <f t="shared" si="3"/>
        <v>25.91152254191006</v>
      </c>
      <c r="M61" s="13">
        <f t="shared" si="4"/>
        <v>26.011206500587839</v>
      </c>
      <c r="N61" s="13">
        <f t="shared" si="5"/>
        <v>26.618665721023451</v>
      </c>
      <c r="O61" s="13">
        <f t="shared" si="6"/>
        <v>23.735617358522074</v>
      </c>
      <c r="P61" s="13"/>
      <c r="Q61" s="13"/>
      <c r="R61" s="13"/>
      <c r="S61" s="13"/>
      <c r="T61" s="13"/>
      <c r="U61" s="13"/>
      <c r="W61" s="13">
        <f>Britain!R82</f>
        <v>1.2835351424175223</v>
      </c>
      <c r="X61">
        <v>0</v>
      </c>
      <c r="Y61">
        <v>0</v>
      </c>
      <c r="Z61">
        <v>0</v>
      </c>
      <c r="AA61">
        <v>0</v>
      </c>
      <c r="AB61">
        <v>0</v>
      </c>
      <c r="AC61" s="3">
        <f t="shared" si="14"/>
        <v>4</v>
      </c>
      <c r="AD61">
        <v>0</v>
      </c>
      <c r="AE61">
        <v>0</v>
      </c>
      <c r="AF61">
        <v>0</v>
      </c>
      <c r="AG61">
        <v>0</v>
      </c>
      <c r="AH61">
        <v>0</v>
      </c>
      <c r="AI61">
        <v>0</v>
      </c>
      <c r="AJ61">
        <v>0</v>
      </c>
      <c r="AK61">
        <v>0</v>
      </c>
      <c r="AL61">
        <v>0</v>
      </c>
      <c r="AM61">
        <v>0</v>
      </c>
      <c r="AN61">
        <v>0</v>
      </c>
      <c r="AO61" s="31">
        <v>0</v>
      </c>
      <c r="AP61" s="19">
        <v>0</v>
      </c>
      <c r="AQ61" s="19">
        <v>0</v>
      </c>
      <c r="AR61" s="19">
        <v>0</v>
      </c>
    </row>
    <row r="62" spans="1:44">
      <c r="B62">
        <v>2014</v>
      </c>
      <c r="C62" s="13">
        <f>'British EV uptake'!O9</f>
        <v>2017.8014239680281</v>
      </c>
      <c r="E62" s="13">
        <f t="shared" si="8"/>
        <v>5.6138512930185511</v>
      </c>
      <c r="F62" s="13">
        <f t="shared" si="9"/>
        <v>5.6132295786698814</v>
      </c>
      <c r="G62" s="13">
        <f t="shared" si="10"/>
        <v>5.5827993877356477</v>
      </c>
      <c r="H62" s="13">
        <f t="shared" si="11"/>
        <v>5.582925544700454</v>
      </c>
      <c r="I62" s="13">
        <f t="shared" si="12"/>
        <v>5.5806642534001023</v>
      </c>
      <c r="J62" s="13">
        <f t="shared" si="13"/>
        <v>5.3957070502372</v>
      </c>
      <c r="K62" s="13">
        <f t="shared" si="2"/>
        <v>-6.336952383857442</v>
      </c>
      <c r="L62" s="13">
        <f t="shared" si="3"/>
        <v>25.788601755355792</v>
      </c>
      <c r="M62" s="13">
        <f t="shared" si="4"/>
        <v>25.892005773345005</v>
      </c>
      <c r="N62" s="13">
        <f t="shared" si="5"/>
        <v>26.505152365291373</v>
      </c>
      <c r="O62" s="13">
        <f t="shared" si="6"/>
        <v>23.583262465312036</v>
      </c>
      <c r="P62" s="13"/>
      <c r="Q62" s="13"/>
      <c r="R62" s="13"/>
      <c r="S62" s="13"/>
      <c r="T62" s="13"/>
      <c r="U62" s="13"/>
      <c r="W62" s="13">
        <f>Britain!R83</f>
        <v>1.2011349956122954</v>
      </c>
      <c r="X62">
        <v>0</v>
      </c>
      <c r="Y62">
        <v>0</v>
      </c>
      <c r="Z62">
        <v>0</v>
      </c>
      <c r="AA62">
        <v>0</v>
      </c>
      <c r="AB62">
        <v>0</v>
      </c>
      <c r="AC62" s="3">
        <f t="shared" si="14"/>
        <v>5</v>
      </c>
      <c r="AD62">
        <v>0</v>
      </c>
      <c r="AE62">
        <v>0</v>
      </c>
      <c r="AF62">
        <v>0</v>
      </c>
      <c r="AG62">
        <v>0</v>
      </c>
      <c r="AH62">
        <v>0</v>
      </c>
      <c r="AI62">
        <v>0</v>
      </c>
      <c r="AJ62">
        <v>0</v>
      </c>
      <c r="AK62">
        <v>0</v>
      </c>
      <c r="AL62">
        <v>0</v>
      </c>
      <c r="AM62">
        <v>0</v>
      </c>
      <c r="AN62">
        <v>0</v>
      </c>
      <c r="AO62" s="31">
        <v>0</v>
      </c>
      <c r="AP62" s="19">
        <v>0</v>
      </c>
      <c r="AQ62" s="19">
        <v>0</v>
      </c>
      <c r="AR62" s="19">
        <v>0</v>
      </c>
    </row>
    <row r="63" spans="1:44">
      <c r="B63">
        <v>2015</v>
      </c>
      <c r="C63" s="13">
        <f>'British EV uptake'!O10</f>
        <v>2017.0074449217677</v>
      </c>
      <c r="E63" s="13">
        <f t="shared" si="8"/>
        <v>5.1316347630038734</v>
      </c>
      <c r="F63" s="13">
        <f t="shared" si="9"/>
        <v>5.1318014321200414</v>
      </c>
      <c r="G63" s="13">
        <f t="shared" si="10"/>
        <v>5.1383745791910913</v>
      </c>
      <c r="H63" s="13">
        <f t="shared" si="11"/>
        <v>5.1368149571441197</v>
      </c>
      <c r="I63" s="13">
        <f t="shared" si="12"/>
        <v>5.1374421652414997</v>
      </c>
      <c r="J63" s="13">
        <f t="shared" si="13"/>
        <v>5.1785688706276023</v>
      </c>
      <c r="K63" s="13">
        <f t="shared" si="2"/>
        <v>-9.153303168253343</v>
      </c>
      <c r="L63" s="13">
        <f t="shared" si="3"/>
        <v>25.962432436672216</v>
      </c>
      <c r="M63" s="13">
        <f t="shared" si="4"/>
        <v>26.060575664661862</v>
      </c>
      <c r="N63" s="13">
        <f t="shared" si="5"/>
        <v>26.665679356035202</v>
      </c>
      <c r="O63" s="13">
        <f t="shared" si="6"/>
        <v>23.798717927573499</v>
      </c>
      <c r="P63" s="13"/>
      <c r="Q63" s="13"/>
      <c r="R63" s="13"/>
      <c r="S63" s="13"/>
      <c r="T63" s="13"/>
      <c r="U63" s="13"/>
      <c r="W63" s="13">
        <f>Britain!R84</f>
        <v>1.3176626721855536</v>
      </c>
      <c r="X63">
        <v>0</v>
      </c>
      <c r="Y63">
        <v>0</v>
      </c>
      <c r="Z63">
        <v>0</v>
      </c>
      <c r="AA63">
        <v>0</v>
      </c>
      <c r="AB63">
        <v>0</v>
      </c>
      <c r="AC63" s="3">
        <f t="shared" si="14"/>
        <v>6</v>
      </c>
      <c r="AD63">
        <v>0</v>
      </c>
      <c r="AE63">
        <v>0</v>
      </c>
      <c r="AF63">
        <v>0</v>
      </c>
      <c r="AG63">
        <v>0</v>
      </c>
      <c r="AH63">
        <v>0</v>
      </c>
      <c r="AI63">
        <v>0</v>
      </c>
      <c r="AJ63">
        <v>0</v>
      </c>
      <c r="AK63">
        <v>0</v>
      </c>
      <c r="AL63">
        <v>0</v>
      </c>
      <c r="AM63">
        <v>0</v>
      </c>
      <c r="AN63">
        <v>0</v>
      </c>
      <c r="AO63" s="31">
        <v>0</v>
      </c>
      <c r="AP63" s="19">
        <v>0</v>
      </c>
      <c r="AQ63" s="19">
        <v>0</v>
      </c>
      <c r="AR63" s="19">
        <v>0</v>
      </c>
    </row>
    <row r="64" spans="1:44">
      <c r="B64">
        <v>2016</v>
      </c>
      <c r="C64" s="13">
        <f>'British EV uptake'!O11</f>
        <v>2017.648681601019</v>
      </c>
      <c r="E64" s="13">
        <f t="shared" si="8"/>
        <v>5.5555591454272051</v>
      </c>
      <c r="F64" s="13">
        <f t="shared" si="9"/>
        <v>5.5559120055320266</v>
      </c>
      <c r="G64" s="13">
        <f t="shared" si="10"/>
        <v>5.5751730115101603</v>
      </c>
      <c r="H64" s="13">
        <f t="shared" si="11"/>
        <v>5.5770176483012888</v>
      </c>
      <c r="I64" s="13">
        <f t="shared" si="12"/>
        <v>5.5782746910668051</v>
      </c>
      <c r="J64" s="13">
        <f t="shared" si="13"/>
        <v>5.6938695308219138</v>
      </c>
      <c r="K64" s="13">
        <f t="shared" si="2"/>
        <v>-10.321253399627325</v>
      </c>
      <c r="L64" s="13">
        <f t="shared" si="3"/>
        <v>25.819612815560632</v>
      </c>
      <c r="M64" s="13">
        <f t="shared" si="4"/>
        <v>25.922078318702141</v>
      </c>
      <c r="N64" s="13">
        <f t="shared" si="5"/>
        <v>26.533790072609548</v>
      </c>
      <c r="O64" s="13">
        <f t="shared" si="6"/>
        <v>23.621699306616758</v>
      </c>
      <c r="P64" s="13"/>
      <c r="Q64" s="13"/>
      <c r="R64" s="13"/>
      <c r="S64" s="13"/>
      <c r="T64" s="13"/>
      <c r="U64" s="13"/>
      <c r="W64" s="13">
        <f>Britain!R85</f>
        <v>1.2219233096566111</v>
      </c>
      <c r="X64">
        <v>0</v>
      </c>
      <c r="Y64">
        <v>0</v>
      </c>
      <c r="Z64">
        <v>0</v>
      </c>
      <c r="AA64">
        <v>0</v>
      </c>
      <c r="AB64">
        <v>0</v>
      </c>
      <c r="AC64" s="3">
        <f t="shared" si="14"/>
        <v>7</v>
      </c>
      <c r="AD64">
        <v>0</v>
      </c>
      <c r="AE64">
        <v>0</v>
      </c>
      <c r="AF64">
        <v>0</v>
      </c>
      <c r="AG64">
        <v>0</v>
      </c>
      <c r="AH64">
        <v>0</v>
      </c>
      <c r="AI64">
        <v>0</v>
      </c>
      <c r="AJ64">
        <v>0</v>
      </c>
      <c r="AK64">
        <v>0</v>
      </c>
      <c r="AL64">
        <v>0</v>
      </c>
      <c r="AM64">
        <v>0</v>
      </c>
      <c r="AN64">
        <v>0</v>
      </c>
      <c r="AO64" s="31">
        <v>0</v>
      </c>
      <c r="AP64" s="19">
        <v>0</v>
      </c>
      <c r="AQ64" s="19">
        <v>0</v>
      </c>
      <c r="AR64" s="19">
        <v>0</v>
      </c>
    </row>
    <row r="65" spans="1:44" s="18" customFormat="1">
      <c r="B65" s="18">
        <v>2017</v>
      </c>
      <c r="C65" s="182">
        <f>'British EV uptake'!O12</f>
        <v>2017.8255650522617</v>
      </c>
      <c r="D65" s="182"/>
      <c r="E65" s="13">
        <f t="shared" si="8"/>
        <v>5.6732773374491119</v>
      </c>
      <c r="F65" s="13">
        <f t="shared" si="9"/>
        <v>5.6740198834532451</v>
      </c>
      <c r="G65" s="13">
        <f t="shared" si="10"/>
        <v>5.7141855169670999</v>
      </c>
      <c r="H65" s="13">
        <f t="shared" si="11"/>
        <v>5.7177143698550541</v>
      </c>
      <c r="I65" s="13">
        <f t="shared" si="12"/>
        <v>5.7203645028847729</v>
      </c>
      <c r="J65" s="13">
        <f t="shared" si="13"/>
        <v>5.9616619902939245</v>
      </c>
      <c r="K65" s="13">
        <f t="shared" si="2"/>
        <v>-12.046236700216111</v>
      </c>
      <c r="L65" s="13">
        <f t="shared" si="3"/>
        <v>25.783796731608696</v>
      </c>
      <c r="M65" s="13">
        <f t="shared" si="4"/>
        <v>25.887346168235659</v>
      </c>
      <c r="N65" s="13">
        <f t="shared" si="5"/>
        <v>26.500715081857098</v>
      </c>
      <c r="O65" s="13">
        <f t="shared" si="6"/>
        <v>23.577306850314912</v>
      </c>
      <c r="P65" s="182"/>
      <c r="Q65" s="182"/>
      <c r="R65" s="182"/>
      <c r="S65" s="182"/>
      <c r="T65" s="182"/>
      <c r="U65" s="182"/>
      <c r="V65" s="182"/>
      <c r="W65" s="13">
        <f>Britain!R86</f>
        <v>1.1979139402215651</v>
      </c>
      <c r="X65" s="18">
        <v>0</v>
      </c>
      <c r="Y65">
        <v>0</v>
      </c>
      <c r="Z65">
        <v>0</v>
      </c>
      <c r="AA65" s="18">
        <v>0</v>
      </c>
      <c r="AB65" s="18">
        <v>0</v>
      </c>
      <c r="AC65" s="3">
        <f t="shared" si="14"/>
        <v>8</v>
      </c>
      <c r="AD65">
        <v>0</v>
      </c>
      <c r="AE65" s="18">
        <v>0</v>
      </c>
      <c r="AF65" s="18">
        <v>0</v>
      </c>
      <c r="AG65" s="18">
        <v>0</v>
      </c>
      <c r="AH65" s="18">
        <v>0</v>
      </c>
      <c r="AI65" s="18">
        <v>0</v>
      </c>
      <c r="AJ65">
        <v>0</v>
      </c>
      <c r="AK65">
        <v>0</v>
      </c>
      <c r="AL65">
        <v>0</v>
      </c>
      <c r="AM65">
        <v>0</v>
      </c>
      <c r="AN65" s="18">
        <v>0</v>
      </c>
      <c r="AO65" s="18">
        <v>0</v>
      </c>
      <c r="AP65" s="27">
        <v>0</v>
      </c>
      <c r="AQ65" s="27">
        <v>0</v>
      </c>
      <c r="AR65" s="27">
        <v>0</v>
      </c>
    </row>
    <row r="66" spans="1:44">
      <c r="A66" s="135" t="s">
        <v>238</v>
      </c>
      <c r="B66">
        <v>2012</v>
      </c>
      <c r="C66" s="13">
        <f>'Canada EV uptake'!O7</f>
        <v>2017.0015547616606</v>
      </c>
      <c r="F66" s="13">
        <f t="shared" si="9"/>
        <v>3.8424261095747205</v>
      </c>
      <c r="G66" s="13">
        <f t="shared" si="10"/>
        <v>3.8450025242427839</v>
      </c>
      <c r="H66" s="13">
        <f t="shared" si="11"/>
        <v>3.8444631950309529</v>
      </c>
      <c r="I66" s="13">
        <f t="shared" si="12"/>
        <v>3.8447025181763439</v>
      </c>
      <c r="J66" s="13">
        <f t="shared" si="13"/>
        <v>3.8607673920342713</v>
      </c>
      <c r="K66" s="13">
        <f t="shared" si="2"/>
        <v>4.6361047926854067</v>
      </c>
      <c r="L66" s="13">
        <f t="shared" si="3"/>
        <v>35.091286315271432</v>
      </c>
      <c r="M66" s="13">
        <f t="shared" si="4"/>
        <v>35.160182519103799</v>
      </c>
      <c r="N66" s="13">
        <f t="shared" si="5"/>
        <v>36.001772282588334</v>
      </c>
      <c r="O66" s="13">
        <f t="shared" si="6"/>
        <v>33.400937150201393</v>
      </c>
      <c r="P66" s="31"/>
      <c r="Q66" s="31"/>
      <c r="R66" s="31"/>
      <c r="S66" s="31"/>
      <c r="T66" s="31"/>
      <c r="U66" s="31"/>
      <c r="V66" s="177"/>
      <c r="W66" s="177">
        <f>Canada!R80</f>
        <v>0.98881283257869401</v>
      </c>
      <c r="X66" s="31">
        <v>0</v>
      </c>
      <c r="Y66">
        <v>0</v>
      </c>
      <c r="Z66">
        <v>0</v>
      </c>
      <c r="AA66" s="31">
        <v>0</v>
      </c>
      <c r="AB66" s="31">
        <v>0</v>
      </c>
      <c r="AC66">
        <v>0</v>
      </c>
      <c r="AD66">
        <v>1</v>
      </c>
      <c r="AE66" s="50">
        <f t="shared" ref="AE66:AE71" si="15">AC60</f>
        <v>3</v>
      </c>
      <c r="AF66">
        <v>0</v>
      </c>
      <c r="AG66">
        <v>0</v>
      </c>
      <c r="AH66">
        <v>0</v>
      </c>
      <c r="AI66">
        <v>0</v>
      </c>
      <c r="AJ66">
        <v>0</v>
      </c>
      <c r="AK66">
        <v>0</v>
      </c>
      <c r="AL66">
        <v>0</v>
      </c>
      <c r="AM66">
        <v>0</v>
      </c>
      <c r="AN66">
        <v>0</v>
      </c>
      <c r="AO66" s="31">
        <v>0</v>
      </c>
      <c r="AP66" s="19">
        <v>0</v>
      </c>
      <c r="AQ66" s="19">
        <v>0</v>
      </c>
      <c r="AR66" s="19">
        <v>0</v>
      </c>
    </row>
    <row r="67" spans="1:44">
      <c r="B67">
        <v>2013</v>
      </c>
      <c r="C67" s="13">
        <f>'Canada EV uptake'!O8</f>
        <v>2017.2592952763096</v>
      </c>
      <c r="F67" s="13">
        <f t="shared" si="9"/>
        <v>4.3060962860712628</v>
      </c>
      <c r="G67" s="13">
        <f t="shared" si="10"/>
        <v>4.3071686664361586</v>
      </c>
      <c r="H67" s="13">
        <f t="shared" si="11"/>
        <v>4.3069441815874479</v>
      </c>
      <c r="I67" s="13">
        <f t="shared" si="12"/>
        <v>4.3070437949940779</v>
      </c>
      <c r="J67" s="13">
        <f t="shared" si="13"/>
        <v>4.3137304729979578</v>
      </c>
      <c r="K67" s="13">
        <f t="shared" si="2"/>
        <v>4.7357443253608293</v>
      </c>
      <c r="L67" s="13">
        <f t="shared" si="3"/>
        <v>38.26370313095336</v>
      </c>
      <c r="M67" s="13">
        <f t="shared" si="4"/>
        <v>38.318932198342161</v>
      </c>
      <c r="N67" s="13">
        <f t="shared" si="5"/>
        <v>39.233360465299072</v>
      </c>
      <c r="O67" s="13">
        <f t="shared" si="6"/>
        <v>36.762143696211517</v>
      </c>
      <c r="P67" s="31"/>
      <c r="Q67" s="31"/>
      <c r="R67" s="31"/>
      <c r="S67" s="31"/>
      <c r="T67" s="31"/>
      <c r="U67" s="31"/>
      <c r="V67" s="177"/>
      <c r="W67" s="177">
        <f>Canada!R81</f>
        <v>0.96598364065202125</v>
      </c>
      <c r="X67" s="31">
        <v>0</v>
      </c>
      <c r="Y67">
        <v>0</v>
      </c>
      <c r="Z67">
        <v>0</v>
      </c>
      <c r="AA67" s="31">
        <v>0</v>
      </c>
      <c r="AB67" s="31">
        <v>0</v>
      </c>
      <c r="AC67">
        <v>0</v>
      </c>
      <c r="AD67">
        <v>1</v>
      </c>
      <c r="AE67" s="50">
        <f t="shared" si="15"/>
        <v>4</v>
      </c>
      <c r="AF67">
        <v>0</v>
      </c>
      <c r="AG67">
        <v>0</v>
      </c>
      <c r="AH67">
        <v>0</v>
      </c>
      <c r="AI67">
        <v>0</v>
      </c>
      <c r="AJ67">
        <v>0</v>
      </c>
      <c r="AK67">
        <v>0</v>
      </c>
      <c r="AL67">
        <v>0</v>
      </c>
      <c r="AM67">
        <v>0</v>
      </c>
      <c r="AN67">
        <v>0</v>
      </c>
      <c r="AO67" s="31">
        <v>0</v>
      </c>
      <c r="AP67" s="19">
        <v>0</v>
      </c>
      <c r="AQ67" s="19">
        <v>0</v>
      </c>
      <c r="AR67" s="19">
        <v>0</v>
      </c>
    </row>
    <row r="68" spans="1:44">
      <c r="B68">
        <v>2014</v>
      </c>
      <c r="C68" s="13">
        <f>'Canada EV uptake'!O9</f>
        <v>2018.4664745793218</v>
      </c>
      <c r="F68" s="13">
        <f t="shared" si="9"/>
        <v>5.0745069648256749</v>
      </c>
      <c r="G68" s="13">
        <f t="shared" si="10"/>
        <v>5.0658924346064893</v>
      </c>
      <c r="H68" s="13">
        <f t="shared" si="11"/>
        <v>5.0676957420674515</v>
      </c>
      <c r="I68" s="13">
        <f t="shared" si="12"/>
        <v>5.06689553839926</v>
      </c>
      <c r="J68" s="13">
        <f t="shared" si="13"/>
        <v>5.0131808382650966</v>
      </c>
      <c r="K68" s="13">
        <f t="shared" ref="K68:K101" si="16">K$3+K$4*W68+K$6*X68+K$8*AA68+K$9*AB68+K$10*AC68+K$12*AE68+K$13*AF68+K$14*AG68+K$15*AH68+K$16*AI68+K$17*AN68</f>
        <v>5.3901192894170631</v>
      </c>
      <c r="L68" s="13">
        <f t="shared" ref="L68:L99" si="17">L$3+L$4*W68+L$6*X68+L$8*AA68+L$9*AB68+L$10*AC68+L$12*AE68+L$13*AF68+L$14*AG68+L$15*AH68+L$16*AI68+L$17*AN68+L$18*AO68</f>
        <v>41.329557775327928</v>
      </c>
      <c r="M68" s="13">
        <f t="shared" ref="M68:M99" si="18">M$3+M$4*W68+M$6*X68+M$8*AA68+M$9*AB68+M$10*AC68+M$12*AE68+M$13*AF68+M$14*AG68+M$15*AH68+M$16*AI68+M$17*AN68+M$18*AO68+M$19*AP68</f>
        <v>41.374344690498631</v>
      </c>
      <c r="N68" s="13">
        <f t="shared" ref="N68:N99" si="19">N$3+N$4*W68+N$6*X68+N$8*AA68+N$9*AB68+N$10*AC68+N$12*AE68+N$13*AF68+N$14*AG68+N$15*AH68+N$16*AI68+N$17*AN68+N$18*AO68+N$19*AP68+N$20*AQ68</f>
        <v>42.366541942372152</v>
      </c>
      <c r="O68" s="13">
        <f t="shared" ref="O68:O99" si="20">O$3+O$4*W68+O$6*X68+O$8*AA68+O$9*AB68+O$10*AC68+O$12*AE68+O$13*AF68+O$14*AG68+O$15*AH68+O$16*AI68+O$17*AN68+O$18*AO68+O$19*AP68+O$20*AQ68+O$21*AR68</f>
        <v>39.991271131073141</v>
      </c>
      <c r="P68" s="31"/>
      <c r="Q68" s="31"/>
      <c r="R68" s="31"/>
      <c r="S68" s="31"/>
      <c r="T68" s="31"/>
      <c r="U68" s="31"/>
      <c r="V68" s="177"/>
      <c r="W68" s="177">
        <f>Canada!R82</f>
        <v>0.87172032593982851</v>
      </c>
      <c r="X68" s="31">
        <v>0</v>
      </c>
      <c r="Y68">
        <v>0</v>
      </c>
      <c r="Z68">
        <v>0</v>
      </c>
      <c r="AA68" s="31">
        <v>0</v>
      </c>
      <c r="AB68" s="31">
        <v>0</v>
      </c>
      <c r="AC68">
        <v>0</v>
      </c>
      <c r="AD68">
        <v>1</v>
      </c>
      <c r="AE68" s="50">
        <f t="shared" si="15"/>
        <v>5</v>
      </c>
      <c r="AF68">
        <v>0</v>
      </c>
      <c r="AG68">
        <v>0</v>
      </c>
      <c r="AH68">
        <v>0</v>
      </c>
      <c r="AI68">
        <v>0</v>
      </c>
      <c r="AJ68">
        <v>0</v>
      </c>
      <c r="AK68">
        <v>0</v>
      </c>
      <c r="AL68">
        <v>0</v>
      </c>
      <c r="AM68">
        <v>0</v>
      </c>
      <c r="AN68">
        <v>0</v>
      </c>
      <c r="AO68" s="31">
        <v>0</v>
      </c>
      <c r="AP68" s="19">
        <v>0</v>
      </c>
      <c r="AQ68" s="19">
        <v>0</v>
      </c>
      <c r="AR68" s="19">
        <v>0</v>
      </c>
    </row>
    <row r="69" spans="1:44">
      <c r="B69">
        <v>2015</v>
      </c>
      <c r="C69" s="13">
        <f>'Canada EV uptake'!O10</f>
        <v>2017.766183496047</v>
      </c>
      <c r="F69" s="13">
        <f t="shared" si="9"/>
        <v>5.2176408916153694</v>
      </c>
      <c r="G69" s="13">
        <f t="shared" si="10"/>
        <v>5.2161293499713874</v>
      </c>
      <c r="H69" s="13">
        <f t="shared" si="11"/>
        <v>5.216445765870434</v>
      </c>
      <c r="I69" s="13">
        <f t="shared" si="12"/>
        <v>5.2163053587748198</v>
      </c>
      <c r="J69" s="13">
        <f t="shared" si="13"/>
        <v>5.2068803519455695</v>
      </c>
      <c r="K69" s="13">
        <f t="shared" si="16"/>
        <v>4.9062695469981934</v>
      </c>
      <c r="L69" s="13">
        <f t="shared" si="17"/>
        <v>44.61406024584867</v>
      </c>
      <c r="M69" s="13">
        <f t="shared" si="18"/>
        <v>44.641787878335528</v>
      </c>
      <c r="N69" s="13">
        <f t="shared" si="19"/>
        <v>45.701637588440704</v>
      </c>
      <c r="O69" s="13">
        <f t="shared" si="20"/>
        <v>43.491402902442161</v>
      </c>
      <c r="P69" s="31"/>
      <c r="Q69" s="31"/>
      <c r="R69" s="31"/>
      <c r="S69" s="31"/>
      <c r="T69" s="31"/>
      <c r="U69" s="31"/>
      <c r="V69" s="177"/>
      <c r="W69" s="177">
        <f>Canada!R83</f>
        <v>0.92402793286043683</v>
      </c>
      <c r="X69" s="31">
        <v>0</v>
      </c>
      <c r="Y69">
        <v>0</v>
      </c>
      <c r="Z69">
        <v>0</v>
      </c>
      <c r="AA69" s="31">
        <v>0</v>
      </c>
      <c r="AB69" s="31">
        <v>0</v>
      </c>
      <c r="AC69">
        <v>0</v>
      </c>
      <c r="AD69">
        <v>1</v>
      </c>
      <c r="AE69" s="50">
        <f t="shared" si="15"/>
        <v>6</v>
      </c>
      <c r="AF69">
        <v>0</v>
      </c>
      <c r="AG69">
        <v>0</v>
      </c>
      <c r="AH69">
        <v>0</v>
      </c>
      <c r="AI69">
        <v>0</v>
      </c>
      <c r="AJ69">
        <v>0</v>
      </c>
      <c r="AK69">
        <v>0</v>
      </c>
      <c r="AL69">
        <v>0</v>
      </c>
      <c r="AM69">
        <v>0</v>
      </c>
      <c r="AN69">
        <v>0</v>
      </c>
      <c r="AO69" s="31">
        <v>0</v>
      </c>
      <c r="AP69" s="19">
        <v>0</v>
      </c>
      <c r="AQ69" s="19">
        <v>0</v>
      </c>
      <c r="AR69" s="19">
        <v>0</v>
      </c>
    </row>
    <row r="70" spans="1:44">
      <c r="B70">
        <v>2016</v>
      </c>
      <c r="C70" s="13">
        <f>'Canada EV uptake'!O11</f>
        <v>2017.7612958281914</v>
      </c>
      <c r="F70" s="13">
        <f t="shared" si="9"/>
        <v>5.5822693353496637</v>
      </c>
      <c r="G70" s="13">
        <f t="shared" si="10"/>
        <v>5.5819132229127373</v>
      </c>
      <c r="H70" s="13">
        <f t="shared" si="11"/>
        <v>5.581987769080448</v>
      </c>
      <c r="I70" s="13">
        <f t="shared" si="12"/>
        <v>5.5819546897979926</v>
      </c>
      <c r="J70" s="13">
        <f t="shared" si="13"/>
        <v>5.579734200429824</v>
      </c>
      <c r="K70" s="13">
        <f t="shared" si="16"/>
        <v>4.8256181175550461</v>
      </c>
      <c r="L70" s="13">
        <f t="shared" si="17"/>
        <v>47.821110141199995</v>
      </c>
      <c r="M70" s="13">
        <f t="shared" si="18"/>
        <v>47.834122506051493</v>
      </c>
      <c r="N70" s="13">
        <f t="shared" si="19"/>
        <v>48.965208295855462</v>
      </c>
      <c r="O70" s="13">
        <f t="shared" si="20"/>
        <v>46.895535623125241</v>
      </c>
      <c r="P70" s="31"/>
      <c r="Q70" s="31"/>
      <c r="R70" s="31"/>
      <c r="S70" s="31"/>
      <c r="T70" s="31"/>
      <c r="U70" s="31"/>
      <c r="V70" s="177"/>
      <c r="W70" s="177">
        <f>Canada!R84</f>
        <v>0.92441508154687413</v>
      </c>
      <c r="X70" s="31">
        <v>0</v>
      </c>
      <c r="Y70">
        <v>0</v>
      </c>
      <c r="Z70">
        <v>0</v>
      </c>
      <c r="AA70" s="31">
        <v>0</v>
      </c>
      <c r="AB70" s="31">
        <v>0</v>
      </c>
      <c r="AC70">
        <v>0</v>
      </c>
      <c r="AD70">
        <v>1</v>
      </c>
      <c r="AE70" s="50">
        <f t="shared" si="15"/>
        <v>7</v>
      </c>
      <c r="AF70">
        <v>0</v>
      </c>
      <c r="AG70">
        <v>0</v>
      </c>
      <c r="AH70">
        <v>0</v>
      </c>
      <c r="AI70">
        <v>0</v>
      </c>
      <c r="AJ70">
        <v>0</v>
      </c>
      <c r="AK70">
        <v>0</v>
      </c>
      <c r="AL70">
        <v>0</v>
      </c>
      <c r="AM70">
        <v>0</v>
      </c>
      <c r="AN70">
        <v>0</v>
      </c>
      <c r="AO70" s="31">
        <v>0</v>
      </c>
      <c r="AP70" s="19">
        <v>0</v>
      </c>
      <c r="AQ70" s="19">
        <v>0</v>
      </c>
      <c r="AR70" s="19">
        <v>0</v>
      </c>
    </row>
    <row r="71" spans="1:44" s="18" customFormat="1">
      <c r="B71" s="18">
        <v>2017</v>
      </c>
      <c r="C71" s="182">
        <f>'Canada EV uptake'!O12</f>
        <v>2017.562179717394</v>
      </c>
      <c r="D71" s="182"/>
      <c r="E71" s="182"/>
      <c r="F71" s="13">
        <f t="shared" si="9"/>
        <v>5.8800690661068877</v>
      </c>
      <c r="G71" s="13">
        <f t="shared" si="10"/>
        <v>5.8826628640380418</v>
      </c>
      <c r="H71" s="13">
        <f t="shared" si="11"/>
        <v>5.882119895931547</v>
      </c>
      <c r="I71" s="13">
        <f t="shared" si="12"/>
        <v>5.8823608338081605</v>
      </c>
      <c r="J71" s="13">
        <f t="shared" si="13"/>
        <v>5.8985340985754586</v>
      </c>
      <c r="K71" s="13">
        <f t="shared" si="16"/>
        <v>4.623314808406751</v>
      </c>
      <c r="L71" s="13">
        <f t="shared" si="17"/>
        <v>51.051528813290048</v>
      </c>
      <c r="M71" s="13">
        <f t="shared" si="18"/>
        <v>51.049118680769539</v>
      </c>
      <c r="N71" s="13">
        <f t="shared" si="19"/>
        <v>52.250359309915879</v>
      </c>
      <c r="O71" s="13">
        <f t="shared" si="20"/>
        <v>50.328632911838532</v>
      </c>
      <c r="V71" s="182"/>
      <c r="W71" s="177">
        <f>Canada!R85</f>
        <v>0.94046752727467031</v>
      </c>
      <c r="X71" s="18">
        <v>0</v>
      </c>
      <c r="Y71">
        <v>0</v>
      </c>
      <c r="Z71">
        <v>0</v>
      </c>
      <c r="AA71" s="18">
        <v>0</v>
      </c>
      <c r="AB71" s="18">
        <v>0</v>
      </c>
      <c r="AC71">
        <v>0</v>
      </c>
      <c r="AD71">
        <v>1</v>
      </c>
      <c r="AE71" s="50">
        <f t="shared" si="15"/>
        <v>8</v>
      </c>
      <c r="AF71" s="18">
        <v>0</v>
      </c>
      <c r="AG71" s="18">
        <v>0</v>
      </c>
      <c r="AH71" s="18">
        <v>0</v>
      </c>
      <c r="AI71" s="18">
        <v>0</v>
      </c>
      <c r="AJ71">
        <v>0</v>
      </c>
      <c r="AK71">
        <v>0</v>
      </c>
      <c r="AL71">
        <v>0</v>
      </c>
      <c r="AM71">
        <v>0</v>
      </c>
      <c r="AN71" s="18">
        <v>0</v>
      </c>
      <c r="AO71" s="18">
        <v>0</v>
      </c>
      <c r="AP71" s="27">
        <v>0</v>
      </c>
      <c r="AQ71" s="27">
        <v>0</v>
      </c>
      <c r="AR71" s="27">
        <v>0</v>
      </c>
    </row>
    <row r="72" spans="1:44">
      <c r="A72" s="135" t="s">
        <v>239</v>
      </c>
      <c r="B72">
        <v>2012</v>
      </c>
      <c r="C72" s="13">
        <f>'China EV uptake'!O7</f>
        <v>2017.417420148292</v>
      </c>
      <c r="G72" s="13">
        <f t="shared" si="10"/>
        <v>6.3861779489599275</v>
      </c>
      <c r="H72" s="13">
        <f t="shared" si="11"/>
        <v>6.3865502055075352</v>
      </c>
      <c r="I72" s="13">
        <f t="shared" si="12"/>
        <v>6.3827815386533251</v>
      </c>
      <c r="J72" s="13">
        <f t="shared" si="13"/>
        <v>6.0756130665386658</v>
      </c>
      <c r="K72" s="13">
        <f t="shared" si="16"/>
        <v>-7.8544113027871862</v>
      </c>
      <c r="L72" s="13">
        <f t="shared" si="17"/>
        <v>13.231609935504618</v>
      </c>
      <c r="M72" s="13">
        <f t="shared" si="18"/>
        <v>13.228198040827468</v>
      </c>
      <c r="N72" s="13">
        <f t="shared" si="19"/>
        <v>13.5709190797898</v>
      </c>
      <c r="O72" s="13">
        <f t="shared" si="20"/>
        <v>13.188195315585794</v>
      </c>
      <c r="P72" s="31"/>
      <c r="Q72" s="31"/>
      <c r="R72" s="31"/>
      <c r="S72" s="31"/>
      <c r="T72" s="31"/>
      <c r="U72" s="31"/>
      <c r="V72" s="177"/>
      <c r="W72" s="177">
        <f>China!R79</f>
        <v>1.1189278725746541</v>
      </c>
      <c r="X72" s="31">
        <v>0</v>
      </c>
      <c r="Y72">
        <v>0</v>
      </c>
      <c r="Z72">
        <v>0</v>
      </c>
      <c r="AA72" s="31">
        <v>0</v>
      </c>
      <c r="AB72" s="31">
        <v>0</v>
      </c>
      <c r="AC72">
        <v>0</v>
      </c>
      <c r="AD72">
        <v>0</v>
      </c>
      <c r="AE72" s="31">
        <v>0</v>
      </c>
      <c r="AF72" s="3">
        <f t="shared" ref="AF72:AF77" si="21">AE66</f>
        <v>3</v>
      </c>
      <c r="AG72">
        <v>0.5</v>
      </c>
      <c r="AH72">
        <v>0</v>
      </c>
      <c r="AI72">
        <v>0</v>
      </c>
      <c r="AJ72">
        <v>0</v>
      </c>
      <c r="AK72">
        <v>0</v>
      </c>
      <c r="AL72">
        <v>0</v>
      </c>
      <c r="AM72">
        <v>0</v>
      </c>
      <c r="AN72">
        <v>0</v>
      </c>
      <c r="AO72" s="31">
        <v>0</v>
      </c>
      <c r="AP72" s="19">
        <v>0</v>
      </c>
      <c r="AQ72" s="19">
        <v>0</v>
      </c>
      <c r="AR72" s="19">
        <v>0</v>
      </c>
    </row>
    <row r="73" spans="1:44">
      <c r="B73">
        <v>2013</v>
      </c>
      <c r="C73" s="13">
        <f>'China EV uptake'!O8</f>
        <v>2016.4622799886668</v>
      </c>
      <c r="G73" s="13">
        <f t="shared" si="10"/>
        <v>6.5131145560304642</v>
      </c>
      <c r="H73" s="13">
        <f t="shared" si="11"/>
        <v>6.5127579614241311</v>
      </c>
      <c r="I73" s="13">
        <f t="shared" si="12"/>
        <v>6.5147179379612128</v>
      </c>
      <c r="J73" s="13">
        <f t="shared" si="13"/>
        <v>6.673379815038329</v>
      </c>
      <c r="K73" s="13">
        <f t="shared" si="16"/>
        <v>-14.467682812942975</v>
      </c>
      <c r="L73" s="13">
        <f t="shared" si="17"/>
        <v>5.9997466109920765</v>
      </c>
      <c r="M73" s="13">
        <f t="shared" si="18"/>
        <v>5.9483864725801414</v>
      </c>
      <c r="N73" s="13">
        <f t="shared" si="19"/>
        <v>6.1302718022023512</v>
      </c>
      <c r="O73" s="13">
        <f t="shared" si="20"/>
        <v>6.9982280557140033</v>
      </c>
      <c r="P73" s="31"/>
      <c r="Q73" s="31"/>
      <c r="R73" s="31"/>
      <c r="S73" s="31"/>
      <c r="T73" s="31"/>
      <c r="U73" s="31"/>
      <c r="V73" s="177"/>
      <c r="W73" s="177">
        <f>China!R80</f>
        <v>1.2420173233069327</v>
      </c>
      <c r="X73" s="31">
        <v>0</v>
      </c>
      <c r="Y73">
        <v>0</v>
      </c>
      <c r="Z73">
        <v>0</v>
      </c>
      <c r="AA73" s="31">
        <v>0</v>
      </c>
      <c r="AB73" s="31">
        <v>0</v>
      </c>
      <c r="AC73">
        <v>0</v>
      </c>
      <c r="AD73">
        <v>0</v>
      </c>
      <c r="AE73" s="31">
        <v>0</v>
      </c>
      <c r="AF73" s="3">
        <f t="shared" si="21"/>
        <v>4</v>
      </c>
      <c r="AG73">
        <v>1</v>
      </c>
      <c r="AH73">
        <v>0</v>
      </c>
      <c r="AI73">
        <v>0</v>
      </c>
      <c r="AJ73">
        <v>0</v>
      </c>
      <c r="AK73">
        <v>0</v>
      </c>
      <c r="AL73">
        <v>0</v>
      </c>
      <c r="AM73">
        <v>0</v>
      </c>
      <c r="AN73">
        <v>0</v>
      </c>
      <c r="AO73" s="31">
        <v>0</v>
      </c>
      <c r="AP73" s="19">
        <v>0</v>
      </c>
      <c r="AQ73" s="19">
        <v>0</v>
      </c>
      <c r="AR73" s="19">
        <v>0</v>
      </c>
    </row>
    <row r="74" spans="1:44">
      <c r="B74">
        <v>2014</v>
      </c>
      <c r="C74" s="13">
        <f>'China EV uptake'!O9</f>
        <v>2017.6253415948945</v>
      </c>
      <c r="G74" s="13">
        <f t="shared" si="10"/>
        <v>5.8776053165543827</v>
      </c>
      <c r="H74" s="13">
        <f t="shared" si="11"/>
        <v>5.8787131708199825</v>
      </c>
      <c r="I74" s="13">
        <f t="shared" si="12"/>
        <v>5.8750611391273475</v>
      </c>
      <c r="J74" s="13">
        <f t="shared" si="13"/>
        <v>5.5823848862711261</v>
      </c>
      <c r="K74" s="13">
        <f t="shared" si="16"/>
        <v>-11.09694514435945</v>
      </c>
      <c r="L74" s="13">
        <f t="shared" si="17"/>
        <v>13.083528201630429</v>
      </c>
      <c r="M74" s="13">
        <f t="shared" si="18"/>
        <v>13.021370247370106</v>
      </c>
      <c r="N74" s="13">
        <f t="shared" si="19"/>
        <v>13.332422601589444</v>
      </c>
      <c r="O74" s="13">
        <f t="shared" si="20"/>
        <v>13.823789189555745</v>
      </c>
      <c r="P74" s="31"/>
      <c r="Q74" s="31"/>
      <c r="R74" s="31"/>
      <c r="S74" s="31"/>
      <c r="T74" s="31"/>
      <c r="U74" s="31"/>
      <c r="V74" s="177"/>
      <c r="W74" s="177">
        <f>China!R81</f>
        <v>1.0952981982479406</v>
      </c>
      <c r="X74" s="31">
        <v>0</v>
      </c>
      <c r="Y74">
        <v>0</v>
      </c>
      <c r="Z74">
        <v>0</v>
      </c>
      <c r="AA74" s="31">
        <v>0</v>
      </c>
      <c r="AB74" s="31">
        <v>0</v>
      </c>
      <c r="AC74">
        <v>0</v>
      </c>
      <c r="AD74">
        <v>0</v>
      </c>
      <c r="AE74" s="31">
        <v>0</v>
      </c>
      <c r="AF74" s="3">
        <f t="shared" si="21"/>
        <v>5</v>
      </c>
      <c r="AG74">
        <v>0</v>
      </c>
      <c r="AH74">
        <v>0</v>
      </c>
      <c r="AI74">
        <v>0</v>
      </c>
      <c r="AJ74">
        <v>0</v>
      </c>
      <c r="AK74">
        <v>0</v>
      </c>
      <c r="AL74">
        <v>0</v>
      </c>
      <c r="AM74">
        <v>0</v>
      </c>
      <c r="AN74">
        <v>0</v>
      </c>
      <c r="AO74" s="31">
        <v>0</v>
      </c>
      <c r="AP74" s="19">
        <v>0</v>
      </c>
      <c r="AQ74" s="19">
        <v>0</v>
      </c>
      <c r="AR74" s="19">
        <v>0</v>
      </c>
    </row>
    <row r="75" spans="1:44">
      <c r="B75">
        <v>2015</v>
      </c>
      <c r="C75" s="13">
        <f>'China EV uptake'!O10</f>
        <v>2016.5389416660378</v>
      </c>
      <c r="G75" s="13">
        <f t="shared" si="10"/>
        <v>5.3240541254493676</v>
      </c>
      <c r="H75" s="13">
        <f t="shared" si="11"/>
        <v>5.3227016487419787</v>
      </c>
      <c r="I75" s="13">
        <f t="shared" si="12"/>
        <v>5.3220907938898403</v>
      </c>
      <c r="J75" s="13">
        <f t="shared" si="13"/>
        <v>5.2628743567142147</v>
      </c>
      <c r="K75" s="13">
        <f t="shared" si="16"/>
        <v>-15.179716102680199</v>
      </c>
      <c r="L75" s="13">
        <f t="shared" si="17"/>
        <v>10.776743145896674</v>
      </c>
      <c r="M75" s="13">
        <f t="shared" si="18"/>
        <v>10.674384100200648</v>
      </c>
      <c r="N75" s="13">
        <f t="shared" si="19"/>
        <v>10.914180130933946</v>
      </c>
      <c r="O75" s="13">
        <f t="shared" si="20"/>
        <v>12.162211860515304</v>
      </c>
      <c r="P75" s="31"/>
      <c r="Q75" s="31"/>
      <c r="R75" s="31"/>
      <c r="S75" s="31"/>
      <c r="T75" s="31"/>
      <c r="U75" s="31"/>
      <c r="V75" s="177"/>
      <c r="W75" s="177">
        <f>China!R82</f>
        <v>1.2311470644282423</v>
      </c>
      <c r="X75" s="31">
        <v>0</v>
      </c>
      <c r="Y75">
        <v>0</v>
      </c>
      <c r="Z75">
        <v>0</v>
      </c>
      <c r="AA75" s="31">
        <v>0</v>
      </c>
      <c r="AB75" s="31">
        <v>0</v>
      </c>
      <c r="AC75">
        <v>0</v>
      </c>
      <c r="AD75">
        <v>0</v>
      </c>
      <c r="AE75" s="31">
        <v>0</v>
      </c>
      <c r="AF75" s="3">
        <f t="shared" si="21"/>
        <v>6</v>
      </c>
      <c r="AG75">
        <v>0</v>
      </c>
      <c r="AH75">
        <v>0</v>
      </c>
      <c r="AI75">
        <v>0</v>
      </c>
      <c r="AJ75">
        <v>0</v>
      </c>
      <c r="AK75">
        <v>0</v>
      </c>
      <c r="AL75">
        <v>0</v>
      </c>
      <c r="AM75">
        <v>0</v>
      </c>
      <c r="AN75">
        <v>0</v>
      </c>
      <c r="AO75" s="31">
        <v>0</v>
      </c>
      <c r="AP75" s="19">
        <v>0</v>
      </c>
      <c r="AQ75" s="19">
        <v>0</v>
      </c>
      <c r="AR75" s="19">
        <v>0</v>
      </c>
    </row>
    <row r="76" spans="1:44">
      <c r="B76">
        <v>2016</v>
      </c>
      <c r="C76" s="13">
        <f>'China EV uptake'!O11</f>
        <v>2016.7044232275296</v>
      </c>
      <c r="G76" s="13">
        <f t="shared" si="10"/>
        <v>5.4292468433123853</v>
      </c>
      <c r="H76" s="13">
        <f t="shared" si="11"/>
        <v>5.4292390095302681</v>
      </c>
      <c r="I76" s="13">
        <f t="shared" si="12"/>
        <v>5.4299809039284002</v>
      </c>
      <c r="J76" s="13">
        <f t="shared" si="13"/>
        <v>5.4908864094482377</v>
      </c>
      <c r="K76" s="13">
        <f t="shared" si="16"/>
        <v>-18.03025239730944</v>
      </c>
      <c r="L76" s="13">
        <f t="shared" si="17"/>
        <v>8.2332513757633805</v>
      </c>
      <c r="M76" s="13">
        <f t="shared" si="18"/>
        <v>8.097854901032985</v>
      </c>
      <c r="N76" s="13">
        <f t="shared" si="19"/>
        <v>8.2773466942668286</v>
      </c>
      <c r="O76" s="13">
        <f t="shared" si="20"/>
        <v>10.207246999509151</v>
      </c>
      <c r="P76" s="31"/>
      <c r="Q76" s="31"/>
      <c r="R76" s="31"/>
      <c r="S76" s="31"/>
      <c r="T76" s="31"/>
      <c r="U76" s="31"/>
      <c r="V76" s="177"/>
      <c r="W76" s="177">
        <f>China!R83</f>
        <v>1.2083192042137465</v>
      </c>
      <c r="X76" s="31">
        <v>0</v>
      </c>
      <c r="Y76">
        <v>0</v>
      </c>
      <c r="Z76">
        <v>0</v>
      </c>
      <c r="AA76" s="31">
        <v>0</v>
      </c>
      <c r="AB76" s="31">
        <v>0</v>
      </c>
      <c r="AC76">
        <v>0</v>
      </c>
      <c r="AD76">
        <v>0</v>
      </c>
      <c r="AE76" s="31">
        <v>0</v>
      </c>
      <c r="AF76" s="3">
        <f t="shared" si="21"/>
        <v>7</v>
      </c>
      <c r="AG76">
        <v>0</v>
      </c>
      <c r="AH76">
        <v>0</v>
      </c>
      <c r="AI76">
        <v>0</v>
      </c>
      <c r="AJ76">
        <v>0</v>
      </c>
      <c r="AK76">
        <v>0</v>
      </c>
      <c r="AL76">
        <v>0</v>
      </c>
      <c r="AM76">
        <v>0</v>
      </c>
      <c r="AN76">
        <v>0</v>
      </c>
      <c r="AO76" s="31">
        <v>0</v>
      </c>
      <c r="AP76" s="19">
        <v>0</v>
      </c>
      <c r="AQ76" s="19">
        <v>0</v>
      </c>
      <c r="AR76" s="19">
        <v>0</v>
      </c>
    </row>
    <row r="77" spans="1:44" s="18" customFormat="1">
      <c r="B77" s="18">
        <v>2017</v>
      </c>
      <c r="C77" s="182">
        <f>'China EV uptake'!O12</f>
        <v>2016.8726518224853</v>
      </c>
      <c r="D77" s="182"/>
      <c r="E77" s="182"/>
      <c r="F77" s="182"/>
      <c r="G77" s="13">
        <f t="shared" si="10"/>
        <v>5.5324769897067263</v>
      </c>
      <c r="H77" s="13">
        <f t="shared" si="11"/>
        <v>5.5338024628312672</v>
      </c>
      <c r="I77" s="13">
        <f t="shared" si="12"/>
        <v>5.5359021367498107</v>
      </c>
      <c r="J77" s="13">
        <f t="shared" si="13"/>
        <v>5.7172672483162472</v>
      </c>
      <c r="K77" s="13">
        <f t="shared" si="16"/>
        <v>-20.884459843293179</v>
      </c>
      <c r="L77" s="13">
        <f t="shared" si="17"/>
        <v>5.6904648172271948</v>
      </c>
      <c r="M77" s="13">
        <f t="shared" si="18"/>
        <v>5.5220095710268495</v>
      </c>
      <c r="N77" s="13">
        <f t="shared" si="19"/>
        <v>5.6411644976147812</v>
      </c>
      <c r="O77" s="13">
        <f t="shared" si="20"/>
        <v>8.2531562171725152</v>
      </c>
      <c r="V77" s="182"/>
      <c r="W77" s="177">
        <f>China!R84</f>
        <v>1.1859640837266716</v>
      </c>
      <c r="X77" s="18">
        <v>0</v>
      </c>
      <c r="Y77">
        <v>0</v>
      </c>
      <c r="Z77">
        <v>0</v>
      </c>
      <c r="AA77" s="18">
        <v>0</v>
      </c>
      <c r="AB77" s="18">
        <v>0</v>
      </c>
      <c r="AC77">
        <v>0</v>
      </c>
      <c r="AD77">
        <v>0</v>
      </c>
      <c r="AE77" s="18">
        <v>0</v>
      </c>
      <c r="AF77" s="3">
        <f t="shared" si="21"/>
        <v>8</v>
      </c>
      <c r="AG77">
        <v>0</v>
      </c>
      <c r="AH77" s="18">
        <v>0</v>
      </c>
      <c r="AI77">
        <v>0</v>
      </c>
      <c r="AJ77">
        <v>0</v>
      </c>
      <c r="AK77">
        <v>0</v>
      </c>
      <c r="AL77">
        <v>0</v>
      </c>
      <c r="AM77">
        <v>0</v>
      </c>
      <c r="AN77">
        <v>0</v>
      </c>
      <c r="AO77" s="31">
        <v>0</v>
      </c>
      <c r="AP77" s="19">
        <v>0</v>
      </c>
      <c r="AQ77" s="19">
        <v>0</v>
      </c>
      <c r="AR77" s="19">
        <v>0</v>
      </c>
    </row>
    <row r="78" spans="1:44">
      <c r="A78" s="135" t="s">
        <v>541</v>
      </c>
      <c r="B78">
        <v>2012</v>
      </c>
      <c r="C78" s="13">
        <f>'Denmark EV uptake'!U16</f>
        <v>0</v>
      </c>
      <c r="H78" s="13">
        <f t="shared" si="11"/>
        <v>4.3108172276751802</v>
      </c>
      <c r="I78" s="13">
        <f t="shared" si="12"/>
        <v>4.3103151025635524</v>
      </c>
      <c r="J78" s="13">
        <f t="shared" si="13"/>
        <v>4.1841743187297933</v>
      </c>
      <c r="K78" s="13">
        <f t="shared" si="16"/>
        <v>-5.9393790166458214</v>
      </c>
      <c r="L78" s="13">
        <f t="shared" si="17"/>
        <v>23.678971399497822</v>
      </c>
      <c r="M78" s="13">
        <f t="shared" si="18"/>
        <v>23.805024314543935</v>
      </c>
      <c r="N78" s="13">
        <f t="shared" si="19"/>
        <v>24.554889301183422</v>
      </c>
      <c r="O78" s="13">
        <f t="shared" si="20"/>
        <v>21.724087315384082</v>
      </c>
      <c r="P78" s="31"/>
      <c r="Q78" s="31"/>
      <c r="R78" s="31"/>
      <c r="S78" s="31"/>
      <c r="T78" s="31"/>
      <c r="U78" s="31"/>
      <c r="V78" s="177"/>
      <c r="W78" s="177">
        <f>Denmark!R80</f>
        <v>1.6348751779401904</v>
      </c>
      <c r="X78" s="31">
        <v>0</v>
      </c>
      <c r="Y78">
        <v>0</v>
      </c>
      <c r="Z78">
        <v>0</v>
      </c>
      <c r="AA78" s="31">
        <v>0</v>
      </c>
      <c r="AB78" s="31">
        <v>0</v>
      </c>
      <c r="AC78">
        <v>0</v>
      </c>
      <c r="AD78">
        <v>0</v>
      </c>
      <c r="AE78" s="31">
        <v>0</v>
      </c>
      <c r="AF78" s="19">
        <v>0</v>
      </c>
      <c r="AG78">
        <v>0</v>
      </c>
      <c r="AH78" s="3">
        <f t="shared" ref="AH78:AH83" si="22">AF72</f>
        <v>3</v>
      </c>
      <c r="AI78">
        <v>0.5</v>
      </c>
      <c r="AJ78">
        <v>0</v>
      </c>
      <c r="AK78">
        <v>0</v>
      </c>
      <c r="AL78">
        <v>0</v>
      </c>
      <c r="AM78">
        <v>0</v>
      </c>
      <c r="AN78">
        <v>0</v>
      </c>
      <c r="AO78" s="31">
        <v>0</v>
      </c>
      <c r="AP78" s="19">
        <v>0</v>
      </c>
      <c r="AQ78" s="19">
        <v>0</v>
      </c>
      <c r="AR78" s="19">
        <v>0</v>
      </c>
    </row>
    <row r="79" spans="1:44">
      <c r="B79">
        <v>2013</v>
      </c>
      <c r="C79" s="13">
        <f>'Denmark EV uptake'!U17</f>
        <v>0</v>
      </c>
      <c r="H79" s="13">
        <f t="shared" si="11"/>
        <v>4.3568252601165653</v>
      </c>
      <c r="I79" s="13">
        <f t="shared" si="12"/>
        <v>4.3562626034671341</v>
      </c>
      <c r="J79" s="13">
        <f t="shared" si="13"/>
        <v>4.2537890593504564</v>
      </c>
      <c r="K79" s="13">
        <f t="shared" si="16"/>
        <v>-7.5044676901269494</v>
      </c>
      <c r="L79" s="13">
        <f t="shared" si="17"/>
        <v>22.536320039477584</v>
      </c>
      <c r="M79" s="13">
        <f t="shared" si="18"/>
        <v>22.675246756745224</v>
      </c>
      <c r="N79" s="13">
        <f t="shared" si="19"/>
        <v>23.468100830432871</v>
      </c>
      <c r="O79" s="13">
        <f t="shared" si="20"/>
        <v>20.597690278343872</v>
      </c>
      <c r="P79" s="31"/>
      <c r="Q79" s="31"/>
      <c r="R79" s="31"/>
      <c r="S79" s="31"/>
      <c r="T79" s="31"/>
      <c r="U79" s="31"/>
      <c r="V79" s="177"/>
      <c r="W79" s="177">
        <f>Denmark!R81</f>
        <v>1.6072644628187838</v>
      </c>
      <c r="X79" s="31">
        <v>0</v>
      </c>
      <c r="Y79">
        <v>0</v>
      </c>
      <c r="Z79">
        <v>0</v>
      </c>
      <c r="AA79" s="31">
        <v>0</v>
      </c>
      <c r="AB79" s="31">
        <v>0</v>
      </c>
      <c r="AC79">
        <v>0</v>
      </c>
      <c r="AD79">
        <v>0</v>
      </c>
      <c r="AE79" s="31">
        <v>0</v>
      </c>
      <c r="AF79" s="19">
        <v>0</v>
      </c>
      <c r="AG79">
        <v>0</v>
      </c>
      <c r="AH79" s="3">
        <f t="shared" si="22"/>
        <v>4</v>
      </c>
      <c r="AI79">
        <v>0.5</v>
      </c>
      <c r="AJ79">
        <v>0</v>
      </c>
      <c r="AK79">
        <v>0</v>
      </c>
      <c r="AL79">
        <v>0</v>
      </c>
      <c r="AM79">
        <v>0</v>
      </c>
      <c r="AN79">
        <v>0</v>
      </c>
      <c r="AO79" s="31">
        <v>0</v>
      </c>
      <c r="AP79" s="19">
        <v>0</v>
      </c>
      <c r="AQ79" s="19">
        <v>0</v>
      </c>
      <c r="AR79" s="19">
        <v>0</v>
      </c>
    </row>
    <row r="80" spans="1:44">
      <c r="B80">
        <v>2014</v>
      </c>
      <c r="C80" s="13">
        <f>'Denmark EV uptake'!U18</f>
        <v>0</v>
      </c>
      <c r="H80" s="13">
        <f t="shared" si="11"/>
        <v>4.796663162673334</v>
      </c>
      <c r="I80" s="13">
        <f t="shared" si="12"/>
        <v>4.7950363455679117</v>
      </c>
      <c r="J80" s="13">
        <f t="shared" si="13"/>
        <v>4.648860159562318</v>
      </c>
      <c r="K80" s="13">
        <f t="shared" si="16"/>
        <v>-8.3370959669444336</v>
      </c>
      <c r="L80" s="13">
        <f t="shared" si="17"/>
        <v>21.252966344885277</v>
      </c>
      <c r="M80" s="13">
        <f t="shared" si="18"/>
        <v>21.409025062231265</v>
      </c>
      <c r="N80" s="13">
        <f t="shared" si="19"/>
        <v>22.25137832163772</v>
      </c>
      <c r="O80" s="13">
        <f t="shared" si="20"/>
        <v>19.296898903624513</v>
      </c>
      <c r="P80" s="31"/>
      <c r="Q80" s="31"/>
      <c r="R80" s="31"/>
      <c r="S80" s="31"/>
      <c r="T80" s="31"/>
      <c r="U80" s="31"/>
      <c r="V80" s="177"/>
      <c r="W80" s="177">
        <f>Denmark!R82</f>
        <v>1.4853337116027594</v>
      </c>
      <c r="X80" s="31">
        <v>0</v>
      </c>
      <c r="Y80">
        <v>0</v>
      </c>
      <c r="Z80">
        <v>0</v>
      </c>
      <c r="AA80" s="31">
        <v>0</v>
      </c>
      <c r="AB80" s="31">
        <v>0</v>
      </c>
      <c r="AC80">
        <v>0</v>
      </c>
      <c r="AD80">
        <v>0</v>
      </c>
      <c r="AE80" s="31">
        <v>0</v>
      </c>
      <c r="AF80" s="19">
        <v>0</v>
      </c>
      <c r="AG80">
        <v>0</v>
      </c>
      <c r="AH80" s="3">
        <f t="shared" si="22"/>
        <v>5</v>
      </c>
      <c r="AI80">
        <v>0.5</v>
      </c>
      <c r="AJ80">
        <v>0</v>
      </c>
      <c r="AK80">
        <v>0</v>
      </c>
      <c r="AL80">
        <v>0</v>
      </c>
      <c r="AM80">
        <v>0</v>
      </c>
      <c r="AN80">
        <v>0</v>
      </c>
      <c r="AO80" s="31">
        <v>0</v>
      </c>
      <c r="AP80" s="19">
        <v>0</v>
      </c>
      <c r="AQ80" s="19">
        <v>0</v>
      </c>
      <c r="AR80" s="19">
        <v>0</v>
      </c>
    </row>
    <row r="81" spans="1:44">
      <c r="B81">
        <v>2015</v>
      </c>
      <c r="C81" s="13">
        <f>'Denmark EV uptake'!U19</f>
        <v>0</v>
      </c>
      <c r="H81" s="13">
        <f t="shared" si="11"/>
        <v>3.9113280372006227</v>
      </c>
      <c r="I81" s="13">
        <f t="shared" si="12"/>
        <v>3.9120141066167351</v>
      </c>
      <c r="J81" s="13">
        <f t="shared" si="13"/>
        <v>3.9488238993178442</v>
      </c>
      <c r="K81" s="13">
        <f t="shared" si="16"/>
        <v>-11.634333546946721</v>
      </c>
      <c r="L81" s="13">
        <f t="shared" si="17"/>
        <v>20.443052967811457</v>
      </c>
      <c r="M81" s="13">
        <f t="shared" si="18"/>
        <v>20.601915546676299</v>
      </c>
      <c r="N81" s="13">
        <f t="shared" si="19"/>
        <v>21.471862575725254</v>
      </c>
      <c r="O81" s="13">
        <f t="shared" si="20"/>
        <v>18.582915920218305</v>
      </c>
      <c r="P81" s="31"/>
      <c r="Q81" s="31"/>
      <c r="R81" s="31"/>
      <c r="S81" s="31"/>
      <c r="T81" s="31"/>
      <c r="U81" s="31"/>
      <c r="V81" s="177"/>
      <c r="W81" s="177">
        <f>Denmark!R83</f>
        <v>1.6807744380726075</v>
      </c>
      <c r="X81" s="31">
        <v>0</v>
      </c>
      <c r="Y81">
        <v>0</v>
      </c>
      <c r="Z81">
        <v>0</v>
      </c>
      <c r="AA81" s="31">
        <v>0</v>
      </c>
      <c r="AB81" s="31">
        <v>0</v>
      </c>
      <c r="AC81">
        <v>0</v>
      </c>
      <c r="AD81">
        <v>0</v>
      </c>
      <c r="AE81" s="31">
        <v>0</v>
      </c>
      <c r="AF81" s="19">
        <v>0</v>
      </c>
      <c r="AG81">
        <v>0</v>
      </c>
      <c r="AH81" s="3">
        <f t="shared" si="22"/>
        <v>6</v>
      </c>
      <c r="AI81">
        <v>0.5</v>
      </c>
      <c r="AJ81">
        <v>0</v>
      </c>
      <c r="AK81">
        <v>0</v>
      </c>
      <c r="AL81">
        <v>0</v>
      </c>
      <c r="AM81">
        <v>0</v>
      </c>
      <c r="AN81">
        <v>0</v>
      </c>
      <c r="AO81" s="31">
        <v>0</v>
      </c>
      <c r="AP81" s="19">
        <v>0</v>
      </c>
      <c r="AQ81" s="19">
        <v>0</v>
      </c>
      <c r="AR81" s="19">
        <v>0</v>
      </c>
    </row>
    <row r="82" spans="1:44">
      <c r="B82">
        <v>2016</v>
      </c>
      <c r="C82" s="13">
        <f>'Denmark EV uptake'!U20</f>
        <v>0</v>
      </c>
      <c r="H82" s="13">
        <f t="shared" si="11"/>
        <v>6.5860145445762583</v>
      </c>
      <c r="I82" s="13">
        <f t="shared" si="12"/>
        <v>6.5870466068562932</v>
      </c>
      <c r="J82" s="13">
        <f t="shared" si="13"/>
        <v>6.6932991104679447</v>
      </c>
      <c r="K82" s="13">
        <f t="shared" si="16"/>
        <v>-10.528325506099158</v>
      </c>
      <c r="L82" s="13">
        <f t="shared" si="17"/>
        <v>19.248043231707655</v>
      </c>
      <c r="M82" s="13">
        <f t="shared" si="18"/>
        <v>19.445289254847754</v>
      </c>
      <c r="N82" s="13">
        <f t="shared" si="19"/>
        <v>20.429396033004519</v>
      </c>
      <c r="O82" s="13">
        <f t="shared" si="20"/>
        <v>17.277634838375139</v>
      </c>
      <c r="P82" s="31"/>
      <c r="Q82" s="31"/>
      <c r="R82" s="31"/>
      <c r="S82" s="31"/>
      <c r="T82" s="31"/>
      <c r="U82" s="31"/>
      <c r="V82" s="177"/>
      <c r="W82" s="177">
        <f>Denmark!R84</f>
        <v>1.2508971019759434</v>
      </c>
      <c r="X82" s="31">
        <v>0</v>
      </c>
      <c r="Y82">
        <v>0</v>
      </c>
      <c r="Z82">
        <v>0</v>
      </c>
      <c r="AA82" s="31">
        <v>0</v>
      </c>
      <c r="AB82" s="31">
        <v>0</v>
      </c>
      <c r="AC82">
        <v>0</v>
      </c>
      <c r="AD82">
        <v>0</v>
      </c>
      <c r="AE82" s="31">
        <v>0</v>
      </c>
      <c r="AF82" s="19">
        <v>0</v>
      </c>
      <c r="AG82">
        <v>0</v>
      </c>
      <c r="AH82" s="3">
        <f t="shared" si="22"/>
        <v>7</v>
      </c>
      <c r="AI82">
        <v>1</v>
      </c>
      <c r="AJ82">
        <v>0</v>
      </c>
      <c r="AK82">
        <v>0</v>
      </c>
      <c r="AL82">
        <v>0</v>
      </c>
      <c r="AM82">
        <v>0</v>
      </c>
      <c r="AN82">
        <v>0</v>
      </c>
      <c r="AO82" s="31">
        <v>0</v>
      </c>
      <c r="AP82" s="19">
        <v>0</v>
      </c>
      <c r="AQ82" s="19">
        <v>0</v>
      </c>
      <c r="AR82" s="19">
        <v>0</v>
      </c>
    </row>
    <row r="83" spans="1:44" s="18" customFormat="1">
      <c r="B83" s="18">
        <v>2017</v>
      </c>
      <c r="C83" s="182">
        <f>'Denmark EV uptake'!U21</f>
        <v>0</v>
      </c>
      <c r="D83" s="182"/>
      <c r="E83" s="182"/>
      <c r="F83" s="182"/>
      <c r="G83" s="182"/>
      <c r="H83" s="13">
        <f t="shared" si="11"/>
        <v>7.2104484384566305</v>
      </c>
      <c r="I83" s="13">
        <f t="shared" si="12"/>
        <v>7.2099459191949924</v>
      </c>
      <c r="J83" s="13">
        <f t="shared" si="13"/>
        <v>7.2409181606707671</v>
      </c>
      <c r="K83" s="182">
        <f t="shared" si="16"/>
        <v>-11.01763484423941</v>
      </c>
      <c r="L83" s="182">
        <f t="shared" si="17"/>
        <v>17.89873951934684</v>
      </c>
      <c r="M83" s="182">
        <f t="shared" si="18"/>
        <v>18.115113445655126</v>
      </c>
      <c r="N83" s="182">
        <f t="shared" si="19"/>
        <v>19.15177082388221</v>
      </c>
      <c r="O83" s="182">
        <f t="shared" si="20"/>
        <v>15.895101325519647</v>
      </c>
      <c r="V83" s="182"/>
      <c r="W83" s="182">
        <f>Denmark!R85</f>
        <v>1.0847566503645096</v>
      </c>
      <c r="X83" s="18">
        <v>0</v>
      </c>
      <c r="Y83" s="18">
        <v>0</v>
      </c>
      <c r="Z83">
        <v>0</v>
      </c>
      <c r="AA83" s="18">
        <v>0</v>
      </c>
      <c r="AB83" s="18">
        <v>0</v>
      </c>
      <c r="AC83" s="18">
        <v>0</v>
      </c>
      <c r="AD83" s="18">
        <v>0</v>
      </c>
      <c r="AE83" s="18">
        <v>0</v>
      </c>
      <c r="AF83" s="27">
        <v>0</v>
      </c>
      <c r="AG83" s="18">
        <v>0</v>
      </c>
      <c r="AH83" s="16">
        <f t="shared" si="22"/>
        <v>8</v>
      </c>
      <c r="AI83">
        <v>1</v>
      </c>
      <c r="AJ83">
        <v>0</v>
      </c>
      <c r="AK83">
        <v>0</v>
      </c>
      <c r="AL83">
        <v>0</v>
      </c>
      <c r="AM83">
        <v>0</v>
      </c>
      <c r="AN83" s="18">
        <v>0</v>
      </c>
      <c r="AO83" s="18">
        <v>0</v>
      </c>
      <c r="AP83" s="27">
        <v>0</v>
      </c>
      <c r="AQ83" s="27">
        <v>0</v>
      </c>
      <c r="AR83" s="27">
        <v>0</v>
      </c>
    </row>
    <row r="84" spans="1:44">
      <c r="A84" s="135" t="s">
        <v>542</v>
      </c>
      <c r="B84">
        <v>2012</v>
      </c>
      <c r="C84" s="13">
        <f>'Finland EV uptake'!O7</f>
        <v>2016.6008082526105</v>
      </c>
      <c r="H84" s="177"/>
      <c r="I84" s="13">
        <f t="shared" si="12"/>
        <v>4.9025134319223875</v>
      </c>
      <c r="J84" s="13">
        <f t="shared" si="13"/>
        <v>4.9181357265521886</v>
      </c>
      <c r="K84" s="13">
        <f t="shared" si="16"/>
        <v>4.5761114359495245</v>
      </c>
      <c r="L84" s="13">
        <f t="shared" si="17"/>
        <v>25.5281394083066</v>
      </c>
      <c r="M84" s="13">
        <f t="shared" si="18"/>
        <v>25.639426026192698</v>
      </c>
      <c r="N84" s="13">
        <f t="shared" si="19"/>
        <v>26.264623843759715</v>
      </c>
      <c r="O84" s="13">
        <f t="shared" si="20"/>
        <v>23.260430874477748</v>
      </c>
      <c r="P84" s="31"/>
      <c r="Q84" s="31"/>
      <c r="R84" s="31"/>
      <c r="S84" s="31"/>
      <c r="T84" s="31"/>
      <c r="U84" s="31"/>
      <c r="V84" s="177"/>
      <c r="W84" s="177">
        <f>Finland!R82</f>
        <v>1.0265336426945573</v>
      </c>
      <c r="X84" s="19">
        <v>0</v>
      </c>
      <c r="Y84">
        <v>0</v>
      </c>
      <c r="Z84">
        <v>0</v>
      </c>
      <c r="AA84" s="19">
        <v>0</v>
      </c>
      <c r="AB84" s="19">
        <v>0</v>
      </c>
      <c r="AC84">
        <v>0</v>
      </c>
      <c r="AD84">
        <v>0</v>
      </c>
      <c r="AE84" s="19">
        <v>0</v>
      </c>
      <c r="AF84" s="19">
        <v>0</v>
      </c>
      <c r="AG84">
        <v>0</v>
      </c>
      <c r="AH84" s="19">
        <v>0</v>
      </c>
      <c r="AI84">
        <v>0</v>
      </c>
      <c r="AJ84" s="3">
        <f t="shared" ref="AJ84:AJ89" si="23">AH78</f>
        <v>3</v>
      </c>
      <c r="AK84">
        <v>1</v>
      </c>
      <c r="AL84">
        <v>0</v>
      </c>
      <c r="AM84">
        <v>0</v>
      </c>
      <c r="AN84">
        <v>0</v>
      </c>
      <c r="AO84" s="31">
        <v>0</v>
      </c>
      <c r="AP84" s="19">
        <v>0</v>
      </c>
      <c r="AQ84" s="19">
        <v>0</v>
      </c>
      <c r="AR84" s="19">
        <v>0</v>
      </c>
    </row>
    <row r="85" spans="1:44">
      <c r="B85">
        <v>2013</v>
      </c>
      <c r="C85" s="13">
        <f>'Finland EV uptake'!O8</f>
        <v>2016.7279901164497</v>
      </c>
      <c r="H85" s="177"/>
      <c r="I85" s="13">
        <f t="shared" si="12"/>
        <v>5.1795576752706571</v>
      </c>
      <c r="J85" s="13">
        <f t="shared" si="13"/>
        <v>5.1745788452160015</v>
      </c>
      <c r="K85" s="13">
        <f t="shared" si="16"/>
        <v>4.6714677538005018</v>
      </c>
      <c r="L85" s="13">
        <f t="shared" si="17"/>
        <v>25.509821890255189</v>
      </c>
      <c r="M85" s="13">
        <f t="shared" si="18"/>
        <v>25.621662867216752</v>
      </c>
      <c r="N85" s="13">
        <f t="shared" si="19"/>
        <v>26.247708210521552</v>
      </c>
      <c r="O85" s="13">
        <f t="shared" si="20"/>
        <v>23.237727118792264</v>
      </c>
      <c r="P85" s="31"/>
      <c r="Q85" s="31"/>
      <c r="R85" s="31"/>
      <c r="S85" s="31"/>
      <c r="T85" s="31"/>
      <c r="U85" s="31"/>
      <c r="V85" s="177"/>
      <c r="W85" s="177">
        <f>Finland!R83</f>
        <v>1.014254465031817</v>
      </c>
      <c r="X85" s="19">
        <v>0</v>
      </c>
      <c r="Y85">
        <v>0</v>
      </c>
      <c r="Z85">
        <v>0</v>
      </c>
      <c r="AA85" s="19">
        <v>0</v>
      </c>
      <c r="AB85" s="19">
        <v>0</v>
      </c>
      <c r="AC85">
        <v>0</v>
      </c>
      <c r="AD85">
        <v>0</v>
      </c>
      <c r="AE85" s="19">
        <v>0</v>
      </c>
      <c r="AF85" s="19">
        <v>0</v>
      </c>
      <c r="AG85">
        <v>0</v>
      </c>
      <c r="AH85" s="19">
        <v>0</v>
      </c>
      <c r="AI85">
        <v>0</v>
      </c>
      <c r="AJ85" s="3">
        <f t="shared" si="23"/>
        <v>4</v>
      </c>
      <c r="AK85">
        <v>1</v>
      </c>
      <c r="AL85">
        <v>0</v>
      </c>
      <c r="AM85">
        <v>0</v>
      </c>
      <c r="AN85">
        <v>0</v>
      </c>
      <c r="AO85" s="31">
        <v>0</v>
      </c>
      <c r="AP85" s="19">
        <v>0</v>
      </c>
      <c r="AQ85" s="19">
        <v>0</v>
      </c>
      <c r="AR85" s="19">
        <v>0</v>
      </c>
    </row>
    <row r="86" spans="1:44">
      <c r="B86">
        <v>2014</v>
      </c>
      <c r="C86" s="13">
        <f>'Finland EV uptake'!O9</f>
        <v>2017.5663798375936</v>
      </c>
      <c r="H86" s="177"/>
      <c r="I86" s="13">
        <f t="shared" si="12"/>
        <v>5.7142050466418599</v>
      </c>
      <c r="J86" s="13">
        <f t="shared" si="13"/>
        <v>5.6444460365948617</v>
      </c>
      <c r="K86" s="13">
        <f t="shared" si="16"/>
        <v>5.2471486262393574</v>
      </c>
      <c r="L86" s="13">
        <f t="shared" si="17"/>
        <v>25.399236194305498</v>
      </c>
      <c r="M86" s="13">
        <f t="shared" si="18"/>
        <v>25.514423922939102</v>
      </c>
      <c r="N86" s="13">
        <f t="shared" si="19"/>
        <v>26.145585910501328</v>
      </c>
      <c r="O86" s="13">
        <f t="shared" si="20"/>
        <v>23.100661026317052</v>
      </c>
      <c r="P86" s="31"/>
      <c r="Q86" s="31"/>
      <c r="R86" s="31"/>
      <c r="S86" s="31"/>
      <c r="T86" s="31"/>
      <c r="U86" s="31"/>
      <c r="V86" s="177"/>
      <c r="W86" s="177">
        <f>Finland!R84</f>
        <v>0.94012316603634616</v>
      </c>
      <c r="X86" s="19">
        <v>0</v>
      </c>
      <c r="Y86">
        <v>0</v>
      </c>
      <c r="Z86">
        <v>0</v>
      </c>
      <c r="AA86" s="19">
        <v>0</v>
      </c>
      <c r="AB86" s="19">
        <v>0</v>
      </c>
      <c r="AC86">
        <v>0</v>
      </c>
      <c r="AD86">
        <v>0</v>
      </c>
      <c r="AE86" s="19">
        <v>0</v>
      </c>
      <c r="AF86" s="19">
        <v>0</v>
      </c>
      <c r="AG86">
        <v>0</v>
      </c>
      <c r="AH86" s="19">
        <v>0</v>
      </c>
      <c r="AI86">
        <v>0</v>
      </c>
      <c r="AJ86" s="3">
        <f t="shared" si="23"/>
        <v>5</v>
      </c>
      <c r="AK86">
        <v>1</v>
      </c>
      <c r="AL86">
        <v>0</v>
      </c>
      <c r="AM86">
        <v>0</v>
      </c>
      <c r="AN86">
        <v>0</v>
      </c>
      <c r="AO86" s="31">
        <v>0</v>
      </c>
      <c r="AP86" s="19">
        <v>0</v>
      </c>
      <c r="AQ86" s="19">
        <v>0</v>
      </c>
      <c r="AR86" s="19">
        <v>0</v>
      </c>
    </row>
    <row r="87" spans="1:44">
      <c r="B87">
        <v>2015</v>
      </c>
      <c r="C87" s="13">
        <f>'Finland EV uptake'!O10</f>
        <v>2016.7405539582485</v>
      </c>
      <c r="H87" s="177"/>
      <c r="I87" s="13">
        <f t="shared" si="12"/>
        <v>5.6363506374089969</v>
      </c>
      <c r="J87" s="13">
        <f t="shared" si="13"/>
        <v>5.6068557853369994</v>
      </c>
      <c r="K87" s="13">
        <f t="shared" si="16"/>
        <v>4.6807639996647907</v>
      </c>
      <c r="L87" s="13">
        <f t="shared" si="17"/>
        <v>25.508036123404423</v>
      </c>
      <c r="M87" s="13">
        <f t="shared" si="18"/>
        <v>25.619931144590623</v>
      </c>
      <c r="N87" s="13">
        <f t="shared" si="19"/>
        <v>26.246059112810187</v>
      </c>
      <c r="O87" s="13">
        <f t="shared" si="20"/>
        <v>23.235513739546384</v>
      </c>
      <c r="P87" s="31"/>
      <c r="Q87" s="31"/>
      <c r="R87" s="31"/>
      <c r="S87" s="31"/>
      <c r="T87" s="31"/>
      <c r="U87" s="31"/>
      <c r="V87" s="177"/>
      <c r="W87" s="177">
        <f>Finland!R85</f>
        <v>1.0130573733536075</v>
      </c>
      <c r="X87" s="19">
        <v>0</v>
      </c>
      <c r="Y87">
        <v>0</v>
      </c>
      <c r="Z87">
        <v>0</v>
      </c>
      <c r="AA87" s="19">
        <v>0</v>
      </c>
      <c r="AB87" s="19">
        <v>0</v>
      </c>
      <c r="AC87">
        <v>0</v>
      </c>
      <c r="AD87">
        <v>0</v>
      </c>
      <c r="AE87" s="19">
        <v>0</v>
      </c>
      <c r="AF87" s="19">
        <v>0</v>
      </c>
      <c r="AG87">
        <v>0</v>
      </c>
      <c r="AH87" s="19">
        <v>0</v>
      </c>
      <c r="AI87">
        <v>0</v>
      </c>
      <c r="AJ87" s="3">
        <f t="shared" si="23"/>
        <v>6</v>
      </c>
      <c r="AK87">
        <v>1</v>
      </c>
      <c r="AL87">
        <v>0</v>
      </c>
      <c r="AM87">
        <v>0</v>
      </c>
      <c r="AN87">
        <v>0</v>
      </c>
      <c r="AO87" s="31">
        <v>0</v>
      </c>
      <c r="AP87" s="19">
        <v>0</v>
      </c>
      <c r="AQ87" s="19">
        <v>0</v>
      </c>
      <c r="AR87" s="19">
        <v>0</v>
      </c>
    </row>
    <row r="88" spans="1:44">
      <c r="B88">
        <v>2016</v>
      </c>
      <c r="C88" s="13">
        <f>'Finland EV uptake'!O11</f>
        <v>2016.8216684689783</v>
      </c>
      <c r="H88" s="177"/>
      <c r="I88" s="13">
        <f t="shared" si="12"/>
        <v>5.8941616035145641</v>
      </c>
      <c r="J88" s="13">
        <f t="shared" si="13"/>
        <v>5.8473641426790106</v>
      </c>
      <c r="K88" s="13">
        <f t="shared" si="16"/>
        <v>4.7402581158578618</v>
      </c>
      <c r="L88" s="13">
        <f t="shared" si="17"/>
        <v>25.49660757234583</v>
      </c>
      <c r="M88" s="13">
        <f t="shared" si="18"/>
        <v>25.608848465771977</v>
      </c>
      <c r="N88" s="13">
        <f t="shared" si="19"/>
        <v>26.235505216938041</v>
      </c>
      <c r="O88" s="13">
        <f t="shared" si="20"/>
        <v>23.221348554593646</v>
      </c>
      <c r="P88" s="31"/>
      <c r="Q88" s="31"/>
      <c r="R88" s="31"/>
      <c r="S88" s="31"/>
      <c r="T88" s="31"/>
      <c r="U88" s="31"/>
      <c r="V88" s="177"/>
      <c r="W88" s="177">
        <f>Finland!R86</f>
        <v>1.0053962257853455</v>
      </c>
      <c r="X88" s="19">
        <v>0</v>
      </c>
      <c r="Y88">
        <v>0</v>
      </c>
      <c r="Z88">
        <v>0</v>
      </c>
      <c r="AA88" s="19">
        <v>0</v>
      </c>
      <c r="AB88" s="19">
        <v>0</v>
      </c>
      <c r="AC88">
        <v>0</v>
      </c>
      <c r="AD88">
        <v>0</v>
      </c>
      <c r="AE88" s="19">
        <v>0</v>
      </c>
      <c r="AF88" s="19">
        <v>0</v>
      </c>
      <c r="AG88">
        <v>0</v>
      </c>
      <c r="AH88" s="19">
        <v>0</v>
      </c>
      <c r="AI88">
        <v>0</v>
      </c>
      <c r="AJ88" s="3">
        <f t="shared" si="23"/>
        <v>7</v>
      </c>
      <c r="AK88">
        <v>1</v>
      </c>
      <c r="AL88">
        <v>0</v>
      </c>
      <c r="AM88">
        <v>0</v>
      </c>
      <c r="AN88">
        <v>0</v>
      </c>
      <c r="AO88" s="31">
        <v>0</v>
      </c>
      <c r="AP88" s="19">
        <v>0</v>
      </c>
      <c r="AQ88" s="19">
        <v>0</v>
      </c>
      <c r="AR88" s="19">
        <v>0</v>
      </c>
    </row>
    <row r="89" spans="1:44" s="18" customFormat="1">
      <c r="B89" s="18">
        <v>2017</v>
      </c>
      <c r="C89" s="182">
        <f>'Finland EV uptake'!O12</f>
        <v>2016.7328213196818</v>
      </c>
      <c r="D89" s="182"/>
      <c r="E89" s="182"/>
      <c r="F89" s="182"/>
      <c r="G89" s="182"/>
      <c r="H89" s="182"/>
      <c r="I89" s="13">
        <f t="shared" si="12"/>
        <v>6.0850907967553445</v>
      </c>
      <c r="J89" s="13">
        <f t="shared" si="13"/>
        <v>6.0324609820602033</v>
      </c>
      <c r="K89" s="182">
        <f t="shared" si="16"/>
        <v>4.6750450594017465</v>
      </c>
      <c r="L89" s="182">
        <f t="shared" si="17"/>
        <v>25.509134706003501</v>
      </c>
      <c r="M89" s="182">
        <f t="shared" si="18"/>
        <v>25.620996479823315</v>
      </c>
      <c r="N89" s="182">
        <f t="shared" si="19"/>
        <v>26.247073618174706</v>
      </c>
      <c r="O89" s="182">
        <f t="shared" si="20"/>
        <v>23.236875384222252</v>
      </c>
      <c r="V89" s="182"/>
      <c r="W89" s="182">
        <f>Finland!R87</f>
        <v>1.0137938099643653</v>
      </c>
      <c r="X89" s="27">
        <v>0</v>
      </c>
      <c r="Y89" s="18">
        <v>0</v>
      </c>
      <c r="Z89" s="18">
        <v>0</v>
      </c>
      <c r="AA89" s="27">
        <v>0</v>
      </c>
      <c r="AB89" s="27">
        <v>0</v>
      </c>
      <c r="AC89" s="18">
        <v>0</v>
      </c>
      <c r="AD89" s="18">
        <v>0</v>
      </c>
      <c r="AE89" s="27">
        <v>0</v>
      </c>
      <c r="AF89" s="27">
        <v>0</v>
      </c>
      <c r="AG89" s="18">
        <v>0</v>
      </c>
      <c r="AH89" s="27">
        <v>0</v>
      </c>
      <c r="AI89" s="18">
        <v>0</v>
      </c>
      <c r="AJ89" s="16">
        <f t="shared" si="23"/>
        <v>8</v>
      </c>
      <c r="AK89">
        <v>1</v>
      </c>
      <c r="AL89">
        <v>0</v>
      </c>
      <c r="AM89">
        <v>0</v>
      </c>
      <c r="AN89" s="18">
        <v>0</v>
      </c>
      <c r="AO89" s="18">
        <v>0</v>
      </c>
      <c r="AP89" s="27">
        <v>0</v>
      </c>
      <c r="AQ89" s="27">
        <v>0</v>
      </c>
      <c r="AR89" s="27">
        <v>0</v>
      </c>
    </row>
    <row r="90" spans="1:44">
      <c r="A90" s="135" t="s">
        <v>240</v>
      </c>
      <c r="B90">
        <v>2012</v>
      </c>
      <c r="C90" s="13">
        <f>'France EV uptake'!O7</f>
        <v>2017.1419061939387</v>
      </c>
      <c r="I90" s="182"/>
      <c r="J90" s="13">
        <f t="shared" si="13"/>
        <v>5.1452809986294241</v>
      </c>
      <c r="K90" s="13">
        <f t="shared" si="16"/>
        <v>4.9666050416635201</v>
      </c>
      <c r="L90" s="13">
        <f t="shared" si="17"/>
        <v>25.453127350030556</v>
      </c>
      <c r="M90" s="13">
        <f t="shared" si="18"/>
        <v>25.566684123467088</v>
      </c>
      <c r="N90" s="13">
        <f t="shared" si="19"/>
        <v>26.195352643225014</v>
      </c>
      <c r="O90" s="13">
        <f t="shared" si="20"/>
        <v>23.167456736836137</v>
      </c>
      <c r="W90" s="13">
        <f>France!S83</f>
        <v>0.97624918888186196</v>
      </c>
      <c r="X90" s="19">
        <v>0</v>
      </c>
      <c r="Y90">
        <v>0</v>
      </c>
      <c r="Z90">
        <v>0</v>
      </c>
      <c r="AA90" s="19">
        <v>0</v>
      </c>
      <c r="AB90" s="19">
        <v>0</v>
      </c>
      <c r="AC90">
        <v>0</v>
      </c>
      <c r="AD90">
        <v>0</v>
      </c>
      <c r="AE90" s="19">
        <v>0</v>
      </c>
      <c r="AF90" s="19">
        <v>0</v>
      </c>
      <c r="AG90">
        <v>0</v>
      </c>
      <c r="AH90" s="19">
        <v>0</v>
      </c>
      <c r="AI90">
        <v>0</v>
      </c>
      <c r="AJ90">
        <v>0</v>
      </c>
      <c r="AK90">
        <v>0</v>
      </c>
      <c r="AL90" s="3">
        <f t="shared" ref="AL90:AL95" si="24">AJ84</f>
        <v>3</v>
      </c>
      <c r="AM90">
        <v>1</v>
      </c>
      <c r="AN90">
        <v>0</v>
      </c>
      <c r="AO90" s="31">
        <v>0</v>
      </c>
      <c r="AP90" s="19">
        <v>0</v>
      </c>
      <c r="AQ90" s="19">
        <v>0</v>
      </c>
      <c r="AR90" s="19">
        <v>0</v>
      </c>
    </row>
    <row r="91" spans="1:44">
      <c r="B91">
        <v>2013</v>
      </c>
      <c r="C91" s="13">
        <f>'France EV uptake'!O8</f>
        <v>2016.3410074258666</v>
      </c>
      <c r="I91" s="182"/>
      <c r="J91" s="13">
        <f t="shared" si="13"/>
        <v>4.8480605350117019</v>
      </c>
      <c r="K91" s="13">
        <f t="shared" si="16"/>
        <v>4.3739647833368949</v>
      </c>
      <c r="L91" s="13">
        <f t="shared" si="17"/>
        <v>25.566970867424502</v>
      </c>
      <c r="M91" s="13">
        <f t="shared" si="18"/>
        <v>25.677082294888237</v>
      </c>
      <c r="N91" s="13">
        <f t="shared" si="19"/>
        <v>26.300483435583104</v>
      </c>
      <c r="O91" s="13">
        <f t="shared" si="20"/>
        <v>23.308560755297265</v>
      </c>
      <c r="W91" s="13">
        <f>France!S84</f>
        <v>1.0525643737179369</v>
      </c>
      <c r="X91" s="19">
        <v>0</v>
      </c>
      <c r="Y91">
        <v>0</v>
      </c>
      <c r="Z91">
        <v>0</v>
      </c>
      <c r="AA91" s="19">
        <v>0</v>
      </c>
      <c r="AB91" s="19">
        <v>0</v>
      </c>
      <c r="AC91">
        <v>0</v>
      </c>
      <c r="AD91">
        <v>0</v>
      </c>
      <c r="AE91" s="19">
        <v>0</v>
      </c>
      <c r="AF91" s="19">
        <v>0</v>
      </c>
      <c r="AG91">
        <v>0</v>
      </c>
      <c r="AH91" s="19">
        <v>0</v>
      </c>
      <c r="AI91">
        <v>0</v>
      </c>
      <c r="AJ91">
        <v>0</v>
      </c>
      <c r="AK91">
        <v>0</v>
      </c>
      <c r="AL91" s="3">
        <f t="shared" si="24"/>
        <v>4</v>
      </c>
      <c r="AM91">
        <v>1</v>
      </c>
      <c r="AN91">
        <v>0</v>
      </c>
      <c r="AO91" s="31">
        <v>0</v>
      </c>
      <c r="AP91" s="19">
        <v>0</v>
      </c>
      <c r="AQ91" s="19">
        <v>0</v>
      </c>
      <c r="AR91" s="19">
        <v>0</v>
      </c>
    </row>
    <row r="92" spans="1:44">
      <c r="B92">
        <v>2014</v>
      </c>
      <c r="C92" s="13">
        <f>'France EV uptake'!O9</f>
        <v>2017.7298303682742</v>
      </c>
      <c r="I92" s="182"/>
      <c r="J92" s="13">
        <f t="shared" si="13"/>
        <v>5.2477288678425174</v>
      </c>
      <c r="K92" s="13">
        <f t="shared" si="16"/>
        <v>5.349717426959737</v>
      </c>
      <c r="L92" s="13">
        <f t="shared" si="17"/>
        <v>25.379533190864834</v>
      </c>
      <c r="M92" s="13">
        <f t="shared" si="18"/>
        <v>25.495317208730444</v>
      </c>
      <c r="N92" s="13">
        <f t="shared" si="19"/>
        <v>26.12739082648628</v>
      </c>
      <c r="O92" s="13">
        <f t="shared" si="20"/>
        <v>23.07624002260183</v>
      </c>
      <c r="W92" s="13">
        <f>France!S85</f>
        <v>0.92691522601638843</v>
      </c>
      <c r="X92" s="19">
        <v>0</v>
      </c>
      <c r="Y92">
        <v>0</v>
      </c>
      <c r="Z92">
        <v>0</v>
      </c>
      <c r="AA92" s="19">
        <v>0</v>
      </c>
      <c r="AB92" s="19">
        <v>0</v>
      </c>
      <c r="AC92">
        <v>0</v>
      </c>
      <c r="AD92">
        <v>0</v>
      </c>
      <c r="AE92" s="19">
        <v>0</v>
      </c>
      <c r="AF92" s="19">
        <v>0</v>
      </c>
      <c r="AG92">
        <v>0</v>
      </c>
      <c r="AH92" s="19">
        <v>0</v>
      </c>
      <c r="AI92">
        <v>0</v>
      </c>
      <c r="AJ92">
        <v>0</v>
      </c>
      <c r="AK92">
        <v>0</v>
      </c>
      <c r="AL92" s="3">
        <f t="shared" si="24"/>
        <v>5</v>
      </c>
      <c r="AM92">
        <v>1</v>
      </c>
      <c r="AN92">
        <v>0</v>
      </c>
      <c r="AO92" s="31">
        <v>0</v>
      </c>
      <c r="AP92" s="19">
        <v>0</v>
      </c>
      <c r="AQ92" s="19">
        <v>0</v>
      </c>
      <c r="AR92" s="19">
        <v>0</v>
      </c>
    </row>
    <row r="93" spans="1:44">
      <c r="B93">
        <v>2015</v>
      </c>
      <c r="C93" s="13">
        <f>'France EV uptake'!O10</f>
        <v>2016.8802226471998</v>
      </c>
      <c r="I93" s="182"/>
      <c r="J93" s="13">
        <f t="shared" si="13"/>
        <v>4.9618708005210346</v>
      </c>
      <c r="K93" s="13">
        <f t="shared" si="16"/>
        <v>4.7826489697453978</v>
      </c>
      <c r="L93" s="13">
        <f t="shared" si="17"/>
        <v>25.48846448074163</v>
      </c>
      <c r="M93" s="13">
        <f t="shared" si="18"/>
        <v>25.600951815673689</v>
      </c>
      <c r="N93" s="13">
        <f t="shared" si="19"/>
        <v>26.22798533620885</v>
      </c>
      <c r="O93" s="13">
        <f t="shared" si="20"/>
        <v>23.211255551721347</v>
      </c>
      <c r="W93" s="13">
        <f>France!S86</f>
        <v>0.99993749124219977</v>
      </c>
      <c r="X93" s="19">
        <v>0</v>
      </c>
      <c r="Y93">
        <v>0</v>
      </c>
      <c r="Z93">
        <v>0</v>
      </c>
      <c r="AA93" s="19">
        <v>0</v>
      </c>
      <c r="AB93" s="19">
        <v>0</v>
      </c>
      <c r="AC93">
        <v>0</v>
      </c>
      <c r="AD93">
        <v>0</v>
      </c>
      <c r="AE93" s="19">
        <v>0</v>
      </c>
      <c r="AF93" s="19">
        <v>0</v>
      </c>
      <c r="AG93">
        <v>0</v>
      </c>
      <c r="AH93" s="19">
        <v>0</v>
      </c>
      <c r="AI93">
        <v>0</v>
      </c>
      <c r="AJ93">
        <v>0</v>
      </c>
      <c r="AK93">
        <v>0</v>
      </c>
      <c r="AL93" s="3">
        <f t="shared" si="24"/>
        <v>6</v>
      </c>
      <c r="AM93">
        <v>1</v>
      </c>
      <c r="AN93">
        <v>0</v>
      </c>
      <c r="AO93" s="31">
        <v>0</v>
      </c>
      <c r="AP93" s="19">
        <v>0</v>
      </c>
      <c r="AQ93" s="19">
        <v>0</v>
      </c>
      <c r="AR93" s="19">
        <v>0</v>
      </c>
    </row>
    <row r="94" spans="1:44">
      <c r="B94">
        <v>2016</v>
      </c>
      <c r="C94" s="13">
        <f>'France EV uptake'!O11</f>
        <v>2016.9187227611449</v>
      </c>
      <c r="I94" s="182"/>
      <c r="J94" s="13">
        <f t="shared" si="13"/>
        <v>4.9402536139585429</v>
      </c>
      <c r="K94" s="13">
        <f t="shared" si="16"/>
        <v>4.8102715506124536</v>
      </c>
      <c r="L94" s="13">
        <f t="shared" si="17"/>
        <v>25.483158307694456</v>
      </c>
      <c r="M94" s="13">
        <f t="shared" si="18"/>
        <v>25.595806227984006</v>
      </c>
      <c r="N94" s="13">
        <f t="shared" si="19"/>
        <v>26.223085257665876</v>
      </c>
      <c r="O94" s="13">
        <f t="shared" si="20"/>
        <v>23.204678784271202</v>
      </c>
      <c r="W94" s="13">
        <f>France!S87</f>
        <v>0.9963804896127948</v>
      </c>
      <c r="X94" s="19">
        <v>0</v>
      </c>
      <c r="Y94">
        <v>0</v>
      </c>
      <c r="Z94">
        <v>0</v>
      </c>
      <c r="AA94" s="19">
        <v>0</v>
      </c>
      <c r="AB94" s="19">
        <v>0</v>
      </c>
      <c r="AC94">
        <v>0</v>
      </c>
      <c r="AD94">
        <v>0</v>
      </c>
      <c r="AE94" s="19">
        <v>0</v>
      </c>
      <c r="AF94" s="19">
        <v>0</v>
      </c>
      <c r="AG94">
        <v>0</v>
      </c>
      <c r="AH94" s="19">
        <v>0</v>
      </c>
      <c r="AI94">
        <v>0</v>
      </c>
      <c r="AJ94">
        <v>0</v>
      </c>
      <c r="AK94">
        <v>0</v>
      </c>
      <c r="AL94" s="3">
        <f t="shared" si="24"/>
        <v>7</v>
      </c>
      <c r="AM94">
        <v>1</v>
      </c>
      <c r="AN94">
        <v>0</v>
      </c>
      <c r="AO94" s="31">
        <v>0</v>
      </c>
      <c r="AP94" s="19">
        <v>0</v>
      </c>
      <c r="AQ94" s="19">
        <v>0</v>
      </c>
      <c r="AR94" s="19">
        <v>0</v>
      </c>
    </row>
    <row r="95" spans="1:44" s="18" customFormat="1">
      <c r="B95" s="18">
        <v>2017</v>
      </c>
      <c r="C95" s="182">
        <f>'France EV uptake'!O12</f>
        <v>2016.9736662841631</v>
      </c>
      <c r="D95" s="182"/>
      <c r="E95" s="182"/>
      <c r="F95" s="182"/>
      <c r="G95" s="182"/>
      <c r="I95" s="182"/>
      <c r="J95" s="13">
        <f t="shared" si="13"/>
        <v>4.9237280340554683</v>
      </c>
      <c r="K95" s="182">
        <f t="shared" si="16"/>
        <v>4.8493531186017647</v>
      </c>
      <c r="L95" s="182">
        <f t="shared" si="17"/>
        <v>25.475650914967311</v>
      </c>
      <c r="M95" s="182">
        <f t="shared" si="18"/>
        <v>25.588526038051462</v>
      </c>
      <c r="N95" s="182">
        <f t="shared" si="19"/>
        <v>26.21615242421154</v>
      </c>
      <c r="O95" s="182">
        <f t="shared" si="20"/>
        <v>23.195373702117948</v>
      </c>
      <c r="V95" s="182"/>
      <c r="W95" s="182">
        <f>France!S88</f>
        <v>0.99134789683347657</v>
      </c>
      <c r="X95" s="27">
        <v>0</v>
      </c>
      <c r="Y95" s="18">
        <v>0</v>
      </c>
      <c r="Z95" s="18">
        <v>0</v>
      </c>
      <c r="AA95" s="27">
        <v>0</v>
      </c>
      <c r="AB95" s="27">
        <v>0</v>
      </c>
      <c r="AC95" s="18">
        <v>0</v>
      </c>
      <c r="AD95" s="18">
        <v>0</v>
      </c>
      <c r="AE95" s="27">
        <v>0</v>
      </c>
      <c r="AF95" s="27">
        <v>0</v>
      </c>
      <c r="AG95" s="18">
        <v>0</v>
      </c>
      <c r="AH95" s="27">
        <v>0</v>
      </c>
      <c r="AI95" s="18">
        <v>0</v>
      </c>
      <c r="AJ95" s="18">
        <v>0</v>
      </c>
      <c r="AK95" s="18">
        <v>0</v>
      </c>
      <c r="AL95" s="16">
        <f t="shared" si="24"/>
        <v>8</v>
      </c>
      <c r="AM95">
        <v>1</v>
      </c>
      <c r="AN95" s="18">
        <v>0</v>
      </c>
      <c r="AO95" s="18">
        <v>0</v>
      </c>
      <c r="AP95" s="27">
        <v>0</v>
      </c>
      <c r="AQ95" s="27">
        <v>0</v>
      </c>
      <c r="AR95" s="27">
        <v>0</v>
      </c>
    </row>
    <row r="96" spans="1:44">
      <c r="A96" t="s">
        <v>964</v>
      </c>
      <c r="B96">
        <v>2012</v>
      </c>
      <c r="C96" s="13">
        <f>'Germany EV uptake'!O7</f>
        <v>2018.2222335160914</v>
      </c>
      <c r="J96" s="13"/>
      <c r="K96" s="13">
        <f t="shared" si="16"/>
        <v>4.7323604179008534</v>
      </c>
      <c r="L96" s="13">
        <f t="shared" si="17"/>
        <v>26.599806459427434</v>
      </c>
      <c r="M96" s="13">
        <f t="shared" si="18"/>
        <v>26.742181060082086</v>
      </c>
      <c r="N96" s="13">
        <f t="shared" si="19"/>
        <v>27.488865976453052</v>
      </c>
      <c r="O96" s="13">
        <f t="shared" si="20"/>
        <v>24.061948703322059</v>
      </c>
      <c r="W96" s="13">
        <f>Germany!R84</f>
        <v>0.88927760418877067</v>
      </c>
      <c r="X96" s="19">
        <v>0</v>
      </c>
      <c r="Y96">
        <v>0</v>
      </c>
      <c r="Z96">
        <v>0</v>
      </c>
      <c r="AA96" s="19">
        <v>0</v>
      </c>
      <c r="AB96" s="19">
        <v>0</v>
      </c>
      <c r="AC96">
        <v>0</v>
      </c>
      <c r="AD96">
        <v>0</v>
      </c>
      <c r="AE96" s="19">
        <v>0</v>
      </c>
      <c r="AF96" s="19">
        <v>0</v>
      </c>
      <c r="AG96">
        <v>0</v>
      </c>
      <c r="AH96" s="19">
        <v>0</v>
      </c>
      <c r="AI96">
        <v>0</v>
      </c>
      <c r="AJ96">
        <v>0</v>
      </c>
      <c r="AK96">
        <v>0</v>
      </c>
      <c r="AL96">
        <v>0</v>
      </c>
      <c r="AM96">
        <v>0</v>
      </c>
      <c r="AN96">
        <v>0.5</v>
      </c>
      <c r="AO96" s="31">
        <v>0</v>
      </c>
      <c r="AP96" s="19">
        <v>0</v>
      </c>
      <c r="AQ96" s="19">
        <v>0</v>
      </c>
      <c r="AR96" s="19">
        <v>0</v>
      </c>
    </row>
    <row r="97" spans="1:44">
      <c r="B97">
        <v>2013</v>
      </c>
      <c r="C97" s="13">
        <f>'Germany EV uptake'!O8</f>
        <v>2016.199676727641</v>
      </c>
      <c r="J97" s="13"/>
      <c r="K97" s="13">
        <f t="shared" si="16"/>
        <v>2.4403536245354487</v>
      </c>
      <c r="L97" s="13">
        <f t="shared" si="17"/>
        <v>28.141772389212178</v>
      </c>
      <c r="M97" s="13">
        <f t="shared" si="18"/>
        <v>28.301001906188496</v>
      </c>
      <c r="N97" s="13">
        <f t="shared" si="19"/>
        <v>29.147413855234376</v>
      </c>
      <c r="O97" s="13">
        <f t="shared" si="20"/>
        <v>25.446381248580156</v>
      </c>
      <c r="W97" s="13">
        <f>Germany!R85</f>
        <v>1.067287174784266</v>
      </c>
      <c r="X97" s="19">
        <v>0</v>
      </c>
      <c r="Y97">
        <v>0</v>
      </c>
      <c r="Z97">
        <v>0</v>
      </c>
      <c r="AA97" s="19">
        <v>0</v>
      </c>
      <c r="AB97" s="19">
        <v>0</v>
      </c>
      <c r="AC97">
        <v>0</v>
      </c>
      <c r="AD97">
        <v>0</v>
      </c>
      <c r="AE97" s="19">
        <v>0</v>
      </c>
      <c r="AF97" s="19">
        <v>0</v>
      </c>
      <c r="AG97">
        <v>0</v>
      </c>
      <c r="AH97" s="19">
        <v>0</v>
      </c>
      <c r="AI97">
        <v>0</v>
      </c>
      <c r="AJ97">
        <v>0</v>
      </c>
      <c r="AK97">
        <v>0</v>
      </c>
      <c r="AL97">
        <v>0</v>
      </c>
      <c r="AM97">
        <v>0</v>
      </c>
      <c r="AN97">
        <v>1</v>
      </c>
      <c r="AO97" s="31">
        <v>0</v>
      </c>
      <c r="AP97" s="19">
        <v>0</v>
      </c>
      <c r="AQ97" s="19">
        <v>0</v>
      </c>
      <c r="AR97" s="19">
        <v>0</v>
      </c>
    </row>
    <row r="98" spans="1:44">
      <c r="B98">
        <v>2014</v>
      </c>
      <c r="C98" s="13">
        <f>'Germany EV uptake'!O9</f>
        <v>2017.215701187065</v>
      </c>
      <c r="J98" s="13"/>
      <c r="K98" s="13">
        <f t="shared" si="16"/>
        <v>3.1976373758374073</v>
      </c>
      <c r="L98" s="13">
        <f t="shared" si="17"/>
        <v>27.99630160031079</v>
      </c>
      <c r="M98" s="13">
        <f t="shared" si="18"/>
        <v>28.159933627049401</v>
      </c>
      <c r="N98" s="13">
        <f t="shared" si="19"/>
        <v>29.013076304425592</v>
      </c>
      <c r="O98" s="13">
        <f t="shared" si="20"/>
        <v>25.266076622084242</v>
      </c>
      <c r="W98" s="13">
        <f>Germany!R86</f>
        <v>0.9697705976668981</v>
      </c>
      <c r="X98" s="19">
        <v>0</v>
      </c>
      <c r="Y98">
        <v>0</v>
      </c>
      <c r="Z98">
        <v>0</v>
      </c>
      <c r="AA98" s="19">
        <v>0</v>
      </c>
      <c r="AB98" s="19">
        <v>0</v>
      </c>
      <c r="AC98">
        <v>0</v>
      </c>
      <c r="AD98">
        <v>0</v>
      </c>
      <c r="AE98" s="19">
        <v>0</v>
      </c>
      <c r="AF98" s="19">
        <v>0</v>
      </c>
      <c r="AG98">
        <v>0</v>
      </c>
      <c r="AH98" s="19">
        <v>0</v>
      </c>
      <c r="AI98">
        <v>0</v>
      </c>
      <c r="AJ98">
        <v>0</v>
      </c>
      <c r="AK98">
        <v>0</v>
      </c>
      <c r="AL98">
        <v>0</v>
      </c>
      <c r="AM98">
        <v>0</v>
      </c>
      <c r="AN98">
        <v>1</v>
      </c>
      <c r="AO98" s="31">
        <v>0</v>
      </c>
      <c r="AP98" s="19">
        <v>0</v>
      </c>
      <c r="AQ98" s="19">
        <v>0</v>
      </c>
      <c r="AR98" s="19">
        <v>0</v>
      </c>
    </row>
    <row r="99" spans="1:44">
      <c r="B99">
        <v>2015</v>
      </c>
      <c r="C99" s="13">
        <f>'Germany EV uptake'!O10</f>
        <v>2016.7075785059585</v>
      </c>
      <c r="J99" s="13"/>
      <c r="K99" s="13">
        <f t="shared" si="16"/>
        <v>2.8370394380116095</v>
      </c>
      <c r="L99" s="13">
        <f t="shared" si="17"/>
        <v>28.065570835787646</v>
      </c>
      <c r="M99" s="13">
        <f t="shared" si="18"/>
        <v>28.227106507046805</v>
      </c>
      <c r="N99" s="13">
        <f t="shared" si="19"/>
        <v>29.07704419454727</v>
      </c>
      <c r="O99" s="13">
        <f t="shared" si="20"/>
        <v>25.351932784167602</v>
      </c>
      <c r="W99" s="13">
        <f>Germany!R87</f>
        <v>1.0162053409872152</v>
      </c>
      <c r="X99" s="19">
        <v>0</v>
      </c>
      <c r="Y99">
        <v>0</v>
      </c>
      <c r="Z99">
        <v>0</v>
      </c>
      <c r="AA99" s="19">
        <v>0</v>
      </c>
      <c r="AB99" s="19">
        <v>0</v>
      </c>
      <c r="AC99">
        <v>0</v>
      </c>
      <c r="AD99">
        <v>0</v>
      </c>
      <c r="AE99" s="19">
        <v>0</v>
      </c>
      <c r="AF99" s="19">
        <v>0</v>
      </c>
      <c r="AG99">
        <v>0</v>
      </c>
      <c r="AH99" s="19">
        <v>0</v>
      </c>
      <c r="AI99">
        <v>0</v>
      </c>
      <c r="AJ99">
        <v>0</v>
      </c>
      <c r="AK99">
        <v>0</v>
      </c>
      <c r="AL99">
        <v>0</v>
      </c>
      <c r="AM99">
        <v>0</v>
      </c>
      <c r="AN99">
        <v>1</v>
      </c>
      <c r="AO99" s="31">
        <v>0</v>
      </c>
      <c r="AP99" s="19">
        <v>0</v>
      </c>
      <c r="AQ99" s="19">
        <v>0</v>
      </c>
      <c r="AR99" s="19">
        <v>0</v>
      </c>
    </row>
    <row r="100" spans="1:44">
      <c r="B100">
        <v>2016</v>
      </c>
      <c r="C100" s="13">
        <f>'Germany EV uptake'!O11</f>
        <v>2016.7848496820138</v>
      </c>
      <c r="J100" s="13"/>
      <c r="K100" s="13">
        <f t="shared" si="16"/>
        <v>2.8940865637022299</v>
      </c>
      <c r="L100" s="13">
        <f t="shared" ref="L100:L107" si="25">L$3+L$4*W100+L$6*X100+L$8*AA100+L$9*AB100+L$10*AC100+L$12*AE100+L$13*AF100+L$14*AG100+L$15*AH100+L$16*AI100+L$17*AN100+L$18*AO100</f>
        <v>28.054612340554513</v>
      </c>
      <c r="M100" s="13">
        <f t="shared" ref="M100:M113" si="26">M$3+M$4*W100+M$6*X100+M$8*AA100+M$9*AB100+M$10*AC100+M$12*AE100+M$13*AF100+M$14*AG100+M$15*AH100+M$16*AI100+M$17*AN100+M$18*AO100+M$19*AP100</f>
        <v>28.216479658342905</v>
      </c>
      <c r="N100" s="13">
        <f t="shared" ref="N100:N119" si="27">N$3+N$4*W100+N$6*X100+N$8*AA100+N$9*AB100+N$10*AC100+N$12*AE100+N$13*AF100+N$14*AG100+N$15*AH100+N$16*AI100+N$17*AN100+N$18*AO100+N$19*AP100+N$20*AQ100</f>
        <v>29.066924379969468</v>
      </c>
      <c r="O100" s="13">
        <f t="shared" ref="O100:O125" si="28">O$3+O$4*W100+O$6*X100+O$8*AA100+O$9*AB100+O$10*AC100+O$12*AE100+O$13*AF100+O$14*AG100+O$15*AH100+O$16*AI100+O$17*AN100+O$18*AO100+O$19*AP100+O$20*AQ100+O$21*AR100</f>
        <v>25.33835021267755</v>
      </c>
      <c r="W100" s="13">
        <f>Germany!R88</f>
        <v>1.0088592960969487</v>
      </c>
      <c r="X100" s="19">
        <v>0</v>
      </c>
      <c r="Y100">
        <v>0</v>
      </c>
      <c r="Z100">
        <v>0</v>
      </c>
      <c r="AA100" s="19">
        <v>0</v>
      </c>
      <c r="AB100" s="19">
        <v>0</v>
      </c>
      <c r="AC100">
        <v>0</v>
      </c>
      <c r="AD100">
        <v>0</v>
      </c>
      <c r="AE100" s="19">
        <v>0</v>
      </c>
      <c r="AF100" s="19">
        <v>0</v>
      </c>
      <c r="AG100">
        <v>0</v>
      </c>
      <c r="AH100" s="19">
        <v>0</v>
      </c>
      <c r="AI100">
        <v>0</v>
      </c>
      <c r="AJ100">
        <v>0</v>
      </c>
      <c r="AK100">
        <v>0</v>
      </c>
      <c r="AL100">
        <v>0</v>
      </c>
      <c r="AM100">
        <v>0</v>
      </c>
      <c r="AN100">
        <v>1</v>
      </c>
      <c r="AO100" s="31">
        <v>0</v>
      </c>
      <c r="AP100" s="19">
        <v>0</v>
      </c>
      <c r="AQ100" s="19">
        <v>0</v>
      </c>
      <c r="AR100" s="19">
        <v>0</v>
      </c>
    </row>
    <row r="101" spans="1:44" s="18" customFormat="1">
      <c r="B101" s="18">
        <v>2017</v>
      </c>
      <c r="C101" s="182">
        <f>'Germany EV uptake'!O12</f>
        <v>2016.7295960758513</v>
      </c>
      <c r="D101" s="182"/>
      <c r="E101" s="182"/>
      <c r="F101" s="182"/>
      <c r="G101" s="182"/>
      <c r="J101" s="182"/>
      <c r="K101" s="13">
        <f t="shared" si="16"/>
        <v>2.8533788477700726</v>
      </c>
      <c r="L101" s="13">
        <f t="shared" si="25"/>
        <v>28.062432108958159</v>
      </c>
      <c r="M101" s="13">
        <f t="shared" si="26"/>
        <v>28.224062770253546</v>
      </c>
      <c r="N101" s="13">
        <f t="shared" si="27"/>
        <v>29.074145682219704</v>
      </c>
      <c r="O101" s="13">
        <f t="shared" si="28"/>
        <v>25.348042470703728</v>
      </c>
      <c r="V101" s="182"/>
      <c r="W101" s="13">
        <f>Germany!R89</f>
        <v>1.0141012904130096</v>
      </c>
      <c r="X101" s="27">
        <v>0</v>
      </c>
      <c r="Y101">
        <v>0</v>
      </c>
      <c r="Z101">
        <v>0</v>
      </c>
      <c r="AA101" s="27">
        <v>0</v>
      </c>
      <c r="AB101" s="27">
        <v>0</v>
      </c>
      <c r="AC101">
        <v>0</v>
      </c>
      <c r="AD101">
        <v>0</v>
      </c>
      <c r="AE101" s="27">
        <v>0</v>
      </c>
      <c r="AF101" s="27">
        <v>0</v>
      </c>
      <c r="AG101">
        <v>0</v>
      </c>
      <c r="AH101" s="27">
        <v>0</v>
      </c>
      <c r="AI101">
        <v>0</v>
      </c>
      <c r="AJ101">
        <v>0</v>
      </c>
      <c r="AK101">
        <v>0</v>
      </c>
      <c r="AL101">
        <v>0</v>
      </c>
      <c r="AM101">
        <v>0</v>
      </c>
      <c r="AN101">
        <v>1</v>
      </c>
      <c r="AO101" s="31">
        <v>0</v>
      </c>
      <c r="AP101" s="19">
        <v>0</v>
      </c>
      <c r="AQ101" s="19">
        <v>0</v>
      </c>
      <c r="AR101" s="19">
        <v>0</v>
      </c>
    </row>
    <row r="102" spans="1:44">
      <c r="A102" t="s">
        <v>242</v>
      </c>
      <c r="B102">
        <v>2012</v>
      </c>
      <c r="C102" s="13">
        <f>'India EV uptake'!O7</f>
        <v>2025.7753083178627</v>
      </c>
      <c r="K102" s="13"/>
      <c r="L102" s="13">
        <f t="shared" si="25"/>
        <v>25.995188956955765</v>
      </c>
      <c r="M102" s="13">
        <f t="shared" si="26"/>
        <v>26.092340845712176</v>
      </c>
      <c r="N102" s="13">
        <f t="shared" si="27"/>
        <v>26.695928939069312</v>
      </c>
      <c r="O102" s="13">
        <f t="shared" si="28"/>
        <v>23.839318189657966</v>
      </c>
      <c r="W102" s="13">
        <f>'Country Petrol Prices'!K84</f>
        <v>1.3396210581986554</v>
      </c>
      <c r="X102" s="19">
        <v>0</v>
      </c>
      <c r="Y102">
        <v>0</v>
      </c>
      <c r="Z102">
        <v>0</v>
      </c>
      <c r="AA102" s="19">
        <v>0</v>
      </c>
      <c r="AB102" s="19">
        <v>0</v>
      </c>
      <c r="AC102">
        <v>0</v>
      </c>
      <c r="AD102">
        <v>0</v>
      </c>
      <c r="AE102" s="19">
        <v>0</v>
      </c>
      <c r="AF102" s="19">
        <v>0</v>
      </c>
      <c r="AG102">
        <v>0</v>
      </c>
      <c r="AH102" s="19">
        <v>0</v>
      </c>
      <c r="AI102">
        <v>0</v>
      </c>
      <c r="AJ102">
        <v>0</v>
      </c>
      <c r="AK102">
        <v>0</v>
      </c>
      <c r="AL102">
        <v>0</v>
      </c>
      <c r="AM102">
        <v>0</v>
      </c>
      <c r="AN102" s="19">
        <v>0</v>
      </c>
      <c r="AO102" s="31">
        <v>0</v>
      </c>
      <c r="AP102" s="19">
        <v>0</v>
      </c>
      <c r="AQ102" s="19">
        <v>0</v>
      </c>
      <c r="AR102" s="19">
        <v>0</v>
      </c>
    </row>
    <row r="103" spans="1:44">
      <c r="B103">
        <v>2013</v>
      </c>
      <c r="C103" s="13">
        <f>'India EV uptake'!O8</f>
        <v>2028.3889876449657</v>
      </c>
      <c r="K103" s="13"/>
      <c r="L103" s="13">
        <f t="shared" si="25"/>
        <v>29.834226003657193</v>
      </c>
      <c r="M103" s="13">
        <f t="shared" si="26"/>
        <v>29.938527419922782</v>
      </c>
      <c r="N103" s="13">
        <f t="shared" si="27"/>
        <v>30.728945093481521</v>
      </c>
      <c r="O103" s="13">
        <f t="shared" si="28"/>
        <v>27.567584333793967</v>
      </c>
      <c r="W103" s="13">
        <f>'Country Petrol Prices'!K85</f>
        <v>1.2381046949878041</v>
      </c>
      <c r="X103" s="19">
        <v>0</v>
      </c>
      <c r="Y103">
        <v>0</v>
      </c>
      <c r="Z103">
        <v>0</v>
      </c>
      <c r="AA103" s="19">
        <v>0</v>
      </c>
      <c r="AB103" s="19">
        <v>0</v>
      </c>
      <c r="AC103">
        <v>0</v>
      </c>
      <c r="AD103">
        <v>0</v>
      </c>
      <c r="AE103" s="19">
        <v>0</v>
      </c>
      <c r="AF103" s="19">
        <v>0</v>
      </c>
      <c r="AG103">
        <v>0</v>
      </c>
      <c r="AH103" s="19">
        <v>0</v>
      </c>
      <c r="AI103">
        <v>0</v>
      </c>
      <c r="AJ103">
        <v>0</v>
      </c>
      <c r="AK103">
        <v>0</v>
      </c>
      <c r="AL103">
        <v>0</v>
      </c>
      <c r="AM103">
        <v>0</v>
      </c>
      <c r="AN103" s="19">
        <v>0</v>
      </c>
      <c r="AO103" s="31">
        <v>1</v>
      </c>
      <c r="AP103" s="19">
        <v>0</v>
      </c>
      <c r="AQ103" s="19">
        <v>0</v>
      </c>
      <c r="AR103" s="19">
        <v>0</v>
      </c>
    </row>
    <row r="104" spans="1:44">
      <c r="B104">
        <v>2014</v>
      </c>
      <c r="C104" s="13">
        <f>'India EV uptake'!O9</f>
        <v>2028.5558626462118</v>
      </c>
      <c r="K104" s="13"/>
      <c r="L104" s="13">
        <f t="shared" si="25"/>
        <v>27.753823799265781</v>
      </c>
      <c r="M104" s="13">
        <f t="shared" si="26"/>
        <v>27.859419415379193</v>
      </c>
      <c r="N104" s="13">
        <f t="shared" si="27"/>
        <v>28.563866159958966</v>
      </c>
      <c r="O104" s="13">
        <f t="shared" si="28"/>
        <v>25.504043035246937</v>
      </c>
      <c r="W104" s="13">
        <f>'Country Petrol Prices'!K86</f>
        <v>1.1810142424611467</v>
      </c>
      <c r="X104" s="19">
        <v>0</v>
      </c>
      <c r="Y104">
        <v>0</v>
      </c>
      <c r="Z104">
        <v>0</v>
      </c>
      <c r="AA104" s="19">
        <v>0</v>
      </c>
      <c r="AB104" s="19">
        <v>0</v>
      </c>
      <c r="AC104">
        <v>0</v>
      </c>
      <c r="AD104">
        <v>0</v>
      </c>
      <c r="AE104" s="19">
        <v>0</v>
      </c>
      <c r="AF104" s="19">
        <v>0</v>
      </c>
      <c r="AG104">
        <v>0</v>
      </c>
      <c r="AH104" s="19">
        <v>0</v>
      </c>
      <c r="AI104">
        <v>0</v>
      </c>
      <c r="AJ104">
        <v>0</v>
      </c>
      <c r="AK104">
        <v>0</v>
      </c>
      <c r="AL104">
        <v>0</v>
      </c>
      <c r="AM104">
        <v>0</v>
      </c>
      <c r="AN104" s="19">
        <v>0</v>
      </c>
      <c r="AO104" s="31">
        <v>0.5</v>
      </c>
      <c r="AP104" s="19">
        <v>0</v>
      </c>
      <c r="AQ104" s="19">
        <v>0</v>
      </c>
      <c r="AR104" s="19">
        <v>0</v>
      </c>
    </row>
    <row r="105" spans="1:44">
      <c r="B105">
        <v>2015</v>
      </c>
      <c r="C105" s="13">
        <f>'India EV uptake'!O10</f>
        <v>2027.2917994886172</v>
      </c>
      <c r="K105" s="13"/>
      <c r="L105" s="13">
        <f t="shared" si="25"/>
        <v>25.480131133582372</v>
      </c>
      <c r="M105" s="13">
        <f t="shared" si="26"/>
        <v>25.592870667890665</v>
      </c>
      <c r="N105" s="13">
        <f t="shared" si="27"/>
        <v>26.220289760651251</v>
      </c>
      <c r="O105" s="13">
        <f t="shared" si="28"/>
        <v>23.200926735480241</v>
      </c>
      <c r="W105" s="13">
        <f>'Country Petrol Prices'!K87</f>
        <v>0.99435121858197106</v>
      </c>
      <c r="X105" s="19">
        <v>0</v>
      </c>
      <c r="Y105">
        <v>0</v>
      </c>
      <c r="Z105">
        <v>0</v>
      </c>
      <c r="AA105" s="19">
        <v>0</v>
      </c>
      <c r="AB105" s="19">
        <v>0</v>
      </c>
      <c r="AC105">
        <v>0</v>
      </c>
      <c r="AD105">
        <v>0</v>
      </c>
      <c r="AE105" s="19">
        <v>0</v>
      </c>
      <c r="AF105" s="19">
        <v>0</v>
      </c>
      <c r="AG105">
        <v>0</v>
      </c>
      <c r="AH105" s="19">
        <v>0</v>
      </c>
      <c r="AI105">
        <v>0</v>
      </c>
      <c r="AJ105">
        <v>0</v>
      </c>
      <c r="AK105">
        <v>0</v>
      </c>
      <c r="AL105">
        <v>0</v>
      </c>
      <c r="AM105">
        <v>0</v>
      </c>
      <c r="AN105" s="19">
        <v>0</v>
      </c>
      <c r="AO105" s="31">
        <v>0</v>
      </c>
      <c r="AP105" s="19">
        <v>0</v>
      </c>
      <c r="AQ105" s="19">
        <v>0</v>
      </c>
      <c r="AR105" s="19">
        <v>0</v>
      </c>
    </row>
    <row r="106" spans="1:44">
      <c r="B106">
        <v>2016</v>
      </c>
      <c r="C106" s="13">
        <f>'India EV uptake'!O11</f>
        <v>2027.4301279831573</v>
      </c>
      <c r="K106" s="13"/>
      <c r="L106" s="13">
        <f t="shared" si="25"/>
        <v>25.415777615118081</v>
      </c>
      <c r="M106" s="13">
        <f t="shared" si="26"/>
        <v>25.530464736260932</v>
      </c>
      <c r="N106" s="13">
        <f t="shared" si="27"/>
        <v>26.160861375600827</v>
      </c>
      <c r="O106" s="13">
        <f t="shared" si="28"/>
        <v>23.121163387814153</v>
      </c>
      <c r="W106" s="13">
        <f>'Country Petrol Prices'!K88</f>
        <v>0.95121173406078063</v>
      </c>
      <c r="X106" s="19">
        <v>0</v>
      </c>
      <c r="Y106">
        <v>0</v>
      </c>
      <c r="Z106">
        <v>0</v>
      </c>
      <c r="AA106" s="19">
        <v>0</v>
      </c>
      <c r="AB106" s="19">
        <v>0</v>
      </c>
      <c r="AC106">
        <v>0</v>
      </c>
      <c r="AD106">
        <v>0</v>
      </c>
      <c r="AE106" s="19">
        <v>0</v>
      </c>
      <c r="AF106" s="19">
        <v>0</v>
      </c>
      <c r="AG106">
        <v>0</v>
      </c>
      <c r="AH106" s="19">
        <v>0</v>
      </c>
      <c r="AI106">
        <v>0</v>
      </c>
      <c r="AJ106">
        <v>0</v>
      </c>
      <c r="AK106">
        <v>0</v>
      </c>
      <c r="AL106">
        <v>0</v>
      </c>
      <c r="AM106">
        <v>0</v>
      </c>
      <c r="AN106" s="19">
        <v>0</v>
      </c>
      <c r="AO106" s="31">
        <v>0</v>
      </c>
      <c r="AP106" s="19">
        <v>0</v>
      </c>
      <c r="AQ106" s="19">
        <v>0</v>
      </c>
      <c r="AR106" s="19">
        <v>0</v>
      </c>
    </row>
    <row r="107" spans="1:44" s="18" customFormat="1">
      <c r="B107" s="18">
        <v>2017</v>
      </c>
      <c r="C107" s="13">
        <f>'India EV uptake'!O12</f>
        <v>2027.3719619832832</v>
      </c>
      <c r="D107" s="182"/>
      <c r="E107" s="182"/>
      <c r="F107" s="182"/>
      <c r="G107" s="182"/>
      <c r="K107" s="13"/>
      <c r="L107" s="13">
        <f t="shared" si="25"/>
        <v>25.565475695707839</v>
      </c>
      <c r="M107" s="13">
        <f t="shared" si="26"/>
        <v>25.675632372861415</v>
      </c>
      <c r="N107" s="13">
        <f t="shared" si="27"/>
        <v>26.299102693043849</v>
      </c>
      <c r="O107" s="13">
        <f t="shared" si="28"/>
        <v>23.30670755590269</v>
      </c>
      <c r="V107" s="13"/>
      <c r="W107" s="182">
        <f>'Country Petrol Prices'!K89</f>
        <v>1.0515620829548709</v>
      </c>
      <c r="X107" s="19">
        <v>0</v>
      </c>
      <c r="Y107">
        <v>0</v>
      </c>
      <c r="Z107">
        <v>0</v>
      </c>
      <c r="AA107" s="19">
        <v>0</v>
      </c>
      <c r="AB107" s="19">
        <v>0</v>
      </c>
      <c r="AC107">
        <v>0</v>
      </c>
      <c r="AD107">
        <v>0</v>
      </c>
      <c r="AE107" s="19">
        <v>0</v>
      </c>
      <c r="AF107" s="19">
        <v>0</v>
      </c>
      <c r="AG107">
        <v>0</v>
      </c>
      <c r="AH107" s="19">
        <v>0</v>
      </c>
      <c r="AI107">
        <v>0</v>
      </c>
      <c r="AJ107">
        <v>0</v>
      </c>
      <c r="AK107">
        <v>0</v>
      </c>
      <c r="AL107">
        <v>0</v>
      </c>
      <c r="AM107">
        <v>0</v>
      </c>
      <c r="AN107" s="19">
        <v>0</v>
      </c>
      <c r="AO107" s="31">
        <v>0</v>
      </c>
      <c r="AP107" s="19">
        <v>0</v>
      </c>
      <c r="AQ107" s="19">
        <v>0</v>
      </c>
      <c r="AR107" s="19">
        <v>0</v>
      </c>
    </row>
    <row r="108" spans="1:44">
      <c r="A108" t="s">
        <v>544</v>
      </c>
      <c r="B108">
        <v>2012</v>
      </c>
      <c r="C108" s="13">
        <f>'Ireland EV uptake'!O7</f>
        <v>2018.8750156872493</v>
      </c>
      <c r="L108" s="13"/>
      <c r="M108" s="13">
        <f t="shared" si="26"/>
        <v>25.006645699898662</v>
      </c>
      <c r="N108" s="13">
        <f t="shared" si="27"/>
        <v>25.547769009085027</v>
      </c>
      <c r="O108" s="13">
        <f t="shared" si="28"/>
        <v>23.295980723552397</v>
      </c>
      <c r="W108" s="13">
        <f>'Country Petrol Prices'!L84</f>
        <v>2.2206850571942964</v>
      </c>
      <c r="X108" s="19">
        <v>0</v>
      </c>
      <c r="Y108">
        <v>0</v>
      </c>
      <c r="Z108">
        <v>0</v>
      </c>
      <c r="AA108" s="19">
        <v>0</v>
      </c>
      <c r="AB108" s="19">
        <v>0</v>
      </c>
      <c r="AC108">
        <v>0</v>
      </c>
      <c r="AD108">
        <v>0</v>
      </c>
      <c r="AE108" s="19">
        <v>0</v>
      </c>
      <c r="AF108" s="19">
        <v>0</v>
      </c>
      <c r="AG108">
        <v>0</v>
      </c>
      <c r="AH108" s="19">
        <v>0</v>
      </c>
      <c r="AI108">
        <v>0</v>
      </c>
      <c r="AJ108">
        <v>0</v>
      </c>
      <c r="AK108">
        <v>0</v>
      </c>
      <c r="AL108">
        <v>0</v>
      </c>
      <c r="AM108">
        <v>0</v>
      </c>
      <c r="AN108" s="19">
        <v>0</v>
      </c>
      <c r="AO108" s="19">
        <v>0</v>
      </c>
      <c r="AP108" s="19">
        <v>0.5</v>
      </c>
      <c r="AQ108" s="19">
        <v>0</v>
      </c>
      <c r="AR108" s="19">
        <v>0</v>
      </c>
    </row>
    <row r="109" spans="1:44">
      <c r="B109">
        <v>2013</v>
      </c>
      <c r="C109" s="13">
        <f>'Ireland EV uptake'!O8</f>
        <v>2018.9213655214492</v>
      </c>
      <c r="L109" s="13"/>
      <c r="M109" s="13">
        <f t="shared" si="26"/>
        <v>24.997732346485382</v>
      </c>
      <c r="N109" s="13">
        <f t="shared" si="27"/>
        <v>25.539280934555865</v>
      </c>
      <c r="O109" s="13">
        <f t="shared" si="28"/>
        <v>23.284588234271204</v>
      </c>
      <c r="W109" s="13">
        <f>'Country Petrol Prices'!L85</f>
        <v>2.2145235039322504</v>
      </c>
      <c r="X109" s="19">
        <v>0</v>
      </c>
      <c r="Y109">
        <v>0</v>
      </c>
      <c r="Z109">
        <v>0</v>
      </c>
      <c r="AA109" s="19">
        <v>0</v>
      </c>
      <c r="AB109" s="19">
        <v>0</v>
      </c>
      <c r="AC109">
        <v>0</v>
      </c>
      <c r="AD109">
        <v>0</v>
      </c>
      <c r="AE109" s="19">
        <v>0</v>
      </c>
      <c r="AF109" s="19">
        <v>0</v>
      </c>
      <c r="AG109">
        <v>0</v>
      </c>
      <c r="AH109" s="19">
        <v>0</v>
      </c>
      <c r="AI109">
        <v>0</v>
      </c>
      <c r="AJ109">
        <v>0</v>
      </c>
      <c r="AK109">
        <v>0</v>
      </c>
      <c r="AL109">
        <v>0</v>
      </c>
      <c r="AM109">
        <v>0</v>
      </c>
      <c r="AN109" s="19">
        <v>0</v>
      </c>
      <c r="AO109" s="19">
        <v>0</v>
      </c>
      <c r="AP109" s="19">
        <v>0.5</v>
      </c>
      <c r="AQ109" s="19">
        <v>0</v>
      </c>
      <c r="AR109" s="19">
        <v>0</v>
      </c>
    </row>
    <row r="110" spans="1:44">
      <c r="B110">
        <v>2014</v>
      </c>
      <c r="C110" s="13">
        <f>'Ireland EV uptake'!O9</f>
        <v>2020.0055118566152</v>
      </c>
      <c r="L110" s="13"/>
      <c r="M110" s="13">
        <f t="shared" si="26"/>
        <v>24.808092927901871</v>
      </c>
      <c r="N110" s="13">
        <f t="shared" si="27"/>
        <v>25.358689697569194</v>
      </c>
      <c r="O110" s="13">
        <f t="shared" si="28"/>
        <v>23.042203023752776</v>
      </c>
      <c r="W110" s="13">
        <f>'Country Petrol Prices'!L86</f>
        <v>2.0834310492737709</v>
      </c>
      <c r="X110" s="19">
        <v>0</v>
      </c>
      <c r="Y110">
        <v>0</v>
      </c>
      <c r="Z110">
        <v>0</v>
      </c>
      <c r="AA110" s="19">
        <v>0</v>
      </c>
      <c r="AB110" s="19">
        <v>0</v>
      </c>
      <c r="AC110">
        <v>0</v>
      </c>
      <c r="AD110">
        <v>0</v>
      </c>
      <c r="AE110" s="19">
        <v>0</v>
      </c>
      <c r="AF110" s="19">
        <v>0</v>
      </c>
      <c r="AG110">
        <v>0</v>
      </c>
      <c r="AH110" s="19">
        <v>0</v>
      </c>
      <c r="AI110">
        <v>0</v>
      </c>
      <c r="AJ110">
        <v>0</v>
      </c>
      <c r="AK110">
        <v>0</v>
      </c>
      <c r="AL110">
        <v>0</v>
      </c>
      <c r="AM110">
        <v>0</v>
      </c>
      <c r="AN110" s="19">
        <v>0</v>
      </c>
      <c r="AO110" s="19">
        <v>0</v>
      </c>
      <c r="AP110" s="19">
        <v>0.5</v>
      </c>
      <c r="AQ110" s="19">
        <v>0</v>
      </c>
      <c r="AR110" s="19">
        <v>0</v>
      </c>
    </row>
    <row r="111" spans="1:44">
      <c r="B111">
        <v>2015</v>
      </c>
      <c r="C111" s="13">
        <f>'Ireland EV uptake'!O10</f>
        <v>2019.424683248825</v>
      </c>
      <c r="L111" s="13"/>
      <c r="M111" s="13">
        <f t="shared" si="26"/>
        <v>21.686067466879578</v>
      </c>
      <c r="N111" s="13">
        <f t="shared" si="27"/>
        <v>22.271357978914445</v>
      </c>
      <c r="O111" s="13">
        <f t="shared" si="28"/>
        <v>19.896155868787922</v>
      </c>
      <c r="W111" s="13">
        <f>'Country Petrol Prices'!L87</f>
        <v>1.5568365482058133</v>
      </c>
      <c r="X111" s="19">
        <v>0</v>
      </c>
      <c r="Y111">
        <v>0</v>
      </c>
      <c r="Z111">
        <v>0</v>
      </c>
      <c r="AA111" s="19">
        <v>0</v>
      </c>
      <c r="AB111" s="19">
        <v>0</v>
      </c>
      <c r="AC111">
        <v>0</v>
      </c>
      <c r="AD111">
        <v>0</v>
      </c>
      <c r="AE111" s="19">
        <v>0</v>
      </c>
      <c r="AF111" s="19">
        <v>0</v>
      </c>
      <c r="AG111">
        <v>0</v>
      </c>
      <c r="AH111" s="19">
        <v>0</v>
      </c>
      <c r="AI111">
        <v>0</v>
      </c>
      <c r="AJ111">
        <v>0</v>
      </c>
      <c r="AK111">
        <v>0</v>
      </c>
      <c r="AL111">
        <v>0</v>
      </c>
      <c r="AM111">
        <v>0</v>
      </c>
      <c r="AN111" s="19">
        <v>0</v>
      </c>
      <c r="AO111" s="19">
        <v>0</v>
      </c>
      <c r="AP111" s="19">
        <v>1</v>
      </c>
      <c r="AQ111" s="19">
        <v>0</v>
      </c>
      <c r="AR111" s="19">
        <v>0</v>
      </c>
    </row>
    <row r="112" spans="1:44">
      <c r="B112">
        <v>2016</v>
      </c>
      <c r="C112" s="13">
        <f>'Ireland EV uptake'!O11</f>
        <v>2019.4989317643808</v>
      </c>
      <c r="L112" s="13"/>
      <c r="M112" s="13">
        <f t="shared" si="26"/>
        <v>21.511542668602935</v>
      </c>
      <c r="N112" s="13">
        <f t="shared" si="27"/>
        <v>22.105160205049465</v>
      </c>
      <c r="O112" s="13">
        <f t="shared" si="28"/>
        <v>19.673089217946327</v>
      </c>
      <c r="W112" s="13">
        <f>'Country Petrol Prices'!L88</f>
        <v>1.4361924101054515</v>
      </c>
      <c r="X112" s="19">
        <v>0</v>
      </c>
      <c r="Y112">
        <v>0</v>
      </c>
      <c r="Z112">
        <v>0</v>
      </c>
      <c r="AA112" s="19">
        <v>0</v>
      </c>
      <c r="AB112" s="19">
        <v>0</v>
      </c>
      <c r="AC112">
        <v>0</v>
      </c>
      <c r="AD112">
        <v>0</v>
      </c>
      <c r="AE112" s="19">
        <v>0</v>
      </c>
      <c r="AF112" s="19">
        <v>0</v>
      </c>
      <c r="AG112">
        <v>0</v>
      </c>
      <c r="AH112" s="19">
        <v>0</v>
      </c>
      <c r="AI112">
        <v>0</v>
      </c>
      <c r="AJ112">
        <v>0</v>
      </c>
      <c r="AK112">
        <v>0</v>
      </c>
      <c r="AL112">
        <v>0</v>
      </c>
      <c r="AM112">
        <v>0</v>
      </c>
      <c r="AN112" s="19">
        <v>0</v>
      </c>
      <c r="AO112" s="19">
        <v>0</v>
      </c>
      <c r="AP112" s="19">
        <v>1</v>
      </c>
      <c r="AQ112" s="19">
        <v>0</v>
      </c>
      <c r="AR112" s="19">
        <v>0</v>
      </c>
    </row>
    <row r="113" spans="1:44" s="18" customFormat="1">
      <c r="B113" s="18">
        <v>2017</v>
      </c>
      <c r="C113" s="13">
        <f>'Ireland EV uptake'!O12</f>
        <v>2019.3585127420033</v>
      </c>
      <c r="D113" s="182"/>
      <c r="E113" s="182"/>
      <c r="F113" s="182"/>
      <c r="G113" s="182"/>
      <c r="L113" s="13"/>
      <c r="M113" s="13">
        <f t="shared" si="26"/>
        <v>21.670595824120319</v>
      </c>
      <c r="N113" s="13">
        <f t="shared" si="27"/>
        <v>22.256624527794521</v>
      </c>
      <c r="O113" s="13">
        <f t="shared" si="28"/>
        <v>19.876380985405131</v>
      </c>
      <c r="V113" s="13"/>
      <c r="W113" s="13">
        <f>'Country Petrol Prices'!L89</f>
        <v>1.5461414319580415</v>
      </c>
      <c r="X113" s="19">
        <v>0</v>
      </c>
      <c r="Y113">
        <v>0</v>
      </c>
      <c r="Z113">
        <v>0</v>
      </c>
      <c r="AA113" s="19">
        <v>0</v>
      </c>
      <c r="AB113" s="19">
        <v>0</v>
      </c>
      <c r="AC113">
        <v>0</v>
      </c>
      <c r="AD113">
        <v>0</v>
      </c>
      <c r="AE113" s="19">
        <v>0</v>
      </c>
      <c r="AF113" s="19">
        <v>0</v>
      </c>
      <c r="AG113">
        <v>0</v>
      </c>
      <c r="AH113" s="19">
        <v>0</v>
      </c>
      <c r="AI113">
        <v>0</v>
      </c>
      <c r="AJ113">
        <v>0</v>
      </c>
      <c r="AK113">
        <v>0</v>
      </c>
      <c r="AL113">
        <v>0</v>
      </c>
      <c r="AM113">
        <v>0</v>
      </c>
      <c r="AN113" s="19">
        <v>0</v>
      </c>
      <c r="AO113" s="19">
        <v>0</v>
      </c>
      <c r="AP113" s="19">
        <v>1</v>
      </c>
      <c r="AQ113" s="19">
        <v>0</v>
      </c>
      <c r="AR113" s="19">
        <v>0</v>
      </c>
    </row>
    <row r="114" spans="1:44">
      <c r="A114" t="s">
        <v>538</v>
      </c>
      <c r="B114">
        <v>2012</v>
      </c>
      <c r="C114" s="13">
        <f>'Italy EV uptake'!O7</f>
        <v>2021.5525832426733</v>
      </c>
      <c r="M114" s="13"/>
      <c r="N114" s="13">
        <f t="shared" si="27"/>
        <v>29.525816008412267</v>
      </c>
      <c r="O114" s="13">
        <f t="shared" si="28"/>
        <v>26.372600899911252</v>
      </c>
      <c r="W114" s="13">
        <f>'Country Petrol Prices'!M84</f>
        <v>2.4574544458885539</v>
      </c>
      <c r="X114" s="19">
        <v>0</v>
      </c>
      <c r="Y114">
        <v>0</v>
      </c>
      <c r="Z114">
        <v>0</v>
      </c>
      <c r="AA114" s="19">
        <v>0</v>
      </c>
      <c r="AB114" s="19">
        <v>0</v>
      </c>
      <c r="AC114">
        <v>0</v>
      </c>
      <c r="AD114">
        <v>0</v>
      </c>
      <c r="AE114" s="19">
        <v>0</v>
      </c>
      <c r="AF114" s="19">
        <v>0</v>
      </c>
      <c r="AG114">
        <v>0</v>
      </c>
      <c r="AH114" s="19">
        <v>0</v>
      </c>
      <c r="AI114">
        <v>0</v>
      </c>
      <c r="AJ114">
        <v>0</v>
      </c>
      <c r="AK114">
        <v>0</v>
      </c>
      <c r="AL114">
        <v>0</v>
      </c>
      <c r="AM114">
        <v>0</v>
      </c>
      <c r="AN114" s="19">
        <v>0</v>
      </c>
      <c r="AO114" s="19">
        <v>0</v>
      </c>
      <c r="AP114" s="19">
        <v>0</v>
      </c>
      <c r="AQ114" s="19">
        <v>1</v>
      </c>
      <c r="AR114" s="19">
        <v>0</v>
      </c>
    </row>
    <row r="115" spans="1:44">
      <c r="B115">
        <v>2013</v>
      </c>
      <c r="C115" s="13">
        <f>'Italy EV uptake'!O8</f>
        <v>2021.6918581333885</v>
      </c>
      <c r="M115" s="13"/>
      <c r="N115" s="13">
        <f t="shared" si="27"/>
        <v>29.499817034860815</v>
      </c>
      <c r="O115" s="13">
        <f t="shared" si="28"/>
        <v>26.337705703540248</v>
      </c>
      <c r="W115" s="13">
        <f>'Country Petrol Prices'!M85</f>
        <v>2.438581607326002</v>
      </c>
      <c r="X115" s="19">
        <v>0</v>
      </c>
      <c r="Y115">
        <v>0</v>
      </c>
      <c r="Z115">
        <v>0</v>
      </c>
      <c r="AA115" s="19">
        <v>0</v>
      </c>
      <c r="AB115" s="19">
        <v>0</v>
      </c>
      <c r="AC115">
        <v>0</v>
      </c>
      <c r="AD115">
        <v>0</v>
      </c>
      <c r="AE115" s="19">
        <v>0</v>
      </c>
      <c r="AF115" s="19">
        <v>0</v>
      </c>
      <c r="AG115">
        <v>0</v>
      </c>
      <c r="AH115" s="19">
        <v>0</v>
      </c>
      <c r="AI115">
        <v>0</v>
      </c>
      <c r="AJ115">
        <v>0</v>
      </c>
      <c r="AK115">
        <v>0</v>
      </c>
      <c r="AL115">
        <v>0</v>
      </c>
      <c r="AM115">
        <v>0</v>
      </c>
      <c r="AN115" s="19">
        <v>0</v>
      </c>
      <c r="AO115" s="19">
        <v>0</v>
      </c>
      <c r="AP115" s="19">
        <v>0</v>
      </c>
      <c r="AQ115" s="19">
        <v>1</v>
      </c>
      <c r="AR115" s="19">
        <v>0</v>
      </c>
    </row>
    <row r="116" spans="1:44">
      <c r="B116">
        <v>2014</v>
      </c>
      <c r="C116" s="13">
        <f>'Italy EV uptake'!O9</f>
        <v>2020.2779543408324</v>
      </c>
      <c r="M116" s="13"/>
      <c r="N116" s="13">
        <f t="shared" si="27"/>
        <v>28.070188483571528</v>
      </c>
      <c r="O116" s="13">
        <f t="shared" si="28"/>
        <v>25.683816264754032</v>
      </c>
      <c r="W116" s="13">
        <f>'Country Petrol Prices'!M86</f>
        <v>2.3372057695760837</v>
      </c>
      <c r="X116" s="19">
        <v>0</v>
      </c>
      <c r="Y116">
        <v>0</v>
      </c>
      <c r="Z116">
        <v>0</v>
      </c>
      <c r="AA116" s="19">
        <v>0</v>
      </c>
      <c r="AB116" s="19">
        <v>0</v>
      </c>
      <c r="AC116">
        <v>0</v>
      </c>
      <c r="AD116">
        <v>0</v>
      </c>
      <c r="AE116" s="19">
        <v>0</v>
      </c>
      <c r="AF116" s="19">
        <v>0</v>
      </c>
      <c r="AG116">
        <v>0</v>
      </c>
      <c r="AH116" s="19">
        <v>0</v>
      </c>
      <c r="AI116">
        <v>0</v>
      </c>
      <c r="AJ116">
        <v>0</v>
      </c>
      <c r="AK116">
        <v>0</v>
      </c>
      <c r="AL116">
        <v>0</v>
      </c>
      <c r="AM116">
        <v>0</v>
      </c>
      <c r="AN116" s="19">
        <v>0</v>
      </c>
      <c r="AO116" s="19">
        <v>0</v>
      </c>
      <c r="AP116" s="19">
        <v>0</v>
      </c>
      <c r="AQ116" s="19">
        <v>0</v>
      </c>
      <c r="AR116" s="19">
        <v>0</v>
      </c>
    </row>
    <row r="117" spans="1:44">
      <c r="B117">
        <v>2015</v>
      </c>
      <c r="C117" s="13">
        <f>'Italy EV uptake'!O10</f>
        <v>2020.6362648624145</v>
      </c>
      <c r="M117" s="13"/>
      <c r="N117" s="13">
        <f t="shared" si="27"/>
        <v>27.259423514521789</v>
      </c>
      <c r="O117" s="13">
        <f t="shared" si="28"/>
        <v>24.595627042601496</v>
      </c>
      <c r="W117" s="13">
        <f>'Country Petrol Prices'!M87</f>
        <v>1.7486657511493757</v>
      </c>
      <c r="X117" s="19">
        <v>0</v>
      </c>
      <c r="Y117">
        <v>0</v>
      </c>
      <c r="Z117">
        <v>0</v>
      </c>
      <c r="AA117" s="19">
        <v>0</v>
      </c>
      <c r="AB117" s="19">
        <v>0</v>
      </c>
      <c r="AC117">
        <v>0</v>
      </c>
      <c r="AD117">
        <v>0</v>
      </c>
      <c r="AE117" s="19">
        <v>0</v>
      </c>
      <c r="AF117" s="19">
        <v>0</v>
      </c>
      <c r="AG117">
        <v>0</v>
      </c>
      <c r="AH117" s="19">
        <v>0</v>
      </c>
      <c r="AI117">
        <v>0</v>
      </c>
      <c r="AJ117">
        <v>0</v>
      </c>
      <c r="AK117">
        <v>0</v>
      </c>
      <c r="AL117">
        <v>0</v>
      </c>
      <c r="AM117">
        <v>0</v>
      </c>
      <c r="AN117" s="19">
        <v>0</v>
      </c>
      <c r="AO117" s="19">
        <v>0</v>
      </c>
      <c r="AP117" s="19">
        <v>0</v>
      </c>
      <c r="AQ117" s="19">
        <v>0</v>
      </c>
      <c r="AR117" s="19">
        <v>0</v>
      </c>
    </row>
    <row r="118" spans="1:44">
      <c r="B118">
        <v>2016</v>
      </c>
      <c r="C118" s="13">
        <f>'Italy EV uptake'!O11</f>
        <v>2020.669654394253</v>
      </c>
      <c r="M118" s="13"/>
      <c r="N118" s="13">
        <f t="shared" si="27"/>
        <v>27.076029371086598</v>
      </c>
      <c r="O118" s="13">
        <f t="shared" si="28"/>
        <v>24.349479838528318</v>
      </c>
      <c r="W118" s="13">
        <f>'Country Petrol Prices'!M88</f>
        <v>1.6155386468996658</v>
      </c>
      <c r="X118" s="19">
        <v>0</v>
      </c>
      <c r="Y118">
        <v>0</v>
      </c>
      <c r="Z118">
        <v>0</v>
      </c>
      <c r="AA118" s="19">
        <v>0</v>
      </c>
      <c r="AB118" s="19">
        <v>0</v>
      </c>
      <c r="AC118">
        <v>0</v>
      </c>
      <c r="AD118">
        <v>0</v>
      </c>
      <c r="AE118" s="19">
        <v>0</v>
      </c>
      <c r="AF118" s="19">
        <v>0</v>
      </c>
      <c r="AG118">
        <v>0</v>
      </c>
      <c r="AH118" s="19">
        <v>0</v>
      </c>
      <c r="AI118">
        <v>0</v>
      </c>
      <c r="AJ118">
        <v>0</v>
      </c>
      <c r="AK118">
        <v>0</v>
      </c>
      <c r="AL118">
        <v>0</v>
      </c>
      <c r="AM118">
        <v>0</v>
      </c>
      <c r="AN118" s="19">
        <v>0</v>
      </c>
      <c r="AO118" s="19">
        <v>0</v>
      </c>
      <c r="AP118" s="19">
        <v>0</v>
      </c>
      <c r="AQ118" s="19">
        <v>0</v>
      </c>
      <c r="AR118" s="19">
        <v>0</v>
      </c>
    </row>
    <row r="119" spans="1:44" s="18" customFormat="1">
      <c r="B119" s="18">
        <v>2017</v>
      </c>
      <c r="C119" s="13">
        <f>'Italy EV uptake'!O12</f>
        <v>2020.5932146346756</v>
      </c>
      <c r="D119" s="182"/>
      <c r="E119" s="182"/>
      <c r="F119" s="182"/>
      <c r="G119" s="182"/>
      <c r="M119" s="13"/>
      <c r="N119" s="13">
        <f t="shared" si="27"/>
        <v>27.236307460635025</v>
      </c>
      <c r="O119" s="13">
        <f t="shared" si="28"/>
        <v>24.564601231597653</v>
      </c>
      <c r="V119" s="13"/>
      <c r="W119" s="13">
        <f>'Country Petrol Prices'!M89</f>
        <v>1.7318856443368991</v>
      </c>
      <c r="X119" s="19">
        <v>0</v>
      </c>
      <c r="Y119">
        <v>0</v>
      </c>
      <c r="Z119">
        <v>0</v>
      </c>
      <c r="AA119" s="19">
        <v>0</v>
      </c>
      <c r="AB119" s="19">
        <v>0</v>
      </c>
      <c r="AC119">
        <v>0</v>
      </c>
      <c r="AD119">
        <v>0</v>
      </c>
      <c r="AE119" s="19">
        <v>0</v>
      </c>
      <c r="AF119" s="19">
        <v>0</v>
      </c>
      <c r="AG119">
        <v>0</v>
      </c>
      <c r="AH119" s="19">
        <v>0</v>
      </c>
      <c r="AI119">
        <v>0</v>
      </c>
      <c r="AJ119">
        <v>0</v>
      </c>
      <c r="AK119">
        <v>0</v>
      </c>
      <c r="AL119">
        <v>0</v>
      </c>
      <c r="AM119">
        <v>0</v>
      </c>
      <c r="AN119" s="19">
        <v>0</v>
      </c>
      <c r="AO119" s="19">
        <v>0</v>
      </c>
      <c r="AP119" s="19">
        <v>0</v>
      </c>
      <c r="AQ119" s="19">
        <v>0</v>
      </c>
      <c r="AR119" s="19">
        <v>0</v>
      </c>
    </row>
    <row r="120" spans="1:44">
      <c r="A120" t="s">
        <v>243</v>
      </c>
      <c r="B120">
        <v>2012</v>
      </c>
      <c r="C120" s="13">
        <f>'Japan EV uptake'!O7</f>
        <v>2022.0496368757667</v>
      </c>
      <c r="N120" s="13"/>
      <c r="O120" s="13">
        <f t="shared" si="28"/>
        <v>24.979095397173758</v>
      </c>
      <c r="W120" s="13">
        <f>'Country Petrol Prices'!N84</f>
        <v>1.9560621008573718</v>
      </c>
      <c r="X120" s="19">
        <v>0</v>
      </c>
      <c r="Y120">
        <v>0</v>
      </c>
      <c r="Z120">
        <v>0</v>
      </c>
      <c r="AA120" s="19">
        <v>0</v>
      </c>
      <c r="AB120" s="19">
        <v>0</v>
      </c>
      <c r="AC120">
        <v>0</v>
      </c>
      <c r="AD120">
        <v>0</v>
      </c>
      <c r="AE120" s="19">
        <v>0</v>
      </c>
      <c r="AF120" s="19">
        <v>0</v>
      </c>
      <c r="AG120">
        <v>0</v>
      </c>
      <c r="AH120" s="19">
        <v>0</v>
      </c>
      <c r="AI120">
        <v>0</v>
      </c>
      <c r="AJ120">
        <v>0</v>
      </c>
      <c r="AK120">
        <v>0</v>
      </c>
      <c r="AL120">
        <v>0</v>
      </c>
      <c r="AM120">
        <v>0</v>
      </c>
      <c r="AN120" s="19">
        <v>0</v>
      </c>
      <c r="AO120" s="19">
        <v>0</v>
      </c>
      <c r="AP120" s="19">
        <v>0</v>
      </c>
      <c r="AQ120" s="19">
        <v>0</v>
      </c>
      <c r="AR120" s="19">
        <v>0</v>
      </c>
    </row>
    <row r="121" spans="1:44">
      <c r="B121">
        <v>2013</v>
      </c>
      <c r="C121" s="13">
        <f>'Japan EV uptake'!O8</f>
        <v>2019.1020916160128</v>
      </c>
      <c r="N121" s="13"/>
      <c r="O121" s="13">
        <f t="shared" si="28"/>
        <v>22.989508223206354</v>
      </c>
      <c r="W121" s="13">
        <f>'Country Petrol Prices'!N85</f>
        <v>1.6715541066765489</v>
      </c>
      <c r="X121" s="19">
        <v>0</v>
      </c>
      <c r="Y121">
        <v>0</v>
      </c>
      <c r="Z121">
        <v>0</v>
      </c>
      <c r="AA121" s="19">
        <v>0</v>
      </c>
      <c r="AB121" s="19">
        <v>0</v>
      </c>
      <c r="AC121">
        <v>0</v>
      </c>
      <c r="AD121">
        <v>0</v>
      </c>
      <c r="AE121" s="19">
        <v>0</v>
      </c>
      <c r="AF121" s="19">
        <v>0</v>
      </c>
      <c r="AG121">
        <v>0</v>
      </c>
      <c r="AH121" s="19">
        <v>0</v>
      </c>
      <c r="AI121">
        <v>0</v>
      </c>
      <c r="AJ121">
        <v>0</v>
      </c>
      <c r="AK121">
        <v>0</v>
      </c>
      <c r="AL121">
        <v>0</v>
      </c>
      <c r="AM121">
        <v>0</v>
      </c>
      <c r="AN121" s="19">
        <v>0</v>
      </c>
      <c r="AO121" s="19">
        <v>0</v>
      </c>
      <c r="AP121" s="19">
        <v>0</v>
      </c>
      <c r="AQ121" s="19">
        <v>0</v>
      </c>
      <c r="AR121" s="19">
        <v>1</v>
      </c>
    </row>
    <row r="122" spans="1:44">
      <c r="B122">
        <v>2014</v>
      </c>
      <c r="C122" s="13">
        <f>'Japan EV uptake'!O9</f>
        <v>2021.183253910898</v>
      </c>
      <c r="N122" s="13"/>
      <c r="O122" s="13">
        <f t="shared" si="28"/>
        <v>22.827492634629337</v>
      </c>
      <c r="W122" s="13">
        <f>'Country Petrol Prices'!N86</f>
        <v>1.5839290360129055</v>
      </c>
      <c r="X122" s="19">
        <v>0</v>
      </c>
      <c r="Y122">
        <v>0</v>
      </c>
      <c r="Z122">
        <v>0</v>
      </c>
      <c r="AA122" s="19">
        <v>0</v>
      </c>
      <c r="AB122" s="19">
        <v>0</v>
      </c>
      <c r="AC122">
        <v>0</v>
      </c>
      <c r="AD122">
        <v>0</v>
      </c>
      <c r="AE122" s="19">
        <v>0</v>
      </c>
      <c r="AF122" s="19">
        <v>0</v>
      </c>
      <c r="AG122">
        <v>0</v>
      </c>
      <c r="AH122" s="19">
        <v>0</v>
      </c>
      <c r="AI122">
        <v>0</v>
      </c>
      <c r="AJ122">
        <v>0</v>
      </c>
      <c r="AK122">
        <v>0</v>
      </c>
      <c r="AL122">
        <v>0</v>
      </c>
      <c r="AM122">
        <v>0</v>
      </c>
      <c r="AN122" s="19">
        <v>0</v>
      </c>
      <c r="AO122" s="19">
        <v>0</v>
      </c>
      <c r="AP122" s="19">
        <v>0</v>
      </c>
      <c r="AQ122" s="19">
        <v>0</v>
      </c>
      <c r="AR122" s="19">
        <v>1</v>
      </c>
    </row>
    <row r="123" spans="1:44">
      <c r="B123">
        <v>2015</v>
      </c>
      <c r="C123" s="13">
        <f>'Japan EV uptake'!O10</f>
        <v>2020.2968040972059</v>
      </c>
      <c r="N123" s="13"/>
      <c r="O123" s="13">
        <f t="shared" si="28"/>
        <v>22.064349396134126</v>
      </c>
      <c r="W123" s="13">
        <f>'Country Petrol Prices'!N87</f>
        <v>1.1711880103687171</v>
      </c>
      <c r="X123" s="19">
        <v>0</v>
      </c>
      <c r="Y123">
        <v>0</v>
      </c>
      <c r="Z123">
        <v>0</v>
      </c>
      <c r="AA123" s="19">
        <v>0</v>
      </c>
      <c r="AB123" s="19">
        <v>0</v>
      </c>
      <c r="AC123">
        <v>0</v>
      </c>
      <c r="AD123">
        <v>0</v>
      </c>
      <c r="AE123" s="19">
        <v>0</v>
      </c>
      <c r="AF123" s="19">
        <v>0</v>
      </c>
      <c r="AG123">
        <v>0</v>
      </c>
      <c r="AH123" s="19">
        <v>0</v>
      </c>
      <c r="AI123">
        <v>0</v>
      </c>
      <c r="AJ123">
        <v>0</v>
      </c>
      <c r="AK123">
        <v>0</v>
      </c>
      <c r="AL123">
        <v>0</v>
      </c>
      <c r="AM123">
        <v>0</v>
      </c>
      <c r="AN123" s="19">
        <v>0</v>
      </c>
      <c r="AO123" s="19">
        <v>0</v>
      </c>
      <c r="AP123" s="19">
        <v>0</v>
      </c>
      <c r="AQ123" s="19">
        <v>0</v>
      </c>
      <c r="AR123" s="19">
        <v>1</v>
      </c>
    </row>
    <row r="124" spans="1:44">
      <c r="B124">
        <v>2016</v>
      </c>
      <c r="C124" s="13">
        <f>'Japan EV uptake'!O11</f>
        <v>2020.2449836486119</v>
      </c>
      <c r="N124" s="13"/>
      <c r="O124" s="13">
        <f t="shared" si="28"/>
        <v>21.997243441647679</v>
      </c>
      <c r="W124" s="13">
        <f>'Country Petrol Prices'!N88</f>
        <v>1.1348941941040496</v>
      </c>
      <c r="X124" s="19">
        <v>0</v>
      </c>
      <c r="Y124">
        <v>0</v>
      </c>
      <c r="Z124">
        <v>0</v>
      </c>
      <c r="AA124" s="19">
        <v>0</v>
      </c>
      <c r="AB124" s="19">
        <v>0</v>
      </c>
      <c r="AC124">
        <v>0</v>
      </c>
      <c r="AD124">
        <v>0</v>
      </c>
      <c r="AE124" s="19">
        <v>0</v>
      </c>
      <c r="AF124" s="19">
        <v>0</v>
      </c>
      <c r="AG124">
        <v>0</v>
      </c>
      <c r="AH124" s="19">
        <v>0</v>
      </c>
      <c r="AI124">
        <v>0</v>
      </c>
      <c r="AJ124">
        <v>0</v>
      </c>
      <c r="AK124">
        <v>0</v>
      </c>
      <c r="AL124">
        <v>0</v>
      </c>
      <c r="AM124">
        <v>0</v>
      </c>
      <c r="AN124" s="19">
        <v>0</v>
      </c>
      <c r="AO124" s="19">
        <v>0</v>
      </c>
      <c r="AP124" s="19">
        <v>0</v>
      </c>
      <c r="AQ124" s="19">
        <v>0</v>
      </c>
      <c r="AR124" s="19">
        <v>1</v>
      </c>
    </row>
    <row r="125" spans="1:44" s="18" customFormat="1">
      <c r="B125" s="18">
        <v>2017</v>
      </c>
      <c r="C125" s="13">
        <f>'Japan EV uptake'!O12</f>
        <v>2020.2019547598193</v>
      </c>
      <c r="D125" s="182"/>
      <c r="E125" s="182"/>
      <c r="F125" s="182"/>
      <c r="G125" s="182"/>
      <c r="N125" s="13"/>
      <c r="O125" s="13">
        <f t="shared" si="28"/>
        <v>22.10301472666907</v>
      </c>
      <c r="V125" s="182"/>
      <c r="W125" s="13">
        <f>'Country Petrol Prices'!N89</f>
        <v>1.1920999013176987</v>
      </c>
      <c r="X125" s="19">
        <v>0</v>
      </c>
      <c r="Y125">
        <v>0</v>
      </c>
      <c r="Z125">
        <v>0</v>
      </c>
      <c r="AA125" s="19">
        <v>0</v>
      </c>
      <c r="AB125" s="19">
        <v>0</v>
      </c>
      <c r="AC125">
        <v>0</v>
      </c>
      <c r="AD125">
        <v>0</v>
      </c>
      <c r="AE125" s="19">
        <v>0</v>
      </c>
      <c r="AF125" s="19">
        <v>0</v>
      </c>
      <c r="AG125">
        <v>0</v>
      </c>
      <c r="AH125" s="19">
        <v>0</v>
      </c>
      <c r="AI125">
        <v>0</v>
      </c>
      <c r="AJ125">
        <v>0</v>
      </c>
      <c r="AK125">
        <v>0</v>
      </c>
      <c r="AL125">
        <v>0</v>
      </c>
      <c r="AM125">
        <v>0</v>
      </c>
      <c r="AN125" s="19">
        <v>0</v>
      </c>
      <c r="AO125" s="19">
        <v>0</v>
      </c>
      <c r="AP125" s="19">
        <v>0</v>
      </c>
      <c r="AQ125" s="19">
        <v>0</v>
      </c>
      <c r="AR125" s="19">
        <v>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P40" sqref="P40"/>
    </sheetView>
  </sheetViews>
  <sheetFormatPr defaultRowHeight="15"/>
  <sheetData>
    <row r="1" spans="1:9">
      <c r="A1" t="s">
        <v>148</v>
      </c>
    </row>
    <row r="2" spans="1:9" ht="15.75" thickBot="1"/>
    <row r="3" spans="1:9">
      <c r="A3" s="44" t="s">
        <v>149</v>
      </c>
      <c r="B3" s="44"/>
    </row>
    <row r="4" spans="1:9">
      <c r="A4" s="41" t="s">
        <v>150</v>
      </c>
      <c r="B4" s="41">
        <v>0.99547919499169757</v>
      </c>
    </row>
    <row r="5" spans="1:9">
      <c r="A5" s="41" t="s">
        <v>151</v>
      </c>
      <c r="B5" s="41">
        <v>0.99097882766131828</v>
      </c>
    </row>
    <row r="6" spans="1:9">
      <c r="A6" s="41" t="s">
        <v>152</v>
      </c>
      <c r="B6" s="41">
        <v>0.98195765532263657</v>
      </c>
    </row>
    <row r="7" spans="1:9">
      <c r="A7" s="41" t="s">
        <v>153</v>
      </c>
      <c r="B7" s="41">
        <v>0.35662101129801432</v>
      </c>
    </row>
    <row r="8" spans="1:9" ht="15.75" thickBot="1">
      <c r="A8" s="42" t="s">
        <v>154</v>
      </c>
      <c r="B8" s="42">
        <v>9</v>
      </c>
    </row>
    <row r="10" spans="1:9" ht="15.75" thickBot="1">
      <c r="A10" t="s">
        <v>155</v>
      </c>
    </row>
    <row r="11" spans="1:9">
      <c r="A11" s="43"/>
      <c r="B11" s="43" t="s">
        <v>160</v>
      </c>
      <c r="C11" s="43" t="s">
        <v>161</v>
      </c>
      <c r="D11" s="43" t="s">
        <v>162</v>
      </c>
      <c r="E11" s="43" t="s">
        <v>163</v>
      </c>
      <c r="F11" s="43" t="s">
        <v>164</v>
      </c>
    </row>
    <row r="12" spans="1:9">
      <c r="A12" s="41" t="s">
        <v>156</v>
      </c>
      <c r="B12" s="41">
        <v>4</v>
      </c>
      <c r="C12" s="41">
        <v>55.88242476214549</v>
      </c>
      <c r="D12" s="41">
        <v>13.970606190536373</v>
      </c>
      <c r="E12" s="41">
        <v>109.85033767863116</v>
      </c>
      <c r="F12" s="41">
        <v>2.4267633711054165E-4</v>
      </c>
    </row>
    <row r="13" spans="1:9">
      <c r="A13" s="41" t="s">
        <v>157</v>
      </c>
      <c r="B13" s="41">
        <v>4</v>
      </c>
      <c r="C13" s="41">
        <v>0.50871418279687386</v>
      </c>
      <c r="D13" s="41">
        <v>0.12717854569921846</v>
      </c>
      <c r="E13" s="41"/>
      <c r="F13" s="41"/>
    </row>
    <row r="14" spans="1:9" ht="15.75" thickBot="1">
      <c r="A14" s="42" t="s">
        <v>158</v>
      </c>
      <c r="B14" s="42">
        <v>8</v>
      </c>
      <c r="C14" s="42">
        <v>56.391138944942362</v>
      </c>
      <c r="D14" s="42"/>
      <c r="E14" s="42"/>
      <c r="F14" s="42"/>
    </row>
    <row r="15" spans="1:9" ht="15.75" thickBot="1"/>
    <row r="16" spans="1:9">
      <c r="A16" s="43"/>
      <c r="B16" s="43" t="s">
        <v>165</v>
      </c>
      <c r="C16" s="43" t="s">
        <v>153</v>
      </c>
      <c r="D16" s="43" t="s">
        <v>166</v>
      </c>
      <c r="E16" s="43" t="s">
        <v>167</v>
      </c>
      <c r="F16" s="43" t="s">
        <v>168</v>
      </c>
      <c r="G16" s="43" t="s">
        <v>169</v>
      </c>
      <c r="H16" s="43" t="s">
        <v>231</v>
      </c>
      <c r="I16" s="43" t="s">
        <v>232</v>
      </c>
    </row>
    <row r="17" spans="1:9">
      <c r="A17" s="41" t="s">
        <v>159</v>
      </c>
      <c r="B17" s="41">
        <v>2006.6628091215709</v>
      </c>
      <c r="C17" s="41">
        <v>0.52416590660262752</v>
      </c>
      <c r="D17" s="41">
        <v>3828.2970789300703</v>
      </c>
      <c r="E17" s="41">
        <v>2.7933703868320523E-14</v>
      </c>
      <c r="F17" s="41">
        <v>2005.2074912558726</v>
      </c>
      <c r="G17" s="41">
        <v>2008.1181269872693</v>
      </c>
      <c r="H17" s="41">
        <v>2005.2074912558726</v>
      </c>
      <c r="I17" s="41">
        <v>2008.1181269872693</v>
      </c>
    </row>
    <row r="18" spans="1:9">
      <c r="A18" s="41" t="s">
        <v>233</v>
      </c>
      <c r="B18" s="41">
        <v>10.599684891163736</v>
      </c>
      <c r="C18" s="41">
        <v>0.54841387675076492</v>
      </c>
      <c r="D18" s="41">
        <v>19.327893294685769</v>
      </c>
      <c r="E18" s="41">
        <v>4.223789476117838E-5</v>
      </c>
      <c r="F18" s="41">
        <v>9.0770438674365295</v>
      </c>
      <c r="G18" s="41">
        <v>12.122325914890943</v>
      </c>
      <c r="H18" s="41">
        <v>9.0770438674365295</v>
      </c>
      <c r="I18" s="41">
        <v>12.122325914890943</v>
      </c>
    </row>
    <row r="19" spans="1:9">
      <c r="A19" s="41" t="s">
        <v>234</v>
      </c>
      <c r="B19" s="41">
        <v>2.9143542001707265</v>
      </c>
      <c r="C19" s="41">
        <v>0.39453221086741369</v>
      </c>
      <c r="D19" s="41">
        <v>7.3868599822642187</v>
      </c>
      <c r="E19" s="41">
        <v>1.7907298326915939E-3</v>
      </c>
      <c r="F19" s="41">
        <v>1.8189571744650321</v>
      </c>
      <c r="G19" s="41">
        <v>4.0097512258764212</v>
      </c>
      <c r="H19" s="41">
        <v>1.8189571744650321</v>
      </c>
      <c r="I19" s="41">
        <v>4.0097512258764212</v>
      </c>
    </row>
    <row r="20" spans="1:9">
      <c r="A20" s="41" t="s">
        <v>827</v>
      </c>
      <c r="B20" s="41">
        <v>1.9782577737899607</v>
      </c>
      <c r="C20" s="41">
        <v>0.3959970303710646</v>
      </c>
      <c r="D20" s="41">
        <v>4.9956379014667265</v>
      </c>
      <c r="E20" s="41">
        <v>7.5135933564445421E-3</v>
      </c>
      <c r="F20" s="41">
        <v>0.87879375714335639</v>
      </c>
      <c r="G20" s="41">
        <v>3.077721790436565</v>
      </c>
      <c r="H20" s="41">
        <v>0.87879375714335639</v>
      </c>
      <c r="I20" s="41">
        <v>3.077721790436565</v>
      </c>
    </row>
    <row r="21" spans="1:9" ht="15.75" thickBot="1">
      <c r="A21" s="42" t="s">
        <v>933</v>
      </c>
      <c r="B21" s="42">
        <v>-1.6386665947020573</v>
      </c>
      <c r="C21" s="42">
        <v>0.29846799728710843</v>
      </c>
      <c r="D21" s="42">
        <v>-5.4902589543821598</v>
      </c>
      <c r="E21" s="42">
        <v>5.3623157893913928E-3</v>
      </c>
      <c r="F21" s="42">
        <v>-2.4673466048280379</v>
      </c>
      <c r="G21" s="42">
        <v>-0.80998658457607686</v>
      </c>
      <c r="H21" s="42">
        <v>-2.4673466048280379</v>
      </c>
      <c r="I21" s="42">
        <v>-0.80998658457607686</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18" sqref="A18:A19"/>
    </sheetView>
  </sheetViews>
  <sheetFormatPr defaultRowHeight="15"/>
  <cols>
    <col min="1" max="1" width="18" customWidth="1"/>
    <col min="2" max="7" width="12.7109375" customWidth="1"/>
  </cols>
  <sheetData>
    <row r="1" spans="1:7">
      <c r="A1" t="s">
        <v>148</v>
      </c>
    </row>
    <row r="2" spans="1:7" ht="15.75" thickBot="1"/>
    <row r="3" spans="1:7">
      <c r="A3" s="44" t="s">
        <v>149</v>
      </c>
      <c r="B3" s="44"/>
    </row>
    <row r="4" spans="1:7">
      <c r="A4" s="41" t="s">
        <v>150</v>
      </c>
      <c r="B4" s="41">
        <v>0.99967081220160425</v>
      </c>
    </row>
    <row r="5" spans="1:7">
      <c r="A5" s="41" t="s">
        <v>151</v>
      </c>
      <c r="B5" s="41">
        <v>0.99934173276781513</v>
      </c>
    </row>
    <row r="6" spans="1:7">
      <c r="A6" s="41" t="s">
        <v>152</v>
      </c>
      <c r="B6" s="41">
        <v>0.99890288794635873</v>
      </c>
    </row>
    <row r="7" spans="1:7">
      <c r="A7" s="41" t="s">
        <v>153</v>
      </c>
      <c r="B7" s="41">
        <v>2.426288461499421E-2</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2</v>
      </c>
      <c r="C12" s="41">
        <v>2.6811302188806039</v>
      </c>
      <c r="D12" s="41">
        <v>1.3405651094403019</v>
      </c>
      <c r="E12" s="41">
        <v>2277.2098106359967</v>
      </c>
      <c r="F12" s="41">
        <v>1.6888977433094411E-5</v>
      </c>
    </row>
    <row r="13" spans="1:7">
      <c r="A13" s="41" t="s">
        <v>157</v>
      </c>
      <c r="B13" s="41">
        <v>3</v>
      </c>
      <c r="C13" s="41">
        <v>1.7660627095215686E-3</v>
      </c>
      <c r="D13" s="41">
        <v>5.8868756984052281E-4</v>
      </c>
      <c r="E13" s="41"/>
      <c r="F13" s="41"/>
    </row>
    <row r="14" spans="1:7" ht="15.75" thickBot="1">
      <c r="A14" s="42" t="s">
        <v>158</v>
      </c>
      <c r="B14" s="42">
        <v>5</v>
      </c>
      <c r="C14" s="42">
        <v>2.6828962815901254</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-8.1058676835749015</v>
      </c>
      <c r="C17" s="41">
        <v>0.22773096891287797</v>
      </c>
      <c r="D17" s="41">
        <v>-35.594050832304355</v>
      </c>
      <c r="E17" s="41">
        <v>4.8764730081116496E-5</v>
      </c>
      <c r="F17" s="41">
        <v>-8.83060926419037</v>
      </c>
      <c r="G17" s="41">
        <v>-7.3811261029594339</v>
      </c>
    </row>
    <row r="18" spans="1:7">
      <c r="A18" s="41" t="s">
        <v>898</v>
      </c>
      <c r="B18" s="41">
        <v>0.47344056684508562</v>
      </c>
      <c r="C18" s="41">
        <v>1.4698341780836999E-2</v>
      </c>
      <c r="D18" s="41">
        <v>32.210474753168072</v>
      </c>
      <c r="E18" s="41">
        <v>6.576192086640976E-5</v>
      </c>
      <c r="F18" s="41">
        <v>0.42666388335086375</v>
      </c>
      <c r="G18" s="41">
        <v>0.52021725033930755</v>
      </c>
    </row>
    <row r="19" spans="1:7" ht="15.75" thickBot="1">
      <c r="A19" s="42" t="s">
        <v>899</v>
      </c>
      <c r="B19" s="42">
        <v>0.53104929032083525</v>
      </c>
      <c r="C19" s="42">
        <v>8.5713044625638418E-2</v>
      </c>
      <c r="D19" s="42">
        <v>6.1956647630504103</v>
      </c>
      <c r="E19" s="42">
        <v>8.4704426862431004E-3</v>
      </c>
      <c r="F19" s="42">
        <v>0.25827212813735462</v>
      </c>
      <c r="G19" s="42">
        <v>0.80382645250431595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workbookViewId="0">
      <selection activeCell="B17" sqref="B17:B19"/>
    </sheetView>
  </sheetViews>
  <sheetFormatPr defaultRowHeight="15"/>
  <cols>
    <col min="1" max="1" width="18.42578125" customWidth="1"/>
    <col min="2" max="7" width="13.5703125" customWidth="1"/>
  </cols>
  <sheetData>
    <row r="1" spans="1:7">
      <c r="A1" t="s">
        <v>148</v>
      </c>
    </row>
    <row r="2" spans="1:7" ht="15.75" thickBot="1"/>
    <row r="3" spans="1:7">
      <c r="A3" s="44" t="s">
        <v>149</v>
      </c>
      <c r="B3" s="44"/>
    </row>
    <row r="4" spans="1:7">
      <c r="A4" s="41" t="s">
        <v>150</v>
      </c>
      <c r="B4" s="41">
        <v>0.99977144310670008</v>
      </c>
    </row>
    <row r="5" spans="1:7">
      <c r="A5" s="41" t="s">
        <v>151</v>
      </c>
      <c r="B5" s="41">
        <v>0.99954293845165354</v>
      </c>
    </row>
    <row r="6" spans="1:7">
      <c r="A6" s="41" t="s">
        <v>152</v>
      </c>
      <c r="B6" s="41">
        <v>0.99931440767748025</v>
      </c>
    </row>
    <row r="7" spans="1:7">
      <c r="A7" s="41" t="s">
        <v>153</v>
      </c>
      <c r="B7" s="41">
        <v>2.2887691101650585E-2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2</v>
      </c>
      <c r="C12" s="41">
        <v>4.5823760568822927</v>
      </c>
      <c r="D12" s="41">
        <v>2.2911880284411463</v>
      </c>
      <c r="E12" s="41">
        <v>4373.7782890194012</v>
      </c>
      <c r="F12" s="41">
        <v>2.0890525897685699E-7</v>
      </c>
    </row>
    <row r="13" spans="1:7">
      <c r="A13" s="41" t="s">
        <v>157</v>
      </c>
      <c r="B13" s="41">
        <v>4</v>
      </c>
      <c r="C13" s="41">
        <v>2.0953856158583014E-3</v>
      </c>
      <c r="D13" s="41">
        <v>5.2384640396457534E-4</v>
      </c>
      <c r="E13" s="41"/>
      <c r="F13" s="41"/>
    </row>
    <row r="14" spans="1:7" ht="15.75" thickBot="1">
      <c r="A14" s="42" t="s">
        <v>158</v>
      </c>
      <c r="B14" s="42">
        <v>6</v>
      </c>
      <c r="C14" s="42">
        <v>4.5844714424981508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-8.1893549207943721</v>
      </c>
      <c r="C17" s="41">
        <v>0.18728684781882532</v>
      </c>
      <c r="D17" s="41">
        <v>-43.726268107819642</v>
      </c>
      <c r="E17" s="41">
        <v>1.6355688319416999E-6</v>
      </c>
      <c r="F17" s="41">
        <v>-8.7093465726888741</v>
      </c>
      <c r="G17" s="41">
        <v>-7.6693632688998701</v>
      </c>
    </row>
    <row r="18" spans="1:7">
      <c r="A18" s="41" t="s">
        <v>898</v>
      </c>
      <c r="B18" s="41">
        <v>0.48018028786593758</v>
      </c>
      <c r="C18" s="41">
        <v>1.0959689497290896E-2</v>
      </c>
      <c r="D18" s="41">
        <v>43.813311315492321</v>
      </c>
      <c r="E18" s="41">
        <v>1.6226324921915934E-6</v>
      </c>
      <c r="F18" s="41">
        <v>0.44975131160669662</v>
      </c>
      <c r="G18" s="41">
        <v>0.5106092641251786</v>
      </c>
    </row>
    <row r="19" spans="1:7" ht="15.75" thickBot="1">
      <c r="A19" s="42" t="s">
        <v>899</v>
      </c>
      <c r="B19" s="42">
        <v>0.55855260419873987</v>
      </c>
      <c r="C19" s="42">
        <v>7.3057320323816594E-2</v>
      </c>
      <c r="D19" s="42">
        <v>7.6454022912834985</v>
      </c>
      <c r="E19" s="42">
        <v>1.5724329446674451E-3</v>
      </c>
      <c r="F19" s="42">
        <v>0.35571296478681202</v>
      </c>
      <c r="G19" s="42">
        <v>0.76139224361066771</v>
      </c>
    </row>
    <row r="42" spans="10:10">
      <c r="J42" t="s">
        <v>1356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48"/>
  <sheetViews>
    <sheetView zoomScale="75" zoomScaleNormal="75" workbookViewId="0">
      <pane xSplit="1" ySplit="2" topLeftCell="R3" activePane="bottomRight" state="frozen"/>
      <selection pane="topRight" activeCell="B1" sqref="B1"/>
      <selection pane="bottomLeft" activeCell="A3" sqref="A3"/>
      <selection pane="bottomRight" activeCell="V7" sqref="V7"/>
    </sheetView>
  </sheetViews>
  <sheetFormatPr defaultRowHeight="15"/>
  <cols>
    <col min="2" max="2" width="10.28515625" customWidth="1"/>
    <col min="3" max="3" width="14.42578125" customWidth="1"/>
    <col min="7" max="7" width="12.7109375" customWidth="1"/>
    <col min="9" max="9" width="12.7109375" customWidth="1"/>
    <col min="14" max="14" width="17.5703125" customWidth="1"/>
    <col min="15" max="15" width="17.140625" customWidth="1"/>
    <col min="17" max="17" width="14.42578125" customWidth="1"/>
    <col min="19" max="19" width="12.7109375" customWidth="1"/>
    <col min="20" max="20" width="13.140625" customWidth="1"/>
  </cols>
  <sheetData>
    <row r="1" spans="1:23">
      <c r="A1" t="s">
        <v>22</v>
      </c>
      <c r="B1">
        <v>24</v>
      </c>
      <c r="C1" t="s">
        <v>226</v>
      </c>
      <c r="D1">
        <v>24</v>
      </c>
      <c r="E1">
        <v>28</v>
      </c>
      <c r="G1" s="14" t="s">
        <v>229</v>
      </c>
      <c r="H1" s="14"/>
      <c r="I1" s="14"/>
      <c r="O1" t="s">
        <v>1190</v>
      </c>
      <c r="P1">
        <v>24</v>
      </c>
      <c r="Q1" s="14" t="s">
        <v>228</v>
      </c>
      <c r="R1" s="14"/>
      <c r="W1" t="s">
        <v>1214</v>
      </c>
    </row>
    <row r="2" spans="1:23">
      <c r="B2" t="s">
        <v>19</v>
      </c>
      <c r="C2" t="s">
        <v>23</v>
      </c>
      <c r="D2" t="s">
        <v>24</v>
      </c>
      <c r="E2" t="s">
        <v>25</v>
      </c>
      <c r="F2" t="s">
        <v>26</v>
      </c>
      <c r="G2" s="174" t="s">
        <v>27</v>
      </c>
      <c r="H2" t="s">
        <v>28</v>
      </c>
      <c r="I2" s="174" t="s">
        <v>202</v>
      </c>
      <c r="L2" t="s">
        <v>21</v>
      </c>
      <c r="O2" t="s">
        <v>23</v>
      </c>
      <c r="P2" t="s">
        <v>20</v>
      </c>
      <c r="Q2" s="14" t="s">
        <v>1055</v>
      </c>
      <c r="R2" t="s">
        <v>26</v>
      </c>
      <c r="S2" t="s">
        <v>227</v>
      </c>
      <c r="T2" t="s">
        <v>230</v>
      </c>
      <c r="W2" t="s">
        <v>1055</v>
      </c>
    </row>
    <row r="3" spans="1:23">
      <c r="A3">
        <v>1995</v>
      </c>
      <c r="B3">
        <v>3185</v>
      </c>
      <c r="L3" s="12">
        <v>100</v>
      </c>
      <c r="N3">
        <v>1995</v>
      </c>
      <c r="O3" s="3"/>
      <c r="P3" s="3"/>
      <c r="Q3" s="3"/>
    </row>
    <row r="4" spans="1:23">
      <c r="A4">
        <v>1996</v>
      </c>
      <c r="B4">
        <v>2945</v>
      </c>
      <c r="L4" s="12">
        <v>102.9312</v>
      </c>
      <c r="N4">
        <v>1996</v>
      </c>
      <c r="O4" s="3"/>
      <c r="P4" s="3"/>
      <c r="Q4" s="3"/>
    </row>
    <row r="5" spans="1:23">
      <c r="A5">
        <v>1997</v>
      </c>
      <c r="B5">
        <v>2860</v>
      </c>
      <c r="L5" s="12">
        <v>105.3374</v>
      </c>
      <c r="N5">
        <v>1997</v>
      </c>
      <c r="O5" s="3"/>
      <c r="P5" s="3"/>
      <c r="Q5" s="3"/>
    </row>
    <row r="6" spans="1:23">
      <c r="A6">
        <v>1998</v>
      </c>
      <c r="B6">
        <v>2485</v>
      </c>
      <c r="L6" s="12">
        <v>106.9725</v>
      </c>
      <c r="N6">
        <v>1998</v>
      </c>
      <c r="O6" s="3"/>
      <c r="P6" s="3"/>
      <c r="Q6" s="3"/>
    </row>
    <row r="7" spans="1:23">
      <c r="A7">
        <v>1999</v>
      </c>
      <c r="B7">
        <v>1782</v>
      </c>
      <c r="L7" s="12">
        <v>108.60760000000001</v>
      </c>
      <c r="N7">
        <v>1999</v>
      </c>
      <c r="O7" s="3"/>
      <c r="P7" s="3"/>
      <c r="Q7" s="3"/>
    </row>
    <row r="8" spans="1:23">
      <c r="A8">
        <v>2000</v>
      </c>
      <c r="B8">
        <v>1597</v>
      </c>
      <c r="L8" s="12">
        <v>112.26075630252102</v>
      </c>
      <c r="M8" s="12">
        <f t="shared" ref="M8:M24" si="0">L8/L$25*100</f>
        <v>70.521503992134569</v>
      </c>
      <c r="N8">
        <v>2000</v>
      </c>
      <c r="O8" s="3"/>
      <c r="P8" s="3"/>
      <c r="Q8" s="3"/>
    </row>
    <row r="9" spans="1:23">
      <c r="A9">
        <v>2001</v>
      </c>
      <c r="B9">
        <v>1369</v>
      </c>
      <c r="L9" s="12">
        <v>115.45516806722688</v>
      </c>
      <c r="M9" s="12">
        <f t="shared" si="0"/>
        <v>72.528213455325371</v>
      </c>
      <c r="N9">
        <v>2001</v>
      </c>
      <c r="O9" s="3"/>
      <c r="P9" s="3"/>
      <c r="Q9" s="3"/>
    </row>
    <row r="10" spans="1:23">
      <c r="A10">
        <v>2002</v>
      </c>
      <c r="B10">
        <v>994</v>
      </c>
      <c r="L10" s="12">
        <v>117.26750780312123</v>
      </c>
      <c r="M10" s="12">
        <f t="shared" si="0"/>
        <v>73.666713926278533</v>
      </c>
      <c r="N10">
        <v>2002</v>
      </c>
      <c r="O10" s="3"/>
      <c r="P10" s="3"/>
      <c r="Q10" s="3"/>
    </row>
    <row r="11" spans="1:23">
      <c r="B11">
        <v>688</v>
      </c>
      <c r="L11" s="12">
        <v>119.92734453781513</v>
      </c>
      <c r="M11" s="12">
        <f t="shared" si="0"/>
        <v>75.337606703792531</v>
      </c>
      <c r="N11">
        <v>2003</v>
      </c>
      <c r="O11" s="3"/>
      <c r="P11" s="3"/>
      <c r="Q11" s="3"/>
    </row>
    <row r="12" spans="1:23">
      <c r="A12">
        <v>2004</v>
      </c>
      <c r="B12">
        <v>820</v>
      </c>
      <c r="C12">
        <f>B3</f>
        <v>3185</v>
      </c>
      <c r="E12" s="14">
        <f>C12+E$17-C$17</f>
        <v>2888</v>
      </c>
      <c r="G12" s="15">
        <f>I12*H12</f>
        <v>2599.2000000000003</v>
      </c>
      <c r="H12">
        <v>0.9</v>
      </c>
      <c r="I12" s="14">
        <f t="shared" ref="I12:I17" si="1">E12</f>
        <v>2888</v>
      </c>
      <c r="L12" s="12">
        <v>123.1478331332533</v>
      </c>
      <c r="M12" s="12">
        <f t="shared" si="0"/>
        <v>77.360697468723686</v>
      </c>
      <c r="N12">
        <v>2004</v>
      </c>
      <c r="O12" s="3">
        <f t="shared" ref="O12:O21" si="2">C12*L$25/L12</f>
        <v>4117.0776689127833</v>
      </c>
      <c r="P12" s="3"/>
      <c r="Q12" s="50"/>
      <c r="S12" s="3"/>
      <c r="T12" s="3">
        <f>I12*L$25/L12</f>
        <v>3733.161792094229</v>
      </c>
    </row>
    <row r="13" spans="1:23">
      <c r="A13">
        <v>2005</v>
      </c>
      <c r="B13">
        <v>600</v>
      </c>
      <c r="C13">
        <f t="shared" ref="C13:C28" si="3">B4</f>
        <v>2945</v>
      </c>
      <c r="E13" s="14">
        <f>C13+E$17-C$17</f>
        <v>2648</v>
      </c>
      <c r="G13" s="15">
        <f t="shared" ref="G13:G24" si="4">I13*H13</f>
        <v>2383.2000000000003</v>
      </c>
      <c r="H13">
        <v>0.9</v>
      </c>
      <c r="I13" s="14">
        <f t="shared" si="1"/>
        <v>2648</v>
      </c>
      <c r="L13" s="12">
        <v>127.32012605042017</v>
      </c>
      <c r="M13" s="12">
        <f t="shared" si="0"/>
        <v>79.981705747177017</v>
      </c>
      <c r="N13">
        <v>2005</v>
      </c>
      <c r="O13" s="3">
        <f t="shared" si="2"/>
        <v>3682.0920140277767</v>
      </c>
      <c r="P13" s="3"/>
      <c r="Q13" s="50"/>
      <c r="S13" s="3"/>
      <c r="T13" s="3">
        <f t="shared" ref="T13:T24" si="5">I13*L$25/L13</f>
        <v>3310.7570978422932</v>
      </c>
    </row>
    <row r="14" spans="1:23">
      <c r="A14">
        <v>2006</v>
      </c>
      <c r="B14">
        <v>552</v>
      </c>
      <c r="C14">
        <f t="shared" si="3"/>
        <v>2860</v>
      </c>
      <c r="E14" s="14">
        <f>C14+E$17-C$17</f>
        <v>2563</v>
      </c>
      <c r="G14" s="15">
        <f t="shared" si="4"/>
        <v>2306.7000000000003</v>
      </c>
      <c r="H14">
        <v>0.9</v>
      </c>
      <c r="I14" s="14">
        <f t="shared" si="1"/>
        <v>2563</v>
      </c>
      <c r="L14" s="12">
        <v>131.42722689075629</v>
      </c>
      <c r="M14" s="12">
        <f t="shared" si="0"/>
        <v>82.561760771279481</v>
      </c>
      <c r="N14">
        <v>2006</v>
      </c>
      <c r="O14" s="3">
        <f t="shared" si="2"/>
        <v>3464.0734079340273</v>
      </c>
      <c r="P14" s="3"/>
      <c r="Q14" s="50"/>
      <c r="S14" s="3"/>
      <c r="T14" s="3">
        <f>I14*L$25/L14</f>
        <v>3104.3427078793397</v>
      </c>
    </row>
    <row r="15" spans="1:23">
      <c r="A15">
        <v>2007</v>
      </c>
      <c r="B15">
        <v>538</v>
      </c>
      <c r="C15">
        <f t="shared" si="3"/>
        <v>2485</v>
      </c>
      <c r="E15" s="14">
        <f>C15+E$17-C$17</f>
        <v>2188</v>
      </c>
      <c r="G15" s="15">
        <f t="shared" si="4"/>
        <v>1969.2</v>
      </c>
      <c r="H15">
        <v>0.9</v>
      </c>
      <c r="I15" s="14">
        <f t="shared" si="1"/>
        <v>2188</v>
      </c>
      <c r="L15" s="12">
        <v>135.17055594237695</v>
      </c>
      <c r="M15" s="12">
        <f t="shared" si="0"/>
        <v>84.913296636104334</v>
      </c>
      <c r="N15">
        <v>2007</v>
      </c>
      <c r="O15" s="3">
        <f t="shared" si="2"/>
        <v>2926.5145724461272</v>
      </c>
      <c r="P15" s="3"/>
      <c r="Q15" s="50"/>
      <c r="S15" s="3"/>
      <c r="T15" s="3">
        <f t="shared" si="5"/>
        <v>2576.7460299847589</v>
      </c>
    </row>
    <row r="16" spans="1:23">
      <c r="A16">
        <v>2008</v>
      </c>
      <c r="B16">
        <v>533</v>
      </c>
      <c r="C16">
        <f t="shared" si="3"/>
        <v>1782</v>
      </c>
      <c r="E16" s="14">
        <f>C16+E$17-C$17</f>
        <v>1485</v>
      </c>
      <c r="G16" s="15">
        <f t="shared" si="4"/>
        <v>1336.5</v>
      </c>
      <c r="H16">
        <v>0.9</v>
      </c>
      <c r="I16" s="14">
        <f t="shared" si="1"/>
        <v>1485</v>
      </c>
      <c r="L16" s="12">
        <v>140.36049717887155</v>
      </c>
      <c r="M16" s="12">
        <f t="shared" si="0"/>
        <v>88.173585214974153</v>
      </c>
      <c r="N16">
        <v>2008</v>
      </c>
      <c r="O16" s="3">
        <f t="shared" si="2"/>
        <v>2021.0134312394621</v>
      </c>
      <c r="P16" s="3"/>
      <c r="Q16" s="50"/>
      <c r="S16" s="3"/>
      <c r="T16" s="3">
        <f t="shared" si="5"/>
        <v>1684.1778593662184</v>
      </c>
    </row>
    <row r="17" spans="1:23">
      <c r="A17">
        <v>2009</v>
      </c>
      <c r="B17">
        <v>435</v>
      </c>
      <c r="C17">
        <f t="shared" si="3"/>
        <v>1597</v>
      </c>
      <c r="D17">
        <v>1500</v>
      </c>
      <c r="E17" s="14">
        <f>D17+E18-D18</f>
        <v>1300</v>
      </c>
      <c r="F17">
        <f>E17</f>
        <v>1300</v>
      </c>
      <c r="G17" s="15">
        <f t="shared" si="4"/>
        <v>1170</v>
      </c>
      <c r="H17">
        <v>0.9</v>
      </c>
      <c r="I17" s="14">
        <f t="shared" si="1"/>
        <v>1300</v>
      </c>
      <c r="L17" s="12">
        <v>139.86112587034816</v>
      </c>
      <c r="M17" s="12">
        <f t="shared" si="0"/>
        <v>87.859883286646777</v>
      </c>
      <c r="N17">
        <v>2009</v>
      </c>
      <c r="O17" s="3">
        <f t="shared" si="2"/>
        <v>1817.666880787579</v>
      </c>
      <c r="P17" s="3">
        <f>D17*L$25/L17</f>
        <v>1707.2638204016084</v>
      </c>
      <c r="Q17" s="50"/>
      <c r="S17" s="3"/>
      <c r="T17" s="3">
        <f t="shared" si="5"/>
        <v>1479.6286443480606</v>
      </c>
    </row>
    <row r="18" spans="1:23">
      <c r="A18">
        <v>2010</v>
      </c>
      <c r="B18">
        <v>366</v>
      </c>
      <c r="C18">
        <f t="shared" si="3"/>
        <v>1369</v>
      </c>
      <c r="D18">
        <v>1200</v>
      </c>
      <c r="E18">
        <v>1000</v>
      </c>
      <c r="F18">
        <v>1000</v>
      </c>
      <c r="G18" s="15">
        <f t="shared" si="4"/>
        <v>870.66167290886403</v>
      </c>
      <c r="H18" s="20">
        <f>H17+(H20-H17)/3</f>
        <v>0.87066167290886398</v>
      </c>
      <c r="I18">
        <f>F18</f>
        <v>1000</v>
      </c>
      <c r="L18" s="12">
        <v>142.15523505402163</v>
      </c>
      <c r="M18" s="12">
        <f t="shared" si="0"/>
        <v>89.301028307252594</v>
      </c>
      <c r="N18">
        <v>2010</v>
      </c>
      <c r="O18" s="3">
        <f>C18*L$25/L18</f>
        <v>1533.0170614494664</v>
      </c>
      <c r="P18" s="3">
        <f>D18*L$25/L18</f>
        <v>1343.7695206277281</v>
      </c>
      <c r="Q18" s="50"/>
      <c r="R18" s="3">
        <f>F18*L$25/L18</f>
        <v>1119.8079338564401</v>
      </c>
      <c r="S18" s="3">
        <f t="shared" ref="S18:S38" si="6">T18*H18</f>
        <v>974.97384902806664</v>
      </c>
      <c r="T18" s="3">
        <f>I18*L$25/L18</f>
        <v>1119.8079338564401</v>
      </c>
      <c r="W18">
        <v>1000</v>
      </c>
    </row>
    <row r="19" spans="1:23">
      <c r="A19">
        <v>2011</v>
      </c>
      <c r="B19">
        <v>320</v>
      </c>
      <c r="C19">
        <f t="shared" si="3"/>
        <v>994</v>
      </c>
      <c r="D19">
        <v>1000</v>
      </c>
      <c r="E19">
        <v>800</v>
      </c>
      <c r="F19" s="15">
        <f>F18+(F22-F18)/4</f>
        <v>833.75</v>
      </c>
      <c r="G19" s="15">
        <f t="shared" si="4"/>
        <v>701.45333957553066</v>
      </c>
      <c r="H19" s="20">
        <f>H18+(H20-H17)/3</f>
        <v>0.84132334581772794</v>
      </c>
      <c r="I19" s="15">
        <f>I18+(I22-I18)/4</f>
        <v>833.75</v>
      </c>
      <c r="L19" s="12">
        <v>146.64240570228091</v>
      </c>
      <c r="M19" s="12">
        <f t="shared" si="0"/>
        <v>92.119840804220416</v>
      </c>
      <c r="N19">
        <v>2011</v>
      </c>
      <c r="O19" s="3">
        <f t="shared" si="2"/>
        <v>1079.0292203310673</v>
      </c>
      <c r="P19" s="3">
        <f>D19*L$25/L19</f>
        <v>1085.5424751821602</v>
      </c>
      <c r="Q19" s="50"/>
      <c r="R19" s="15">
        <f>F19*L$23/L19</f>
        <v>878.51783705804689</v>
      </c>
      <c r="S19" s="3">
        <f t="shared" si="6"/>
        <v>761.45739446761399</v>
      </c>
      <c r="T19" s="3">
        <f t="shared" si="5"/>
        <v>905.07103868312618</v>
      </c>
      <c r="W19">
        <v>800</v>
      </c>
    </row>
    <row r="20" spans="1:23">
      <c r="A20">
        <v>2012</v>
      </c>
      <c r="C20" s="15">
        <f>C19+(C22-C19)/3</f>
        <v>862.66666666666663</v>
      </c>
      <c r="D20">
        <v>830</v>
      </c>
      <c r="E20">
        <v>700</v>
      </c>
      <c r="F20" s="15">
        <f>F19+(F22-F18)/4</f>
        <v>667.5</v>
      </c>
      <c r="G20">
        <v>542</v>
      </c>
      <c r="H20" s="13">
        <f>G20/F20</f>
        <v>0.81198501872659179</v>
      </c>
      <c r="I20" s="15">
        <f>I19+(I22-I18)/4</f>
        <v>667.5</v>
      </c>
      <c r="L20" s="12">
        <v>149.67709687875151</v>
      </c>
      <c r="M20" s="12">
        <f t="shared" si="0"/>
        <v>94.0262147942517</v>
      </c>
      <c r="N20">
        <v>2012</v>
      </c>
      <c r="O20" s="3">
        <f t="shared" si="2"/>
        <v>917.47463040424941</v>
      </c>
      <c r="P20" s="3">
        <f>D20*L$25/L20</f>
        <v>882.7325462544751</v>
      </c>
      <c r="Q20" s="50"/>
      <c r="R20" s="15">
        <f>F20*L$23/L20</f>
        <v>689.08093199299628</v>
      </c>
      <c r="S20" s="3">
        <f t="shared" si="6"/>
        <v>576.43498803605485</v>
      </c>
      <c r="T20" s="3">
        <f t="shared" si="5"/>
        <v>709.90840316248443</v>
      </c>
      <c r="W20">
        <v>642</v>
      </c>
    </row>
    <row r="21" spans="1:23">
      <c r="A21">
        <v>2013</v>
      </c>
      <c r="C21" s="15">
        <f>C20+(C22-C19)/3</f>
        <v>731.33333333333326</v>
      </c>
      <c r="D21" s="18">
        <v>600</v>
      </c>
      <c r="E21">
        <v>600</v>
      </c>
      <c r="F21" s="15">
        <f>F20+(F22-F18)/4</f>
        <v>501.25</v>
      </c>
      <c r="G21" s="15">
        <f t="shared" si="4"/>
        <v>395.2797425093633</v>
      </c>
      <c r="H21" s="20">
        <f>H20+(H25-H20)/5</f>
        <v>0.7885880149812734</v>
      </c>
      <c r="I21" s="15">
        <f>I20+(I22-I18)/4</f>
        <v>501.25</v>
      </c>
      <c r="L21" s="12">
        <v>151.86950642256903</v>
      </c>
      <c r="M21" s="12">
        <f t="shared" si="0"/>
        <v>95.403472738070221</v>
      </c>
      <c r="N21">
        <v>2013</v>
      </c>
      <c r="O21" s="3">
        <f t="shared" si="2"/>
        <v>766.56888092659426</v>
      </c>
      <c r="P21" s="3">
        <f>D21*L$25/L21</f>
        <v>628.90792418772548</v>
      </c>
      <c r="Q21" s="50"/>
      <c r="R21" s="15">
        <f>F21*L$23/L21</f>
        <v>509.98583966139677</v>
      </c>
      <c r="S21" s="3">
        <f t="shared" si="6"/>
        <v>414.32427055837047</v>
      </c>
      <c r="T21" s="3">
        <f t="shared" si="5"/>
        <v>525.40016166516227</v>
      </c>
      <c r="W21">
        <v>599</v>
      </c>
    </row>
    <row r="22" spans="1:23">
      <c r="A22">
        <v>2014</v>
      </c>
      <c r="C22">
        <f t="shared" si="3"/>
        <v>600</v>
      </c>
      <c r="D22" s="14">
        <v>540</v>
      </c>
      <c r="E22">
        <v>500</v>
      </c>
      <c r="F22">
        <v>335</v>
      </c>
      <c r="G22" s="15">
        <f>I22*H22</f>
        <v>256.33898876404493</v>
      </c>
      <c r="H22" s="20">
        <f>H21+(H25-H20)/5</f>
        <v>0.76519101123595501</v>
      </c>
      <c r="I22">
        <f>F22</f>
        <v>335</v>
      </c>
      <c r="L22" s="12">
        <v>154.3331150060024</v>
      </c>
      <c r="M22" s="12">
        <f t="shared" si="0"/>
        <v>96.951096219988202</v>
      </c>
      <c r="O22" s="3">
        <f>C22*L$25/L22</f>
        <v>618.86871153943616</v>
      </c>
      <c r="P22" s="15">
        <f>D22</f>
        <v>540</v>
      </c>
      <c r="Q22" s="50"/>
      <c r="R22" s="3">
        <f>F22*L$25/L22</f>
        <v>345.53503060951857</v>
      </c>
      <c r="S22" s="3">
        <f t="shared" si="6"/>
        <v>264.40029948954418</v>
      </c>
      <c r="T22" s="3">
        <f t="shared" si="5"/>
        <v>345.53503060951857</v>
      </c>
      <c r="W22">
        <v>540</v>
      </c>
    </row>
    <row r="23" spans="1:23">
      <c r="A23">
        <v>2015</v>
      </c>
      <c r="C23">
        <f t="shared" si="3"/>
        <v>552</v>
      </c>
      <c r="D23" s="14">
        <v>486</v>
      </c>
      <c r="E23" s="18">
        <v>350</v>
      </c>
      <c r="F23" s="19">
        <v>280</v>
      </c>
      <c r="G23" s="15">
        <f t="shared" si="4"/>
        <v>207.70232209737824</v>
      </c>
      <c r="H23" s="20">
        <f>H22+(H25-H20)/5</f>
        <v>0.74179400749063662</v>
      </c>
      <c r="I23">
        <f t="shared" ref="I23:I32" si="7">F23</f>
        <v>280</v>
      </c>
      <c r="J23" s="19">
        <v>280</v>
      </c>
      <c r="L23" s="83">
        <v>154.51630474189676</v>
      </c>
      <c r="M23" s="12">
        <f t="shared" si="0"/>
        <v>97.066174864714043</v>
      </c>
      <c r="N23">
        <v>2015</v>
      </c>
      <c r="O23" s="3">
        <f>C23*L$25/L23</f>
        <v>568.68419999999992</v>
      </c>
      <c r="P23" s="74">
        <f t="shared" ref="P23:P28" si="8">D23</f>
        <v>486</v>
      </c>
      <c r="Q23" s="50"/>
      <c r="R23" s="3">
        <f>F23*L$25/L23</f>
        <v>288.46299999999991</v>
      </c>
      <c r="S23" s="3">
        <f t="shared" si="6"/>
        <v>213.98012478277144</v>
      </c>
      <c r="T23" s="3">
        <f t="shared" si="5"/>
        <v>288.46299999999991</v>
      </c>
      <c r="W23">
        <v>350</v>
      </c>
    </row>
    <row r="24" spans="1:23">
      <c r="A24">
        <v>2016</v>
      </c>
      <c r="C24" s="15">
        <f>C23+(C26-C23)/3</f>
        <v>513</v>
      </c>
      <c r="D24" s="14">
        <v>437</v>
      </c>
      <c r="E24" s="14">
        <v>315</v>
      </c>
      <c r="F24">
        <v>250</v>
      </c>
      <c r="G24" s="15">
        <f t="shared" si="4"/>
        <v>179.59925093632955</v>
      </c>
      <c r="H24" s="20">
        <f>H23+(H25-H20)/5</f>
        <v>0.71839700374531823</v>
      </c>
      <c r="I24">
        <f t="shared" si="7"/>
        <v>250</v>
      </c>
      <c r="J24">
        <v>250</v>
      </c>
      <c r="L24" s="12">
        <v>156.83404931302519</v>
      </c>
      <c r="M24" s="12">
        <f t="shared" si="0"/>
        <v>98.52216748768474</v>
      </c>
      <c r="N24">
        <v>2016</v>
      </c>
      <c r="O24" s="3">
        <f>C24*L$25/L24</f>
        <v>520.69499999999994</v>
      </c>
      <c r="P24" s="15">
        <f t="shared" si="8"/>
        <v>437</v>
      </c>
      <c r="Q24" s="50"/>
      <c r="R24" s="3">
        <f>F24*L$25/L24</f>
        <v>253.74999999999994</v>
      </c>
      <c r="S24" s="3">
        <f t="shared" si="6"/>
        <v>182.29323970037447</v>
      </c>
      <c r="T24" s="3">
        <f t="shared" si="5"/>
        <v>253.74999999999994</v>
      </c>
      <c r="W24">
        <v>273</v>
      </c>
    </row>
    <row r="25" spans="1:23">
      <c r="A25">
        <v>2017</v>
      </c>
      <c r="C25" s="15">
        <f>C24+(C26-C23)/3</f>
        <v>474</v>
      </c>
      <c r="D25" s="14">
        <v>394</v>
      </c>
      <c r="E25" s="14">
        <v>280</v>
      </c>
      <c r="F25">
        <v>200</v>
      </c>
      <c r="G25">
        <v>139</v>
      </c>
      <c r="H25" s="13">
        <f>G25/F25</f>
        <v>0.69499999999999995</v>
      </c>
      <c r="I25">
        <f t="shared" si="7"/>
        <v>200</v>
      </c>
      <c r="J25">
        <v>200</v>
      </c>
      <c r="L25" s="21">
        <v>159.18656005272055</v>
      </c>
      <c r="M25" s="12">
        <f>L25/L$25*100</f>
        <v>100</v>
      </c>
      <c r="N25">
        <v>2017</v>
      </c>
      <c r="O25" s="16">
        <f>C25</f>
        <v>474</v>
      </c>
      <c r="P25" s="17">
        <f t="shared" si="8"/>
        <v>394</v>
      </c>
      <c r="Q25" s="16"/>
      <c r="R25" s="16">
        <f>F25</f>
        <v>200</v>
      </c>
      <c r="S25" s="16">
        <f t="shared" si="6"/>
        <v>139</v>
      </c>
      <c r="T25" s="16">
        <f>I25</f>
        <v>200</v>
      </c>
      <c r="W25">
        <v>209</v>
      </c>
    </row>
    <row r="26" spans="1:23">
      <c r="A26">
        <v>2018</v>
      </c>
      <c r="C26">
        <f t="shared" si="3"/>
        <v>435</v>
      </c>
      <c r="D26" s="14">
        <v>354</v>
      </c>
      <c r="E26" s="14">
        <v>250</v>
      </c>
      <c r="F26">
        <v>185</v>
      </c>
      <c r="G26" s="15">
        <f t="shared" ref="G26:G38" si="9">I26*H26</f>
        <v>122.71666666666667</v>
      </c>
      <c r="H26" s="20">
        <f>H25+(H28-H25)/3</f>
        <v>0.66333333333333333</v>
      </c>
      <c r="I26">
        <f t="shared" si="7"/>
        <v>185</v>
      </c>
      <c r="J26">
        <v>185</v>
      </c>
      <c r="K26" s="3"/>
      <c r="L26" s="12">
        <v>161.57435845351134</v>
      </c>
      <c r="N26">
        <v>2018</v>
      </c>
      <c r="O26" s="3">
        <f>C26</f>
        <v>435</v>
      </c>
      <c r="P26" s="15">
        <f t="shared" si="8"/>
        <v>354</v>
      </c>
      <c r="Q26" s="3"/>
      <c r="R26" s="3">
        <f>F26</f>
        <v>185</v>
      </c>
      <c r="S26" s="3">
        <f t="shared" si="6"/>
        <v>122.71666666666667</v>
      </c>
      <c r="T26" s="3">
        <f>I26</f>
        <v>185</v>
      </c>
      <c r="W26">
        <v>179</v>
      </c>
    </row>
    <row r="27" spans="1:23">
      <c r="A27">
        <v>2019</v>
      </c>
      <c r="C27">
        <f t="shared" si="3"/>
        <v>366</v>
      </c>
      <c r="D27" s="14">
        <v>319</v>
      </c>
      <c r="E27" s="14">
        <v>220</v>
      </c>
      <c r="F27">
        <v>175</v>
      </c>
      <c r="G27" s="15">
        <f>I27*H27</f>
        <v>110.54166666666667</v>
      </c>
      <c r="H27" s="20">
        <f>H26+(H28-H25)/3</f>
        <v>0.63166666666666671</v>
      </c>
      <c r="I27">
        <f t="shared" si="7"/>
        <v>175</v>
      </c>
      <c r="J27">
        <v>175</v>
      </c>
      <c r="K27" s="3"/>
      <c r="L27" s="12">
        <v>163.99797383031398</v>
      </c>
      <c r="N27">
        <v>2019</v>
      </c>
      <c r="O27" s="3">
        <f>C27</f>
        <v>366</v>
      </c>
      <c r="P27" s="15">
        <f t="shared" si="8"/>
        <v>319</v>
      </c>
      <c r="Q27" s="3"/>
      <c r="R27" s="3">
        <f>F27</f>
        <v>175</v>
      </c>
      <c r="S27" s="3">
        <f t="shared" si="6"/>
        <v>110.54166666666667</v>
      </c>
      <c r="T27" s="3">
        <f t="shared" ref="T27:T38" si="10">I27</f>
        <v>175</v>
      </c>
      <c r="W27">
        <v>158</v>
      </c>
    </row>
    <row r="28" spans="1:23">
      <c r="A28">
        <v>2020</v>
      </c>
      <c r="C28">
        <f t="shared" si="3"/>
        <v>320</v>
      </c>
      <c r="D28" s="14">
        <v>287</v>
      </c>
      <c r="E28" s="14">
        <v>205</v>
      </c>
      <c r="F28">
        <v>165</v>
      </c>
      <c r="G28" s="61">
        <f t="shared" si="9"/>
        <v>99</v>
      </c>
      <c r="H28">
        <v>0.6</v>
      </c>
      <c r="I28">
        <f t="shared" si="7"/>
        <v>165</v>
      </c>
      <c r="J28">
        <v>165</v>
      </c>
      <c r="K28" s="3"/>
      <c r="L28" s="12">
        <v>167.27793330692026</v>
      </c>
      <c r="N28">
        <v>2020</v>
      </c>
      <c r="O28" s="3">
        <f>C28</f>
        <v>320</v>
      </c>
      <c r="P28" s="15">
        <f t="shared" si="8"/>
        <v>287</v>
      </c>
      <c r="Q28" s="3"/>
      <c r="R28" s="3">
        <f t="shared" ref="R28:R33" si="11">F28</f>
        <v>165</v>
      </c>
      <c r="S28" s="3">
        <f t="shared" si="6"/>
        <v>99</v>
      </c>
      <c r="T28" s="3">
        <f t="shared" si="10"/>
        <v>165</v>
      </c>
      <c r="W28">
        <v>143</v>
      </c>
    </row>
    <row r="29" spans="1:23">
      <c r="A29">
        <v>2021</v>
      </c>
      <c r="E29" s="14">
        <v>185</v>
      </c>
      <c r="F29">
        <v>155</v>
      </c>
      <c r="G29" s="15">
        <f t="shared" si="9"/>
        <v>89.899999999999991</v>
      </c>
      <c r="H29" s="20">
        <f>H28+(H33-H28)/5</f>
        <v>0.57999999999999996</v>
      </c>
      <c r="I29">
        <f t="shared" si="7"/>
        <v>155</v>
      </c>
      <c r="J29">
        <v>155</v>
      </c>
      <c r="K29" s="3"/>
      <c r="L29" s="12">
        <v>170.62349197305866</v>
      </c>
      <c r="N29">
        <v>2021</v>
      </c>
      <c r="Q29" s="3"/>
      <c r="R29" s="3">
        <f t="shared" si="11"/>
        <v>155</v>
      </c>
      <c r="S29" s="3">
        <f t="shared" si="6"/>
        <v>89.899999999999991</v>
      </c>
      <c r="T29" s="3">
        <f t="shared" si="10"/>
        <v>155</v>
      </c>
      <c r="W29">
        <v>131</v>
      </c>
    </row>
    <row r="30" spans="1:23">
      <c r="A30">
        <v>2022</v>
      </c>
      <c r="E30" s="14">
        <v>172</v>
      </c>
      <c r="F30">
        <v>150</v>
      </c>
      <c r="G30" s="15">
        <f t="shared" si="9"/>
        <v>83.999999999999986</v>
      </c>
      <c r="H30" s="20">
        <f>H29+(H33-H28)/5</f>
        <v>0.55999999999999994</v>
      </c>
      <c r="I30">
        <f t="shared" si="7"/>
        <v>150</v>
      </c>
      <c r="J30">
        <v>150</v>
      </c>
      <c r="K30" s="3"/>
      <c r="L30" s="12">
        <v>174.03596181251984</v>
      </c>
      <c r="N30">
        <v>2022</v>
      </c>
      <c r="Q30" s="3"/>
      <c r="R30" s="3">
        <f t="shared" si="11"/>
        <v>150</v>
      </c>
      <c r="S30" s="3">
        <f t="shared" si="6"/>
        <v>83.999999999999986</v>
      </c>
      <c r="T30" s="3">
        <f t="shared" si="10"/>
        <v>150</v>
      </c>
      <c r="W30">
        <v>120</v>
      </c>
    </row>
    <row r="31" spans="1:23">
      <c r="A31">
        <v>2023</v>
      </c>
      <c r="E31" s="14">
        <v>160</v>
      </c>
      <c r="F31">
        <v>145</v>
      </c>
      <c r="G31" s="15">
        <f t="shared" si="9"/>
        <v>78.299999999999983</v>
      </c>
      <c r="H31" s="20">
        <f>H30+(H33-H28)/5</f>
        <v>0.53999999999999992</v>
      </c>
      <c r="I31">
        <f t="shared" si="7"/>
        <v>145</v>
      </c>
      <c r="J31">
        <v>145</v>
      </c>
      <c r="K31" s="3"/>
      <c r="L31" s="12">
        <v>177.51668104877024</v>
      </c>
      <c r="N31">
        <v>2023</v>
      </c>
      <c r="Q31" s="3"/>
      <c r="R31" s="3">
        <f t="shared" si="11"/>
        <v>145</v>
      </c>
      <c r="S31" s="3">
        <f t="shared" si="6"/>
        <v>78.299999999999983</v>
      </c>
      <c r="T31" s="3">
        <f t="shared" si="10"/>
        <v>145</v>
      </c>
      <c r="W31">
        <v>112</v>
      </c>
    </row>
    <row r="32" spans="1:23">
      <c r="A32">
        <v>2024</v>
      </c>
      <c r="E32" s="14">
        <v>148</v>
      </c>
      <c r="F32">
        <v>140</v>
      </c>
      <c r="G32" s="15">
        <f t="shared" si="9"/>
        <v>72.799999999999983</v>
      </c>
      <c r="H32" s="20">
        <f>H31+(H33-H28)/5</f>
        <v>0.51999999999999991</v>
      </c>
      <c r="I32">
        <f t="shared" si="7"/>
        <v>140</v>
      </c>
      <c r="J32">
        <v>140</v>
      </c>
      <c r="L32" s="12">
        <v>181.06701466974565</v>
      </c>
      <c r="N32">
        <v>2024</v>
      </c>
      <c r="Q32" s="3"/>
      <c r="R32" s="3">
        <f t="shared" si="11"/>
        <v>140</v>
      </c>
      <c r="S32" s="3">
        <f t="shared" si="6"/>
        <v>72.799999999999983</v>
      </c>
      <c r="T32" s="3">
        <f t="shared" si="10"/>
        <v>140</v>
      </c>
      <c r="W32">
        <v>104</v>
      </c>
    </row>
    <row r="33" spans="1:23">
      <c r="A33">
        <v>2025</v>
      </c>
      <c r="E33" s="14">
        <v>137</v>
      </c>
      <c r="F33">
        <v>135</v>
      </c>
      <c r="G33" s="15">
        <f t="shared" si="9"/>
        <v>68.5</v>
      </c>
      <c r="H33">
        <v>0.5</v>
      </c>
      <c r="I33" s="14">
        <f t="shared" ref="I33:I38" si="12">E33</f>
        <v>137</v>
      </c>
      <c r="J33">
        <v>137</v>
      </c>
      <c r="L33" s="12">
        <v>184.68835496314057</v>
      </c>
      <c r="N33">
        <v>2025</v>
      </c>
      <c r="Q33" s="3"/>
      <c r="R33" s="3">
        <f t="shared" si="11"/>
        <v>135</v>
      </c>
      <c r="S33" s="3">
        <f>T33*H33</f>
        <v>68.5</v>
      </c>
      <c r="T33" s="3">
        <f t="shared" si="10"/>
        <v>137</v>
      </c>
      <c r="W33">
        <v>97</v>
      </c>
    </row>
    <row r="34" spans="1:23">
      <c r="A34">
        <v>2026</v>
      </c>
      <c r="E34" s="14">
        <v>129</v>
      </c>
      <c r="G34" s="15">
        <f t="shared" si="9"/>
        <v>64.5</v>
      </c>
      <c r="H34">
        <f>H33</f>
        <v>0.5</v>
      </c>
      <c r="I34" s="14">
        <f t="shared" si="12"/>
        <v>129</v>
      </c>
      <c r="J34">
        <v>129</v>
      </c>
      <c r="L34" s="12">
        <v>188.3821220624034</v>
      </c>
      <c r="N34">
        <v>2026</v>
      </c>
      <c r="Q34" s="3">
        <f>E34</f>
        <v>129</v>
      </c>
      <c r="R34" s="3"/>
      <c r="S34" s="3">
        <f t="shared" si="6"/>
        <v>64.5</v>
      </c>
      <c r="T34" s="3">
        <f t="shared" si="10"/>
        <v>129</v>
      </c>
      <c r="W34">
        <v>90</v>
      </c>
    </row>
    <row r="35" spans="1:23">
      <c r="A35">
        <v>2027</v>
      </c>
      <c r="E35" s="14">
        <v>121</v>
      </c>
      <c r="G35" s="15">
        <f t="shared" si="9"/>
        <v>60.5</v>
      </c>
      <c r="H35">
        <f>H34</f>
        <v>0.5</v>
      </c>
      <c r="I35" s="14">
        <f t="shared" si="12"/>
        <v>121</v>
      </c>
      <c r="J35">
        <v>121</v>
      </c>
      <c r="L35" s="12">
        <v>192.14976450365145</v>
      </c>
      <c r="N35">
        <v>2027</v>
      </c>
      <c r="Q35" s="3">
        <f>E35</f>
        <v>121</v>
      </c>
      <c r="R35" s="3"/>
      <c r="S35" s="3">
        <f t="shared" si="6"/>
        <v>60.5</v>
      </c>
      <c r="T35" s="3">
        <f t="shared" si="10"/>
        <v>121</v>
      </c>
      <c r="W35">
        <v>84</v>
      </c>
    </row>
    <row r="36" spans="1:23">
      <c r="A36">
        <v>2028</v>
      </c>
      <c r="E36" s="14">
        <v>112</v>
      </c>
      <c r="G36" s="15">
        <f t="shared" si="9"/>
        <v>56</v>
      </c>
      <c r="H36">
        <f>H35</f>
        <v>0.5</v>
      </c>
      <c r="I36" s="14">
        <f t="shared" si="12"/>
        <v>112</v>
      </c>
      <c r="J36">
        <v>112</v>
      </c>
      <c r="L36" s="12">
        <v>195.99275979372447</v>
      </c>
      <c r="N36">
        <v>2028</v>
      </c>
      <c r="Q36" s="3">
        <f>E36</f>
        <v>112</v>
      </c>
      <c r="R36" s="3"/>
      <c r="S36" s="3">
        <f t="shared" si="6"/>
        <v>56</v>
      </c>
      <c r="T36" s="3">
        <f t="shared" si="10"/>
        <v>112</v>
      </c>
      <c r="W36">
        <v>79</v>
      </c>
    </row>
    <row r="37" spans="1:23">
      <c r="A37">
        <v>2029</v>
      </c>
      <c r="E37" s="14">
        <v>104</v>
      </c>
      <c r="G37" s="15">
        <f t="shared" si="9"/>
        <v>52</v>
      </c>
      <c r="H37">
        <f>H36</f>
        <v>0.5</v>
      </c>
      <c r="I37" s="14">
        <f t="shared" si="12"/>
        <v>104</v>
      </c>
      <c r="J37">
        <v>104</v>
      </c>
      <c r="L37" s="12">
        <v>199.91261498959898</v>
      </c>
      <c r="N37">
        <v>2029</v>
      </c>
      <c r="Q37" s="3">
        <f>E37</f>
        <v>104</v>
      </c>
      <c r="R37" s="3"/>
      <c r="S37" s="3">
        <f t="shared" si="6"/>
        <v>52</v>
      </c>
      <c r="T37" s="3">
        <f t="shared" si="10"/>
        <v>104</v>
      </c>
      <c r="W37">
        <v>74</v>
      </c>
    </row>
    <row r="38" spans="1:23">
      <c r="A38">
        <v>2030</v>
      </c>
      <c r="E38" s="14">
        <v>95</v>
      </c>
      <c r="G38" s="15">
        <f t="shared" si="9"/>
        <v>47.5</v>
      </c>
      <c r="H38">
        <f>H37</f>
        <v>0.5</v>
      </c>
      <c r="I38" s="14">
        <f t="shared" si="12"/>
        <v>95</v>
      </c>
      <c r="J38">
        <v>95</v>
      </c>
      <c r="L38" s="12">
        <v>203.91086728939095</v>
      </c>
      <c r="N38">
        <v>2030</v>
      </c>
      <c r="Q38" s="3">
        <f>E38</f>
        <v>95</v>
      </c>
      <c r="R38" s="3"/>
      <c r="S38" s="3">
        <f t="shared" si="6"/>
        <v>47.5</v>
      </c>
      <c r="T38" s="3">
        <f t="shared" si="10"/>
        <v>95</v>
      </c>
      <c r="W38">
        <v>70</v>
      </c>
    </row>
    <row r="39" spans="1:23">
      <c r="Q39" s="3"/>
    </row>
    <row r="40" spans="1:23">
      <c r="Q40" s="3"/>
    </row>
    <row r="41" spans="1:23">
      <c r="Q41" s="3"/>
    </row>
    <row r="42" spans="1:23">
      <c r="Q42" s="3"/>
    </row>
    <row r="43" spans="1:23">
      <c r="Q43" s="3"/>
    </row>
    <row r="44" spans="1:23">
      <c r="Q44" s="3"/>
    </row>
    <row r="45" spans="1:23">
      <c r="Q45" s="3"/>
    </row>
    <row r="46" spans="1:23">
      <c r="Q46" s="3"/>
    </row>
    <row r="47" spans="1:23">
      <c r="Q47" s="3"/>
    </row>
    <row r="48" spans="1:23">
      <c r="Q48" s="3"/>
    </row>
  </sheetData>
  <printOptions gridLines="1"/>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AD110"/>
  <sheetViews>
    <sheetView topLeftCell="A55" zoomScale="75" zoomScaleNormal="75" workbookViewId="0">
      <pane xSplit="1" ySplit="5" topLeftCell="J60" activePane="bottomRight" state="frozen"/>
      <selection activeCell="A55" sqref="A55"/>
      <selection pane="topRight" activeCell="B55" sqref="B55"/>
      <selection pane="bottomLeft" activeCell="A60" sqref="A60"/>
      <selection pane="bottomRight" activeCell="R111" sqref="R111"/>
    </sheetView>
  </sheetViews>
  <sheetFormatPr defaultRowHeight="15"/>
  <cols>
    <col min="2" max="2" width="17" customWidth="1"/>
    <col min="3" max="3" width="11.42578125" customWidth="1"/>
    <col min="4" max="4" width="16.85546875" customWidth="1"/>
    <col min="5" max="5" width="15.28515625" customWidth="1"/>
    <col min="6" max="6" width="16" customWidth="1"/>
    <col min="7" max="7" width="11.42578125" customWidth="1"/>
    <col min="8" max="8" width="13.140625" customWidth="1"/>
    <col min="9" max="9" width="15.7109375" customWidth="1"/>
    <col min="10" max="10" width="7.28515625" customWidth="1"/>
    <col min="11" max="11" width="16" customWidth="1"/>
    <col min="12" max="12" width="27.28515625" customWidth="1"/>
    <col min="13" max="13" width="20.85546875" customWidth="1"/>
    <col min="14" max="14" width="24.85546875" customWidth="1"/>
    <col min="15" max="15" width="9.5703125" customWidth="1"/>
    <col min="16" max="16" width="15.28515625" customWidth="1"/>
  </cols>
  <sheetData>
    <row r="2" spans="1:15">
      <c r="L2" t="s">
        <v>282</v>
      </c>
      <c r="O2" t="s">
        <v>895</v>
      </c>
    </row>
    <row r="3" spans="1:15">
      <c r="B3" t="s">
        <v>828</v>
      </c>
      <c r="C3" t="s">
        <v>170</v>
      </c>
      <c r="I3" t="s">
        <v>901</v>
      </c>
      <c r="J3" t="s">
        <v>170</v>
      </c>
      <c r="L3" t="s">
        <v>902</v>
      </c>
      <c r="M3" t="s">
        <v>903</v>
      </c>
      <c r="O3" t="s">
        <v>902</v>
      </c>
    </row>
    <row r="4" spans="1:15">
      <c r="A4">
        <v>2009</v>
      </c>
      <c r="B4" s="13">
        <f>'EV %sales'!Y92</f>
        <v>8.2174821687508743E-3</v>
      </c>
      <c r="G4">
        <v>2009</v>
      </c>
      <c r="I4" s="13">
        <f>'EV %sales'!Y50/'EV %sales'!Y7*100</f>
        <v>90.357543291391565</v>
      </c>
      <c r="J4" s="13"/>
      <c r="K4" s="13"/>
      <c r="L4" s="13">
        <f>O4</f>
        <v>0.93902400154281984</v>
      </c>
      <c r="M4" s="12">
        <f>LN('Range acceptance'!K4)</f>
        <v>2.1023970656274051</v>
      </c>
      <c r="O4" s="13">
        <f>'Country Vehicle Prices'!AB81/'Country Vehicle Prices'!AB107</f>
        <v>0.93902400154281984</v>
      </c>
    </row>
    <row r="5" spans="1:15">
      <c r="A5">
        <v>2010</v>
      </c>
      <c r="B5" s="13">
        <f>'EV %sales'!Y93</f>
        <v>1.4321322001514472E-2</v>
      </c>
      <c r="G5">
        <v>2010</v>
      </c>
      <c r="I5" s="13">
        <f>'EV %sales'!Y51/'EV %sales'!Y8*100</f>
        <v>84.418722971254141</v>
      </c>
      <c r="J5" s="13"/>
      <c r="K5" s="13"/>
      <c r="L5" s="13">
        <f t="shared" ref="L5:L25" si="0">AVERAGE(O4:O6)</f>
        <v>0.92481003702832609</v>
      </c>
      <c r="M5" s="12">
        <f>LN('Range acceptance'!K5)</f>
        <v>2.1023970656274051</v>
      </c>
      <c r="O5" s="13">
        <f>'Country Vehicle Prices'!AB82/'Country Vehicle Prices'!AB108</f>
        <v>0.91967849520227163</v>
      </c>
    </row>
    <row r="6" spans="1:15">
      <c r="A6">
        <v>2011</v>
      </c>
      <c r="B6" s="13">
        <f>'EV %sales'!Y94</f>
        <v>8.0906679848661303E-2</v>
      </c>
      <c r="G6">
        <v>2011</v>
      </c>
      <c r="I6" s="13">
        <f>'EV %sales'!Y52/'EV %sales'!Y9*100</f>
        <v>79.054033615987251</v>
      </c>
      <c r="J6" s="13"/>
      <c r="K6" s="13"/>
      <c r="L6" s="13">
        <f t="shared" si="0"/>
        <v>0.91201514712672171</v>
      </c>
      <c r="M6" s="12">
        <f>LN('Range acceptance'!K6)</f>
        <v>2.1023970656274051</v>
      </c>
      <c r="O6" s="13">
        <f>'Country Vehicle Prices'!AB83/'Country Vehicle Prices'!AB109</f>
        <v>0.9157276143398867</v>
      </c>
    </row>
    <row r="7" spans="1:15">
      <c r="A7">
        <v>2012</v>
      </c>
      <c r="B7" s="13">
        <f>'EV %sales'!Y95</f>
        <v>0.11235312601225401</v>
      </c>
      <c r="C7" s="13">
        <f t="shared" ref="C7:C25" si="1">J7/100*C63</f>
        <v>0.11169720887567199</v>
      </c>
      <c r="G7">
        <v>2012</v>
      </c>
      <c r="I7" s="13">
        <f>'EV %sales'!Y53/'EV %sales'!Y10*100</f>
        <v>47.764240045816003</v>
      </c>
      <c r="J7" s="13">
        <f>C$28+C$29*L7+C$30*M7</f>
        <v>47.347204854901733</v>
      </c>
      <c r="K7" s="13"/>
      <c r="L7" s="13">
        <f t="shared" si="0"/>
        <v>0.90966272832208628</v>
      </c>
      <c r="M7" s="12">
        <f>LN('Range acceptance'!K7)</f>
        <v>2.1023970656274051</v>
      </c>
      <c r="O7" s="13">
        <f>'Country Vehicle Prices'!AB84/'Country Vehicle Prices'!AB110</f>
        <v>0.9006393318380066</v>
      </c>
    </row>
    <row r="8" spans="1:15">
      <c r="A8">
        <v>2013</v>
      </c>
      <c r="B8" s="13">
        <f>'EV %sales'!Y96</f>
        <v>0.20861573121263374</v>
      </c>
      <c r="C8" s="13">
        <f t="shared" si="1"/>
        <v>0.20885650976190961</v>
      </c>
      <c r="G8">
        <v>2013</v>
      </c>
      <c r="I8" s="13">
        <f>'EV %sales'!Y54/'EV %sales'!Y11*100</f>
        <v>54.321373755647393</v>
      </c>
      <c r="J8" s="13">
        <f t="shared" ref="J8:J25" si="2">C$28+C$29*L8+C$30*M8</f>
        <v>55.73012418381775</v>
      </c>
      <c r="K8" s="13"/>
      <c r="L8" s="13">
        <f t="shared" si="0"/>
        <v>0.89685500875463886</v>
      </c>
      <c r="M8" s="12">
        <f>LN('Range acceptance'!K8)</f>
        <v>2.4932483344668723</v>
      </c>
      <c r="O8" s="13">
        <f>'Country Vehicle Prices'!AB85/'Country Vehicle Prices'!AB111</f>
        <v>0.91262123878836576</v>
      </c>
    </row>
    <row r="9" spans="1:15">
      <c r="A9">
        <v>2014</v>
      </c>
      <c r="B9" s="13">
        <f>'EV %sales'!Y97</f>
        <v>0.33143325566703208</v>
      </c>
      <c r="C9" s="13">
        <f t="shared" si="1"/>
        <v>0.34225373189442598</v>
      </c>
      <c r="G9">
        <v>2014</v>
      </c>
      <c r="I9" s="13">
        <f>'EV %sales'!Y55/'EV %sales'!Y12*100</f>
        <v>57.895008517008229</v>
      </c>
      <c r="J9" s="13">
        <f t="shared" si="2"/>
        <v>58.034708329729547</v>
      </c>
      <c r="K9" s="13"/>
      <c r="L9" s="13">
        <f t="shared" si="0"/>
        <v>0.88892166082613633</v>
      </c>
      <c r="M9" s="12">
        <f>LN('Range acceptance'!K9)</f>
        <v>2.5559450175253904</v>
      </c>
      <c r="O9" s="13">
        <f>'Country Vehicle Prices'!AB86/'Country Vehicle Prices'!AB112</f>
        <v>0.87730445563754444</v>
      </c>
    </row>
    <row r="10" spans="1:15">
      <c r="A10">
        <v>2015</v>
      </c>
      <c r="B10" s="13">
        <f>'EV %sales'!Y98</f>
        <v>0.53171664809873675</v>
      </c>
      <c r="C10" s="13">
        <f t="shared" si="1"/>
        <v>0.54965155596213344</v>
      </c>
      <c r="G10">
        <v>2015</v>
      </c>
      <c r="I10" s="13">
        <f>'EV %sales'!Y56/'EV %sales'!Y13*100</f>
        <v>58.917410815056925</v>
      </c>
      <c r="J10" s="13">
        <f t="shared" si="2"/>
        <v>61.178406557177745</v>
      </c>
      <c r="K10" s="13"/>
      <c r="L10" s="13">
        <f t="shared" si="0"/>
        <v>0.87548428284383661</v>
      </c>
      <c r="M10" s="12">
        <f>LN('Range acceptance'!K10)</f>
        <v>2.6149416661139959</v>
      </c>
      <c r="O10" s="13">
        <f>'Country Vehicle Prices'!AB87/'Country Vehicle Prices'!AB113</f>
        <v>0.87683928805249856</v>
      </c>
    </row>
    <row r="11" spans="1:15">
      <c r="A11">
        <v>2016</v>
      </c>
      <c r="B11" s="13">
        <f>'EV %sales'!Y99</f>
        <v>0.70056548793611539</v>
      </c>
      <c r="C11" s="13">
        <f t="shared" si="1"/>
        <v>0.69009233158606698</v>
      </c>
      <c r="G11">
        <v>2016</v>
      </c>
      <c r="I11" s="13">
        <f>'EV %sales'!Y57/'EV %sales'!Y14*100</f>
        <v>61.656545444519963</v>
      </c>
      <c r="J11" s="13">
        <f t="shared" si="2"/>
        <v>61.357105821825748</v>
      </c>
      <c r="K11" s="13"/>
      <c r="L11" s="13">
        <f t="shared" si="0"/>
        <v>0.87438982076602656</v>
      </c>
      <c r="M11" s="12">
        <f>LN('Range acceptance'!K11)</f>
        <v>2.6149416661139959</v>
      </c>
      <c r="O11" s="13">
        <f>'Country Vehicle Prices'!AB88/'Country Vehicle Prices'!AB114</f>
        <v>0.87230910484146695</v>
      </c>
    </row>
    <row r="12" spans="1:15">
      <c r="A12">
        <v>2017</v>
      </c>
      <c r="B12" s="13">
        <f>'EV %sales'!Y100</f>
        <v>1.0845968500822225</v>
      </c>
      <c r="C12" s="13">
        <f t="shared" si="1"/>
        <v>1.0814594253357634</v>
      </c>
      <c r="G12">
        <v>2017</v>
      </c>
      <c r="I12" s="13">
        <f>'EV %sales'!Y58/'EV %sales'!Y15*100</f>
        <v>65.205498329141818</v>
      </c>
      <c r="J12" s="13">
        <f t="shared" si="2"/>
        <v>63.859836998450355</v>
      </c>
      <c r="K12" s="13"/>
      <c r="L12" s="13">
        <f t="shared" si="0"/>
        <v>0.87469817778287118</v>
      </c>
      <c r="M12" s="12">
        <f>LN('Range acceptance'!K12)</f>
        <v>2.7735426125004894</v>
      </c>
      <c r="O12" s="13">
        <f>'Country Vehicle Prices'!AB89/'Country Vehicle Prices'!AB115</f>
        <v>0.87402106940411406</v>
      </c>
    </row>
    <row r="13" spans="1:15">
      <c r="A13">
        <v>2018</v>
      </c>
      <c r="C13" s="13">
        <f t="shared" si="1"/>
        <v>1.98674733493441</v>
      </c>
      <c r="G13">
        <v>2018</v>
      </c>
      <c r="I13" s="13"/>
      <c r="J13" s="13">
        <f t="shared" si="2"/>
        <v>70.174155893587837</v>
      </c>
      <c r="K13" s="13"/>
      <c r="L13" s="13">
        <f t="shared" si="0"/>
        <v>0.88153761001693065</v>
      </c>
      <c r="M13" s="12">
        <f>LN('Range acceptance'!K13)</f>
        <v>3.2351692067227318</v>
      </c>
      <c r="O13" s="13">
        <f>'Country Vehicle Prices'!AB90/'Country Vehicle Prices'!AB116</f>
        <v>0.87776435910303285</v>
      </c>
    </row>
    <row r="14" spans="1:15">
      <c r="A14">
        <v>2019</v>
      </c>
      <c r="C14" s="13">
        <f t="shared" si="1"/>
        <v>3.6393807734924906</v>
      </c>
      <c r="G14">
        <v>2019</v>
      </c>
      <c r="I14" s="13"/>
      <c r="J14" s="13">
        <f t="shared" si="2"/>
        <v>78.002164229854799</v>
      </c>
      <c r="K14" s="13"/>
      <c r="L14" s="13">
        <f t="shared" si="0"/>
        <v>0.89160521003825366</v>
      </c>
      <c r="M14" s="12">
        <f>LN('Range acceptance'!K14)</f>
        <v>3.8235714883834286</v>
      </c>
      <c r="O14" s="13">
        <f>'Country Vehicle Prices'!AB91/'Country Vehicle Prices'!AB117</f>
        <v>0.89282740154364493</v>
      </c>
    </row>
    <row r="15" spans="1:15">
      <c r="A15">
        <v>2020</v>
      </c>
      <c r="C15" s="13">
        <f t="shared" si="1"/>
        <v>5.79618744165602</v>
      </c>
      <c r="G15">
        <v>2020</v>
      </c>
      <c r="I15" s="13"/>
      <c r="J15" s="13">
        <f t="shared" si="2"/>
        <v>81.279790499130499</v>
      </c>
      <c r="K15" s="13"/>
      <c r="L15" s="13">
        <f t="shared" si="0"/>
        <v>0.89799725176878908</v>
      </c>
      <c r="M15" s="12">
        <f>LN('Range acceptance'!K15)</f>
        <v>4.0920164666291488</v>
      </c>
      <c r="O15" s="13">
        <f>'Country Vehicle Prices'!AB92/'Country Vehicle Prices'!AB118</f>
        <v>0.90422386946808331</v>
      </c>
    </row>
    <row r="16" spans="1:15">
      <c r="A16">
        <v>2021</v>
      </c>
      <c r="C16" s="13">
        <f t="shared" si="1"/>
        <v>8.993279212097633</v>
      </c>
      <c r="G16">
        <v>2021</v>
      </c>
      <c r="I16" s="13"/>
      <c r="J16" s="13">
        <f t="shared" si="2"/>
        <v>83.201248081105419</v>
      </c>
      <c r="K16" s="13"/>
      <c r="L16" s="13">
        <f t="shared" si="0"/>
        <v>0.90553777452463058</v>
      </c>
      <c r="M16" s="12">
        <f>LN('Range acceptance'!K16)</f>
        <v>4.2878632423425378</v>
      </c>
      <c r="O16" s="13">
        <f>'Country Vehicle Prices'!AB93/'Country Vehicle Prices'!AB119</f>
        <v>0.89694048429463902</v>
      </c>
    </row>
    <row r="17" spans="1:17">
      <c r="A17">
        <v>2022</v>
      </c>
      <c r="C17" s="13">
        <f t="shared" si="1"/>
        <v>13.710479110598651</v>
      </c>
      <c r="G17">
        <v>2022</v>
      </c>
      <c r="I17" s="13"/>
      <c r="J17" s="13">
        <f t="shared" si="2"/>
        <v>84.523275610118276</v>
      </c>
      <c r="K17" s="13"/>
      <c r="L17" s="13">
        <f t="shared" si="0"/>
        <v>0.9091707629444663</v>
      </c>
      <c r="M17" s="12">
        <f>LN('Range acceptance'!K17)</f>
        <v>4.4068386825770922</v>
      </c>
      <c r="O17" s="13">
        <f>'Country Vehicle Prices'!AB94/'Country Vehicle Prices'!AB120</f>
        <v>0.91544896981116974</v>
      </c>
    </row>
    <row r="18" spans="1:17">
      <c r="A18">
        <v>2023</v>
      </c>
      <c r="C18" s="13">
        <f t="shared" si="1"/>
        <v>19.513836910879284</v>
      </c>
      <c r="G18">
        <v>2023</v>
      </c>
      <c r="I18" s="13"/>
      <c r="J18" s="13">
        <f t="shared" si="2"/>
        <v>84.601254776055086</v>
      </c>
      <c r="K18" s="13"/>
      <c r="L18" s="13">
        <f t="shared" si="0"/>
        <v>0.91428214525438889</v>
      </c>
      <c r="M18" s="12">
        <f>LN('Range acceptance'!K18)</f>
        <v>4.4635272828094044</v>
      </c>
      <c r="O18" s="13">
        <f>'Country Vehicle Prices'!AB95/'Country Vehicle Prices'!AB121</f>
        <v>0.91512283472759015</v>
      </c>
    </row>
    <row r="19" spans="1:17">
      <c r="A19">
        <v>2024</v>
      </c>
      <c r="C19" s="13">
        <f t="shared" si="1"/>
        <v>26.125265632509358</v>
      </c>
      <c r="G19">
        <v>2024</v>
      </c>
      <c r="I19" s="13"/>
      <c r="J19" s="13">
        <f t="shared" si="2"/>
        <v>84.913612343216258</v>
      </c>
      <c r="K19" s="13"/>
      <c r="L19" s="13">
        <f t="shared" si="0"/>
        <v>0.91236907911699705</v>
      </c>
      <c r="M19" s="12">
        <f>LN('Range acceptance'!K19)</f>
        <v>4.4635272828094044</v>
      </c>
      <c r="O19" s="13">
        <f>'Country Vehicle Prices'!AB96/'Country Vehicle Prices'!AB122</f>
        <v>0.91227463122440666</v>
      </c>
    </row>
    <row r="20" spans="1:17">
      <c r="A20">
        <v>2025</v>
      </c>
      <c r="C20" s="13">
        <f t="shared" si="1"/>
        <v>32.870750614099208</v>
      </c>
      <c r="G20">
        <v>2025</v>
      </c>
      <c r="I20" s="13"/>
      <c r="J20" s="13">
        <f t="shared" si="2"/>
        <v>85.280163549473045</v>
      </c>
      <c r="K20" s="13"/>
      <c r="L20" s="13">
        <f t="shared" si="0"/>
        <v>0.91012409844730158</v>
      </c>
      <c r="M20" s="12">
        <f>LN('Range acceptance'!K20)</f>
        <v>4.4635272828094044</v>
      </c>
      <c r="O20" s="13">
        <f>'Country Vehicle Prices'!AB97/'Country Vehicle Prices'!AB123</f>
        <v>0.90970977139899445</v>
      </c>
    </row>
    <row r="21" spans="1:17">
      <c r="A21">
        <v>2026</v>
      </c>
      <c r="C21" s="13">
        <f t="shared" si="1"/>
        <v>39.21183953240395</v>
      </c>
      <c r="G21">
        <v>2026</v>
      </c>
      <c r="I21" s="13"/>
      <c r="J21" s="13">
        <f t="shared" si="2"/>
        <v>85.567186458264203</v>
      </c>
      <c r="K21" s="13"/>
      <c r="L21" s="13">
        <f t="shared" si="0"/>
        <v>0.90836619703817478</v>
      </c>
      <c r="M21" s="12">
        <f>LN('Range acceptance'!K21)</f>
        <v>4.4635272828094044</v>
      </c>
      <c r="O21" s="13">
        <f>'Country Vehicle Prices'!AB98/'Country Vehicle Prices'!AB124</f>
        <v>0.90838789271850362</v>
      </c>
    </row>
    <row r="22" spans="1:17">
      <c r="A22">
        <v>2027</v>
      </c>
      <c r="C22" s="13">
        <f t="shared" si="1"/>
        <v>44.539685495540375</v>
      </c>
      <c r="G22">
        <v>2027</v>
      </c>
      <c r="I22" s="13"/>
      <c r="J22" s="13">
        <f t="shared" si="2"/>
        <v>85.807604406395754</v>
      </c>
      <c r="K22" s="13"/>
      <c r="L22" s="13">
        <f t="shared" si="0"/>
        <v>0.90689373251755567</v>
      </c>
      <c r="M22" s="12">
        <f>LN('Range acceptance'!K22)</f>
        <v>4.4635272828094044</v>
      </c>
      <c r="O22" s="13">
        <f>'Country Vehicle Prices'!AB99/'Country Vehicle Prices'!AB125</f>
        <v>0.90700092699702617</v>
      </c>
    </row>
    <row r="23" spans="1:17">
      <c r="A23">
        <v>2028</v>
      </c>
      <c r="C23" s="13">
        <f t="shared" si="1"/>
        <v>48.474698565416062</v>
      </c>
      <c r="G23">
        <v>2028</v>
      </c>
      <c r="I23" s="13"/>
      <c r="J23" s="13">
        <f t="shared" si="2"/>
        <v>86.059825440285763</v>
      </c>
      <c r="K23" s="13"/>
      <c r="L23" s="13">
        <f t="shared" si="0"/>
        <v>0.90534897878081033</v>
      </c>
      <c r="M23" s="12">
        <f>LN('Range acceptance'!K23)</f>
        <v>4.4635272828094044</v>
      </c>
      <c r="O23" s="13">
        <f>'Country Vehicle Prices'!AB100/'Country Vehicle Prices'!AB126</f>
        <v>0.90529237783713723</v>
      </c>
    </row>
    <row r="24" spans="1:17">
      <c r="A24">
        <v>2029</v>
      </c>
      <c r="C24" s="13">
        <f t="shared" si="1"/>
        <v>51.272428119264006</v>
      </c>
      <c r="G24">
        <v>2029</v>
      </c>
      <c r="I24" s="13"/>
      <c r="J24" s="13">
        <f t="shared" si="2"/>
        <v>86.330361056812492</v>
      </c>
      <c r="K24" s="13"/>
      <c r="L24" s="13">
        <f t="shared" si="0"/>
        <v>0.90369205549369613</v>
      </c>
      <c r="M24" s="12">
        <f>LN('Range acceptance'!K24)</f>
        <v>4.4635272828094044</v>
      </c>
      <c r="O24" s="13">
        <f>'Country Vehicle Prices'!AB101/'Country Vehicle Prices'!AB127</f>
        <v>0.90375363150826782</v>
      </c>
    </row>
    <row r="25" spans="1:17">
      <c r="A25">
        <v>2030</v>
      </c>
      <c r="C25" s="13">
        <f t="shared" si="1"/>
        <v>53.131180700252443</v>
      </c>
      <c r="G25">
        <v>2030</v>
      </c>
      <c r="I25" s="13"/>
      <c r="J25" s="13">
        <f t="shared" si="2"/>
        <v>86.461008080483211</v>
      </c>
      <c r="K25" s="13"/>
      <c r="L25" s="13">
        <f t="shared" si="0"/>
        <v>0.90289189432197547</v>
      </c>
      <c r="M25" s="12">
        <f>LN('Range acceptance'!K25)</f>
        <v>4.4635272828094044</v>
      </c>
      <c r="O25" s="13">
        <f>'Country Vehicle Prices'!AB102/'Country Vehicle Prices'!AB128</f>
        <v>0.90203015713568324</v>
      </c>
    </row>
    <row r="26" spans="1:17">
      <c r="C26" s="13"/>
      <c r="I26" s="13"/>
      <c r="J26" s="13"/>
      <c r="K26" s="13"/>
      <c r="M26" s="13"/>
      <c r="P26" s="13"/>
      <c r="Q26" s="13"/>
    </row>
    <row r="27" spans="1:17">
      <c r="C27" s="13"/>
      <c r="I27" s="13"/>
      <c r="J27" s="13"/>
      <c r="K27" s="13"/>
      <c r="M27" s="13"/>
      <c r="P27" s="13"/>
      <c r="Q27" s="13"/>
    </row>
    <row r="28" spans="1:17">
      <c r="B28" s="41" t="s">
        <v>159</v>
      </c>
      <c r="C28" s="41">
        <v>162.02985923716756</v>
      </c>
      <c r="D28" s="13"/>
      <c r="E28" s="13"/>
      <c r="K28" s="13"/>
      <c r="P28" s="31"/>
    </row>
    <row r="29" spans="1:17">
      <c r="B29" t="s">
        <v>902</v>
      </c>
      <c r="C29" s="41">
        <v>-163.27588526920067</v>
      </c>
      <c r="D29" s="13"/>
      <c r="E29" s="13"/>
      <c r="K29" s="13"/>
      <c r="P29" s="31"/>
    </row>
    <row r="30" spans="1:17" ht="15.75" thickBot="1">
      <c r="B30" t="s">
        <v>903</v>
      </c>
      <c r="C30" s="42">
        <v>16.097498153052044</v>
      </c>
      <c r="D30" s="13"/>
      <c r="E30" s="13"/>
      <c r="P30" s="31"/>
    </row>
    <row r="31" spans="1:17">
      <c r="C31" s="13"/>
      <c r="D31" s="13"/>
      <c r="E31" s="13"/>
      <c r="P31" s="31"/>
    </row>
    <row r="32" spans="1:17">
      <c r="C32" s="13"/>
      <c r="D32" s="13"/>
      <c r="E32" s="13"/>
      <c r="P32" s="31"/>
    </row>
    <row r="33" spans="1:16">
      <c r="B33" t="s">
        <v>826</v>
      </c>
      <c r="C33" t="s">
        <v>170</v>
      </c>
      <c r="P33" s="31"/>
    </row>
    <row r="34" spans="1:16">
      <c r="A34">
        <v>2009</v>
      </c>
      <c r="B34" s="13">
        <f>'EV %sales'!Y105</f>
        <v>1.0151473904868031E-3</v>
      </c>
      <c r="C34" s="13"/>
      <c r="D34" s="13"/>
      <c r="E34" s="13"/>
      <c r="P34" s="31"/>
    </row>
    <row r="35" spans="1:16">
      <c r="A35">
        <v>2010</v>
      </c>
      <c r="B35" s="13">
        <f>'EV %sales'!Y106</f>
        <v>2.6821460370472336E-3</v>
      </c>
      <c r="C35" s="13"/>
      <c r="D35" s="13"/>
      <c r="E35" s="13"/>
      <c r="P35" s="31"/>
    </row>
    <row r="36" spans="1:16">
      <c r="A36">
        <v>2011</v>
      </c>
      <c r="B36" s="13">
        <f>'EV %sales'!Y107</f>
        <v>2.1436839068631974E-2</v>
      </c>
      <c r="C36" s="13"/>
      <c r="D36" s="13"/>
      <c r="E36" s="13"/>
      <c r="N36" s="13"/>
      <c r="P36" s="31"/>
    </row>
    <row r="37" spans="1:16">
      <c r="A37">
        <v>2012</v>
      </c>
      <c r="B37" s="13">
        <f>'EV %sales'!Y108</f>
        <v>0.12287122991695917</v>
      </c>
      <c r="C37" s="13">
        <f t="shared" ref="C37:C55" si="3">C63-C7</f>
        <v>0.12421367375821231</v>
      </c>
      <c r="D37" s="13"/>
      <c r="E37" s="13"/>
      <c r="N37" s="13"/>
      <c r="P37" s="31"/>
    </row>
    <row r="38" spans="1:16">
      <c r="A38">
        <v>2013</v>
      </c>
      <c r="B38" s="13">
        <f>'EV %sales'!Y109</f>
        <v>0.17542413521461303</v>
      </c>
      <c r="C38" s="13">
        <f t="shared" si="3"/>
        <v>0.16590761075759008</v>
      </c>
      <c r="D38" s="13"/>
      <c r="E38" s="13"/>
      <c r="N38" s="13"/>
      <c r="P38" s="31"/>
    </row>
    <row r="39" spans="1:16">
      <c r="A39">
        <v>2014</v>
      </c>
      <c r="B39" s="13">
        <f>'EV %sales'!Y110</f>
        <v>0.24103968139051182</v>
      </c>
      <c r="C39" s="13">
        <f t="shared" si="3"/>
        <v>0.24748599756174683</v>
      </c>
      <c r="D39" s="13"/>
      <c r="E39" s="13"/>
      <c r="N39" s="13"/>
      <c r="P39" s="31"/>
    </row>
    <row r="40" spans="1:16">
      <c r="A40">
        <v>2015</v>
      </c>
      <c r="B40" s="13">
        <f>'EV %sales'!Y111</f>
        <v>0.37076131341217766</v>
      </c>
      <c r="C40" s="13">
        <f t="shared" si="3"/>
        <v>0.34878890186251654</v>
      </c>
      <c r="D40" s="13"/>
      <c r="E40" s="13"/>
      <c r="N40" s="13"/>
      <c r="P40" s="31"/>
    </row>
    <row r="41" spans="1:16">
      <c r="A41">
        <v>2016</v>
      </c>
      <c r="B41" s="13">
        <f>'EV %sales'!Y112</f>
        <v>0.43567314315375177</v>
      </c>
      <c r="C41" s="13">
        <f t="shared" si="3"/>
        <v>0.43462227537407672</v>
      </c>
      <c r="D41" s="13"/>
      <c r="E41" s="13"/>
      <c r="N41" s="13"/>
      <c r="P41" s="31"/>
    </row>
    <row r="42" spans="1:16">
      <c r="A42">
        <v>2017</v>
      </c>
      <c r="B42" s="13">
        <f>'EV %sales'!Y113</f>
        <v>0.57779084727047836</v>
      </c>
      <c r="C42" s="13">
        <f t="shared" si="3"/>
        <v>0.61202974746310601</v>
      </c>
      <c r="D42" s="13"/>
      <c r="E42" s="13"/>
      <c r="N42" s="13"/>
      <c r="O42" s="13"/>
      <c r="P42" s="177"/>
    </row>
    <row r="43" spans="1:16">
      <c r="A43">
        <v>2018</v>
      </c>
      <c r="C43" s="13">
        <f t="shared" si="3"/>
        <v>0.84441936687403873</v>
      </c>
      <c r="N43" s="13"/>
      <c r="P43" s="177"/>
    </row>
    <row r="44" spans="1:16">
      <c r="A44">
        <v>2019</v>
      </c>
      <c r="C44" s="13">
        <f t="shared" si="3"/>
        <v>1.0263625548183182</v>
      </c>
    </row>
    <row r="45" spans="1:16">
      <c r="A45">
        <v>2020</v>
      </c>
      <c r="C45" s="13">
        <f t="shared" si="3"/>
        <v>1.3349670631258608</v>
      </c>
    </row>
    <row r="46" spans="1:16">
      <c r="A46">
        <v>2021</v>
      </c>
      <c r="C46" s="13">
        <f t="shared" si="3"/>
        <v>1.8157884635830168</v>
      </c>
    </row>
    <row r="47" spans="1:16">
      <c r="A47">
        <v>2022</v>
      </c>
      <c r="C47" s="13">
        <f t="shared" si="3"/>
        <v>2.5104718779091471</v>
      </c>
    </row>
    <row r="48" spans="1:16">
      <c r="A48">
        <v>2023</v>
      </c>
      <c r="C48" s="13">
        <f t="shared" si="3"/>
        <v>3.5518220589949259</v>
      </c>
    </row>
    <row r="49" spans="1:30">
      <c r="A49">
        <v>2024</v>
      </c>
      <c r="C49" s="13">
        <f t="shared" si="3"/>
        <v>4.6416101505069598</v>
      </c>
    </row>
    <row r="50" spans="1:30">
      <c r="A50">
        <v>2025</v>
      </c>
      <c r="C50" s="13">
        <f t="shared" si="3"/>
        <v>5.6736766547698352</v>
      </c>
    </row>
    <row r="51" spans="1:30">
      <c r="A51">
        <v>2026</v>
      </c>
      <c r="C51" s="13">
        <f t="shared" si="3"/>
        <v>6.6139508849655755</v>
      </c>
    </row>
    <row r="52" spans="1:30">
      <c r="A52">
        <v>2027</v>
      </c>
      <c r="C52" s="13">
        <f t="shared" si="3"/>
        <v>7.3667694202672536</v>
      </c>
    </row>
    <row r="53" spans="1:30">
      <c r="A53">
        <v>2028</v>
      </c>
      <c r="C53" s="13">
        <f t="shared" si="3"/>
        <v>7.8520465998424314</v>
      </c>
    </row>
    <row r="54" spans="1:30">
      <c r="A54">
        <v>2029</v>
      </c>
      <c r="C54" s="13">
        <f t="shared" si="3"/>
        <v>8.1185294669350441</v>
      </c>
    </row>
    <row r="55" spans="1:30">
      <c r="A55">
        <v>2030</v>
      </c>
      <c r="C55" s="13">
        <f t="shared" si="3"/>
        <v>8.3198500936456341</v>
      </c>
      <c r="L55" t="s">
        <v>1396</v>
      </c>
    </row>
    <row r="56" spans="1:30" s="33" customFormat="1"/>
    <row r="57" spans="1:30" s="33" customFormat="1">
      <c r="V57" s="236" t="s">
        <v>1359</v>
      </c>
      <c r="W57" s="236"/>
      <c r="X57" s="236"/>
      <c r="Y57" s="236"/>
      <c r="Z57"/>
      <c r="AA57" s="236" t="s">
        <v>1359</v>
      </c>
      <c r="AB57" s="236"/>
      <c r="AC57" s="236"/>
      <c r="AD57" s="236"/>
    </row>
    <row r="58" spans="1:30">
      <c r="E58" t="s">
        <v>282</v>
      </c>
      <c r="L58" t="s">
        <v>1352</v>
      </c>
      <c r="M58" t="s">
        <v>1358</v>
      </c>
      <c r="N58" t="s">
        <v>1162</v>
      </c>
      <c r="W58" t="s">
        <v>1172</v>
      </c>
      <c r="AB58" t="s">
        <v>1184</v>
      </c>
    </row>
    <row r="59" spans="1:30">
      <c r="B59" s="14" t="s">
        <v>1209</v>
      </c>
      <c r="C59" s="14" t="s">
        <v>1345</v>
      </c>
      <c r="D59" s="33" t="s">
        <v>1387</v>
      </c>
      <c r="E59" s="14" t="s">
        <v>1321</v>
      </c>
      <c r="F59" t="s">
        <v>1354</v>
      </c>
      <c r="G59" t="s">
        <v>1296</v>
      </c>
      <c r="H59" t="s">
        <v>1165</v>
      </c>
      <c r="I59" s="87" t="s">
        <v>1137</v>
      </c>
      <c r="J59" s="87" t="s">
        <v>1136</v>
      </c>
      <c r="L59" s="14" t="s">
        <v>1372</v>
      </c>
      <c r="M59" s="14" t="s">
        <v>1373</v>
      </c>
      <c r="N59" s="14" t="s">
        <v>1357</v>
      </c>
      <c r="P59" t="s">
        <v>898</v>
      </c>
      <c r="Q59" t="s">
        <v>899</v>
      </c>
      <c r="T59" t="s">
        <v>1353</v>
      </c>
      <c r="W59" s="236" t="s">
        <v>1173</v>
      </c>
      <c r="X59" s="236" t="s">
        <v>1147</v>
      </c>
      <c r="Y59" s="236" t="s">
        <v>1174</v>
      </c>
      <c r="AB59" s="236" t="s">
        <v>1173</v>
      </c>
      <c r="AC59" s="236" t="s">
        <v>1147</v>
      </c>
      <c r="AD59" s="236" t="s">
        <v>1174</v>
      </c>
    </row>
    <row r="60" spans="1:30">
      <c r="A60">
        <v>2009</v>
      </c>
      <c r="B60" s="13">
        <f>'EV %sales'!Y67</f>
        <v>9.0944063654437145E-3</v>
      </c>
      <c r="C60" s="13"/>
      <c r="Q60" s="13">
        <f>'Country Petrol Prices'!Y80</f>
        <v>1.9009988429466187</v>
      </c>
      <c r="R60" s="13"/>
      <c r="S60" s="13"/>
      <c r="T60" s="13">
        <f>'Country Petrol Prices'!Y81</f>
        <v>1.5937477139155636</v>
      </c>
      <c r="V60">
        <v>2009</v>
      </c>
      <c r="AA60">
        <v>2009</v>
      </c>
    </row>
    <row r="61" spans="1:30">
      <c r="A61">
        <v>2010</v>
      </c>
      <c r="B61" s="13">
        <f>'EV %sales'!Y68</f>
        <v>1.6964627629336562E-2</v>
      </c>
      <c r="C61" s="13">
        <f>65*EXP(G61)/(1+EXP(G61))</f>
        <v>7.0956542813617018E-2</v>
      </c>
      <c r="D61" s="13">
        <f>65*EXP(I61)/(1+EXP(I61))</f>
        <v>7.0956542813617018E-2</v>
      </c>
      <c r="E61" s="13">
        <f>65*EXP(H61)/(1+EXP(H61))</f>
        <v>7.0956542813617018E-2</v>
      </c>
      <c r="G61">
        <f t="shared" ref="G61:G106" si="4">G$108+G$109*P61+G$110*Q61+G$111*AA61</f>
        <v>-6.8189826968851079</v>
      </c>
      <c r="H61" s="230">
        <f>I61</f>
        <v>-6.8189826968851079</v>
      </c>
      <c r="I61" s="230">
        <f t="shared" ref="I61:I70" si="5">G61</f>
        <v>-6.8189826968851079</v>
      </c>
      <c r="J61" s="13">
        <v>0</v>
      </c>
      <c r="L61" s="13"/>
      <c r="M61" s="13"/>
      <c r="N61" s="13"/>
      <c r="P61">
        <v>1</v>
      </c>
      <c r="Q61" s="13">
        <f t="shared" ref="Q61:Q106" si="6">T60</f>
        <v>1.5937477139155636</v>
      </c>
      <c r="R61" s="13"/>
      <c r="S61" s="13"/>
      <c r="T61" s="13">
        <f>'Country Petrol Prices'!Y82</f>
        <v>1.749237139117686</v>
      </c>
      <c r="V61">
        <v>2010</v>
      </c>
      <c r="AA61">
        <v>2010</v>
      </c>
    </row>
    <row r="62" spans="1:30">
      <c r="A62">
        <v>2011</v>
      </c>
      <c r="B62" s="13">
        <f>'EV %sales'!Y69</f>
        <v>0.10234351891729328</v>
      </c>
      <c r="C62" s="13">
        <f t="shared" ref="C62:C91" si="7">65*EXP(G62)/(1+EXP(G62))</f>
        <v>0.12499382424174706</v>
      </c>
      <c r="D62" s="13">
        <f t="shared" ref="D62:D67" si="8">65*EXP(I62)/(1+EXP(I62))</f>
        <v>0.12499382424174706</v>
      </c>
      <c r="E62" s="13">
        <f t="shared" ref="E62:E106" si="9">65*EXP(H62)/(1+EXP(H62))</f>
        <v>0.12499382424174706</v>
      </c>
      <c r="G62">
        <f t="shared" si="4"/>
        <v>-6.2519533856471599</v>
      </c>
      <c r="H62" s="230">
        <f>I62</f>
        <v>-6.2519533856471599</v>
      </c>
      <c r="I62" s="230">
        <f t="shared" si="5"/>
        <v>-6.2519533856471599</v>
      </c>
      <c r="J62" s="13">
        <v>0</v>
      </c>
      <c r="L62" s="13"/>
      <c r="M62" s="13"/>
      <c r="N62" s="13"/>
      <c r="P62">
        <v>2</v>
      </c>
      <c r="Q62" s="13">
        <f t="shared" si="6"/>
        <v>1.749237139117686</v>
      </c>
      <c r="R62" s="13"/>
      <c r="S62" s="13"/>
      <c r="T62" s="13">
        <f>'Country Petrol Prices'!Y83</f>
        <v>2.0298206793565181</v>
      </c>
      <c r="V62">
        <v>2011</v>
      </c>
      <c r="AA62">
        <v>2011</v>
      </c>
    </row>
    <row r="63" spans="1:30">
      <c r="A63">
        <v>2012</v>
      </c>
      <c r="B63" s="13">
        <f>'EV %sales'!Y70</f>
        <v>0.23522435592921317</v>
      </c>
      <c r="C63" s="13">
        <f t="shared" si="7"/>
        <v>0.23591088263388429</v>
      </c>
      <c r="D63" s="13">
        <f t="shared" si="8"/>
        <v>0.23591088263388429</v>
      </c>
      <c r="E63" s="13">
        <f>65*EXP(H63)/(1+EXP(H63))</f>
        <v>0.23591088263388429</v>
      </c>
      <c r="F63">
        <f t="shared" ref="F63:F69" si="10">LN(B63/(65-B63))</f>
        <v>-5.6179773840205085</v>
      </c>
      <c r="G63">
        <f t="shared" si="4"/>
        <v>-5.6150524306855214</v>
      </c>
      <c r="H63" s="230">
        <f>I63</f>
        <v>-5.6150524306855214</v>
      </c>
      <c r="I63" s="230">
        <f t="shared" si="5"/>
        <v>-5.6150524306855214</v>
      </c>
      <c r="J63" s="13">
        <v>0</v>
      </c>
      <c r="L63" s="13">
        <f>('Australia EV uptake'!V7*'EV %sales'!$AE$58+'Austria EV uptake'!T7*'EV %sales'!$AF$58+'Belgian EV uptake'!T7*'EV %sales'!$AG$58+'British EV uptake'!T7*'EV %sales'!$AY$58+'Canada EV uptake'!T7*'EV %sales'!$AH$58+'China EV uptake'!T7*'EV %sales'!$AI$58+'Denmark EV uptake'!AF16*'EV %sales'!$AJ$58+'Finland EV uptake'!T7*'EV %sales'!$AK$58+'France EV uptake'!T7*'EV %sales'!$AL$58+'Germany EV uptake'!T7*'EV %sales'!$AM$58+'India EV uptake'!T7*'EV %sales'!$AN$58+'Ireland EV uptake'!T7*'EV %sales'!$AO$58+'Italy EV uptake'!T7*'EV %sales'!$AP$58+'Japan EV uptake'!T7*'EV %sales'!$AQ$58+'Korea EV uptake'!T7*'EV %sales'!$AR$58+'Netherlands logist Take-up'!Y85*'EV %sales'!$AS$58+'New Zealand EV uptake'!T7*'EV %sales'!$AT$58+'Norway EV uptake with subs'!Z14*'EV %sales'!$AU$58+'Spain EV uptake'!T7*'EV %sales'!$AV$58+'Sweden EV uptake'!T7*'EV %sales'!$AW$58+'Switzerland EV uptake'!T7*'EV %sales'!$AX$58+'USA EV uptake'!T7*'EV %sales'!$AZ$58)/('EV %sales'!$BB$58-'EV %sales'!$BA$58)</f>
        <v>0.1849769022265482</v>
      </c>
      <c r="M63" s="13">
        <f>('Australia EV uptake'!N7*'EV %sales'!AE$58+'Austria EV uptake'!L7*'EV %sales'!AF$58+'Belgian EV uptake'!L7*'EV %sales'!AG$58+'British EV uptake'!L7*'EV %sales'!AY$58+'Canada EV uptake'!L7*'EV %sales'!AH$58+'China EV uptake'!L7*'EV %sales'!AI$58+'Denmark EV uptake'!X16*'EV %sales'!AJ$58+'Finland EV uptake'!L7*'EV %sales'!AK$58+'France EV uptake'!L7*'EV %sales'!AL$58+'Germany EV uptake'!L7*'EV %sales'!AM$58+'India EV uptake'!L7*'EV %sales'!AN$58+'Ireland EV uptake'!L7*'EV %sales'!AO$58+'Italy EV uptake'!L7*'EV %sales'!AP$58+'Japan EV uptake'!L7*'EV %sales'!AQ$58+'Korea EV uptake'!L7*'EV %sales'!AR$58+'Netherlands logist Take-up'!O85*'EV %sales'!AS$58+'New Zealand EV uptake'!L7*'EV %sales'!AT$58+'Norway EV uptake with subs'!R17*'EV %sales'!AU$58+'Spain EV uptake'!L7*'EV %sales'!AV$58+'Sweden EV uptake'!L7*'EV %sales'!AW$58+'Switzerland EV uptake'!L7*'EV %sales'!AX$58+'USA EV uptake'!L7*'EV %sales'!AZ$58+'Rest Europe EV takeup'!O7*'EV %sales'!BA$58)/'EV %sales'!BB$58</f>
        <v>0.18344858029106895</v>
      </c>
      <c r="N63" s="13">
        <f>('Australia EV uptake'!D7*'EV %sales'!AE$58+'Austria EV uptake'!AB7*'EV %sales'!AF$58+'Belgian EV uptake'!AB7*'EV %sales'!AG$58+'British EV uptake'!AB7*'EV %sales'!AY$58+'Canada EV uptake'!AB7*'EV %sales'!AH$58+'China EV uptake'!AB7*'EV %sales'!AI$58+'Denmark EV uptake'!F16*'EV %sales'!AJ$58+'Finland EV uptake'!AB7*'EV %sales'!AK$58+'France EV uptake'!AB7*'EV %sales'!AL$58+'Germany EV uptake'!AB7*'EV %sales'!AM$58+'India EV uptake'!AB7*'EV %sales'!AN$58+'Ireland EV uptake'!AB7*'EV %sales'!AO$58+'Italy EV uptake'!AB7*'EV %sales'!AP$58+'Japan EV uptake'!AB7*'EV %sales'!AQ$58+'Korea EV uptake'!AB7*'EV %sales'!AR$58+'Netherlands logist Take-up'!E85*'EV %sales'!AS$58+'New Zealand EV uptake'!AB7*'EV %sales'!AT$58+'Norway EV uptake with subs'!H17*'EV %sales'!AU$58+'Spain EV uptake'!AB7*'EV %sales'!AV$58+'Sweden EV uptake'!AB7*'EV %sales'!AW$58+'Switzerland EV uptake'!AB7*'EV %sales'!AX$58+'USA EV uptake'!AB7*'EV %sales'!AZ$58+'Rest Europe EV takeup'!O7*'EV %sales'!BA$58)/'EV %sales'!BB$58</f>
        <v>0.19742896786263009</v>
      </c>
      <c r="P63">
        <v>3</v>
      </c>
      <c r="Q63" s="13">
        <f t="shared" si="6"/>
        <v>2.0298206793565181</v>
      </c>
      <c r="R63" s="13"/>
      <c r="S63" s="13"/>
      <c r="T63" s="13">
        <f>'Country Petrol Prices'!Y84</f>
        <v>2.0026230569096599</v>
      </c>
      <c r="V63">
        <v>2012</v>
      </c>
      <c r="W63" s="13">
        <f>('Australia EV uptake'!U7*'EV %sales'!$AE$58+'Austria EV uptake'!S7*'EV %sales'!$AF$58+'Belgian EV uptake'!S7*'EV %sales'!$AG$58+'British EV uptake'!S7*'EV %sales'!$AY$58+'Canada EV uptake'!S7*'EV %sales'!$AH$58+'China EV uptake'!S7*'EV %sales'!$AI$58+'Denmark EV uptake'!AE16*'EV %sales'!$AJ$58+'Finland EV uptake'!S7*'EV %sales'!$AK$58+'France EV uptake'!S7*'EV %sales'!$AL$58+'Germany EV uptake'!S7*'EV %sales'!$AM$58+'India EV uptake'!S7*'EV %sales'!$AN$58+'Ireland EV uptake'!S7*'EV %sales'!$AO$58+'Italy EV uptake'!S7*'EV %sales'!$AP$58+'Japan EV uptake'!S7*'EV %sales'!$AQ$58+'Korea EV uptake'!S7*'EV %sales'!$AR$58+'Netherlands logist Take-up'!X85*'EV %sales'!$AS$58+'New Zealand EV uptake'!S7*'EV %sales'!$AT$58+'Norway EV uptake with subs'!Y14*'EV %sales'!$AU$58+'Spain EV uptake'!S7*'EV %sales'!$AV$58+'Sweden EV uptake'!S7*'EV %sales'!$AW$58+'Switzerland EV uptake'!S7*'EV %sales'!$AX$58+'USA EV uptake'!S7*'EV %sales'!$AZ$58)/('EV %sales'!$BB$58-'EV %sales'!$BA$58)</f>
        <v>0.1849769022265482</v>
      </c>
      <c r="X63" s="13">
        <f>('Australia EV uptake'!V7*'EV %sales'!$AE$58+'Austria EV uptake'!T7*'EV %sales'!$AF$58+'Belgian EV uptake'!T7*'EV %sales'!$AG$58+'British EV uptake'!T7*'EV %sales'!$AY$58+'Canada EV uptake'!T7*'EV %sales'!$AH$58+'China EV uptake'!T7*'EV %sales'!$AI$58+'Denmark EV uptake'!AF16*'EV %sales'!$AJ$58+'Finland EV uptake'!T7*'EV %sales'!$AK$58+'France EV uptake'!T7*'EV %sales'!$AL$58+'Germany EV uptake'!T7*'EV %sales'!$AM$58+'India EV uptake'!T7*'EV %sales'!$AN$58+'Ireland EV uptake'!T7*'EV %sales'!$AO$58+'Italy EV uptake'!T7*'EV %sales'!$AP$58+'Japan EV uptake'!T7*'EV %sales'!$AQ$58+'Korea EV uptake'!T7*'EV %sales'!$AR$58+'Netherlands logist Take-up'!Y85*'EV %sales'!$AS$58+'New Zealand EV uptake'!T7*'EV %sales'!$AT$58+'Norway EV uptake with subs'!Z14*'EV %sales'!$AU$58+'Spain EV uptake'!T7*'EV %sales'!$AV$58+'Sweden EV uptake'!T7*'EV %sales'!$AW$58+'Switzerland EV uptake'!T7*'EV %sales'!$AX$58+'USA EV uptake'!T7*'EV %sales'!$AZ$58)/('EV %sales'!$BB$58-'EV %sales'!$BA$58)</f>
        <v>0.1849769022265482</v>
      </c>
      <c r="Y63" s="13">
        <f>('Australia EV uptake'!W7*'EV %sales'!$AE$58+'Austria EV uptake'!U7*'EV %sales'!$AF$58+'Belgian EV uptake'!U7*'EV %sales'!$AG$58+'British EV uptake'!U7*'EV %sales'!$AY$58+'Canada EV uptake'!U7*'EV %sales'!$AH$58+'China EV uptake'!U7*'EV %sales'!$AI$58+'Denmark EV uptake'!AG16*'EV %sales'!$AJ$58+'Finland EV uptake'!U7*'EV %sales'!$AK$58+'France EV uptake'!U7*'EV %sales'!$AL$58+'Germany EV uptake'!U7*'EV %sales'!$AM$58+'India EV uptake'!U7*'EV %sales'!$AN$58+'Ireland EV uptake'!U7*'EV %sales'!$AO$58+'Italy EV uptake'!U7*'EV %sales'!$AP$58+'Japan EV uptake'!U7*'EV %sales'!$AQ$58+'Korea EV uptake'!U7*'EV %sales'!$AR$58+'Netherlands logist Take-up'!Z85*'EV %sales'!$AS$58+'New Zealand EV uptake'!U7*'EV %sales'!$AT$58+'Norway EV uptake with subs'!AA14*'EV %sales'!$AU$58+'Spain EV uptake'!U7*'EV %sales'!$AV$58+'Sweden EV uptake'!U7*'EV %sales'!$AW$58+'Switzerland EV uptake'!U7*'EV %sales'!$AX$58+'USA EV uptake'!U7*'EV %sales'!$AZ$58)/('EV %sales'!$BB$58-'EV %sales'!$BA$58)</f>
        <v>0.1849769022265482</v>
      </c>
      <c r="AA63">
        <v>2012</v>
      </c>
      <c r="AB63" s="13">
        <f>('Australia EV uptake'!Z7*'EV %sales'!$AE$58+'Austria EV uptake'!X7*'EV %sales'!$AF$58+'Belgian EV uptake'!X7*'EV %sales'!$AG$58+'British EV uptake'!X7*'EV %sales'!$AY$58+'Canada EV uptake'!X7*'EV %sales'!$AH$58+'China EV uptake'!X7*'EV %sales'!$AI$58+'Denmark EV uptake'!AJ16*'EV %sales'!$AJ$58+'Finland EV uptake'!X7*'EV %sales'!$AK$58+'France EV uptake'!X7*'EV %sales'!$AL$58+'Germany EV uptake'!X7*'EV %sales'!$AM$58+'India EV uptake'!X7*'EV %sales'!$AN$58+'Ireland EV uptake'!X7*'EV %sales'!$AO$58+'Italy EV uptake'!X7*'EV %sales'!$AP$58+'Japan EV uptake'!X7*'EV %sales'!$AQ$58+'Korea EV uptake'!X7*'EV %sales'!$AR$58+'Netherlands logist Take-up'!AC85*'EV %sales'!$AS$58+'New Zealand EV uptake'!X7*'EV %sales'!$AT$58+'Norway EV uptake with subs'!AD14*'EV %sales'!$AU$58+'Spain EV uptake'!X7*'EV %sales'!$AV$58+'Sweden EV uptake'!X7*'EV %sales'!$AW$58+'Switzerland EV uptake'!X7*'EV %sales'!$AX$58+'USA EV uptake'!X7*'EV %sales'!$AZ$58)/('EV %sales'!$BB$58-'EV %sales'!$BA$58)</f>
        <v>0.1849769022265482</v>
      </c>
      <c r="AC63" s="13">
        <f>('Australia EV uptake'!AA7*'EV %sales'!$AE$58+'Austria EV uptake'!Y7*'EV %sales'!$AF$58+'Belgian EV uptake'!Y7*'EV %sales'!$AG$58+'British EV uptake'!Y7*'EV %sales'!$AY$58+'Canada EV uptake'!Y7*'EV %sales'!$AH$58+'China EV uptake'!Y7*'EV %sales'!$AI$58+'Denmark EV uptake'!AK16*'EV %sales'!$AJ$58+'Finland EV uptake'!Y7*'EV %sales'!$AK$58+'France EV uptake'!Y7*'EV %sales'!$AL$58+'Germany EV uptake'!Y7*'EV %sales'!$AM$58+'India EV uptake'!Y7*'EV %sales'!$AN$58+'Ireland EV uptake'!Y7*'EV %sales'!$AO$58+'Italy EV uptake'!Y7*'EV %sales'!$AP$58+'Japan EV uptake'!Y7*'EV %sales'!$AQ$58+'Korea EV uptake'!Y7*'EV %sales'!$AR$58+'Netherlands logist Take-up'!AD85*'EV %sales'!$AS$58+'New Zealand EV uptake'!Y7*'EV %sales'!$AT$58+'Norway EV uptake with subs'!AE14*'EV %sales'!$AU$58+'Spain EV uptake'!Y7*'EV %sales'!$AV$58+'Sweden EV uptake'!Y7*'EV %sales'!$AW$58+'Switzerland EV uptake'!Y7*'EV %sales'!$AX$58+'USA EV uptake'!Y7*'EV %sales'!$AZ$58)/('EV %sales'!$BB$58-'EV %sales'!$BA$58)</f>
        <v>0.1849769022265482</v>
      </c>
      <c r="AD63" s="13">
        <f>('Australia EV uptake'!AB7*'EV %sales'!$AE$58+'Austria EV uptake'!Z7*'EV %sales'!$AF$58+'Belgian EV uptake'!Z7*'EV %sales'!$AG$58+'British EV uptake'!Z7*'EV %sales'!$AY$58+'Canada EV uptake'!Z7*'EV %sales'!$AH$58+'China EV uptake'!Z7*'EV %sales'!$AI$58+'Denmark EV uptake'!AL16*'EV %sales'!$AJ$58+'Finland EV uptake'!Z7*'EV %sales'!$AK$58+'France EV uptake'!Z7*'EV %sales'!$AL$58+'Germany EV uptake'!Z7*'EV %sales'!$AM$58+'India EV uptake'!Z7*'EV %sales'!$AN$58+'Ireland EV uptake'!Z7*'EV %sales'!$AO$58+'Italy EV uptake'!Z7*'EV %sales'!$AP$58+'Japan EV uptake'!Z7*'EV %sales'!$AQ$58+'Korea EV uptake'!Z7*'EV %sales'!$AR$58+'Netherlands logist Take-up'!AE85*'EV %sales'!$AS$58+'New Zealand EV uptake'!Z7*'EV %sales'!$AT$58+'Norway EV uptake with subs'!AF14*'EV %sales'!$AU$58+'Spain EV uptake'!Z7*'EV %sales'!$AV$58+'Sweden EV uptake'!Z7*'EV %sales'!$AW$58+'Switzerland EV uptake'!Z7*'EV %sales'!$AX$58+'USA EV uptake'!Z7*'EV %sales'!$AZ$58)/('EV %sales'!$BB$58-'EV %sales'!$BA$58)</f>
        <v>0.1849769022265482</v>
      </c>
    </row>
    <row r="64" spans="1:30">
      <c r="A64">
        <v>2013</v>
      </c>
      <c r="B64" s="13">
        <f>'EV %sales'!Y71</f>
        <v>0.38403986642724675</v>
      </c>
      <c r="C64" s="13">
        <f t="shared" si="7"/>
        <v>0.3747641205194997</v>
      </c>
      <c r="D64" s="13">
        <f>65*EXP(I64)/(1+EXP(I64))</f>
        <v>0.3747641205194997</v>
      </c>
      <c r="E64" s="13">
        <f>65*EXP(H64)/(1+EXP(H64))</f>
        <v>0.33516897867153417</v>
      </c>
      <c r="F64">
        <f t="shared" si="10"/>
        <v>-5.1254703541275148</v>
      </c>
      <c r="G64">
        <f t="shared" si="4"/>
        <v>-5.1500634456652898</v>
      </c>
      <c r="H64" s="230">
        <f>AVERAGE(I61:I67)</f>
        <v>-5.2623379441103468</v>
      </c>
      <c r="I64" s="230">
        <f t="shared" si="5"/>
        <v>-5.1500634456652898</v>
      </c>
      <c r="J64" s="13">
        <v>0</v>
      </c>
      <c r="L64" s="13">
        <f>('Australia EV uptake'!V8*'EV %sales'!$AE$58+'Austria EV uptake'!T8*'EV %sales'!$AF$58+'Belgian EV uptake'!T8*'EV %sales'!$AG$58+'British EV uptake'!T8*'EV %sales'!$AY$58+'Canada EV uptake'!T8*'EV %sales'!$AH$58+'China EV uptake'!T8*'EV %sales'!$AI$58+'Denmark EV uptake'!AF17*'EV %sales'!$AJ$58+'Finland EV uptake'!T8*'EV %sales'!$AK$58+'France EV uptake'!T8*'EV %sales'!$AL$58+'Germany EV uptake'!T8*'EV %sales'!$AM$58+'India EV uptake'!T8*'EV %sales'!$AN$58+'Ireland EV uptake'!T8*'EV %sales'!$AO$58+'Italy EV uptake'!T8*'EV %sales'!$AP$58+'Japan EV uptake'!T8*'EV %sales'!$AQ$58+'Korea EV uptake'!T8*'EV %sales'!$AR$58+'Netherlands logist Take-up'!Y86*'EV %sales'!$AS$58+'New Zealand EV uptake'!T8*'EV %sales'!$AT$58+'Norway EV uptake with subs'!Z15*'EV %sales'!$AU$58+'Spain EV uptake'!T8*'EV %sales'!$AV$58+'Sweden EV uptake'!T8*'EV %sales'!$AW$58+'Switzerland EV uptake'!T8*'EV %sales'!$AX$58+'USA EV uptake'!T8*'EV %sales'!$AZ$58)/('EV %sales'!$BB$58-'EV %sales'!$BA$58)</f>
        <v>0.32873249437123703</v>
      </c>
      <c r="M64" s="13">
        <f>('Australia EV uptake'!N8*'EV %sales'!AE$58+'Austria EV uptake'!L8*'EV %sales'!AF$58+'Belgian EV uptake'!L8*'EV %sales'!AG$58+'British EV uptake'!L8*'EV %sales'!AY$58+'Canada EV uptake'!L8*'EV %sales'!AH$58+'China EV uptake'!L8*'EV %sales'!AI$58+'Denmark EV uptake'!X17*'EV %sales'!AJ$58+'Finland EV uptake'!L8*'EV %sales'!AK$58+'France EV uptake'!L8*'EV %sales'!AL$58+'Germany EV uptake'!L8*'EV %sales'!AM$58+'India EV uptake'!L8*'EV %sales'!AN$58+'Ireland EV uptake'!L8*'EV %sales'!AO$58+'Italy EV uptake'!L8*'EV %sales'!AP$58+'Japan EV uptake'!L8*'EV %sales'!AQ$58+'Korea EV uptake'!L8*'EV %sales'!AR$58+'Netherlands logist Take-up'!O86*'EV %sales'!AS$58+'New Zealand EV uptake'!L8*'EV %sales'!AT$58+'Norway EV uptake with subs'!R18*'EV %sales'!AU$58+'Spain EV uptake'!L8*'EV %sales'!AV$58+'Sweden EV uptake'!L8*'EV %sales'!AW$58+'Switzerland EV uptake'!L8*'EV %sales'!AX$58+'USA EV uptake'!L8*'EV %sales'!AZ$58+'Rest Europe EV takeup'!O8*'EV %sales'!BA$58)/'EV %sales'!BB$58</f>
        <v>0.32938428213363635</v>
      </c>
      <c r="N64" s="13">
        <f>('Australia EV uptake'!D8*'EV %sales'!AE$58+'Austria EV uptake'!AB8*'EV %sales'!AF$58+'Belgian EV uptake'!AB8*'EV %sales'!AG$58+'British EV uptake'!AB8*'EV %sales'!AY$58+'Canada EV uptake'!AB8*'EV %sales'!AH$58+'China EV uptake'!AB8*'EV %sales'!AI$58+'Denmark EV uptake'!F17*'EV %sales'!AJ$58+'Finland EV uptake'!AB8*'EV %sales'!AK$58+'France EV uptake'!AB8*'EV %sales'!AL$58+'Germany EV uptake'!AB8*'EV %sales'!AM$58+'India EV uptake'!AB8*'EV %sales'!AN$58+'Ireland EV uptake'!AB8*'EV %sales'!AO$58+'Italy EV uptake'!AB8*'EV %sales'!AP$58+'Japan EV uptake'!AB8*'EV %sales'!AQ$58+'Korea EV uptake'!AB8*'EV %sales'!AR$58+'Netherlands logist Take-up'!E86*'EV %sales'!AS$58+'New Zealand EV uptake'!AB8*'EV %sales'!AT$58+'Norway EV uptake with subs'!H18*'EV %sales'!AU$58+'Spain EV uptake'!AB8*'EV %sales'!AV$58+'Sweden EV uptake'!AB8*'EV %sales'!AW$58+'Switzerland EV uptake'!AB8*'EV %sales'!AX$58+'USA EV uptake'!AB8*'EV %sales'!AZ$58+'Rest Europe EV takeup'!O8*'EV %sales'!BA$58)/'EV %sales'!BB$58</f>
        <v>0.30807396253795266</v>
      </c>
      <c r="P64">
        <v>4</v>
      </c>
      <c r="Q64" s="13">
        <f t="shared" si="6"/>
        <v>2.0026230569096599</v>
      </c>
      <c r="R64" s="13"/>
      <c r="S64" s="13"/>
      <c r="T64" s="13">
        <f>'Country Petrol Prices'!Y85</f>
        <v>1.9606149106004589</v>
      </c>
      <c r="V64">
        <v>2013</v>
      </c>
      <c r="W64" s="13">
        <f>('Australia EV uptake'!U8*'EV %sales'!$AE$58+'Austria EV uptake'!S8*'EV %sales'!$AF$58+'Belgian EV uptake'!S8*'EV %sales'!$AG$58+'British EV uptake'!S8*'EV %sales'!$AY$58+'Canada EV uptake'!S8*'EV %sales'!$AH$58+'China EV uptake'!S8*'EV %sales'!$AI$58+'Denmark EV uptake'!AE17*'EV %sales'!$AJ$58+'Finland EV uptake'!S8*'EV %sales'!$AK$58+'France EV uptake'!S8*'EV %sales'!$AL$58+'Germany EV uptake'!S8*'EV %sales'!$AM$58+'India EV uptake'!S8*'EV %sales'!$AN$58+'Ireland EV uptake'!S8*'EV %sales'!$AO$58+'Italy EV uptake'!S8*'EV %sales'!$AP$58+'Japan EV uptake'!S8*'EV %sales'!$AQ$58+'Korea EV uptake'!S8*'EV %sales'!$AR$58+'Netherlands logist Take-up'!X86*'EV %sales'!$AS$58+'New Zealand EV uptake'!S8*'EV %sales'!$AT$58+'Norway EV uptake with subs'!Y15*'EV %sales'!$AU$58+'Spain EV uptake'!S8*'EV %sales'!$AV$58+'Sweden EV uptake'!S8*'EV %sales'!$AW$58+'Switzerland EV uptake'!S8*'EV %sales'!$AX$58+'USA EV uptake'!S8*'EV %sales'!$AZ$58)/('EV %sales'!$BB$58-'EV %sales'!$BA$58)</f>
        <v>0.32873249437123703</v>
      </c>
      <c r="X64" s="13">
        <f>('Australia EV uptake'!V8*'EV %sales'!$AE$58+'Austria EV uptake'!T8*'EV %sales'!$AF$58+'Belgian EV uptake'!T8*'EV %sales'!$AG$58+'British EV uptake'!T8*'EV %sales'!$AY$58+'Canada EV uptake'!T8*'EV %sales'!$AH$58+'China EV uptake'!T8*'EV %sales'!$AI$58+'Denmark EV uptake'!AF17*'EV %sales'!$AJ$58+'Finland EV uptake'!T8*'EV %sales'!$AK$58+'France EV uptake'!T8*'EV %sales'!$AL$58+'Germany EV uptake'!T8*'EV %sales'!$AM$58+'India EV uptake'!T8*'EV %sales'!$AN$58+'Ireland EV uptake'!T8*'EV %sales'!$AO$58+'Italy EV uptake'!T8*'EV %sales'!$AP$58+'Japan EV uptake'!T8*'EV %sales'!$AQ$58+'Korea EV uptake'!T8*'EV %sales'!$AR$58+'Netherlands logist Take-up'!Y86*'EV %sales'!$AS$58+'New Zealand EV uptake'!T8*'EV %sales'!$AT$58+'Norway EV uptake with subs'!Z15*'EV %sales'!$AU$58+'Spain EV uptake'!T8*'EV %sales'!$AV$58+'Sweden EV uptake'!T8*'EV %sales'!$AW$58+'Switzerland EV uptake'!T8*'EV %sales'!$AX$58+'USA EV uptake'!T8*'EV %sales'!$AZ$58)/('EV %sales'!$BB$58-'EV %sales'!$BA$58)</f>
        <v>0.32873249437123703</v>
      </c>
      <c r="Y64" s="13">
        <f>('Australia EV uptake'!W8*'EV %sales'!$AE$58+'Austria EV uptake'!U8*'EV %sales'!$AF$58+'Belgian EV uptake'!U8*'EV %sales'!$AG$58+'British EV uptake'!U8*'EV %sales'!$AY$58+'Canada EV uptake'!U8*'EV %sales'!$AH$58+'China EV uptake'!U8*'EV %sales'!$AI$58+'Denmark EV uptake'!AG17*'EV %sales'!$AJ$58+'Finland EV uptake'!U8*'EV %sales'!$AK$58+'France EV uptake'!U8*'EV %sales'!$AL$58+'Germany EV uptake'!U8*'EV %sales'!$AM$58+'India EV uptake'!U8*'EV %sales'!$AN$58+'Ireland EV uptake'!U8*'EV %sales'!$AO$58+'Italy EV uptake'!U8*'EV %sales'!$AP$58+'Japan EV uptake'!U8*'EV %sales'!$AQ$58+'Korea EV uptake'!U8*'EV %sales'!$AR$58+'Netherlands logist Take-up'!Z86*'EV %sales'!$AS$58+'New Zealand EV uptake'!U8*'EV %sales'!$AT$58+'Norway EV uptake with subs'!AA15*'EV %sales'!$AU$58+'Spain EV uptake'!U8*'EV %sales'!$AV$58+'Sweden EV uptake'!U8*'EV %sales'!$AW$58+'Switzerland EV uptake'!U8*'EV %sales'!$AX$58+'USA EV uptake'!U8*'EV %sales'!$AZ$58)/('EV %sales'!$BB$58-'EV %sales'!$BA$58)</f>
        <v>0.32873249437123703</v>
      </c>
      <c r="AA64">
        <v>2013</v>
      </c>
      <c r="AB64" s="13">
        <f>('Australia EV uptake'!Z8*'EV %sales'!$AE$58+'Austria EV uptake'!X8*'EV %sales'!$AF$58+'Belgian EV uptake'!X8*'EV %sales'!$AG$58+'British EV uptake'!X8*'EV %sales'!$AY$58+'Canada EV uptake'!X8*'EV %sales'!$AH$58+'China EV uptake'!X8*'EV %sales'!$AI$58+'Denmark EV uptake'!AJ17*'EV %sales'!$AJ$58+'Finland EV uptake'!X8*'EV %sales'!$AK$58+'France EV uptake'!X8*'EV %sales'!$AL$58+'Germany EV uptake'!X8*'EV %sales'!$AM$58+'India EV uptake'!X8*'EV %sales'!$AN$58+'Ireland EV uptake'!X8*'EV %sales'!$AO$58+'Italy EV uptake'!X8*'EV %sales'!$AP$58+'Japan EV uptake'!X8*'EV %sales'!$AQ$58+'Korea EV uptake'!X8*'EV %sales'!$AR$58+'Netherlands logist Take-up'!AC86*'EV %sales'!$AS$58+'New Zealand EV uptake'!X8*'EV %sales'!$AT$58+'Norway EV uptake with subs'!AD15*'EV %sales'!$AU$58+'Spain EV uptake'!X8*'EV %sales'!$AV$58+'Sweden EV uptake'!X8*'EV %sales'!$AW$58+'Switzerland EV uptake'!X8*'EV %sales'!$AX$58+'USA EV uptake'!X8*'EV %sales'!$AZ$58)/('EV %sales'!$BB$58-'EV %sales'!$BA$58)</f>
        <v>0.32873249437123703</v>
      </c>
      <c r="AC64" s="13">
        <f>('Australia EV uptake'!AA8*'EV %sales'!$AE$58+'Austria EV uptake'!Y8*'EV %sales'!$AF$58+'Belgian EV uptake'!Y8*'EV %sales'!$AG$58+'British EV uptake'!Y8*'EV %sales'!$AY$58+'Canada EV uptake'!Y8*'EV %sales'!$AH$58+'China EV uptake'!Y8*'EV %sales'!$AI$58+'Denmark EV uptake'!AK17*'EV %sales'!$AJ$58+'Finland EV uptake'!Y8*'EV %sales'!$AK$58+'France EV uptake'!Y8*'EV %sales'!$AL$58+'Germany EV uptake'!Y8*'EV %sales'!$AM$58+'India EV uptake'!Y8*'EV %sales'!$AN$58+'Ireland EV uptake'!Y8*'EV %sales'!$AO$58+'Italy EV uptake'!Y8*'EV %sales'!$AP$58+'Japan EV uptake'!Y8*'EV %sales'!$AQ$58+'Korea EV uptake'!Y8*'EV %sales'!$AR$58+'Netherlands logist Take-up'!AD86*'EV %sales'!$AS$58+'New Zealand EV uptake'!Y8*'EV %sales'!$AT$58+'Norway EV uptake with subs'!AE15*'EV %sales'!$AU$58+'Spain EV uptake'!Y8*'EV %sales'!$AV$58+'Sweden EV uptake'!Y8*'EV %sales'!$AW$58+'Switzerland EV uptake'!Y8*'EV %sales'!$AX$58+'USA EV uptake'!Y8*'EV %sales'!$AZ$58)/('EV %sales'!$BB$58-'EV %sales'!$BA$58)</f>
        <v>0.32873249437123703</v>
      </c>
      <c r="AD64" s="13">
        <f>('Australia EV uptake'!AB8*'EV %sales'!$AE$58+'Austria EV uptake'!Z8*'EV %sales'!$AF$58+'Belgian EV uptake'!Z8*'EV %sales'!$AG$58+'British EV uptake'!Z8*'EV %sales'!$AY$58+'Canada EV uptake'!Z8*'EV %sales'!$AH$58+'China EV uptake'!Z8*'EV %sales'!$AI$58+'Denmark EV uptake'!AL17*'EV %sales'!$AJ$58+'Finland EV uptake'!Z8*'EV %sales'!$AK$58+'France EV uptake'!Z8*'EV %sales'!$AL$58+'Germany EV uptake'!Z8*'EV %sales'!$AM$58+'India EV uptake'!Z8*'EV %sales'!$AN$58+'Ireland EV uptake'!Z8*'EV %sales'!$AO$58+'Italy EV uptake'!Z8*'EV %sales'!$AP$58+'Japan EV uptake'!Z8*'EV %sales'!$AQ$58+'Korea EV uptake'!Z8*'EV %sales'!$AR$58+'Netherlands logist Take-up'!AE86*'EV %sales'!$AS$58+'New Zealand EV uptake'!Z8*'EV %sales'!$AT$58+'Norway EV uptake with subs'!AF15*'EV %sales'!$AU$58+'Spain EV uptake'!Z8*'EV %sales'!$AV$58+'Sweden EV uptake'!Z8*'EV %sales'!$AW$58+'Switzerland EV uptake'!Z8*'EV %sales'!$AX$58+'USA EV uptake'!Z8*'EV %sales'!$AZ$58)/('EV %sales'!$BB$58-'EV %sales'!$BA$58)</f>
        <v>0.32873249437123703</v>
      </c>
    </row>
    <row r="65" spans="1:30">
      <c r="A65">
        <v>2014</v>
      </c>
      <c r="B65" s="13">
        <f>'EV %sales'!Y72</f>
        <v>0.57247293705754376</v>
      </c>
      <c r="C65" s="13">
        <f t="shared" si="7"/>
        <v>0.58973972945617281</v>
      </c>
      <c r="D65" s="13">
        <f t="shared" si="8"/>
        <v>0.58973972945617281</v>
      </c>
      <c r="E65" s="13">
        <f t="shared" si="9"/>
        <v>0.52767465208105813</v>
      </c>
      <c r="F65">
        <f t="shared" si="10"/>
        <v>-4.7233307968361888</v>
      </c>
      <c r="G65">
        <f t="shared" si="4"/>
        <v>-4.6933469173179176</v>
      </c>
      <c r="H65" s="230">
        <f t="shared" ref="H65:H106" si="11">AVERAGE(I62:I68)</f>
        <v>-4.8055114417928291</v>
      </c>
      <c r="I65" s="230">
        <f t="shared" si="5"/>
        <v>-4.6933469173179176</v>
      </c>
      <c r="J65" s="13">
        <v>0</v>
      </c>
      <c r="L65" s="13">
        <f>('Australia EV uptake'!V9*'EV %sales'!$AE$58+'Austria EV uptake'!T9*'EV %sales'!$AF$58+'Belgian EV uptake'!T9*'EV %sales'!$AG$58+'British EV uptake'!T9*'EV %sales'!$AY$58+'Canada EV uptake'!T9*'EV %sales'!$AH$58+'China EV uptake'!T9*'EV %sales'!$AI$58+'Denmark EV uptake'!AF18*'EV %sales'!$AJ$58+'Finland EV uptake'!T9*'EV %sales'!$AK$58+'France EV uptake'!T9*'EV %sales'!$AL$58+'Germany EV uptake'!T9*'EV %sales'!$AM$58+'India EV uptake'!T9*'EV %sales'!$AN$58+'Ireland EV uptake'!T9*'EV %sales'!$AO$58+'Italy EV uptake'!T9*'EV %sales'!$AP$58+'Japan EV uptake'!T9*'EV %sales'!$AQ$58+'Korea EV uptake'!T9*'EV %sales'!$AR$58+'Netherlands logist Take-up'!Y87*'EV %sales'!$AS$58+'New Zealand EV uptake'!T9*'EV %sales'!$AT$58+'Norway EV uptake with subs'!Z16*'EV %sales'!$AU$58+'Spain EV uptake'!T9*'EV %sales'!$AV$58+'Sweden EV uptake'!T9*'EV %sales'!$AW$58+'Switzerland EV uptake'!T9*'EV %sales'!$AX$58+'USA EV uptake'!T9*'EV %sales'!$AZ$58)/('EV %sales'!$BB$58-'EV %sales'!$BA$58)</f>
        <v>0.37136706087038135</v>
      </c>
      <c r="M65" s="13">
        <f>('Australia EV uptake'!N9*'EV %sales'!AE$58+'Austria EV uptake'!L9*'EV %sales'!AF$58+'Belgian EV uptake'!L9*'EV %sales'!AG$58+'British EV uptake'!L9*'EV %sales'!AY$58+'Canada EV uptake'!L9*'EV %sales'!AH$58+'China EV uptake'!L9*'EV %sales'!AI$58+'Denmark EV uptake'!X18*'EV %sales'!AJ$58+'Finland EV uptake'!L9*'EV %sales'!AK$58+'France EV uptake'!L9*'EV %sales'!AL$58+'Germany EV uptake'!L9*'EV %sales'!AM$58+'India EV uptake'!L9*'EV %sales'!AN$58+'Ireland EV uptake'!L9*'EV %sales'!AO$58+'Italy EV uptake'!L9*'EV %sales'!AP$58+'Japan EV uptake'!L9*'EV %sales'!AQ$58+'Korea EV uptake'!L9*'EV %sales'!AR$58+'Netherlands logist Take-up'!O87*'EV %sales'!AS$58+'New Zealand EV uptake'!L9*'EV %sales'!AT$58+'Norway EV uptake with subs'!R19*'EV %sales'!AU$58+'Spain EV uptake'!L9*'EV %sales'!AV$58+'Sweden EV uptake'!L9*'EV %sales'!AW$58+'Switzerland EV uptake'!L9*'EV %sales'!AX$58+'USA EV uptake'!L9*'EV %sales'!AZ$58+'Rest Europe EV takeup'!O9*'EV %sales'!BA$58)/'EV %sales'!BB$58</f>
        <v>0.34731526789226624</v>
      </c>
      <c r="N65" s="13">
        <f>('Australia EV uptake'!D9*'EV %sales'!AE$58+'Austria EV uptake'!AB9*'EV %sales'!AF$58+'Belgian EV uptake'!AB9*'EV %sales'!AG$58+'British EV uptake'!AB9*'EV %sales'!AY$58+'Canada EV uptake'!AB9*'EV %sales'!AH$58+'China EV uptake'!AB9*'EV %sales'!AI$58+'Denmark EV uptake'!F18*'EV %sales'!AJ$58+'Finland EV uptake'!AB9*'EV %sales'!AK$58+'France EV uptake'!AB9*'EV %sales'!AL$58+'Germany EV uptake'!AB9*'EV %sales'!AM$58+'India EV uptake'!AB9*'EV %sales'!AN$58+'Ireland EV uptake'!AB9*'EV %sales'!AO$58+'Italy EV uptake'!AB9*'EV %sales'!AP$58+'Japan EV uptake'!AB9*'EV %sales'!AQ$58+'Korea EV uptake'!AB9*'EV %sales'!AR$58+'Netherlands logist Take-up'!E87*'EV %sales'!AS$58+'New Zealand EV uptake'!AB9*'EV %sales'!AT$58+'Norway EV uptake with subs'!H19*'EV %sales'!AU$58+'Spain EV uptake'!AB9*'EV %sales'!AV$58+'Sweden EV uptake'!AB9*'EV %sales'!AW$58+'Switzerland EV uptake'!AB9*'EV %sales'!AX$58+'USA EV uptake'!AB9*'EV %sales'!AZ$58+'Rest Europe EV takeup'!O9*'EV %sales'!BA$58)/'EV %sales'!BB$58</f>
        <v>0.5325480130388569</v>
      </c>
      <c r="P65">
        <v>5</v>
      </c>
      <c r="Q65" s="13">
        <f t="shared" si="6"/>
        <v>1.9606149106004589</v>
      </c>
      <c r="R65" s="13"/>
      <c r="S65" s="13"/>
      <c r="T65" s="13">
        <f>'Country Petrol Prices'!Y86</f>
        <v>1.8632258608041716</v>
      </c>
      <c r="V65">
        <v>2014</v>
      </c>
      <c r="W65" s="13">
        <f>('Australia EV uptake'!U9*'EV %sales'!$AE$58+'Austria EV uptake'!S9*'EV %sales'!$AF$58+'Belgian EV uptake'!S9*'EV %sales'!$AG$58+'British EV uptake'!S9*'EV %sales'!$AY$58+'Canada EV uptake'!S9*'EV %sales'!$AH$58+'China EV uptake'!S9*'EV %sales'!$AI$58+'Denmark EV uptake'!AE18*'EV %sales'!$AJ$58+'Finland EV uptake'!S9*'EV %sales'!$AK$58+'France EV uptake'!S9*'EV %sales'!$AL$58+'Germany EV uptake'!S9*'EV %sales'!$AM$58+'India EV uptake'!S9*'EV %sales'!$AN$58+'Ireland EV uptake'!S9*'EV %sales'!$AO$58+'Italy EV uptake'!S9*'EV %sales'!$AP$58+'Japan EV uptake'!S9*'EV %sales'!$AQ$58+'Korea EV uptake'!S9*'EV %sales'!$AR$58+'Netherlands logist Take-up'!X87*'EV %sales'!$AS$58+'New Zealand EV uptake'!S9*'EV %sales'!$AT$58+'Norway EV uptake with subs'!Y16*'EV %sales'!$AU$58+'Spain EV uptake'!S9*'EV %sales'!$AV$58+'Sweden EV uptake'!S9*'EV %sales'!$AW$58+'Switzerland EV uptake'!S9*'EV %sales'!$AX$58+'USA EV uptake'!S9*'EV %sales'!$AZ$58)/('EV %sales'!$BB$58-'EV %sales'!$BA$58)</f>
        <v>0.37136706087038135</v>
      </c>
      <c r="X65" s="13">
        <f>('Australia EV uptake'!V9*'EV %sales'!$AE$58+'Austria EV uptake'!T9*'EV %sales'!$AF$58+'Belgian EV uptake'!T9*'EV %sales'!$AG$58+'British EV uptake'!T9*'EV %sales'!$AY$58+'Canada EV uptake'!T9*'EV %sales'!$AH$58+'China EV uptake'!T9*'EV %sales'!$AI$58+'Denmark EV uptake'!AF18*'EV %sales'!$AJ$58+'Finland EV uptake'!T9*'EV %sales'!$AK$58+'France EV uptake'!T9*'EV %sales'!$AL$58+'Germany EV uptake'!T9*'EV %sales'!$AM$58+'India EV uptake'!T9*'EV %sales'!$AN$58+'Ireland EV uptake'!T9*'EV %sales'!$AO$58+'Italy EV uptake'!T9*'EV %sales'!$AP$58+'Japan EV uptake'!T9*'EV %sales'!$AQ$58+'Korea EV uptake'!T9*'EV %sales'!$AR$58+'Netherlands logist Take-up'!Y87*'EV %sales'!$AS$58+'New Zealand EV uptake'!T9*'EV %sales'!$AT$58+'Norway EV uptake with subs'!Z16*'EV %sales'!$AU$58+'Spain EV uptake'!T9*'EV %sales'!$AV$58+'Sweden EV uptake'!T9*'EV %sales'!$AW$58+'Switzerland EV uptake'!T9*'EV %sales'!$AX$58+'USA EV uptake'!T9*'EV %sales'!$AZ$58)/('EV %sales'!$BB$58-'EV %sales'!$BA$58)</f>
        <v>0.37136706087038135</v>
      </c>
      <c r="Y65" s="13">
        <f>('Australia EV uptake'!W9*'EV %sales'!$AE$58+'Austria EV uptake'!U9*'EV %sales'!$AF$58+'Belgian EV uptake'!U9*'EV %sales'!$AG$58+'British EV uptake'!U9*'EV %sales'!$AY$58+'Canada EV uptake'!U9*'EV %sales'!$AH$58+'China EV uptake'!U9*'EV %sales'!$AI$58+'Denmark EV uptake'!AG18*'EV %sales'!$AJ$58+'Finland EV uptake'!U9*'EV %sales'!$AK$58+'France EV uptake'!U9*'EV %sales'!$AL$58+'Germany EV uptake'!U9*'EV %sales'!$AM$58+'India EV uptake'!U9*'EV %sales'!$AN$58+'Ireland EV uptake'!U9*'EV %sales'!$AO$58+'Italy EV uptake'!U9*'EV %sales'!$AP$58+'Japan EV uptake'!U9*'EV %sales'!$AQ$58+'Korea EV uptake'!U9*'EV %sales'!$AR$58+'Netherlands logist Take-up'!Z87*'EV %sales'!$AS$58+'New Zealand EV uptake'!U9*'EV %sales'!$AT$58+'Norway EV uptake with subs'!AA16*'EV %sales'!$AU$58+'Spain EV uptake'!U9*'EV %sales'!$AV$58+'Sweden EV uptake'!U9*'EV %sales'!$AW$58+'Switzerland EV uptake'!U9*'EV %sales'!$AX$58+'USA EV uptake'!U9*'EV %sales'!$AZ$58)/('EV %sales'!$BB$58-'EV %sales'!$BA$58)</f>
        <v>0.37136706087038135</v>
      </c>
      <c r="AA65">
        <v>2014</v>
      </c>
      <c r="AB65" s="13">
        <f>('Australia EV uptake'!Z9*'EV %sales'!$AE$58+'Austria EV uptake'!X9*'EV %sales'!$AF$58+'Belgian EV uptake'!X9*'EV %sales'!$AG$58+'British EV uptake'!X9*'EV %sales'!$AY$58+'Canada EV uptake'!X9*'EV %sales'!$AH$58+'China EV uptake'!X9*'EV %sales'!$AI$58+'Denmark EV uptake'!AJ18*'EV %sales'!$AJ$58+'Finland EV uptake'!X9*'EV %sales'!$AK$58+'France EV uptake'!X9*'EV %sales'!$AL$58+'Germany EV uptake'!X9*'EV %sales'!$AM$58+'India EV uptake'!X9*'EV %sales'!$AN$58+'Ireland EV uptake'!X9*'EV %sales'!$AO$58+'Italy EV uptake'!X9*'EV %sales'!$AP$58+'Japan EV uptake'!X9*'EV %sales'!$AQ$58+'Korea EV uptake'!X9*'EV %sales'!$AR$58+'Netherlands logist Take-up'!AC87*'EV %sales'!$AS$58+'New Zealand EV uptake'!X9*'EV %sales'!$AT$58+'Norway EV uptake with subs'!AD16*'EV %sales'!$AU$58+'Spain EV uptake'!X9*'EV %sales'!$AV$58+'Sweden EV uptake'!X9*'EV %sales'!$AW$58+'Switzerland EV uptake'!X9*'EV %sales'!$AX$58+'USA EV uptake'!X9*'EV %sales'!$AZ$58)/('EV %sales'!$BB$58-'EV %sales'!$BA$58)</f>
        <v>0.37136706087038135</v>
      </c>
      <c r="AC65" s="13">
        <f>('Australia EV uptake'!AA9*'EV %sales'!$AE$58+'Austria EV uptake'!Y9*'EV %sales'!$AF$58+'Belgian EV uptake'!Y9*'EV %sales'!$AG$58+'British EV uptake'!Y9*'EV %sales'!$AY$58+'Canada EV uptake'!Y9*'EV %sales'!$AH$58+'China EV uptake'!Y9*'EV %sales'!$AI$58+'Denmark EV uptake'!AK18*'EV %sales'!$AJ$58+'Finland EV uptake'!Y9*'EV %sales'!$AK$58+'France EV uptake'!Y9*'EV %sales'!$AL$58+'Germany EV uptake'!Y9*'EV %sales'!$AM$58+'India EV uptake'!Y9*'EV %sales'!$AN$58+'Ireland EV uptake'!Y9*'EV %sales'!$AO$58+'Italy EV uptake'!Y9*'EV %sales'!$AP$58+'Japan EV uptake'!Y9*'EV %sales'!$AQ$58+'Korea EV uptake'!Y9*'EV %sales'!$AR$58+'Netherlands logist Take-up'!AD87*'EV %sales'!$AS$58+'New Zealand EV uptake'!Y9*'EV %sales'!$AT$58+'Norway EV uptake with subs'!AE16*'EV %sales'!$AU$58+'Spain EV uptake'!Y9*'EV %sales'!$AV$58+'Sweden EV uptake'!Y9*'EV %sales'!$AW$58+'Switzerland EV uptake'!Y9*'EV %sales'!$AX$58+'USA EV uptake'!Y9*'EV %sales'!$AZ$58)/('EV %sales'!$BB$58-'EV %sales'!$BA$58)</f>
        <v>0.37136706087038135</v>
      </c>
      <c r="AD65" s="13">
        <f>('Australia EV uptake'!AB9*'EV %sales'!$AE$58+'Austria EV uptake'!Z9*'EV %sales'!$AF$58+'Belgian EV uptake'!Z9*'EV %sales'!$AG$58+'British EV uptake'!Z9*'EV %sales'!$AY$58+'Canada EV uptake'!Z9*'EV %sales'!$AH$58+'China EV uptake'!Z9*'EV %sales'!$AI$58+'Denmark EV uptake'!AL18*'EV %sales'!$AJ$58+'Finland EV uptake'!Z9*'EV %sales'!$AK$58+'France EV uptake'!Z9*'EV %sales'!$AL$58+'Germany EV uptake'!Z9*'EV %sales'!$AM$58+'India EV uptake'!Z9*'EV %sales'!$AN$58+'Ireland EV uptake'!Z9*'EV %sales'!$AO$58+'Italy EV uptake'!Z9*'EV %sales'!$AP$58+'Japan EV uptake'!Z9*'EV %sales'!$AQ$58+'Korea EV uptake'!Z9*'EV %sales'!$AR$58+'Netherlands logist Take-up'!AE87*'EV %sales'!$AS$58+'New Zealand EV uptake'!Z9*'EV %sales'!$AT$58+'Norway EV uptake with subs'!AF16*'EV %sales'!$AU$58+'Spain EV uptake'!Z9*'EV %sales'!$AV$58+'Sweden EV uptake'!Z9*'EV %sales'!$AW$58+'Switzerland EV uptake'!Z9*'EV %sales'!$AX$58+'USA EV uptake'!Z9*'EV %sales'!$AZ$58)/('EV %sales'!$BB$58-'EV %sales'!$BA$58)</f>
        <v>0.37136706087038135</v>
      </c>
    </row>
    <row r="66" spans="1:30">
      <c r="A66">
        <v>2015</v>
      </c>
      <c r="B66" s="13">
        <f>'EV %sales'!Y73</f>
        <v>0.90247796151091464</v>
      </c>
      <c r="C66" s="13">
        <f t="shared" si="7"/>
        <v>0.89844045782464999</v>
      </c>
      <c r="D66" s="13">
        <f t="shared" si="8"/>
        <v>0.89844045782464999</v>
      </c>
      <c r="E66" s="13">
        <f t="shared" si="9"/>
        <v>0.82524529248265621</v>
      </c>
      <c r="F66">
        <f t="shared" si="10"/>
        <v>-4.2630167138852615</v>
      </c>
      <c r="G66">
        <f t="shared" si="4"/>
        <v>-4.2675635368361373</v>
      </c>
      <c r="H66" s="230">
        <f t="shared" si="11"/>
        <v>-4.3536845171244467</v>
      </c>
      <c r="I66" s="230">
        <f t="shared" si="5"/>
        <v>-4.2675635368361373</v>
      </c>
      <c r="J66" s="13">
        <v>0</v>
      </c>
      <c r="L66" s="13">
        <f>('Australia EV uptake'!V10*'EV %sales'!$AE$58+'Austria EV uptake'!T10*'EV %sales'!$AF$58+'Belgian EV uptake'!T10*'EV %sales'!$AG$58+'British EV uptake'!T10*'EV %sales'!$AY$58+'Canada EV uptake'!T10*'EV %sales'!$AH$58+'China EV uptake'!T10*'EV %sales'!$AI$58+'Denmark EV uptake'!AF19*'EV %sales'!$AJ$58+'Finland EV uptake'!T10*'EV %sales'!$AK$58+'France EV uptake'!T10*'EV %sales'!$AL$58+'Germany EV uptake'!T10*'EV %sales'!$AM$58+'India EV uptake'!T10*'EV %sales'!$AN$58+'Ireland EV uptake'!T10*'EV %sales'!$AO$58+'Italy EV uptake'!T10*'EV %sales'!$AP$58+'Japan EV uptake'!T10*'EV %sales'!$AQ$58+'Korea EV uptake'!T10*'EV %sales'!$AR$58+'Netherlands logist Take-up'!Y88*'EV %sales'!$AS$58+'New Zealand EV uptake'!T10*'EV %sales'!$AT$58+'Norway EV uptake with subs'!Z17*'EV %sales'!$AU$58+'Spain EV uptake'!T10*'EV %sales'!$AV$58+'Sweden EV uptake'!T10*'EV %sales'!$AW$58+'Switzerland EV uptake'!T10*'EV %sales'!$AX$58+'USA EV uptake'!T10*'EV %sales'!$AZ$58)/('EV %sales'!$BB$58-'EV %sales'!$BA$58)</f>
        <v>0.87502757917149587</v>
      </c>
      <c r="M66" s="13">
        <f>('Australia EV uptake'!N10*'EV %sales'!AE$58+'Austria EV uptake'!L10*'EV %sales'!AF$58+'Belgian EV uptake'!L10*'EV %sales'!AG$58+'British EV uptake'!L10*'EV %sales'!AY$58+'Canada EV uptake'!L10*'EV %sales'!AH$58+'China EV uptake'!L10*'EV %sales'!AI$58+'Denmark EV uptake'!X19*'EV %sales'!AJ$58+'Finland EV uptake'!L10*'EV %sales'!AK$58+'France EV uptake'!L10*'EV %sales'!AL$58+'Germany EV uptake'!L10*'EV %sales'!AM$58+'India EV uptake'!L10*'EV %sales'!AN$58+'Ireland EV uptake'!L10*'EV %sales'!AO$58+'Italy EV uptake'!L10*'EV %sales'!AP$58+'Japan EV uptake'!L10*'EV %sales'!AQ$58+'Korea EV uptake'!L10*'EV %sales'!AR$58+'Netherlands logist Take-up'!O88*'EV %sales'!AS$58+'New Zealand EV uptake'!L10*'EV %sales'!AT$58+'Norway EV uptake with subs'!R20*'EV %sales'!AU$58+'Spain EV uptake'!L10*'EV %sales'!AV$58+'Sweden EV uptake'!L10*'EV %sales'!AW$58+'Switzerland EV uptake'!L10*'EV %sales'!AX$58+'USA EV uptake'!L10*'EV %sales'!AZ$58+'Rest Europe EV takeup'!O10*'EV %sales'!BA$58)/'EV %sales'!BB$58</f>
        <v>0.86249918934750402</v>
      </c>
      <c r="N66" s="13">
        <f>('Australia EV uptake'!D10*'EV %sales'!AE$58+'Austria EV uptake'!AB10*'EV %sales'!AF$58+'Belgian EV uptake'!AB10*'EV %sales'!AG$58+'British EV uptake'!AB10*'EV %sales'!AY$58+'Canada EV uptake'!AB10*'EV %sales'!AH$58+'China EV uptake'!AB10*'EV %sales'!AI$58+'Denmark EV uptake'!F19*'EV %sales'!AJ$58+'Finland EV uptake'!AB10*'EV %sales'!AK$58+'France EV uptake'!AB10*'EV %sales'!AL$58+'Germany EV uptake'!AB10*'EV %sales'!AM$58+'India EV uptake'!AB10*'EV %sales'!AN$58+'Ireland EV uptake'!AB10*'EV %sales'!AO$58+'Italy EV uptake'!AB10*'EV %sales'!AP$58+'Japan EV uptake'!AB10*'EV %sales'!AQ$58+'Korea EV uptake'!AB10*'EV %sales'!AR$58+'Netherlands logist Take-up'!E88*'EV %sales'!AS$58+'New Zealand EV uptake'!AB10*'EV %sales'!AT$58+'Norway EV uptake with subs'!H20*'EV %sales'!AU$58+'Spain EV uptake'!AB10*'EV %sales'!AV$58+'Sweden EV uptake'!AB10*'EV %sales'!AW$58+'Switzerland EV uptake'!AB10*'EV %sales'!AX$58+'USA EV uptake'!AB10*'EV %sales'!AZ$58+'Rest Europe EV takeup'!O10*'EV %sales'!BA$58)/'EV %sales'!BB$58</f>
        <v>0.86634722717182222</v>
      </c>
      <c r="P66">
        <v>6</v>
      </c>
      <c r="Q66" s="13">
        <f t="shared" si="6"/>
        <v>1.8632258608041716</v>
      </c>
      <c r="R66" s="13"/>
      <c r="S66" s="13"/>
      <c r="T66" s="13">
        <f>'Country Petrol Prices'!Y87</f>
        <v>1.4120240494248775</v>
      </c>
      <c r="V66">
        <v>2015</v>
      </c>
      <c r="W66" s="13">
        <f>('Australia EV uptake'!U10*'EV %sales'!$AE$58+'Austria EV uptake'!S10*'EV %sales'!$AF$58+'Belgian EV uptake'!S10*'EV %sales'!$AG$58+'British EV uptake'!S10*'EV %sales'!$AY$58+'Canada EV uptake'!S10*'EV %sales'!$AH$58+'China EV uptake'!S10*'EV %sales'!$AI$58+'Denmark EV uptake'!AE19*'EV %sales'!$AJ$58+'Finland EV uptake'!S10*'EV %sales'!$AK$58+'France EV uptake'!S10*'EV %sales'!$AL$58+'Germany EV uptake'!S10*'EV %sales'!$AM$58+'India EV uptake'!S10*'EV %sales'!$AN$58+'Ireland EV uptake'!S10*'EV %sales'!$AO$58+'Italy EV uptake'!S10*'EV %sales'!$AP$58+'Japan EV uptake'!S10*'EV %sales'!$AQ$58+'Korea EV uptake'!S10*'EV %sales'!$AR$58+'Netherlands logist Take-up'!X88*'EV %sales'!$AS$58+'New Zealand EV uptake'!S10*'EV %sales'!$AT$58+'Norway EV uptake with subs'!Y17*'EV %sales'!$AU$58+'Spain EV uptake'!S10*'EV %sales'!$AV$58+'Sweden EV uptake'!S10*'EV %sales'!$AW$58+'Switzerland EV uptake'!S10*'EV %sales'!$AX$58+'USA EV uptake'!S10*'EV %sales'!$AZ$58)/('EV %sales'!$BB$58-'EV %sales'!$BA$58)</f>
        <v>0.87502757917149587</v>
      </c>
      <c r="X66" s="13">
        <f>('Australia EV uptake'!V10*'EV %sales'!$AE$58+'Austria EV uptake'!T10*'EV %sales'!$AF$58+'Belgian EV uptake'!T10*'EV %sales'!$AG$58+'British EV uptake'!T10*'EV %sales'!$AY$58+'Canada EV uptake'!T10*'EV %sales'!$AH$58+'China EV uptake'!T10*'EV %sales'!$AI$58+'Denmark EV uptake'!AF19*'EV %sales'!$AJ$58+'Finland EV uptake'!T10*'EV %sales'!$AK$58+'France EV uptake'!T10*'EV %sales'!$AL$58+'Germany EV uptake'!T10*'EV %sales'!$AM$58+'India EV uptake'!T10*'EV %sales'!$AN$58+'Ireland EV uptake'!T10*'EV %sales'!$AO$58+'Italy EV uptake'!T10*'EV %sales'!$AP$58+'Japan EV uptake'!T10*'EV %sales'!$AQ$58+'Korea EV uptake'!T10*'EV %sales'!$AR$58+'Netherlands logist Take-up'!Y88*'EV %sales'!$AS$58+'New Zealand EV uptake'!T10*'EV %sales'!$AT$58+'Norway EV uptake with subs'!Z17*'EV %sales'!$AU$58+'Spain EV uptake'!T10*'EV %sales'!$AV$58+'Sweden EV uptake'!T10*'EV %sales'!$AW$58+'Switzerland EV uptake'!T10*'EV %sales'!$AX$58+'USA EV uptake'!T10*'EV %sales'!$AZ$58)/('EV %sales'!$BB$58-'EV %sales'!$BA$58)</f>
        <v>0.87502757917149587</v>
      </c>
      <c r="Y66" s="13">
        <f>('Australia EV uptake'!W10*'EV %sales'!$AE$58+'Austria EV uptake'!U10*'EV %sales'!$AF$58+'Belgian EV uptake'!U10*'EV %sales'!$AG$58+'British EV uptake'!U10*'EV %sales'!$AY$58+'Canada EV uptake'!U10*'EV %sales'!$AH$58+'China EV uptake'!U10*'EV %sales'!$AI$58+'Denmark EV uptake'!AG19*'EV %sales'!$AJ$58+'Finland EV uptake'!U10*'EV %sales'!$AK$58+'France EV uptake'!U10*'EV %sales'!$AL$58+'Germany EV uptake'!U10*'EV %sales'!$AM$58+'India EV uptake'!U10*'EV %sales'!$AN$58+'Ireland EV uptake'!U10*'EV %sales'!$AO$58+'Italy EV uptake'!U10*'EV %sales'!$AP$58+'Japan EV uptake'!U10*'EV %sales'!$AQ$58+'Korea EV uptake'!U10*'EV %sales'!$AR$58+'Netherlands logist Take-up'!Z88*'EV %sales'!$AS$58+'New Zealand EV uptake'!U10*'EV %sales'!$AT$58+'Norway EV uptake with subs'!AA17*'EV %sales'!$AU$58+'Spain EV uptake'!U10*'EV %sales'!$AV$58+'Sweden EV uptake'!U10*'EV %sales'!$AW$58+'Switzerland EV uptake'!U10*'EV %sales'!$AX$58+'USA EV uptake'!U10*'EV %sales'!$AZ$58)/('EV %sales'!$BB$58-'EV %sales'!$BA$58)</f>
        <v>0.87502757917149587</v>
      </c>
      <c r="AA66">
        <v>2015</v>
      </c>
      <c r="AB66" s="13">
        <f>('Australia EV uptake'!Z10*'EV %sales'!$AE$58+'Austria EV uptake'!X10*'EV %sales'!$AF$58+'Belgian EV uptake'!X10*'EV %sales'!$AG$58+'British EV uptake'!X10*'EV %sales'!$AY$58+'Canada EV uptake'!X10*'EV %sales'!$AH$58+'China EV uptake'!X10*'EV %sales'!$AI$58+'Denmark EV uptake'!AJ19*'EV %sales'!$AJ$58+'Finland EV uptake'!X10*'EV %sales'!$AK$58+'France EV uptake'!X10*'EV %sales'!$AL$58+'Germany EV uptake'!X10*'EV %sales'!$AM$58+'India EV uptake'!X10*'EV %sales'!$AN$58+'Ireland EV uptake'!X10*'EV %sales'!$AO$58+'Italy EV uptake'!X10*'EV %sales'!$AP$58+'Japan EV uptake'!X10*'EV %sales'!$AQ$58+'Korea EV uptake'!X10*'EV %sales'!$AR$58+'Netherlands logist Take-up'!AC88*'EV %sales'!$AS$58+'New Zealand EV uptake'!X10*'EV %sales'!$AT$58+'Norway EV uptake with subs'!AD17*'EV %sales'!$AU$58+'Spain EV uptake'!X10*'EV %sales'!$AV$58+'Sweden EV uptake'!X10*'EV %sales'!$AW$58+'Switzerland EV uptake'!X10*'EV %sales'!$AX$58+'USA EV uptake'!X10*'EV %sales'!$AZ$58)/('EV %sales'!$BB$58-'EV %sales'!$BA$58)</f>
        <v>0.87502757917149587</v>
      </c>
      <c r="AC66" s="13">
        <f>('Australia EV uptake'!AA10*'EV %sales'!$AE$58+'Austria EV uptake'!Y10*'EV %sales'!$AF$58+'Belgian EV uptake'!Y10*'EV %sales'!$AG$58+'British EV uptake'!Y10*'EV %sales'!$AY$58+'Canada EV uptake'!Y10*'EV %sales'!$AH$58+'China EV uptake'!Y10*'EV %sales'!$AI$58+'Denmark EV uptake'!AK19*'EV %sales'!$AJ$58+'Finland EV uptake'!Y10*'EV %sales'!$AK$58+'France EV uptake'!Y10*'EV %sales'!$AL$58+'Germany EV uptake'!Y10*'EV %sales'!$AM$58+'India EV uptake'!Y10*'EV %sales'!$AN$58+'Ireland EV uptake'!Y10*'EV %sales'!$AO$58+'Italy EV uptake'!Y10*'EV %sales'!$AP$58+'Japan EV uptake'!Y10*'EV %sales'!$AQ$58+'Korea EV uptake'!Y10*'EV %sales'!$AR$58+'Netherlands logist Take-up'!AD88*'EV %sales'!$AS$58+'New Zealand EV uptake'!Y10*'EV %sales'!$AT$58+'Norway EV uptake with subs'!AE17*'EV %sales'!$AU$58+'Spain EV uptake'!Y10*'EV %sales'!$AV$58+'Sweden EV uptake'!Y10*'EV %sales'!$AW$58+'Switzerland EV uptake'!Y10*'EV %sales'!$AX$58+'USA EV uptake'!Y10*'EV %sales'!$AZ$58)/('EV %sales'!$BB$58-'EV %sales'!$BA$58)</f>
        <v>0.87502757917149587</v>
      </c>
      <c r="AD66" s="13">
        <f>('Australia EV uptake'!AB10*'EV %sales'!$AE$58+'Austria EV uptake'!Z10*'EV %sales'!$AF$58+'Belgian EV uptake'!Z10*'EV %sales'!$AG$58+'British EV uptake'!Z10*'EV %sales'!$AY$58+'Canada EV uptake'!Z10*'EV %sales'!$AH$58+'China EV uptake'!Z10*'EV %sales'!$AI$58+'Denmark EV uptake'!AL19*'EV %sales'!$AJ$58+'Finland EV uptake'!Z10*'EV %sales'!$AK$58+'France EV uptake'!Z10*'EV %sales'!$AL$58+'Germany EV uptake'!Z10*'EV %sales'!$AM$58+'India EV uptake'!Z10*'EV %sales'!$AN$58+'Ireland EV uptake'!Z10*'EV %sales'!$AO$58+'Italy EV uptake'!Z10*'EV %sales'!$AP$58+'Japan EV uptake'!Z10*'EV %sales'!$AQ$58+'Korea EV uptake'!Z10*'EV %sales'!$AR$58+'Netherlands logist Take-up'!AE88*'EV %sales'!$AS$58+'New Zealand EV uptake'!Z10*'EV %sales'!$AT$58+'Norway EV uptake with subs'!AF17*'EV %sales'!$AU$58+'Spain EV uptake'!Z10*'EV %sales'!$AV$58+'Sweden EV uptake'!Z10*'EV %sales'!$AW$58+'Switzerland EV uptake'!Z10*'EV %sales'!$AX$58+'USA EV uptake'!Z10*'EV %sales'!$AZ$58)/('EV %sales'!$BB$58-'EV %sales'!$BA$58)</f>
        <v>0.87502757917149587</v>
      </c>
    </row>
    <row r="67" spans="1:30">
      <c r="A67">
        <v>2016</v>
      </c>
      <c r="B67" s="13">
        <f>'EV %sales'!Y74</f>
        <v>1.1362386310898671</v>
      </c>
      <c r="C67" s="13">
        <f t="shared" si="7"/>
        <v>1.1247146069601437</v>
      </c>
      <c r="D67" s="13">
        <f t="shared" si="8"/>
        <v>1.1247146069601437</v>
      </c>
      <c r="E67" s="13">
        <f t="shared" si="9"/>
        <v>1.268058518934593</v>
      </c>
      <c r="F67">
        <f t="shared" si="10"/>
        <v>-4.0290287249675529</v>
      </c>
      <c r="G67">
        <f t="shared" si="4"/>
        <v>-4.0394031957352938</v>
      </c>
      <c r="H67" s="230">
        <f t="shared" si="11"/>
        <v>-3.9171988674950504</v>
      </c>
      <c r="I67" s="230">
        <f t="shared" si="5"/>
        <v>-4.0394031957352938</v>
      </c>
      <c r="J67" s="13">
        <v>0</v>
      </c>
      <c r="L67" s="13">
        <f>('Australia EV uptake'!V11*'EV %sales'!$AE$58+'Austria EV uptake'!T11*'EV %sales'!$AF$58+'Belgian EV uptake'!T11*'EV %sales'!$AG$58+'British EV uptake'!T11*'EV %sales'!$AY$58+'Canada EV uptake'!T11*'EV %sales'!$AH$58+'China EV uptake'!T11*'EV %sales'!$AI$58+'Denmark EV uptake'!AF20*'EV %sales'!$AJ$58+'Finland EV uptake'!T11*'EV %sales'!$AK$58+'France EV uptake'!T11*'EV %sales'!$AL$58+'Germany EV uptake'!T11*'EV %sales'!$AM$58+'India EV uptake'!T11*'EV %sales'!$AN$58+'Ireland EV uptake'!T11*'EV %sales'!$AO$58+'Italy EV uptake'!T11*'EV %sales'!$AP$58+'Japan EV uptake'!T11*'EV %sales'!$AQ$58+'Korea EV uptake'!T11*'EV %sales'!$AR$58+'Netherlands logist Take-up'!Y89*'EV %sales'!$AS$58+'New Zealand EV uptake'!T11*'EV %sales'!$AT$58+'Norway EV uptake with subs'!Z18*'EV %sales'!$AU$58+'Spain EV uptake'!T11*'EV %sales'!$AV$58+'Sweden EV uptake'!T11*'EV %sales'!$AW$58+'Switzerland EV uptake'!T11*'EV %sales'!$AX$58+'USA EV uptake'!T11*'EV %sales'!$AZ$58)/('EV %sales'!$BB$58-'EV %sales'!$BA$58)</f>
        <v>1.1072272418419415</v>
      </c>
      <c r="M67" s="13">
        <f>('Australia EV uptake'!N11*'EV %sales'!AE$58+'Austria EV uptake'!L11*'EV %sales'!AF$58+'Belgian EV uptake'!L11*'EV %sales'!AG$58+'British EV uptake'!L11*'EV %sales'!AY$58+'Canada EV uptake'!L11*'EV %sales'!AH$58+'China EV uptake'!L11*'EV %sales'!AI$58+'Denmark EV uptake'!X20*'EV %sales'!AJ$58+'Finland EV uptake'!L11*'EV %sales'!AK$58+'France EV uptake'!L11*'EV %sales'!AL$58+'Germany EV uptake'!L11*'EV %sales'!AM$58+'India EV uptake'!L11*'EV %sales'!AN$58+'Ireland EV uptake'!L11*'EV %sales'!AO$58+'Italy EV uptake'!L11*'EV %sales'!AP$58+'Japan EV uptake'!L11*'EV %sales'!AQ$58+'Korea EV uptake'!L11*'EV %sales'!AR$58+'Netherlands logist Take-up'!O89*'EV %sales'!AS$58+'New Zealand EV uptake'!L11*'EV %sales'!AT$58+'Norway EV uptake with subs'!R21*'EV %sales'!AU$58+'Spain EV uptake'!L11*'EV %sales'!AV$58+'Sweden EV uptake'!L11*'EV %sales'!AW$58+'Switzerland EV uptake'!L11*'EV %sales'!AX$58+'USA EV uptake'!L11*'EV %sales'!AZ$58+'Rest Europe EV takeup'!O11*'EV %sales'!BA$58)/'EV %sales'!BB$58</f>
        <v>1.0890316595021226</v>
      </c>
      <c r="N67" s="13">
        <f>('Australia EV uptake'!D11*'EV %sales'!AE$58+'Austria EV uptake'!AB11*'EV %sales'!AF$58+'Belgian EV uptake'!AB11*'EV %sales'!AG$58+'British EV uptake'!AB11*'EV %sales'!AY$58+'Canada EV uptake'!AB11*'EV %sales'!AH$58+'China EV uptake'!AB11*'EV %sales'!AI$58+'Denmark EV uptake'!F20*'EV %sales'!AJ$58+'Finland EV uptake'!AB11*'EV %sales'!AK$58+'France EV uptake'!AB11*'EV %sales'!AL$58+'Germany EV uptake'!AB11*'EV %sales'!AM$58+'India EV uptake'!AB11*'EV %sales'!AN$58+'Ireland EV uptake'!AB11*'EV %sales'!AO$58+'Italy EV uptake'!AB11*'EV %sales'!AP$58+'Japan EV uptake'!AB11*'EV %sales'!AQ$58+'Korea EV uptake'!AB11*'EV %sales'!AR$58+'Netherlands logist Take-up'!E89*'EV %sales'!AS$58+'New Zealand EV uptake'!AB11*'EV %sales'!AT$58+'Norway EV uptake with subs'!H21*'EV %sales'!AU$58+'Spain EV uptake'!AB11*'EV %sales'!AV$58+'Sweden EV uptake'!AB11*'EV %sales'!AW$58+'Switzerland EV uptake'!AB11*'EV %sales'!AX$58+'USA EV uptake'!AB11*'EV %sales'!AZ$58+'Rest Europe EV takeup'!O11*'EV %sales'!BA$58)/'EV %sales'!BB$58</f>
        <v>1.1457339936254038</v>
      </c>
      <c r="P67">
        <v>7</v>
      </c>
      <c r="Q67" s="13">
        <f t="shared" si="6"/>
        <v>1.4120240494248775</v>
      </c>
      <c r="R67" s="13"/>
      <c r="S67" s="13"/>
      <c r="T67" s="13">
        <f>'Country Petrol Prices'!Y88</f>
        <v>1.3010689266177218</v>
      </c>
      <c r="V67">
        <v>2016</v>
      </c>
      <c r="W67" s="13">
        <f>('Australia EV uptake'!U11*'EV %sales'!$AE$58+'Austria EV uptake'!S11*'EV %sales'!$AF$58+'Belgian EV uptake'!S11*'EV %sales'!$AG$58+'British EV uptake'!S11*'EV %sales'!$AY$58+'Canada EV uptake'!S11*'EV %sales'!$AH$58+'China EV uptake'!S11*'EV %sales'!$AI$58+'Denmark EV uptake'!AE20*'EV %sales'!$AJ$58+'Finland EV uptake'!S11*'EV %sales'!$AK$58+'France EV uptake'!S11*'EV %sales'!$AL$58+'Germany EV uptake'!S11*'EV %sales'!$AM$58+'India EV uptake'!S11*'EV %sales'!$AN$58+'Ireland EV uptake'!S11*'EV %sales'!$AO$58+'Italy EV uptake'!S11*'EV %sales'!$AP$58+'Japan EV uptake'!S11*'EV %sales'!$AQ$58+'Korea EV uptake'!S11*'EV %sales'!$AR$58+'Netherlands logist Take-up'!X89*'EV %sales'!$AS$58+'New Zealand EV uptake'!S11*'EV %sales'!$AT$58+'Norway EV uptake with subs'!Y18*'EV %sales'!$AU$58+'Spain EV uptake'!S11*'EV %sales'!$AV$58+'Sweden EV uptake'!S11*'EV %sales'!$AW$58+'Switzerland EV uptake'!S11*'EV %sales'!$AX$58+'USA EV uptake'!S11*'EV %sales'!$AZ$58)/('EV %sales'!$BB$58-'EV %sales'!$BA$58)</f>
        <v>1.1091432808654902</v>
      </c>
      <c r="X67" s="13">
        <f>('Australia EV uptake'!V11*'EV %sales'!$AE$58+'Austria EV uptake'!T11*'EV %sales'!$AF$58+'Belgian EV uptake'!T11*'EV %sales'!$AG$58+'British EV uptake'!T11*'EV %sales'!$AY$58+'Canada EV uptake'!T11*'EV %sales'!$AH$58+'China EV uptake'!T11*'EV %sales'!$AI$58+'Denmark EV uptake'!AF20*'EV %sales'!$AJ$58+'Finland EV uptake'!T11*'EV %sales'!$AK$58+'France EV uptake'!T11*'EV %sales'!$AL$58+'Germany EV uptake'!T11*'EV %sales'!$AM$58+'India EV uptake'!T11*'EV %sales'!$AN$58+'Ireland EV uptake'!T11*'EV %sales'!$AO$58+'Italy EV uptake'!T11*'EV %sales'!$AP$58+'Japan EV uptake'!T11*'EV %sales'!$AQ$58+'Korea EV uptake'!T11*'EV %sales'!$AR$58+'Netherlands logist Take-up'!Y89*'EV %sales'!$AS$58+'New Zealand EV uptake'!T11*'EV %sales'!$AT$58+'Norway EV uptake with subs'!Z18*'EV %sales'!$AU$58+'Spain EV uptake'!T11*'EV %sales'!$AV$58+'Sweden EV uptake'!T11*'EV %sales'!$AW$58+'Switzerland EV uptake'!T11*'EV %sales'!$AX$58+'USA EV uptake'!T11*'EV %sales'!$AZ$58)/('EV %sales'!$BB$58-'EV %sales'!$BA$58)</f>
        <v>1.1072272418419415</v>
      </c>
      <c r="Y67" s="13">
        <f>('Australia EV uptake'!W11*'EV %sales'!$AE$58+'Austria EV uptake'!U11*'EV %sales'!$AF$58+'Belgian EV uptake'!U11*'EV %sales'!$AG$58+'British EV uptake'!U11*'EV %sales'!$AY$58+'Canada EV uptake'!U11*'EV %sales'!$AH$58+'China EV uptake'!U11*'EV %sales'!$AI$58+'Denmark EV uptake'!AG20*'EV %sales'!$AJ$58+'Finland EV uptake'!U11*'EV %sales'!$AK$58+'France EV uptake'!U11*'EV %sales'!$AL$58+'Germany EV uptake'!U11*'EV %sales'!$AM$58+'India EV uptake'!U11*'EV %sales'!$AN$58+'Ireland EV uptake'!U11*'EV %sales'!$AO$58+'Italy EV uptake'!U11*'EV %sales'!$AP$58+'Japan EV uptake'!U11*'EV %sales'!$AQ$58+'Korea EV uptake'!U11*'EV %sales'!$AR$58+'Netherlands logist Take-up'!Z89*'EV %sales'!$AS$58+'New Zealand EV uptake'!U11*'EV %sales'!$AT$58+'Norway EV uptake with subs'!AA18*'EV %sales'!$AU$58+'Spain EV uptake'!U11*'EV %sales'!$AV$58+'Sweden EV uptake'!U11*'EV %sales'!$AW$58+'Switzerland EV uptake'!U11*'EV %sales'!$AX$58+'USA EV uptake'!U11*'EV %sales'!$AZ$58)/('EV %sales'!$BB$58-'EV %sales'!$BA$58)</f>
        <v>1.1062408797231944</v>
      </c>
      <c r="AA67">
        <v>2016</v>
      </c>
      <c r="AB67" s="13">
        <f>('Australia EV uptake'!Z11*'EV %sales'!$AE$58+'Austria EV uptake'!X11*'EV %sales'!$AF$58+'Belgian EV uptake'!X11*'EV %sales'!$AG$58+'British EV uptake'!X11*'EV %sales'!$AY$58+'Canada EV uptake'!X11*'EV %sales'!$AH$58+'China EV uptake'!X11*'EV %sales'!$AI$58+'Denmark EV uptake'!AJ20*'EV %sales'!$AJ$58+'Finland EV uptake'!X11*'EV %sales'!$AK$58+'France EV uptake'!X11*'EV %sales'!$AL$58+'Germany EV uptake'!X11*'EV %sales'!$AM$58+'India EV uptake'!X11*'EV %sales'!$AN$58+'Ireland EV uptake'!X11*'EV %sales'!$AO$58+'Italy EV uptake'!X11*'EV %sales'!$AP$58+'Japan EV uptake'!X11*'EV %sales'!$AQ$58+'Korea EV uptake'!X11*'EV %sales'!$AR$58+'Netherlands logist Take-up'!AC89*'EV %sales'!$AS$58+'New Zealand EV uptake'!X11*'EV %sales'!$AT$58+'Norway EV uptake with subs'!AD18*'EV %sales'!$AU$58+'Spain EV uptake'!X11*'EV %sales'!$AV$58+'Sweden EV uptake'!X11*'EV %sales'!$AW$58+'Switzerland EV uptake'!X11*'EV %sales'!$AX$58+'USA EV uptake'!X11*'EV %sales'!$AZ$58)/('EV %sales'!$BB$58-'EV %sales'!$BA$58)</f>
        <v>1.1062408797231944</v>
      </c>
      <c r="AC67" s="13">
        <f>('Australia EV uptake'!AA11*'EV %sales'!$AE$58+'Austria EV uptake'!Y11*'EV %sales'!$AF$58+'Belgian EV uptake'!Y11*'EV %sales'!$AG$58+'British EV uptake'!Y11*'EV %sales'!$AY$58+'Canada EV uptake'!Y11*'EV %sales'!$AH$58+'China EV uptake'!Y11*'EV %sales'!$AI$58+'Denmark EV uptake'!AK20*'EV %sales'!$AJ$58+'Finland EV uptake'!Y11*'EV %sales'!$AK$58+'France EV uptake'!Y11*'EV %sales'!$AL$58+'Germany EV uptake'!Y11*'EV %sales'!$AM$58+'India EV uptake'!Y11*'EV %sales'!$AN$58+'Ireland EV uptake'!Y11*'EV %sales'!$AO$58+'Italy EV uptake'!Y11*'EV %sales'!$AP$58+'Japan EV uptake'!Y11*'EV %sales'!$AQ$58+'Korea EV uptake'!Y11*'EV %sales'!$AR$58+'Netherlands logist Take-up'!AD89*'EV %sales'!$AS$58+'New Zealand EV uptake'!Y11*'EV %sales'!$AT$58+'Norway EV uptake with subs'!AE18*'EV %sales'!$AU$58+'Spain EV uptake'!Y11*'EV %sales'!$AV$58+'Sweden EV uptake'!Y11*'EV %sales'!$AW$58+'Switzerland EV uptake'!Y11*'EV %sales'!$AX$58+'USA EV uptake'!Y11*'EV %sales'!$AZ$58)/('EV %sales'!$BB$58-'EV %sales'!$BA$58)</f>
        <v>1.1072272418419415</v>
      </c>
      <c r="AD67" s="13">
        <f>('Australia EV uptake'!AB11*'EV %sales'!$AE$58+'Austria EV uptake'!Z11*'EV %sales'!$AF$58+'Belgian EV uptake'!Z11*'EV %sales'!$AG$58+'British EV uptake'!Z11*'EV %sales'!$AY$58+'Canada EV uptake'!Z11*'EV %sales'!$AH$58+'China EV uptake'!Z11*'EV %sales'!$AI$58+'Denmark EV uptake'!AL20*'EV %sales'!$AJ$58+'Finland EV uptake'!Z11*'EV %sales'!$AK$58+'France EV uptake'!Z11*'EV %sales'!$AL$58+'Germany EV uptake'!Z11*'EV %sales'!$AM$58+'India EV uptake'!Z11*'EV %sales'!$AN$58+'Ireland EV uptake'!Z11*'EV %sales'!$AO$58+'Italy EV uptake'!Z11*'EV %sales'!$AP$58+'Japan EV uptake'!Z11*'EV %sales'!$AQ$58+'Korea EV uptake'!Z11*'EV %sales'!$AR$58+'Netherlands logist Take-up'!AE89*'EV %sales'!$AS$58+'New Zealand EV uptake'!Z11*'EV %sales'!$AT$58+'Norway EV uptake with subs'!AF18*'EV %sales'!$AU$58+'Spain EV uptake'!Z11*'EV %sales'!$AV$58+'Sweden EV uptake'!Z11*'EV %sales'!$AW$58+'Switzerland EV uptake'!Z11*'EV %sales'!$AX$58+'USA EV uptake'!Z11*'EV %sales'!$AZ$58)/('EV %sales'!$BB$58-'EV %sales'!$BA$58)</f>
        <v>1.1091432808654902</v>
      </c>
    </row>
    <row r="68" spans="1:30">
      <c r="A68">
        <v>2017</v>
      </c>
      <c r="B68" s="13">
        <f>'EV %sales'!Y75</f>
        <v>1.6633518305579627</v>
      </c>
      <c r="C68" s="13">
        <f>65*EXP(G68)/(1+EXP(G68))</f>
        <v>1.6934891727988695</v>
      </c>
      <c r="D68" s="13">
        <f>65*EXP(I68)/(1+EXP(I68))</f>
        <v>1.6934891727988695</v>
      </c>
      <c r="E68" s="13">
        <f>65*EXP(H68)/(1+EXP(H68))</f>
        <v>1.8884492699371382</v>
      </c>
      <c r="F68">
        <f t="shared" si="10"/>
        <v>-3.6396293800308035</v>
      </c>
      <c r="G68">
        <f t="shared" si="4"/>
        <v>-3.6211971806624836</v>
      </c>
      <c r="H68" s="230">
        <f>AVERAGE(I65:I71)</f>
        <v>-3.5091478069669959</v>
      </c>
      <c r="I68" s="230">
        <f t="shared" si="5"/>
        <v>-3.6211971806624836</v>
      </c>
      <c r="J68" s="13">
        <v>0</v>
      </c>
      <c r="L68" s="13">
        <f>('Australia EV uptake'!V12*'EV %sales'!$AE$58+'Austria EV uptake'!T12*'EV %sales'!$AF$58+'Belgian EV uptake'!T12*'EV %sales'!$AG$58+'British EV uptake'!T12*'EV %sales'!$AY$58+'Canada EV uptake'!T12*'EV %sales'!$AH$58+'China EV uptake'!T12*'EV %sales'!$AI$58+'Denmark EV uptake'!AF21*'EV %sales'!$AJ$58+'Finland EV uptake'!T12*'EV %sales'!$AK$58+'France EV uptake'!T12*'EV %sales'!$AL$58+'Germany EV uptake'!T12*'EV %sales'!$AM$58+'India EV uptake'!T12*'EV %sales'!$AN$58+'Ireland EV uptake'!T12*'EV %sales'!$AO$58+'Italy EV uptake'!T12*'EV %sales'!$AP$58+'Japan EV uptake'!T12*'EV %sales'!$AQ$58+'Korea EV uptake'!T12*'EV %sales'!$AR$58+'Netherlands logist Take-up'!Y90*'EV %sales'!$AS$58+'New Zealand EV uptake'!T12*'EV %sales'!$AT$58+'Norway EV uptake with subs'!Z19*'EV %sales'!$AU$58+'Spain EV uptake'!T12*'EV %sales'!$AV$58+'Sweden EV uptake'!T12*'EV %sales'!$AW$58+'Switzerland EV uptake'!T12*'EV %sales'!$AX$58+'USA EV uptake'!T12*'EV %sales'!$AZ$58)/('EV %sales'!$BB$58-'EV %sales'!$BA$58)</f>
        <v>1.6863144153863681</v>
      </c>
      <c r="M68" s="13">
        <f>('Australia EV uptake'!N12*'EV %sales'!AE$58+'Austria EV uptake'!L12*'EV %sales'!AF$58+'Belgian EV uptake'!L12*'EV %sales'!AG$58+'British EV uptake'!L12*'EV %sales'!AY$58+'Canada EV uptake'!L12*'EV %sales'!AH$58+'China EV uptake'!L12*'EV %sales'!AI$58+'Denmark EV uptake'!X21*'EV %sales'!AJ$58+'Finland EV uptake'!L12*'EV %sales'!AK$58+'France EV uptake'!L12*'EV %sales'!AL$58+'Germany EV uptake'!L12*'EV %sales'!AM$58+'India EV uptake'!L12*'EV %sales'!AN$58+'Ireland EV uptake'!L12*'EV %sales'!AO$58+'Italy EV uptake'!L12*'EV %sales'!AP$58+'Japan EV uptake'!L12*'EV %sales'!AQ$58+'Korea EV uptake'!L12*'EV %sales'!AR$58+'Netherlands logist Take-up'!O90*'EV %sales'!AS$58+'New Zealand EV uptake'!L12*'EV %sales'!AT$58+'Norway EV uptake with subs'!R22*'EV %sales'!AU$58+'Spain EV uptake'!L12*'EV %sales'!AV$58+'Sweden EV uptake'!L12*'EV %sales'!AW$58+'Switzerland EV uptake'!L12*'EV %sales'!AX$58+'USA EV uptake'!L12*'EV %sales'!AZ$58+'Rest Europe EV takeup'!O12*'EV %sales'!BA$58)/'EV %sales'!BB$58</f>
        <v>1.6337950042679432</v>
      </c>
      <c r="N68" s="13">
        <f>('Australia EV uptake'!D12*'EV %sales'!AE$58+'Austria EV uptake'!AB12*'EV %sales'!AF$58+'Belgian EV uptake'!AB12*'EV %sales'!AG$58+'British EV uptake'!AB12*'EV %sales'!AY$58+'Canada EV uptake'!AB12*'EV %sales'!AH$58+'China EV uptake'!AB12*'EV %sales'!AI$58+'Denmark EV uptake'!F21*'EV %sales'!AJ$58+'Finland EV uptake'!AB12*'EV %sales'!AK$58+'France EV uptake'!AB12*'EV %sales'!AL$58+'Germany EV uptake'!AB12*'EV %sales'!AM$58+'India EV uptake'!AB12*'EV %sales'!AN$58+'Ireland EV uptake'!AB12*'EV %sales'!AO$58+'Italy EV uptake'!AB12*'EV %sales'!AP$58+'Japan EV uptake'!AB12*'EV %sales'!AQ$58+'Korea EV uptake'!AB12*'EV %sales'!AR$58+'Netherlands logist Take-up'!E90*'EV %sales'!AS$58+'New Zealand EV uptake'!AB12*'EV %sales'!AT$58+'Norway EV uptake with subs'!H22*'EV %sales'!AU$58+'Spain EV uptake'!AB12*'EV %sales'!AV$58+'Sweden EV uptake'!AB12*'EV %sales'!AW$58+'Switzerland EV uptake'!AB12*'EV %sales'!AX$58+'USA EV uptake'!AB12*'EV %sales'!AZ$58+'Rest Europe EV takeup'!O12*'EV %sales'!BA$58)/'EV %sales'!BB$58</f>
        <v>1.7654718984525768</v>
      </c>
      <c r="P68">
        <v>8</v>
      </c>
      <c r="Q68" s="13">
        <f t="shared" si="6"/>
        <v>1.3010689266177218</v>
      </c>
      <c r="R68" s="13"/>
      <c r="S68" s="13"/>
      <c r="T68" s="13">
        <f>'Country Petrol Prices'!Y89</f>
        <v>1.3939016865731499</v>
      </c>
      <c r="V68">
        <v>2017</v>
      </c>
      <c r="W68" s="13">
        <f>('Australia EV uptake'!U12*'EV %sales'!$AE$58+'Austria EV uptake'!S12*'EV %sales'!$AF$58+'Belgian EV uptake'!S12*'EV %sales'!$AG$58+'British EV uptake'!S12*'EV %sales'!$AY$58+'Canada EV uptake'!S12*'EV %sales'!$AH$58+'China EV uptake'!S12*'EV %sales'!$AI$58+'Denmark EV uptake'!AE21*'EV %sales'!$AJ$58+'Finland EV uptake'!S12*'EV %sales'!$AK$58+'France EV uptake'!S12*'EV %sales'!$AL$58+'Germany EV uptake'!S12*'EV %sales'!$AM$58+'India EV uptake'!S12*'EV %sales'!$AN$58+'Ireland EV uptake'!S12*'EV %sales'!$AO$58+'Italy EV uptake'!S12*'EV %sales'!$AP$58+'Japan EV uptake'!S12*'EV %sales'!$AQ$58+'Korea EV uptake'!S12*'EV %sales'!$AR$58+'Netherlands logist Take-up'!X90*'EV %sales'!$AS$58+'New Zealand EV uptake'!S12*'EV %sales'!$AT$58+'Norway EV uptake with subs'!Y19*'EV %sales'!$AU$58+'Spain EV uptake'!S12*'EV %sales'!$AV$58+'Sweden EV uptake'!S12*'EV %sales'!$AW$58+'Switzerland EV uptake'!S12*'EV %sales'!$AX$58+'USA EV uptake'!S12*'EV %sales'!$AZ$58)/('EV %sales'!$BB$58-'EV %sales'!$BA$58)</f>
        <v>1.6893481438403199</v>
      </c>
      <c r="X68" s="13">
        <f>('Australia EV uptake'!V12*'EV %sales'!$AE$58+'Austria EV uptake'!T12*'EV %sales'!$AF$58+'Belgian EV uptake'!T12*'EV %sales'!$AG$58+'British EV uptake'!T12*'EV %sales'!$AY$58+'Canada EV uptake'!T12*'EV %sales'!$AH$58+'China EV uptake'!T12*'EV %sales'!$AI$58+'Denmark EV uptake'!AF21*'EV %sales'!$AJ$58+'Finland EV uptake'!T12*'EV %sales'!$AK$58+'France EV uptake'!T12*'EV %sales'!$AL$58+'Germany EV uptake'!T12*'EV %sales'!$AM$58+'India EV uptake'!T12*'EV %sales'!$AN$58+'Ireland EV uptake'!T12*'EV %sales'!$AO$58+'Italy EV uptake'!T12*'EV %sales'!$AP$58+'Japan EV uptake'!T12*'EV %sales'!$AQ$58+'Korea EV uptake'!T12*'EV %sales'!$AR$58+'Netherlands logist Take-up'!Y90*'EV %sales'!$AS$58+'New Zealand EV uptake'!T12*'EV %sales'!$AT$58+'Norway EV uptake with subs'!Z19*'EV %sales'!$AU$58+'Spain EV uptake'!T12*'EV %sales'!$AV$58+'Sweden EV uptake'!T12*'EV %sales'!$AW$58+'Switzerland EV uptake'!T12*'EV %sales'!$AX$58+'USA EV uptake'!T12*'EV %sales'!$AZ$58)/('EV %sales'!$BB$58-'EV %sales'!$BA$58)</f>
        <v>1.6863144153863681</v>
      </c>
      <c r="Y68" s="13">
        <f>('Australia EV uptake'!W12*'EV %sales'!$AE$58+'Austria EV uptake'!U12*'EV %sales'!$AF$58+'Belgian EV uptake'!U12*'EV %sales'!$AG$58+'British EV uptake'!U12*'EV %sales'!$AY$58+'Canada EV uptake'!U12*'EV %sales'!$AH$58+'China EV uptake'!U12*'EV %sales'!$AI$58+'Denmark EV uptake'!AG21*'EV %sales'!$AJ$58+'Finland EV uptake'!U12*'EV %sales'!$AK$58+'France EV uptake'!U12*'EV %sales'!$AL$58+'Germany EV uptake'!U12*'EV %sales'!$AM$58+'India EV uptake'!U12*'EV %sales'!$AN$58+'Ireland EV uptake'!U12*'EV %sales'!$AO$58+'Italy EV uptake'!U12*'EV %sales'!$AP$58+'Japan EV uptake'!U12*'EV %sales'!$AQ$58+'Korea EV uptake'!U12*'EV %sales'!$AR$58+'Netherlands logist Take-up'!Z90*'EV %sales'!$AS$58+'New Zealand EV uptake'!U12*'EV %sales'!$AT$58+'Norway EV uptake with subs'!AA19*'EV %sales'!$AU$58+'Spain EV uptake'!U12*'EV %sales'!$AV$58+'Sweden EV uptake'!U12*'EV %sales'!$AW$58+'Switzerland EV uptake'!U12*'EV %sales'!$AX$58+'USA EV uptake'!U12*'EV %sales'!$AZ$58)/('EV %sales'!$BB$58-'EV %sales'!$BA$58)</f>
        <v>1.6827509679016321</v>
      </c>
      <c r="AA68">
        <v>2017</v>
      </c>
      <c r="AB68" s="13">
        <f>('Australia EV uptake'!Z12*'EV %sales'!$AE$58+'Austria EV uptake'!X12*'EV %sales'!$AF$58+'Belgian EV uptake'!X12*'EV %sales'!$AG$58+'British EV uptake'!X12*'EV %sales'!$AY$58+'Canada EV uptake'!X12*'EV %sales'!$AH$58+'China EV uptake'!X12*'EV %sales'!$AI$58+'Denmark EV uptake'!AJ21*'EV %sales'!$AJ$58+'Finland EV uptake'!X12*'EV %sales'!$AK$58+'France EV uptake'!X12*'EV %sales'!$AL$58+'Germany EV uptake'!X12*'EV %sales'!$AM$58+'India EV uptake'!X12*'EV %sales'!$AN$58+'Ireland EV uptake'!X12*'EV %sales'!$AO$58+'Italy EV uptake'!X12*'EV %sales'!$AP$58+'Japan EV uptake'!X12*'EV %sales'!$AQ$58+'Korea EV uptake'!X12*'EV %sales'!$AR$58+'Netherlands logist Take-up'!AC90*'EV %sales'!$AS$58+'New Zealand EV uptake'!X12*'EV %sales'!$AT$58+'Norway EV uptake with subs'!AD19*'EV %sales'!$AU$58+'Spain EV uptake'!X12*'EV %sales'!$AV$58+'Sweden EV uptake'!X12*'EV %sales'!$AW$58+'Switzerland EV uptake'!X12*'EV %sales'!$AX$58+'USA EV uptake'!X12*'EV %sales'!$AZ$58)/('EV %sales'!$BB$58-'EV %sales'!$BA$58)</f>
        <v>1.6827509679016321</v>
      </c>
      <c r="AC68" s="13">
        <f>('Australia EV uptake'!AA12*'EV %sales'!$AE$58+'Austria EV uptake'!Y12*'EV %sales'!$AF$58+'Belgian EV uptake'!Y12*'EV %sales'!$AG$58+'British EV uptake'!Y12*'EV %sales'!$AY$58+'Canada EV uptake'!Y12*'EV %sales'!$AH$58+'China EV uptake'!Y12*'EV %sales'!$AI$58+'Denmark EV uptake'!AK21*'EV %sales'!$AJ$58+'Finland EV uptake'!Y12*'EV %sales'!$AK$58+'France EV uptake'!Y12*'EV %sales'!$AL$58+'Germany EV uptake'!Y12*'EV %sales'!$AM$58+'India EV uptake'!Y12*'EV %sales'!$AN$58+'Ireland EV uptake'!Y12*'EV %sales'!$AO$58+'Italy EV uptake'!Y12*'EV %sales'!$AP$58+'Japan EV uptake'!Y12*'EV %sales'!$AQ$58+'Korea EV uptake'!Y12*'EV %sales'!$AR$58+'Netherlands logist Take-up'!AD90*'EV %sales'!$AS$58+'New Zealand EV uptake'!Y12*'EV %sales'!$AT$58+'Norway EV uptake with subs'!AE19*'EV %sales'!$AU$58+'Spain EV uptake'!Y12*'EV %sales'!$AV$58+'Sweden EV uptake'!Y12*'EV %sales'!$AW$58+'Switzerland EV uptake'!Y12*'EV %sales'!$AX$58+'USA EV uptake'!Y12*'EV %sales'!$AZ$58)/('EV %sales'!$BB$58-'EV %sales'!$BA$58)</f>
        <v>1.6863144153863681</v>
      </c>
      <c r="AD68" s="13">
        <f>('Australia EV uptake'!AB12*'EV %sales'!$AE$58+'Austria EV uptake'!Z12*'EV %sales'!$AF$58+'Belgian EV uptake'!Z12*'EV %sales'!$AG$58+'British EV uptake'!Z12*'EV %sales'!$AY$58+'Canada EV uptake'!Z12*'EV %sales'!$AH$58+'China EV uptake'!Z12*'EV %sales'!$AI$58+'Denmark EV uptake'!AL21*'EV %sales'!$AJ$58+'Finland EV uptake'!Z12*'EV %sales'!$AK$58+'France EV uptake'!Z12*'EV %sales'!$AL$58+'Germany EV uptake'!Z12*'EV %sales'!$AM$58+'India EV uptake'!Z12*'EV %sales'!$AN$58+'Ireland EV uptake'!Z12*'EV %sales'!$AO$58+'Italy EV uptake'!Z12*'EV %sales'!$AP$58+'Japan EV uptake'!Z12*'EV %sales'!$AQ$58+'Korea EV uptake'!Z12*'EV %sales'!$AR$58+'Netherlands logist Take-up'!AE90*'EV %sales'!$AS$58+'New Zealand EV uptake'!Z12*'EV %sales'!$AT$58+'Norway EV uptake with subs'!AF19*'EV %sales'!$AU$58+'Spain EV uptake'!Z12*'EV %sales'!$AV$58+'Sweden EV uptake'!Z12*'EV %sales'!$AW$58+'Switzerland EV uptake'!Z12*'EV %sales'!$AX$58+'USA EV uptake'!Z12*'EV %sales'!$AZ$58)/('EV %sales'!$BB$58-'EV %sales'!$BA$58)</f>
        <v>1.6924611455163427</v>
      </c>
    </row>
    <row r="69" spans="1:30">
      <c r="A69">
        <v>2018</v>
      </c>
      <c r="B69" s="13">
        <f>'EV %sales'!Y76</f>
        <v>2.8604156566476502</v>
      </c>
      <c r="C69" s="13">
        <f t="shared" si="7"/>
        <v>2.8311667018084488</v>
      </c>
      <c r="D69" s="13">
        <f>65*EXP(I69)/(1+EXP(I69))</f>
        <v>2.8311667018084488</v>
      </c>
      <c r="E69" s="13">
        <f t="shared" si="9"/>
        <v>2.730161099649465</v>
      </c>
      <c r="F69">
        <f t="shared" si="10"/>
        <v>-3.078416266143412</v>
      </c>
      <c r="G69">
        <f t="shared" si="4"/>
        <v>-3.0891649129684851</v>
      </c>
      <c r="H69" s="230">
        <f t="shared" si="11"/>
        <v>-3.1271165634496336</v>
      </c>
      <c r="I69" s="230">
        <f>G69</f>
        <v>-3.0891649129684851</v>
      </c>
      <c r="J69" s="13">
        <v>0</v>
      </c>
      <c r="L69" s="13">
        <f>('Australia EV uptake'!V13*'EV %sales'!$AE$58+'Austria EV uptake'!T13*'EV %sales'!$AF$58+'Belgian EV uptake'!T13*'EV %sales'!$AG$58+'British EV uptake'!T13*'EV %sales'!$AY$58+'Canada EV uptake'!T13*'EV %sales'!$AH$58+'China EV uptake'!T13*'EV %sales'!$AI$58+'Denmark EV uptake'!AF22*'EV %sales'!$AJ$58+'Finland EV uptake'!T13*'EV %sales'!$AK$58+'France EV uptake'!T13*'EV %sales'!$AL$58+'Germany EV uptake'!T13*'EV %sales'!$AM$58+'India EV uptake'!T13*'EV %sales'!$AN$58+'Ireland EV uptake'!T13*'EV %sales'!$AO$58+'Italy EV uptake'!T13*'EV %sales'!$AP$58+'Japan EV uptake'!T13*'EV %sales'!$AQ$58+'Korea EV uptake'!T13*'EV %sales'!$AR$58+'Netherlands logist Take-up'!Y91*'EV %sales'!$AS$58+'New Zealand EV uptake'!T13*'EV %sales'!$AT$58+'Norway EV uptake with subs'!Z20*'EV %sales'!$AU$58+'Spain EV uptake'!T13*'EV %sales'!$AV$58+'Sweden EV uptake'!T13*'EV %sales'!$AW$58+'Switzerland EV uptake'!T13*'EV %sales'!$AX$58+'USA EV uptake'!T13*'EV %sales'!$AZ$58)/('EV %sales'!$BB$58-'EV %sales'!$BA$58)</f>
        <v>2.9704277983043195</v>
      </c>
      <c r="M69" s="13">
        <f>('Australia EV uptake'!N13*'EV %sales'!AE$58+'Austria EV uptake'!L13*'EV %sales'!AF$58+'Belgian EV uptake'!L13*'EV %sales'!AG$58+'British EV uptake'!L13*'EV %sales'!AY$58+'Canada EV uptake'!L13*'EV %sales'!AH$58+'China EV uptake'!L13*'EV %sales'!AI$58+'Denmark EV uptake'!X22*'EV %sales'!AJ$58+'Finland EV uptake'!L13*'EV %sales'!AK$58+'France EV uptake'!L13*'EV %sales'!AL$58+'Germany EV uptake'!L13*'EV %sales'!AM$58+'India EV uptake'!L13*'EV %sales'!AN$58+'Ireland EV uptake'!L13*'EV %sales'!AO$58+'Italy EV uptake'!L13*'EV %sales'!AP$58+'Japan EV uptake'!L13*'EV %sales'!AQ$58+'Korea EV uptake'!L13*'EV %sales'!AR$58+'Netherlands logist Take-up'!O91*'EV %sales'!AS$58+'New Zealand EV uptake'!L13*'EV %sales'!AT$58+'Norway EV uptake with subs'!R23*'EV %sales'!AU$58+'Spain EV uptake'!L13*'EV %sales'!AV$58+'Sweden EV uptake'!L13*'EV %sales'!AW$58+'Switzerland EV uptake'!L13*'EV %sales'!AX$58+'USA EV uptake'!L13*'EV %sales'!AZ$58+'Rest Europe EV takeup'!O13*'EV %sales'!BA$58)/'EV %sales'!BB$58</f>
        <v>2.8197459842657282</v>
      </c>
      <c r="N69" s="13">
        <f>('Australia EV uptake'!D13*'EV %sales'!AE$58+'Austria EV uptake'!AB13*'EV %sales'!AF$58+'Belgian EV uptake'!AB13*'EV %sales'!AG$58+'British EV uptake'!AB13*'EV %sales'!AY$58+'Canada EV uptake'!AB13*'EV %sales'!AH$58+'China EV uptake'!AB13*'EV %sales'!AI$58+'Denmark EV uptake'!F22*'EV %sales'!AJ$58+'Finland EV uptake'!AB13*'EV %sales'!AK$58+'France EV uptake'!AB13*'EV %sales'!AL$58+'Germany EV uptake'!AB13*'EV %sales'!AM$58+'India EV uptake'!AB13*'EV %sales'!AN$58+'Ireland EV uptake'!AB13*'EV %sales'!AO$58+'Italy EV uptake'!AB13*'EV %sales'!AP$58+'Japan EV uptake'!AB13*'EV %sales'!AQ$58+'Korea EV uptake'!AB13*'EV %sales'!AR$58+'Netherlands logist Take-up'!E91*'EV %sales'!AS$58+'New Zealand EV uptake'!AB13*'EV %sales'!AT$58+'Norway EV uptake with subs'!H23*'EV %sales'!AU$58+'Spain EV uptake'!AB13*'EV %sales'!AV$58+'Sweden EV uptake'!AB13*'EV %sales'!AW$58+'Switzerland EV uptake'!AB13*'EV %sales'!AX$58+'USA EV uptake'!AB13*'EV %sales'!AZ$58+'Rest Europe EV takeup'!O13*'EV %sales'!BA$58)/'EV %sales'!BB$58</f>
        <v>3.0261971511893462</v>
      </c>
      <c r="P69">
        <v>9</v>
      </c>
      <c r="Q69" s="13">
        <f t="shared" si="6"/>
        <v>1.3939016865731499</v>
      </c>
      <c r="R69" s="13"/>
      <c r="S69" s="13"/>
      <c r="T69" s="13">
        <f>'Country Petrol Prices'!Y90</f>
        <v>1.4822223594193018</v>
      </c>
      <c r="V69">
        <v>2018</v>
      </c>
      <c r="W69" s="13">
        <f>('Australia EV uptake'!U13*'EV %sales'!$AE$58+'Austria EV uptake'!S13*'EV %sales'!$AF$58+'Belgian EV uptake'!S13*'EV %sales'!$AG$58+'British EV uptake'!S13*'EV %sales'!$AY$58+'Canada EV uptake'!S13*'EV %sales'!$AH$58+'China EV uptake'!S13*'EV %sales'!$AI$58+'Denmark EV uptake'!AE22*'EV %sales'!$AJ$58+'Finland EV uptake'!S13*'EV %sales'!$AK$58+'France EV uptake'!S13*'EV %sales'!$AL$58+'Germany EV uptake'!S13*'EV %sales'!$AM$58+'India EV uptake'!S13*'EV %sales'!$AN$58+'Ireland EV uptake'!S13*'EV %sales'!$AO$58+'Italy EV uptake'!S13*'EV %sales'!$AP$58+'Japan EV uptake'!S13*'EV %sales'!$AQ$58+'Korea EV uptake'!S13*'EV %sales'!$AR$58+'Netherlands logist Take-up'!X91*'EV %sales'!$AS$58+'New Zealand EV uptake'!S13*'EV %sales'!$AT$58+'Norway EV uptake with subs'!Y20*'EV %sales'!$AU$58+'Spain EV uptake'!S13*'EV %sales'!$AV$58+'Sweden EV uptake'!S13*'EV %sales'!$AW$58+'Switzerland EV uptake'!S13*'EV %sales'!$AX$58+'USA EV uptake'!S13*'EV %sales'!$AZ$58)/('EV %sales'!$BB$58-'EV %sales'!$BA$58)</f>
        <v>2.9918124948661204</v>
      </c>
      <c r="X69" s="13">
        <f>('Australia EV uptake'!V13*'EV %sales'!$AE$58+'Austria EV uptake'!T13*'EV %sales'!$AF$58+'Belgian EV uptake'!T13*'EV %sales'!$AG$58+'British EV uptake'!T13*'EV %sales'!$AY$58+'Canada EV uptake'!T13*'EV %sales'!$AH$58+'China EV uptake'!T13*'EV %sales'!$AI$58+'Denmark EV uptake'!AF22*'EV %sales'!$AJ$58+'Finland EV uptake'!T13*'EV %sales'!$AK$58+'France EV uptake'!T13*'EV %sales'!$AL$58+'Germany EV uptake'!T13*'EV %sales'!$AM$58+'India EV uptake'!T13*'EV %sales'!$AN$58+'Ireland EV uptake'!T13*'EV %sales'!$AO$58+'Italy EV uptake'!T13*'EV %sales'!$AP$58+'Japan EV uptake'!T13*'EV %sales'!$AQ$58+'Korea EV uptake'!T13*'EV %sales'!$AR$58+'Netherlands logist Take-up'!Y91*'EV %sales'!$AS$58+'New Zealand EV uptake'!T13*'EV %sales'!$AT$58+'Norway EV uptake with subs'!Z20*'EV %sales'!$AU$58+'Spain EV uptake'!T13*'EV %sales'!$AV$58+'Sweden EV uptake'!T13*'EV %sales'!$AW$58+'Switzerland EV uptake'!T13*'EV %sales'!$AX$58+'USA EV uptake'!T13*'EV %sales'!$AZ$58)/('EV %sales'!$BB$58-'EV %sales'!$BA$58)</f>
        <v>2.9704277983043195</v>
      </c>
      <c r="Y69" s="13">
        <f>('Australia EV uptake'!W13*'EV %sales'!$AE$58+'Austria EV uptake'!U13*'EV %sales'!$AF$58+'Belgian EV uptake'!U13*'EV %sales'!$AG$58+'British EV uptake'!U13*'EV %sales'!$AY$58+'Canada EV uptake'!U13*'EV %sales'!$AH$58+'China EV uptake'!U13*'EV %sales'!$AI$58+'Denmark EV uptake'!AG22*'EV %sales'!$AJ$58+'Finland EV uptake'!U13*'EV %sales'!$AK$58+'France EV uptake'!U13*'EV %sales'!$AL$58+'Germany EV uptake'!U13*'EV %sales'!$AM$58+'India EV uptake'!U13*'EV %sales'!$AN$58+'Ireland EV uptake'!U13*'EV %sales'!$AO$58+'Italy EV uptake'!U13*'EV %sales'!$AP$58+'Japan EV uptake'!U13*'EV %sales'!$AQ$58+'Korea EV uptake'!U13*'EV %sales'!$AR$58+'Netherlands logist Take-up'!Z91*'EV %sales'!$AS$58+'New Zealand EV uptake'!U13*'EV %sales'!$AT$58+'Norway EV uptake with subs'!AA20*'EV %sales'!$AU$58+'Spain EV uptake'!U13*'EV %sales'!$AV$58+'Sweden EV uptake'!U13*'EV %sales'!$AW$58+'Switzerland EV uptake'!U13*'EV %sales'!$AX$58+'USA EV uptake'!U13*'EV %sales'!$AZ$58)/('EV %sales'!$BB$58-'EV %sales'!$BA$58)</f>
        <v>2.9577014852575179</v>
      </c>
      <c r="AA69">
        <v>2018</v>
      </c>
      <c r="AB69" s="13">
        <f>('Australia EV uptake'!Z13*'EV %sales'!$AE$58+'Austria EV uptake'!X13*'EV %sales'!$AF$58+'Belgian EV uptake'!X13*'EV %sales'!$AG$58+'British EV uptake'!X13*'EV %sales'!$AY$58+'Canada EV uptake'!X13*'EV %sales'!$AH$58+'China EV uptake'!X13*'EV %sales'!$AI$58+'Denmark EV uptake'!AJ22*'EV %sales'!$AJ$58+'Finland EV uptake'!X13*'EV %sales'!$AK$58+'France EV uptake'!X13*'EV %sales'!$AL$58+'Germany EV uptake'!X13*'EV %sales'!$AM$58+'India EV uptake'!X13*'EV %sales'!$AN$58+'Ireland EV uptake'!X13*'EV %sales'!$AO$58+'Italy EV uptake'!X13*'EV %sales'!$AP$58+'Japan EV uptake'!X13*'EV %sales'!$AQ$58+'Korea EV uptake'!X13*'EV %sales'!$AR$58+'Netherlands logist Take-up'!AC91*'EV %sales'!$AS$58+'New Zealand EV uptake'!X13*'EV %sales'!$AT$58+'Norway EV uptake with subs'!AD20*'EV %sales'!$AU$58+'Spain EV uptake'!X13*'EV %sales'!$AV$58+'Sweden EV uptake'!X13*'EV %sales'!$AW$58+'Switzerland EV uptake'!X13*'EV %sales'!$AX$58+'USA EV uptake'!X13*'EV %sales'!$AZ$58)/('EV %sales'!$BB$58-'EV %sales'!$BA$58)</f>
        <v>2.942517764433878</v>
      </c>
      <c r="AC69" s="13">
        <f>('Australia EV uptake'!AA13*'EV %sales'!$AE$58+'Austria EV uptake'!Y13*'EV %sales'!$AF$58+'Belgian EV uptake'!Y13*'EV %sales'!$AG$58+'British EV uptake'!Y13*'EV %sales'!$AY$58+'Canada EV uptake'!Y13*'EV %sales'!$AH$58+'China EV uptake'!Y13*'EV %sales'!$AI$58+'Denmark EV uptake'!AK22*'EV %sales'!$AJ$58+'Finland EV uptake'!Y13*'EV %sales'!$AK$58+'France EV uptake'!Y13*'EV %sales'!$AL$58+'Germany EV uptake'!Y13*'EV %sales'!$AM$58+'India EV uptake'!Y13*'EV %sales'!$AN$58+'Ireland EV uptake'!Y13*'EV %sales'!$AO$58+'Italy EV uptake'!Y13*'EV %sales'!$AP$58+'Japan EV uptake'!Y13*'EV %sales'!$AQ$58+'Korea EV uptake'!Y13*'EV %sales'!$AR$58+'Netherlands logist Take-up'!AD91*'EV %sales'!$AS$58+'New Zealand EV uptake'!Y13*'EV %sales'!$AT$58+'Norway EV uptake with subs'!AE20*'EV %sales'!$AU$58+'Spain EV uptake'!Y13*'EV %sales'!$AV$58+'Sweden EV uptake'!Y13*'EV %sales'!$AW$58+'Switzerland EV uptake'!Y13*'EV %sales'!$AX$58+'USA EV uptake'!Y13*'EV %sales'!$AZ$58)/('EV %sales'!$BB$58-'EV %sales'!$BA$58)</f>
        <v>2.9704277983043195</v>
      </c>
      <c r="AD69" s="13">
        <f>('Australia EV uptake'!AB13*'EV %sales'!$AE$58+'Austria EV uptake'!Z13*'EV %sales'!$AF$58+'Belgian EV uptake'!Z13*'EV %sales'!$AG$58+'British EV uptake'!Z13*'EV %sales'!$AY$58+'Canada EV uptake'!Z13*'EV %sales'!$AH$58+'China EV uptake'!Z13*'EV %sales'!$AI$58+'Denmark EV uptake'!AL22*'EV %sales'!$AJ$58+'Finland EV uptake'!Z13*'EV %sales'!$AK$58+'France EV uptake'!Z13*'EV %sales'!$AL$58+'Germany EV uptake'!Z13*'EV %sales'!$AM$58+'India EV uptake'!Z13*'EV %sales'!$AN$58+'Ireland EV uptake'!Z13*'EV %sales'!$AO$58+'Italy EV uptake'!Z13*'EV %sales'!$AP$58+'Japan EV uptake'!Z13*'EV %sales'!$AQ$58+'Korea EV uptake'!Z13*'EV %sales'!$AR$58+'Netherlands logist Take-up'!AE91*'EV %sales'!$AS$58+'New Zealand EV uptake'!Z13*'EV %sales'!$AT$58+'Norway EV uptake with subs'!AF20*'EV %sales'!$AU$58+'Spain EV uptake'!Z13*'EV %sales'!$AV$58+'Sweden EV uptake'!Z13*'EV %sales'!$AW$58+'Switzerland EV uptake'!Z13*'EV %sales'!$AX$58+'USA EV uptake'!Z13*'EV %sales'!$AZ$58)/('EV %sales'!$BB$58-'EV %sales'!$BA$58)</f>
        <v>3.0140857221022825</v>
      </c>
    </row>
    <row r="70" spans="1:30">
      <c r="A70">
        <v>2019</v>
      </c>
      <c r="C70" s="13">
        <f>65*EXP(G70)/(1+EXP(G70))</f>
        <v>4.6657433283108087</v>
      </c>
      <c r="D70" s="13">
        <f>65*EXP(I70)/(1+EXP(I70))</f>
        <v>4.6657433283108087</v>
      </c>
      <c r="E70" s="13">
        <f>65*EXP(H70)/(1+EXP(H70))</f>
        <v>3.8564974304636261</v>
      </c>
      <c r="G70">
        <f t="shared" si="4"/>
        <v>-2.5596528832797447</v>
      </c>
      <c r="H70" s="230">
        <f t="shared" si="11"/>
        <v>-2.7634642324100382</v>
      </c>
      <c r="I70" s="230">
        <f t="shared" si="5"/>
        <v>-2.5596528832797447</v>
      </c>
      <c r="J70" s="13">
        <v>0</v>
      </c>
      <c r="L70" s="13">
        <f>('Australia EV uptake'!V14*'EV %sales'!$AE$58+'Austria EV uptake'!T14*'EV %sales'!$AF$58+'Belgian EV uptake'!T14*'EV %sales'!$AG$58+'British EV uptake'!T14*'EV %sales'!$AY$58+'Canada EV uptake'!T14*'EV %sales'!$AH$58+'China EV uptake'!T14*'EV %sales'!$AI$58+'Denmark EV uptake'!AF23*'EV %sales'!$AJ$58+'Finland EV uptake'!T14*'EV %sales'!$AK$58+'France EV uptake'!T14*'EV %sales'!$AL$58+'Germany EV uptake'!T14*'EV %sales'!$AM$58+'India EV uptake'!T14*'EV %sales'!$AN$58+'Ireland EV uptake'!T14*'EV %sales'!$AO$58+'Italy EV uptake'!T14*'EV %sales'!$AP$58+'Japan EV uptake'!T14*'EV %sales'!$AQ$58+'Korea EV uptake'!T14*'EV %sales'!$AR$58+'Netherlands logist Take-up'!Y92*'EV %sales'!$AS$58+'New Zealand EV uptake'!T14*'EV %sales'!$AT$58+'Norway EV uptake with subs'!Z21*'EV %sales'!$AU$58+'Spain EV uptake'!T14*'EV %sales'!$AV$58+'Sweden EV uptake'!T14*'EV %sales'!$AW$58+'Switzerland EV uptake'!T14*'EV %sales'!$AX$58+'USA EV uptake'!T14*'EV %sales'!$AZ$58)/('EV %sales'!$BB$58-'EV %sales'!$BA$58)</f>
        <v>4.0987302726284458</v>
      </c>
      <c r="M70" s="13">
        <f>('Australia EV uptake'!N14*'EV %sales'!AE$58+'Austria EV uptake'!L14*'EV %sales'!AF$58+'Belgian EV uptake'!L14*'EV %sales'!AG$58+'British EV uptake'!L14*'EV %sales'!AY$58+'Canada EV uptake'!L14*'EV %sales'!AH$58+'China EV uptake'!L14*'EV %sales'!AI$58+'Denmark EV uptake'!X23*'EV %sales'!AJ$58+'Finland EV uptake'!L14*'EV %sales'!AK$58+'France EV uptake'!L14*'EV %sales'!AL$58+'Germany EV uptake'!L14*'EV %sales'!AM$58+'India EV uptake'!L14*'EV %sales'!AN$58+'Ireland EV uptake'!L14*'EV %sales'!AO$58+'Italy EV uptake'!L14*'EV %sales'!AP$58+'Japan EV uptake'!L14*'EV %sales'!AQ$58+'Korea EV uptake'!L14*'EV %sales'!AR$58+'Netherlands logist Take-up'!O92*'EV %sales'!AS$58+'New Zealand EV uptake'!L14*'EV %sales'!AT$58+'Norway EV uptake with subs'!R24*'EV %sales'!AU$58+'Spain EV uptake'!L14*'EV %sales'!AV$58+'Sweden EV uptake'!L14*'EV %sales'!AW$58+'Switzerland EV uptake'!L14*'EV %sales'!AX$58+'USA EV uptake'!L14*'EV %sales'!AZ$58+'Rest Europe EV takeup'!O14*'EV %sales'!BA$58)/'EV %sales'!BB$58</f>
        <v>3.9707288844303834</v>
      </c>
      <c r="N70" s="13">
        <f>('Australia EV uptake'!D14*'EV %sales'!AE$58+'Austria EV uptake'!AB14*'EV %sales'!AF$58+'Belgian EV uptake'!AB14*'EV %sales'!AG$58+'British EV uptake'!AB14*'EV %sales'!AY$58+'Canada EV uptake'!AB14*'EV %sales'!AH$58+'China EV uptake'!AB14*'EV %sales'!AI$58+'Denmark EV uptake'!F23*'EV %sales'!AJ$58+'Finland EV uptake'!AB14*'EV %sales'!AK$58+'France EV uptake'!AB14*'EV %sales'!AL$58+'Germany EV uptake'!AB14*'EV %sales'!AM$58+'India EV uptake'!AB14*'EV %sales'!AN$58+'Ireland EV uptake'!AB14*'EV %sales'!AO$58+'Italy EV uptake'!AB14*'EV %sales'!AP$58+'Japan EV uptake'!AB14*'EV %sales'!AQ$58+'Korea EV uptake'!AB14*'EV %sales'!AR$58+'Netherlands logist Take-up'!E92*'EV %sales'!AS$58+'New Zealand EV uptake'!AB14*'EV %sales'!AT$58+'Norway EV uptake with subs'!H24*'EV %sales'!AU$58+'Spain EV uptake'!AB14*'EV %sales'!AV$58+'Sweden EV uptake'!AB14*'EV %sales'!AW$58+'Switzerland EV uptake'!AB14*'EV %sales'!AX$58+'USA EV uptake'!AB14*'EV %sales'!AZ$58+'Rest Europe EV takeup'!O14*'EV %sales'!BA$58)/'EV %sales'!BB$58</f>
        <v>4.3181453316148639</v>
      </c>
      <c r="P70">
        <v>10</v>
      </c>
      <c r="Q70" s="13">
        <f t="shared" si="6"/>
        <v>1.4822223594193018</v>
      </c>
      <c r="R70" s="13"/>
      <c r="S70" s="13"/>
      <c r="T70" s="13">
        <f>'Country Petrol Prices'!Y91</f>
        <v>1.4567396628064793</v>
      </c>
      <c r="V70">
        <v>2019</v>
      </c>
      <c r="W70" s="13">
        <f>('Australia EV uptake'!U14*'EV %sales'!$AE$58+'Austria EV uptake'!S14*'EV %sales'!$AF$58+'Belgian EV uptake'!S14*'EV %sales'!$AG$58+'British EV uptake'!S14*'EV %sales'!$AY$58+'Canada EV uptake'!S14*'EV %sales'!$AH$58+'China EV uptake'!S14*'EV %sales'!$AI$58+'Denmark EV uptake'!AE23*'EV %sales'!$AJ$58+'Finland EV uptake'!S14*'EV %sales'!$AK$58+'France EV uptake'!S14*'EV %sales'!$AL$58+'Germany EV uptake'!S14*'EV %sales'!$AM$58+'India EV uptake'!S14*'EV %sales'!$AN$58+'Ireland EV uptake'!S14*'EV %sales'!$AO$58+'Italy EV uptake'!S14*'EV %sales'!$AP$58+'Japan EV uptake'!S14*'EV %sales'!$AQ$58+'Korea EV uptake'!S14*'EV %sales'!$AR$58+'Netherlands logist Take-up'!X92*'EV %sales'!$AS$58+'New Zealand EV uptake'!S14*'EV %sales'!$AT$58+'Norway EV uptake with subs'!Y21*'EV %sales'!$AU$58+'Spain EV uptake'!S14*'EV %sales'!$AV$58+'Sweden EV uptake'!S14*'EV %sales'!$AW$58+'Switzerland EV uptake'!S14*'EV %sales'!$AX$58+'USA EV uptake'!S14*'EV %sales'!$AZ$58)/('EV %sales'!$BB$58-'EV %sales'!$BA$58)</f>
        <v>4.4800152993299909</v>
      </c>
      <c r="X70" s="13">
        <f>('Australia EV uptake'!V14*'EV %sales'!$AE$58+'Austria EV uptake'!T14*'EV %sales'!$AF$58+'Belgian EV uptake'!T14*'EV %sales'!$AG$58+'British EV uptake'!T14*'EV %sales'!$AY$58+'Canada EV uptake'!T14*'EV %sales'!$AH$58+'China EV uptake'!T14*'EV %sales'!$AI$58+'Denmark EV uptake'!AF23*'EV %sales'!$AJ$58+'Finland EV uptake'!T14*'EV %sales'!$AK$58+'France EV uptake'!T14*'EV %sales'!$AL$58+'Germany EV uptake'!T14*'EV %sales'!$AM$58+'India EV uptake'!T14*'EV %sales'!$AN$58+'Ireland EV uptake'!T14*'EV %sales'!$AO$58+'Italy EV uptake'!T14*'EV %sales'!$AP$58+'Japan EV uptake'!T14*'EV %sales'!$AQ$58+'Korea EV uptake'!T14*'EV %sales'!$AR$58+'Netherlands logist Take-up'!Y92*'EV %sales'!$AS$58+'New Zealand EV uptake'!T14*'EV %sales'!$AT$58+'Norway EV uptake with subs'!Z21*'EV %sales'!$AU$58+'Spain EV uptake'!T14*'EV %sales'!$AV$58+'Sweden EV uptake'!T14*'EV %sales'!$AW$58+'Switzerland EV uptake'!T14*'EV %sales'!$AX$58+'USA EV uptake'!T14*'EV %sales'!$AZ$58)/('EV %sales'!$BB$58-'EV %sales'!$BA$58)</f>
        <v>4.0987302726284458</v>
      </c>
      <c r="Y70" s="13">
        <f>('Australia EV uptake'!W14*'EV %sales'!$AE$58+'Austria EV uptake'!U14*'EV %sales'!$AF$58+'Belgian EV uptake'!U14*'EV %sales'!$AG$58+'British EV uptake'!U14*'EV %sales'!$AY$58+'Canada EV uptake'!U14*'EV %sales'!$AH$58+'China EV uptake'!U14*'EV %sales'!$AI$58+'Denmark EV uptake'!AG23*'EV %sales'!$AJ$58+'Finland EV uptake'!U14*'EV %sales'!$AK$58+'France EV uptake'!U14*'EV %sales'!$AL$58+'Germany EV uptake'!U14*'EV %sales'!$AM$58+'India EV uptake'!U14*'EV %sales'!$AN$58+'Ireland EV uptake'!U14*'EV %sales'!$AO$58+'Italy EV uptake'!U14*'EV %sales'!$AP$58+'Japan EV uptake'!U14*'EV %sales'!$AQ$58+'Korea EV uptake'!U14*'EV %sales'!$AR$58+'Netherlands logist Take-up'!Z92*'EV %sales'!$AS$58+'New Zealand EV uptake'!U14*'EV %sales'!$AT$58+'Norway EV uptake with subs'!AA21*'EV %sales'!$AU$58+'Spain EV uptake'!U14*'EV %sales'!$AV$58+'Sweden EV uptake'!U14*'EV %sales'!$AW$58+'Switzerland EV uptake'!U14*'EV %sales'!$AX$58+'USA EV uptake'!U14*'EV %sales'!$AZ$58)/('EV %sales'!$BB$58-'EV %sales'!$BA$58)</f>
        <v>3.5441032974231272</v>
      </c>
      <c r="AA70">
        <v>2019</v>
      </c>
      <c r="AB70" s="13">
        <f>('Australia EV uptake'!Z14*'EV %sales'!$AE$58+'Austria EV uptake'!X14*'EV %sales'!$AF$58+'Belgian EV uptake'!X14*'EV %sales'!$AG$58+'British EV uptake'!X14*'EV %sales'!$AY$58+'Canada EV uptake'!X14*'EV %sales'!$AH$58+'China EV uptake'!X14*'EV %sales'!$AI$58+'Denmark EV uptake'!AJ23*'EV %sales'!$AJ$58+'Finland EV uptake'!X14*'EV %sales'!$AK$58+'France EV uptake'!X14*'EV %sales'!$AL$58+'Germany EV uptake'!X14*'EV %sales'!$AM$58+'India EV uptake'!X14*'EV %sales'!$AN$58+'Ireland EV uptake'!X14*'EV %sales'!$AO$58+'Italy EV uptake'!X14*'EV %sales'!$AP$58+'Japan EV uptake'!X14*'EV %sales'!$AQ$58+'Korea EV uptake'!X14*'EV %sales'!$AR$58+'Netherlands logist Take-up'!AC92*'EV %sales'!$AS$58+'New Zealand EV uptake'!X14*'EV %sales'!$AT$58+'Norway EV uptake with subs'!AD21*'EV %sales'!$AU$58+'Spain EV uptake'!X14*'EV %sales'!$AV$58+'Sweden EV uptake'!X14*'EV %sales'!$AW$58+'Switzerland EV uptake'!X14*'EV %sales'!$AX$58+'USA EV uptake'!X14*'EV %sales'!$AZ$58)/('EV %sales'!$BB$58-'EV %sales'!$BA$58)</f>
        <v>3.2979505269201228</v>
      </c>
      <c r="AC70" s="13">
        <f>('Australia EV uptake'!AA14*'EV %sales'!$AE$58+'Austria EV uptake'!Y14*'EV %sales'!$AF$58+'Belgian EV uptake'!Y14*'EV %sales'!$AG$58+'British EV uptake'!Y14*'EV %sales'!$AY$58+'Canada EV uptake'!Y14*'EV %sales'!$AH$58+'China EV uptake'!Y14*'EV %sales'!$AI$58+'Denmark EV uptake'!AK23*'EV %sales'!$AJ$58+'Finland EV uptake'!Y14*'EV %sales'!$AK$58+'France EV uptake'!Y14*'EV %sales'!$AL$58+'Germany EV uptake'!Y14*'EV %sales'!$AM$58+'India EV uptake'!Y14*'EV %sales'!$AN$58+'Ireland EV uptake'!Y14*'EV %sales'!$AO$58+'Italy EV uptake'!Y14*'EV %sales'!$AP$58+'Japan EV uptake'!Y14*'EV %sales'!$AQ$58+'Korea EV uptake'!Y14*'EV %sales'!$AR$58+'Netherlands logist Take-up'!AD92*'EV %sales'!$AS$58+'New Zealand EV uptake'!Y14*'EV %sales'!$AT$58+'Norway EV uptake with subs'!AE21*'EV %sales'!$AU$58+'Spain EV uptake'!Y14*'EV %sales'!$AV$58+'Sweden EV uptake'!Y14*'EV %sales'!$AW$58+'Switzerland EV uptake'!Y14*'EV %sales'!$AX$58+'USA EV uptake'!Y14*'EV %sales'!$AZ$58)/('EV %sales'!$BB$58-'EV %sales'!$BA$58)</f>
        <v>4.0987302726284458</v>
      </c>
      <c r="AD70" s="13">
        <f>('Australia EV uptake'!AB14*'EV %sales'!$AE$58+'Austria EV uptake'!Z14*'EV %sales'!$AF$58+'Belgian EV uptake'!Z14*'EV %sales'!$AG$58+'British EV uptake'!Z14*'EV %sales'!$AY$58+'Canada EV uptake'!Z14*'EV %sales'!$AH$58+'China EV uptake'!Z14*'EV %sales'!$AI$58+'Denmark EV uptake'!AL23*'EV %sales'!$AJ$58+'Finland EV uptake'!Z14*'EV %sales'!$AK$58+'France EV uptake'!Z14*'EV %sales'!$AL$58+'Germany EV uptake'!Z14*'EV %sales'!$AM$58+'India EV uptake'!Z14*'EV %sales'!$AN$58+'Ireland EV uptake'!Z14*'EV %sales'!$AO$58+'Italy EV uptake'!Z14*'EV %sales'!$AP$58+'Japan EV uptake'!Z14*'EV %sales'!$AQ$58+'Korea EV uptake'!Z14*'EV %sales'!$AR$58+'Netherlands logist Take-up'!AE92*'EV %sales'!$AS$58+'New Zealand EV uptake'!Z14*'EV %sales'!$AT$58+'Norway EV uptake with subs'!AF21*'EV %sales'!$AU$58+'Spain EV uptake'!Z14*'EV %sales'!$AV$58+'Sweden EV uptake'!Z14*'EV %sales'!$AW$58+'Switzerland EV uptake'!Z14*'EV %sales'!$AX$58+'USA EV uptake'!Z14*'EV %sales'!$AZ$58)/('EV %sales'!$BB$58-'EV %sales'!$BA$58)</f>
        <v>5.1150761472106989</v>
      </c>
    </row>
    <row r="71" spans="1:30">
      <c r="A71">
        <v>2020</v>
      </c>
      <c r="C71" s="13">
        <f t="shared" si="7"/>
        <v>7.1311545047818807</v>
      </c>
      <c r="D71" s="13">
        <f t="shared" ref="D71:D106" si="12">65*EXP(I71)/(1+EXP(I71))</f>
        <v>5.9569619678729833</v>
      </c>
      <c r="E71" s="13">
        <f t="shared" si="9"/>
        <v>5.4455779264867781</v>
      </c>
      <c r="G71">
        <f t="shared" si="4"/>
        <v>-2.0937060219689059</v>
      </c>
      <c r="H71" s="230">
        <f t="shared" si="11"/>
        <v>-2.3920866615207794</v>
      </c>
      <c r="I71" s="230">
        <f>G71-SUM(J$71:J71)</f>
        <v>-2.2937060219689061</v>
      </c>
      <c r="J71" s="231">
        <v>0.2</v>
      </c>
      <c r="K71">
        <v>0.22</v>
      </c>
      <c r="L71" s="13">
        <f>('Australia EV uptake'!V15*'EV %sales'!$AE$58+'Austria EV uptake'!T15*'EV %sales'!$AF$58+'Belgian EV uptake'!T15*'EV %sales'!$AG$58+'British EV uptake'!T15*'EV %sales'!$AY$58+'Canada EV uptake'!T15*'EV %sales'!$AH$58+'China EV uptake'!T15*'EV %sales'!$AI$58+'Denmark EV uptake'!AF24*'EV %sales'!$AJ$58+'Finland EV uptake'!T15*'EV %sales'!$AK$58+'France EV uptake'!T15*'EV %sales'!$AL$58+'Germany EV uptake'!T15*'EV %sales'!$AM$58+'India EV uptake'!T15*'EV %sales'!$AN$58+'Ireland EV uptake'!T15*'EV %sales'!$AO$58+'Italy EV uptake'!T15*'EV %sales'!$AP$58+'Japan EV uptake'!T15*'EV %sales'!$AQ$58+'Korea EV uptake'!T15*'EV %sales'!$AR$58+'Netherlands logist Take-up'!Y93*'EV %sales'!$AS$58+'New Zealand EV uptake'!T15*'EV %sales'!$AT$58+'Norway EV uptake with subs'!Z22*'EV %sales'!$AU$58+'Spain EV uptake'!T15*'EV %sales'!$AV$58+'Sweden EV uptake'!T15*'EV %sales'!$AW$58+'Switzerland EV uptake'!T15*'EV %sales'!$AX$58+'USA EV uptake'!T15*'EV %sales'!$AZ$58)/('EV %sales'!$BB$58-'EV %sales'!$BA$58)</f>
        <v>5.6022873763590075</v>
      </c>
      <c r="M71" s="13">
        <f>('Australia EV uptake'!N15*'EV %sales'!AE$58+'Austria EV uptake'!L15*'EV %sales'!AF$58+'Belgian EV uptake'!L15*'EV %sales'!AG$58+'British EV uptake'!L15*'EV %sales'!AY$58+'Canada EV uptake'!L15*'EV %sales'!AH$58+'China EV uptake'!L15*'EV %sales'!AI$58+'Denmark EV uptake'!X24*'EV %sales'!AJ$58+'Finland EV uptake'!L15*'EV %sales'!AK$58+'France EV uptake'!L15*'EV %sales'!AL$58+'Germany EV uptake'!L15*'EV %sales'!AM$58+'India EV uptake'!L15*'EV %sales'!AN$58+'Ireland EV uptake'!L15*'EV %sales'!AO$58+'Italy EV uptake'!L15*'EV %sales'!AP$58+'Japan EV uptake'!L15*'EV %sales'!AQ$58+'Korea EV uptake'!L15*'EV %sales'!AR$58+'Netherlands logist Take-up'!O93*'EV %sales'!AS$58+'New Zealand EV uptake'!L15*'EV %sales'!AT$58+'Norway EV uptake with subs'!R25*'EV %sales'!AU$58+'Spain EV uptake'!L15*'EV %sales'!AV$58+'Sweden EV uptake'!L15*'EV %sales'!AW$58+'Switzerland EV uptake'!L15*'EV %sales'!AX$58+'USA EV uptake'!L15*'EV %sales'!AZ$58+'Rest Europe EV takeup'!O15*'EV %sales'!BA$58)/'EV %sales'!BB$58</f>
        <v>5.8583547077187319</v>
      </c>
      <c r="N71" s="13">
        <f>('Australia EV uptake'!D15*'EV %sales'!AE$58+'Austria EV uptake'!AB15*'EV %sales'!AF$58+'Belgian EV uptake'!AB15*'EV %sales'!AG$58+'British EV uptake'!AB15*'EV %sales'!AY$58+'Canada EV uptake'!AB15*'EV %sales'!AH$58+'China EV uptake'!AB15*'EV %sales'!AI$58+'Denmark EV uptake'!F24*'EV %sales'!AJ$58+'Finland EV uptake'!AB15*'EV %sales'!AK$58+'France EV uptake'!AB15*'EV %sales'!AL$58+'Germany EV uptake'!AB15*'EV %sales'!AM$58+'India EV uptake'!AB15*'EV %sales'!AN$58+'Ireland EV uptake'!AB15*'EV %sales'!AO$58+'Italy EV uptake'!AB15*'EV %sales'!AP$58+'Japan EV uptake'!AB15*'EV %sales'!AQ$58+'Korea EV uptake'!AB15*'EV %sales'!AR$58+'Netherlands logist Take-up'!E93*'EV %sales'!AS$58+'New Zealand EV uptake'!AB15*'EV %sales'!AT$58+'Norway EV uptake with subs'!H25*'EV %sales'!AU$58+'Spain EV uptake'!AB15*'EV %sales'!AV$58+'Sweden EV uptake'!AB15*'EV %sales'!AW$58+'Switzerland EV uptake'!AB15*'EV %sales'!AX$58+'USA EV uptake'!AB15*'EV %sales'!AZ$58+'Rest Europe EV takeup'!O15*'EV %sales'!BA$58)/'EV %sales'!BB$58</f>
        <v>6.2277642321398616</v>
      </c>
      <c r="P71">
        <v>11</v>
      </c>
      <c r="Q71" s="13">
        <f t="shared" si="6"/>
        <v>1.4567396628064793</v>
      </c>
      <c r="R71" s="13"/>
      <c r="S71" s="13"/>
      <c r="T71" s="13">
        <f>'Country Petrol Prices'!Y92</f>
        <v>1.459241703609939</v>
      </c>
      <c r="V71">
        <v>2020</v>
      </c>
      <c r="W71" s="13">
        <f>('Australia EV uptake'!U15*'EV %sales'!$AE$58+'Austria EV uptake'!S15*'EV %sales'!$AF$58+'Belgian EV uptake'!S15*'EV %sales'!$AG$58+'British EV uptake'!S15*'EV %sales'!$AY$58+'Canada EV uptake'!S15*'EV %sales'!$AH$58+'China EV uptake'!S15*'EV %sales'!$AI$58+'Denmark EV uptake'!AE24*'EV %sales'!$AJ$58+'Finland EV uptake'!S15*'EV %sales'!$AK$58+'France EV uptake'!S15*'EV %sales'!$AL$58+'Germany EV uptake'!S15*'EV %sales'!$AM$58+'India EV uptake'!S15*'EV %sales'!$AN$58+'Ireland EV uptake'!S15*'EV %sales'!$AO$58+'Italy EV uptake'!S15*'EV %sales'!$AP$58+'Japan EV uptake'!S15*'EV %sales'!$AQ$58+'Korea EV uptake'!S15*'EV %sales'!$AR$58+'Netherlands logist Take-up'!X93*'EV %sales'!$AS$58+'New Zealand EV uptake'!S15*'EV %sales'!$AT$58+'Norway EV uptake with subs'!Y22*'EV %sales'!$AU$58+'Spain EV uptake'!S15*'EV %sales'!$AV$58+'Sweden EV uptake'!S15*'EV %sales'!$AW$58+'Switzerland EV uptake'!S15*'EV %sales'!$AX$58+'USA EV uptake'!S15*'EV %sales'!$AZ$58)/('EV %sales'!$BB$58-'EV %sales'!$BA$58)</f>
        <v>6.2648975551591466</v>
      </c>
      <c r="X71" s="13">
        <f>('Australia EV uptake'!V15*'EV %sales'!$AE$58+'Austria EV uptake'!T15*'EV %sales'!$AF$58+'Belgian EV uptake'!T15*'EV %sales'!$AG$58+'British EV uptake'!T15*'EV %sales'!$AY$58+'Canada EV uptake'!T15*'EV %sales'!$AH$58+'China EV uptake'!T15*'EV %sales'!$AI$58+'Denmark EV uptake'!AF24*'EV %sales'!$AJ$58+'Finland EV uptake'!T15*'EV %sales'!$AK$58+'France EV uptake'!T15*'EV %sales'!$AL$58+'Germany EV uptake'!T15*'EV %sales'!$AM$58+'India EV uptake'!T15*'EV %sales'!$AN$58+'Ireland EV uptake'!T15*'EV %sales'!$AO$58+'Italy EV uptake'!T15*'EV %sales'!$AP$58+'Japan EV uptake'!T15*'EV %sales'!$AQ$58+'Korea EV uptake'!T15*'EV %sales'!$AR$58+'Netherlands logist Take-up'!Y93*'EV %sales'!$AS$58+'New Zealand EV uptake'!T15*'EV %sales'!$AT$58+'Norway EV uptake with subs'!Z22*'EV %sales'!$AU$58+'Spain EV uptake'!T15*'EV %sales'!$AV$58+'Sweden EV uptake'!T15*'EV %sales'!$AW$58+'Switzerland EV uptake'!T15*'EV %sales'!$AX$58+'USA EV uptake'!T15*'EV %sales'!$AZ$58)/('EV %sales'!$BB$58-'EV %sales'!$BA$58)</f>
        <v>5.6022873763590075</v>
      </c>
      <c r="Y71" s="13">
        <f>('Australia EV uptake'!W15*'EV %sales'!$AE$58+'Austria EV uptake'!U15*'EV %sales'!$AF$58+'Belgian EV uptake'!U15*'EV %sales'!$AG$58+'British EV uptake'!U15*'EV %sales'!$AY$58+'Canada EV uptake'!U15*'EV %sales'!$AH$58+'China EV uptake'!U15*'EV %sales'!$AI$58+'Denmark EV uptake'!AG24*'EV %sales'!$AJ$58+'Finland EV uptake'!U15*'EV %sales'!$AK$58+'France EV uptake'!U15*'EV %sales'!$AL$58+'Germany EV uptake'!U15*'EV %sales'!$AM$58+'India EV uptake'!U15*'EV %sales'!$AN$58+'Ireland EV uptake'!U15*'EV %sales'!$AO$58+'Italy EV uptake'!U15*'EV %sales'!$AP$58+'Japan EV uptake'!U15*'EV %sales'!$AQ$58+'Korea EV uptake'!U15*'EV %sales'!$AR$58+'Netherlands logist Take-up'!Z93*'EV %sales'!$AS$58+'New Zealand EV uptake'!U15*'EV %sales'!$AT$58+'Norway EV uptake with subs'!AA22*'EV %sales'!$AU$58+'Spain EV uptake'!U15*'EV %sales'!$AV$58+'Sweden EV uptake'!U15*'EV %sales'!$AW$58+'Switzerland EV uptake'!U15*'EV %sales'!$AX$58+'USA EV uptake'!U15*'EV %sales'!$AZ$58)/('EV %sales'!$BB$58-'EV %sales'!$BA$58)</f>
        <v>4.5958427922385905</v>
      </c>
      <c r="AA71">
        <v>2020</v>
      </c>
      <c r="AB71" s="13">
        <f>('Australia EV uptake'!Z15*'EV %sales'!$AE$58+'Austria EV uptake'!X15*'EV %sales'!$AF$58+'Belgian EV uptake'!X15*'EV %sales'!$AG$58+'British EV uptake'!X15*'EV %sales'!$AY$58+'Canada EV uptake'!X15*'EV %sales'!$AH$58+'China EV uptake'!X15*'EV %sales'!$AI$58+'Denmark EV uptake'!AJ24*'EV %sales'!$AJ$58+'Finland EV uptake'!X15*'EV %sales'!$AK$58+'France EV uptake'!X15*'EV %sales'!$AL$58+'Germany EV uptake'!X15*'EV %sales'!$AM$58+'India EV uptake'!X15*'EV %sales'!$AN$58+'Ireland EV uptake'!X15*'EV %sales'!$AO$58+'Italy EV uptake'!X15*'EV %sales'!$AP$58+'Japan EV uptake'!X15*'EV %sales'!$AQ$58+'Korea EV uptake'!X15*'EV %sales'!$AR$58+'Netherlands logist Take-up'!AC93*'EV %sales'!$AS$58+'New Zealand EV uptake'!X15*'EV %sales'!$AT$58+'Norway EV uptake with subs'!AD22*'EV %sales'!$AU$58+'Spain EV uptake'!X15*'EV %sales'!$AV$58+'Sweden EV uptake'!X15*'EV %sales'!$AW$58+'Switzerland EV uptake'!X15*'EV %sales'!$AX$58+'USA EV uptake'!X15*'EV %sales'!$AZ$58)/('EV %sales'!$BB$58-'EV %sales'!$BA$58)</f>
        <v>3.8132110600664424</v>
      </c>
      <c r="AC71" s="13">
        <f>('Australia EV uptake'!AA15*'EV %sales'!$AE$58+'Austria EV uptake'!Y15*'EV %sales'!$AF$58+'Belgian EV uptake'!Y15*'EV %sales'!$AG$58+'British EV uptake'!Y15*'EV %sales'!$AY$58+'Canada EV uptake'!Y15*'EV %sales'!$AH$58+'China EV uptake'!Y15*'EV %sales'!$AI$58+'Denmark EV uptake'!AK24*'EV %sales'!$AJ$58+'Finland EV uptake'!Y15*'EV %sales'!$AK$58+'France EV uptake'!Y15*'EV %sales'!$AL$58+'Germany EV uptake'!Y15*'EV %sales'!$AM$58+'India EV uptake'!Y15*'EV %sales'!$AN$58+'Ireland EV uptake'!Y15*'EV %sales'!$AO$58+'Italy EV uptake'!Y15*'EV %sales'!$AP$58+'Japan EV uptake'!Y15*'EV %sales'!$AQ$58+'Korea EV uptake'!Y15*'EV %sales'!$AR$58+'Netherlands logist Take-up'!AD93*'EV %sales'!$AS$58+'New Zealand EV uptake'!Y15*'EV %sales'!$AT$58+'Norway EV uptake with subs'!AE22*'EV %sales'!$AU$58+'Spain EV uptake'!Y15*'EV %sales'!$AV$58+'Sweden EV uptake'!Y15*'EV %sales'!$AW$58+'Switzerland EV uptake'!Y15*'EV %sales'!$AX$58+'USA EV uptake'!Y15*'EV %sales'!$AZ$58)/('EV %sales'!$BB$58-'EV %sales'!$BA$58)</f>
        <v>5.6022873763590075</v>
      </c>
      <c r="AD71" s="13">
        <f>('Australia EV uptake'!AB15*'EV %sales'!$AE$58+'Austria EV uptake'!Z15*'EV %sales'!$AF$58+'Belgian EV uptake'!Z15*'EV %sales'!$AG$58+'British EV uptake'!Z15*'EV %sales'!$AY$58+'Canada EV uptake'!Z15*'EV %sales'!$AH$58+'China EV uptake'!Z15*'EV %sales'!$AI$58+'Denmark EV uptake'!AL24*'EV %sales'!$AJ$58+'Finland EV uptake'!Z15*'EV %sales'!$AK$58+'France EV uptake'!Z15*'EV %sales'!$AL$58+'Germany EV uptake'!Z15*'EV %sales'!$AM$58+'India EV uptake'!Z15*'EV %sales'!$AN$58+'Ireland EV uptake'!Z15*'EV %sales'!$AO$58+'Italy EV uptake'!Z15*'EV %sales'!$AP$58+'Japan EV uptake'!Z15*'EV %sales'!$AQ$58+'Korea EV uptake'!Z15*'EV %sales'!$AR$58+'Netherlands logist Take-up'!AE93*'EV %sales'!$AS$58+'New Zealand EV uptake'!Z15*'EV %sales'!$AT$58+'Norway EV uptake with subs'!AF22*'EV %sales'!$AU$58+'Spain EV uptake'!Z15*'EV %sales'!$AV$58+'Sweden EV uptake'!Z15*'EV %sales'!$AW$58+'Switzerland EV uptake'!Z15*'EV %sales'!$AX$58+'USA EV uptake'!Z15*'EV %sales'!$AZ$58)/('EV %sales'!$BB$58-'EV %sales'!$BA$58)</f>
        <v>7.8319897445433373</v>
      </c>
    </row>
    <row r="72" spans="1:30">
      <c r="A72">
        <v>2021</v>
      </c>
      <c r="C72" s="13">
        <f t="shared" si="7"/>
        <v>10.80906767568065</v>
      </c>
      <c r="D72" s="13">
        <f t="shared" si="12"/>
        <v>7.6185957663505439</v>
      </c>
      <c r="E72" s="13">
        <f t="shared" si="9"/>
        <v>7.4602925423505688</v>
      </c>
      <c r="G72">
        <f t="shared" si="4"/>
        <v>-1.6121282126963838</v>
      </c>
      <c r="H72" s="230">
        <f t="shared" si="11"/>
        <v>-2.0428806457151376</v>
      </c>
      <c r="I72" s="230">
        <f>G72-SUM(J$71:J72)</f>
        <v>-2.0191282126963839</v>
      </c>
      <c r="J72" s="20">
        <f>J71+(J91-J71)/20</f>
        <v>0.20700000000000002</v>
      </c>
      <c r="L72" s="13">
        <f>('Australia EV uptake'!V16*'EV %sales'!$AE$58+'Austria EV uptake'!T16*'EV %sales'!$AF$58+'Belgian EV uptake'!T16*'EV %sales'!$AG$58+'British EV uptake'!T16*'EV %sales'!$AY$58+'Canada EV uptake'!T16*'EV %sales'!$AH$58+'China EV uptake'!T16*'EV %sales'!$AI$58+'Denmark EV uptake'!AF25*'EV %sales'!$AJ$58+'Finland EV uptake'!T16*'EV %sales'!$AK$58+'France EV uptake'!T16*'EV %sales'!$AL$58+'Germany EV uptake'!T16*'EV %sales'!$AM$58+'India EV uptake'!T16*'EV %sales'!$AN$58+'Ireland EV uptake'!T16*'EV %sales'!$AO$58+'Italy EV uptake'!T16*'EV %sales'!$AP$58+'Japan EV uptake'!T16*'EV %sales'!$AQ$58+'Korea EV uptake'!T16*'EV %sales'!$AR$58+'Netherlands logist Take-up'!Y94*'EV %sales'!$AS$58+'New Zealand EV uptake'!T16*'EV %sales'!$AT$58+'Norway EV uptake with subs'!Z23*'EV %sales'!$AU$58+'Spain EV uptake'!T16*'EV %sales'!$AV$58+'Sweden EV uptake'!T16*'EV %sales'!$AW$58+'Switzerland EV uptake'!T16*'EV %sales'!$AX$58+'USA EV uptake'!T16*'EV %sales'!$AZ$58)/('EV %sales'!$BB$58-'EV %sales'!$BA$58)</f>
        <v>7.3073988113108523</v>
      </c>
      <c r="M72" s="13">
        <f>('Australia EV uptake'!N16*'EV %sales'!AE$58+'Austria EV uptake'!L16*'EV %sales'!AF$58+'Belgian EV uptake'!L16*'EV %sales'!AG$58+'British EV uptake'!L16*'EV %sales'!AY$58+'Canada EV uptake'!L16*'EV %sales'!AH$58+'China EV uptake'!L16*'EV %sales'!AI$58+'Denmark EV uptake'!X25*'EV %sales'!AJ$58+'Finland EV uptake'!L16*'EV %sales'!AK$58+'France EV uptake'!L16*'EV %sales'!AL$58+'Germany EV uptake'!L16*'EV %sales'!AM$58+'India EV uptake'!L16*'EV %sales'!AN$58+'Ireland EV uptake'!L16*'EV %sales'!AO$58+'Italy EV uptake'!L16*'EV %sales'!AP$58+'Japan EV uptake'!L16*'EV %sales'!AQ$58+'Korea EV uptake'!L16*'EV %sales'!AR$58+'Netherlands logist Take-up'!O94*'EV %sales'!AS$58+'New Zealand EV uptake'!L16*'EV %sales'!AT$58+'Norway EV uptake with subs'!R26*'EV %sales'!AU$58+'Spain EV uptake'!L16*'EV %sales'!AV$58+'Sweden EV uptake'!L16*'EV %sales'!AW$58+'Switzerland EV uptake'!L16*'EV %sales'!AX$58+'USA EV uptake'!L16*'EV %sales'!AZ$58+'Rest Europe EV takeup'!O16*'EV %sales'!BA$58)/'EV %sales'!BB$58</f>
        <v>8.3901660636978104</v>
      </c>
      <c r="N72" s="13">
        <f>('Australia EV uptake'!D16*'EV %sales'!AE$58+'Austria EV uptake'!AB16*'EV %sales'!AF$58+'Belgian EV uptake'!AB16*'EV %sales'!AG$58+'British EV uptake'!AB16*'EV %sales'!AY$58+'Canada EV uptake'!AB16*'EV %sales'!AH$58+'China EV uptake'!AB16*'EV %sales'!AI$58+'Denmark EV uptake'!F25*'EV %sales'!AJ$58+'Finland EV uptake'!AB16*'EV %sales'!AK$58+'France EV uptake'!AB16*'EV %sales'!AL$58+'Germany EV uptake'!AB16*'EV %sales'!AM$58+'India EV uptake'!AB16*'EV %sales'!AN$58+'Ireland EV uptake'!AB16*'EV %sales'!AO$58+'Italy EV uptake'!AB16*'EV %sales'!AP$58+'Japan EV uptake'!AB16*'EV %sales'!AQ$58+'Korea EV uptake'!AB16*'EV %sales'!AR$58+'Netherlands logist Take-up'!E94*'EV %sales'!AS$58+'New Zealand EV uptake'!AB16*'EV %sales'!AT$58+'Norway EV uptake with subs'!H26*'EV %sales'!AU$58+'Spain EV uptake'!AB16*'EV %sales'!AV$58+'Sweden EV uptake'!AB16*'EV %sales'!AW$58+'Switzerland EV uptake'!AB16*'EV %sales'!AX$58+'USA EV uptake'!AB16*'EV %sales'!AZ$58+'Rest Europe EV takeup'!O16*'EV %sales'!BA$58)/'EV %sales'!BB$58</f>
        <v>9.0000056862900859</v>
      </c>
      <c r="P72">
        <v>12</v>
      </c>
      <c r="Q72" s="13">
        <f t="shared" si="6"/>
        <v>1.459241703609939</v>
      </c>
      <c r="R72" s="13"/>
      <c r="S72" s="13"/>
      <c r="T72" s="13">
        <f>'Country Petrol Prices'!Y93</f>
        <v>1.5146540408523248</v>
      </c>
      <c r="V72">
        <v>2021</v>
      </c>
      <c r="W72" s="13">
        <f>('Australia EV uptake'!U16*'EV %sales'!$AE$58+'Austria EV uptake'!S16*'EV %sales'!$AF$58+'Belgian EV uptake'!S16*'EV %sales'!$AG$58+'British EV uptake'!S16*'EV %sales'!$AY$58+'Canada EV uptake'!S16*'EV %sales'!$AH$58+'China EV uptake'!S16*'EV %sales'!$AI$58+'Denmark EV uptake'!AE25*'EV %sales'!$AJ$58+'Finland EV uptake'!S16*'EV %sales'!$AK$58+'France EV uptake'!S16*'EV %sales'!$AL$58+'Germany EV uptake'!S16*'EV %sales'!$AM$58+'India EV uptake'!S16*'EV %sales'!$AN$58+'Ireland EV uptake'!S16*'EV %sales'!$AO$58+'Italy EV uptake'!S16*'EV %sales'!$AP$58+'Japan EV uptake'!S16*'EV %sales'!$AQ$58+'Korea EV uptake'!S16*'EV %sales'!$AR$58+'Netherlands logist Take-up'!X94*'EV %sales'!$AS$58+'New Zealand EV uptake'!S16*'EV %sales'!$AT$58+'Norway EV uptake with subs'!Y23*'EV %sales'!$AU$58+'Spain EV uptake'!S16*'EV %sales'!$AV$58+'Sweden EV uptake'!S16*'EV %sales'!$AW$58+'Switzerland EV uptake'!S16*'EV %sales'!$AX$58+'USA EV uptake'!S16*'EV %sales'!$AZ$58)/('EV %sales'!$BB$58-'EV %sales'!$BA$58)</f>
        <v>8.393908435097158</v>
      </c>
      <c r="X72" s="13">
        <f>('Australia EV uptake'!V16*'EV %sales'!$AE$58+'Austria EV uptake'!T16*'EV %sales'!$AF$58+'Belgian EV uptake'!T16*'EV %sales'!$AG$58+'British EV uptake'!T16*'EV %sales'!$AY$58+'Canada EV uptake'!T16*'EV %sales'!$AH$58+'China EV uptake'!T16*'EV %sales'!$AI$58+'Denmark EV uptake'!AF25*'EV %sales'!$AJ$58+'Finland EV uptake'!T16*'EV %sales'!$AK$58+'France EV uptake'!T16*'EV %sales'!$AL$58+'Germany EV uptake'!T16*'EV %sales'!$AM$58+'India EV uptake'!T16*'EV %sales'!$AN$58+'Ireland EV uptake'!T16*'EV %sales'!$AO$58+'Italy EV uptake'!T16*'EV %sales'!$AP$58+'Japan EV uptake'!T16*'EV %sales'!$AQ$58+'Korea EV uptake'!T16*'EV %sales'!$AR$58+'Netherlands logist Take-up'!Y94*'EV %sales'!$AS$58+'New Zealand EV uptake'!T16*'EV %sales'!$AT$58+'Norway EV uptake with subs'!Z23*'EV %sales'!$AU$58+'Spain EV uptake'!T16*'EV %sales'!$AV$58+'Sweden EV uptake'!T16*'EV %sales'!$AW$58+'Switzerland EV uptake'!T16*'EV %sales'!$AX$58+'USA EV uptake'!T16*'EV %sales'!$AZ$58)/('EV %sales'!$BB$58-'EV %sales'!$BA$58)</f>
        <v>7.3073988113108523</v>
      </c>
      <c r="Y72" s="13">
        <f>('Australia EV uptake'!W16*'EV %sales'!$AE$58+'Austria EV uptake'!U16*'EV %sales'!$AF$58+'Belgian EV uptake'!U16*'EV %sales'!$AG$58+'British EV uptake'!U16*'EV %sales'!$AY$58+'Canada EV uptake'!U16*'EV %sales'!$AH$58+'China EV uptake'!U16*'EV %sales'!$AI$58+'Denmark EV uptake'!AG25*'EV %sales'!$AJ$58+'Finland EV uptake'!U16*'EV %sales'!$AK$58+'France EV uptake'!U16*'EV %sales'!$AL$58+'Germany EV uptake'!U16*'EV %sales'!$AM$58+'India EV uptake'!U16*'EV %sales'!$AN$58+'Ireland EV uptake'!U16*'EV %sales'!$AO$58+'Italy EV uptake'!U16*'EV %sales'!$AP$58+'Japan EV uptake'!U16*'EV %sales'!$AQ$58+'Korea EV uptake'!U16*'EV %sales'!$AR$58+'Netherlands logist Take-up'!Z94*'EV %sales'!$AS$58+'New Zealand EV uptake'!U16*'EV %sales'!$AT$58+'Norway EV uptake with subs'!AA23*'EV %sales'!$AU$58+'Spain EV uptake'!U16*'EV %sales'!$AV$58+'Sweden EV uptake'!U16*'EV %sales'!$AW$58+'Switzerland EV uptake'!U16*'EV %sales'!$AX$58+'USA EV uptake'!U16*'EV %sales'!$AZ$58)/('EV %sales'!$BB$58-'EV %sales'!$BA$58)</f>
        <v>5.967553493216208</v>
      </c>
      <c r="AA72">
        <v>2021</v>
      </c>
      <c r="AB72" s="13">
        <f>('Australia EV uptake'!Z16*'EV %sales'!$AE$58+'Austria EV uptake'!X16*'EV %sales'!$AF$58+'Belgian EV uptake'!X16*'EV %sales'!$AG$58+'British EV uptake'!X16*'EV %sales'!$AY$58+'Canada EV uptake'!X16*'EV %sales'!$AH$58+'China EV uptake'!X16*'EV %sales'!$AI$58+'Denmark EV uptake'!AJ25*'EV %sales'!$AJ$58+'Finland EV uptake'!X16*'EV %sales'!$AK$58+'France EV uptake'!X16*'EV %sales'!$AL$58+'Germany EV uptake'!X16*'EV %sales'!$AM$58+'India EV uptake'!X16*'EV %sales'!$AN$58+'Ireland EV uptake'!X16*'EV %sales'!$AO$58+'Italy EV uptake'!X16*'EV %sales'!$AP$58+'Japan EV uptake'!X16*'EV %sales'!$AQ$58+'Korea EV uptake'!X16*'EV %sales'!$AR$58+'Netherlands logist Take-up'!AC94*'EV %sales'!$AS$58+'New Zealand EV uptake'!X16*'EV %sales'!$AT$58+'Norway EV uptake with subs'!AD23*'EV %sales'!$AU$58+'Spain EV uptake'!X16*'EV %sales'!$AV$58+'Sweden EV uptake'!X16*'EV %sales'!$AW$58+'Switzerland EV uptake'!X16*'EV %sales'!$AX$58+'USA EV uptake'!X16*'EV %sales'!$AZ$58)/('EV %sales'!$BB$58-'EV %sales'!$BA$58)</f>
        <v>4.4414893648263156</v>
      </c>
      <c r="AC72" s="13">
        <f>('Australia EV uptake'!AA16*'EV %sales'!$AE$58+'Austria EV uptake'!Y16*'EV %sales'!$AF$58+'Belgian EV uptake'!Y16*'EV %sales'!$AG$58+'British EV uptake'!Y16*'EV %sales'!$AY$58+'Canada EV uptake'!Y16*'EV %sales'!$AH$58+'China EV uptake'!Y16*'EV %sales'!$AI$58+'Denmark EV uptake'!AK25*'EV %sales'!$AJ$58+'Finland EV uptake'!Y16*'EV %sales'!$AK$58+'France EV uptake'!Y16*'EV %sales'!$AL$58+'Germany EV uptake'!Y16*'EV %sales'!$AM$58+'India EV uptake'!Y16*'EV %sales'!$AN$58+'Ireland EV uptake'!Y16*'EV %sales'!$AO$58+'Italy EV uptake'!Y16*'EV %sales'!$AP$58+'Japan EV uptake'!Y16*'EV %sales'!$AQ$58+'Korea EV uptake'!Y16*'EV %sales'!$AR$58+'Netherlands logist Take-up'!AD94*'EV %sales'!$AS$58+'New Zealand EV uptake'!Y16*'EV %sales'!$AT$58+'Norway EV uptake with subs'!AE23*'EV %sales'!$AU$58+'Spain EV uptake'!Y16*'EV %sales'!$AV$58+'Sweden EV uptake'!Y16*'EV %sales'!$AW$58+'Switzerland EV uptake'!Y16*'EV %sales'!$AX$58+'USA EV uptake'!Y16*'EV %sales'!$AZ$58)/('EV %sales'!$BB$58-'EV %sales'!$BA$58)</f>
        <v>7.3073988113108523</v>
      </c>
      <c r="AD72" s="13">
        <f>('Australia EV uptake'!AB16*'EV %sales'!$AE$58+'Austria EV uptake'!Z16*'EV %sales'!$AF$58+'Belgian EV uptake'!Z16*'EV %sales'!$AG$58+'British EV uptake'!Z16*'EV %sales'!$AY$58+'Canada EV uptake'!Z16*'EV %sales'!$AH$58+'China EV uptake'!Z16*'EV %sales'!$AI$58+'Denmark EV uptake'!AL25*'EV %sales'!$AJ$58+'Finland EV uptake'!Z16*'EV %sales'!$AK$58+'France EV uptake'!Z16*'EV %sales'!$AL$58+'Germany EV uptake'!Z16*'EV %sales'!$AM$58+'India EV uptake'!Z16*'EV %sales'!$AN$58+'Ireland EV uptake'!Z16*'EV %sales'!$AO$58+'Italy EV uptake'!Z16*'EV %sales'!$AP$58+'Japan EV uptake'!Z16*'EV %sales'!$AQ$58+'Korea EV uptake'!Z16*'EV %sales'!$AR$58+'Netherlands logist Take-up'!AE94*'EV %sales'!$AS$58+'New Zealand EV uptake'!Z16*'EV %sales'!$AT$58+'Norway EV uptake with subs'!AF23*'EV %sales'!$AU$58+'Spain EV uptake'!Z16*'EV %sales'!$AV$58+'Sweden EV uptake'!Z16*'EV %sales'!$AW$58+'Switzerland EV uptake'!Z16*'EV %sales'!$AX$58+'USA EV uptake'!Z16*'EV %sales'!$AZ$58)/('EV %sales'!$BB$58-'EV %sales'!$BA$58)</f>
        <v>11.193510661837987</v>
      </c>
    </row>
    <row r="73" spans="1:30">
      <c r="A73">
        <v>2022</v>
      </c>
      <c r="C73" s="13">
        <f t="shared" si="7"/>
        <v>16.220950988507798</v>
      </c>
      <c r="D73" s="13">
        <f t="shared" si="12"/>
        <v>9.8549157197350041</v>
      </c>
      <c r="E73" s="13">
        <f t="shared" si="9"/>
        <v>9.7530223471905853</v>
      </c>
      <c r="G73">
        <f t="shared" si="4"/>
        <v>-1.1009972195589726</v>
      </c>
      <c r="H73" s="230">
        <f t="shared" si="11"/>
        <v>-1.7342364144832403</v>
      </c>
      <c r="I73" s="230">
        <f>G73-SUM(J$71:J73)</f>
        <v>-1.7219972195589726</v>
      </c>
      <c r="J73" s="20">
        <f>J72+(J91-J71)/20</f>
        <v>0.21400000000000002</v>
      </c>
      <c r="L73" s="13">
        <f>('Australia EV uptake'!V17*'EV %sales'!$AE$58+'Austria EV uptake'!T17*'EV %sales'!$AF$58+'Belgian EV uptake'!T17*'EV %sales'!$AG$58+'British EV uptake'!T17*'EV %sales'!$AY$58+'Canada EV uptake'!T17*'EV %sales'!$AH$58+'China EV uptake'!T17*'EV %sales'!$AI$58+'Denmark EV uptake'!AF26*'EV %sales'!$AJ$58+'Finland EV uptake'!T17*'EV %sales'!$AK$58+'France EV uptake'!T17*'EV %sales'!$AL$58+'Germany EV uptake'!T17*'EV %sales'!$AM$58+'India EV uptake'!T17*'EV %sales'!$AN$58+'Ireland EV uptake'!T17*'EV %sales'!$AO$58+'Italy EV uptake'!T17*'EV %sales'!$AP$58+'Japan EV uptake'!T17*'EV %sales'!$AQ$58+'Korea EV uptake'!T17*'EV %sales'!$AR$58+'Netherlands logist Take-up'!Y95*'EV %sales'!$AS$58+'New Zealand EV uptake'!T17*'EV %sales'!$AT$58+'Norway EV uptake with subs'!Z24*'EV %sales'!$AU$58+'Spain EV uptake'!T17*'EV %sales'!$AV$58+'Sweden EV uptake'!T17*'EV %sales'!$AW$58+'Switzerland EV uptake'!T17*'EV %sales'!$AX$58+'USA EV uptake'!T17*'EV %sales'!$AZ$58)/('EV %sales'!$BB$58-'EV %sales'!$BA$58)</f>
        <v>9.3297898120240692</v>
      </c>
      <c r="M73" s="13">
        <f>('Australia EV uptake'!N17*'EV %sales'!AE$58+'Austria EV uptake'!L17*'EV %sales'!AF$58+'Belgian EV uptake'!L17*'EV %sales'!AG$58+'British EV uptake'!L17*'EV %sales'!AY$58+'Canada EV uptake'!L17*'EV %sales'!AH$58+'China EV uptake'!L17*'EV %sales'!AI$58+'Denmark EV uptake'!X26*'EV %sales'!AJ$58+'Finland EV uptake'!L17*'EV %sales'!AK$58+'France EV uptake'!L17*'EV %sales'!AL$58+'Germany EV uptake'!L17*'EV %sales'!AM$58+'India EV uptake'!L17*'EV %sales'!AN$58+'Ireland EV uptake'!L17*'EV %sales'!AO$58+'Italy EV uptake'!L17*'EV %sales'!AP$58+'Japan EV uptake'!L17*'EV %sales'!AQ$58+'Korea EV uptake'!L17*'EV %sales'!AR$58+'Netherlands logist Take-up'!O95*'EV %sales'!AS$58+'New Zealand EV uptake'!L17*'EV %sales'!AT$58+'Norway EV uptake with subs'!R27*'EV %sales'!AU$58+'Spain EV uptake'!L17*'EV %sales'!AV$58+'Sweden EV uptake'!L17*'EV %sales'!AW$58+'Switzerland EV uptake'!L17*'EV %sales'!AX$58+'USA EV uptake'!L17*'EV %sales'!AZ$58+'Rest Europe EV takeup'!O17*'EV %sales'!BA$58)/'EV %sales'!BB$58</f>
        <v>12.06454346669609</v>
      </c>
      <c r="N73" s="13">
        <f>('Australia EV uptake'!D17*'EV %sales'!AE$58+'Austria EV uptake'!AB17*'EV %sales'!AF$58+'Belgian EV uptake'!AB17*'EV %sales'!AG$58+'British EV uptake'!AB17*'EV %sales'!AY$58+'Canada EV uptake'!AB17*'EV %sales'!AH$58+'China EV uptake'!AB17*'EV %sales'!AI$58+'Denmark EV uptake'!F26*'EV %sales'!AJ$58+'Finland EV uptake'!AB17*'EV %sales'!AK$58+'France EV uptake'!AB17*'EV %sales'!AL$58+'Germany EV uptake'!AB17*'EV %sales'!AM$58+'India EV uptake'!AB17*'EV %sales'!AN$58+'Ireland EV uptake'!AB17*'EV %sales'!AO$58+'Italy EV uptake'!AB17*'EV %sales'!AP$58+'Japan EV uptake'!AB17*'EV %sales'!AQ$58+'Korea EV uptake'!AB17*'EV %sales'!AR$58+'Netherlands logist Take-up'!E95*'EV %sales'!AS$58+'New Zealand EV uptake'!AB17*'EV %sales'!AT$58+'Norway EV uptake with subs'!H27*'EV %sales'!AU$58+'Spain EV uptake'!AB17*'EV %sales'!AV$58+'Sweden EV uptake'!AB17*'EV %sales'!AW$58+'Switzerland EV uptake'!AB17*'EV %sales'!AX$58+'USA EV uptake'!AB17*'EV %sales'!AZ$58+'Rest Europe EV takeup'!O17*'EV %sales'!BA$58)/'EV %sales'!BB$58</f>
        <v>12.612086342576424</v>
      </c>
      <c r="P73">
        <v>13</v>
      </c>
      <c r="Q73" s="13">
        <f t="shared" si="6"/>
        <v>1.5146540408523248</v>
      </c>
      <c r="R73" s="13"/>
      <c r="S73" s="13"/>
      <c r="T73" s="13">
        <f>'Country Petrol Prices'!Y94</f>
        <v>1.5559334691626303</v>
      </c>
      <c r="V73">
        <v>2022</v>
      </c>
      <c r="W73" s="13">
        <f>('Australia EV uptake'!U17*'EV %sales'!$AE$58+'Austria EV uptake'!S17*'EV %sales'!$AF$58+'Belgian EV uptake'!S17*'EV %sales'!$AG$58+'British EV uptake'!S17*'EV %sales'!$AY$58+'Canada EV uptake'!S17*'EV %sales'!$AH$58+'China EV uptake'!S17*'EV %sales'!$AI$58+'Denmark EV uptake'!AE26*'EV %sales'!$AJ$58+'Finland EV uptake'!S17*'EV %sales'!$AK$58+'France EV uptake'!S17*'EV %sales'!$AL$58+'Germany EV uptake'!S17*'EV %sales'!$AM$58+'India EV uptake'!S17*'EV %sales'!$AN$58+'Ireland EV uptake'!S17*'EV %sales'!$AO$58+'Italy EV uptake'!S17*'EV %sales'!$AP$58+'Japan EV uptake'!S17*'EV %sales'!$AQ$58+'Korea EV uptake'!S17*'EV %sales'!$AR$58+'Netherlands logist Take-up'!X95*'EV %sales'!$AS$58+'New Zealand EV uptake'!S17*'EV %sales'!$AT$58+'Norway EV uptake with subs'!Y24*'EV %sales'!$AU$58+'Spain EV uptake'!S17*'EV %sales'!$AV$58+'Sweden EV uptake'!S17*'EV %sales'!$AW$58+'Switzerland EV uptake'!S17*'EV %sales'!$AX$58+'USA EV uptake'!S17*'EV %sales'!$AZ$58)/('EV %sales'!$BB$58-'EV %sales'!$BA$58)</f>
        <v>10.830031997522589</v>
      </c>
      <c r="X73" s="13">
        <f>('Australia EV uptake'!V17*'EV %sales'!$AE$58+'Austria EV uptake'!T17*'EV %sales'!$AF$58+'Belgian EV uptake'!T17*'EV %sales'!$AG$58+'British EV uptake'!T17*'EV %sales'!$AY$58+'Canada EV uptake'!T17*'EV %sales'!$AH$58+'China EV uptake'!T17*'EV %sales'!$AI$58+'Denmark EV uptake'!AF26*'EV %sales'!$AJ$58+'Finland EV uptake'!T17*'EV %sales'!$AK$58+'France EV uptake'!T17*'EV %sales'!$AL$58+'Germany EV uptake'!T17*'EV %sales'!$AM$58+'India EV uptake'!T17*'EV %sales'!$AN$58+'Ireland EV uptake'!T17*'EV %sales'!$AO$58+'Italy EV uptake'!T17*'EV %sales'!$AP$58+'Japan EV uptake'!T17*'EV %sales'!$AQ$58+'Korea EV uptake'!T17*'EV %sales'!$AR$58+'Netherlands logist Take-up'!Y95*'EV %sales'!$AS$58+'New Zealand EV uptake'!T17*'EV %sales'!$AT$58+'Norway EV uptake with subs'!Z24*'EV %sales'!$AU$58+'Spain EV uptake'!T17*'EV %sales'!$AV$58+'Sweden EV uptake'!T17*'EV %sales'!$AW$58+'Switzerland EV uptake'!T17*'EV %sales'!$AX$58+'USA EV uptake'!T17*'EV %sales'!$AZ$58)/('EV %sales'!$BB$58-'EV %sales'!$BA$58)</f>
        <v>9.3297898120240692</v>
      </c>
      <c r="Y73" s="13">
        <f>('Australia EV uptake'!W17*'EV %sales'!$AE$58+'Austria EV uptake'!U17*'EV %sales'!$AF$58+'Belgian EV uptake'!U17*'EV %sales'!$AG$58+'British EV uptake'!U17*'EV %sales'!$AY$58+'Canada EV uptake'!U17*'EV %sales'!$AH$58+'China EV uptake'!U17*'EV %sales'!$AI$58+'Denmark EV uptake'!AG26*'EV %sales'!$AJ$58+'Finland EV uptake'!U17*'EV %sales'!$AK$58+'France EV uptake'!U17*'EV %sales'!$AL$58+'Germany EV uptake'!U17*'EV %sales'!$AM$58+'India EV uptake'!U17*'EV %sales'!$AN$58+'Ireland EV uptake'!U17*'EV %sales'!$AO$58+'Italy EV uptake'!U17*'EV %sales'!$AP$58+'Japan EV uptake'!U17*'EV %sales'!$AQ$58+'Korea EV uptake'!U17*'EV %sales'!$AR$58+'Netherlands logist Take-up'!Z95*'EV %sales'!$AS$58+'New Zealand EV uptake'!U17*'EV %sales'!$AT$58+'Norway EV uptake with subs'!AA24*'EV %sales'!$AU$58+'Spain EV uptake'!U17*'EV %sales'!$AV$58+'Sweden EV uptake'!U17*'EV %sales'!$AW$58+'Switzerland EV uptake'!U17*'EV %sales'!$AX$58+'USA EV uptake'!U17*'EV %sales'!$AZ$58)/('EV %sales'!$BB$58-'EV %sales'!$BA$58)</f>
        <v>7.6314229452786222</v>
      </c>
      <c r="AA73">
        <v>2022</v>
      </c>
      <c r="AB73" s="13">
        <f>('Australia EV uptake'!Z17*'EV %sales'!$AE$58+'Austria EV uptake'!X17*'EV %sales'!$AF$58+'Belgian EV uptake'!X17*'EV %sales'!$AG$58+'British EV uptake'!X17*'EV %sales'!$AY$58+'Canada EV uptake'!X17*'EV %sales'!$AH$58+'China EV uptake'!X17*'EV %sales'!$AI$58+'Denmark EV uptake'!AJ26*'EV %sales'!$AJ$58+'Finland EV uptake'!X17*'EV %sales'!$AK$58+'France EV uptake'!X17*'EV %sales'!$AL$58+'Germany EV uptake'!X17*'EV %sales'!$AM$58+'India EV uptake'!X17*'EV %sales'!$AN$58+'Ireland EV uptake'!X17*'EV %sales'!$AO$58+'Italy EV uptake'!X17*'EV %sales'!$AP$58+'Japan EV uptake'!X17*'EV %sales'!$AQ$58+'Korea EV uptake'!X17*'EV %sales'!$AR$58+'Netherlands logist Take-up'!AC95*'EV %sales'!$AS$58+'New Zealand EV uptake'!X17*'EV %sales'!$AT$58+'Norway EV uptake with subs'!AD24*'EV %sales'!$AU$58+'Spain EV uptake'!X17*'EV %sales'!$AV$58+'Sweden EV uptake'!X17*'EV %sales'!$AW$58+'Switzerland EV uptake'!X17*'EV %sales'!$AX$58+'USA EV uptake'!X17*'EV %sales'!$AZ$58)/('EV %sales'!$BB$58-'EV %sales'!$BA$58)</f>
        <v>5.1085001003097004</v>
      </c>
      <c r="AC73" s="13">
        <f>('Australia EV uptake'!AA17*'EV %sales'!$AE$58+'Austria EV uptake'!Y17*'EV %sales'!$AF$58+'Belgian EV uptake'!Y17*'EV %sales'!$AG$58+'British EV uptake'!Y17*'EV %sales'!$AY$58+'Canada EV uptake'!Y17*'EV %sales'!$AH$58+'China EV uptake'!Y17*'EV %sales'!$AI$58+'Denmark EV uptake'!AK26*'EV %sales'!$AJ$58+'Finland EV uptake'!Y17*'EV %sales'!$AK$58+'France EV uptake'!Y17*'EV %sales'!$AL$58+'Germany EV uptake'!Y17*'EV %sales'!$AM$58+'India EV uptake'!Y17*'EV %sales'!$AN$58+'Ireland EV uptake'!Y17*'EV %sales'!$AO$58+'Italy EV uptake'!Y17*'EV %sales'!$AP$58+'Japan EV uptake'!Y17*'EV %sales'!$AQ$58+'Korea EV uptake'!Y17*'EV %sales'!$AR$58+'Netherlands logist Take-up'!AD95*'EV %sales'!$AS$58+'New Zealand EV uptake'!Y17*'EV %sales'!$AT$58+'Norway EV uptake with subs'!AE24*'EV %sales'!$AU$58+'Spain EV uptake'!Y17*'EV %sales'!$AV$58+'Sweden EV uptake'!Y17*'EV %sales'!$AW$58+'Switzerland EV uptake'!Y17*'EV %sales'!$AX$58+'USA EV uptake'!Y17*'EV %sales'!$AZ$58)/('EV %sales'!$BB$58-'EV %sales'!$BA$58)</f>
        <v>9.3297898120240692</v>
      </c>
      <c r="AD73" s="13">
        <f>('Australia EV uptake'!AB17*'EV %sales'!$AE$58+'Austria EV uptake'!Z17*'EV %sales'!$AF$58+'Belgian EV uptake'!Z17*'EV %sales'!$AG$58+'British EV uptake'!Z17*'EV %sales'!$AY$58+'Canada EV uptake'!Z17*'EV %sales'!$AH$58+'China EV uptake'!Z17*'EV %sales'!$AI$58+'Denmark EV uptake'!AL26*'EV %sales'!$AJ$58+'Finland EV uptake'!Z17*'EV %sales'!$AK$58+'France EV uptake'!Z17*'EV %sales'!$AL$58+'Germany EV uptake'!Z17*'EV %sales'!$AM$58+'India EV uptake'!Z17*'EV %sales'!$AN$58+'Ireland EV uptake'!Z17*'EV %sales'!$AO$58+'Italy EV uptake'!Z17*'EV %sales'!$AP$58+'Japan EV uptake'!Z17*'EV %sales'!$AQ$58+'Korea EV uptake'!Z17*'EV %sales'!$AR$58+'Netherlands logist Take-up'!AE95*'EV %sales'!$AS$58+'New Zealand EV uptake'!Z17*'EV %sales'!$AT$58+'Norway EV uptake with subs'!AF24*'EV %sales'!$AU$58+'Spain EV uptake'!Z17*'EV %sales'!$AV$58+'Sweden EV uptake'!Z17*'EV %sales'!$AW$58+'Switzerland EV uptake'!Z17*'EV %sales'!$AX$58+'USA EV uptake'!Z17*'EV %sales'!$AZ$58)/('EV %sales'!$BB$58-'EV %sales'!$BA$58)</f>
        <v>14.977053174793459</v>
      </c>
    </row>
    <row r="74" spans="1:30">
      <c r="A74">
        <v>2023</v>
      </c>
      <c r="C74" s="13">
        <f t="shared" si="7"/>
        <v>23.06565896987421</v>
      </c>
      <c r="D74" s="13">
        <f t="shared" si="12"/>
        <v>12.452861576195371</v>
      </c>
      <c r="E74" s="13">
        <f t="shared" si="9"/>
        <v>12.199724743238342</v>
      </c>
      <c r="G74">
        <f t="shared" si="4"/>
        <v>-0.5977601995104791</v>
      </c>
      <c r="H74" s="230">
        <f t="shared" si="11"/>
        <v>-1.4651030144398303</v>
      </c>
      <c r="I74" s="230">
        <f>G74-SUM(J$71:J74)</f>
        <v>-1.4397601995104792</v>
      </c>
      <c r="J74" s="20">
        <f>J73+(J91-J71)/20</f>
        <v>0.22100000000000003</v>
      </c>
      <c r="L74" s="13">
        <f>('Australia EV uptake'!V18*'EV %sales'!$AE$58+'Austria EV uptake'!T18*'EV %sales'!$AF$58+'Belgian EV uptake'!T18*'EV %sales'!$AG$58+'British EV uptake'!T18*'EV %sales'!$AY$58+'Canada EV uptake'!T18*'EV %sales'!$AH$58+'China EV uptake'!T18*'EV %sales'!$AI$58+'Denmark EV uptake'!AF27*'EV %sales'!$AJ$58+'Finland EV uptake'!T18*'EV %sales'!$AK$58+'France EV uptake'!T18*'EV %sales'!$AL$58+'Germany EV uptake'!T18*'EV %sales'!$AM$58+'India EV uptake'!T18*'EV %sales'!$AN$58+'Ireland EV uptake'!T18*'EV %sales'!$AO$58+'Italy EV uptake'!T18*'EV %sales'!$AP$58+'Japan EV uptake'!T18*'EV %sales'!$AQ$58+'Korea EV uptake'!T18*'EV %sales'!$AR$58+'Netherlands logist Take-up'!Y96*'EV %sales'!$AS$58+'New Zealand EV uptake'!T18*'EV %sales'!$AT$58+'Norway EV uptake with subs'!Z25*'EV %sales'!$AU$58+'Spain EV uptake'!T18*'EV %sales'!$AV$58+'Sweden EV uptake'!T18*'EV %sales'!$AW$58+'Switzerland EV uptake'!T18*'EV %sales'!$AX$58+'USA EV uptake'!T18*'EV %sales'!$AZ$58)/('EV %sales'!$BB$58-'EV %sales'!$BA$58)</f>
        <v>11.837900482697131</v>
      </c>
      <c r="M74" s="13">
        <f>('Australia EV uptake'!N18*'EV %sales'!AE$58+'Austria EV uptake'!L18*'EV %sales'!AF$58+'Belgian EV uptake'!L18*'EV %sales'!AG$58+'British EV uptake'!L18*'EV %sales'!AY$58+'Canada EV uptake'!L18*'EV %sales'!AH$58+'China EV uptake'!L18*'EV %sales'!AI$58+'Denmark EV uptake'!X27*'EV %sales'!AJ$58+'Finland EV uptake'!L18*'EV %sales'!AK$58+'France EV uptake'!L18*'EV %sales'!AL$58+'Germany EV uptake'!L18*'EV %sales'!AM$58+'India EV uptake'!L18*'EV %sales'!AN$58+'Ireland EV uptake'!L18*'EV %sales'!AO$58+'Italy EV uptake'!L18*'EV %sales'!AP$58+'Japan EV uptake'!L18*'EV %sales'!AQ$58+'Korea EV uptake'!L18*'EV %sales'!AR$58+'Netherlands logist Take-up'!O96*'EV %sales'!AS$58+'New Zealand EV uptake'!L18*'EV %sales'!AT$58+'Norway EV uptake with subs'!R28*'EV %sales'!AU$58+'Spain EV uptake'!L18*'EV %sales'!AV$58+'Sweden EV uptake'!L18*'EV %sales'!AW$58+'Switzerland EV uptake'!L18*'EV %sales'!AX$58+'USA EV uptake'!L18*'EV %sales'!AZ$58+'Rest Europe EV takeup'!O18*'EV %sales'!BA$58)/'EV %sales'!BB$58</f>
        <v>16.363710488010128</v>
      </c>
      <c r="N74" s="13">
        <f>('Australia EV uptake'!D18*'EV %sales'!AE$58+'Austria EV uptake'!AB18*'EV %sales'!AF$58+'Belgian EV uptake'!AB18*'EV %sales'!AG$58+'British EV uptake'!AB18*'EV %sales'!AY$58+'Canada EV uptake'!AB18*'EV %sales'!AH$58+'China EV uptake'!AB18*'EV %sales'!AI$58+'Denmark EV uptake'!F27*'EV %sales'!AJ$58+'Finland EV uptake'!AB18*'EV %sales'!AK$58+'France EV uptake'!AB18*'EV %sales'!AL$58+'Germany EV uptake'!AB18*'EV %sales'!AM$58+'India EV uptake'!AB18*'EV %sales'!AN$58+'Ireland EV uptake'!AB18*'EV %sales'!AO$58+'Italy EV uptake'!AB18*'EV %sales'!AP$58+'Japan EV uptake'!AB18*'EV %sales'!AQ$58+'Korea EV uptake'!AB18*'EV %sales'!AR$58+'Netherlands logist Take-up'!E96*'EV %sales'!AS$58+'New Zealand EV uptake'!AB18*'EV %sales'!AT$58+'Norway EV uptake with subs'!H28*'EV %sales'!AU$58+'Spain EV uptake'!AB18*'EV %sales'!AV$58+'Sweden EV uptake'!AB18*'EV %sales'!AW$58+'Switzerland EV uptake'!AB18*'EV %sales'!AX$58+'USA EV uptake'!AB18*'EV %sales'!AZ$58+'Rest Europe EV takeup'!O18*'EV %sales'!BA$58)/'EV %sales'!BB$58</f>
        <v>16.944267558631779</v>
      </c>
      <c r="P74">
        <v>14</v>
      </c>
      <c r="Q74" s="13">
        <f t="shared" si="6"/>
        <v>1.5559334691626303</v>
      </c>
      <c r="R74" s="13"/>
      <c r="S74" s="13"/>
      <c r="T74" s="13">
        <f>'Country Petrol Prices'!Y95</f>
        <v>1.5753136341465122</v>
      </c>
      <c r="V74">
        <v>2023</v>
      </c>
      <c r="W74" s="13">
        <f>('Australia EV uptake'!U18*'EV %sales'!$AE$58+'Austria EV uptake'!S18*'EV %sales'!$AF$58+'Belgian EV uptake'!S18*'EV %sales'!$AG$58+'British EV uptake'!S18*'EV %sales'!$AY$58+'Canada EV uptake'!S18*'EV %sales'!$AH$58+'China EV uptake'!S18*'EV %sales'!$AI$58+'Denmark EV uptake'!AE27*'EV %sales'!$AJ$58+'Finland EV uptake'!S18*'EV %sales'!$AK$58+'France EV uptake'!S18*'EV %sales'!$AL$58+'Germany EV uptake'!S18*'EV %sales'!$AM$58+'India EV uptake'!S18*'EV %sales'!$AN$58+'Ireland EV uptake'!S18*'EV %sales'!$AO$58+'Italy EV uptake'!S18*'EV %sales'!$AP$58+'Japan EV uptake'!S18*'EV %sales'!$AQ$58+'Korea EV uptake'!S18*'EV %sales'!$AR$58+'Netherlands logist Take-up'!X96*'EV %sales'!$AS$58+'New Zealand EV uptake'!S18*'EV %sales'!$AT$58+'Norway EV uptake with subs'!Y25*'EV %sales'!$AU$58+'Spain EV uptake'!S18*'EV %sales'!$AV$58+'Sweden EV uptake'!S18*'EV %sales'!$AW$58+'Switzerland EV uptake'!S18*'EV %sales'!$AX$58+'USA EV uptake'!S18*'EV %sales'!$AZ$58)/('EV %sales'!$BB$58-'EV %sales'!$BA$58)</f>
        <v>13.870787480837301</v>
      </c>
      <c r="X74" s="13">
        <f>('Australia EV uptake'!V18*'EV %sales'!$AE$58+'Austria EV uptake'!T18*'EV %sales'!$AF$58+'Belgian EV uptake'!T18*'EV %sales'!$AG$58+'British EV uptake'!T18*'EV %sales'!$AY$58+'Canada EV uptake'!T18*'EV %sales'!$AH$58+'China EV uptake'!T18*'EV %sales'!$AI$58+'Denmark EV uptake'!AF27*'EV %sales'!$AJ$58+'Finland EV uptake'!T18*'EV %sales'!$AK$58+'France EV uptake'!T18*'EV %sales'!$AL$58+'Germany EV uptake'!T18*'EV %sales'!$AM$58+'India EV uptake'!T18*'EV %sales'!$AN$58+'Ireland EV uptake'!T18*'EV %sales'!$AO$58+'Italy EV uptake'!T18*'EV %sales'!$AP$58+'Japan EV uptake'!T18*'EV %sales'!$AQ$58+'Korea EV uptake'!T18*'EV %sales'!$AR$58+'Netherlands logist Take-up'!Y96*'EV %sales'!$AS$58+'New Zealand EV uptake'!T18*'EV %sales'!$AT$58+'Norway EV uptake with subs'!Z25*'EV %sales'!$AU$58+'Spain EV uptake'!T18*'EV %sales'!$AV$58+'Sweden EV uptake'!T18*'EV %sales'!$AW$58+'Switzerland EV uptake'!T18*'EV %sales'!$AX$58+'USA EV uptake'!T18*'EV %sales'!$AZ$58)/('EV %sales'!$BB$58-'EV %sales'!$BA$58)</f>
        <v>11.837900482697131</v>
      </c>
      <c r="Y74" s="13">
        <f>('Australia EV uptake'!W18*'EV %sales'!$AE$58+'Austria EV uptake'!U18*'EV %sales'!$AF$58+'Belgian EV uptake'!U18*'EV %sales'!$AG$58+'British EV uptake'!U18*'EV %sales'!$AY$58+'Canada EV uptake'!U18*'EV %sales'!$AH$58+'China EV uptake'!U18*'EV %sales'!$AI$58+'Denmark EV uptake'!AG27*'EV %sales'!$AJ$58+'Finland EV uptake'!U18*'EV %sales'!$AK$58+'France EV uptake'!U18*'EV %sales'!$AL$58+'Germany EV uptake'!U18*'EV %sales'!$AM$58+'India EV uptake'!U18*'EV %sales'!$AN$58+'Ireland EV uptake'!U18*'EV %sales'!$AO$58+'Italy EV uptake'!U18*'EV %sales'!$AP$58+'Japan EV uptake'!U18*'EV %sales'!$AQ$58+'Korea EV uptake'!U18*'EV %sales'!$AR$58+'Netherlands logist Take-up'!Z96*'EV %sales'!$AS$58+'New Zealand EV uptake'!U18*'EV %sales'!$AT$58+'Norway EV uptake with subs'!AA25*'EV %sales'!$AU$58+'Spain EV uptake'!U18*'EV %sales'!$AV$58+'Sweden EV uptake'!U18*'EV %sales'!$AW$58+'Switzerland EV uptake'!U18*'EV %sales'!$AX$58+'USA EV uptake'!U18*'EV %sales'!$AZ$58)/('EV %sales'!$BB$58-'EV %sales'!$BA$58)</f>
        <v>9.8975445273385532</v>
      </c>
      <c r="AA74">
        <v>2023</v>
      </c>
      <c r="AB74" s="13">
        <f>('Australia EV uptake'!Z18*'EV %sales'!$AE$58+'Austria EV uptake'!X18*'EV %sales'!$AF$58+'Belgian EV uptake'!X18*'EV %sales'!$AG$58+'British EV uptake'!X18*'EV %sales'!$AY$58+'Canada EV uptake'!X18*'EV %sales'!$AH$58+'China EV uptake'!X18*'EV %sales'!$AI$58+'Denmark EV uptake'!AJ27*'EV %sales'!$AJ$58+'Finland EV uptake'!X18*'EV %sales'!$AK$58+'France EV uptake'!X18*'EV %sales'!$AL$58+'Germany EV uptake'!X18*'EV %sales'!$AM$58+'India EV uptake'!X18*'EV %sales'!$AN$58+'Ireland EV uptake'!X18*'EV %sales'!$AO$58+'Italy EV uptake'!X18*'EV %sales'!$AP$58+'Japan EV uptake'!X18*'EV %sales'!$AQ$58+'Korea EV uptake'!X18*'EV %sales'!$AR$58+'Netherlands logist Take-up'!AC96*'EV %sales'!$AS$58+'New Zealand EV uptake'!X18*'EV %sales'!$AT$58+'Norway EV uptake with subs'!AD25*'EV %sales'!$AU$58+'Spain EV uptake'!X18*'EV %sales'!$AV$58+'Sweden EV uptake'!X18*'EV %sales'!$AW$58+'Switzerland EV uptake'!X18*'EV %sales'!$AX$58+'USA EV uptake'!X18*'EV %sales'!$AZ$58)/('EV %sales'!$BB$58-'EV %sales'!$BA$58)</f>
        <v>6.0564848898433992</v>
      </c>
      <c r="AC74" s="13">
        <f>('Australia EV uptake'!AA18*'EV %sales'!$AE$58+'Austria EV uptake'!Y18*'EV %sales'!$AF$58+'Belgian EV uptake'!Y18*'EV %sales'!$AG$58+'British EV uptake'!Y18*'EV %sales'!$AY$58+'Canada EV uptake'!Y18*'EV %sales'!$AH$58+'China EV uptake'!Y18*'EV %sales'!$AI$58+'Denmark EV uptake'!AK27*'EV %sales'!$AJ$58+'Finland EV uptake'!Y18*'EV %sales'!$AK$58+'France EV uptake'!Y18*'EV %sales'!$AL$58+'Germany EV uptake'!Y18*'EV %sales'!$AM$58+'India EV uptake'!Y18*'EV %sales'!$AN$58+'Ireland EV uptake'!Y18*'EV %sales'!$AO$58+'Italy EV uptake'!Y18*'EV %sales'!$AP$58+'Japan EV uptake'!Y18*'EV %sales'!$AQ$58+'Korea EV uptake'!Y18*'EV %sales'!$AR$58+'Netherlands logist Take-up'!AD96*'EV %sales'!$AS$58+'New Zealand EV uptake'!Y18*'EV %sales'!$AT$58+'Norway EV uptake with subs'!AE25*'EV %sales'!$AU$58+'Spain EV uptake'!Y18*'EV %sales'!$AV$58+'Sweden EV uptake'!Y18*'EV %sales'!$AW$58+'Switzerland EV uptake'!Y18*'EV %sales'!$AX$58+'USA EV uptake'!Y18*'EV %sales'!$AZ$58)/('EV %sales'!$BB$58-'EV %sales'!$BA$58)</f>
        <v>11.837900482697131</v>
      </c>
      <c r="AD74" s="13">
        <f>('Australia EV uptake'!AB18*'EV %sales'!$AE$58+'Austria EV uptake'!Z18*'EV %sales'!$AF$58+'Belgian EV uptake'!Z18*'EV %sales'!$AG$58+'British EV uptake'!Z18*'EV %sales'!$AY$58+'Canada EV uptake'!Z18*'EV %sales'!$AH$58+'China EV uptake'!Z18*'EV %sales'!$AI$58+'Denmark EV uptake'!AL27*'EV %sales'!$AJ$58+'Finland EV uptake'!Z18*'EV %sales'!$AK$58+'France EV uptake'!Z18*'EV %sales'!$AL$58+'Germany EV uptake'!Z18*'EV %sales'!$AM$58+'India EV uptake'!Z18*'EV %sales'!$AN$58+'Ireland EV uptake'!Z18*'EV %sales'!$AO$58+'Italy EV uptake'!Z18*'EV %sales'!$AP$58+'Japan EV uptake'!Z18*'EV %sales'!$AQ$58+'Korea EV uptake'!Z18*'EV %sales'!$AR$58+'Netherlands logist Take-up'!AE96*'EV %sales'!$AS$58+'New Zealand EV uptake'!Z18*'EV %sales'!$AT$58+'Norway EV uptake with subs'!AF25*'EV %sales'!$AU$58+'Spain EV uptake'!Z18*'EV %sales'!$AV$58+'Sweden EV uptake'!Z18*'EV %sales'!$AW$58+'Switzerland EV uptake'!Z18*'EV %sales'!$AX$58+'USA EV uptake'!Z18*'EV %sales'!$AZ$58)/('EV %sales'!$BB$58-'EV %sales'!$BA$58)</f>
        <v>19.5045082964381</v>
      </c>
    </row>
    <row r="75" spans="1:30">
      <c r="A75">
        <v>2024</v>
      </c>
      <c r="C75" s="13">
        <f t="shared" si="7"/>
        <v>30.766875783016317</v>
      </c>
      <c r="D75" s="13">
        <f t="shared" si="12"/>
        <v>15.316349412754946</v>
      </c>
      <c r="E75" s="13">
        <f t="shared" si="9"/>
        <v>15.077808305061705</v>
      </c>
      <c r="G75">
        <f t="shared" si="4"/>
        <v>-0.10675507002299356</v>
      </c>
      <c r="H75" s="230">
        <f t="shared" si="11"/>
        <v>-1.197241613086202</v>
      </c>
      <c r="I75" s="230">
        <f>G75-SUM(J$71:J75)</f>
        <v>-1.1767550700229936</v>
      </c>
      <c r="J75" s="20">
        <f>J74+(J91-J71)/20</f>
        <v>0.22800000000000004</v>
      </c>
      <c r="L75" s="13">
        <f>('Australia EV uptake'!V19*'EV %sales'!$AE$58+'Austria EV uptake'!T19*'EV %sales'!$AF$58+'Belgian EV uptake'!T19*'EV %sales'!$AG$58+'British EV uptake'!T19*'EV %sales'!$AY$58+'Canada EV uptake'!T19*'EV %sales'!$AH$58+'China EV uptake'!T19*'EV %sales'!$AI$58+'Denmark EV uptake'!AF28*'EV %sales'!$AJ$58+'Finland EV uptake'!T19*'EV %sales'!$AK$58+'France EV uptake'!T19*'EV %sales'!$AL$58+'Germany EV uptake'!T19*'EV %sales'!$AM$58+'India EV uptake'!T19*'EV %sales'!$AN$58+'Ireland EV uptake'!T19*'EV %sales'!$AO$58+'Italy EV uptake'!T19*'EV %sales'!$AP$58+'Japan EV uptake'!T19*'EV %sales'!$AQ$58+'Korea EV uptake'!T19*'EV %sales'!$AR$58+'Netherlands logist Take-up'!Y97*'EV %sales'!$AS$58+'New Zealand EV uptake'!T19*'EV %sales'!$AT$58+'Norway EV uptake with subs'!Z26*'EV %sales'!$AU$58+'Spain EV uptake'!T19*'EV %sales'!$AV$58+'Sweden EV uptake'!T19*'EV %sales'!$AW$58+'Switzerland EV uptake'!T19*'EV %sales'!$AX$58+'USA EV uptake'!T19*'EV %sales'!$AZ$58)/('EV %sales'!$BB$58-'EV %sales'!$BA$58)</f>
        <v>14.858619238773036</v>
      </c>
      <c r="M75" s="13">
        <f>('Australia EV uptake'!N19*'EV %sales'!AE$58+'Austria EV uptake'!L19*'EV %sales'!AF$58+'Belgian EV uptake'!L19*'EV %sales'!AG$58+'British EV uptake'!L19*'EV %sales'!AY$58+'Canada EV uptake'!L19*'EV %sales'!AH$58+'China EV uptake'!L19*'EV %sales'!AI$58+'Denmark EV uptake'!X28*'EV %sales'!AJ$58+'Finland EV uptake'!L19*'EV %sales'!AK$58+'France EV uptake'!L19*'EV %sales'!AL$58+'Germany EV uptake'!L19*'EV %sales'!AM$58+'India EV uptake'!L19*'EV %sales'!AN$58+'Ireland EV uptake'!L19*'EV %sales'!AO$58+'Italy EV uptake'!L19*'EV %sales'!AP$58+'Japan EV uptake'!L19*'EV %sales'!AQ$58+'Korea EV uptake'!L19*'EV %sales'!AR$58+'Netherlands logist Take-up'!O97*'EV %sales'!AS$58+'New Zealand EV uptake'!L19*'EV %sales'!AT$58+'Norway EV uptake with subs'!R29*'EV %sales'!AU$58+'Spain EV uptake'!L19*'EV %sales'!AV$58+'Sweden EV uptake'!L19*'EV %sales'!AW$58+'Switzerland EV uptake'!L19*'EV %sales'!AX$58+'USA EV uptake'!L19*'EV %sales'!AZ$58+'Rest Europe EV takeup'!O19*'EV %sales'!BA$58)/'EV %sales'!BB$58</f>
        <v>21.191656333570652</v>
      </c>
      <c r="N75" s="13">
        <f>('Australia EV uptake'!D19*'EV %sales'!AE$58+'Austria EV uptake'!AB19*'EV %sales'!AF$58+'Belgian EV uptake'!AB19*'EV %sales'!AG$58+'British EV uptake'!AB19*'EV %sales'!AY$58+'Canada EV uptake'!AB19*'EV %sales'!AH$58+'China EV uptake'!AB19*'EV %sales'!AI$58+'Denmark EV uptake'!F28*'EV %sales'!AJ$58+'Finland EV uptake'!AB19*'EV %sales'!AK$58+'France EV uptake'!AB19*'EV %sales'!AL$58+'Germany EV uptake'!AB19*'EV %sales'!AM$58+'India EV uptake'!AB19*'EV %sales'!AN$58+'Ireland EV uptake'!AB19*'EV %sales'!AO$58+'Italy EV uptake'!AB19*'EV %sales'!AP$58+'Japan EV uptake'!AB19*'EV %sales'!AQ$58+'Korea EV uptake'!AB19*'EV %sales'!AR$58+'Netherlands logist Take-up'!E97*'EV %sales'!AS$58+'New Zealand EV uptake'!AB19*'EV %sales'!AT$58+'Norway EV uptake with subs'!H29*'EV %sales'!AU$58+'Spain EV uptake'!AB19*'EV %sales'!AV$58+'Sweden EV uptake'!AB19*'EV %sales'!AW$58+'Switzerland EV uptake'!AB19*'EV %sales'!AX$58+'USA EV uptake'!AB19*'EV %sales'!AZ$58+'Rest Europe EV takeup'!O19*'EV %sales'!BA$58)/'EV %sales'!BB$58</f>
        <v>21.65753677109134</v>
      </c>
      <c r="P75">
        <v>15</v>
      </c>
      <c r="Q75" s="13">
        <f t="shared" si="6"/>
        <v>1.5753136341465122</v>
      </c>
      <c r="R75" s="13"/>
      <c r="S75" s="13"/>
      <c r="T75" s="13">
        <f>'Country Petrol Prices'!Y96</f>
        <v>1.5805405148197142</v>
      </c>
      <c r="V75">
        <v>2024</v>
      </c>
      <c r="W75" s="13">
        <f>('Australia EV uptake'!U19*'EV %sales'!$AE$58+'Austria EV uptake'!S19*'EV %sales'!$AF$58+'Belgian EV uptake'!S19*'EV %sales'!$AG$58+'British EV uptake'!S19*'EV %sales'!$AY$58+'Canada EV uptake'!S19*'EV %sales'!$AH$58+'China EV uptake'!S19*'EV %sales'!$AI$58+'Denmark EV uptake'!AE28*'EV %sales'!$AJ$58+'Finland EV uptake'!S19*'EV %sales'!$AK$58+'France EV uptake'!S19*'EV %sales'!$AL$58+'Germany EV uptake'!S19*'EV %sales'!$AM$58+'India EV uptake'!S19*'EV %sales'!$AN$58+'Ireland EV uptake'!S19*'EV %sales'!$AO$58+'Italy EV uptake'!S19*'EV %sales'!$AP$58+'Japan EV uptake'!S19*'EV %sales'!$AQ$58+'Korea EV uptake'!S19*'EV %sales'!$AR$58+'Netherlands logist Take-up'!X97*'EV %sales'!$AS$58+'New Zealand EV uptake'!S19*'EV %sales'!$AT$58+'Norway EV uptake with subs'!Y26*'EV %sales'!$AU$58+'Spain EV uptake'!S19*'EV %sales'!$AV$58+'Sweden EV uptake'!S19*'EV %sales'!$AW$58+'Switzerland EV uptake'!S19*'EV %sales'!$AX$58+'USA EV uptake'!S19*'EV %sales'!$AZ$58)/('EV %sales'!$BB$58-'EV %sales'!$BA$58)</f>
        <v>17.553154085891492</v>
      </c>
      <c r="X75" s="13">
        <f>('Australia EV uptake'!V19*'EV %sales'!$AE$58+'Austria EV uptake'!T19*'EV %sales'!$AF$58+'Belgian EV uptake'!T19*'EV %sales'!$AG$58+'British EV uptake'!T19*'EV %sales'!$AY$58+'Canada EV uptake'!T19*'EV %sales'!$AH$58+'China EV uptake'!T19*'EV %sales'!$AI$58+'Denmark EV uptake'!AF28*'EV %sales'!$AJ$58+'Finland EV uptake'!T19*'EV %sales'!$AK$58+'France EV uptake'!T19*'EV %sales'!$AL$58+'Germany EV uptake'!T19*'EV %sales'!$AM$58+'India EV uptake'!T19*'EV %sales'!$AN$58+'Ireland EV uptake'!T19*'EV %sales'!$AO$58+'Italy EV uptake'!T19*'EV %sales'!$AP$58+'Japan EV uptake'!T19*'EV %sales'!$AQ$58+'Korea EV uptake'!T19*'EV %sales'!$AR$58+'Netherlands logist Take-up'!Y97*'EV %sales'!$AS$58+'New Zealand EV uptake'!T19*'EV %sales'!$AT$58+'Norway EV uptake with subs'!Z26*'EV %sales'!$AU$58+'Spain EV uptake'!T19*'EV %sales'!$AV$58+'Sweden EV uptake'!T19*'EV %sales'!$AW$58+'Switzerland EV uptake'!T19*'EV %sales'!$AX$58+'USA EV uptake'!T19*'EV %sales'!$AZ$58)/('EV %sales'!$BB$58-'EV %sales'!$BA$58)</f>
        <v>14.858619238773036</v>
      </c>
      <c r="Y75" s="13">
        <f>('Australia EV uptake'!W19*'EV %sales'!$AE$58+'Austria EV uptake'!U19*'EV %sales'!$AF$58+'Belgian EV uptake'!U19*'EV %sales'!$AG$58+'British EV uptake'!U19*'EV %sales'!$AY$58+'Canada EV uptake'!U19*'EV %sales'!$AH$58+'China EV uptake'!U19*'EV %sales'!$AI$58+'Denmark EV uptake'!AG28*'EV %sales'!$AJ$58+'Finland EV uptake'!U19*'EV %sales'!$AK$58+'France EV uptake'!U19*'EV %sales'!$AL$58+'Germany EV uptake'!U19*'EV %sales'!$AM$58+'India EV uptake'!U19*'EV %sales'!$AN$58+'Ireland EV uptake'!U19*'EV %sales'!$AO$58+'Italy EV uptake'!U19*'EV %sales'!$AP$58+'Japan EV uptake'!U19*'EV %sales'!$AQ$58+'Korea EV uptake'!U19*'EV %sales'!$AR$58+'Netherlands logist Take-up'!Z97*'EV %sales'!$AS$58+'New Zealand EV uptake'!U19*'EV %sales'!$AT$58+'Norway EV uptake with subs'!AA26*'EV %sales'!$AU$58+'Spain EV uptake'!U19*'EV %sales'!$AV$58+'Sweden EV uptake'!U19*'EV %sales'!$AW$58+'Switzerland EV uptake'!U19*'EV %sales'!$AX$58+'USA EV uptake'!U19*'EV %sales'!$AZ$58)/('EV %sales'!$BB$58-'EV %sales'!$BA$58)</f>
        <v>12.812047850295832</v>
      </c>
      <c r="AA75">
        <v>2024</v>
      </c>
      <c r="AB75" s="13">
        <f>('Australia EV uptake'!Z19*'EV %sales'!$AE$58+'Austria EV uptake'!X19*'EV %sales'!$AF$58+'Belgian EV uptake'!X19*'EV %sales'!$AG$58+'British EV uptake'!X19*'EV %sales'!$AY$58+'Canada EV uptake'!X19*'EV %sales'!$AH$58+'China EV uptake'!X19*'EV %sales'!$AI$58+'Denmark EV uptake'!AJ28*'EV %sales'!$AJ$58+'Finland EV uptake'!X19*'EV %sales'!$AK$58+'France EV uptake'!X19*'EV %sales'!$AL$58+'Germany EV uptake'!X19*'EV %sales'!$AM$58+'India EV uptake'!X19*'EV %sales'!$AN$58+'Ireland EV uptake'!X19*'EV %sales'!$AO$58+'Italy EV uptake'!X19*'EV %sales'!$AP$58+'Japan EV uptake'!X19*'EV %sales'!$AQ$58+'Korea EV uptake'!X19*'EV %sales'!$AR$58+'Netherlands logist Take-up'!AC97*'EV %sales'!$AS$58+'New Zealand EV uptake'!X19*'EV %sales'!$AT$58+'Norway EV uptake with subs'!AD26*'EV %sales'!$AU$58+'Spain EV uptake'!X19*'EV %sales'!$AV$58+'Sweden EV uptake'!X19*'EV %sales'!$AW$58+'Switzerland EV uptake'!X19*'EV %sales'!$AX$58+'USA EV uptake'!X19*'EV %sales'!$AZ$58)/('EV %sales'!$BB$58-'EV %sales'!$BA$58)</f>
        <v>7.1960856169922849</v>
      </c>
      <c r="AC75" s="13">
        <f>('Australia EV uptake'!AA19*'EV %sales'!$AE$58+'Austria EV uptake'!Y19*'EV %sales'!$AF$58+'Belgian EV uptake'!Y19*'EV %sales'!$AG$58+'British EV uptake'!Y19*'EV %sales'!$AY$58+'Canada EV uptake'!Y19*'EV %sales'!$AH$58+'China EV uptake'!Y19*'EV %sales'!$AI$58+'Denmark EV uptake'!AK28*'EV %sales'!$AJ$58+'Finland EV uptake'!Y19*'EV %sales'!$AK$58+'France EV uptake'!Y19*'EV %sales'!$AL$58+'Germany EV uptake'!Y19*'EV %sales'!$AM$58+'India EV uptake'!Y19*'EV %sales'!$AN$58+'Ireland EV uptake'!Y19*'EV %sales'!$AO$58+'Italy EV uptake'!Y19*'EV %sales'!$AP$58+'Japan EV uptake'!Y19*'EV %sales'!$AQ$58+'Korea EV uptake'!Y19*'EV %sales'!$AR$58+'Netherlands logist Take-up'!AD97*'EV %sales'!$AS$58+'New Zealand EV uptake'!Y19*'EV %sales'!$AT$58+'Norway EV uptake with subs'!AE26*'EV %sales'!$AU$58+'Spain EV uptake'!Y19*'EV %sales'!$AV$58+'Sweden EV uptake'!Y19*'EV %sales'!$AW$58+'Switzerland EV uptake'!Y19*'EV %sales'!$AX$58+'USA EV uptake'!Y19*'EV %sales'!$AZ$58)/('EV %sales'!$BB$58-'EV %sales'!$BA$58)</f>
        <v>14.858619238773036</v>
      </c>
      <c r="AD75" s="13">
        <f>('Australia EV uptake'!AB19*'EV %sales'!$AE$58+'Austria EV uptake'!Z19*'EV %sales'!$AF$58+'Belgian EV uptake'!Z19*'EV %sales'!$AG$58+'British EV uptake'!Z19*'EV %sales'!$AY$58+'Canada EV uptake'!Z19*'EV %sales'!$AH$58+'China EV uptake'!Z19*'EV %sales'!$AI$58+'Denmark EV uptake'!AL28*'EV %sales'!$AJ$58+'Finland EV uptake'!Z19*'EV %sales'!$AK$58+'France EV uptake'!Z19*'EV %sales'!$AL$58+'Germany EV uptake'!Z19*'EV %sales'!$AM$58+'India EV uptake'!Z19*'EV %sales'!$AN$58+'Ireland EV uptake'!Z19*'EV %sales'!$AO$58+'Italy EV uptake'!Z19*'EV %sales'!$AP$58+'Japan EV uptake'!Z19*'EV %sales'!$AQ$58+'Korea EV uptake'!Z19*'EV %sales'!$AR$58+'Netherlands logist Take-up'!AE97*'EV %sales'!$AS$58+'New Zealand EV uptake'!Z19*'EV %sales'!$AT$58+'Norway EV uptake with subs'!AF26*'EV %sales'!$AU$58+'Spain EV uptake'!Z19*'EV %sales'!$AV$58+'Sweden EV uptake'!Z19*'EV %sales'!$AW$58+'Switzerland EV uptake'!Z19*'EV %sales'!$AX$58+'USA EV uptake'!Z19*'EV %sales'!$AZ$58)/('EV %sales'!$BB$58-'EV %sales'!$BA$58)</f>
        <v>24.555784239768808</v>
      </c>
    </row>
    <row r="76" spans="1:30">
      <c r="A76" s="232">
        <v>2025</v>
      </c>
      <c r="C76" s="13">
        <f t="shared" si="7"/>
        <v>38.544427268869043</v>
      </c>
      <c r="D76" s="13">
        <f>65*EXP(I76)/(1+EXP(I76))</f>
        <v>18.40784437363433</v>
      </c>
      <c r="E76" s="229">
        <f>65*EXP(H76)/(1+EXP(H76))</f>
        <v>18.328683452914706</v>
      </c>
      <c r="G76">
        <f t="shared" si="4"/>
        <v>0.37634470565479761</v>
      </c>
      <c r="H76" s="230">
        <f t="shared" si="11"/>
        <v>-0.93466253471825744</v>
      </c>
      <c r="I76" s="230">
        <f>G76-SUM(J$71:J76)</f>
        <v>-0.92865529434520255</v>
      </c>
      <c r="J76" s="20">
        <f>J75+(J91-J71)/20</f>
        <v>0.23500000000000004</v>
      </c>
      <c r="L76" s="229">
        <f>('Australia EV uptake'!V20*'EV %sales'!$AE$58+'Austria EV uptake'!T20*'EV %sales'!$AF$58+'Belgian EV uptake'!T20*'EV %sales'!$AG$58+'British EV uptake'!T20*'EV %sales'!$AY$58+'Canada EV uptake'!T20*'EV %sales'!$AH$58+'China EV uptake'!T20*'EV %sales'!$AI$58+'Denmark EV uptake'!AF29*'EV %sales'!$AJ$58+'Finland EV uptake'!T20*'EV %sales'!$AK$58+'France EV uptake'!T20*'EV %sales'!$AL$58+'Germany EV uptake'!T20*'EV %sales'!$AM$58+'India EV uptake'!T20*'EV %sales'!$AN$58+'Ireland EV uptake'!T20*'EV %sales'!$AO$58+'Italy EV uptake'!T20*'EV %sales'!$AP$58+'Japan EV uptake'!T20*'EV %sales'!$AQ$58+'Korea EV uptake'!T20*'EV %sales'!$AR$58+'Netherlands logist Take-up'!Y98*'EV %sales'!$AS$58+'New Zealand EV uptake'!T20*'EV %sales'!$AT$58+'Norway EV uptake with subs'!Z27*'EV %sales'!$AU$58+'Spain EV uptake'!T20*'EV %sales'!$AV$58+'Sweden EV uptake'!T20*'EV %sales'!$AW$58+'Switzerland EV uptake'!T20*'EV %sales'!$AX$58+'USA EV uptake'!T20*'EV %sales'!$AZ$58)/('EV %sales'!$BB$58-'EV %sales'!$BA$58)</f>
        <v>18.47526189112704</v>
      </c>
      <c r="M76" s="229">
        <f>('Australia EV uptake'!N20*'EV %sales'!AE$58+'Austria EV uptake'!L20*'EV %sales'!AF$58+'Belgian EV uptake'!L20*'EV %sales'!AG$58+'British EV uptake'!L20*'EV %sales'!AY$58+'Canada EV uptake'!L20*'EV %sales'!AH$58+'China EV uptake'!L20*'EV %sales'!AI$58+'Denmark EV uptake'!X29*'EV %sales'!AJ$58+'Finland EV uptake'!L20*'EV %sales'!AK$58+'France EV uptake'!L20*'EV %sales'!AL$58+'Germany EV uptake'!L20*'EV %sales'!AM$58+'India EV uptake'!L20*'EV %sales'!AN$58+'Ireland EV uptake'!L20*'EV %sales'!AO$58+'Italy EV uptake'!L20*'EV %sales'!AP$58+'Japan EV uptake'!L20*'EV %sales'!AQ$58+'Korea EV uptake'!L20*'EV %sales'!AR$58+'Netherlands logist Take-up'!O98*'EV %sales'!AS$58+'New Zealand EV uptake'!L20*'EV %sales'!AT$58+'Norway EV uptake with subs'!R30*'EV %sales'!AU$58+'Spain EV uptake'!L20*'EV %sales'!AV$58+'Sweden EV uptake'!L20*'EV %sales'!AW$58+'Switzerland EV uptake'!L20*'EV %sales'!AX$58+'USA EV uptake'!L20*'EV %sales'!AZ$58+'Rest Europe EV takeup'!O20*'EV %sales'!BA$58)/'EV %sales'!BB$58</f>
        <v>26.005926972009441</v>
      </c>
      <c r="N76" s="229">
        <f>('Australia EV uptake'!D20*'EV %sales'!AE$58+'Austria EV uptake'!AB20*'EV %sales'!AF$58+'Belgian EV uptake'!AB20*'EV %sales'!AG$58+'British EV uptake'!AB20*'EV %sales'!AY$58+'Canada EV uptake'!AB20*'EV %sales'!AH$58+'China EV uptake'!AB20*'EV %sales'!AI$58+'Denmark EV uptake'!F29*'EV %sales'!AJ$58+'Finland EV uptake'!AB20*'EV %sales'!AK$58+'France EV uptake'!AB20*'EV %sales'!AL$58+'Germany EV uptake'!AB20*'EV %sales'!AM$58+'India EV uptake'!AB20*'EV %sales'!AN$58+'Ireland EV uptake'!AB20*'EV %sales'!AO$58+'Italy EV uptake'!AB20*'EV %sales'!AP$58+'Japan EV uptake'!AB20*'EV %sales'!AQ$58+'Korea EV uptake'!AB20*'EV %sales'!AR$58+'Netherlands logist Take-up'!E98*'EV %sales'!AS$58+'New Zealand EV uptake'!AB20*'EV %sales'!AT$58+'Norway EV uptake with subs'!H30*'EV %sales'!AU$58+'Spain EV uptake'!AB20*'EV %sales'!AV$58+'Sweden EV uptake'!AB20*'EV %sales'!AW$58+'Switzerland EV uptake'!AB20*'EV %sales'!AX$58+'USA EV uptake'!AB20*'EV %sales'!AZ$58+'Rest Europe EV takeup'!O20*'EV %sales'!BA$58)/'EV %sales'!BB$58</f>
        <v>26.313825613949518</v>
      </c>
      <c r="P76">
        <v>16</v>
      </c>
      <c r="Q76" s="13">
        <f t="shared" si="6"/>
        <v>1.5805405148197142</v>
      </c>
      <c r="R76" s="13"/>
      <c r="S76" s="13"/>
      <c r="T76" s="13">
        <f>'Country Petrol Prices'!Y97</f>
        <v>1.6069586594894731</v>
      </c>
      <c r="V76" s="87">
        <v>2025</v>
      </c>
      <c r="W76" s="13">
        <f>('Australia EV uptake'!U20*'EV %sales'!$AE$58+'Austria EV uptake'!S20*'EV %sales'!$AF$58+'Belgian EV uptake'!S20*'EV %sales'!$AG$58+'British EV uptake'!S20*'EV %sales'!$AY$58+'Canada EV uptake'!S20*'EV %sales'!$AH$58+'China EV uptake'!S20*'EV %sales'!$AI$58+'Denmark EV uptake'!AE29*'EV %sales'!$AJ$58+'Finland EV uptake'!S20*'EV %sales'!$AK$58+'France EV uptake'!S20*'EV %sales'!$AL$58+'Germany EV uptake'!S20*'EV %sales'!$AM$58+'India EV uptake'!S20*'EV %sales'!$AN$58+'Ireland EV uptake'!S20*'EV %sales'!$AO$58+'Italy EV uptake'!S20*'EV %sales'!$AP$58+'Japan EV uptake'!S20*'EV %sales'!$AQ$58+'Korea EV uptake'!S20*'EV %sales'!$AR$58+'Netherlands logist Take-up'!X98*'EV %sales'!$AS$58+'New Zealand EV uptake'!S20*'EV %sales'!$AT$58+'Norway EV uptake with subs'!Y27*'EV %sales'!$AU$58+'Spain EV uptake'!S20*'EV %sales'!$AV$58+'Sweden EV uptake'!S20*'EV %sales'!$AW$58+'Switzerland EV uptake'!S20*'EV %sales'!$AX$58+'USA EV uptake'!S20*'EV %sales'!$AZ$58)/('EV %sales'!$BB$58-'EV %sales'!$BA$58)</f>
        <v>21.590440938168438</v>
      </c>
      <c r="X76" s="13">
        <f>('Australia EV uptake'!V20*'EV %sales'!$AE$58+'Austria EV uptake'!T20*'EV %sales'!$AF$58+'Belgian EV uptake'!T20*'EV %sales'!$AG$58+'British EV uptake'!T20*'EV %sales'!$AY$58+'Canada EV uptake'!T20*'EV %sales'!$AH$58+'China EV uptake'!T20*'EV %sales'!$AI$58+'Denmark EV uptake'!AF29*'EV %sales'!$AJ$58+'Finland EV uptake'!T20*'EV %sales'!$AK$58+'France EV uptake'!T20*'EV %sales'!$AL$58+'Germany EV uptake'!T20*'EV %sales'!$AM$58+'India EV uptake'!T20*'EV %sales'!$AN$58+'Ireland EV uptake'!T20*'EV %sales'!$AO$58+'Italy EV uptake'!T20*'EV %sales'!$AP$58+'Japan EV uptake'!T20*'EV %sales'!$AQ$58+'Korea EV uptake'!T20*'EV %sales'!$AR$58+'Netherlands logist Take-up'!Y98*'EV %sales'!$AS$58+'New Zealand EV uptake'!T20*'EV %sales'!$AT$58+'Norway EV uptake with subs'!Z27*'EV %sales'!$AU$58+'Spain EV uptake'!T20*'EV %sales'!$AV$58+'Sweden EV uptake'!T20*'EV %sales'!$AW$58+'Switzerland EV uptake'!T20*'EV %sales'!$AX$58+'USA EV uptake'!T20*'EV %sales'!$AZ$58)/('EV %sales'!$BB$58-'EV %sales'!$BA$58)</f>
        <v>18.47526189112704</v>
      </c>
      <c r="Y76" s="13">
        <f>('Australia EV uptake'!W20*'EV %sales'!$AE$58+'Austria EV uptake'!U20*'EV %sales'!$AF$58+'Belgian EV uptake'!U20*'EV %sales'!$AG$58+'British EV uptake'!U20*'EV %sales'!$AY$58+'Canada EV uptake'!U20*'EV %sales'!$AH$58+'China EV uptake'!U20*'EV %sales'!$AI$58+'Denmark EV uptake'!AG29*'EV %sales'!$AJ$58+'Finland EV uptake'!U20*'EV %sales'!$AK$58+'France EV uptake'!U20*'EV %sales'!$AL$58+'Germany EV uptake'!U20*'EV %sales'!$AM$58+'India EV uptake'!U20*'EV %sales'!$AN$58+'Ireland EV uptake'!U20*'EV %sales'!$AO$58+'Italy EV uptake'!U20*'EV %sales'!$AP$58+'Japan EV uptake'!U20*'EV %sales'!$AQ$58+'Korea EV uptake'!U20*'EV %sales'!$AR$58+'Netherlands logist Take-up'!Z98*'EV %sales'!$AS$58+'New Zealand EV uptake'!U20*'EV %sales'!$AT$58+'Norway EV uptake with subs'!AA27*'EV %sales'!$AU$58+'Spain EV uptake'!U20*'EV %sales'!$AV$58+'Sweden EV uptake'!U20*'EV %sales'!$AW$58+'Switzerland EV uptake'!U20*'EV %sales'!$AX$58+'USA EV uptake'!U20*'EV %sales'!$AZ$58)/('EV %sales'!$BB$58-'EV %sales'!$BA$58)</f>
        <v>16.264565601189428</v>
      </c>
      <c r="AA76" s="87">
        <v>2025</v>
      </c>
      <c r="AB76" s="13">
        <f>('Australia EV uptake'!Z20*'EV %sales'!$AE$58+'Austria EV uptake'!X20*'EV %sales'!$AF$58+'Belgian EV uptake'!X20*'EV %sales'!$AG$58+'British EV uptake'!X20*'EV %sales'!$AY$58+'Canada EV uptake'!X20*'EV %sales'!$AH$58+'China EV uptake'!X20*'EV %sales'!$AI$58+'Denmark EV uptake'!AJ29*'EV %sales'!$AJ$58+'Finland EV uptake'!X20*'EV %sales'!$AK$58+'France EV uptake'!X20*'EV %sales'!$AL$58+'Germany EV uptake'!X20*'EV %sales'!$AM$58+'India EV uptake'!X20*'EV %sales'!$AN$58+'Ireland EV uptake'!X20*'EV %sales'!$AO$58+'Italy EV uptake'!X20*'EV %sales'!$AP$58+'Japan EV uptake'!X20*'EV %sales'!$AQ$58+'Korea EV uptake'!X20*'EV %sales'!$AR$58+'Netherlands logist Take-up'!AC98*'EV %sales'!$AS$58+'New Zealand EV uptake'!X20*'EV %sales'!$AT$58+'Norway EV uptake with subs'!AD27*'EV %sales'!$AU$58+'Spain EV uptake'!X20*'EV %sales'!$AV$58+'Sweden EV uptake'!X20*'EV %sales'!$AW$58+'Switzerland EV uptake'!X20*'EV %sales'!$AX$58+'USA EV uptake'!X20*'EV %sales'!$AZ$58)/('EV %sales'!$BB$58-'EV %sales'!$BA$58)</f>
        <v>8.6148151274481712</v>
      </c>
      <c r="AC76" s="13">
        <f>('Australia EV uptake'!AA20*'EV %sales'!$AE$58+'Austria EV uptake'!Y20*'EV %sales'!$AF$58+'Belgian EV uptake'!Y20*'EV %sales'!$AG$58+'British EV uptake'!Y20*'EV %sales'!$AY$58+'Canada EV uptake'!Y20*'EV %sales'!$AH$58+'China EV uptake'!Y20*'EV %sales'!$AI$58+'Denmark EV uptake'!AK29*'EV %sales'!$AJ$58+'Finland EV uptake'!Y20*'EV %sales'!$AK$58+'France EV uptake'!Y20*'EV %sales'!$AL$58+'Germany EV uptake'!Y20*'EV %sales'!$AM$58+'India EV uptake'!Y20*'EV %sales'!$AN$58+'Ireland EV uptake'!Y20*'EV %sales'!$AO$58+'Italy EV uptake'!Y20*'EV %sales'!$AP$58+'Japan EV uptake'!Y20*'EV %sales'!$AQ$58+'Korea EV uptake'!Y20*'EV %sales'!$AR$58+'Netherlands logist Take-up'!AD98*'EV %sales'!$AS$58+'New Zealand EV uptake'!Y20*'EV %sales'!$AT$58+'Norway EV uptake with subs'!AE27*'EV %sales'!$AU$58+'Spain EV uptake'!Y20*'EV %sales'!$AV$58+'Sweden EV uptake'!Y20*'EV %sales'!$AW$58+'Switzerland EV uptake'!Y20*'EV %sales'!$AX$58+'USA EV uptake'!Y20*'EV %sales'!$AZ$58)/('EV %sales'!$BB$58-'EV %sales'!$BA$58)</f>
        <v>18.47526189112704</v>
      </c>
      <c r="AD76" s="13">
        <f>('Australia EV uptake'!AB20*'EV %sales'!$AE$58+'Austria EV uptake'!Z20*'EV %sales'!$AF$58+'Belgian EV uptake'!Z20*'EV %sales'!$AG$58+'British EV uptake'!Z20*'EV %sales'!$AY$58+'Canada EV uptake'!Z20*'EV %sales'!$AH$58+'China EV uptake'!Z20*'EV %sales'!$AI$58+'Denmark EV uptake'!AL29*'EV %sales'!$AJ$58+'Finland EV uptake'!Z20*'EV %sales'!$AK$58+'France EV uptake'!Z20*'EV %sales'!$AL$58+'Germany EV uptake'!Z20*'EV %sales'!$AM$58+'India EV uptake'!Z20*'EV %sales'!$AN$58+'Ireland EV uptake'!Z20*'EV %sales'!$AO$58+'Italy EV uptake'!Z20*'EV %sales'!$AP$58+'Japan EV uptake'!Z20*'EV %sales'!$AQ$58+'Korea EV uptake'!Z20*'EV %sales'!$AR$58+'Netherlands logist Take-up'!AE98*'EV %sales'!$AS$58+'New Zealand EV uptake'!Z20*'EV %sales'!$AT$58+'Norway EV uptake with subs'!AF27*'EV %sales'!$AU$58+'Spain EV uptake'!Z20*'EV %sales'!$AV$58+'Sweden EV uptake'!Z20*'EV %sales'!$AW$58+'Switzerland EV uptake'!Z20*'EV %sales'!$AX$58+'USA EV uptake'!Z20*'EV %sales'!$AZ$58)/('EV %sales'!$BB$58-'EV %sales'!$BA$58)</f>
        <v>29.638783513866535</v>
      </c>
    </row>
    <row r="77" spans="1:30">
      <c r="A77" s="3">
        <v>2026</v>
      </c>
      <c r="C77" s="13">
        <f t="shared" si="7"/>
        <v>45.825790417369525</v>
      </c>
      <c r="D77" s="13">
        <f t="shared" si="12"/>
        <v>21.919132797777344</v>
      </c>
      <c r="E77" s="13">
        <f t="shared" si="9"/>
        <v>21.824088999272806</v>
      </c>
      <c r="G77">
        <f t="shared" si="4"/>
        <v>0.87128091702412858</v>
      </c>
      <c r="H77" s="230">
        <f t="shared" si="11"/>
        <v>-0.68226836430209647</v>
      </c>
      <c r="I77" s="230">
        <f>G77-SUM(J$71:J77)</f>
        <v>-0.67571908297587158</v>
      </c>
      <c r="J77" s="20">
        <f>J76+(J91-J71)/20</f>
        <v>0.24200000000000005</v>
      </c>
      <c r="L77" s="13">
        <f>('Australia EV uptake'!V21*'EV %sales'!$AE$58+'Austria EV uptake'!T21*'EV %sales'!$AF$58+'Belgian EV uptake'!T21*'EV %sales'!$AG$58+'British EV uptake'!T21*'EV %sales'!$AY$58+'Canada EV uptake'!T21*'EV %sales'!$AH$58+'China EV uptake'!T21*'EV %sales'!$AI$58+'Denmark EV uptake'!AF30*'EV %sales'!$AJ$58+'Finland EV uptake'!T21*'EV %sales'!$AK$58+'France EV uptake'!T21*'EV %sales'!$AL$58+'Germany EV uptake'!T21*'EV %sales'!$AM$58+'India EV uptake'!T21*'EV %sales'!$AN$58+'Ireland EV uptake'!T21*'EV %sales'!$AO$58+'Italy EV uptake'!T21*'EV %sales'!$AP$58+'Japan EV uptake'!T21*'EV %sales'!$AQ$58+'Korea EV uptake'!T21*'EV %sales'!$AR$58+'Netherlands logist Take-up'!Y99*'EV %sales'!$AS$58+'New Zealand EV uptake'!T21*'EV %sales'!$AT$58+'Norway EV uptake with subs'!Z28*'EV %sales'!$AU$58+'Spain EV uptake'!T21*'EV %sales'!$AV$58+'Sweden EV uptake'!T21*'EV %sales'!$AW$58+'Switzerland EV uptake'!T21*'EV %sales'!$AX$58+'USA EV uptake'!T21*'EV %sales'!$AZ$58)/('EV %sales'!$BB$58-'EV %sales'!$BA$58)</f>
        <v>22.587004393801681</v>
      </c>
      <c r="M77" s="13">
        <f>('Australia EV uptake'!N21*'EV %sales'!AE$58+'Austria EV uptake'!L21*'EV %sales'!AF$58+'Belgian EV uptake'!L21*'EV %sales'!AG$58+'British EV uptake'!L21*'EV %sales'!AY$58+'Canada EV uptake'!L21*'EV %sales'!AH$58+'China EV uptake'!L21*'EV %sales'!AI$58+'Denmark EV uptake'!X30*'EV %sales'!AJ$58+'Finland EV uptake'!L21*'EV %sales'!AK$58+'France EV uptake'!L21*'EV %sales'!AL$58+'Germany EV uptake'!L21*'EV %sales'!AM$58+'India EV uptake'!L21*'EV %sales'!AN$58+'Ireland EV uptake'!L21*'EV %sales'!AO$58+'Italy EV uptake'!L21*'EV %sales'!AP$58+'Japan EV uptake'!L21*'EV %sales'!AQ$58+'Korea EV uptake'!L21*'EV %sales'!AR$58+'Netherlands logist Take-up'!O99*'EV %sales'!AS$58+'New Zealand EV uptake'!L21*'EV %sales'!AT$58+'Norway EV uptake with subs'!R31*'EV %sales'!AU$58+'Spain EV uptake'!L21*'EV %sales'!AV$58+'Sweden EV uptake'!L21*'EV %sales'!AW$58+'Switzerland EV uptake'!L21*'EV %sales'!AX$58+'USA EV uptake'!L21*'EV %sales'!AZ$58+'Rest Europe EV takeup'!O21*'EV %sales'!BA$58)/'EV %sales'!BB$58</f>
        <v>30.660925115915109</v>
      </c>
      <c r="N77" s="13">
        <f>('Australia EV uptake'!D21*'EV %sales'!AE$58+'Austria EV uptake'!AB21*'EV %sales'!AF$58+'Belgian EV uptake'!AB21*'EV %sales'!AG$58+'British EV uptake'!AB21*'EV %sales'!AY$58+'Canada EV uptake'!AB21*'EV %sales'!AH$58+'China EV uptake'!AB21*'EV %sales'!AI$58+'Denmark EV uptake'!F30*'EV %sales'!AJ$58+'Finland EV uptake'!AB21*'EV %sales'!AK$58+'France EV uptake'!AB21*'EV %sales'!AL$58+'Germany EV uptake'!AB21*'EV %sales'!AM$58+'India EV uptake'!AB21*'EV %sales'!AN$58+'Ireland EV uptake'!AB21*'EV %sales'!AO$58+'Italy EV uptake'!AB21*'EV %sales'!AP$58+'Japan EV uptake'!AB21*'EV %sales'!AQ$58+'Korea EV uptake'!AB21*'EV %sales'!AR$58+'Netherlands logist Take-up'!E99*'EV %sales'!AS$58+'New Zealand EV uptake'!AB21*'EV %sales'!AT$58+'Norway EV uptake with subs'!H31*'EV %sales'!AU$58+'Spain EV uptake'!AB21*'EV %sales'!AV$58+'Sweden EV uptake'!AB21*'EV %sales'!AW$58+'Switzerland EV uptake'!AB21*'EV %sales'!AX$58+'USA EV uptake'!AB21*'EV %sales'!AZ$58+'Rest Europe EV takeup'!O21*'EV %sales'!BA$58)/'EV %sales'!BB$58</f>
        <v>30.579755913422385</v>
      </c>
      <c r="P77">
        <v>17</v>
      </c>
      <c r="Q77" s="13">
        <f t="shared" si="6"/>
        <v>1.6069586594894731</v>
      </c>
      <c r="R77" s="13"/>
      <c r="S77" s="13"/>
      <c r="T77" s="13">
        <f>'Country Petrol Prices'!Y98</f>
        <v>1.6532615187403452</v>
      </c>
      <c r="V77">
        <v>2026</v>
      </c>
      <c r="W77" s="13">
        <f>('Australia EV uptake'!U21*'EV %sales'!$AE$58+'Austria EV uptake'!S21*'EV %sales'!$AF$58+'Belgian EV uptake'!S21*'EV %sales'!$AG$58+'British EV uptake'!S21*'EV %sales'!$AY$58+'Canada EV uptake'!S21*'EV %sales'!$AH$58+'China EV uptake'!S21*'EV %sales'!$AI$58+'Denmark EV uptake'!AE30*'EV %sales'!$AJ$58+'Finland EV uptake'!S21*'EV %sales'!$AK$58+'France EV uptake'!S21*'EV %sales'!$AL$58+'Germany EV uptake'!S21*'EV %sales'!$AM$58+'India EV uptake'!S21*'EV %sales'!$AN$58+'Ireland EV uptake'!S21*'EV %sales'!$AO$58+'Italy EV uptake'!S21*'EV %sales'!$AP$58+'Japan EV uptake'!S21*'EV %sales'!$AQ$58+'Korea EV uptake'!S21*'EV %sales'!$AR$58+'Netherlands logist Take-up'!X99*'EV %sales'!$AS$58+'New Zealand EV uptake'!S21*'EV %sales'!$AT$58+'Norway EV uptake with subs'!Y28*'EV %sales'!$AU$58+'Spain EV uptake'!S21*'EV %sales'!$AV$58+'Sweden EV uptake'!S21*'EV %sales'!$AW$58+'Switzerland EV uptake'!S21*'EV %sales'!$AX$58+'USA EV uptake'!S21*'EV %sales'!$AZ$58)/('EV %sales'!$BB$58-'EV %sales'!$BA$58)</f>
        <v>25.827683871087736</v>
      </c>
      <c r="X77" s="13">
        <f>('Australia EV uptake'!V21*'EV %sales'!$AE$58+'Austria EV uptake'!T21*'EV %sales'!$AF$58+'Belgian EV uptake'!T21*'EV %sales'!$AG$58+'British EV uptake'!T21*'EV %sales'!$AY$58+'Canada EV uptake'!T21*'EV %sales'!$AH$58+'China EV uptake'!T21*'EV %sales'!$AI$58+'Denmark EV uptake'!AF30*'EV %sales'!$AJ$58+'Finland EV uptake'!T21*'EV %sales'!$AK$58+'France EV uptake'!T21*'EV %sales'!$AL$58+'Germany EV uptake'!T21*'EV %sales'!$AM$58+'India EV uptake'!T21*'EV %sales'!$AN$58+'Ireland EV uptake'!T21*'EV %sales'!$AO$58+'Italy EV uptake'!T21*'EV %sales'!$AP$58+'Japan EV uptake'!T21*'EV %sales'!$AQ$58+'Korea EV uptake'!T21*'EV %sales'!$AR$58+'Netherlands logist Take-up'!Y99*'EV %sales'!$AS$58+'New Zealand EV uptake'!T21*'EV %sales'!$AT$58+'Norway EV uptake with subs'!Z28*'EV %sales'!$AU$58+'Spain EV uptake'!T21*'EV %sales'!$AV$58+'Sweden EV uptake'!T21*'EV %sales'!$AW$58+'Switzerland EV uptake'!T21*'EV %sales'!$AX$58+'USA EV uptake'!T21*'EV %sales'!$AZ$58)/('EV %sales'!$BB$58-'EV %sales'!$BA$58)</f>
        <v>22.587004393801681</v>
      </c>
      <c r="Y77" s="13">
        <f>('Australia EV uptake'!W21*'EV %sales'!$AE$58+'Austria EV uptake'!U21*'EV %sales'!$AF$58+'Belgian EV uptake'!U21*'EV %sales'!$AG$58+'British EV uptake'!U21*'EV %sales'!$AY$58+'Canada EV uptake'!U21*'EV %sales'!$AH$58+'China EV uptake'!U21*'EV %sales'!$AI$58+'Denmark EV uptake'!AG30*'EV %sales'!$AJ$58+'Finland EV uptake'!U21*'EV %sales'!$AK$58+'France EV uptake'!U21*'EV %sales'!$AL$58+'Germany EV uptake'!U21*'EV %sales'!$AM$58+'India EV uptake'!U21*'EV %sales'!$AN$58+'Ireland EV uptake'!U21*'EV %sales'!$AO$58+'Italy EV uptake'!U21*'EV %sales'!$AP$58+'Japan EV uptake'!U21*'EV %sales'!$AQ$58+'Korea EV uptake'!U21*'EV %sales'!$AR$58+'Netherlands logist Take-up'!Z99*'EV %sales'!$AS$58+'New Zealand EV uptake'!U21*'EV %sales'!$AT$58+'Norway EV uptake with subs'!AA28*'EV %sales'!$AU$58+'Spain EV uptake'!U21*'EV %sales'!$AV$58+'Sweden EV uptake'!U21*'EV %sales'!$AW$58+'Switzerland EV uptake'!U21*'EV %sales'!$AX$58+'USA EV uptake'!U21*'EV %sales'!$AZ$58)/('EV %sales'!$BB$58-'EV %sales'!$BA$58)</f>
        <v>20.184240220888363</v>
      </c>
      <c r="AA77">
        <v>2026</v>
      </c>
      <c r="AB77" s="13">
        <f>('Australia EV uptake'!Z21*'EV %sales'!$AE$58+'Austria EV uptake'!X21*'EV %sales'!$AF$58+'Belgian EV uptake'!X21*'EV %sales'!$AG$58+'British EV uptake'!X21*'EV %sales'!$AY$58+'Canada EV uptake'!X21*'EV %sales'!$AH$58+'China EV uptake'!X21*'EV %sales'!$AI$58+'Denmark EV uptake'!AJ30*'EV %sales'!$AJ$58+'Finland EV uptake'!X21*'EV %sales'!$AK$58+'France EV uptake'!X21*'EV %sales'!$AL$58+'Germany EV uptake'!X21*'EV %sales'!$AM$58+'India EV uptake'!X21*'EV %sales'!$AN$58+'Ireland EV uptake'!X21*'EV %sales'!$AO$58+'Italy EV uptake'!X21*'EV %sales'!$AP$58+'Japan EV uptake'!X21*'EV %sales'!$AQ$58+'Korea EV uptake'!X21*'EV %sales'!$AR$58+'Netherlands logist Take-up'!AC99*'EV %sales'!$AS$58+'New Zealand EV uptake'!X21*'EV %sales'!$AT$58+'Norway EV uptake with subs'!AD28*'EV %sales'!$AU$58+'Spain EV uptake'!X21*'EV %sales'!$AV$58+'Sweden EV uptake'!X21*'EV %sales'!$AW$58+'Switzerland EV uptake'!X21*'EV %sales'!$AX$58+'USA EV uptake'!X21*'EV %sales'!$AZ$58)/('EV %sales'!$BB$58-'EV %sales'!$BA$58)</f>
        <v>10.291557081869678</v>
      </c>
      <c r="AC77" s="13">
        <f>('Australia EV uptake'!AA21*'EV %sales'!$AE$58+'Austria EV uptake'!Y21*'EV %sales'!$AF$58+'Belgian EV uptake'!Y21*'EV %sales'!$AG$58+'British EV uptake'!Y21*'EV %sales'!$AY$58+'Canada EV uptake'!Y21*'EV %sales'!$AH$58+'China EV uptake'!Y21*'EV %sales'!$AI$58+'Denmark EV uptake'!AK30*'EV %sales'!$AJ$58+'Finland EV uptake'!Y21*'EV %sales'!$AK$58+'France EV uptake'!Y21*'EV %sales'!$AL$58+'Germany EV uptake'!Y21*'EV %sales'!$AM$58+'India EV uptake'!Y21*'EV %sales'!$AN$58+'Ireland EV uptake'!Y21*'EV %sales'!$AO$58+'Italy EV uptake'!Y21*'EV %sales'!$AP$58+'Japan EV uptake'!Y21*'EV %sales'!$AQ$58+'Korea EV uptake'!Y21*'EV %sales'!$AR$58+'Netherlands logist Take-up'!AD99*'EV %sales'!$AS$58+'New Zealand EV uptake'!Y21*'EV %sales'!$AT$58+'Norway EV uptake with subs'!AE28*'EV %sales'!$AU$58+'Spain EV uptake'!Y21*'EV %sales'!$AV$58+'Sweden EV uptake'!Y21*'EV %sales'!$AW$58+'Switzerland EV uptake'!Y21*'EV %sales'!$AX$58+'USA EV uptake'!Y21*'EV %sales'!$AZ$58)/('EV %sales'!$BB$58-'EV %sales'!$BA$58)</f>
        <v>22.587004393801681</v>
      </c>
      <c r="AD77" s="13">
        <f>('Australia EV uptake'!AB21*'EV %sales'!$AE$58+'Austria EV uptake'!Z21*'EV %sales'!$AF$58+'Belgian EV uptake'!Z21*'EV %sales'!$AG$58+'British EV uptake'!Z21*'EV %sales'!$AY$58+'Canada EV uptake'!Z21*'EV %sales'!$AH$58+'China EV uptake'!Z21*'EV %sales'!$AI$58+'Denmark EV uptake'!AL30*'EV %sales'!$AJ$58+'Finland EV uptake'!Z21*'EV %sales'!$AK$58+'France EV uptake'!Z21*'EV %sales'!$AL$58+'Germany EV uptake'!Z21*'EV %sales'!$AM$58+'India EV uptake'!Z21*'EV %sales'!$AN$58+'Ireland EV uptake'!Z21*'EV %sales'!$AO$58+'Italy EV uptake'!Z21*'EV %sales'!$AP$58+'Japan EV uptake'!Z21*'EV %sales'!$AQ$58+'Korea EV uptake'!Z21*'EV %sales'!$AR$58+'Netherlands logist Take-up'!AE99*'EV %sales'!$AS$58+'New Zealand EV uptake'!Z21*'EV %sales'!$AT$58+'Norway EV uptake with subs'!AF28*'EV %sales'!$AU$58+'Spain EV uptake'!Z21*'EV %sales'!$AV$58+'Sweden EV uptake'!Z21*'EV %sales'!$AW$58+'Switzerland EV uptake'!Z21*'EV %sales'!$AX$58+'USA EV uptake'!Z21*'EV %sales'!$AZ$58)/('EV %sales'!$BB$58-'EV %sales'!$BA$58)</f>
        <v>34.357426502518123</v>
      </c>
    </row>
    <row r="78" spans="1:30">
      <c r="A78" s="3">
        <v>2027</v>
      </c>
      <c r="C78" s="13">
        <f t="shared" si="7"/>
        <v>51.906454915807629</v>
      </c>
      <c r="D78" s="13">
        <f t="shared" si="12"/>
        <v>25.794181673831304</v>
      </c>
      <c r="E78" s="13">
        <f t="shared" si="9"/>
        <v>25.486321741893295</v>
      </c>
      <c r="G78">
        <f t="shared" si="4"/>
        <v>1.377323787506489</v>
      </c>
      <c r="H78" s="230">
        <f t="shared" si="11"/>
        <v>-0.43850499100910012</v>
      </c>
      <c r="I78" s="230">
        <f>G78-SUM(J$71:J78)</f>
        <v>-0.41867621249351128</v>
      </c>
      <c r="J78" s="20">
        <f>J77+(J91-J71)/20</f>
        <v>0.24900000000000005</v>
      </c>
      <c r="L78" s="13">
        <f>('Australia EV uptake'!V22*'EV %sales'!$AE$58+'Austria EV uptake'!T22*'EV %sales'!$AF$58+'Belgian EV uptake'!T22*'EV %sales'!$AG$58+'British EV uptake'!T22*'EV %sales'!$AY$58+'Canada EV uptake'!T22*'EV %sales'!$AH$58+'China EV uptake'!T22*'EV %sales'!$AI$58+'Denmark EV uptake'!AF31*'EV %sales'!$AJ$58+'Finland EV uptake'!T22*'EV %sales'!$AK$58+'France EV uptake'!T22*'EV %sales'!$AL$58+'Germany EV uptake'!T22*'EV %sales'!$AM$58+'India EV uptake'!T22*'EV %sales'!$AN$58+'Ireland EV uptake'!T22*'EV %sales'!$AO$58+'Italy EV uptake'!T22*'EV %sales'!$AP$58+'Japan EV uptake'!T22*'EV %sales'!$AQ$58+'Korea EV uptake'!T22*'EV %sales'!$AR$58+'Netherlands logist Take-up'!Y100*'EV %sales'!$AS$58+'New Zealand EV uptake'!T22*'EV %sales'!$AT$58+'Norway EV uptake with subs'!Z29*'EV %sales'!$AU$58+'Spain EV uptake'!T22*'EV %sales'!$AV$58+'Sweden EV uptake'!T22*'EV %sales'!$AW$58+'Switzerland EV uptake'!T22*'EV %sales'!$AX$58+'USA EV uptake'!T22*'EV %sales'!$AZ$58)/('EV %sales'!$BB$58-'EV %sales'!$BA$58)</f>
        <v>26.852292423808958</v>
      </c>
      <c r="M78" s="13">
        <f>('Australia EV uptake'!N22*'EV %sales'!AE$58+'Austria EV uptake'!L22*'EV %sales'!AF$58+'Belgian EV uptake'!L22*'EV %sales'!AG$58+'British EV uptake'!L22*'EV %sales'!AY$58+'Canada EV uptake'!L22*'EV %sales'!AH$58+'China EV uptake'!L22*'EV %sales'!AI$58+'Denmark EV uptake'!X31*'EV %sales'!AJ$58+'Finland EV uptake'!L22*'EV %sales'!AK$58+'France EV uptake'!L22*'EV %sales'!AL$58+'Germany EV uptake'!L22*'EV %sales'!AM$58+'India EV uptake'!L22*'EV %sales'!AN$58+'Ireland EV uptake'!L22*'EV %sales'!AO$58+'Italy EV uptake'!L22*'EV %sales'!AP$58+'Japan EV uptake'!L22*'EV %sales'!AQ$58+'Korea EV uptake'!L22*'EV %sales'!AR$58+'Netherlands logist Take-up'!O100*'EV %sales'!AS$58+'New Zealand EV uptake'!L22*'EV %sales'!AT$58+'Norway EV uptake with subs'!R32*'EV %sales'!AU$58+'Spain EV uptake'!L22*'EV %sales'!AV$58+'Sweden EV uptake'!L22*'EV %sales'!AW$58+'Switzerland EV uptake'!L22*'EV %sales'!AX$58+'USA EV uptake'!L22*'EV %sales'!AZ$58+'Rest Europe EV takeup'!O22*'EV %sales'!BA$58)/'EV %sales'!BB$58</f>
        <v>34.852959476218651</v>
      </c>
      <c r="N78" s="13">
        <f>('Australia EV uptake'!D22*'EV %sales'!AE$58+'Austria EV uptake'!AB22*'EV %sales'!AF$58+'Belgian EV uptake'!AB22*'EV %sales'!AG$58+'British EV uptake'!AB22*'EV %sales'!AY$58+'Canada EV uptake'!AB22*'EV %sales'!AH$58+'China EV uptake'!AB22*'EV %sales'!AI$58+'Denmark EV uptake'!F31*'EV %sales'!AJ$58+'Finland EV uptake'!AB22*'EV %sales'!AK$58+'France EV uptake'!AB22*'EV %sales'!AL$58+'Germany EV uptake'!AB22*'EV %sales'!AM$58+'India EV uptake'!AB22*'EV %sales'!AN$58+'Ireland EV uptake'!AB22*'EV %sales'!AO$58+'Italy EV uptake'!AB22*'EV %sales'!AP$58+'Japan EV uptake'!AB22*'EV %sales'!AQ$58+'Korea EV uptake'!AB22*'EV %sales'!AR$58+'Netherlands logist Take-up'!E100*'EV %sales'!AS$58+'New Zealand EV uptake'!AB22*'EV %sales'!AT$58+'Norway EV uptake with subs'!H32*'EV %sales'!AU$58+'Spain EV uptake'!AB22*'EV %sales'!AV$58+'Sweden EV uptake'!AB22*'EV %sales'!AW$58+'Switzerland EV uptake'!AB22*'EV %sales'!AX$58+'USA EV uptake'!AB22*'EV %sales'!AZ$58+'Rest Europe EV takeup'!O22*'EV %sales'!BA$58)/'EV %sales'!BB$58</f>
        <v>34.327979651839698</v>
      </c>
      <c r="P78">
        <v>18</v>
      </c>
      <c r="Q78" s="13">
        <f t="shared" si="6"/>
        <v>1.6532615187403452</v>
      </c>
      <c r="R78" s="13"/>
      <c r="S78" s="13"/>
      <c r="T78" s="13">
        <f>'Country Petrol Prices'!Y99</f>
        <v>1.6772901606371236</v>
      </c>
      <c r="V78">
        <v>2027</v>
      </c>
      <c r="W78" s="13">
        <f>('Australia EV uptake'!U22*'EV %sales'!$AE$58+'Austria EV uptake'!S22*'EV %sales'!$AF$58+'Belgian EV uptake'!S22*'EV %sales'!$AG$58+'British EV uptake'!S22*'EV %sales'!$AY$58+'Canada EV uptake'!S22*'EV %sales'!$AH$58+'China EV uptake'!S22*'EV %sales'!$AI$58+'Denmark EV uptake'!AE31*'EV %sales'!$AJ$58+'Finland EV uptake'!S22*'EV %sales'!$AK$58+'France EV uptake'!S22*'EV %sales'!$AL$58+'Germany EV uptake'!S22*'EV %sales'!$AM$58+'India EV uptake'!S22*'EV %sales'!$AN$58+'Ireland EV uptake'!S22*'EV %sales'!$AO$58+'Italy EV uptake'!S22*'EV %sales'!$AP$58+'Japan EV uptake'!S22*'EV %sales'!$AQ$58+'Korea EV uptake'!S22*'EV %sales'!$AR$58+'Netherlands logist Take-up'!X100*'EV %sales'!$AS$58+'New Zealand EV uptake'!S22*'EV %sales'!$AT$58+'Norway EV uptake with subs'!Y29*'EV %sales'!$AU$58+'Spain EV uptake'!S22*'EV %sales'!$AV$58+'Sweden EV uptake'!S22*'EV %sales'!$AW$58+'Switzerland EV uptake'!S22*'EV %sales'!$AX$58+'USA EV uptake'!S22*'EV %sales'!$AZ$58)/('EV %sales'!$BB$58-'EV %sales'!$BA$58)</f>
        <v>30.105728946704932</v>
      </c>
      <c r="X78" s="13">
        <f>('Australia EV uptake'!V22*'EV %sales'!$AE$58+'Austria EV uptake'!T22*'EV %sales'!$AF$58+'Belgian EV uptake'!T22*'EV %sales'!$AG$58+'British EV uptake'!T22*'EV %sales'!$AY$58+'Canada EV uptake'!T22*'EV %sales'!$AH$58+'China EV uptake'!T22*'EV %sales'!$AI$58+'Denmark EV uptake'!AF31*'EV %sales'!$AJ$58+'Finland EV uptake'!T22*'EV %sales'!$AK$58+'France EV uptake'!T22*'EV %sales'!$AL$58+'Germany EV uptake'!T22*'EV %sales'!$AM$58+'India EV uptake'!T22*'EV %sales'!$AN$58+'Ireland EV uptake'!T22*'EV %sales'!$AO$58+'Italy EV uptake'!T22*'EV %sales'!$AP$58+'Japan EV uptake'!T22*'EV %sales'!$AQ$58+'Korea EV uptake'!T22*'EV %sales'!$AR$58+'Netherlands logist Take-up'!Y100*'EV %sales'!$AS$58+'New Zealand EV uptake'!T22*'EV %sales'!$AT$58+'Norway EV uptake with subs'!Z29*'EV %sales'!$AU$58+'Spain EV uptake'!T22*'EV %sales'!$AV$58+'Sweden EV uptake'!T22*'EV %sales'!$AW$58+'Switzerland EV uptake'!T22*'EV %sales'!$AX$58+'USA EV uptake'!T22*'EV %sales'!$AZ$58)/('EV %sales'!$BB$58-'EV %sales'!$BA$58)</f>
        <v>26.852292423808958</v>
      </c>
      <c r="Y78" s="13">
        <f>('Australia EV uptake'!W22*'EV %sales'!$AE$58+'Austria EV uptake'!U22*'EV %sales'!$AF$58+'Belgian EV uptake'!U22*'EV %sales'!$AG$58+'British EV uptake'!U22*'EV %sales'!$AY$58+'Canada EV uptake'!U22*'EV %sales'!$AH$58+'China EV uptake'!U22*'EV %sales'!$AI$58+'Denmark EV uptake'!AG31*'EV %sales'!$AJ$58+'Finland EV uptake'!U22*'EV %sales'!$AK$58+'France EV uptake'!U22*'EV %sales'!$AL$58+'Germany EV uptake'!U22*'EV %sales'!$AM$58+'India EV uptake'!U22*'EV %sales'!$AN$58+'Ireland EV uptake'!U22*'EV %sales'!$AO$58+'Italy EV uptake'!U22*'EV %sales'!$AP$58+'Japan EV uptake'!U22*'EV %sales'!$AQ$58+'Korea EV uptake'!U22*'EV %sales'!$AR$58+'Netherlands logist Take-up'!Z100*'EV %sales'!$AS$58+'New Zealand EV uptake'!U22*'EV %sales'!$AT$58+'Norway EV uptake with subs'!AA29*'EV %sales'!$AU$58+'Spain EV uptake'!U22*'EV %sales'!$AV$58+'Sweden EV uptake'!U22*'EV %sales'!$AW$58+'Switzerland EV uptake'!U22*'EV %sales'!$AX$58+'USA EV uptake'!U22*'EV %sales'!$AZ$58)/('EV %sales'!$BB$58-'EV %sales'!$BA$58)</f>
        <v>24.515292818506502</v>
      </c>
      <c r="AA78">
        <v>2027</v>
      </c>
      <c r="AB78" s="13">
        <f>('Australia EV uptake'!Z22*'EV %sales'!$AE$58+'Austria EV uptake'!X22*'EV %sales'!$AF$58+'Belgian EV uptake'!X22*'EV %sales'!$AG$58+'British EV uptake'!X22*'EV %sales'!$AY$58+'Canada EV uptake'!X22*'EV %sales'!$AH$58+'China EV uptake'!X22*'EV %sales'!$AI$58+'Denmark EV uptake'!AJ31*'EV %sales'!$AJ$58+'Finland EV uptake'!X22*'EV %sales'!$AK$58+'France EV uptake'!X22*'EV %sales'!$AL$58+'Germany EV uptake'!X22*'EV %sales'!$AM$58+'India EV uptake'!X22*'EV %sales'!$AN$58+'Ireland EV uptake'!X22*'EV %sales'!$AO$58+'Italy EV uptake'!X22*'EV %sales'!$AP$58+'Japan EV uptake'!X22*'EV %sales'!$AQ$58+'Korea EV uptake'!X22*'EV %sales'!$AR$58+'Netherlands logist Take-up'!AC100*'EV %sales'!$AS$58+'New Zealand EV uptake'!X22*'EV %sales'!$AT$58+'Norway EV uptake with subs'!AD29*'EV %sales'!$AU$58+'Spain EV uptake'!X22*'EV %sales'!$AV$58+'Sweden EV uptake'!X22*'EV %sales'!$AW$58+'Switzerland EV uptake'!X22*'EV %sales'!$AX$58+'USA EV uptake'!X22*'EV %sales'!$AZ$58)/('EV %sales'!$BB$58-'EV %sales'!$BA$58)</f>
        <v>12.274920451688768</v>
      </c>
      <c r="AC78" s="13">
        <f>('Australia EV uptake'!AA22*'EV %sales'!$AE$58+'Austria EV uptake'!Y22*'EV %sales'!$AF$58+'Belgian EV uptake'!Y22*'EV %sales'!$AG$58+'British EV uptake'!Y22*'EV %sales'!$AY$58+'Canada EV uptake'!Y22*'EV %sales'!$AH$58+'China EV uptake'!Y22*'EV %sales'!$AI$58+'Denmark EV uptake'!AK31*'EV %sales'!$AJ$58+'Finland EV uptake'!Y22*'EV %sales'!$AK$58+'France EV uptake'!Y22*'EV %sales'!$AL$58+'Germany EV uptake'!Y22*'EV %sales'!$AM$58+'India EV uptake'!Y22*'EV %sales'!$AN$58+'Ireland EV uptake'!Y22*'EV %sales'!$AO$58+'Italy EV uptake'!Y22*'EV %sales'!$AP$58+'Japan EV uptake'!Y22*'EV %sales'!$AQ$58+'Korea EV uptake'!Y22*'EV %sales'!$AR$58+'Netherlands logist Take-up'!AD100*'EV %sales'!$AS$58+'New Zealand EV uptake'!Y22*'EV %sales'!$AT$58+'Norway EV uptake with subs'!AE29*'EV %sales'!$AU$58+'Spain EV uptake'!Y22*'EV %sales'!$AV$58+'Sweden EV uptake'!Y22*'EV %sales'!$AW$58+'Switzerland EV uptake'!Y22*'EV %sales'!$AX$58+'USA EV uptake'!Y22*'EV %sales'!$AZ$58)/('EV %sales'!$BB$58-'EV %sales'!$BA$58)</f>
        <v>26.852292423808958</v>
      </c>
      <c r="AD78" s="13">
        <f>('Australia EV uptake'!AB22*'EV %sales'!$AE$58+'Austria EV uptake'!Z22*'EV %sales'!$AF$58+'Belgian EV uptake'!Z22*'EV %sales'!$AG$58+'British EV uptake'!Z22*'EV %sales'!$AY$58+'Canada EV uptake'!Z22*'EV %sales'!$AH$58+'China EV uptake'!Z22*'EV %sales'!$AI$58+'Denmark EV uptake'!AL31*'EV %sales'!$AJ$58+'Finland EV uptake'!Z22*'EV %sales'!$AK$58+'France EV uptake'!Z22*'EV %sales'!$AL$58+'Germany EV uptake'!Z22*'EV %sales'!$AM$58+'India EV uptake'!Z22*'EV %sales'!$AN$58+'Ireland EV uptake'!Z22*'EV %sales'!$AO$58+'Italy EV uptake'!Z22*'EV %sales'!$AP$58+'Japan EV uptake'!Z22*'EV %sales'!$AQ$58+'Korea EV uptake'!Z22*'EV %sales'!$AR$58+'Netherlands logist Take-up'!AE100*'EV %sales'!$AS$58+'New Zealand EV uptake'!Z22*'EV %sales'!$AT$58+'Norway EV uptake with subs'!AF29*'EV %sales'!$AU$58+'Spain EV uptake'!Z22*'EV %sales'!$AV$58+'Sweden EV uptake'!Z22*'EV %sales'!$AW$58+'Switzerland EV uptake'!Z22*'EV %sales'!$AX$58+'USA EV uptake'!Z22*'EV %sales'!$AZ$58)/('EV %sales'!$BB$58-'EV %sales'!$BA$58)</f>
        <v>38.583485310690691</v>
      </c>
    </row>
    <row r="79" spans="1:30">
      <c r="A79" s="3">
        <v>2028</v>
      </c>
      <c r="C79" s="13">
        <f t="shared" si="7"/>
        <v>56.326745165258494</v>
      </c>
      <c r="D79" s="13">
        <f t="shared" si="12"/>
        <v>29.565550233157687</v>
      </c>
      <c r="E79" s="13">
        <f t="shared" si="9"/>
        <v>29.22792182751234</v>
      </c>
      <c r="G79">
        <f t="shared" si="4"/>
        <v>1.8709253358792295</v>
      </c>
      <c r="H79" s="230">
        <f t="shared" si="11"/>
        <v>-0.20204317042969194</v>
      </c>
      <c r="I79" s="230">
        <f>G79-SUM(J$71:J79)</f>
        <v>-0.181074664120771</v>
      </c>
      <c r="J79" s="20">
        <f>J78+(J91-J71)/20</f>
        <v>0.25600000000000006</v>
      </c>
      <c r="L79" s="13">
        <f>('Australia EV uptake'!V23*'EV %sales'!$AE$58+'Austria EV uptake'!T23*'EV %sales'!$AF$58+'Belgian EV uptake'!T23*'EV %sales'!$AG$58+'British EV uptake'!T23*'EV %sales'!$AY$58+'Canada EV uptake'!T23*'EV %sales'!$AH$58+'China EV uptake'!T23*'EV %sales'!$AI$58+'Denmark EV uptake'!AF32*'EV %sales'!$AJ$58+'Finland EV uptake'!T23*'EV %sales'!$AK$58+'France EV uptake'!T23*'EV %sales'!$AL$58+'Germany EV uptake'!T23*'EV %sales'!$AM$58+'India EV uptake'!T23*'EV %sales'!$AN$58+'Ireland EV uptake'!T23*'EV %sales'!$AO$58+'Italy EV uptake'!T23*'EV %sales'!$AP$58+'Japan EV uptake'!T23*'EV %sales'!$AQ$58+'Korea EV uptake'!T23*'EV %sales'!$AR$58+'Netherlands logist Take-up'!Y101*'EV %sales'!$AS$58+'New Zealand EV uptake'!T23*'EV %sales'!$AT$58+'Norway EV uptake with subs'!Z30*'EV %sales'!$AU$58+'Spain EV uptake'!T23*'EV %sales'!$AV$58+'Sweden EV uptake'!T23*'EV %sales'!$AW$58+'Switzerland EV uptake'!T23*'EV %sales'!$AX$58+'USA EV uptake'!T23*'EV %sales'!$AZ$58)/('EV %sales'!$BB$58-'EV %sales'!$BA$58)</f>
        <v>31.067154374233752</v>
      </c>
      <c r="M79" s="13">
        <f>('Australia EV uptake'!N23*'EV %sales'!AE$58+'Austria EV uptake'!L23*'EV %sales'!AF$58+'Belgian EV uptake'!L23*'EV %sales'!AG$58+'British EV uptake'!L23*'EV %sales'!AY$58+'Canada EV uptake'!L23*'EV %sales'!AH$58+'China EV uptake'!L23*'EV %sales'!AI$58+'Denmark EV uptake'!X32*'EV %sales'!AJ$58+'Finland EV uptake'!L23*'EV %sales'!AK$58+'France EV uptake'!L23*'EV %sales'!AL$58+'Germany EV uptake'!L23*'EV %sales'!AM$58+'India EV uptake'!L23*'EV %sales'!AN$58+'Ireland EV uptake'!L23*'EV %sales'!AO$58+'Italy EV uptake'!L23*'EV %sales'!AP$58+'Japan EV uptake'!L23*'EV %sales'!AQ$58+'Korea EV uptake'!L23*'EV %sales'!AR$58+'Netherlands logist Take-up'!O101*'EV %sales'!AS$58+'New Zealand EV uptake'!L23*'EV %sales'!AT$58+'Norway EV uptake with subs'!R33*'EV %sales'!AU$58+'Spain EV uptake'!L23*'EV %sales'!AV$58+'Sweden EV uptake'!L23*'EV %sales'!AW$58+'Switzerland EV uptake'!L23*'EV %sales'!AX$58+'USA EV uptake'!L23*'EV %sales'!AZ$58+'Rest Europe EV takeup'!O23*'EV %sales'!BA$58)/'EV %sales'!BB$58</f>
        <v>38.551122750194878</v>
      </c>
      <c r="N79" s="13">
        <f>('Australia EV uptake'!D23*'EV %sales'!AE$58+'Austria EV uptake'!AB23*'EV %sales'!AF$58+'Belgian EV uptake'!AB23*'EV %sales'!AG$58+'British EV uptake'!AB23*'EV %sales'!AY$58+'Canada EV uptake'!AB23*'EV %sales'!AH$58+'China EV uptake'!AB23*'EV %sales'!AI$58+'Denmark EV uptake'!F32*'EV %sales'!AJ$58+'Finland EV uptake'!AB23*'EV %sales'!AK$58+'France EV uptake'!AB23*'EV %sales'!AL$58+'Germany EV uptake'!AB23*'EV %sales'!AM$58+'India EV uptake'!AB23*'EV %sales'!AN$58+'Ireland EV uptake'!AB23*'EV %sales'!AO$58+'Italy EV uptake'!AB23*'EV %sales'!AP$58+'Japan EV uptake'!AB23*'EV %sales'!AQ$58+'Korea EV uptake'!AB23*'EV %sales'!AR$58+'Netherlands logist Take-up'!E101*'EV %sales'!AS$58+'New Zealand EV uptake'!AB23*'EV %sales'!AT$58+'Norway EV uptake with subs'!H33*'EV %sales'!AU$58+'Spain EV uptake'!AB23*'EV %sales'!AV$58+'Sweden EV uptake'!AB23*'EV %sales'!AW$58+'Switzerland EV uptake'!AB23*'EV %sales'!AX$58+'USA EV uptake'!AB23*'EV %sales'!AZ$58+'Rest Europe EV takeup'!O23*'EV %sales'!BA$58)/'EV %sales'!BB$58</f>
        <v>37.590793684085092</v>
      </c>
      <c r="P79">
        <v>19</v>
      </c>
      <c r="Q79" s="13">
        <f t="shared" si="6"/>
        <v>1.6772901606371236</v>
      </c>
      <c r="R79" s="13"/>
      <c r="S79" s="13"/>
      <c r="T79" s="13">
        <f>'Country Petrol Prices'!Y100</f>
        <v>1.6927879840183315</v>
      </c>
      <c r="V79">
        <v>2028</v>
      </c>
      <c r="W79" s="13">
        <f>('Australia EV uptake'!U23*'EV %sales'!$AE$58+'Austria EV uptake'!S23*'EV %sales'!$AF$58+'Belgian EV uptake'!S23*'EV %sales'!$AG$58+'British EV uptake'!S23*'EV %sales'!$AY$58+'Canada EV uptake'!S23*'EV %sales'!$AH$58+'China EV uptake'!S23*'EV %sales'!$AI$58+'Denmark EV uptake'!AE32*'EV %sales'!$AJ$58+'Finland EV uptake'!S23*'EV %sales'!$AK$58+'France EV uptake'!S23*'EV %sales'!$AL$58+'Germany EV uptake'!S23*'EV %sales'!$AM$58+'India EV uptake'!S23*'EV %sales'!$AN$58+'Ireland EV uptake'!S23*'EV %sales'!$AO$58+'Italy EV uptake'!S23*'EV %sales'!$AP$58+'Japan EV uptake'!S23*'EV %sales'!$AQ$58+'Korea EV uptake'!S23*'EV %sales'!$AR$58+'Netherlands logist Take-up'!X101*'EV %sales'!$AS$58+'New Zealand EV uptake'!S23*'EV %sales'!$AT$58+'Norway EV uptake with subs'!Y30*'EV %sales'!$AU$58+'Spain EV uptake'!S23*'EV %sales'!$AV$58+'Sweden EV uptake'!S23*'EV %sales'!$AW$58+'Switzerland EV uptake'!S23*'EV %sales'!$AX$58+'USA EV uptake'!S23*'EV %sales'!$AZ$58)/('EV %sales'!$BB$58-'EV %sales'!$BA$58)</f>
        <v>34.174863957989778</v>
      </c>
      <c r="X79" s="13">
        <f>('Australia EV uptake'!V23*'EV %sales'!$AE$58+'Austria EV uptake'!T23*'EV %sales'!$AF$58+'Belgian EV uptake'!T23*'EV %sales'!$AG$58+'British EV uptake'!T23*'EV %sales'!$AY$58+'Canada EV uptake'!T23*'EV %sales'!$AH$58+'China EV uptake'!T23*'EV %sales'!$AI$58+'Denmark EV uptake'!AF32*'EV %sales'!$AJ$58+'Finland EV uptake'!T23*'EV %sales'!$AK$58+'France EV uptake'!T23*'EV %sales'!$AL$58+'Germany EV uptake'!T23*'EV %sales'!$AM$58+'India EV uptake'!T23*'EV %sales'!$AN$58+'Ireland EV uptake'!T23*'EV %sales'!$AO$58+'Italy EV uptake'!T23*'EV %sales'!$AP$58+'Japan EV uptake'!T23*'EV %sales'!$AQ$58+'Korea EV uptake'!T23*'EV %sales'!$AR$58+'Netherlands logist Take-up'!Y101*'EV %sales'!$AS$58+'New Zealand EV uptake'!T23*'EV %sales'!$AT$58+'Norway EV uptake with subs'!Z30*'EV %sales'!$AU$58+'Spain EV uptake'!T23*'EV %sales'!$AV$58+'Sweden EV uptake'!T23*'EV %sales'!$AW$58+'Switzerland EV uptake'!T23*'EV %sales'!$AX$58+'USA EV uptake'!T23*'EV %sales'!$AZ$58)/('EV %sales'!$BB$58-'EV %sales'!$BA$58)</f>
        <v>31.067154374233752</v>
      </c>
      <c r="Y79" s="13">
        <f>('Australia EV uptake'!W23*'EV %sales'!$AE$58+'Austria EV uptake'!U23*'EV %sales'!$AF$58+'Belgian EV uptake'!U23*'EV %sales'!$AG$58+'British EV uptake'!U23*'EV %sales'!$AY$58+'Canada EV uptake'!U23*'EV %sales'!$AH$58+'China EV uptake'!U23*'EV %sales'!$AI$58+'Denmark EV uptake'!AG32*'EV %sales'!$AJ$58+'Finland EV uptake'!U23*'EV %sales'!$AK$58+'France EV uptake'!U23*'EV %sales'!$AL$58+'Germany EV uptake'!U23*'EV %sales'!$AM$58+'India EV uptake'!U23*'EV %sales'!$AN$58+'Ireland EV uptake'!U23*'EV %sales'!$AO$58+'Italy EV uptake'!U23*'EV %sales'!$AP$58+'Japan EV uptake'!U23*'EV %sales'!$AQ$58+'Korea EV uptake'!U23*'EV %sales'!$AR$58+'Netherlands logist Take-up'!Z101*'EV %sales'!$AS$58+'New Zealand EV uptake'!U23*'EV %sales'!$AT$58+'Norway EV uptake with subs'!AA30*'EV %sales'!$AU$58+'Spain EV uptake'!U23*'EV %sales'!$AV$58+'Sweden EV uptake'!U23*'EV %sales'!$AW$58+'Switzerland EV uptake'!U23*'EV %sales'!$AX$58+'USA EV uptake'!U23*'EV %sales'!$AZ$58)/('EV %sales'!$BB$58-'EV %sales'!$BA$58)</f>
        <v>28.788768536894114</v>
      </c>
      <c r="AA79">
        <v>2028</v>
      </c>
      <c r="AB79" s="13">
        <f>('Australia EV uptake'!Z23*'EV %sales'!$AE$58+'Austria EV uptake'!X23*'EV %sales'!$AF$58+'Belgian EV uptake'!X23*'EV %sales'!$AG$58+'British EV uptake'!X23*'EV %sales'!$AY$58+'Canada EV uptake'!X23*'EV %sales'!$AH$58+'China EV uptake'!X23*'EV %sales'!$AI$58+'Denmark EV uptake'!AJ32*'EV %sales'!$AJ$58+'Finland EV uptake'!X23*'EV %sales'!$AK$58+'France EV uptake'!X23*'EV %sales'!$AL$58+'Germany EV uptake'!X23*'EV %sales'!$AM$58+'India EV uptake'!X23*'EV %sales'!$AN$58+'Ireland EV uptake'!X23*'EV %sales'!$AO$58+'Italy EV uptake'!X23*'EV %sales'!$AP$58+'Japan EV uptake'!X23*'EV %sales'!$AQ$58+'Korea EV uptake'!X23*'EV %sales'!$AR$58+'Netherlands logist Take-up'!AC101*'EV %sales'!$AS$58+'New Zealand EV uptake'!X23*'EV %sales'!$AT$58+'Norway EV uptake with subs'!AD30*'EV %sales'!$AU$58+'Spain EV uptake'!X23*'EV %sales'!$AV$58+'Sweden EV uptake'!X23*'EV %sales'!$AW$58+'Switzerland EV uptake'!X23*'EV %sales'!$AX$58+'USA EV uptake'!X23*'EV %sales'!$AZ$58)/('EV %sales'!$BB$58-'EV %sales'!$BA$58)</f>
        <v>14.54939542070877</v>
      </c>
      <c r="AC79" s="13">
        <f>('Australia EV uptake'!AA23*'EV %sales'!$AE$58+'Austria EV uptake'!Y23*'EV %sales'!$AF$58+'Belgian EV uptake'!Y23*'EV %sales'!$AG$58+'British EV uptake'!Y23*'EV %sales'!$AY$58+'Canada EV uptake'!Y23*'EV %sales'!$AH$58+'China EV uptake'!Y23*'EV %sales'!$AI$58+'Denmark EV uptake'!AK32*'EV %sales'!$AJ$58+'Finland EV uptake'!Y23*'EV %sales'!$AK$58+'France EV uptake'!Y23*'EV %sales'!$AL$58+'Germany EV uptake'!Y23*'EV %sales'!$AM$58+'India EV uptake'!Y23*'EV %sales'!$AN$58+'Ireland EV uptake'!Y23*'EV %sales'!$AO$58+'Italy EV uptake'!Y23*'EV %sales'!$AP$58+'Japan EV uptake'!Y23*'EV %sales'!$AQ$58+'Korea EV uptake'!Y23*'EV %sales'!$AR$58+'Netherlands logist Take-up'!AD101*'EV %sales'!$AS$58+'New Zealand EV uptake'!Y23*'EV %sales'!$AT$58+'Norway EV uptake with subs'!AE30*'EV %sales'!$AU$58+'Spain EV uptake'!Y23*'EV %sales'!$AV$58+'Sweden EV uptake'!Y23*'EV %sales'!$AW$58+'Switzerland EV uptake'!Y23*'EV %sales'!$AX$58+'USA EV uptake'!Y23*'EV %sales'!$AZ$58)/('EV %sales'!$BB$58-'EV %sales'!$BA$58)</f>
        <v>31.067154374233752</v>
      </c>
      <c r="AD79" s="13">
        <f>('Australia EV uptake'!AB23*'EV %sales'!$AE$58+'Austria EV uptake'!Z23*'EV %sales'!$AF$58+'Belgian EV uptake'!Z23*'EV %sales'!$AG$58+'British EV uptake'!Z23*'EV %sales'!$AY$58+'Canada EV uptake'!Z23*'EV %sales'!$AH$58+'China EV uptake'!Z23*'EV %sales'!$AI$58+'Denmark EV uptake'!AL32*'EV %sales'!$AJ$58+'Finland EV uptake'!Z23*'EV %sales'!$AK$58+'France EV uptake'!Z23*'EV %sales'!$AL$58+'Germany EV uptake'!Z23*'EV %sales'!$AM$58+'India EV uptake'!Z23*'EV %sales'!$AN$58+'Ireland EV uptake'!Z23*'EV %sales'!$AO$58+'Italy EV uptake'!Z23*'EV %sales'!$AP$58+'Japan EV uptake'!Z23*'EV %sales'!$AQ$58+'Korea EV uptake'!Z23*'EV %sales'!$AR$58+'Netherlands logist Take-up'!AE101*'EV %sales'!$AS$58+'New Zealand EV uptake'!Z23*'EV %sales'!$AT$58+'Norway EV uptake with subs'!AF30*'EV %sales'!$AU$58+'Spain EV uptake'!Z23*'EV %sales'!$AV$58+'Sweden EV uptake'!Z23*'EV %sales'!$AW$58+'Switzerland EV uptake'!Z23*'EV %sales'!$AX$58+'USA EV uptake'!Z23*'EV %sales'!$AZ$58)/('EV %sales'!$BB$58-'EV %sales'!$BA$58)</f>
        <v>42.156478762950613</v>
      </c>
    </row>
    <row r="80" spans="1:30">
      <c r="A80" s="3">
        <v>2029</v>
      </c>
      <c r="C80" s="13">
        <f t="shared" si="7"/>
        <v>59.39095758619905</v>
      </c>
      <c r="D80" s="13">
        <f t="shared" si="12"/>
        <v>33.22726064069861</v>
      </c>
      <c r="E80" s="13">
        <f t="shared" si="9"/>
        <v>32.93874902571261</v>
      </c>
      <c r="G80">
        <f t="shared" si="4"/>
        <v>2.3597619733541535</v>
      </c>
      <c r="H80" s="230">
        <f t="shared" si="11"/>
        <v>2.7001580462308588E-2</v>
      </c>
      <c r="I80" s="230">
        <f>G80-SUM(J$71:J80)</f>
        <v>4.4761973354153106E-2</v>
      </c>
      <c r="J80" s="20">
        <f>J79+(J91-J71)/20</f>
        <v>0.26300000000000007</v>
      </c>
      <c r="L80" s="13">
        <f>('Australia EV uptake'!V24*'EV %sales'!$AE$58+'Austria EV uptake'!T24*'EV %sales'!$AF$58+'Belgian EV uptake'!T24*'EV %sales'!$AG$58+'British EV uptake'!T24*'EV %sales'!$AY$58+'Canada EV uptake'!T24*'EV %sales'!$AH$58+'China EV uptake'!T24*'EV %sales'!$AI$58+'Denmark EV uptake'!AF33*'EV %sales'!$AJ$58+'Finland EV uptake'!T24*'EV %sales'!$AK$58+'France EV uptake'!T24*'EV %sales'!$AL$58+'Germany EV uptake'!T24*'EV %sales'!$AM$58+'India EV uptake'!T24*'EV %sales'!$AN$58+'Ireland EV uptake'!T24*'EV %sales'!$AO$58+'Italy EV uptake'!T24*'EV %sales'!$AP$58+'Japan EV uptake'!T24*'EV %sales'!$AQ$58+'Korea EV uptake'!T24*'EV %sales'!$AR$58+'Netherlands logist Take-up'!Y102*'EV %sales'!$AS$58+'New Zealand EV uptake'!T24*'EV %sales'!$AT$58+'Norway EV uptake with subs'!Z31*'EV %sales'!$AU$58+'Spain EV uptake'!T24*'EV %sales'!$AV$58+'Sweden EV uptake'!T24*'EV %sales'!$AW$58+'Switzerland EV uptake'!T24*'EV %sales'!$AX$58+'USA EV uptake'!T24*'EV %sales'!$AZ$58)/('EV %sales'!$BB$58-'EV %sales'!$BA$58)</f>
        <v>35.04942296543301</v>
      </c>
      <c r="M80" s="13">
        <f>('Australia EV uptake'!N24*'EV %sales'!AE$58+'Austria EV uptake'!L24*'EV %sales'!AF$58+'Belgian EV uptake'!L24*'EV %sales'!AG$58+'British EV uptake'!L24*'EV %sales'!AY$58+'Canada EV uptake'!L24*'EV %sales'!AH$58+'China EV uptake'!L24*'EV %sales'!AI$58+'Denmark EV uptake'!X33*'EV %sales'!AJ$58+'Finland EV uptake'!L24*'EV %sales'!AK$58+'France EV uptake'!L24*'EV %sales'!AL$58+'Germany EV uptake'!L24*'EV %sales'!AM$58+'India EV uptake'!L24*'EV %sales'!AN$58+'Ireland EV uptake'!L24*'EV %sales'!AO$58+'Italy EV uptake'!L24*'EV %sales'!AP$58+'Japan EV uptake'!L24*'EV %sales'!AQ$58+'Korea EV uptake'!L24*'EV %sales'!AR$58+'Netherlands logist Take-up'!O102*'EV %sales'!AS$58+'New Zealand EV uptake'!L24*'EV %sales'!AT$58+'Norway EV uptake with subs'!R34*'EV %sales'!AU$58+'Spain EV uptake'!L24*'EV %sales'!AV$58+'Sweden EV uptake'!L24*'EV %sales'!AW$58+'Switzerland EV uptake'!L24*'EV %sales'!AX$58+'USA EV uptake'!L24*'EV %sales'!AZ$58+'Rest Europe EV takeup'!O24*'EV %sales'!BA$58)/'EV %sales'!BB$58</f>
        <v>41.358089804531197</v>
      </c>
      <c r="N80" s="13">
        <f>('Australia EV uptake'!D24*'EV %sales'!AE$58+'Austria EV uptake'!AB24*'EV %sales'!AF$58+'Belgian EV uptake'!AB24*'EV %sales'!AG$58+'British EV uptake'!AB24*'EV %sales'!AY$58+'Canada EV uptake'!AB24*'EV %sales'!AH$58+'China EV uptake'!AB24*'EV %sales'!AI$58+'Denmark EV uptake'!F33*'EV %sales'!AJ$58+'Finland EV uptake'!AB24*'EV %sales'!AK$58+'France EV uptake'!AB24*'EV %sales'!AL$58+'Germany EV uptake'!AB24*'EV %sales'!AM$58+'India EV uptake'!AB24*'EV %sales'!AN$58+'Ireland EV uptake'!AB24*'EV %sales'!AO$58+'Italy EV uptake'!AB24*'EV %sales'!AP$58+'Japan EV uptake'!AB24*'EV %sales'!AQ$58+'Korea EV uptake'!AB24*'EV %sales'!AR$58+'Netherlands logist Take-up'!E102*'EV %sales'!AS$58+'New Zealand EV uptake'!AB24*'EV %sales'!AT$58+'Norway EV uptake with subs'!H34*'EV %sales'!AU$58+'Spain EV uptake'!AB24*'EV %sales'!AV$58+'Sweden EV uptake'!AB24*'EV %sales'!AW$58+'Switzerland EV uptake'!AB24*'EV %sales'!AX$58+'USA EV uptake'!AB24*'EV %sales'!AZ$58+'Rest Europe EV takeup'!O24*'EV %sales'!BA$58)/'EV %sales'!BB$58</f>
        <v>40.460638813121619</v>
      </c>
      <c r="P80">
        <v>20</v>
      </c>
      <c r="Q80" s="13">
        <f t="shared" si="6"/>
        <v>1.6927879840183315</v>
      </c>
      <c r="R80" s="13"/>
      <c r="S80" s="13"/>
      <c r="T80" s="13">
        <f>'Country Petrol Prices'!Y101</f>
        <v>1.7136296240588511</v>
      </c>
      <c r="V80">
        <v>2029</v>
      </c>
      <c r="W80" s="13">
        <f>('Australia EV uptake'!U24*'EV %sales'!$AE$58+'Austria EV uptake'!S24*'EV %sales'!$AF$58+'Belgian EV uptake'!S24*'EV %sales'!$AG$58+'British EV uptake'!S24*'EV %sales'!$AY$58+'Canada EV uptake'!S24*'EV %sales'!$AH$58+'China EV uptake'!S24*'EV %sales'!$AI$58+'Denmark EV uptake'!AE33*'EV %sales'!$AJ$58+'Finland EV uptake'!S24*'EV %sales'!$AK$58+'France EV uptake'!S24*'EV %sales'!$AL$58+'Germany EV uptake'!S24*'EV %sales'!$AM$58+'India EV uptake'!S24*'EV %sales'!$AN$58+'Ireland EV uptake'!S24*'EV %sales'!$AO$58+'Italy EV uptake'!S24*'EV %sales'!$AP$58+'Japan EV uptake'!S24*'EV %sales'!$AQ$58+'Korea EV uptake'!S24*'EV %sales'!$AR$58+'Netherlands logist Take-up'!X102*'EV %sales'!$AS$58+'New Zealand EV uptake'!S24*'EV %sales'!$AT$58+'Norway EV uptake with subs'!Y31*'EV %sales'!$AU$58+'Spain EV uptake'!S24*'EV %sales'!$AV$58+'Sweden EV uptake'!S24*'EV %sales'!$AW$58+'Switzerland EV uptake'!S24*'EV %sales'!$AX$58+'USA EV uptake'!S24*'EV %sales'!$AZ$58)/('EV %sales'!$BB$58-'EV %sales'!$BA$58)</f>
        <v>37.722771471016777</v>
      </c>
      <c r="X80" s="13">
        <f>('Australia EV uptake'!V24*'EV %sales'!$AE$58+'Austria EV uptake'!T24*'EV %sales'!$AF$58+'Belgian EV uptake'!T24*'EV %sales'!$AG$58+'British EV uptake'!T24*'EV %sales'!$AY$58+'Canada EV uptake'!T24*'EV %sales'!$AH$58+'China EV uptake'!T24*'EV %sales'!$AI$58+'Denmark EV uptake'!AF33*'EV %sales'!$AJ$58+'Finland EV uptake'!T24*'EV %sales'!$AK$58+'France EV uptake'!T24*'EV %sales'!$AL$58+'Germany EV uptake'!T24*'EV %sales'!$AM$58+'India EV uptake'!T24*'EV %sales'!$AN$58+'Ireland EV uptake'!T24*'EV %sales'!$AO$58+'Italy EV uptake'!T24*'EV %sales'!$AP$58+'Japan EV uptake'!T24*'EV %sales'!$AQ$58+'Korea EV uptake'!T24*'EV %sales'!$AR$58+'Netherlands logist Take-up'!Y102*'EV %sales'!$AS$58+'New Zealand EV uptake'!T24*'EV %sales'!$AT$58+'Norway EV uptake with subs'!Z31*'EV %sales'!$AU$58+'Spain EV uptake'!T24*'EV %sales'!$AV$58+'Sweden EV uptake'!T24*'EV %sales'!$AW$58+'Switzerland EV uptake'!T24*'EV %sales'!$AX$58+'USA EV uptake'!T24*'EV %sales'!$AZ$58)/('EV %sales'!$BB$58-'EV %sales'!$BA$58)</f>
        <v>35.04942296543301</v>
      </c>
      <c r="Y80" s="13">
        <f>('Australia EV uptake'!W24*'EV %sales'!$AE$58+'Austria EV uptake'!U24*'EV %sales'!$AF$58+'Belgian EV uptake'!U24*'EV %sales'!$AG$58+'British EV uptake'!U24*'EV %sales'!$AY$58+'Canada EV uptake'!U24*'EV %sales'!$AH$58+'China EV uptake'!U24*'EV %sales'!$AI$58+'Denmark EV uptake'!AG33*'EV %sales'!$AJ$58+'Finland EV uptake'!U24*'EV %sales'!$AK$58+'France EV uptake'!U24*'EV %sales'!$AL$58+'Germany EV uptake'!U24*'EV %sales'!$AM$58+'India EV uptake'!U24*'EV %sales'!$AN$58+'Ireland EV uptake'!U24*'EV %sales'!$AO$58+'Italy EV uptake'!U24*'EV %sales'!$AP$58+'Japan EV uptake'!U24*'EV %sales'!$AQ$58+'Korea EV uptake'!U24*'EV %sales'!$AR$58+'Netherlands logist Take-up'!Z102*'EV %sales'!$AS$58+'New Zealand EV uptake'!U24*'EV %sales'!$AT$58+'Norway EV uptake with subs'!AA31*'EV %sales'!$AU$58+'Spain EV uptake'!U24*'EV %sales'!$AV$58+'Sweden EV uptake'!U24*'EV %sales'!$AW$58+'Switzerland EV uptake'!U24*'EV %sales'!$AX$58+'USA EV uptake'!U24*'EV %sales'!$AZ$58)/('EV %sales'!$BB$58-'EV %sales'!$BA$58)</f>
        <v>32.761074177409675</v>
      </c>
      <c r="AA80">
        <v>2029</v>
      </c>
      <c r="AB80" s="13">
        <f>('Australia EV uptake'!Z24*'EV %sales'!$AE$58+'Austria EV uptake'!X24*'EV %sales'!$AF$58+'Belgian EV uptake'!X24*'EV %sales'!$AG$58+'British EV uptake'!X24*'EV %sales'!$AY$58+'Canada EV uptake'!X24*'EV %sales'!$AH$58+'China EV uptake'!X24*'EV %sales'!$AI$58+'Denmark EV uptake'!AJ33*'EV %sales'!$AJ$58+'Finland EV uptake'!X24*'EV %sales'!$AK$58+'France EV uptake'!X24*'EV %sales'!$AL$58+'Germany EV uptake'!X24*'EV %sales'!$AM$58+'India EV uptake'!X24*'EV %sales'!$AN$58+'Ireland EV uptake'!X24*'EV %sales'!$AO$58+'Italy EV uptake'!X24*'EV %sales'!$AP$58+'Japan EV uptake'!X24*'EV %sales'!$AQ$58+'Korea EV uptake'!X24*'EV %sales'!$AR$58+'Netherlands logist Take-up'!AC102*'EV %sales'!$AS$58+'New Zealand EV uptake'!X24*'EV %sales'!$AT$58+'Norway EV uptake with subs'!AD31*'EV %sales'!$AU$58+'Spain EV uptake'!X24*'EV %sales'!$AV$58+'Sweden EV uptake'!X24*'EV %sales'!$AW$58+'Switzerland EV uptake'!X24*'EV %sales'!$AX$58+'USA EV uptake'!X24*'EV %sales'!$AZ$58)/('EV %sales'!$BB$58-'EV %sales'!$BA$58)</f>
        <v>17.112401410660979</v>
      </c>
      <c r="AC80" s="13">
        <f>('Australia EV uptake'!AA24*'EV %sales'!$AE$58+'Austria EV uptake'!Y24*'EV %sales'!$AF$58+'Belgian EV uptake'!Y24*'EV %sales'!$AG$58+'British EV uptake'!Y24*'EV %sales'!$AY$58+'Canada EV uptake'!Y24*'EV %sales'!$AH$58+'China EV uptake'!Y24*'EV %sales'!$AI$58+'Denmark EV uptake'!AK33*'EV %sales'!$AJ$58+'Finland EV uptake'!Y24*'EV %sales'!$AK$58+'France EV uptake'!Y24*'EV %sales'!$AL$58+'Germany EV uptake'!Y24*'EV %sales'!$AM$58+'India EV uptake'!Y24*'EV %sales'!$AN$58+'Ireland EV uptake'!Y24*'EV %sales'!$AO$58+'Italy EV uptake'!Y24*'EV %sales'!$AP$58+'Japan EV uptake'!Y24*'EV %sales'!$AQ$58+'Korea EV uptake'!Y24*'EV %sales'!$AR$58+'Netherlands logist Take-up'!AD102*'EV %sales'!$AS$58+'New Zealand EV uptake'!Y24*'EV %sales'!$AT$58+'Norway EV uptake with subs'!AE31*'EV %sales'!$AU$58+'Spain EV uptake'!Y24*'EV %sales'!$AV$58+'Sweden EV uptake'!Y24*'EV %sales'!$AW$58+'Switzerland EV uptake'!Y24*'EV %sales'!$AX$58+'USA EV uptake'!Y24*'EV %sales'!$AZ$58)/('EV %sales'!$BB$58-'EV %sales'!$BA$58)</f>
        <v>35.04942296543301</v>
      </c>
      <c r="AD80" s="13">
        <f>('Australia EV uptake'!AB24*'EV %sales'!$AE$58+'Austria EV uptake'!Z24*'EV %sales'!$AF$58+'Belgian EV uptake'!Z24*'EV %sales'!$AG$58+'British EV uptake'!Z24*'EV %sales'!$AY$58+'Canada EV uptake'!Z24*'EV %sales'!$AH$58+'China EV uptake'!Z24*'EV %sales'!$AI$58+'Denmark EV uptake'!AL33*'EV %sales'!$AJ$58+'Finland EV uptake'!Z24*'EV %sales'!$AK$58+'France EV uptake'!Z24*'EV %sales'!$AL$58+'Germany EV uptake'!Z24*'EV %sales'!$AM$58+'India EV uptake'!Z24*'EV %sales'!$AN$58+'Ireland EV uptake'!Z24*'EV %sales'!$AO$58+'Italy EV uptake'!Z24*'EV %sales'!$AP$58+'Japan EV uptake'!Z24*'EV %sales'!$AQ$58+'Korea EV uptake'!Z24*'EV %sales'!$AR$58+'Netherlands logist Take-up'!AE102*'EV %sales'!$AS$58+'New Zealand EV uptake'!Z24*'EV %sales'!$AT$58+'Norway EV uptake with subs'!AF31*'EV %sales'!$AU$58+'Spain EV uptake'!Z24*'EV %sales'!$AV$58+'Sweden EV uptake'!Z24*'EV %sales'!$AW$58+'Switzerland EV uptake'!Z24*'EV %sales'!$AX$58+'USA EV uptake'!Z24*'EV %sales'!$AZ$58)/('EV %sales'!$BB$58-'EV %sales'!$BA$58)</f>
        <v>45.024805204531809</v>
      </c>
    </row>
    <row r="81" spans="1:30">
      <c r="A81" s="232">
        <v>2030</v>
      </c>
      <c r="C81" s="13">
        <f t="shared" si="7"/>
        <v>61.451030793898077</v>
      </c>
      <c r="D81" s="13">
        <f t="shared" si="12"/>
        <v>36.806506520771258</v>
      </c>
      <c r="E81" s="229">
        <f t="shared" si="9"/>
        <v>36.492480679189057</v>
      </c>
      <c r="G81">
        <f t="shared" si="4"/>
        <v>2.8515834135404963</v>
      </c>
      <c r="H81" s="230">
        <f t="shared" si="11"/>
        <v>0.24693834228239586</v>
      </c>
      <c r="I81" s="230">
        <f>G81-SUM(J$71:J81)</f>
        <v>0.26658341354049586</v>
      </c>
      <c r="J81" s="20">
        <f>J80+(J91-J71)/20</f>
        <v>0.27000000000000007</v>
      </c>
      <c r="L81" s="229">
        <f>('Australia EV uptake'!V25*'EV %sales'!$AE$58+'Austria EV uptake'!T25*'EV %sales'!$AF$58+'Belgian EV uptake'!T25*'EV %sales'!$AG$58+'British EV uptake'!T25*'EV %sales'!$AY$58+'Canada EV uptake'!T25*'EV %sales'!$AH$58+'China EV uptake'!T25*'EV %sales'!$AI$58+'Denmark EV uptake'!AF34*'EV %sales'!$AJ$58+'Finland EV uptake'!T25*'EV %sales'!$AK$58+'France EV uptake'!T25*'EV %sales'!$AL$58+'Germany EV uptake'!T25*'EV %sales'!$AM$58+'India EV uptake'!T25*'EV %sales'!$AN$58+'Ireland EV uptake'!T25*'EV %sales'!$AO$58+'Italy EV uptake'!T25*'EV %sales'!$AP$58+'Japan EV uptake'!T25*'EV %sales'!$AQ$58+'Korea EV uptake'!T25*'EV %sales'!$AR$58+'Netherlands logist Take-up'!Y103*'EV %sales'!$AS$58+'New Zealand EV uptake'!T25*'EV %sales'!$AT$58+'Norway EV uptake with subs'!Z32*'EV %sales'!$AU$58+'Spain EV uptake'!T25*'EV %sales'!$AV$58+'Sweden EV uptake'!T25*'EV %sales'!$AW$58+'Switzerland EV uptake'!T25*'EV %sales'!$AX$58+'USA EV uptake'!T25*'EV %sales'!$AZ$58)/('EV %sales'!$BB$58-'EV %sales'!$BA$58)</f>
        <v>38.60154762590934</v>
      </c>
      <c r="M81" s="229">
        <f>('Australia EV uptake'!N25*'EV %sales'!AE$58+'Austria EV uptake'!L25*'EV %sales'!AF$58+'Belgian EV uptake'!L25*'EV %sales'!AG$58+'British EV uptake'!L25*'EV %sales'!AY$58+'Canada EV uptake'!L25*'EV %sales'!AH$58+'China EV uptake'!L25*'EV %sales'!AI$58+'Denmark EV uptake'!X34*'EV %sales'!AJ$58+'Finland EV uptake'!L25*'EV %sales'!AK$58+'France EV uptake'!L25*'EV %sales'!AL$58+'Germany EV uptake'!L25*'EV %sales'!AM$58+'India EV uptake'!L25*'EV %sales'!AN$58+'Ireland EV uptake'!L25*'EV %sales'!AO$58+'Italy EV uptake'!L25*'EV %sales'!AP$58+'Japan EV uptake'!L25*'EV %sales'!AQ$58+'Korea EV uptake'!L25*'EV %sales'!AR$58+'Netherlands logist Take-up'!O103*'EV %sales'!AS$58+'New Zealand EV uptake'!L25*'EV %sales'!AT$58+'Norway EV uptake with subs'!R35*'EV %sales'!AU$58+'Spain EV uptake'!L25*'EV %sales'!AV$58+'Sweden EV uptake'!L25*'EV %sales'!AW$58+'Switzerland EV uptake'!L25*'EV %sales'!AX$58+'USA EV uptake'!L25*'EV %sales'!AZ$58+'Rest Europe EV takeup'!O25*'EV %sales'!BA$58)/'EV %sales'!BB$58</f>
        <v>43.907399992150125</v>
      </c>
      <c r="N81" s="229">
        <f>('Australia EV uptake'!D25*'EV %sales'!AE$58+'Austria EV uptake'!AB25*'EV %sales'!AF$58+'Belgian EV uptake'!AB25*'EV %sales'!AG$58+'British EV uptake'!AB25*'EV %sales'!AY$58+'Canada EV uptake'!AB25*'EV %sales'!AH$58+'China EV uptake'!AB25*'EV %sales'!AI$58+'Denmark EV uptake'!F34*'EV %sales'!AJ$58+'Finland EV uptake'!AB25*'EV %sales'!AK$58+'France EV uptake'!AB25*'EV %sales'!AL$58+'Germany EV uptake'!AB25*'EV %sales'!AM$58+'India EV uptake'!AB25*'EV %sales'!AN$58+'Ireland EV uptake'!AB25*'EV %sales'!AO$58+'Italy EV uptake'!AB25*'EV %sales'!AP$58+'Japan EV uptake'!AB25*'EV %sales'!AQ$58+'Korea EV uptake'!AB25*'EV %sales'!AR$58+'Netherlands logist Take-up'!E103*'EV %sales'!AS$58+'New Zealand EV uptake'!AB25*'EV %sales'!AT$58+'Norway EV uptake with subs'!H35*'EV %sales'!AU$58+'Spain EV uptake'!AB25*'EV %sales'!AV$58+'Sweden EV uptake'!AB25*'EV %sales'!AW$58+'Switzerland EV uptake'!AB25*'EV %sales'!AX$58+'USA EV uptake'!AB25*'EV %sales'!AZ$58+'Rest Europe EV takeup'!O25*'EV %sales'!BA$58)/'EV %sales'!BB$58</f>
        <v>43.019982341523594</v>
      </c>
      <c r="P81">
        <v>21</v>
      </c>
      <c r="Q81" s="13">
        <f t="shared" si="6"/>
        <v>1.7136296240588511</v>
      </c>
      <c r="R81" s="13"/>
      <c r="S81" s="13"/>
      <c r="T81" s="13">
        <f>'Country Petrol Prices'!Y102</f>
        <v>1.7292306123291177</v>
      </c>
      <c r="V81" s="87">
        <v>2030</v>
      </c>
      <c r="W81" s="13">
        <f>('Australia EV uptake'!U25*'EV %sales'!$AE$58+'Austria EV uptake'!S25*'EV %sales'!$AF$58+'Belgian EV uptake'!S25*'EV %sales'!$AG$58+'British EV uptake'!S25*'EV %sales'!$AY$58+'Canada EV uptake'!S25*'EV %sales'!$AH$58+'China EV uptake'!S25*'EV %sales'!$AI$58+'Denmark EV uptake'!AE34*'EV %sales'!$AJ$58+'Finland EV uptake'!S25*'EV %sales'!$AK$58+'France EV uptake'!S25*'EV %sales'!$AL$58+'Germany EV uptake'!S25*'EV %sales'!$AM$58+'India EV uptake'!S25*'EV %sales'!$AN$58+'Ireland EV uptake'!S25*'EV %sales'!$AO$58+'Italy EV uptake'!S25*'EV %sales'!$AP$58+'Japan EV uptake'!S25*'EV %sales'!$AQ$58+'Korea EV uptake'!S25*'EV %sales'!$AR$58+'Netherlands logist Take-up'!X103*'EV %sales'!$AS$58+'New Zealand EV uptake'!S25*'EV %sales'!$AT$58+'Norway EV uptake with subs'!Y32*'EV %sales'!$AU$58+'Spain EV uptake'!S25*'EV %sales'!$AV$58+'Sweden EV uptake'!S25*'EV %sales'!$AW$58+'Switzerland EV uptake'!S25*'EV %sales'!$AX$58+'USA EV uptake'!S25*'EV %sales'!$AZ$58)/('EV %sales'!$BB$58-'EV %sales'!$BA$58)</f>
        <v>40.823389417016138</v>
      </c>
      <c r="X81" s="13">
        <f>('Australia EV uptake'!V25*'EV %sales'!$AE$58+'Austria EV uptake'!T25*'EV %sales'!$AF$58+'Belgian EV uptake'!T25*'EV %sales'!$AG$58+'British EV uptake'!T25*'EV %sales'!$AY$58+'Canada EV uptake'!T25*'EV %sales'!$AH$58+'China EV uptake'!T25*'EV %sales'!$AI$58+'Denmark EV uptake'!AF34*'EV %sales'!$AJ$58+'Finland EV uptake'!T25*'EV %sales'!$AK$58+'France EV uptake'!T25*'EV %sales'!$AL$58+'Germany EV uptake'!T25*'EV %sales'!$AM$58+'India EV uptake'!T25*'EV %sales'!$AN$58+'Ireland EV uptake'!T25*'EV %sales'!$AO$58+'Italy EV uptake'!T25*'EV %sales'!$AP$58+'Japan EV uptake'!T25*'EV %sales'!$AQ$58+'Korea EV uptake'!T25*'EV %sales'!$AR$58+'Netherlands logist Take-up'!Y103*'EV %sales'!$AS$58+'New Zealand EV uptake'!T25*'EV %sales'!$AT$58+'Norway EV uptake with subs'!Z32*'EV %sales'!$AU$58+'Spain EV uptake'!T25*'EV %sales'!$AV$58+'Sweden EV uptake'!T25*'EV %sales'!$AW$58+'Switzerland EV uptake'!T25*'EV %sales'!$AX$58+'USA EV uptake'!T25*'EV %sales'!$AZ$58)/('EV %sales'!$BB$58-'EV %sales'!$BA$58)</f>
        <v>38.60154762590934</v>
      </c>
      <c r="Y81" s="13">
        <f>('Australia EV uptake'!W25*'EV %sales'!$AE$58+'Austria EV uptake'!U25*'EV %sales'!$AF$58+'Belgian EV uptake'!U25*'EV %sales'!$AG$58+'British EV uptake'!U25*'EV %sales'!$AY$58+'Canada EV uptake'!U25*'EV %sales'!$AH$58+'China EV uptake'!U25*'EV %sales'!$AI$58+'Denmark EV uptake'!AG34*'EV %sales'!$AJ$58+'Finland EV uptake'!U25*'EV %sales'!$AK$58+'France EV uptake'!U25*'EV %sales'!$AL$58+'Germany EV uptake'!U25*'EV %sales'!$AM$58+'India EV uptake'!U25*'EV %sales'!$AN$58+'Ireland EV uptake'!U25*'EV %sales'!$AO$58+'Italy EV uptake'!U25*'EV %sales'!$AP$58+'Japan EV uptake'!U25*'EV %sales'!$AQ$58+'Korea EV uptake'!U25*'EV %sales'!$AR$58+'Netherlands logist Take-up'!Z103*'EV %sales'!$AS$58+'New Zealand EV uptake'!U25*'EV %sales'!$AT$58+'Norway EV uptake with subs'!AA32*'EV %sales'!$AU$58+'Spain EV uptake'!U25*'EV %sales'!$AV$58+'Sweden EV uptake'!U25*'EV %sales'!$AW$58+'Switzerland EV uptake'!U25*'EV %sales'!$AX$58+'USA EV uptake'!U25*'EV %sales'!$AZ$58)/('EV %sales'!$BB$58-'EV %sales'!$BA$58)</f>
        <v>36.388197507449341</v>
      </c>
      <c r="AA81" s="87">
        <v>2030</v>
      </c>
      <c r="AB81" s="13">
        <f>('Australia EV uptake'!Z25*'EV %sales'!$AE$58+'Austria EV uptake'!X25*'EV %sales'!$AF$58+'Belgian EV uptake'!X25*'EV %sales'!$AG$58+'British EV uptake'!X25*'EV %sales'!$AY$58+'Canada EV uptake'!X25*'EV %sales'!$AH$58+'China EV uptake'!X25*'EV %sales'!$AI$58+'Denmark EV uptake'!AJ34*'EV %sales'!$AJ$58+'Finland EV uptake'!X25*'EV %sales'!$AK$58+'France EV uptake'!X25*'EV %sales'!$AL$58+'Germany EV uptake'!X25*'EV %sales'!$AM$58+'India EV uptake'!X25*'EV %sales'!$AN$58+'Ireland EV uptake'!X25*'EV %sales'!$AO$58+'Italy EV uptake'!X25*'EV %sales'!$AP$58+'Japan EV uptake'!X25*'EV %sales'!$AQ$58+'Korea EV uptake'!X25*'EV %sales'!$AR$58+'Netherlands logist Take-up'!AC103*'EV %sales'!$AS$58+'New Zealand EV uptake'!X25*'EV %sales'!$AT$58+'Norway EV uptake with subs'!AD32*'EV %sales'!$AU$58+'Spain EV uptake'!X25*'EV %sales'!$AV$58+'Sweden EV uptake'!X25*'EV %sales'!$AW$58+'Switzerland EV uptake'!X25*'EV %sales'!$AX$58+'USA EV uptake'!X25*'EV %sales'!$AZ$58)/('EV %sales'!$BB$58-'EV %sales'!$BA$58)</f>
        <v>19.933661864819953</v>
      </c>
      <c r="AC81" s="13">
        <f>('Australia EV uptake'!AA25*'EV %sales'!$AE$58+'Austria EV uptake'!Y25*'EV %sales'!$AF$58+'Belgian EV uptake'!Y25*'EV %sales'!$AG$58+'British EV uptake'!Y25*'EV %sales'!$AY$58+'Canada EV uptake'!Y25*'EV %sales'!$AH$58+'China EV uptake'!Y25*'EV %sales'!$AI$58+'Denmark EV uptake'!AK34*'EV %sales'!$AJ$58+'Finland EV uptake'!Y25*'EV %sales'!$AK$58+'France EV uptake'!Y25*'EV %sales'!$AL$58+'Germany EV uptake'!Y25*'EV %sales'!$AM$58+'India EV uptake'!Y25*'EV %sales'!$AN$58+'Ireland EV uptake'!Y25*'EV %sales'!$AO$58+'Italy EV uptake'!Y25*'EV %sales'!$AP$58+'Japan EV uptake'!Y25*'EV %sales'!$AQ$58+'Korea EV uptake'!Y25*'EV %sales'!$AR$58+'Netherlands logist Take-up'!AD103*'EV %sales'!$AS$58+'New Zealand EV uptake'!Y25*'EV %sales'!$AT$58+'Norway EV uptake with subs'!AE32*'EV %sales'!$AU$58+'Spain EV uptake'!Y25*'EV %sales'!$AV$58+'Sweden EV uptake'!Y25*'EV %sales'!$AW$58+'Switzerland EV uptake'!Y25*'EV %sales'!$AX$58+'USA EV uptake'!Y25*'EV %sales'!$AZ$58)/('EV %sales'!$BB$58-'EV %sales'!$BA$58)</f>
        <v>38.60154762590934</v>
      </c>
      <c r="AD81" s="13">
        <f>('Australia EV uptake'!AB25*'EV %sales'!$AE$58+'Austria EV uptake'!Z25*'EV %sales'!$AF$58+'Belgian EV uptake'!Z25*'EV %sales'!$AG$58+'British EV uptake'!Z25*'EV %sales'!$AY$58+'Canada EV uptake'!Z25*'EV %sales'!$AH$58+'China EV uptake'!Z25*'EV %sales'!$AI$58+'Denmark EV uptake'!AL34*'EV %sales'!$AJ$58+'Finland EV uptake'!Z25*'EV %sales'!$AK$58+'France EV uptake'!Z25*'EV %sales'!$AL$58+'Germany EV uptake'!Z25*'EV %sales'!$AM$58+'India EV uptake'!Z25*'EV %sales'!$AN$58+'Ireland EV uptake'!Z25*'EV %sales'!$AO$58+'Italy EV uptake'!Z25*'EV %sales'!$AP$58+'Japan EV uptake'!Z25*'EV %sales'!$AQ$58+'Korea EV uptake'!Z25*'EV %sales'!$AR$58+'Netherlands logist Take-up'!AE103*'EV %sales'!$AS$58+'New Zealand EV uptake'!Z25*'EV %sales'!$AT$58+'Norway EV uptake with subs'!AF32*'EV %sales'!$AU$58+'Spain EV uptake'!Z25*'EV %sales'!$AV$58+'Sweden EV uptake'!Z25*'EV %sales'!$AW$58+'Switzerland EV uptake'!Z25*'EV %sales'!$AX$58+'USA EV uptake'!Z25*'EV %sales'!$AZ$58)/('EV %sales'!$BB$58-'EV %sales'!$BA$58)</f>
        <v>47.371558434538386</v>
      </c>
    </row>
    <row r="82" spans="1:30">
      <c r="A82" s="3">
        <v>2031</v>
      </c>
      <c r="C82" s="13">
        <f t="shared" si="7"/>
        <v>62.776455773883036</v>
      </c>
      <c r="D82" s="13">
        <f t="shared" si="12"/>
        <v>40.130241793329304</v>
      </c>
      <c r="E82" s="13">
        <f t="shared" si="9"/>
        <v>39.786999354761399</v>
      </c>
      <c r="G82">
        <f t="shared" si="4"/>
        <v>3.3404776740328641</v>
      </c>
      <c r="H82" s="230">
        <f t="shared" si="11"/>
        <v>0.45618044944299424</v>
      </c>
      <c r="I82" s="230">
        <f>G82-SUM(J$71:J82)</f>
        <v>0.47847767403286356</v>
      </c>
      <c r="J82" s="20">
        <f>J81+(J91-J71)/20</f>
        <v>0.27700000000000008</v>
      </c>
      <c r="L82" s="13">
        <f>('Australia EV uptake'!V26*'EV %sales'!$AE$58+'Austria EV uptake'!T26*'EV %sales'!$AF$58+'Belgian EV uptake'!T26*'EV %sales'!$AG$58+'British EV uptake'!T26*'EV %sales'!$AY$58+'Canada EV uptake'!T26*'EV %sales'!$AH$58+'China EV uptake'!T26*'EV %sales'!$AI$58+'Denmark EV uptake'!AF35*'EV %sales'!$AJ$58+'Finland EV uptake'!T26*'EV %sales'!$AK$58+'France EV uptake'!T26*'EV %sales'!$AL$58+'Germany EV uptake'!T26*'EV %sales'!$AM$58+'India EV uptake'!T26*'EV %sales'!$AN$58+'Ireland EV uptake'!T26*'EV %sales'!$AO$58+'Italy EV uptake'!T26*'EV %sales'!$AP$58+'Japan EV uptake'!T26*'EV %sales'!$AQ$58+'Korea EV uptake'!T26*'EV %sales'!$AR$58+'Netherlands logist Take-up'!Y104*'EV %sales'!$AS$58+'New Zealand EV uptake'!T26*'EV %sales'!$AT$58+'Norway EV uptake with subs'!Z33*'EV %sales'!$AU$58+'Spain EV uptake'!T26*'EV %sales'!$AV$58+'Sweden EV uptake'!T26*'EV %sales'!$AW$58+'Switzerland EV uptake'!T26*'EV %sales'!$AX$58+'USA EV uptake'!T26*'EV %sales'!$AZ$58)/('EV %sales'!$BB$58-'EV %sales'!$BA$58)</f>
        <v>41.540658864158374</v>
      </c>
      <c r="M82" s="13">
        <f>('Australia EV uptake'!N26*'EV %sales'!AE$58+'Austria EV uptake'!L26*'EV %sales'!AF$58+'Belgian EV uptake'!L26*'EV %sales'!AG$58+'British EV uptake'!L26*'EV %sales'!AY$58+'Canada EV uptake'!L26*'EV %sales'!AH$58+'China EV uptake'!L26*'EV %sales'!AI$58+'Denmark EV uptake'!X35*'EV %sales'!AJ$58+'Finland EV uptake'!L26*'EV %sales'!AK$58+'France EV uptake'!L26*'EV %sales'!AL$58+'Germany EV uptake'!L26*'EV %sales'!AM$58+'India EV uptake'!L26*'EV %sales'!AN$58+'Ireland EV uptake'!L26*'EV %sales'!AO$58+'Italy EV uptake'!L26*'EV %sales'!AP$58+'Japan EV uptake'!L26*'EV %sales'!AQ$58+'Korea EV uptake'!L26*'EV %sales'!AR$58+'Netherlands logist Take-up'!O104*'EV %sales'!AS$58+'New Zealand EV uptake'!L26*'EV %sales'!AT$58+'Norway EV uptake with subs'!R36*'EV %sales'!AU$58+'Spain EV uptake'!L26*'EV %sales'!AV$58+'Sweden EV uptake'!L26*'EV %sales'!AW$58+'Switzerland EV uptake'!L26*'EV %sales'!AX$58+'USA EV uptake'!L26*'EV %sales'!AZ$58+'Rest Europe EV takeup'!O26*'EV %sales'!BA$58)/'EV %sales'!BB$58</f>
        <v>46.105382283769622</v>
      </c>
      <c r="N82" s="13">
        <f>('Australia EV uptake'!D26*'EV %sales'!AE$58+'Austria EV uptake'!AB26*'EV %sales'!AF$58+'Belgian EV uptake'!AB26*'EV %sales'!AG$58+'British EV uptake'!AB26*'EV %sales'!AY$58+'Canada EV uptake'!AB26*'EV %sales'!AH$58+'China EV uptake'!AB26*'EV %sales'!AI$58+'Denmark EV uptake'!F35*'EV %sales'!AJ$58+'Finland EV uptake'!AB26*'EV %sales'!AK$58+'France EV uptake'!AB26*'EV %sales'!AL$58+'Germany EV uptake'!AB26*'EV %sales'!AM$58+'India EV uptake'!AB26*'EV %sales'!AN$58+'Ireland EV uptake'!AB26*'EV %sales'!AO$58+'Italy EV uptake'!AB26*'EV %sales'!AP$58+'Japan EV uptake'!AB26*'EV %sales'!AQ$58+'Korea EV uptake'!AB26*'EV %sales'!AR$58+'Netherlands logist Take-up'!E104*'EV %sales'!AS$58+'New Zealand EV uptake'!AB26*'EV %sales'!AT$58+'Norway EV uptake with subs'!H36*'EV %sales'!AU$58+'Spain EV uptake'!AB26*'EV %sales'!AV$58+'Sweden EV uptake'!AB26*'EV %sales'!AW$58+'Switzerland EV uptake'!AB26*'EV %sales'!AX$58+'USA EV uptake'!AB26*'EV %sales'!AZ$58+'Rest Europe EV takeup'!O26*'EV %sales'!BA$58)/'EV %sales'!BB$58</f>
        <v>45.320368315976893</v>
      </c>
      <c r="P82">
        <v>22</v>
      </c>
      <c r="Q82" s="13">
        <f t="shared" si="6"/>
        <v>1.7292306123291177</v>
      </c>
      <c r="R82" s="13"/>
      <c r="S82" s="13"/>
      <c r="T82" s="13">
        <f>T81</f>
        <v>1.7292306123291177</v>
      </c>
      <c r="V82">
        <v>2031</v>
      </c>
      <c r="W82" s="13">
        <f>('Australia EV uptake'!U26*'EV %sales'!$AE$58+'Austria EV uptake'!S26*'EV %sales'!$AF$58+'Belgian EV uptake'!S26*'EV %sales'!$AG$58+'British EV uptake'!S26*'EV %sales'!$AY$58+'Canada EV uptake'!S26*'EV %sales'!$AH$58+'China EV uptake'!S26*'EV %sales'!$AI$58+'Denmark EV uptake'!AE35*'EV %sales'!$AJ$58+'Finland EV uptake'!S26*'EV %sales'!$AK$58+'France EV uptake'!S26*'EV %sales'!$AL$58+'Germany EV uptake'!S26*'EV %sales'!$AM$58+'India EV uptake'!S26*'EV %sales'!$AN$58+'Ireland EV uptake'!S26*'EV %sales'!$AO$58+'Italy EV uptake'!S26*'EV %sales'!$AP$58+'Japan EV uptake'!S26*'EV %sales'!$AQ$58+'Korea EV uptake'!S26*'EV %sales'!$AR$58+'Netherlands logist Take-up'!X104*'EV %sales'!$AS$58+'New Zealand EV uptake'!S26*'EV %sales'!$AT$58+'Norway EV uptake with subs'!Y33*'EV %sales'!$AU$58+'Spain EV uptake'!S26*'EV %sales'!$AV$58+'Sweden EV uptake'!S26*'EV %sales'!$AW$58+'Switzerland EV uptake'!S26*'EV %sales'!$AX$58+'USA EV uptake'!S26*'EV %sales'!$AZ$58)/('EV %sales'!$BB$58-'EV %sales'!$BA$58)</f>
        <v>43.49911005527867</v>
      </c>
      <c r="X82" s="13">
        <f>('Australia EV uptake'!V26*'EV %sales'!$AE$58+'Austria EV uptake'!T26*'EV %sales'!$AF$58+'Belgian EV uptake'!T26*'EV %sales'!$AG$58+'British EV uptake'!T26*'EV %sales'!$AY$58+'Canada EV uptake'!T26*'EV %sales'!$AH$58+'China EV uptake'!T26*'EV %sales'!$AI$58+'Denmark EV uptake'!AF35*'EV %sales'!$AJ$58+'Finland EV uptake'!T26*'EV %sales'!$AK$58+'France EV uptake'!T26*'EV %sales'!$AL$58+'Germany EV uptake'!T26*'EV %sales'!$AM$58+'India EV uptake'!T26*'EV %sales'!$AN$58+'Ireland EV uptake'!T26*'EV %sales'!$AO$58+'Italy EV uptake'!T26*'EV %sales'!$AP$58+'Japan EV uptake'!T26*'EV %sales'!$AQ$58+'Korea EV uptake'!T26*'EV %sales'!$AR$58+'Netherlands logist Take-up'!Y104*'EV %sales'!$AS$58+'New Zealand EV uptake'!T26*'EV %sales'!$AT$58+'Norway EV uptake with subs'!Z33*'EV %sales'!$AU$58+'Spain EV uptake'!T26*'EV %sales'!$AV$58+'Sweden EV uptake'!T26*'EV %sales'!$AW$58+'Switzerland EV uptake'!T26*'EV %sales'!$AX$58+'USA EV uptake'!T26*'EV %sales'!$AZ$58)/('EV %sales'!$BB$58-'EV %sales'!$BA$58)</f>
        <v>41.540658864158374</v>
      </c>
      <c r="Y82" s="13">
        <f>('Australia EV uptake'!W26*'EV %sales'!$AE$58+'Austria EV uptake'!U26*'EV %sales'!$AF$58+'Belgian EV uptake'!U26*'EV %sales'!$AG$58+'British EV uptake'!U26*'EV %sales'!$AY$58+'Canada EV uptake'!U26*'EV %sales'!$AH$58+'China EV uptake'!U26*'EV %sales'!$AI$58+'Denmark EV uptake'!AG35*'EV %sales'!$AJ$58+'Finland EV uptake'!U26*'EV %sales'!$AK$58+'France EV uptake'!U26*'EV %sales'!$AL$58+'Germany EV uptake'!U26*'EV %sales'!$AM$58+'India EV uptake'!U26*'EV %sales'!$AN$58+'Ireland EV uptake'!U26*'EV %sales'!$AO$58+'Italy EV uptake'!U26*'EV %sales'!$AP$58+'Japan EV uptake'!U26*'EV %sales'!$AQ$58+'Korea EV uptake'!U26*'EV %sales'!$AR$58+'Netherlands logist Take-up'!Z104*'EV %sales'!$AS$58+'New Zealand EV uptake'!U26*'EV %sales'!$AT$58+'Norway EV uptake with subs'!AA33*'EV %sales'!$AU$58+'Spain EV uptake'!U26*'EV %sales'!$AV$58+'Sweden EV uptake'!U26*'EV %sales'!$AW$58+'Switzerland EV uptake'!U26*'EV %sales'!$AX$58+'USA EV uptake'!U26*'EV %sales'!$AZ$58)/('EV %sales'!$BB$58-'EV %sales'!$BA$58)</f>
        <v>39.563024938361131</v>
      </c>
      <c r="AA82">
        <v>2031</v>
      </c>
      <c r="AB82" s="13">
        <f>('Australia EV uptake'!Z26*'EV %sales'!$AE$58+'Austria EV uptake'!X26*'EV %sales'!$AF$58+'Belgian EV uptake'!X26*'EV %sales'!$AG$58+'British EV uptake'!X26*'EV %sales'!$AY$58+'Canada EV uptake'!X26*'EV %sales'!$AH$58+'China EV uptake'!X26*'EV %sales'!$AI$58+'Denmark EV uptake'!AJ35*'EV %sales'!$AJ$58+'Finland EV uptake'!X26*'EV %sales'!$AK$58+'France EV uptake'!X26*'EV %sales'!$AL$58+'Germany EV uptake'!X26*'EV %sales'!$AM$58+'India EV uptake'!X26*'EV %sales'!$AN$58+'Ireland EV uptake'!X26*'EV %sales'!$AO$58+'Italy EV uptake'!X26*'EV %sales'!$AP$58+'Japan EV uptake'!X26*'EV %sales'!$AQ$58+'Korea EV uptake'!X26*'EV %sales'!$AR$58+'Netherlands logist Take-up'!AC104*'EV %sales'!$AS$58+'New Zealand EV uptake'!X26*'EV %sales'!$AT$58+'Norway EV uptake with subs'!AD33*'EV %sales'!$AU$58+'Spain EV uptake'!X26*'EV %sales'!$AV$58+'Sweden EV uptake'!X26*'EV %sales'!$AW$58+'Switzerland EV uptake'!X26*'EV %sales'!$AX$58+'USA EV uptake'!X26*'EV %sales'!$AZ$58)/('EV %sales'!$BB$58-'EV %sales'!$BA$58)</f>
        <v>22.972211721484907</v>
      </c>
      <c r="AC82" s="13">
        <f>('Australia EV uptake'!AA26*'EV %sales'!$AE$58+'Austria EV uptake'!Y26*'EV %sales'!$AF$58+'Belgian EV uptake'!Y26*'EV %sales'!$AG$58+'British EV uptake'!Y26*'EV %sales'!$AY$58+'Canada EV uptake'!Y26*'EV %sales'!$AH$58+'China EV uptake'!Y26*'EV %sales'!$AI$58+'Denmark EV uptake'!AK35*'EV %sales'!$AJ$58+'Finland EV uptake'!Y26*'EV %sales'!$AK$58+'France EV uptake'!Y26*'EV %sales'!$AL$58+'Germany EV uptake'!Y26*'EV %sales'!$AM$58+'India EV uptake'!Y26*'EV %sales'!$AN$58+'Ireland EV uptake'!Y26*'EV %sales'!$AO$58+'Italy EV uptake'!Y26*'EV %sales'!$AP$58+'Japan EV uptake'!Y26*'EV %sales'!$AQ$58+'Korea EV uptake'!Y26*'EV %sales'!$AR$58+'Netherlands logist Take-up'!AD104*'EV %sales'!$AS$58+'New Zealand EV uptake'!Y26*'EV %sales'!$AT$58+'Norway EV uptake with subs'!AE33*'EV %sales'!$AU$58+'Spain EV uptake'!Y26*'EV %sales'!$AV$58+'Sweden EV uptake'!Y26*'EV %sales'!$AW$58+'Switzerland EV uptake'!Y26*'EV %sales'!$AX$58+'USA EV uptake'!Y26*'EV %sales'!$AZ$58)/('EV %sales'!$BB$58-'EV %sales'!$BA$58)</f>
        <v>41.540658864158374</v>
      </c>
      <c r="AD82" s="13">
        <f>('Australia EV uptake'!AB26*'EV %sales'!$AE$58+'Austria EV uptake'!Z26*'EV %sales'!$AF$58+'Belgian EV uptake'!Z26*'EV %sales'!$AG$58+'British EV uptake'!Z26*'EV %sales'!$AY$58+'Canada EV uptake'!Z26*'EV %sales'!$AH$58+'China EV uptake'!Z26*'EV %sales'!$AI$58+'Denmark EV uptake'!AL35*'EV %sales'!$AJ$58+'Finland EV uptake'!Z26*'EV %sales'!$AK$58+'France EV uptake'!Z26*'EV %sales'!$AL$58+'Germany EV uptake'!Z26*'EV %sales'!$AM$58+'India EV uptake'!Z26*'EV %sales'!$AN$58+'Ireland EV uptake'!Z26*'EV %sales'!$AO$58+'Italy EV uptake'!Z26*'EV %sales'!$AP$58+'Japan EV uptake'!Z26*'EV %sales'!$AQ$58+'Korea EV uptake'!Z26*'EV %sales'!$AR$58+'Netherlands logist Take-up'!AE104*'EV %sales'!$AS$58+'New Zealand EV uptake'!Z26*'EV %sales'!$AT$58+'Norway EV uptake with subs'!AF33*'EV %sales'!$AU$58+'Spain EV uptake'!Z26*'EV %sales'!$AV$58+'Sweden EV uptake'!Z26*'EV %sales'!$AW$58+'Switzerland EV uptake'!Z26*'EV %sales'!$AX$58+'USA EV uptake'!Z26*'EV %sales'!$AZ$58)/('EV %sales'!$BB$58-'EV %sales'!$BA$58)</f>
        <v>49.383412780235787</v>
      </c>
    </row>
    <row r="83" spans="1:30">
      <c r="A83" s="3">
        <v>2032</v>
      </c>
      <c r="C83" s="13">
        <f t="shared" si="7"/>
        <v>63.606173869989689</v>
      </c>
      <c r="D83" s="13">
        <f t="shared" si="12"/>
        <v>43.065448977495137</v>
      </c>
      <c r="E83" s="13">
        <f t="shared" si="9"/>
        <v>42.800868583721353</v>
      </c>
      <c r="G83">
        <f t="shared" si="4"/>
        <v>3.8206579618988021</v>
      </c>
      <c r="H83" s="230">
        <f t="shared" si="11"/>
        <v>0.65650523367404945</v>
      </c>
      <c r="I83" s="230">
        <f>G83-SUM(J$71:J83)</f>
        <v>0.67465796189880134</v>
      </c>
      <c r="J83" s="20">
        <f>J82+(J91-J71)/20</f>
        <v>0.28400000000000009</v>
      </c>
      <c r="L83" s="13">
        <f>('Australia EV uptake'!V27*'EV %sales'!$AE$58+'Austria EV uptake'!T27*'EV %sales'!$AF$58+'Belgian EV uptake'!T27*'EV %sales'!$AG$58+'British EV uptake'!T27*'EV %sales'!$AY$58+'Canada EV uptake'!T27*'EV %sales'!$AH$58+'China EV uptake'!T27*'EV %sales'!$AI$58+'Denmark EV uptake'!AF36*'EV %sales'!$AJ$58+'Finland EV uptake'!T27*'EV %sales'!$AK$58+'France EV uptake'!T27*'EV %sales'!$AL$58+'Germany EV uptake'!T27*'EV %sales'!$AM$58+'India EV uptake'!T27*'EV %sales'!$AN$58+'Ireland EV uptake'!T27*'EV %sales'!$AO$58+'Italy EV uptake'!T27*'EV %sales'!$AP$58+'Japan EV uptake'!T27*'EV %sales'!$AQ$58+'Korea EV uptake'!T27*'EV %sales'!$AR$58+'Netherlands logist Take-up'!Y105*'EV %sales'!$AS$58+'New Zealand EV uptake'!T27*'EV %sales'!$AT$58+'Norway EV uptake with subs'!Z34*'EV %sales'!$AU$58+'Spain EV uptake'!T27*'EV %sales'!$AV$58+'Sweden EV uptake'!T27*'EV %sales'!$AW$58+'Switzerland EV uptake'!T27*'EV %sales'!$AX$58+'USA EV uptake'!T27*'EV %sales'!$AZ$58)/('EV %sales'!$BB$58-'EV %sales'!$BA$58)</f>
        <v>44.09849480726038</v>
      </c>
      <c r="M83" s="13">
        <f>('Australia EV uptake'!N27*'EV %sales'!AE$58+'Austria EV uptake'!L27*'EV %sales'!AF$58+'Belgian EV uptake'!L27*'EV %sales'!AG$58+'British EV uptake'!L27*'EV %sales'!AY$58+'Canada EV uptake'!L27*'EV %sales'!AH$58+'China EV uptake'!L27*'EV %sales'!AI$58+'Denmark EV uptake'!X36*'EV %sales'!AJ$58+'Finland EV uptake'!L27*'EV %sales'!AK$58+'France EV uptake'!L27*'EV %sales'!AL$58+'Germany EV uptake'!L27*'EV %sales'!AM$58+'India EV uptake'!L27*'EV %sales'!AN$58+'Ireland EV uptake'!L27*'EV %sales'!AO$58+'Italy EV uptake'!L27*'EV %sales'!AP$58+'Japan EV uptake'!L27*'EV %sales'!AQ$58+'Korea EV uptake'!L27*'EV %sales'!AR$58+'Netherlands logist Take-up'!O105*'EV %sales'!AS$58+'New Zealand EV uptake'!L27*'EV %sales'!AT$58+'Norway EV uptake with subs'!R37*'EV %sales'!AU$58+'Spain EV uptake'!L27*'EV %sales'!AV$58+'Sweden EV uptake'!L27*'EV %sales'!AW$58+'Switzerland EV uptake'!L27*'EV %sales'!AX$58+'USA EV uptake'!L27*'EV %sales'!AZ$58+'Rest Europe EV takeup'!O27*'EV %sales'!BA$58)/'EV %sales'!BB$58</f>
        <v>48.044765597915053</v>
      </c>
      <c r="N83" s="13">
        <f>('Australia EV uptake'!D27*'EV %sales'!AE$58+'Austria EV uptake'!AB27*'EV %sales'!AF$58+'Belgian EV uptake'!AB27*'EV %sales'!AG$58+'British EV uptake'!AB27*'EV %sales'!AY$58+'Canada EV uptake'!AB27*'EV %sales'!AH$58+'China EV uptake'!AB27*'EV %sales'!AI$58+'Denmark EV uptake'!F36*'EV %sales'!AJ$58+'Finland EV uptake'!AB27*'EV %sales'!AK$58+'France EV uptake'!AB27*'EV %sales'!AL$58+'Germany EV uptake'!AB27*'EV %sales'!AM$58+'India EV uptake'!AB27*'EV %sales'!AN$58+'Ireland EV uptake'!AB27*'EV %sales'!AO$58+'Italy EV uptake'!AB27*'EV %sales'!AP$58+'Japan EV uptake'!AB27*'EV %sales'!AQ$58+'Korea EV uptake'!AB27*'EV %sales'!AR$58+'Netherlands logist Take-up'!E105*'EV %sales'!AS$58+'New Zealand EV uptake'!AB27*'EV %sales'!AT$58+'Norway EV uptake with subs'!H37*'EV %sales'!AU$58+'Spain EV uptake'!AB27*'EV %sales'!AV$58+'Sweden EV uptake'!AB27*'EV %sales'!AW$58+'Switzerland EV uptake'!AB27*'EV %sales'!AX$58+'USA EV uptake'!AB27*'EV %sales'!AZ$58+'Rest Europe EV takeup'!O27*'EV %sales'!BA$58)/'EV %sales'!BB$58</f>
        <v>47.391542179290909</v>
      </c>
      <c r="P83">
        <v>23</v>
      </c>
      <c r="Q83" s="13">
        <f t="shared" si="6"/>
        <v>1.7292306123291177</v>
      </c>
      <c r="R83" s="13"/>
      <c r="S83" s="13"/>
      <c r="T83" s="13">
        <f t="shared" ref="T83:T106" si="13">T82</f>
        <v>1.7292306123291177</v>
      </c>
      <c r="V83">
        <v>2032</v>
      </c>
      <c r="W83" s="13">
        <f>('Australia EV uptake'!U27*'EV %sales'!$AE$58+'Austria EV uptake'!S27*'EV %sales'!$AF$58+'Belgian EV uptake'!S27*'EV %sales'!$AG$58+'British EV uptake'!S27*'EV %sales'!$AY$58+'Canada EV uptake'!S27*'EV %sales'!$AH$58+'China EV uptake'!S27*'EV %sales'!$AI$58+'Denmark EV uptake'!AE36*'EV %sales'!$AJ$58+'Finland EV uptake'!S27*'EV %sales'!$AK$58+'France EV uptake'!S27*'EV %sales'!$AL$58+'Germany EV uptake'!S27*'EV %sales'!$AM$58+'India EV uptake'!S27*'EV %sales'!$AN$58+'Ireland EV uptake'!S27*'EV %sales'!$AO$58+'Italy EV uptake'!S27*'EV %sales'!$AP$58+'Japan EV uptake'!S27*'EV %sales'!$AQ$58+'Korea EV uptake'!S27*'EV %sales'!$AR$58+'Netherlands logist Take-up'!X105*'EV %sales'!$AS$58+'New Zealand EV uptake'!S27*'EV %sales'!$AT$58+'Norway EV uptake with subs'!Y34*'EV %sales'!$AU$58+'Spain EV uptake'!S27*'EV %sales'!$AV$58+'Sweden EV uptake'!S27*'EV %sales'!$AW$58+'Switzerland EV uptake'!S27*'EV %sales'!$AX$58+'USA EV uptake'!S27*'EV %sales'!$AZ$58)/('EV %sales'!$BB$58-'EV %sales'!$BA$58)</f>
        <v>45.793007701498894</v>
      </c>
      <c r="X83" s="13">
        <f>('Australia EV uptake'!V27*'EV %sales'!$AE$58+'Austria EV uptake'!T27*'EV %sales'!$AF$58+'Belgian EV uptake'!T27*'EV %sales'!$AG$58+'British EV uptake'!T27*'EV %sales'!$AY$58+'Canada EV uptake'!T27*'EV %sales'!$AH$58+'China EV uptake'!T27*'EV %sales'!$AI$58+'Denmark EV uptake'!AF36*'EV %sales'!$AJ$58+'Finland EV uptake'!T27*'EV %sales'!$AK$58+'France EV uptake'!T27*'EV %sales'!$AL$58+'Germany EV uptake'!T27*'EV %sales'!$AM$58+'India EV uptake'!T27*'EV %sales'!$AN$58+'Ireland EV uptake'!T27*'EV %sales'!$AO$58+'Italy EV uptake'!T27*'EV %sales'!$AP$58+'Japan EV uptake'!T27*'EV %sales'!$AQ$58+'Korea EV uptake'!T27*'EV %sales'!$AR$58+'Netherlands logist Take-up'!Y105*'EV %sales'!$AS$58+'New Zealand EV uptake'!T27*'EV %sales'!$AT$58+'Norway EV uptake with subs'!Z34*'EV %sales'!$AU$58+'Spain EV uptake'!T27*'EV %sales'!$AV$58+'Sweden EV uptake'!T27*'EV %sales'!$AW$58+'Switzerland EV uptake'!T27*'EV %sales'!$AX$58+'USA EV uptake'!T27*'EV %sales'!$AZ$58)/('EV %sales'!$BB$58-'EV %sales'!$BA$58)</f>
        <v>44.09849480726038</v>
      </c>
      <c r="Y83" s="13">
        <f>('Australia EV uptake'!W27*'EV %sales'!$AE$58+'Austria EV uptake'!U27*'EV %sales'!$AF$58+'Belgian EV uptake'!U27*'EV %sales'!$AG$58+'British EV uptake'!U27*'EV %sales'!$AY$58+'Canada EV uptake'!U27*'EV %sales'!$AH$58+'China EV uptake'!U27*'EV %sales'!$AI$58+'Denmark EV uptake'!AG36*'EV %sales'!$AJ$58+'Finland EV uptake'!U27*'EV %sales'!$AK$58+'France EV uptake'!U27*'EV %sales'!$AL$58+'Germany EV uptake'!U27*'EV %sales'!$AM$58+'India EV uptake'!U27*'EV %sales'!$AN$58+'Ireland EV uptake'!U27*'EV %sales'!$AO$58+'Italy EV uptake'!U27*'EV %sales'!$AP$58+'Japan EV uptake'!U27*'EV %sales'!$AQ$58+'Korea EV uptake'!U27*'EV %sales'!$AR$58+'Netherlands logist Take-up'!Z105*'EV %sales'!$AS$58+'New Zealand EV uptake'!U27*'EV %sales'!$AT$58+'Norway EV uptake with subs'!AA34*'EV %sales'!$AU$58+'Spain EV uptake'!U27*'EV %sales'!$AV$58+'Sweden EV uptake'!U27*'EV %sales'!$AW$58+'Switzerland EV uptake'!U27*'EV %sales'!$AX$58+'USA EV uptake'!U27*'EV %sales'!$AZ$58)/('EV %sales'!$BB$58-'EV %sales'!$BA$58)</f>
        <v>42.196567763813007</v>
      </c>
      <c r="AA83">
        <v>2032</v>
      </c>
      <c r="AB83" s="13">
        <f>('Australia EV uptake'!Z27*'EV %sales'!$AE$58+'Austria EV uptake'!X27*'EV %sales'!$AF$58+'Belgian EV uptake'!X27*'EV %sales'!$AG$58+'British EV uptake'!X27*'EV %sales'!$AY$58+'Canada EV uptake'!X27*'EV %sales'!$AH$58+'China EV uptake'!X27*'EV %sales'!$AI$58+'Denmark EV uptake'!AJ36*'EV %sales'!$AJ$58+'Finland EV uptake'!X27*'EV %sales'!$AK$58+'France EV uptake'!X27*'EV %sales'!$AL$58+'Germany EV uptake'!X27*'EV %sales'!$AM$58+'India EV uptake'!X27*'EV %sales'!$AN$58+'Ireland EV uptake'!X27*'EV %sales'!$AO$58+'Italy EV uptake'!X27*'EV %sales'!$AP$58+'Japan EV uptake'!X27*'EV %sales'!$AQ$58+'Korea EV uptake'!X27*'EV %sales'!$AR$58+'Netherlands logist Take-up'!AC105*'EV %sales'!$AS$58+'New Zealand EV uptake'!X27*'EV %sales'!$AT$58+'Norway EV uptake with subs'!AD34*'EV %sales'!$AU$58+'Spain EV uptake'!X27*'EV %sales'!$AV$58+'Sweden EV uptake'!X27*'EV %sales'!$AW$58+'Switzerland EV uptake'!X27*'EV %sales'!$AX$58+'USA EV uptake'!X27*'EV %sales'!$AZ$58)/('EV %sales'!$BB$58-'EV %sales'!$BA$58)</f>
        <v>26.162100123359679</v>
      </c>
      <c r="AC83" s="13">
        <f>('Australia EV uptake'!AA27*'EV %sales'!$AE$58+'Austria EV uptake'!Y27*'EV %sales'!$AF$58+'Belgian EV uptake'!Y27*'EV %sales'!$AG$58+'British EV uptake'!Y27*'EV %sales'!$AY$58+'Canada EV uptake'!Y27*'EV %sales'!$AH$58+'China EV uptake'!Y27*'EV %sales'!$AI$58+'Denmark EV uptake'!AK36*'EV %sales'!$AJ$58+'Finland EV uptake'!Y27*'EV %sales'!$AK$58+'France EV uptake'!Y27*'EV %sales'!$AL$58+'Germany EV uptake'!Y27*'EV %sales'!$AM$58+'India EV uptake'!Y27*'EV %sales'!$AN$58+'Ireland EV uptake'!Y27*'EV %sales'!$AO$58+'Italy EV uptake'!Y27*'EV %sales'!$AP$58+'Japan EV uptake'!Y27*'EV %sales'!$AQ$58+'Korea EV uptake'!Y27*'EV %sales'!$AR$58+'Netherlands logist Take-up'!AD105*'EV %sales'!$AS$58+'New Zealand EV uptake'!Y27*'EV %sales'!$AT$58+'Norway EV uptake with subs'!AE34*'EV %sales'!$AU$58+'Spain EV uptake'!Y27*'EV %sales'!$AV$58+'Sweden EV uptake'!Y27*'EV %sales'!$AW$58+'Switzerland EV uptake'!Y27*'EV %sales'!$AX$58+'USA EV uptake'!Y27*'EV %sales'!$AZ$58)/('EV %sales'!$BB$58-'EV %sales'!$BA$58)</f>
        <v>44.09849480726038</v>
      </c>
      <c r="AD83" s="13">
        <f>('Australia EV uptake'!AB27*'EV %sales'!$AE$58+'Austria EV uptake'!Z27*'EV %sales'!$AF$58+'Belgian EV uptake'!Z27*'EV %sales'!$AG$58+'British EV uptake'!Z27*'EV %sales'!$AY$58+'Canada EV uptake'!Z27*'EV %sales'!$AH$58+'China EV uptake'!Z27*'EV %sales'!$AI$58+'Denmark EV uptake'!AL36*'EV %sales'!$AJ$58+'Finland EV uptake'!Z27*'EV %sales'!$AK$58+'France EV uptake'!Z27*'EV %sales'!$AL$58+'Germany EV uptake'!Z27*'EV %sales'!$AM$58+'India EV uptake'!Z27*'EV %sales'!$AN$58+'Ireland EV uptake'!Z27*'EV %sales'!$AO$58+'Italy EV uptake'!Z27*'EV %sales'!$AP$58+'Japan EV uptake'!Z27*'EV %sales'!$AQ$58+'Korea EV uptake'!Z27*'EV %sales'!$AR$58+'Netherlands logist Take-up'!AE105*'EV %sales'!$AS$58+'New Zealand EV uptake'!Z27*'EV %sales'!$AT$58+'Norway EV uptake with subs'!AF34*'EV %sales'!$AU$58+'Spain EV uptake'!Z27*'EV %sales'!$AV$58+'Sweden EV uptake'!Z27*'EV %sales'!$AW$58+'Switzerland EV uptake'!Z27*'EV %sales'!$AX$58+'USA EV uptake'!Z27*'EV %sales'!$AZ$58)/('EV %sales'!$BB$58-'EV %sales'!$BA$58)</f>
        <v>51.131414671892429</v>
      </c>
    </row>
    <row r="84" spans="1:30">
      <c r="A84" s="3">
        <v>2033</v>
      </c>
      <c r="C84" s="13">
        <f t="shared" si="7"/>
        <v>64.130569686028679</v>
      </c>
      <c r="D84" s="13">
        <f t="shared" si="12"/>
        <v>45.725026778599542</v>
      </c>
      <c r="E84" s="13">
        <f t="shared" si="9"/>
        <v>45.517679485026655</v>
      </c>
      <c r="G84">
        <f t="shared" si="4"/>
        <v>4.3008382497647402</v>
      </c>
      <c r="H84" s="230">
        <f t="shared" si="11"/>
        <v>0.84859339653239196</v>
      </c>
      <c r="I84" s="230">
        <f>G84-SUM(J$71:J84)</f>
        <v>0.86383824976473944</v>
      </c>
      <c r="J84" s="20">
        <f>J83+(J91-J71)/20</f>
        <v>0.29100000000000009</v>
      </c>
      <c r="L84" s="13">
        <f>('Australia EV uptake'!V28*'EV %sales'!$AE$58+'Austria EV uptake'!T28*'EV %sales'!$AF$58+'Belgian EV uptake'!T28*'EV %sales'!$AG$58+'British EV uptake'!T28*'EV %sales'!$AY$58+'Canada EV uptake'!T28*'EV %sales'!$AH$58+'China EV uptake'!T28*'EV %sales'!$AI$58+'Denmark EV uptake'!AF37*'EV %sales'!$AJ$58+'Finland EV uptake'!T28*'EV %sales'!$AK$58+'France EV uptake'!T28*'EV %sales'!$AL$58+'Germany EV uptake'!T28*'EV %sales'!$AM$58+'India EV uptake'!T28*'EV %sales'!$AN$58+'Ireland EV uptake'!T28*'EV %sales'!$AO$58+'Italy EV uptake'!T28*'EV %sales'!$AP$58+'Japan EV uptake'!T28*'EV %sales'!$AQ$58+'Korea EV uptake'!T28*'EV %sales'!$AR$58+'Netherlands logist Take-up'!Y106*'EV %sales'!$AS$58+'New Zealand EV uptake'!T28*'EV %sales'!$AT$58+'Norway EV uptake with subs'!Z35*'EV %sales'!$AU$58+'Spain EV uptake'!T28*'EV %sales'!$AV$58+'Sweden EV uptake'!T28*'EV %sales'!$AW$58+'Switzerland EV uptake'!T28*'EV %sales'!$AX$58+'USA EV uptake'!T28*'EV %sales'!$AZ$58)/('EV %sales'!$BB$58-'EV %sales'!$BA$58)</f>
        <v>46.33157137341756</v>
      </c>
      <c r="M84" s="13">
        <f>('Australia EV uptake'!N28*'EV %sales'!AE$58+'Austria EV uptake'!L28*'EV %sales'!AF$58+'Belgian EV uptake'!L28*'EV %sales'!AG$58+'British EV uptake'!L28*'EV %sales'!AY$58+'Canada EV uptake'!L28*'EV %sales'!AH$58+'China EV uptake'!L28*'EV %sales'!AI$58+'Denmark EV uptake'!X37*'EV %sales'!AJ$58+'Finland EV uptake'!L28*'EV %sales'!AK$58+'France EV uptake'!L28*'EV %sales'!AL$58+'Germany EV uptake'!L28*'EV %sales'!AM$58+'India EV uptake'!L28*'EV %sales'!AN$58+'Ireland EV uptake'!L28*'EV %sales'!AO$58+'Italy EV uptake'!L28*'EV %sales'!AP$58+'Japan EV uptake'!L28*'EV %sales'!AQ$58+'Korea EV uptake'!L28*'EV %sales'!AR$58+'Netherlands logist Take-up'!O106*'EV %sales'!AS$58+'New Zealand EV uptake'!L28*'EV %sales'!AT$58+'Norway EV uptake with subs'!R38*'EV %sales'!AU$58+'Spain EV uptake'!L28*'EV %sales'!AV$58+'Sweden EV uptake'!L28*'EV %sales'!AW$58+'Switzerland EV uptake'!L28*'EV %sales'!AX$58+'USA EV uptake'!L28*'EV %sales'!AZ$58+'Rest Europe EV takeup'!O28*'EV %sales'!BA$58)/'EV %sales'!BB$58</f>
        <v>49.740397300068658</v>
      </c>
      <c r="N84" s="13">
        <f>('Australia EV uptake'!D28*'EV %sales'!AE$58+'Austria EV uptake'!AB28*'EV %sales'!AF$58+'Belgian EV uptake'!AB28*'EV %sales'!AG$58+'British EV uptake'!AB28*'EV %sales'!AY$58+'Canada EV uptake'!AB28*'EV %sales'!AH$58+'China EV uptake'!AB28*'EV %sales'!AI$58+'Denmark EV uptake'!F37*'EV %sales'!AJ$58+'Finland EV uptake'!AB28*'EV %sales'!AK$58+'France EV uptake'!AB28*'EV %sales'!AL$58+'Germany EV uptake'!AB28*'EV %sales'!AM$58+'India EV uptake'!AB28*'EV %sales'!AN$58+'Ireland EV uptake'!AB28*'EV %sales'!AO$58+'Italy EV uptake'!AB28*'EV %sales'!AP$58+'Japan EV uptake'!AB28*'EV %sales'!AQ$58+'Korea EV uptake'!AB28*'EV %sales'!AR$58+'Netherlands logist Take-up'!E106*'EV %sales'!AS$58+'New Zealand EV uptake'!AB28*'EV %sales'!AT$58+'Norway EV uptake with subs'!H38*'EV %sales'!AU$58+'Spain EV uptake'!AB28*'EV %sales'!AV$58+'Sweden EV uptake'!AB28*'EV %sales'!AW$58+'Switzerland EV uptake'!AB28*'EV %sales'!AX$58+'USA EV uptake'!AB28*'EV %sales'!AZ$58+'Rest Europe EV takeup'!O28*'EV %sales'!BA$58)/'EV %sales'!BB$58</f>
        <v>49.255550770668528</v>
      </c>
      <c r="P84">
        <v>24</v>
      </c>
      <c r="Q84" s="13">
        <f t="shared" si="6"/>
        <v>1.7292306123291177</v>
      </c>
      <c r="R84" s="13"/>
      <c r="S84" s="13"/>
      <c r="T84" s="13">
        <f t="shared" si="13"/>
        <v>1.7292306123291177</v>
      </c>
      <c r="V84">
        <v>2033</v>
      </c>
      <c r="W84" s="13">
        <f>('Australia EV uptake'!U28*'EV %sales'!$AE$58+'Austria EV uptake'!S28*'EV %sales'!$AF$58+'Belgian EV uptake'!S28*'EV %sales'!$AG$58+'British EV uptake'!S28*'EV %sales'!$AY$58+'Canada EV uptake'!S28*'EV %sales'!$AH$58+'China EV uptake'!S28*'EV %sales'!$AI$58+'Denmark EV uptake'!AE37*'EV %sales'!$AJ$58+'Finland EV uptake'!S28*'EV %sales'!$AK$58+'France EV uptake'!S28*'EV %sales'!$AL$58+'Germany EV uptake'!S28*'EV %sales'!$AM$58+'India EV uptake'!S28*'EV %sales'!$AN$58+'Ireland EV uptake'!S28*'EV %sales'!$AO$58+'Italy EV uptake'!S28*'EV %sales'!$AP$58+'Japan EV uptake'!S28*'EV %sales'!$AQ$58+'Korea EV uptake'!S28*'EV %sales'!$AR$58+'Netherlands logist Take-up'!X106*'EV %sales'!$AS$58+'New Zealand EV uptake'!S28*'EV %sales'!$AT$58+'Norway EV uptake with subs'!Y35*'EV %sales'!$AU$58+'Spain EV uptake'!S28*'EV %sales'!$AV$58+'Sweden EV uptake'!S28*'EV %sales'!$AW$58+'Switzerland EV uptake'!S28*'EV %sales'!$AX$58+'USA EV uptake'!S28*'EV %sales'!$AZ$58)/('EV %sales'!$BB$58-'EV %sales'!$BA$58)</f>
        <v>47.761430904720086</v>
      </c>
      <c r="X84" s="13">
        <f>('Australia EV uptake'!V28*'EV %sales'!$AE$58+'Austria EV uptake'!T28*'EV %sales'!$AF$58+'Belgian EV uptake'!T28*'EV %sales'!$AG$58+'British EV uptake'!T28*'EV %sales'!$AY$58+'Canada EV uptake'!T28*'EV %sales'!$AH$58+'China EV uptake'!T28*'EV %sales'!$AI$58+'Denmark EV uptake'!AF37*'EV %sales'!$AJ$58+'Finland EV uptake'!T28*'EV %sales'!$AK$58+'France EV uptake'!T28*'EV %sales'!$AL$58+'Germany EV uptake'!T28*'EV %sales'!$AM$58+'India EV uptake'!T28*'EV %sales'!$AN$58+'Ireland EV uptake'!T28*'EV %sales'!$AO$58+'Italy EV uptake'!T28*'EV %sales'!$AP$58+'Japan EV uptake'!T28*'EV %sales'!$AQ$58+'Korea EV uptake'!T28*'EV %sales'!$AR$58+'Netherlands logist Take-up'!Y106*'EV %sales'!$AS$58+'New Zealand EV uptake'!T28*'EV %sales'!$AT$58+'Norway EV uptake with subs'!Z35*'EV %sales'!$AU$58+'Spain EV uptake'!T28*'EV %sales'!$AV$58+'Sweden EV uptake'!T28*'EV %sales'!$AW$58+'Switzerland EV uptake'!T28*'EV %sales'!$AX$58+'USA EV uptake'!T28*'EV %sales'!$AZ$58)/('EV %sales'!$BB$58-'EV %sales'!$BA$58)</f>
        <v>46.33157137341756</v>
      </c>
      <c r="Y84" s="13">
        <f>('Australia EV uptake'!W28*'EV %sales'!$AE$58+'Austria EV uptake'!U28*'EV %sales'!$AF$58+'Belgian EV uptake'!U28*'EV %sales'!$AG$58+'British EV uptake'!U28*'EV %sales'!$AY$58+'Canada EV uptake'!U28*'EV %sales'!$AH$58+'China EV uptake'!U28*'EV %sales'!$AI$58+'Denmark EV uptake'!AG37*'EV %sales'!$AJ$58+'Finland EV uptake'!U28*'EV %sales'!$AK$58+'France EV uptake'!U28*'EV %sales'!$AL$58+'Germany EV uptake'!U28*'EV %sales'!$AM$58+'India EV uptake'!U28*'EV %sales'!$AN$58+'Ireland EV uptake'!U28*'EV %sales'!$AO$58+'Italy EV uptake'!U28*'EV %sales'!$AP$58+'Japan EV uptake'!U28*'EV %sales'!$AQ$58+'Korea EV uptake'!U28*'EV %sales'!$AR$58+'Netherlands logist Take-up'!Z106*'EV %sales'!$AS$58+'New Zealand EV uptake'!U28*'EV %sales'!$AT$58+'Norway EV uptake with subs'!AA35*'EV %sales'!$AU$58+'Spain EV uptake'!U28*'EV %sales'!$AV$58+'Sweden EV uptake'!U28*'EV %sales'!$AW$58+'Switzerland EV uptake'!U28*'EV %sales'!$AX$58+'USA EV uptake'!U28*'EV %sales'!$AZ$58)/('EV %sales'!$BB$58-'EV %sales'!$BA$58)</f>
        <v>44.547001968899373</v>
      </c>
      <c r="AA84">
        <v>2033</v>
      </c>
      <c r="AB84" s="13">
        <f>('Australia EV uptake'!Z28*'EV %sales'!$AE$58+'Austria EV uptake'!X28*'EV %sales'!$AF$58+'Belgian EV uptake'!X28*'EV %sales'!$AG$58+'British EV uptake'!X28*'EV %sales'!$AY$58+'Canada EV uptake'!X28*'EV %sales'!$AH$58+'China EV uptake'!X28*'EV %sales'!$AI$58+'Denmark EV uptake'!AJ37*'EV %sales'!$AJ$58+'Finland EV uptake'!X28*'EV %sales'!$AK$58+'France EV uptake'!X28*'EV %sales'!$AL$58+'Germany EV uptake'!X28*'EV %sales'!$AM$58+'India EV uptake'!X28*'EV %sales'!$AN$58+'Ireland EV uptake'!X28*'EV %sales'!$AO$58+'Italy EV uptake'!X28*'EV %sales'!$AP$58+'Japan EV uptake'!X28*'EV %sales'!$AQ$58+'Korea EV uptake'!X28*'EV %sales'!$AR$58+'Netherlands logist Take-up'!AC106*'EV %sales'!$AS$58+'New Zealand EV uptake'!X28*'EV %sales'!$AT$58+'Norway EV uptake with subs'!AD35*'EV %sales'!$AU$58+'Spain EV uptake'!X28*'EV %sales'!$AV$58+'Sweden EV uptake'!X28*'EV %sales'!$AW$58+'Switzerland EV uptake'!X28*'EV %sales'!$AX$58+'USA EV uptake'!X28*'EV %sales'!$AZ$58)/('EV %sales'!$BB$58-'EV %sales'!$BA$58)</f>
        <v>29.414136502311138</v>
      </c>
      <c r="AC84" s="13">
        <f>('Australia EV uptake'!AA28*'EV %sales'!$AE$58+'Austria EV uptake'!Y28*'EV %sales'!$AF$58+'Belgian EV uptake'!Y28*'EV %sales'!$AG$58+'British EV uptake'!Y28*'EV %sales'!$AY$58+'Canada EV uptake'!Y28*'EV %sales'!$AH$58+'China EV uptake'!Y28*'EV %sales'!$AI$58+'Denmark EV uptake'!AK37*'EV %sales'!$AJ$58+'Finland EV uptake'!Y28*'EV %sales'!$AK$58+'France EV uptake'!Y28*'EV %sales'!$AL$58+'Germany EV uptake'!Y28*'EV %sales'!$AM$58+'India EV uptake'!Y28*'EV %sales'!$AN$58+'Ireland EV uptake'!Y28*'EV %sales'!$AO$58+'Italy EV uptake'!Y28*'EV %sales'!$AP$58+'Japan EV uptake'!Y28*'EV %sales'!$AQ$58+'Korea EV uptake'!Y28*'EV %sales'!$AR$58+'Netherlands logist Take-up'!AD106*'EV %sales'!$AS$58+'New Zealand EV uptake'!Y28*'EV %sales'!$AT$58+'Norway EV uptake with subs'!AE35*'EV %sales'!$AU$58+'Spain EV uptake'!Y28*'EV %sales'!$AV$58+'Sweden EV uptake'!Y28*'EV %sales'!$AW$58+'Switzerland EV uptake'!Y28*'EV %sales'!$AX$58+'USA EV uptake'!Y28*'EV %sales'!$AZ$58)/('EV %sales'!$BB$58-'EV %sales'!$BA$58)</f>
        <v>46.33157137341756</v>
      </c>
      <c r="AD84" s="13">
        <f>('Australia EV uptake'!AB28*'EV %sales'!$AE$58+'Austria EV uptake'!Z28*'EV %sales'!$AF$58+'Belgian EV uptake'!Z28*'EV %sales'!$AG$58+'British EV uptake'!Z28*'EV %sales'!$AY$58+'Canada EV uptake'!Z28*'EV %sales'!$AH$58+'China EV uptake'!Z28*'EV %sales'!$AI$58+'Denmark EV uptake'!AL37*'EV %sales'!$AJ$58+'Finland EV uptake'!Z28*'EV %sales'!$AK$58+'France EV uptake'!Z28*'EV %sales'!$AL$58+'Germany EV uptake'!Z28*'EV %sales'!$AM$58+'India EV uptake'!Z28*'EV %sales'!$AN$58+'Ireland EV uptake'!Z28*'EV %sales'!$AO$58+'Italy EV uptake'!Z28*'EV %sales'!$AP$58+'Japan EV uptake'!Z28*'EV %sales'!$AQ$58+'Korea EV uptake'!Z28*'EV %sales'!$AR$58+'Netherlands logist Take-up'!AE106*'EV %sales'!$AS$58+'New Zealand EV uptake'!Z28*'EV %sales'!$AT$58+'Norway EV uptake with subs'!AF35*'EV %sales'!$AU$58+'Spain EV uptake'!Z28*'EV %sales'!$AV$58+'Sweden EV uptake'!Z28*'EV %sales'!$AW$58+'Switzerland EV uptake'!Z28*'EV %sales'!$AX$58+'USA EV uptake'!Z28*'EV %sales'!$AZ$58)/('EV %sales'!$BB$58-'EV %sales'!$BA$58)</f>
        <v>52.685323338782631</v>
      </c>
    </row>
    <row r="85" spans="1:30">
      <c r="A85" s="3">
        <v>2034</v>
      </c>
      <c r="C85" s="13">
        <f t="shared" si="7"/>
        <v>64.45935031390492</v>
      </c>
      <c r="D85" s="13">
        <f t="shared" si="12"/>
        <v>48.100625072996188</v>
      </c>
      <c r="E85" s="13">
        <f t="shared" si="9"/>
        <v>47.924957877364768</v>
      </c>
      <c r="G85">
        <f t="shared" si="4"/>
        <v>4.7810185376306782</v>
      </c>
      <c r="H85" s="230">
        <f t="shared" si="11"/>
        <v>1.032018537630677</v>
      </c>
      <c r="I85" s="230">
        <f>G85-SUM(J$71:J85)</f>
        <v>1.0460185376306774</v>
      </c>
      <c r="J85" s="20">
        <f>J84+(J91-J71)/20</f>
        <v>0.2980000000000001</v>
      </c>
      <c r="L85" s="13">
        <f>('Australia EV uptake'!V29*'EV %sales'!$AE$58+'Austria EV uptake'!T29*'EV %sales'!$AF$58+'Belgian EV uptake'!T29*'EV %sales'!$AG$58+'British EV uptake'!T29*'EV %sales'!$AY$58+'Canada EV uptake'!T29*'EV %sales'!$AH$58+'China EV uptake'!T29*'EV %sales'!$AI$58+'Denmark EV uptake'!AF38*'EV %sales'!$AJ$58+'Finland EV uptake'!T29*'EV %sales'!$AK$58+'France EV uptake'!T29*'EV %sales'!$AL$58+'Germany EV uptake'!T29*'EV %sales'!$AM$58+'India EV uptake'!T29*'EV %sales'!$AN$58+'Ireland EV uptake'!T29*'EV %sales'!$AO$58+'Italy EV uptake'!T29*'EV %sales'!$AP$58+'Japan EV uptake'!T29*'EV %sales'!$AQ$58+'Korea EV uptake'!T29*'EV %sales'!$AR$58+'Netherlands logist Take-up'!Y107*'EV %sales'!$AS$58+'New Zealand EV uptake'!T29*'EV %sales'!$AT$58+'Norway EV uptake with subs'!Z36*'EV %sales'!$AU$58+'Spain EV uptake'!T29*'EV %sales'!$AV$58+'Sweden EV uptake'!T29*'EV %sales'!$AW$58+'Switzerland EV uptake'!T29*'EV %sales'!$AX$58+'USA EV uptake'!T29*'EV %sales'!$AZ$58)/('EV %sales'!$BB$58-'EV %sales'!$BA$58)</f>
        <v>48.291370532677817</v>
      </c>
      <c r="M85" s="13">
        <f>('Australia EV uptake'!N29*'EV %sales'!AE$58+'Austria EV uptake'!L29*'EV %sales'!AF$58+'Belgian EV uptake'!L29*'EV %sales'!AG$58+'British EV uptake'!L29*'EV %sales'!AY$58+'Canada EV uptake'!L29*'EV %sales'!AH$58+'China EV uptake'!L29*'EV %sales'!AI$58+'Denmark EV uptake'!X38*'EV %sales'!AJ$58+'Finland EV uptake'!L29*'EV %sales'!AK$58+'France EV uptake'!L29*'EV %sales'!AL$58+'Germany EV uptake'!L29*'EV %sales'!AM$58+'India EV uptake'!L29*'EV %sales'!AN$58+'Ireland EV uptake'!L29*'EV %sales'!AO$58+'Italy EV uptake'!L29*'EV %sales'!AP$58+'Japan EV uptake'!L29*'EV %sales'!AQ$58+'Korea EV uptake'!L29*'EV %sales'!AR$58+'Netherlands logist Take-up'!O107*'EV %sales'!AS$58+'New Zealand EV uptake'!L29*'EV %sales'!AT$58+'Norway EV uptake with subs'!R39*'EV %sales'!AU$58+'Spain EV uptake'!L29*'EV %sales'!AV$58+'Sweden EV uptake'!L29*'EV %sales'!AW$58+'Switzerland EV uptake'!L29*'EV %sales'!AX$58+'USA EV uptake'!L29*'EV %sales'!AZ$58+'Rest Europe EV takeup'!O29*'EV %sales'!BA$58)/'EV %sales'!BB$58</f>
        <v>51.30404003227693</v>
      </c>
      <c r="N85" s="13">
        <f>('Australia EV uptake'!D29*'EV %sales'!AE$58+'Austria EV uptake'!AB29*'EV %sales'!AF$58+'Belgian EV uptake'!AB29*'EV %sales'!AG$58+'British EV uptake'!AB29*'EV %sales'!AY$58+'Canada EV uptake'!AB29*'EV %sales'!AH$58+'China EV uptake'!AB29*'EV %sales'!AI$58+'Denmark EV uptake'!F38*'EV %sales'!AJ$58+'Finland EV uptake'!AB29*'EV %sales'!AK$58+'France EV uptake'!AB29*'EV %sales'!AL$58+'Germany EV uptake'!AB29*'EV %sales'!AM$58+'India EV uptake'!AB29*'EV %sales'!AN$58+'Ireland EV uptake'!AB29*'EV %sales'!AO$58+'Italy EV uptake'!AB29*'EV %sales'!AP$58+'Japan EV uptake'!AB29*'EV %sales'!AQ$58+'Korea EV uptake'!AB29*'EV %sales'!AR$58+'Netherlands logist Take-up'!E107*'EV %sales'!AS$58+'New Zealand EV uptake'!AB29*'EV %sales'!AT$58+'Norway EV uptake with subs'!H39*'EV %sales'!AU$58+'Spain EV uptake'!AB29*'EV %sales'!AV$58+'Sweden EV uptake'!AB29*'EV %sales'!AW$58+'Switzerland EV uptake'!AB29*'EV %sales'!AX$58+'USA EV uptake'!AB29*'EV %sales'!AZ$58+'Rest Europe EV takeup'!O29*'EV %sales'!BA$58)/'EV %sales'!BB$58</f>
        <v>50.933568446480685</v>
      </c>
      <c r="P85">
        <v>25</v>
      </c>
      <c r="Q85" s="13">
        <f t="shared" si="6"/>
        <v>1.7292306123291177</v>
      </c>
      <c r="R85" s="13"/>
      <c r="S85" s="13"/>
      <c r="T85" s="13">
        <f t="shared" si="13"/>
        <v>1.7292306123291177</v>
      </c>
      <c r="V85">
        <v>2034</v>
      </c>
      <c r="W85" s="13">
        <f>('Australia EV uptake'!U29*'EV %sales'!$AE$58+'Austria EV uptake'!S29*'EV %sales'!$AF$58+'Belgian EV uptake'!S29*'EV %sales'!$AG$58+'British EV uptake'!S29*'EV %sales'!$AY$58+'Canada EV uptake'!S29*'EV %sales'!$AH$58+'China EV uptake'!S29*'EV %sales'!$AI$58+'Denmark EV uptake'!AE38*'EV %sales'!$AJ$58+'Finland EV uptake'!S29*'EV %sales'!$AK$58+'France EV uptake'!S29*'EV %sales'!$AL$58+'Germany EV uptake'!S29*'EV %sales'!$AM$58+'India EV uptake'!S29*'EV %sales'!$AN$58+'Ireland EV uptake'!S29*'EV %sales'!$AO$58+'Italy EV uptake'!S29*'EV %sales'!$AP$58+'Japan EV uptake'!S29*'EV %sales'!$AQ$58+'Korea EV uptake'!S29*'EV %sales'!$AR$58+'Netherlands logist Take-up'!X107*'EV %sales'!$AS$58+'New Zealand EV uptake'!S29*'EV %sales'!$AT$58+'Norway EV uptake with subs'!Y36*'EV %sales'!$AU$58+'Spain EV uptake'!S29*'EV %sales'!$AV$58+'Sweden EV uptake'!S29*'EV %sales'!$AW$58+'Switzerland EV uptake'!S29*'EV %sales'!$AX$58+'USA EV uptake'!S29*'EV %sales'!$AZ$58)/('EV %sales'!$BB$58-'EV %sales'!$BA$58)</f>
        <v>49.516781459975824</v>
      </c>
      <c r="X85" s="13">
        <f>('Australia EV uptake'!V29*'EV %sales'!$AE$58+'Austria EV uptake'!T29*'EV %sales'!$AF$58+'Belgian EV uptake'!T29*'EV %sales'!$AG$58+'British EV uptake'!T29*'EV %sales'!$AY$58+'Canada EV uptake'!T29*'EV %sales'!$AH$58+'China EV uptake'!T29*'EV %sales'!$AI$58+'Denmark EV uptake'!AF38*'EV %sales'!$AJ$58+'Finland EV uptake'!T29*'EV %sales'!$AK$58+'France EV uptake'!T29*'EV %sales'!$AL$58+'Germany EV uptake'!T29*'EV %sales'!$AM$58+'India EV uptake'!T29*'EV %sales'!$AN$58+'Ireland EV uptake'!T29*'EV %sales'!$AO$58+'Italy EV uptake'!T29*'EV %sales'!$AP$58+'Japan EV uptake'!T29*'EV %sales'!$AQ$58+'Korea EV uptake'!T29*'EV %sales'!$AR$58+'Netherlands logist Take-up'!Y107*'EV %sales'!$AS$58+'New Zealand EV uptake'!T29*'EV %sales'!$AT$58+'Norway EV uptake with subs'!Z36*'EV %sales'!$AU$58+'Spain EV uptake'!T29*'EV %sales'!$AV$58+'Sweden EV uptake'!T29*'EV %sales'!$AW$58+'Switzerland EV uptake'!T29*'EV %sales'!$AX$58+'USA EV uptake'!T29*'EV %sales'!$AZ$58)/('EV %sales'!$BB$58-'EV %sales'!$BA$58)</f>
        <v>48.291370532677817</v>
      </c>
      <c r="Y85" s="13">
        <f>('Australia EV uptake'!W29*'EV %sales'!$AE$58+'Austria EV uptake'!U29*'EV %sales'!$AF$58+'Belgian EV uptake'!U29*'EV %sales'!$AG$58+'British EV uptake'!U29*'EV %sales'!$AY$58+'Canada EV uptake'!U29*'EV %sales'!$AH$58+'China EV uptake'!U29*'EV %sales'!$AI$58+'Denmark EV uptake'!AG38*'EV %sales'!$AJ$58+'Finland EV uptake'!U29*'EV %sales'!$AK$58+'France EV uptake'!U29*'EV %sales'!$AL$58+'Germany EV uptake'!U29*'EV %sales'!$AM$58+'India EV uptake'!U29*'EV %sales'!$AN$58+'Ireland EV uptake'!U29*'EV %sales'!$AO$58+'Italy EV uptake'!U29*'EV %sales'!$AP$58+'Japan EV uptake'!U29*'EV %sales'!$AQ$58+'Korea EV uptake'!U29*'EV %sales'!$AR$58+'Netherlands logist Take-up'!Z107*'EV %sales'!$AS$58+'New Zealand EV uptake'!U29*'EV %sales'!$AT$58+'Norway EV uptake with subs'!AA36*'EV %sales'!$AU$58+'Spain EV uptake'!U29*'EV %sales'!$AV$58+'Sweden EV uptake'!U29*'EV %sales'!$AW$58+'Switzerland EV uptake'!U29*'EV %sales'!$AX$58+'USA EV uptake'!U29*'EV %sales'!$AZ$58)/('EV %sales'!$BB$58-'EV %sales'!$BA$58)</f>
        <v>46.660169703709364</v>
      </c>
      <c r="AA85">
        <v>2034</v>
      </c>
      <c r="AB85" s="13">
        <f>('Australia EV uptake'!Z29*'EV %sales'!$AE$58+'Austria EV uptake'!X29*'EV %sales'!$AF$58+'Belgian EV uptake'!X29*'EV %sales'!$AG$58+'British EV uptake'!X29*'EV %sales'!$AY$58+'Canada EV uptake'!X29*'EV %sales'!$AH$58+'China EV uptake'!X29*'EV %sales'!$AI$58+'Denmark EV uptake'!AJ38*'EV %sales'!$AJ$58+'Finland EV uptake'!X29*'EV %sales'!$AK$58+'France EV uptake'!X29*'EV %sales'!$AL$58+'Germany EV uptake'!X29*'EV %sales'!$AM$58+'India EV uptake'!X29*'EV %sales'!$AN$58+'Ireland EV uptake'!X29*'EV %sales'!$AO$58+'Italy EV uptake'!X29*'EV %sales'!$AP$58+'Japan EV uptake'!X29*'EV %sales'!$AQ$58+'Korea EV uptake'!X29*'EV %sales'!$AR$58+'Netherlands logist Take-up'!AC107*'EV %sales'!$AS$58+'New Zealand EV uptake'!X29*'EV %sales'!$AT$58+'Norway EV uptake with subs'!AD36*'EV %sales'!$AU$58+'Spain EV uptake'!X29*'EV %sales'!$AV$58+'Sweden EV uptake'!X29*'EV %sales'!$AW$58+'Switzerland EV uptake'!X29*'EV %sales'!$AX$58+'USA EV uptake'!X29*'EV %sales'!$AZ$58)/('EV %sales'!$BB$58-'EV %sales'!$BA$58)</f>
        <v>32.652425857351012</v>
      </c>
      <c r="AC85" s="13">
        <f>('Australia EV uptake'!AA29*'EV %sales'!$AE$58+'Austria EV uptake'!Y29*'EV %sales'!$AF$58+'Belgian EV uptake'!Y29*'EV %sales'!$AG$58+'British EV uptake'!Y29*'EV %sales'!$AY$58+'Canada EV uptake'!Y29*'EV %sales'!$AH$58+'China EV uptake'!Y29*'EV %sales'!$AI$58+'Denmark EV uptake'!AK38*'EV %sales'!$AJ$58+'Finland EV uptake'!Y29*'EV %sales'!$AK$58+'France EV uptake'!Y29*'EV %sales'!$AL$58+'Germany EV uptake'!Y29*'EV %sales'!$AM$58+'India EV uptake'!Y29*'EV %sales'!$AN$58+'Ireland EV uptake'!Y29*'EV %sales'!$AO$58+'Italy EV uptake'!Y29*'EV %sales'!$AP$58+'Japan EV uptake'!Y29*'EV %sales'!$AQ$58+'Korea EV uptake'!Y29*'EV %sales'!$AR$58+'Netherlands logist Take-up'!AD107*'EV %sales'!$AS$58+'New Zealand EV uptake'!Y29*'EV %sales'!$AT$58+'Norway EV uptake with subs'!AE36*'EV %sales'!$AU$58+'Spain EV uptake'!Y29*'EV %sales'!$AV$58+'Sweden EV uptake'!Y29*'EV %sales'!$AW$58+'Switzerland EV uptake'!Y29*'EV %sales'!$AX$58+'USA EV uptake'!Y29*'EV %sales'!$AZ$58)/('EV %sales'!$BB$58-'EV %sales'!$BA$58)</f>
        <v>48.291370532677817</v>
      </c>
      <c r="AD85" s="13">
        <f>('Australia EV uptake'!AB29*'EV %sales'!$AE$58+'Austria EV uptake'!Z29*'EV %sales'!$AF$58+'Belgian EV uptake'!Z29*'EV %sales'!$AG$58+'British EV uptake'!Z29*'EV %sales'!$AY$58+'Canada EV uptake'!Z29*'EV %sales'!$AH$58+'China EV uptake'!Z29*'EV %sales'!$AI$58+'Denmark EV uptake'!AL38*'EV %sales'!$AJ$58+'Finland EV uptake'!Z29*'EV %sales'!$AK$58+'France EV uptake'!Z29*'EV %sales'!$AL$58+'Germany EV uptake'!Z29*'EV %sales'!$AM$58+'India EV uptake'!Z29*'EV %sales'!$AN$58+'Ireland EV uptake'!Z29*'EV %sales'!$AO$58+'Italy EV uptake'!Z29*'EV %sales'!$AP$58+'Japan EV uptake'!Z29*'EV %sales'!$AQ$58+'Korea EV uptake'!Z29*'EV %sales'!$AR$58+'Netherlands logist Take-up'!AE107*'EV %sales'!$AS$58+'New Zealand EV uptake'!Z29*'EV %sales'!$AT$58+'Norway EV uptake with subs'!AF36*'EV %sales'!$AU$58+'Spain EV uptake'!Z29*'EV %sales'!$AV$58+'Sweden EV uptake'!Z29*'EV %sales'!$AW$58+'Switzerland EV uptake'!Z29*'EV %sales'!$AX$58+'USA EV uptake'!Z29*'EV %sales'!$AZ$58)/('EV %sales'!$BB$58-'EV %sales'!$BA$58)</f>
        <v>54.071806511164368</v>
      </c>
    </row>
    <row r="86" spans="1:30">
      <c r="A86" s="3">
        <v>2035</v>
      </c>
      <c r="C86" s="13">
        <f t="shared" si="7"/>
        <v>64.664450978639351</v>
      </c>
      <c r="D86" s="13">
        <f t="shared" si="12"/>
        <v>50.197839356188005</v>
      </c>
      <c r="E86" s="13">
        <f t="shared" si="9"/>
        <v>50.037190986931051</v>
      </c>
      <c r="G86">
        <f t="shared" si="4"/>
        <v>5.2611988254966162</v>
      </c>
      <c r="H86" s="230">
        <f t="shared" si="11"/>
        <v>1.2071988254966146</v>
      </c>
      <c r="I86" s="230">
        <f>G86-SUM(J$71:J86)</f>
        <v>1.2211988254966153</v>
      </c>
      <c r="J86" s="20">
        <f>J85+(J91-J71)/20</f>
        <v>0.3050000000000001</v>
      </c>
      <c r="L86" s="13">
        <f>('Australia EV uptake'!V30*'EV %sales'!$AE$58+'Austria EV uptake'!T30*'EV %sales'!$AF$58+'Belgian EV uptake'!T30*'EV %sales'!$AG$58+'British EV uptake'!T30*'EV %sales'!$AY$58+'Canada EV uptake'!T30*'EV %sales'!$AH$58+'China EV uptake'!T30*'EV %sales'!$AI$58+'Denmark EV uptake'!AF39*'EV %sales'!$AJ$58+'Finland EV uptake'!T30*'EV %sales'!$AK$58+'France EV uptake'!T30*'EV %sales'!$AL$58+'Germany EV uptake'!T30*'EV %sales'!$AM$58+'India EV uptake'!T30*'EV %sales'!$AN$58+'Ireland EV uptake'!T30*'EV %sales'!$AO$58+'Italy EV uptake'!T30*'EV %sales'!$AP$58+'Japan EV uptake'!T30*'EV %sales'!$AQ$58+'Korea EV uptake'!T30*'EV %sales'!$AR$58+'Netherlands logist Take-up'!Y108*'EV %sales'!$AS$58+'New Zealand EV uptake'!T30*'EV %sales'!$AT$58+'Norway EV uptake with subs'!Z37*'EV %sales'!$AU$58+'Spain EV uptake'!T30*'EV %sales'!$AV$58+'Sweden EV uptake'!T30*'EV %sales'!$AW$58+'Switzerland EV uptake'!T30*'EV %sales'!$AX$58+'USA EV uptake'!T30*'EV %sales'!$AZ$58)/('EV %sales'!$BB$58-'EV %sales'!$BA$58)</f>
        <v>50.030031118090278</v>
      </c>
      <c r="M86" s="13">
        <f>('Australia EV uptake'!N30*'EV %sales'!AE$58+'Austria EV uptake'!L30*'EV %sales'!AF$58+'Belgian EV uptake'!L30*'EV %sales'!AG$58+'British EV uptake'!L30*'EV %sales'!AY$58+'Canada EV uptake'!L30*'EV %sales'!AH$58+'China EV uptake'!L30*'EV %sales'!AI$58+'Denmark EV uptake'!X39*'EV %sales'!AJ$58+'Finland EV uptake'!L30*'EV %sales'!AK$58+'France EV uptake'!L30*'EV %sales'!AL$58+'Germany EV uptake'!L30*'EV %sales'!AM$58+'India EV uptake'!L30*'EV %sales'!AN$58+'Ireland EV uptake'!L30*'EV %sales'!AO$58+'Italy EV uptake'!L30*'EV %sales'!AP$58+'Japan EV uptake'!L30*'EV %sales'!AQ$58+'Korea EV uptake'!L30*'EV %sales'!AR$58+'Netherlands logist Take-up'!O108*'EV %sales'!AS$58+'New Zealand EV uptake'!L30*'EV %sales'!AT$58+'Norway EV uptake with subs'!R40*'EV %sales'!AU$58+'Spain EV uptake'!L30*'EV %sales'!AV$58+'Sweden EV uptake'!L30*'EV %sales'!AW$58+'Switzerland EV uptake'!L30*'EV %sales'!AX$58+'USA EV uptake'!L30*'EV %sales'!AZ$58+'Rest Europe EV takeup'!O30*'EV %sales'!BA$58)/'EV %sales'!BB$58</f>
        <v>52.741189369797965</v>
      </c>
      <c r="N86" s="13">
        <f>('Australia EV uptake'!D30*'EV %sales'!AE$58+'Austria EV uptake'!AB30*'EV %sales'!AF$58+'Belgian EV uptake'!AB30*'EV %sales'!AG$58+'British EV uptake'!AB30*'EV %sales'!AY$58+'Canada EV uptake'!AB30*'EV %sales'!AH$58+'China EV uptake'!AB30*'EV %sales'!AI$58+'Denmark EV uptake'!F39*'EV %sales'!AJ$58+'Finland EV uptake'!AB30*'EV %sales'!AK$58+'France EV uptake'!AB30*'EV %sales'!AL$58+'Germany EV uptake'!AB30*'EV %sales'!AM$58+'India EV uptake'!AB30*'EV %sales'!AN$58+'Ireland EV uptake'!AB30*'EV %sales'!AO$58+'Italy EV uptake'!AB30*'EV %sales'!AP$58+'Japan EV uptake'!AB30*'EV %sales'!AQ$58+'Korea EV uptake'!AB30*'EV %sales'!AR$58+'Netherlands logist Take-up'!E108*'EV %sales'!AS$58+'New Zealand EV uptake'!AB30*'EV %sales'!AT$58+'Norway EV uptake with subs'!H40*'EV %sales'!AU$58+'Spain EV uptake'!AB30*'EV %sales'!AV$58+'Sweden EV uptake'!AB30*'EV %sales'!AW$58+'Switzerland EV uptake'!AB30*'EV %sales'!AX$58+'USA EV uptake'!AB30*'EV %sales'!AZ$58+'Rest Europe EV takeup'!O30*'EV %sales'!BA$58)/'EV %sales'!BB$58</f>
        <v>52.446124890721514</v>
      </c>
      <c r="P86">
        <v>26</v>
      </c>
      <c r="Q86" s="13">
        <f t="shared" si="6"/>
        <v>1.7292306123291177</v>
      </c>
      <c r="R86" s="13"/>
      <c r="S86" s="13"/>
      <c r="T86" s="13">
        <f t="shared" si="13"/>
        <v>1.7292306123291177</v>
      </c>
      <c r="V86">
        <v>2035</v>
      </c>
      <c r="W86" s="13">
        <f>('Australia EV uptake'!U30*'EV %sales'!$AE$58+'Austria EV uptake'!S30*'EV %sales'!$AF$58+'Belgian EV uptake'!S30*'EV %sales'!$AG$58+'British EV uptake'!S30*'EV %sales'!$AY$58+'Canada EV uptake'!S30*'EV %sales'!$AH$58+'China EV uptake'!S30*'EV %sales'!$AI$58+'Denmark EV uptake'!AE39*'EV %sales'!$AJ$58+'Finland EV uptake'!S30*'EV %sales'!$AK$58+'France EV uptake'!S30*'EV %sales'!$AL$58+'Germany EV uptake'!S30*'EV %sales'!$AM$58+'India EV uptake'!S30*'EV %sales'!$AN$58+'Ireland EV uptake'!S30*'EV %sales'!$AO$58+'Italy EV uptake'!S30*'EV %sales'!$AP$58+'Japan EV uptake'!S30*'EV %sales'!$AQ$58+'Korea EV uptake'!S30*'EV %sales'!$AR$58+'Netherlands logist Take-up'!X108*'EV %sales'!$AS$58+'New Zealand EV uptake'!S30*'EV %sales'!$AT$58+'Norway EV uptake with subs'!Y37*'EV %sales'!$AU$58+'Spain EV uptake'!S30*'EV %sales'!$AV$58+'Sweden EV uptake'!S30*'EV %sales'!$AW$58+'Switzerland EV uptake'!S30*'EV %sales'!$AX$58+'USA EV uptake'!S30*'EV %sales'!$AZ$58)/('EV %sales'!$BB$58-'EV %sales'!$BA$58)</f>
        <v>51.138163145789598</v>
      </c>
      <c r="X86" s="13">
        <f>('Australia EV uptake'!V30*'EV %sales'!$AE$58+'Austria EV uptake'!T30*'EV %sales'!$AF$58+'Belgian EV uptake'!T30*'EV %sales'!$AG$58+'British EV uptake'!T30*'EV %sales'!$AY$58+'Canada EV uptake'!T30*'EV %sales'!$AH$58+'China EV uptake'!T30*'EV %sales'!$AI$58+'Denmark EV uptake'!AF39*'EV %sales'!$AJ$58+'Finland EV uptake'!T30*'EV %sales'!$AK$58+'France EV uptake'!T30*'EV %sales'!$AL$58+'Germany EV uptake'!T30*'EV %sales'!$AM$58+'India EV uptake'!T30*'EV %sales'!$AN$58+'Ireland EV uptake'!T30*'EV %sales'!$AO$58+'Italy EV uptake'!T30*'EV %sales'!$AP$58+'Japan EV uptake'!T30*'EV %sales'!$AQ$58+'Korea EV uptake'!T30*'EV %sales'!$AR$58+'Netherlands logist Take-up'!Y108*'EV %sales'!$AS$58+'New Zealand EV uptake'!T30*'EV %sales'!$AT$58+'Norway EV uptake with subs'!Z37*'EV %sales'!$AU$58+'Spain EV uptake'!T30*'EV %sales'!$AV$58+'Sweden EV uptake'!T30*'EV %sales'!$AW$58+'Switzerland EV uptake'!T30*'EV %sales'!$AX$58+'USA EV uptake'!T30*'EV %sales'!$AZ$58)/('EV %sales'!$BB$58-'EV %sales'!$BA$58)</f>
        <v>50.030031118090278</v>
      </c>
      <c r="Y86" s="13">
        <f>('Australia EV uptake'!W30*'EV %sales'!$AE$58+'Austria EV uptake'!U30*'EV %sales'!$AF$58+'Belgian EV uptake'!U30*'EV %sales'!$AG$58+'British EV uptake'!U30*'EV %sales'!$AY$58+'Canada EV uptake'!U30*'EV %sales'!$AH$58+'China EV uptake'!U30*'EV %sales'!$AI$58+'Denmark EV uptake'!AG39*'EV %sales'!$AJ$58+'Finland EV uptake'!U30*'EV %sales'!$AK$58+'France EV uptake'!U30*'EV %sales'!$AL$58+'Germany EV uptake'!U30*'EV %sales'!$AM$58+'India EV uptake'!U30*'EV %sales'!$AN$58+'Ireland EV uptake'!U30*'EV %sales'!$AO$58+'Italy EV uptake'!U30*'EV %sales'!$AP$58+'Japan EV uptake'!U30*'EV %sales'!$AQ$58+'Korea EV uptake'!U30*'EV %sales'!$AR$58+'Netherlands logist Take-up'!Z108*'EV %sales'!$AS$58+'New Zealand EV uptake'!U30*'EV %sales'!$AT$58+'Norway EV uptake with subs'!AA37*'EV %sales'!$AU$58+'Spain EV uptake'!U30*'EV %sales'!$AV$58+'Sweden EV uptake'!U30*'EV %sales'!$AW$58+'Switzerland EV uptake'!U30*'EV %sales'!$AX$58+'USA EV uptake'!U30*'EV %sales'!$AZ$58)/('EV %sales'!$BB$58-'EV %sales'!$BA$58)</f>
        <v>48.585497051330627</v>
      </c>
      <c r="AA86">
        <v>2035</v>
      </c>
      <c r="AB86" s="13">
        <f>('Australia EV uptake'!Z30*'EV %sales'!$AE$58+'Austria EV uptake'!X30*'EV %sales'!$AF$58+'Belgian EV uptake'!X30*'EV %sales'!$AG$58+'British EV uptake'!X30*'EV %sales'!$AY$58+'Canada EV uptake'!X30*'EV %sales'!$AH$58+'China EV uptake'!X30*'EV %sales'!$AI$58+'Denmark EV uptake'!AJ39*'EV %sales'!$AJ$58+'Finland EV uptake'!X30*'EV %sales'!$AK$58+'France EV uptake'!X30*'EV %sales'!$AL$58+'Germany EV uptake'!X30*'EV %sales'!$AM$58+'India EV uptake'!X30*'EV %sales'!$AN$58+'Ireland EV uptake'!X30*'EV %sales'!$AO$58+'Italy EV uptake'!X30*'EV %sales'!$AP$58+'Japan EV uptake'!X30*'EV %sales'!$AQ$58+'Korea EV uptake'!X30*'EV %sales'!$AR$58+'Netherlands logist Take-up'!AC108*'EV %sales'!$AS$58+'New Zealand EV uptake'!X30*'EV %sales'!$AT$58+'Norway EV uptake with subs'!AD37*'EV %sales'!$AU$58+'Spain EV uptake'!X30*'EV %sales'!$AV$58+'Sweden EV uptake'!X30*'EV %sales'!$AW$58+'Switzerland EV uptake'!X30*'EV %sales'!$AX$58+'USA EV uptake'!X30*'EV %sales'!$AZ$58)/('EV %sales'!$BB$58-'EV %sales'!$BA$58)</f>
        <v>35.804178706556158</v>
      </c>
      <c r="AC86" s="13">
        <f>('Australia EV uptake'!AA30*'EV %sales'!$AE$58+'Austria EV uptake'!Y30*'EV %sales'!$AF$58+'Belgian EV uptake'!Y30*'EV %sales'!$AG$58+'British EV uptake'!Y30*'EV %sales'!$AY$58+'Canada EV uptake'!Y30*'EV %sales'!$AH$58+'China EV uptake'!Y30*'EV %sales'!$AI$58+'Denmark EV uptake'!AK39*'EV %sales'!$AJ$58+'Finland EV uptake'!Y30*'EV %sales'!$AK$58+'France EV uptake'!Y30*'EV %sales'!$AL$58+'Germany EV uptake'!Y30*'EV %sales'!$AM$58+'India EV uptake'!Y30*'EV %sales'!$AN$58+'Ireland EV uptake'!Y30*'EV %sales'!$AO$58+'Italy EV uptake'!Y30*'EV %sales'!$AP$58+'Japan EV uptake'!Y30*'EV %sales'!$AQ$58+'Korea EV uptake'!Y30*'EV %sales'!$AR$58+'Netherlands logist Take-up'!AD108*'EV %sales'!$AS$58+'New Zealand EV uptake'!Y30*'EV %sales'!$AT$58+'Norway EV uptake with subs'!AE37*'EV %sales'!$AU$58+'Spain EV uptake'!Y30*'EV %sales'!$AV$58+'Sweden EV uptake'!Y30*'EV %sales'!$AW$58+'Switzerland EV uptake'!Y30*'EV %sales'!$AX$58+'USA EV uptake'!Y30*'EV %sales'!$AZ$58)/('EV %sales'!$BB$58-'EV %sales'!$BA$58)</f>
        <v>50.030031118090278</v>
      </c>
      <c r="AD86" s="13">
        <f>('Australia EV uptake'!AB30*'EV %sales'!$AE$58+'Austria EV uptake'!Z30*'EV %sales'!$AF$58+'Belgian EV uptake'!Z30*'EV %sales'!$AG$58+'British EV uptake'!Z30*'EV %sales'!$AY$58+'Canada EV uptake'!Z30*'EV %sales'!$AH$58+'China EV uptake'!Z30*'EV %sales'!$AI$58+'Denmark EV uptake'!AL39*'EV %sales'!$AJ$58+'Finland EV uptake'!Z30*'EV %sales'!$AK$58+'France EV uptake'!Z30*'EV %sales'!$AL$58+'Germany EV uptake'!Z30*'EV %sales'!$AM$58+'India EV uptake'!Z30*'EV %sales'!$AN$58+'Ireland EV uptake'!Z30*'EV %sales'!$AO$58+'Italy EV uptake'!Z30*'EV %sales'!$AP$58+'Japan EV uptake'!Z30*'EV %sales'!$AQ$58+'Korea EV uptake'!Z30*'EV %sales'!$AR$58+'Netherlands logist Take-up'!AE108*'EV %sales'!$AS$58+'New Zealand EV uptake'!Z30*'EV %sales'!$AT$58+'Norway EV uptake with subs'!AF37*'EV %sales'!$AU$58+'Spain EV uptake'!Z30*'EV %sales'!$AV$58+'Sweden EV uptake'!Z30*'EV %sales'!$AW$58+'Switzerland EV uptake'!Z30*'EV %sales'!$AX$58+'USA EV uptake'!Z30*'EV %sales'!$AZ$58)/('EV %sales'!$BB$58-'EV %sales'!$BA$58)</f>
        <v>55.314571548682338</v>
      </c>
    </row>
    <row r="87" spans="1:30">
      <c r="A87" s="3">
        <v>2036</v>
      </c>
      <c r="C87" s="13">
        <f t="shared" si="7"/>
        <v>64.791995806647634</v>
      </c>
      <c r="D87" s="13">
        <f t="shared" si="12"/>
        <v>52.03205173640773</v>
      </c>
      <c r="E87" s="13">
        <f t="shared" si="9"/>
        <v>51.886109611546019</v>
      </c>
      <c r="G87">
        <f t="shared" si="4"/>
        <v>5.7413791133625525</v>
      </c>
      <c r="H87" s="230">
        <f t="shared" si="11"/>
        <v>1.3753791133625519</v>
      </c>
      <c r="I87" s="230">
        <f>G87-SUM(J$71:J87)</f>
        <v>1.3893791133625513</v>
      </c>
      <c r="J87" s="20">
        <f>J86+(J91-J71)/20</f>
        <v>0.31200000000000011</v>
      </c>
      <c r="L87" s="13">
        <f>('Australia EV uptake'!V31*'EV %sales'!$AE$58+'Austria EV uptake'!T31*'EV %sales'!$AF$58+'Belgian EV uptake'!T31*'EV %sales'!$AG$58+'British EV uptake'!T31*'EV %sales'!$AY$58+'Canada EV uptake'!T31*'EV %sales'!$AH$58+'China EV uptake'!T31*'EV %sales'!$AI$58+'Denmark EV uptake'!AF40*'EV %sales'!$AJ$58+'Finland EV uptake'!T31*'EV %sales'!$AK$58+'France EV uptake'!T31*'EV %sales'!$AL$58+'Germany EV uptake'!T31*'EV %sales'!$AM$58+'India EV uptake'!T31*'EV %sales'!$AN$58+'Ireland EV uptake'!T31*'EV %sales'!$AO$58+'Italy EV uptake'!T31*'EV %sales'!$AP$58+'Japan EV uptake'!T31*'EV %sales'!$AQ$58+'Korea EV uptake'!T31*'EV %sales'!$AR$58+'Netherlands logist Take-up'!Y109*'EV %sales'!$AS$58+'New Zealand EV uptake'!T31*'EV %sales'!$AT$58+'Norway EV uptake with subs'!Z38*'EV %sales'!$AU$58+'Spain EV uptake'!T31*'EV %sales'!$AV$58+'Sweden EV uptake'!T31*'EV %sales'!$AW$58+'Switzerland EV uptake'!T31*'EV %sales'!$AX$58+'USA EV uptake'!T31*'EV %sales'!$AZ$58)/('EV %sales'!$BB$58-'EV %sales'!$BA$58)</f>
        <v>51.626966901800692</v>
      </c>
      <c r="M87" s="13">
        <f>('Australia EV uptake'!N31*'EV %sales'!AE$58+'Austria EV uptake'!L31*'EV %sales'!AF$58+'Belgian EV uptake'!L31*'EV %sales'!AG$58+'British EV uptake'!L31*'EV %sales'!AY$58+'Canada EV uptake'!L31*'EV %sales'!AH$58+'China EV uptake'!L31*'EV %sales'!AI$58+'Denmark EV uptake'!X40*'EV %sales'!AJ$58+'Finland EV uptake'!L31*'EV %sales'!AK$58+'France EV uptake'!L31*'EV %sales'!AL$58+'Germany EV uptake'!L31*'EV %sales'!AM$58+'India EV uptake'!L31*'EV %sales'!AN$58+'Ireland EV uptake'!L31*'EV %sales'!AO$58+'Italy EV uptake'!L31*'EV %sales'!AP$58+'Japan EV uptake'!L31*'EV %sales'!AQ$58+'Korea EV uptake'!L31*'EV %sales'!AR$58+'Netherlands logist Take-up'!O109*'EV %sales'!AS$58+'New Zealand EV uptake'!L31*'EV %sales'!AT$58+'Norway EV uptake with subs'!R41*'EV %sales'!AU$58+'Spain EV uptake'!L31*'EV %sales'!AV$58+'Sweden EV uptake'!L31*'EV %sales'!AW$58+'Switzerland EV uptake'!L31*'EV %sales'!AX$58+'USA EV uptake'!L31*'EV %sales'!AZ$58+'Rest Europe EV takeup'!O31*'EV %sales'!BA$58)/'EV %sales'!BB$58</f>
        <v>54.071010685251679</v>
      </c>
      <c r="N87" s="13">
        <f>('Australia EV uptake'!D31*'EV %sales'!AE$58+'Austria EV uptake'!AB31*'EV %sales'!AF$58+'Belgian EV uptake'!AB31*'EV %sales'!AG$58+'British EV uptake'!AB31*'EV %sales'!AY$58+'Canada EV uptake'!AB31*'EV %sales'!AH$58+'China EV uptake'!AB31*'EV %sales'!AI$58+'Denmark EV uptake'!F40*'EV %sales'!AJ$58+'Finland EV uptake'!AB31*'EV %sales'!AK$58+'France EV uptake'!AB31*'EV %sales'!AL$58+'Germany EV uptake'!AB31*'EV %sales'!AM$58+'India EV uptake'!AB31*'EV %sales'!AN$58+'Ireland EV uptake'!AB31*'EV %sales'!AO$58+'Italy EV uptake'!AB31*'EV %sales'!AP$58+'Japan EV uptake'!AB31*'EV %sales'!AQ$58+'Korea EV uptake'!AB31*'EV %sales'!AR$58+'Netherlands logist Take-up'!E109*'EV %sales'!AS$58+'New Zealand EV uptake'!AB31*'EV %sales'!AT$58+'Norway EV uptake with subs'!H41*'EV %sales'!AU$58+'Spain EV uptake'!AB31*'EV %sales'!AV$58+'Sweden EV uptake'!AB31*'EV %sales'!AW$58+'Switzerland EV uptake'!AB31*'EV %sales'!AX$58+'USA EV uptake'!AB31*'EV %sales'!AZ$58+'Rest Europe EV takeup'!O31*'EV %sales'!BA$58)/'EV %sales'!BB$58</f>
        <v>53.811419459141646</v>
      </c>
      <c r="P87">
        <v>27</v>
      </c>
      <c r="Q87" s="13">
        <f t="shared" si="6"/>
        <v>1.7292306123291177</v>
      </c>
      <c r="R87" s="13"/>
      <c r="S87" s="13"/>
      <c r="T87" s="13">
        <f t="shared" si="13"/>
        <v>1.7292306123291177</v>
      </c>
      <c r="V87">
        <v>2036</v>
      </c>
      <c r="W87" s="13">
        <f>('Australia EV uptake'!U31*'EV %sales'!$AE$58+'Austria EV uptake'!S31*'EV %sales'!$AF$58+'Belgian EV uptake'!S31*'EV %sales'!$AG$58+'British EV uptake'!S31*'EV %sales'!$AY$58+'Canada EV uptake'!S31*'EV %sales'!$AH$58+'China EV uptake'!S31*'EV %sales'!$AI$58+'Denmark EV uptake'!AE40*'EV %sales'!$AJ$58+'Finland EV uptake'!S31*'EV %sales'!$AK$58+'France EV uptake'!S31*'EV %sales'!$AL$58+'Germany EV uptake'!S31*'EV %sales'!$AM$58+'India EV uptake'!S31*'EV %sales'!$AN$58+'Ireland EV uptake'!S31*'EV %sales'!$AO$58+'Italy EV uptake'!S31*'EV %sales'!$AP$58+'Japan EV uptake'!S31*'EV %sales'!$AQ$58+'Korea EV uptake'!S31*'EV %sales'!$AR$58+'Netherlands logist Take-up'!X109*'EV %sales'!$AS$58+'New Zealand EV uptake'!S31*'EV %sales'!$AT$58+'Norway EV uptake with subs'!Y38*'EV %sales'!$AU$58+'Spain EV uptake'!S31*'EV %sales'!$AV$58+'Sweden EV uptake'!S31*'EV %sales'!$AW$58+'Switzerland EV uptake'!S31*'EV %sales'!$AX$58+'USA EV uptake'!S31*'EV %sales'!$AZ$58)/('EV %sales'!$BB$58-'EV %sales'!$BA$58)</f>
        <v>52.631132424708184</v>
      </c>
      <c r="X87" s="13">
        <f>('Australia EV uptake'!V31*'EV %sales'!$AE$58+'Austria EV uptake'!T31*'EV %sales'!$AF$58+'Belgian EV uptake'!T31*'EV %sales'!$AG$58+'British EV uptake'!T31*'EV %sales'!$AY$58+'Canada EV uptake'!T31*'EV %sales'!$AH$58+'China EV uptake'!T31*'EV %sales'!$AI$58+'Denmark EV uptake'!AF40*'EV %sales'!$AJ$58+'Finland EV uptake'!T31*'EV %sales'!$AK$58+'France EV uptake'!T31*'EV %sales'!$AL$58+'Germany EV uptake'!T31*'EV %sales'!$AM$58+'India EV uptake'!T31*'EV %sales'!$AN$58+'Ireland EV uptake'!T31*'EV %sales'!$AO$58+'Italy EV uptake'!T31*'EV %sales'!$AP$58+'Japan EV uptake'!T31*'EV %sales'!$AQ$58+'Korea EV uptake'!T31*'EV %sales'!$AR$58+'Netherlands logist Take-up'!Y109*'EV %sales'!$AS$58+'New Zealand EV uptake'!T31*'EV %sales'!$AT$58+'Norway EV uptake with subs'!Z38*'EV %sales'!$AU$58+'Spain EV uptake'!T31*'EV %sales'!$AV$58+'Sweden EV uptake'!T31*'EV %sales'!$AW$58+'Switzerland EV uptake'!T31*'EV %sales'!$AX$58+'USA EV uptake'!T31*'EV %sales'!$AZ$58)/('EV %sales'!$BB$58-'EV %sales'!$BA$58)</f>
        <v>51.626966901800692</v>
      </c>
      <c r="Y87" s="13">
        <f>('Australia EV uptake'!W31*'EV %sales'!$AE$58+'Austria EV uptake'!U31*'EV %sales'!$AF$58+'Belgian EV uptake'!U31*'EV %sales'!$AG$58+'British EV uptake'!U31*'EV %sales'!$AY$58+'Canada EV uptake'!U31*'EV %sales'!$AH$58+'China EV uptake'!U31*'EV %sales'!$AI$58+'Denmark EV uptake'!AG40*'EV %sales'!$AJ$58+'Finland EV uptake'!U31*'EV %sales'!$AK$58+'France EV uptake'!U31*'EV %sales'!$AL$58+'Germany EV uptake'!U31*'EV %sales'!$AM$58+'India EV uptake'!U31*'EV %sales'!$AN$58+'Ireland EV uptake'!U31*'EV %sales'!$AO$58+'Italy EV uptake'!U31*'EV %sales'!$AP$58+'Japan EV uptake'!U31*'EV %sales'!$AQ$58+'Korea EV uptake'!U31*'EV %sales'!$AR$58+'Netherlands logist Take-up'!Z109*'EV %sales'!$AS$58+'New Zealand EV uptake'!U31*'EV %sales'!$AT$58+'Norway EV uptake with subs'!AA38*'EV %sales'!$AU$58+'Spain EV uptake'!U31*'EV %sales'!$AV$58+'Sweden EV uptake'!U31*'EV %sales'!$AW$58+'Switzerland EV uptake'!U31*'EV %sales'!$AX$58+'USA EV uptake'!U31*'EV %sales'!$AZ$58)/('EV %sales'!$BB$58-'EV %sales'!$BA$58)</f>
        <v>50.352440722890769</v>
      </c>
      <c r="AA87">
        <v>2036</v>
      </c>
      <c r="AB87" s="13">
        <f>('Australia EV uptake'!Z31*'EV %sales'!$AE$58+'Austria EV uptake'!X31*'EV %sales'!$AF$58+'Belgian EV uptake'!X31*'EV %sales'!$AG$58+'British EV uptake'!X31*'EV %sales'!$AY$58+'Canada EV uptake'!X31*'EV %sales'!$AH$58+'China EV uptake'!X31*'EV %sales'!$AI$58+'Denmark EV uptake'!AJ40*'EV %sales'!$AJ$58+'Finland EV uptake'!X31*'EV %sales'!$AK$58+'France EV uptake'!X31*'EV %sales'!$AL$58+'Germany EV uptake'!X31*'EV %sales'!$AM$58+'India EV uptake'!X31*'EV %sales'!$AN$58+'Ireland EV uptake'!X31*'EV %sales'!$AO$58+'Italy EV uptake'!X31*'EV %sales'!$AP$58+'Japan EV uptake'!X31*'EV %sales'!$AQ$58+'Korea EV uptake'!X31*'EV %sales'!$AR$58+'Netherlands logist Take-up'!AC109*'EV %sales'!$AS$58+'New Zealand EV uptake'!X31*'EV %sales'!$AT$58+'Norway EV uptake with subs'!AD38*'EV %sales'!$AU$58+'Spain EV uptake'!X31*'EV %sales'!$AV$58+'Sweden EV uptake'!X31*'EV %sales'!$AW$58+'Switzerland EV uptake'!X31*'EV %sales'!$AX$58+'USA EV uptake'!X31*'EV %sales'!$AZ$58)/('EV %sales'!$BB$58-'EV %sales'!$BA$58)</f>
        <v>38.812012641064939</v>
      </c>
      <c r="AC87" s="13">
        <f>('Australia EV uptake'!AA31*'EV %sales'!$AE$58+'Austria EV uptake'!Y31*'EV %sales'!$AF$58+'Belgian EV uptake'!Y31*'EV %sales'!$AG$58+'British EV uptake'!Y31*'EV %sales'!$AY$58+'Canada EV uptake'!Y31*'EV %sales'!$AH$58+'China EV uptake'!Y31*'EV %sales'!$AI$58+'Denmark EV uptake'!AK40*'EV %sales'!$AJ$58+'Finland EV uptake'!Y31*'EV %sales'!$AK$58+'France EV uptake'!Y31*'EV %sales'!$AL$58+'Germany EV uptake'!Y31*'EV %sales'!$AM$58+'India EV uptake'!Y31*'EV %sales'!$AN$58+'Ireland EV uptake'!Y31*'EV %sales'!$AO$58+'Italy EV uptake'!Y31*'EV %sales'!$AP$58+'Japan EV uptake'!Y31*'EV %sales'!$AQ$58+'Korea EV uptake'!Y31*'EV %sales'!$AR$58+'Netherlands logist Take-up'!AD109*'EV %sales'!$AS$58+'New Zealand EV uptake'!Y31*'EV %sales'!$AT$58+'Norway EV uptake with subs'!AE38*'EV %sales'!$AU$58+'Spain EV uptake'!Y31*'EV %sales'!$AV$58+'Sweden EV uptake'!Y31*'EV %sales'!$AW$58+'Switzerland EV uptake'!Y31*'EV %sales'!$AX$58+'USA EV uptake'!Y31*'EV %sales'!$AZ$58)/('EV %sales'!$BB$58-'EV %sales'!$BA$58)</f>
        <v>51.626966901800692</v>
      </c>
      <c r="AD87" s="13">
        <f>('Australia EV uptake'!AB31*'EV %sales'!$AE$58+'Austria EV uptake'!Z31*'EV %sales'!$AF$58+'Belgian EV uptake'!Z31*'EV %sales'!$AG$58+'British EV uptake'!Z31*'EV %sales'!$AY$58+'Canada EV uptake'!Z31*'EV %sales'!$AH$58+'China EV uptake'!Z31*'EV %sales'!$AI$58+'Denmark EV uptake'!AL40*'EV %sales'!$AJ$58+'Finland EV uptake'!Z31*'EV %sales'!$AK$58+'France EV uptake'!Z31*'EV %sales'!$AL$58+'Germany EV uptake'!Z31*'EV %sales'!$AM$58+'India EV uptake'!Z31*'EV %sales'!$AN$58+'Ireland EV uptake'!Z31*'EV %sales'!$AO$58+'Italy EV uptake'!Z31*'EV %sales'!$AP$58+'Japan EV uptake'!Z31*'EV %sales'!$AQ$58+'Korea EV uptake'!Z31*'EV %sales'!$AR$58+'Netherlands logist Take-up'!AE109*'EV %sales'!$AS$58+'New Zealand EV uptake'!Z31*'EV %sales'!$AT$58+'Norway EV uptake with subs'!AF38*'EV %sales'!$AU$58+'Spain EV uptake'!Z31*'EV %sales'!$AV$58+'Sweden EV uptake'!Z31*'EV %sales'!$AW$58+'Switzerland EV uptake'!Z31*'EV %sales'!$AX$58+'USA EV uptake'!Z31*'EV %sales'!$AZ$58)/('EV %sales'!$BB$58-'EV %sales'!$BA$58)</f>
        <v>56.448359738142059</v>
      </c>
    </row>
    <row r="88" spans="1:30">
      <c r="A88" s="3">
        <v>2037</v>
      </c>
      <c r="C88" s="13">
        <f t="shared" si="7"/>
        <v>64.871156437864585</v>
      </c>
      <c r="D88" s="13">
        <f t="shared" si="12"/>
        <v>53.624643284400868</v>
      </c>
      <c r="E88" s="13">
        <f t="shared" si="9"/>
        <v>53.492660432192032</v>
      </c>
      <c r="G88">
        <f t="shared" si="4"/>
        <v>6.2215594012284905</v>
      </c>
      <c r="H88" s="230">
        <f t="shared" si="11"/>
        <v>1.5365594012284893</v>
      </c>
      <c r="I88" s="230">
        <f>G88-SUM(J$71:J88)</f>
        <v>1.5505594012284893</v>
      </c>
      <c r="J88" s="20">
        <f>J87+(J91-J71)/20</f>
        <v>0.31900000000000012</v>
      </c>
      <c r="L88" s="13">
        <f>('Australia EV uptake'!V32*'EV %sales'!$AE$58+'Austria EV uptake'!T32*'EV %sales'!$AF$58+'Belgian EV uptake'!T32*'EV %sales'!$AG$58+'British EV uptake'!T32*'EV %sales'!$AY$58+'Canada EV uptake'!T32*'EV %sales'!$AH$58+'China EV uptake'!T32*'EV %sales'!$AI$58+'Denmark EV uptake'!AF41*'EV %sales'!$AJ$58+'Finland EV uptake'!T32*'EV %sales'!$AK$58+'France EV uptake'!T32*'EV %sales'!$AL$58+'Germany EV uptake'!T32*'EV %sales'!$AM$58+'India EV uptake'!T32*'EV %sales'!$AN$58+'Ireland EV uptake'!T32*'EV %sales'!$AO$58+'Italy EV uptake'!T32*'EV %sales'!$AP$58+'Japan EV uptake'!T32*'EV %sales'!$AQ$58+'Korea EV uptake'!T32*'EV %sales'!$AR$58+'Netherlands logist Take-up'!Y110*'EV %sales'!$AS$58+'New Zealand EV uptake'!T32*'EV %sales'!$AT$58+'Norway EV uptake with subs'!Z39*'EV %sales'!$AU$58+'Spain EV uptake'!T32*'EV %sales'!$AV$58+'Sweden EV uptake'!T32*'EV %sales'!$AW$58+'Switzerland EV uptake'!T32*'EV %sales'!$AX$58+'USA EV uptake'!T32*'EV %sales'!$AZ$58)/('EV %sales'!$BB$58-'EV %sales'!$BA$58)</f>
        <v>53.111359597129614</v>
      </c>
      <c r="M88" s="13">
        <f>('Australia EV uptake'!N32*'EV %sales'!AE$58+'Austria EV uptake'!L32*'EV %sales'!AF$58+'Belgian EV uptake'!L32*'EV %sales'!AG$58+'British EV uptake'!L32*'EV %sales'!AY$58+'Canada EV uptake'!L32*'EV %sales'!AH$58+'China EV uptake'!L32*'EV %sales'!AI$58+'Denmark EV uptake'!X41*'EV %sales'!AJ$58+'Finland EV uptake'!L32*'EV %sales'!AK$58+'France EV uptake'!L32*'EV %sales'!AL$58+'Germany EV uptake'!L32*'EV %sales'!AM$58+'India EV uptake'!L32*'EV %sales'!AN$58+'Ireland EV uptake'!L32*'EV %sales'!AO$58+'Italy EV uptake'!L32*'EV %sales'!AP$58+'Japan EV uptake'!L32*'EV %sales'!AQ$58+'Korea EV uptake'!L32*'EV %sales'!AR$58+'Netherlands logist Take-up'!O110*'EV %sales'!AS$58+'New Zealand EV uptake'!L32*'EV %sales'!AT$58+'Norway EV uptake with subs'!R42*'EV %sales'!AU$58+'Spain EV uptake'!L32*'EV %sales'!AV$58+'Sweden EV uptake'!L32*'EV %sales'!AW$58+'Switzerland EV uptake'!L32*'EV %sales'!AX$58+'USA EV uptake'!L32*'EV %sales'!AZ$58+'Rest Europe EV takeup'!O32*'EV %sales'!BA$58)/'EV %sales'!BB$58</f>
        <v>55.299116450279939</v>
      </c>
      <c r="N88" s="13">
        <f>('Australia EV uptake'!D32*'EV %sales'!AE$58+'Austria EV uptake'!AB32*'EV %sales'!AF$58+'Belgian EV uptake'!AB32*'EV %sales'!AG$58+'British EV uptake'!AB32*'EV %sales'!AY$58+'Canada EV uptake'!AB32*'EV %sales'!AH$58+'China EV uptake'!AB32*'EV %sales'!AI$58+'Denmark EV uptake'!F41*'EV %sales'!AJ$58+'Finland EV uptake'!AB32*'EV %sales'!AK$58+'France EV uptake'!AB32*'EV %sales'!AL$58+'Germany EV uptake'!AB32*'EV %sales'!AM$58+'India EV uptake'!AB32*'EV %sales'!AN$58+'Ireland EV uptake'!AB32*'EV %sales'!AO$58+'Italy EV uptake'!AB32*'EV %sales'!AP$58+'Japan EV uptake'!AB32*'EV %sales'!AQ$58+'Korea EV uptake'!AB32*'EV %sales'!AR$58+'Netherlands logist Take-up'!E110*'EV %sales'!AS$58+'New Zealand EV uptake'!AB32*'EV %sales'!AT$58+'Norway EV uptake with subs'!H42*'EV %sales'!AU$58+'Spain EV uptake'!AB32*'EV %sales'!AV$58+'Sweden EV uptake'!AB32*'EV %sales'!AW$58+'Switzerland EV uptake'!AB32*'EV %sales'!AX$58+'USA EV uptake'!AB32*'EV %sales'!AZ$58+'Rest Europe EV takeup'!O32*'EV %sales'!BA$58)/'EV %sales'!BB$58</f>
        <v>55.044521212924373</v>
      </c>
      <c r="P88">
        <v>28</v>
      </c>
      <c r="Q88" s="13">
        <f t="shared" si="6"/>
        <v>1.7292306123291177</v>
      </c>
      <c r="R88" s="13"/>
      <c r="S88" s="13"/>
      <c r="T88" s="13">
        <f t="shared" si="13"/>
        <v>1.7292306123291177</v>
      </c>
      <c r="V88">
        <v>2037</v>
      </c>
      <c r="W88" s="13">
        <f>('Australia EV uptake'!U32*'EV %sales'!$AE$58+'Austria EV uptake'!S32*'EV %sales'!$AF$58+'Belgian EV uptake'!S32*'EV %sales'!$AG$58+'British EV uptake'!S32*'EV %sales'!$AY$58+'Canada EV uptake'!S32*'EV %sales'!$AH$58+'China EV uptake'!S32*'EV %sales'!$AI$58+'Denmark EV uptake'!AE41*'EV %sales'!$AJ$58+'Finland EV uptake'!S32*'EV %sales'!$AK$58+'France EV uptake'!S32*'EV %sales'!$AL$58+'Germany EV uptake'!S32*'EV %sales'!$AM$58+'India EV uptake'!S32*'EV %sales'!$AN$58+'Ireland EV uptake'!S32*'EV %sales'!$AO$58+'Italy EV uptake'!S32*'EV %sales'!$AP$58+'Japan EV uptake'!S32*'EV %sales'!$AQ$58+'Korea EV uptake'!S32*'EV %sales'!$AR$58+'Netherlands logist Take-up'!X110*'EV %sales'!$AS$58+'New Zealand EV uptake'!S32*'EV %sales'!$AT$58+'Norway EV uptake with subs'!Y39*'EV %sales'!$AU$58+'Spain EV uptake'!S32*'EV %sales'!$AV$58+'Sweden EV uptake'!S32*'EV %sales'!$AW$58+'Switzerland EV uptake'!S32*'EV %sales'!$AX$58+'USA EV uptake'!S32*'EV %sales'!$AZ$58)/('EV %sales'!$BB$58-'EV %sales'!$BA$58)</f>
        <v>54.011966933482285</v>
      </c>
      <c r="X88" s="13">
        <f>('Australia EV uptake'!V32*'EV %sales'!$AE$58+'Austria EV uptake'!T32*'EV %sales'!$AF$58+'Belgian EV uptake'!T32*'EV %sales'!$AG$58+'British EV uptake'!T32*'EV %sales'!$AY$58+'Canada EV uptake'!T32*'EV %sales'!$AH$58+'China EV uptake'!T32*'EV %sales'!$AI$58+'Denmark EV uptake'!AF41*'EV %sales'!$AJ$58+'Finland EV uptake'!T32*'EV %sales'!$AK$58+'France EV uptake'!T32*'EV %sales'!$AL$58+'Germany EV uptake'!T32*'EV %sales'!$AM$58+'India EV uptake'!T32*'EV %sales'!$AN$58+'Ireland EV uptake'!T32*'EV %sales'!$AO$58+'Italy EV uptake'!T32*'EV %sales'!$AP$58+'Japan EV uptake'!T32*'EV %sales'!$AQ$58+'Korea EV uptake'!T32*'EV %sales'!$AR$58+'Netherlands logist Take-up'!Y110*'EV %sales'!$AS$58+'New Zealand EV uptake'!T32*'EV %sales'!$AT$58+'Norway EV uptake with subs'!Z39*'EV %sales'!$AU$58+'Spain EV uptake'!T32*'EV %sales'!$AV$58+'Sweden EV uptake'!T32*'EV %sales'!$AW$58+'Switzerland EV uptake'!T32*'EV %sales'!$AX$58+'USA EV uptake'!T32*'EV %sales'!$AZ$58)/('EV %sales'!$BB$58-'EV %sales'!$BA$58)</f>
        <v>53.111359597129614</v>
      </c>
      <c r="Y88" s="13">
        <f>('Australia EV uptake'!W32*'EV %sales'!$AE$58+'Austria EV uptake'!U32*'EV %sales'!$AF$58+'Belgian EV uptake'!U32*'EV %sales'!$AG$58+'British EV uptake'!U32*'EV %sales'!$AY$58+'Canada EV uptake'!U32*'EV %sales'!$AH$58+'China EV uptake'!U32*'EV %sales'!$AI$58+'Denmark EV uptake'!AG41*'EV %sales'!$AJ$58+'Finland EV uptake'!U32*'EV %sales'!$AK$58+'France EV uptake'!U32*'EV %sales'!$AL$58+'Germany EV uptake'!U32*'EV %sales'!$AM$58+'India EV uptake'!U32*'EV %sales'!$AN$58+'Ireland EV uptake'!U32*'EV %sales'!$AO$58+'Italy EV uptake'!U32*'EV %sales'!$AP$58+'Japan EV uptake'!U32*'EV %sales'!$AQ$58+'Korea EV uptake'!U32*'EV %sales'!$AR$58+'Netherlands logist Take-up'!Z110*'EV %sales'!$AS$58+'New Zealand EV uptake'!U32*'EV %sales'!$AT$58+'Norway EV uptake with subs'!AA39*'EV %sales'!$AU$58+'Spain EV uptake'!U32*'EV %sales'!$AV$58+'Sweden EV uptake'!U32*'EV %sales'!$AW$58+'Switzerland EV uptake'!U32*'EV %sales'!$AX$58+'USA EV uptake'!U32*'EV %sales'!$AZ$58)/('EV %sales'!$BB$58-'EV %sales'!$BA$58)</f>
        <v>51.986526399780423</v>
      </c>
      <c r="AA88">
        <v>2037</v>
      </c>
      <c r="AB88" s="13">
        <f>('Australia EV uptake'!Z32*'EV %sales'!$AE$58+'Austria EV uptake'!X32*'EV %sales'!$AF$58+'Belgian EV uptake'!X32*'EV %sales'!$AG$58+'British EV uptake'!X32*'EV %sales'!$AY$58+'Canada EV uptake'!X32*'EV %sales'!$AH$58+'China EV uptake'!X32*'EV %sales'!$AI$58+'Denmark EV uptake'!AJ41*'EV %sales'!$AJ$58+'Finland EV uptake'!X32*'EV %sales'!$AK$58+'France EV uptake'!X32*'EV %sales'!$AL$58+'Germany EV uptake'!X32*'EV %sales'!$AM$58+'India EV uptake'!X32*'EV %sales'!$AN$58+'Ireland EV uptake'!X32*'EV %sales'!$AO$58+'Italy EV uptake'!X32*'EV %sales'!$AP$58+'Japan EV uptake'!X32*'EV %sales'!$AQ$58+'Korea EV uptake'!X32*'EV %sales'!$AR$58+'Netherlands logist Take-up'!AC110*'EV %sales'!$AS$58+'New Zealand EV uptake'!X32*'EV %sales'!$AT$58+'Norway EV uptake with subs'!AD39*'EV %sales'!$AU$58+'Spain EV uptake'!X32*'EV %sales'!$AV$58+'Sweden EV uptake'!X32*'EV %sales'!$AW$58+'Switzerland EV uptake'!X32*'EV %sales'!$AX$58+'USA EV uptake'!X32*'EV %sales'!$AZ$58)/('EV %sales'!$BB$58-'EV %sales'!$BA$58)</f>
        <v>41.636021412635564</v>
      </c>
      <c r="AC88" s="13">
        <f>('Australia EV uptake'!AA32*'EV %sales'!$AE$58+'Austria EV uptake'!Y32*'EV %sales'!$AF$58+'Belgian EV uptake'!Y32*'EV %sales'!$AG$58+'British EV uptake'!Y32*'EV %sales'!$AY$58+'Canada EV uptake'!Y32*'EV %sales'!$AH$58+'China EV uptake'!Y32*'EV %sales'!$AI$58+'Denmark EV uptake'!AK41*'EV %sales'!$AJ$58+'Finland EV uptake'!Y32*'EV %sales'!$AK$58+'France EV uptake'!Y32*'EV %sales'!$AL$58+'Germany EV uptake'!Y32*'EV %sales'!$AM$58+'India EV uptake'!Y32*'EV %sales'!$AN$58+'Ireland EV uptake'!Y32*'EV %sales'!$AO$58+'Italy EV uptake'!Y32*'EV %sales'!$AP$58+'Japan EV uptake'!Y32*'EV %sales'!$AQ$58+'Korea EV uptake'!Y32*'EV %sales'!$AR$58+'Netherlands logist Take-up'!AD110*'EV %sales'!$AS$58+'New Zealand EV uptake'!Y32*'EV %sales'!$AT$58+'Norway EV uptake with subs'!AE39*'EV %sales'!$AU$58+'Spain EV uptake'!Y32*'EV %sales'!$AV$58+'Sweden EV uptake'!Y32*'EV %sales'!$AW$58+'Switzerland EV uptake'!Y32*'EV %sales'!$AX$58+'USA EV uptake'!Y32*'EV %sales'!$AZ$58)/('EV %sales'!$BB$58-'EV %sales'!$BA$58)</f>
        <v>53.111359597129614</v>
      </c>
      <c r="AD88" s="13">
        <f>('Australia EV uptake'!AB32*'EV %sales'!$AE$58+'Austria EV uptake'!Z32*'EV %sales'!$AF$58+'Belgian EV uptake'!Z32*'EV %sales'!$AG$58+'British EV uptake'!Z32*'EV %sales'!$AY$58+'Canada EV uptake'!Z32*'EV %sales'!$AH$58+'China EV uptake'!Z32*'EV %sales'!$AI$58+'Denmark EV uptake'!AL41*'EV %sales'!$AJ$58+'Finland EV uptake'!Z32*'EV %sales'!$AK$58+'France EV uptake'!Z32*'EV %sales'!$AL$58+'Germany EV uptake'!Z32*'EV %sales'!$AM$58+'India EV uptake'!Z32*'EV %sales'!$AN$58+'Ireland EV uptake'!Z32*'EV %sales'!$AO$58+'Italy EV uptake'!Z32*'EV %sales'!$AP$58+'Japan EV uptake'!Z32*'EV %sales'!$AQ$58+'Korea EV uptake'!Z32*'EV %sales'!$AR$58+'Netherlands logist Take-up'!AE110*'EV %sales'!$AS$58+'New Zealand EV uptake'!Z32*'EV %sales'!$AT$58+'Norway EV uptake with subs'!AF39*'EV %sales'!$AU$58+'Spain EV uptake'!Z32*'EV %sales'!$AV$58+'Sweden EV uptake'!Z32*'EV %sales'!$AW$58+'Switzerland EV uptake'!Z32*'EV %sales'!$AX$58+'USA EV uptake'!Z32*'EV %sales'!$AZ$58)/('EV %sales'!$BB$58-'EV %sales'!$BA$58)</f>
        <v>57.482065241886374</v>
      </c>
    </row>
    <row r="89" spans="1:30">
      <c r="A89" s="3">
        <v>2038</v>
      </c>
      <c r="C89" s="13">
        <f t="shared" si="7"/>
        <v>64.920227818434341</v>
      </c>
      <c r="D89" s="13">
        <f t="shared" si="12"/>
        <v>54.999928896267036</v>
      </c>
      <c r="E89" s="13">
        <f t="shared" si="9"/>
        <v>54.889432580637518</v>
      </c>
      <c r="G89">
        <f t="shared" si="4"/>
        <v>6.7017396890944285</v>
      </c>
      <c r="H89" s="230">
        <f t="shared" si="11"/>
        <v>1.6917396890944265</v>
      </c>
      <c r="I89" s="230">
        <f>G89-SUM(J$71:J89)</f>
        <v>1.7047396890944269</v>
      </c>
      <c r="J89" s="20">
        <f>J88+(J91-J71)/20</f>
        <v>0.32600000000000012</v>
      </c>
      <c r="L89" s="13">
        <f>('Australia EV uptake'!V33*'EV %sales'!$AE$58+'Austria EV uptake'!T33*'EV %sales'!$AF$58+'Belgian EV uptake'!T33*'EV %sales'!$AG$58+'British EV uptake'!T33*'EV %sales'!$AY$58+'Canada EV uptake'!T33*'EV %sales'!$AH$58+'China EV uptake'!T33*'EV %sales'!$AI$58+'Denmark EV uptake'!AF42*'EV %sales'!$AJ$58+'Finland EV uptake'!T33*'EV %sales'!$AK$58+'France EV uptake'!T33*'EV %sales'!$AL$58+'Germany EV uptake'!T33*'EV %sales'!$AM$58+'India EV uptake'!T33*'EV %sales'!$AN$58+'Ireland EV uptake'!T33*'EV %sales'!$AO$58+'Italy EV uptake'!T33*'EV %sales'!$AP$58+'Japan EV uptake'!T33*'EV %sales'!$AQ$58+'Korea EV uptake'!T33*'EV %sales'!$AR$58+'Netherlands logist Take-up'!Y111*'EV %sales'!$AS$58+'New Zealand EV uptake'!T33*'EV %sales'!$AT$58+'Norway EV uptake with subs'!Z40*'EV %sales'!$AU$58+'Spain EV uptake'!T33*'EV %sales'!$AV$58+'Sweden EV uptake'!T33*'EV %sales'!$AW$58+'Switzerland EV uptake'!T33*'EV %sales'!$AX$58+'USA EV uptake'!T33*'EV %sales'!$AZ$58)/('EV %sales'!$BB$58-'EV %sales'!$BA$58)</f>
        <v>54.481023722481837</v>
      </c>
      <c r="M89" s="13">
        <f>('Australia EV uptake'!N33*'EV %sales'!AE$58+'Austria EV uptake'!L33*'EV %sales'!AF$58+'Belgian EV uptake'!L33*'EV %sales'!AG$58+'British EV uptake'!L33*'EV %sales'!AY$58+'Canada EV uptake'!L33*'EV %sales'!AH$58+'China EV uptake'!L33*'EV %sales'!AI$58+'Denmark EV uptake'!X42*'EV %sales'!AJ$58+'Finland EV uptake'!L33*'EV %sales'!AK$58+'France EV uptake'!L33*'EV %sales'!AL$58+'Germany EV uptake'!L33*'EV %sales'!AM$58+'India EV uptake'!L33*'EV %sales'!AN$58+'Ireland EV uptake'!L33*'EV %sales'!AO$58+'Italy EV uptake'!L33*'EV %sales'!AP$58+'Japan EV uptake'!L33*'EV %sales'!AQ$58+'Korea EV uptake'!L33*'EV %sales'!AR$58+'Netherlands logist Take-up'!O111*'EV %sales'!AS$58+'New Zealand EV uptake'!L33*'EV %sales'!AT$58+'Norway EV uptake with subs'!R43*'EV %sales'!AU$58+'Spain EV uptake'!L33*'EV %sales'!AV$58+'Sweden EV uptake'!L33*'EV %sales'!AW$58+'Switzerland EV uptake'!L33*'EV %sales'!AX$58+'USA EV uptake'!L33*'EV %sales'!AZ$58+'Rest Europe EV takeup'!O33*'EV %sales'!BA$58)/'EV %sales'!BB$58</f>
        <v>56.428380292557392</v>
      </c>
      <c r="N89" s="13">
        <f>('Australia EV uptake'!D33*'EV %sales'!AE$58+'Austria EV uptake'!AB33*'EV %sales'!AF$58+'Belgian EV uptake'!AB33*'EV %sales'!AG$58+'British EV uptake'!AB33*'EV %sales'!AY$58+'Canada EV uptake'!AB33*'EV %sales'!AH$58+'China EV uptake'!AB33*'EV %sales'!AI$58+'Denmark EV uptake'!F42*'EV %sales'!AJ$58+'Finland EV uptake'!AB33*'EV %sales'!AK$58+'France EV uptake'!AB33*'EV %sales'!AL$58+'Germany EV uptake'!AB33*'EV %sales'!AM$58+'India EV uptake'!AB33*'EV %sales'!AN$58+'Ireland EV uptake'!AB33*'EV %sales'!AO$58+'Italy EV uptake'!AB33*'EV %sales'!AP$58+'Japan EV uptake'!AB33*'EV %sales'!AQ$58+'Korea EV uptake'!AB33*'EV %sales'!AR$58+'Netherlands logist Take-up'!E111*'EV %sales'!AS$58+'New Zealand EV uptake'!AB33*'EV %sales'!AT$58+'Norway EV uptake with subs'!H43*'EV %sales'!AU$58+'Spain EV uptake'!AB33*'EV %sales'!AV$58+'Sweden EV uptake'!AB33*'EV %sales'!AW$58+'Switzerland EV uptake'!AB33*'EV %sales'!AX$58+'USA EV uptake'!AB33*'EV %sales'!AZ$58+'Rest Europe EV takeup'!O33*'EV %sales'!BA$58)/'EV %sales'!BB$58</f>
        <v>56.157785784357571</v>
      </c>
      <c r="P89">
        <v>29</v>
      </c>
      <c r="Q89" s="13">
        <f t="shared" si="6"/>
        <v>1.7292306123291177</v>
      </c>
      <c r="R89" s="13"/>
      <c r="S89" s="13"/>
      <c r="T89" s="13">
        <f t="shared" si="13"/>
        <v>1.7292306123291177</v>
      </c>
      <c r="V89">
        <v>2038</v>
      </c>
      <c r="W89" s="13">
        <f>('Australia EV uptake'!U33*'EV %sales'!$AE$58+'Austria EV uptake'!S33*'EV %sales'!$AF$58+'Belgian EV uptake'!S33*'EV %sales'!$AG$58+'British EV uptake'!S33*'EV %sales'!$AY$58+'Canada EV uptake'!S33*'EV %sales'!$AH$58+'China EV uptake'!S33*'EV %sales'!$AI$58+'Denmark EV uptake'!AE42*'EV %sales'!$AJ$58+'Finland EV uptake'!S33*'EV %sales'!$AK$58+'France EV uptake'!S33*'EV %sales'!$AL$58+'Germany EV uptake'!S33*'EV %sales'!$AM$58+'India EV uptake'!S33*'EV %sales'!$AN$58+'Ireland EV uptake'!S33*'EV %sales'!$AO$58+'Italy EV uptake'!S33*'EV %sales'!$AP$58+'Japan EV uptake'!S33*'EV %sales'!$AQ$58+'Korea EV uptake'!S33*'EV %sales'!$AR$58+'Netherlands logist Take-up'!X111*'EV %sales'!$AS$58+'New Zealand EV uptake'!S33*'EV %sales'!$AT$58+'Norway EV uptake with subs'!Y40*'EV %sales'!$AU$58+'Spain EV uptake'!S33*'EV %sales'!$AV$58+'Sweden EV uptake'!S33*'EV %sales'!$AW$58+'Switzerland EV uptake'!S33*'EV %sales'!$AX$58+'USA EV uptake'!S33*'EV %sales'!$AZ$58)/('EV %sales'!$BB$58-'EV %sales'!$BA$58)</f>
        <v>55.281900970406767</v>
      </c>
      <c r="X89" s="13">
        <f>('Australia EV uptake'!V33*'EV %sales'!$AE$58+'Austria EV uptake'!T33*'EV %sales'!$AF$58+'Belgian EV uptake'!T33*'EV %sales'!$AG$58+'British EV uptake'!T33*'EV %sales'!$AY$58+'Canada EV uptake'!T33*'EV %sales'!$AH$58+'China EV uptake'!T33*'EV %sales'!$AI$58+'Denmark EV uptake'!AF42*'EV %sales'!$AJ$58+'Finland EV uptake'!T33*'EV %sales'!$AK$58+'France EV uptake'!T33*'EV %sales'!$AL$58+'Germany EV uptake'!T33*'EV %sales'!$AM$58+'India EV uptake'!T33*'EV %sales'!$AN$58+'Ireland EV uptake'!T33*'EV %sales'!$AO$58+'Italy EV uptake'!T33*'EV %sales'!$AP$58+'Japan EV uptake'!T33*'EV %sales'!$AQ$58+'Korea EV uptake'!T33*'EV %sales'!$AR$58+'Netherlands logist Take-up'!Y111*'EV %sales'!$AS$58+'New Zealand EV uptake'!T33*'EV %sales'!$AT$58+'Norway EV uptake with subs'!Z40*'EV %sales'!$AU$58+'Spain EV uptake'!T33*'EV %sales'!$AV$58+'Sweden EV uptake'!T33*'EV %sales'!$AW$58+'Switzerland EV uptake'!T33*'EV %sales'!$AX$58+'USA EV uptake'!T33*'EV %sales'!$AZ$58)/('EV %sales'!$BB$58-'EV %sales'!$BA$58)</f>
        <v>54.481023722481837</v>
      </c>
      <c r="Y89" s="13">
        <f>('Australia EV uptake'!W33*'EV %sales'!$AE$58+'Austria EV uptake'!U33*'EV %sales'!$AF$58+'Belgian EV uptake'!U33*'EV %sales'!$AG$58+'British EV uptake'!U33*'EV %sales'!$AY$58+'Canada EV uptake'!U33*'EV %sales'!$AH$58+'China EV uptake'!U33*'EV %sales'!$AI$58+'Denmark EV uptake'!AG42*'EV %sales'!$AJ$58+'Finland EV uptake'!U33*'EV %sales'!$AK$58+'France EV uptake'!U33*'EV %sales'!$AL$58+'Germany EV uptake'!U33*'EV %sales'!$AM$58+'India EV uptake'!U33*'EV %sales'!$AN$58+'Ireland EV uptake'!U33*'EV %sales'!$AO$58+'Italy EV uptake'!U33*'EV %sales'!$AP$58+'Japan EV uptake'!U33*'EV %sales'!$AQ$58+'Korea EV uptake'!U33*'EV %sales'!$AR$58+'Netherlands logist Take-up'!Z111*'EV %sales'!$AS$58+'New Zealand EV uptake'!U33*'EV %sales'!$AT$58+'Norway EV uptake with subs'!AA40*'EV %sales'!$AU$58+'Spain EV uptake'!U33*'EV %sales'!$AV$58+'Sweden EV uptake'!U33*'EV %sales'!$AW$58+'Switzerland EV uptake'!U33*'EV %sales'!$AX$58+'USA EV uptake'!U33*'EV %sales'!$AZ$58)/('EV %sales'!$BB$58-'EV %sales'!$BA$58)</f>
        <v>53.494342962332766</v>
      </c>
      <c r="AA89">
        <v>2038</v>
      </c>
      <c r="AB89" s="13">
        <f>('Australia EV uptake'!Z33*'EV %sales'!$AE$58+'Austria EV uptake'!X33*'EV %sales'!$AF$58+'Belgian EV uptake'!X33*'EV %sales'!$AG$58+'British EV uptake'!X33*'EV %sales'!$AY$58+'Canada EV uptake'!X33*'EV %sales'!$AH$58+'China EV uptake'!X33*'EV %sales'!$AI$58+'Denmark EV uptake'!AJ42*'EV %sales'!$AJ$58+'Finland EV uptake'!X33*'EV %sales'!$AK$58+'France EV uptake'!X33*'EV %sales'!$AL$58+'Germany EV uptake'!X33*'EV %sales'!$AM$58+'India EV uptake'!X33*'EV %sales'!$AN$58+'Ireland EV uptake'!X33*'EV %sales'!$AO$58+'Italy EV uptake'!X33*'EV %sales'!$AP$58+'Japan EV uptake'!X33*'EV %sales'!$AQ$58+'Korea EV uptake'!X33*'EV %sales'!$AR$58+'Netherlands logist Take-up'!AC111*'EV %sales'!$AS$58+'New Zealand EV uptake'!X33*'EV %sales'!$AT$58+'Norway EV uptake with subs'!AD40*'EV %sales'!$AU$58+'Spain EV uptake'!X33*'EV %sales'!$AV$58+'Sweden EV uptake'!X33*'EV %sales'!$AW$58+'Switzerland EV uptake'!X33*'EV %sales'!$AX$58+'USA EV uptake'!X33*'EV %sales'!$AZ$58)/('EV %sales'!$BB$58-'EV %sales'!$BA$58)</f>
        <v>44.254039237658091</v>
      </c>
      <c r="AC89" s="13">
        <f>('Australia EV uptake'!AA33*'EV %sales'!$AE$58+'Austria EV uptake'!Y33*'EV %sales'!$AF$58+'Belgian EV uptake'!Y33*'EV %sales'!$AG$58+'British EV uptake'!Y33*'EV %sales'!$AY$58+'Canada EV uptake'!Y33*'EV %sales'!$AH$58+'China EV uptake'!Y33*'EV %sales'!$AI$58+'Denmark EV uptake'!AK42*'EV %sales'!$AJ$58+'Finland EV uptake'!Y33*'EV %sales'!$AK$58+'France EV uptake'!Y33*'EV %sales'!$AL$58+'Germany EV uptake'!Y33*'EV %sales'!$AM$58+'India EV uptake'!Y33*'EV %sales'!$AN$58+'Ireland EV uptake'!Y33*'EV %sales'!$AO$58+'Italy EV uptake'!Y33*'EV %sales'!$AP$58+'Japan EV uptake'!Y33*'EV %sales'!$AQ$58+'Korea EV uptake'!Y33*'EV %sales'!$AR$58+'Netherlands logist Take-up'!AD111*'EV %sales'!$AS$58+'New Zealand EV uptake'!Y33*'EV %sales'!$AT$58+'Norway EV uptake with subs'!AE40*'EV %sales'!$AU$58+'Spain EV uptake'!Y33*'EV %sales'!$AV$58+'Sweden EV uptake'!Y33*'EV %sales'!$AW$58+'Switzerland EV uptake'!Y33*'EV %sales'!$AX$58+'USA EV uptake'!Y33*'EV %sales'!$AZ$58)/('EV %sales'!$BB$58-'EV %sales'!$BA$58)</f>
        <v>54.481023722481837</v>
      </c>
      <c r="AD89" s="13">
        <f>('Australia EV uptake'!AB33*'EV %sales'!$AE$58+'Austria EV uptake'!Z33*'EV %sales'!$AF$58+'Belgian EV uptake'!Z33*'EV %sales'!$AG$58+'British EV uptake'!Z33*'EV %sales'!$AY$58+'Canada EV uptake'!Z33*'EV %sales'!$AH$58+'China EV uptake'!Z33*'EV %sales'!$AI$58+'Denmark EV uptake'!AL42*'EV %sales'!$AJ$58+'Finland EV uptake'!Z33*'EV %sales'!$AK$58+'France EV uptake'!Z33*'EV %sales'!$AL$58+'Germany EV uptake'!Z33*'EV %sales'!$AM$58+'India EV uptake'!Z33*'EV %sales'!$AN$58+'Ireland EV uptake'!Z33*'EV %sales'!$AO$58+'Italy EV uptake'!Z33*'EV %sales'!$AP$58+'Japan EV uptake'!Z33*'EV %sales'!$AQ$58+'Korea EV uptake'!Z33*'EV %sales'!$AR$58+'Netherlands logist Take-up'!AE111*'EV %sales'!$AS$58+'New Zealand EV uptake'!Z33*'EV %sales'!$AT$58+'Norway EV uptake with subs'!AF40*'EV %sales'!$AU$58+'Spain EV uptake'!Z33*'EV %sales'!$AV$58+'Sweden EV uptake'!Z33*'EV %sales'!$AW$58+'Switzerland EV uptake'!Z33*'EV %sales'!$AX$58+'USA EV uptake'!Z33*'EV %sales'!$AZ$58)/('EV %sales'!$BB$58-'EV %sales'!$BA$58)</f>
        <v>58.419468143313729</v>
      </c>
    </row>
    <row r="90" spans="1:30">
      <c r="A90" s="3">
        <v>2039</v>
      </c>
      <c r="C90" s="13">
        <f t="shared" si="7"/>
        <v>64.950624089978433</v>
      </c>
      <c r="D90" s="13">
        <f t="shared" si="12"/>
        <v>56.182904226572667</v>
      </c>
      <c r="E90" s="13">
        <f t="shared" si="9"/>
        <v>56.10641539859661</v>
      </c>
      <c r="G90">
        <f t="shared" si="4"/>
        <v>7.1819199769603648</v>
      </c>
      <c r="H90" s="230">
        <f t="shared" si="11"/>
        <v>1.8419199769603642</v>
      </c>
      <c r="I90" s="230">
        <f>G90-SUM(J$71:J90)</f>
        <v>1.8519199769603629</v>
      </c>
      <c r="J90" s="20">
        <f>J89+(J91-J71)/20</f>
        <v>0.33300000000000013</v>
      </c>
      <c r="L90" s="13">
        <f>('Australia EV uptake'!V34*'EV %sales'!$AE$58+'Austria EV uptake'!T34*'EV %sales'!$AF$58+'Belgian EV uptake'!T34*'EV %sales'!$AG$58+'British EV uptake'!T34*'EV %sales'!$AY$58+'Canada EV uptake'!T34*'EV %sales'!$AH$58+'China EV uptake'!T34*'EV %sales'!$AI$58+'Denmark EV uptake'!AF43*'EV %sales'!$AJ$58+'Finland EV uptake'!T34*'EV %sales'!$AK$58+'France EV uptake'!T34*'EV %sales'!$AL$58+'Germany EV uptake'!T34*'EV %sales'!$AM$58+'India EV uptake'!T34*'EV %sales'!$AN$58+'Ireland EV uptake'!T34*'EV %sales'!$AO$58+'Italy EV uptake'!T34*'EV %sales'!$AP$58+'Japan EV uptake'!T34*'EV %sales'!$AQ$58+'Korea EV uptake'!T34*'EV %sales'!$AR$58+'Netherlands logist Take-up'!Y112*'EV %sales'!$AS$58+'New Zealand EV uptake'!T34*'EV %sales'!$AT$58+'Norway EV uptake with subs'!Z41*'EV %sales'!$AU$58+'Spain EV uptake'!T34*'EV %sales'!$AV$58+'Sweden EV uptake'!T34*'EV %sales'!$AW$58+'Switzerland EV uptake'!T34*'EV %sales'!$AX$58+'USA EV uptake'!T34*'EV %sales'!$AZ$58)/('EV %sales'!$BB$58-'EV %sales'!$BA$58)</f>
        <v>55.739535776188426</v>
      </c>
      <c r="M90" s="13">
        <f>('Australia EV uptake'!N34*'EV %sales'!AE$58+'Austria EV uptake'!L34*'EV %sales'!AF$58+'Belgian EV uptake'!L34*'EV %sales'!AG$58+'British EV uptake'!L34*'EV %sales'!AY$58+'Canada EV uptake'!L34*'EV %sales'!AH$58+'China EV uptake'!L34*'EV %sales'!AI$58+'Denmark EV uptake'!X43*'EV %sales'!AJ$58+'Finland EV uptake'!L34*'EV %sales'!AK$58+'France EV uptake'!L34*'EV %sales'!AL$58+'Germany EV uptake'!L34*'EV %sales'!AM$58+'India EV uptake'!L34*'EV %sales'!AN$58+'Ireland EV uptake'!L34*'EV %sales'!AO$58+'Italy EV uptake'!L34*'EV %sales'!AP$58+'Japan EV uptake'!L34*'EV %sales'!AQ$58+'Korea EV uptake'!L34*'EV %sales'!AR$58+'Netherlands logist Take-up'!O112*'EV %sales'!AS$58+'New Zealand EV uptake'!L34*'EV %sales'!AT$58+'Norway EV uptake with subs'!R44*'EV %sales'!AU$58+'Spain EV uptake'!L34*'EV %sales'!AV$58+'Sweden EV uptake'!L34*'EV %sales'!AW$58+'Switzerland EV uptake'!L34*'EV %sales'!AX$58+'USA EV uptake'!L34*'EV %sales'!AZ$58+'Rest Europe EV takeup'!O34*'EV %sales'!BA$58)/'EV %sales'!BB$58</f>
        <v>57.460553255254247</v>
      </c>
      <c r="N90" s="13">
        <f>('Australia EV uptake'!D34*'EV %sales'!AE$58+'Austria EV uptake'!AB34*'EV %sales'!AF$58+'Belgian EV uptake'!AB34*'EV %sales'!AG$58+'British EV uptake'!AB34*'EV %sales'!AY$58+'Canada EV uptake'!AB34*'EV %sales'!AH$58+'China EV uptake'!AB34*'EV %sales'!AI$58+'Denmark EV uptake'!F43*'EV %sales'!AJ$58+'Finland EV uptake'!AB34*'EV %sales'!AK$58+'France EV uptake'!AB34*'EV %sales'!AL$58+'Germany EV uptake'!AB34*'EV %sales'!AM$58+'India EV uptake'!AB34*'EV %sales'!AN$58+'Ireland EV uptake'!AB34*'EV %sales'!AO$58+'Italy EV uptake'!AB34*'EV %sales'!AP$58+'Japan EV uptake'!AB34*'EV %sales'!AQ$58+'Korea EV uptake'!AB34*'EV %sales'!AR$58+'Netherlands logist Take-up'!E112*'EV %sales'!AS$58+'New Zealand EV uptake'!AB34*'EV %sales'!AT$58+'Norway EV uptake with subs'!H44*'EV %sales'!AU$58+'Spain EV uptake'!AB34*'EV %sales'!AV$58+'Sweden EV uptake'!AB34*'EV %sales'!AW$58+'Switzerland EV uptake'!AB34*'EV %sales'!AX$58+'USA EV uptake'!AB34*'EV %sales'!AZ$58+'Rest Europe EV takeup'!O34*'EV %sales'!BA$58)/'EV %sales'!BB$58</f>
        <v>57.16178389210107</v>
      </c>
      <c r="P90">
        <v>30</v>
      </c>
      <c r="Q90" s="13">
        <f t="shared" si="6"/>
        <v>1.7292306123291177</v>
      </c>
      <c r="R90" s="13"/>
      <c r="S90" s="13"/>
      <c r="T90" s="13">
        <f t="shared" si="13"/>
        <v>1.7292306123291177</v>
      </c>
      <c r="V90">
        <v>2039</v>
      </c>
      <c r="W90" s="13">
        <f>('Australia EV uptake'!U34*'EV %sales'!$AE$58+'Austria EV uptake'!S34*'EV %sales'!$AF$58+'Belgian EV uptake'!S34*'EV %sales'!$AG$58+'British EV uptake'!S34*'EV %sales'!$AY$58+'Canada EV uptake'!S34*'EV %sales'!$AH$58+'China EV uptake'!S34*'EV %sales'!$AI$58+'Denmark EV uptake'!AE43*'EV %sales'!$AJ$58+'Finland EV uptake'!S34*'EV %sales'!$AK$58+'France EV uptake'!S34*'EV %sales'!$AL$58+'Germany EV uptake'!S34*'EV %sales'!$AM$58+'India EV uptake'!S34*'EV %sales'!$AN$58+'Ireland EV uptake'!S34*'EV %sales'!$AO$58+'Italy EV uptake'!S34*'EV %sales'!$AP$58+'Japan EV uptake'!S34*'EV %sales'!$AQ$58+'Korea EV uptake'!S34*'EV %sales'!$AR$58+'Netherlands logist Take-up'!X112*'EV %sales'!$AS$58+'New Zealand EV uptake'!S34*'EV %sales'!$AT$58+'Norway EV uptake with subs'!Y41*'EV %sales'!$AU$58+'Spain EV uptake'!S34*'EV %sales'!$AV$58+'Sweden EV uptake'!S34*'EV %sales'!$AW$58+'Switzerland EV uptake'!S34*'EV %sales'!$AX$58+'USA EV uptake'!S34*'EV %sales'!$AZ$58)/('EV %sales'!$BB$58-'EV %sales'!$BA$58)</f>
        <v>56.44210475547365</v>
      </c>
      <c r="X90" s="13">
        <f>('Australia EV uptake'!V34*'EV %sales'!$AE$58+'Austria EV uptake'!T34*'EV %sales'!$AF$58+'Belgian EV uptake'!T34*'EV %sales'!$AG$58+'British EV uptake'!T34*'EV %sales'!$AY$58+'Canada EV uptake'!T34*'EV %sales'!$AH$58+'China EV uptake'!T34*'EV %sales'!$AI$58+'Denmark EV uptake'!AF43*'EV %sales'!$AJ$58+'Finland EV uptake'!T34*'EV %sales'!$AK$58+'France EV uptake'!T34*'EV %sales'!$AL$58+'Germany EV uptake'!T34*'EV %sales'!$AM$58+'India EV uptake'!T34*'EV %sales'!$AN$58+'Ireland EV uptake'!T34*'EV %sales'!$AO$58+'Italy EV uptake'!T34*'EV %sales'!$AP$58+'Japan EV uptake'!T34*'EV %sales'!$AQ$58+'Korea EV uptake'!T34*'EV %sales'!$AR$58+'Netherlands logist Take-up'!Y112*'EV %sales'!$AS$58+'New Zealand EV uptake'!T34*'EV %sales'!$AT$58+'Norway EV uptake with subs'!Z41*'EV %sales'!$AU$58+'Spain EV uptake'!T34*'EV %sales'!$AV$58+'Sweden EV uptake'!T34*'EV %sales'!$AW$58+'Switzerland EV uptake'!T34*'EV %sales'!$AX$58+'USA EV uptake'!T34*'EV %sales'!$AZ$58)/('EV %sales'!$BB$58-'EV %sales'!$BA$58)</f>
        <v>55.739535776188426</v>
      </c>
      <c r="Y90" s="13">
        <f>('Australia EV uptake'!W34*'EV %sales'!$AE$58+'Austria EV uptake'!U34*'EV %sales'!$AF$58+'Belgian EV uptake'!U34*'EV %sales'!$AG$58+'British EV uptake'!U34*'EV %sales'!$AY$58+'Canada EV uptake'!U34*'EV %sales'!$AH$58+'China EV uptake'!U34*'EV %sales'!$AI$58+'Denmark EV uptake'!AG43*'EV %sales'!$AJ$58+'Finland EV uptake'!U34*'EV %sales'!$AK$58+'France EV uptake'!U34*'EV %sales'!$AL$58+'Germany EV uptake'!U34*'EV %sales'!$AM$58+'India EV uptake'!U34*'EV %sales'!$AN$58+'Ireland EV uptake'!U34*'EV %sales'!$AO$58+'Italy EV uptake'!U34*'EV %sales'!$AP$58+'Japan EV uptake'!U34*'EV %sales'!$AQ$58+'Korea EV uptake'!U34*'EV %sales'!$AR$58+'Netherlands logist Take-up'!Z112*'EV %sales'!$AS$58+'New Zealand EV uptake'!U34*'EV %sales'!$AT$58+'Norway EV uptake with subs'!AA41*'EV %sales'!$AU$58+'Spain EV uptake'!U34*'EV %sales'!$AV$58+'Sweden EV uptake'!U34*'EV %sales'!$AW$58+'Switzerland EV uptake'!U34*'EV %sales'!$AX$58+'USA EV uptake'!U34*'EV %sales'!$AZ$58)/('EV %sales'!$BB$58-'EV %sales'!$BA$58)</f>
        <v>54.878771168079616</v>
      </c>
      <c r="AA90">
        <v>2039</v>
      </c>
      <c r="AB90" s="13">
        <f>('Australia EV uptake'!Z34*'EV %sales'!$AE$58+'Austria EV uptake'!X34*'EV %sales'!$AF$58+'Belgian EV uptake'!X34*'EV %sales'!$AG$58+'British EV uptake'!X34*'EV %sales'!$AY$58+'Canada EV uptake'!X34*'EV %sales'!$AH$58+'China EV uptake'!X34*'EV %sales'!$AI$58+'Denmark EV uptake'!AJ43*'EV %sales'!$AJ$58+'Finland EV uptake'!X34*'EV %sales'!$AK$58+'France EV uptake'!X34*'EV %sales'!$AL$58+'Germany EV uptake'!X34*'EV %sales'!$AM$58+'India EV uptake'!X34*'EV %sales'!$AN$58+'Ireland EV uptake'!X34*'EV %sales'!$AO$58+'Italy EV uptake'!X34*'EV %sales'!$AP$58+'Japan EV uptake'!X34*'EV %sales'!$AQ$58+'Korea EV uptake'!X34*'EV %sales'!$AR$58+'Netherlands logist Take-up'!AC112*'EV %sales'!$AS$58+'New Zealand EV uptake'!X34*'EV %sales'!$AT$58+'Norway EV uptake with subs'!AD41*'EV %sales'!$AU$58+'Spain EV uptake'!X34*'EV %sales'!$AV$58+'Sweden EV uptake'!X34*'EV %sales'!$AW$58+'Switzerland EV uptake'!X34*'EV %sales'!$AX$58+'USA EV uptake'!X34*'EV %sales'!$AZ$58)/('EV %sales'!$BB$58-'EV %sales'!$BA$58)</f>
        <v>46.656658272924254</v>
      </c>
      <c r="AC90" s="13">
        <f>('Australia EV uptake'!AA34*'EV %sales'!$AE$58+'Austria EV uptake'!Y34*'EV %sales'!$AF$58+'Belgian EV uptake'!Y34*'EV %sales'!$AG$58+'British EV uptake'!Y34*'EV %sales'!$AY$58+'Canada EV uptake'!Y34*'EV %sales'!$AH$58+'China EV uptake'!Y34*'EV %sales'!$AI$58+'Denmark EV uptake'!AK43*'EV %sales'!$AJ$58+'Finland EV uptake'!Y34*'EV %sales'!$AK$58+'France EV uptake'!Y34*'EV %sales'!$AL$58+'Germany EV uptake'!Y34*'EV %sales'!$AM$58+'India EV uptake'!Y34*'EV %sales'!$AN$58+'Ireland EV uptake'!Y34*'EV %sales'!$AO$58+'Italy EV uptake'!Y34*'EV %sales'!$AP$58+'Japan EV uptake'!Y34*'EV %sales'!$AQ$58+'Korea EV uptake'!Y34*'EV %sales'!$AR$58+'Netherlands logist Take-up'!AD112*'EV %sales'!$AS$58+'New Zealand EV uptake'!Y34*'EV %sales'!$AT$58+'Norway EV uptake with subs'!AE41*'EV %sales'!$AU$58+'Spain EV uptake'!Y34*'EV %sales'!$AV$58+'Sweden EV uptake'!Y34*'EV %sales'!$AW$58+'Switzerland EV uptake'!Y34*'EV %sales'!$AX$58+'USA EV uptake'!Y34*'EV %sales'!$AZ$58)/('EV %sales'!$BB$58-'EV %sales'!$BA$58)</f>
        <v>55.739535776188426</v>
      </c>
      <c r="AD90" s="13">
        <f>('Australia EV uptake'!AB34*'EV %sales'!$AE$58+'Austria EV uptake'!Z34*'EV %sales'!$AF$58+'Belgian EV uptake'!Z34*'EV %sales'!$AG$58+'British EV uptake'!Z34*'EV %sales'!$AY$58+'Canada EV uptake'!Z34*'EV %sales'!$AH$58+'China EV uptake'!Z34*'EV %sales'!$AI$58+'Denmark EV uptake'!AL43*'EV %sales'!$AJ$58+'Finland EV uptake'!Z34*'EV %sales'!$AK$58+'France EV uptake'!Z34*'EV %sales'!$AL$58+'Germany EV uptake'!Z34*'EV %sales'!$AM$58+'India EV uptake'!Z34*'EV %sales'!$AN$58+'Ireland EV uptake'!Z34*'EV %sales'!$AO$58+'Italy EV uptake'!Z34*'EV %sales'!$AP$58+'Japan EV uptake'!Z34*'EV %sales'!$AQ$58+'Korea EV uptake'!Z34*'EV %sales'!$AR$58+'Netherlands logist Take-up'!AE112*'EV %sales'!$AS$58+'New Zealand EV uptake'!Z34*'EV %sales'!$AT$58+'Norway EV uptake with subs'!AF41*'EV %sales'!$AU$58+'Spain EV uptake'!Z34*'EV %sales'!$AV$58+'Sweden EV uptake'!Z34*'EV %sales'!$AW$58+'Switzerland EV uptake'!Z34*'EV %sales'!$AX$58+'USA EV uptake'!Z34*'EV %sales'!$AZ$58)/('EV %sales'!$BB$58-'EV %sales'!$BA$58)</f>
        <v>59.263710392885876</v>
      </c>
    </row>
    <row r="91" spans="1:30">
      <c r="A91" s="232">
        <v>2040</v>
      </c>
      <c r="C91" s="13">
        <f t="shared" si="7"/>
        <v>64.969443663565642</v>
      </c>
      <c r="D91" s="13">
        <f t="shared" si="12"/>
        <v>57.197735283445411</v>
      </c>
      <c r="E91" s="229">
        <f t="shared" si="9"/>
        <v>57.170230632459329</v>
      </c>
      <c r="G91">
        <f t="shared" si="4"/>
        <v>7.6621002648263028</v>
      </c>
      <c r="H91" s="230">
        <f t="shared" si="11"/>
        <v>1.9881002648263022</v>
      </c>
      <c r="I91" s="230">
        <f>G91-SUM(J$71:J91)</f>
        <v>1.9921002648263011</v>
      </c>
      <c r="J91" s="89">
        <v>0.34</v>
      </c>
      <c r="L91" s="229">
        <f>('Australia EV uptake'!V35*'EV %sales'!$AE$58+'Austria EV uptake'!T35*'EV %sales'!$AF$58+'Belgian EV uptake'!T35*'EV %sales'!$AG$58+'British EV uptake'!T35*'EV %sales'!$AY$58+'Canada EV uptake'!T35*'EV %sales'!$AH$58+'China EV uptake'!T35*'EV %sales'!$AI$58+'Denmark EV uptake'!AF44*'EV %sales'!$AJ$58+'Finland EV uptake'!T35*'EV %sales'!$AK$58+'France EV uptake'!T35*'EV %sales'!$AL$58+'Germany EV uptake'!T35*'EV %sales'!$AM$58+'India EV uptake'!T35*'EV %sales'!$AN$58+'Ireland EV uptake'!T35*'EV %sales'!$AO$58+'Italy EV uptake'!T35*'EV %sales'!$AP$58+'Japan EV uptake'!T35*'EV %sales'!$AQ$58+'Korea EV uptake'!T35*'EV %sales'!$AR$58+'Netherlands logist Take-up'!Y113*'EV %sales'!$AS$58+'New Zealand EV uptake'!T35*'EV %sales'!$AT$58+'Norway EV uptake with subs'!Z42*'EV %sales'!$AU$58+'Spain EV uptake'!T35*'EV %sales'!$AV$58+'Sweden EV uptake'!T35*'EV %sales'!$AW$58+'Switzerland EV uptake'!T35*'EV %sales'!$AX$58+'USA EV uptake'!T35*'EV %sales'!$AZ$58)/('EV %sales'!$BB$58-'EV %sales'!$BA$58)</f>
        <v>56.886654280162716</v>
      </c>
      <c r="M91" s="229">
        <f>('Australia EV uptake'!N35*'EV %sales'!AE$58+'Austria EV uptake'!L35*'EV %sales'!AF$58+'Belgian EV uptake'!L35*'EV %sales'!AG$58+'British EV uptake'!L35*'EV %sales'!AY$58+'Canada EV uptake'!L35*'EV %sales'!AH$58+'China EV uptake'!L35*'EV %sales'!AI$58+'Denmark EV uptake'!X44*'EV %sales'!AJ$58+'Finland EV uptake'!L35*'EV %sales'!AK$58+'France EV uptake'!L35*'EV %sales'!AL$58+'Germany EV uptake'!L35*'EV %sales'!AM$58+'India EV uptake'!L35*'EV %sales'!AN$58+'Ireland EV uptake'!L35*'EV %sales'!AO$58+'Italy EV uptake'!L35*'EV %sales'!AP$58+'Japan EV uptake'!L35*'EV %sales'!AQ$58+'Korea EV uptake'!L35*'EV %sales'!AR$58+'Netherlands logist Take-up'!O113*'EV %sales'!AS$58+'New Zealand EV uptake'!L35*'EV %sales'!AT$58+'Norway EV uptake with subs'!R45*'EV %sales'!AU$58+'Spain EV uptake'!L35*'EV %sales'!AV$58+'Sweden EV uptake'!L35*'EV %sales'!AW$58+'Switzerland EV uptake'!L35*'EV %sales'!AX$58+'USA EV uptake'!L35*'EV %sales'!AZ$58+'Rest Europe EV takeup'!O35*'EV %sales'!BA$58)/'EV %sales'!BB$58</f>
        <v>58.397623689257657</v>
      </c>
      <c r="N91" s="229">
        <f>('Australia EV uptake'!D35*'EV %sales'!AE$58+'Austria EV uptake'!AB35*'EV %sales'!AF$58+'Belgian EV uptake'!AB35*'EV %sales'!AG$58+'British EV uptake'!AB35*'EV %sales'!AY$58+'Canada EV uptake'!AB35*'EV %sales'!AH$58+'China EV uptake'!AB35*'EV %sales'!AI$58+'Denmark EV uptake'!F44*'EV %sales'!AJ$58+'Finland EV uptake'!AB35*'EV %sales'!AK$58+'France EV uptake'!AB35*'EV %sales'!AL$58+'Germany EV uptake'!AB35*'EV %sales'!AM$58+'India EV uptake'!AB35*'EV %sales'!AN$58+'Ireland EV uptake'!AB35*'EV %sales'!AO$58+'Italy EV uptake'!AB35*'EV %sales'!AP$58+'Japan EV uptake'!AB35*'EV %sales'!AQ$58+'Korea EV uptake'!AB35*'EV %sales'!AR$58+'Netherlands logist Take-up'!E113*'EV %sales'!AS$58+'New Zealand EV uptake'!AB35*'EV %sales'!AT$58+'Norway EV uptake with subs'!H45*'EV %sales'!AU$58+'Spain EV uptake'!AB35*'EV %sales'!AV$58+'Sweden EV uptake'!AB35*'EV %sales'!AW$58+'Switzerland EV uptake'!AB35*'EV %sales'!AX$58+'USA EV uptake'!AB35*'EV %sales'!AZ$58+'Rest Europe EV takeup'!O35*'EV %sales'!BA$58)/'EV %sales'!BB$58</f>
        <v>58.066093688356332</v>
      </c>
      <c r="P91">
        <v>31</v>
      </c>
      <c r="Q91" s="13">
        <f t="shared" si="6"/>
        <v>1.7292306123291177</v>
      </c>
      <c r="R91" s="13"/>
      <c r="S91" s="13"/>
      <c r="T91" s="13">
        <f t="shared" si="13"/>
        <v>1.7292306123291177</v>
      </c>
      <c r="V91" s="87">
        <v>2040</v>
      </c>
      <c r="W91" s="13">
        <f>('Australia EV uptake'!U35*'EV %sales'!$AE$58+'Austria EV uptake'!S35*'EV %sales'!$AF$58+'Belgian EV uptake'!S35*'EV %sales'!$AG$58+'British EV uptake'!S35*'EV %sales'!$AY$58+'Canada EV uptake'!S35*'EV %sales'!$AH$58+'China EV uptake'!S35*'EV %sales'!$AI$58+'Denmark EV uptake'!AE44*'EV %sales'!$AJ$58+'Finland EV uptake'!S35*'EV %sales'!$AK$58+'France EV uptake'!S35*'EV %sales'!$AL$58+'Germany EV uptake'!S35*'EV %sales'!$AM$58+'India EV uptake'!S35*'EV %sales'!$AN$58+'Ireland EV uptake'!S35*'EV %sales'!$AO$58+'Italy EV uptake'!S35*'EV %sales'!$AP$58+'Japan EV uptake'!S35*'EV %sales'!$AQ$58+'Korea EV uptake'!S35*'EV %sales'!$AR$58+'Netherlands logist Take-up'!X113*'EV %sales'!$AS$58+'New Zealand EV uptake'!S35*'EV %sales'!$AT$58+'Norway EV uptake with subs'!Y42*'EV %sales'!$AU$58+'Spain EV uptake'!S35*'EV %sales'!$AV$58+'Sweden EV uptake'!S35*'EV %sales'!$AW$58+'Switzerland EV uptake'!S35*'EV %sales'!$AX$58+'USA EV uptake'!S35*'EV %sales'!$AZ$58)/('EV %sales'!$BB$58-'EV %sales'!$BA$58)</f>
        <v>57.494835398655916</v>
      </c>
      <c r="X91" s="13">
        <f>('Australia EV uptake'!V35*'EV %sales'!$AE$58+'Austria EV uptake'!T35*'EV %sales'!$AF$58+'Belgian EV uptake'!T35*'EV %sales'!$AG$58+'British EV uptake'!T35*'EV %sales'!$AY$58+'Canada EV uptake'!T35*'EV %sales'!$AH$58+'China EV uptake'!T35*'EV %sales'!$AI$58+'Denmark EV uptake'!AF44*'EV %sales'!$AJ$58+'Finland EV uptake'!T35*'EV %sales'!$AK$58+'France EV uptake'!T35*'EV %sales'!$AL$58+'Germany EV uptake'!T35*'EV %sales'!$AM$58+'India EV uptake'!T35*'EV %sales'!$AN$58+'Ireland EV uptake'!T35*'EV %sales'!$AO$58+'Italy EV uptake'!T35*'EV %sales'!$AP$58+'Japan EV uptake'!T35*'EV %sales'!$AQ$58+'Korea EV uptake'!T35*'EV %sales'!$AR$58+'Netherlands logist Take-up'!Y113*'EV %sales'!$AS$58+'New Zealand EV uptake'!T35*'EV %sales'!$AT$58+'Norway EV uptake with subs'!Z42*'EV %sales'!$AU$58+'Spain EV uptake'!T35*'EV %sales'!$AV$58+'Sweden EV uptake'!T35*'EV %sales'!$AW$58+'Switzerland EV uptake'!T35*'EV %sales'!$AX$58+'USA EV uptake'!T35*'EV %sales'!$AZ$58)/('EV %sales'!$BB$58-'EV %sales'!$BA$58)</f>
        <v>56.886654280162716</v>
      </c>
      <c r="Y91" s="13">
        <f>('Australia EV uptake'!W35*'EV %sales'!$AE$58+'Austria EV uptake'!U35*'EV %sales'!$AF$58+'Belgian EV uptake'!U35*'EV %sales'!$AG$58+'British EV uptake'!U35*'EV %sales'!$AY$58+'Canada EV uptake'!U35*'EV %sales'!$AH$58+'China EV uptake'!U35*'EV %sales'!$AI$58+'Denmark EV uptake'!AG44*'EV %sales'!$AJ$58+'Finland EV uptake'!U35*'EV %sales'!$AK$58+'France EV uptake'!U35*'EV %sales'!$AL$58+'Germany EV uptake'!U35*'EV %sales'!$AM$58+'India EV uptake'!U35*'EV %sales'!$AN$58+'Ireland EV uptake'!U35*'EV %sales'!$AO$58+'Italy EV uptake'!U35*'EV %sales'!$AP$58+'Japan EV uptake'!U35*'EV %sales'!$AQ$58+'Korea EV uptake'!U35*'EV %sales'!$AR$58+'Netherlands logist Take-up'!Z113*'EV %sales'!$AS$58+'New Zealand EV uptake'!U35*'EV %sales'!$AT$58+'Norway EV uptake with subs'!AA42*'EV %sales'!$AU$58+'Spain EV uptake'!U35*'EV %sales'!$AV$58+'Sweden EV uptake'!U35*'EV %sales'!$AW$58+'Switzerland EV uptake'!U35*'EV %sales'!$AX$58+'USA EV uptake'!U35*'EV %sales'!$AZ$58)/('EV %sales'!$BB$58-'EV %sales'!$BA$58)</f>
        <v>56.141511315199175</v>
      </c>
      <c r="AA91" s="87">
        <v>2040</v>
      </c>
      <c r="AB91" s="13">
        <f>('Australia EV uptake'!Z35*'EV %sales'!$AE$58+'Austria EV uptake'!X35*'EV %sales'!$AF$58+'Belgian EV uptake'!X35*'EV %sales'!$AG$58+'British EV uptake'!X35*'EV %sales'!$AY$58+'Canada EV uptake'!X35*'EV %sales'!$AH$58+'China EV uptake'!X35*'EV %sales'!$AI$58+'Denmark EV uptake'!AJ44*'EV %sales'!$AJ$58+'Finland EV uptake'!X35*'EV %sales'!$AK$58+'France EV uptake'!X35*'EV %sales'!$AL$58+'Germany EV uptake'!X35*'EV %sales'!$AM$58+'India EV uptake'!X35*'EV %sales'!$AN$58+'Ireland EV uptake'!X35*'EV %sales'!$AO$58+'Italy EV uptake'!X35*'EV %sales'!$AP$58+'Japan EV uptake'!X35*'EV %sales'!$AQ$58+'Korea EV uptake'!X35*'EV %sales'!$AR$58+'Netherlands logist Take-up'!AC113*'EV %sales'!$AS$58+'New Zealand EV uptake'!X35*'EV %sales'!$AT$58+'Norway EV uptake with subs'!AD42*'EV %sales'!$AU$58+'Spain EV uptake'!X35*'EV %sales'!$AV$58+'Sweden EV uptake'!X35*'EV %sales'!$AW$58+'Switzerland EV uptake'!X35*'EV %sales'!$AX$58+'USA EV uptake'!X35*'EV %sales'!$AZ$58)/('EV %sales'!$BB$58-'EV %sales'!$BA$58)</f>
        <v>48.843579400457124</v>
      </c>
      <c r="AC91" s="13">
        <f>('Australia EV uptake'!AA35*'EV %sales'!$AE$58+'Austria EV uptake'!Y35*'EV %sales'!$AF$58+'Belgian EV uptake'!Y35*'EV %sales'!$AG$58+'British EV uptake'!Y35*'EV %sales'!$AY$58+'Canada EV uptake'!Y35*'EV %sales'!$AH$58+'China EV uptake'!Y35*'EV %sales'!$AI$58+'Denmark EV uptake'!AK44*'EV %sales'!$AJ$58+'Finland EV uptake'!Y35*'EV %sales'!$AK$58+'France EV uptake'!Y35*'EV %sales'!$AL$58+'Germany EV uptake'!Y35*'EV %sales'!$AM$58+'India EV uptake'!Y35*'EV %sales'!$AN$58+'Ireland EV uptake'!Y35*'EV %sales'!$AO$58+'Italy EV uptake'!Y35*'EV %sales'!$AP$58+'Japan EV uptake'!Y35*'EV %sales'!$AQ$58+'Korea EV uptake'!Y35*'EV %sales'!$AR$58+'Netherlands logist Take-up'!AD113*'EV %sales'!$AS$58+'New Zealand EV uptake'!Y35*'EV %sales'!$AT$58+'Norway EV uptake with subs'!AE42*'EV %sales'!$AU$58+'Spain EV uptake'!Y35*'EV %sales'!$AV$58+'Sweden EV uptake'!Y35*'EV %sales'!$AW$58+'Switzerland EV uptake'!Y35*'EV %sales'!$AX$58+'USA EV uptake'!Y35*'EV %sales'!$AZ$58)/('EV %sales'!$BB$58-'EV %sales'!$BA$58)</f>
        <v>56.886654280162716</v>
      </c>
      <c r="AD91" s="13">
        <f>('Australia EV uptake'!AB35*'EV %sales'!$AE$58+'Austria EV uptake'!Z35*'EV %sales'!$AF$58+'Belgian EV uptake'!Z35*'EV %sales'!$AG$58+'British EV uptake'!Z35*'EV %sales'!$AY$58+'Canada EV uptake'!Z35*'EV %sales'!$AH$58+'China EV uptake'!Z35*'EV %sales'!$AI$58+'Denmark EV uptake'!AL44*'EV %sales'!$AJ$58+'Finland EV uptake'!Z35*'EV %sales'!$AK$58+'France EV uptake'!Z35*'EV %sales'!$AL$58+'Germany EV uptake'!Z35*'EV %sales'!$AM$58+'India EV uptake'!Z35*'EV %sales'!$AN$58+'Ireland EV uptake'!Z35*'EV %sales'!$AO$58+'Italy EV uptake'!Z35*'EV %sales'!$AP$58+'Japan EV uptake'!Z35*'EV %sales'!$AQ$58+'Korea EV uptake'!Z35*'EV %sales'!$AR$58+'Netherlands logist Take-up'!AE113*'EV %sales'!$AS$58+'New Zealand EV uptake'!Z35*'EV %sales'!$AT$58+'Norway EV uptake with subs'!AF42*'EV %sales'!$AU$58+'Spain EV uptake'!Z35*'EV %sales'!$AV$58+'Sweden EV uptake'!Z35*'EV %sales'!$AW$58+'Switzerland EV uptake'!Z35*'EV %sales'!$AX$58+'USA EV uptake'!Z35*'EV %sales'!$AZ$58)/('EV %sales'!$BB$58-'EV %sales'!$BA$58)</f>
        <v>60.019289715926533</v>
      </c>
    </row>
    <row r="92" spans="1:30">
      <c r="A92">
        <v>2041</v>
      </c>
      <c r="C92" s="13">
        <f t="shared" ref="C92:C106" si="14">65*EXP(G92)/(1+EXP(G92))</f>
        <v>64.981092265604161</v>
      </c>
      <c r="D92" s="13">
        <f t="shared" si="12"/>
        <v>58.110085444062349</v>
      </c>
      <c r="E92" s="13">
        <f t="shared" si="9"/>
        <v>58.103923424061897</v>
      </c>
      <c r="G92">
        <f t="shared" si="4"/>
        <v>8.1422805526922417</v>
      </c>
      <c r="H92" s="230">
        <f t="shared" si="11"/>
        <v>2.1312805526922398</v>
      </c>
      <c r="I92" s="230">
        <f>G92-SUM(J$71:J92)</f>
        <v>2.1322805526922401</v>
      </c>
      <c r="J92" s="89">
        <f>J91</f>
        <v>0.34</v>
      </c>
      <c r="L92" s="13">
        <f>('Australia EV uptake'!V36*'EV %sales'!$AE$58+'Austria EV uptake'!T36*'EV %sales'!$AF$58+'Belgian EV uptake'!T36*'EV %sales'!$AG$58+'British EV uptake'!T36*'EV %sales'!$AY$58+'Canada EV uptake'!T36*'EV %sales'!$AH$58+'China EV uptake'!T36*'EV %sales'!$AI$58+'Denmark EV uptake'!AF45*'EV %sales'!$AJ$58+'Finland EV uptake'!T36*'EV %sales'!$AK$58+'France EV uptake'!T36*'EV %sales'!$AL$58+'Germany EV uptake'!T36*'EV %sales'!$AM$58+'India EV uptake'!T36*'EV %sales'!$AN$58+'Ireland EV uptake'!T36*'EV %sales'!$AO$58+'Italy EV uptake'!T36*'EV %sales'!$AP$58+'Japan EV uptake'!T36*'EV %sales'!$AQ$58+'Korea EV uptake'!T36*'EV %sales'!$AR$58+'Netherlands logist Take-up'!Y114*'EV %sales'!$AS$58+'New Zealand EV uptake'!T36*'EV %sales'!$AT$58+'Norway EV uptake with subs'!Z43*'EV %sales'!$AU$58+'Spain EV uptake'!T36*'EV %sales'!$AV$58+'Sweden EV uptake'!T36*'EV %sales'!$AW$58+'Switzerland EV uptake'!T36*'EV %sales'!$AX$58+'USA EV uptake'!T36*'EV %sales'!$AZ$58)/('EV %sales'!$BB$58-'EV %sales'!$BA$58)</f>
        <v>57.924062420675625</v>
      </c>
      <c r="M92" s="13">
        <f>('Australia EV uptake'!N36*'EV %sales'!AE$58+'Austria EV uptake'!L36*'EV %sales'!AF$58+'Belgian EV uptake'!L36*'EV %sales'!AG$58+'British EV uptake'!L36*'EV %sales'!AY$58+'Canada EV uptake'!L36*'EV %sales'!AH$58+'China EV uptake'!L36*'EV %sales'!AI$58+'Denmark EV uptake'!X45*'EV %sales'!AJ$58+'Finland EV uptake'!L36*'EV %sales'!AK$58+'France EV uptake'!L36*'EV %sales'!AL$58+'Germany EV uptake'!L36*'EV %sales'!AM$58+'India EV uptake'!L36*'EV %sales'!AN$58+'Ireland EV uptake'!L36*'EV %sales'!AO$58+'Italy EV uptake'!L36*'EV %sales'!AP$58+'Japan EV uptake'!L36*'EV %sales'!AQ$58+'Korea EV uptake'!L36*'EV %sales'!AR$58+'Netherlands logist Take-up'!O114*'EV %sales'!AS$58+'New Zealand EV uptake'!L36*'EV %sales'!AT$58+'Norway EV uptake with subs'!R46*'EV %sales'!AU$58+'Spain EV uptake'!L36*'EV %sales'!AV$58+'Sweden EV uptake'!L36*'EV %sales'!AW$58+'Switzerland EV uptake'!L36*'EV %sales'!AX$58+'USA EV uptake'!L36*'EV %sales'!AZ$58+'Rest Europe EV takeup'!O36*'EV %sales'!BA$58)/'EV %sales'!BB$58</f>
        <v>59.242578342800115</v>
      </c>
      <c r="N92" s="13">
        <f>('Australia EV uptake'!D36*'EV %sales'!AE$58+'Austria EV uptake'!AB36*'EV %sales'!AF$58+'Belgian EV uptake'!AB36*'EV %sales'!AG$58+'British EV uptake'!AB36*'EV %sales'!AY$58+'Canada EV uptake'!AB36*'EV %sales'!AH$58+'China EV uptake'!AB36*'EV %sales'!AI$58+'Denmark EV uptake'!F45*'EV %sales'!AJ$58+'Finland EV uptake'!AB36*'EV %sales'!AK$58+'France EV uptake'!AB36*'EV %sales'!AL$58+'Germany EV uptake'!AB36*'EV %sales'!AM$58+'India EV uptake'!AB36*'EV %sales'!AN$58+'Ireland EV uptake'!AB36*'EV %sales'!AO$58+'Italy EV uptake'!AB36*'EV %sales'!AP$58+'Japan EV uptake'!AB36*'EV %sales'!AQ$58+'Korea EV uptake'!AB36*'EV %sales'!AR$58+'Netherlands logist Take-up'!E114*'EV %sales'!AS$58+'New Zealand EV uptake'!AB36*'EV %sales'!AT$58+'Norway EV uptake with subs'!H46*'EV %sales'!AU$58+'Spain EV uptake'!AB36*'EV %sales'!AV$58+'Sweden EV uptake'!AB36*'EV %sales'!AW$58+'Switzerland EV uptake'!AB36*'EV %sales'!AX$58+'USA EV uptake'!AB36*'EV %sales'!AZ$58+'Rest Europe EV takeup'!O36*'EV %sales'!BA$58)/'EV %sales'!BB$58</f>
        <v>58.879702611694988</v>
      </c>
      <c r="P92">
        <v>32</v>
      </c>
      <c r="Q92" s="13">
        <f t="shared" si="6"/>
        <v>1.7292306123291177</v>
      </c>
      <c r="R92" s="13"/>
      <c r="S92" s="13"/>
      <c r="T92" s="13">
        <f t="shared" si="13"/>
        <v>1.7292306123291177</v>
      </c>
      <c r="V92">
        <v>2041</v>
      </c>
      <c r="W92" s="13">
        <f>('Australia EV uptake'!U36*'EV %sales'!$AE$58+'Austria EV uptake'!S36*'EV %sales'!$AF$58+'Belgian EV uptake'!S36*'EV %sales'!$AG$58+'British EV uptake'!S36*'EV %sales'!$AY$58+'Canada EV uptake'!S36*'EV %sales'!$AH$58+'China EV uptake'!S36*'EV %sales'!$AI$58+'Denmark EV uptake'!AE45*'EV %sales'!$AJ$58+'Finland EV uptake'!S36*'EV %sales'!$AK$58+'France EV uptake'!S36*'EV %sales'!$AL$58+'Germany EV uptake'!S36*'EV %sales'!$AM$58+'India EV uptake'!S36*'EV %sales'!$AN$58+'Ireland EV uptake'!S36*'EV %sales'!$AO$58+'Italy EV uptake'!S36*'EV %sales'!$AP$58+'Japan EV uptake'!S36*'EV %sales'!$AQ$58+'Korea EV uptake'!S36*'EV %sales'!$AR$58+'Netherlands logist Take-up'!X114*'EV %sales'!$AS$58+'New Zealand EV uptake'!S36*'EV %sales'!$AT$58+'Norway EV uptake with subs'!Y43*'EV %sales'!$AU$58+'Spain EV uptake'!S36*'EV %sales'!$AV$58+'Sweden EV uptake'!S36*'EV %sales'!$AW$58+'Switzerland EV uptake'!S36*'EV %sales'!$AX$58+'USA EV uptake'!S36*'EV %sales'!$AZ$58)/('EV %sales'!$BB$58-'EV %sales'!$BA$58)</f>
        <v>58.44390050919877</v>
      </c>
      <c r="X92" s="13">
        <f>('Australia EV uptake'!V36*'EV %sales'!$AE$58+'Austria EV uptake'!T36*'EV %sales'!$AF$58+'Belgian EV uptake'!T36*'EV %sales'!$AG$58+'British EV uptake'!T36*'EV %sales'!$AY$58+'Canada EV uptake'!T36*'EV %sales'!$AH$58+'China EV uptake'!T36*'EV %sales'!$AI$58+'Denmark EV uptake'!AF45*'EV %sales'!$AJ$58+'Finland EV uptake'!T36*'EV %sales'!$AK$58+'France EV uptake'!T36*'EV %sales'!$AL$58+'Germany EV uptake'!T36*'EV %sales'!$AM$58+'India EV uptake'!T36*'EV %sales'!$AN$58+'Ireland EV uptake'!T36*'EV %sales'!$AO$58+'Italy EV uptake'!T36*'EV %sales'!$AP$58+'Japan EV uptake'!T36*'EV %sales'!$AQ$58+'Korea EV uptake'!T36*'EV %sales'!$AR$58+'Netherlands logist Take-up'!Y114*'EV %sales'!$AS$58+'New Zealand EV uptake'!T36*'EV %sales'!$AT$58+'Norway EV uptake with subs'!Z43*'EV %sales'!$AU$58+'Spain EV uptake'!T36*'EV %sales'!$AV$58+'Sweden EV uptake'!T36*'EV %sales'!$AW$58+'Switzerland EV uptake'!T36*'EV %sales'!$AX$58+'USA EV uptake'!T36*'EV %sales'!$AZ$58)/('EV %sales'!$BB$58-'EV %sales'!$BA$58)</f>
        <v>57.924062420675625</v>
      </c>
      <c r="Y92" s="13">
        <f>('Australia EV uptake'!W36*'EV %sales'!$AE$58+'Austria EV uptake'!U36*'EV %sales'!$AF$58+'Belgian EV uptake'!U36*'EV %sales'!$AG$58+'British EV uptake'!U36*'EV %sales'!$AY$58+'Canada EV uptake'!U36*'EV %sales'!$AH$58+'China EV uptake'!U36*'EV %sales'!$AI$58+'Denmark EV uptake'!AG45*'EV %sales'!$AJ$58+'Finland EV uptake'!U36*'EV %sales'!$AK$58+'France EV uptake'!U36*'EV %sales'!$AL$58+'Germany EV uptake'!U36*'EV %sales'!$AM$58+'India EV uptake'!U36*'EV %sales'!$AN$58+'Ireland EV uptake'!U36*'EV %sales'!$AO$58+'Italy EV uptake'!U36*'EV %sales'!$AP$58+'Japan EV uptake'!U36*'EV %sales'!$AQ$58+'Korea EV uptake'!U36*'EV %sales'!$AR$58+'Netherlands logist Take-up'!Z114*'EV %sales'!$AS$58+'New Zealand EV uptake'!U36*'EV %sales'!$AT$58+'Norway EV uptake with subs'!AA43*'EV %sales'!$AU$58+'Spain EV uptake'!U36*'EV %sales'!$AV$58+'Sweden EV uptake'!U36*'EV %sales'!$AW$58+'Switzerland EV uptake'!U36*'EV %sales'!$AX$58+'USA EV uptake'!U36*'EV %sales'!$AZ$58)/('EV %sales'!$BB$58-'EV %sales'!$BA$58)</f>
        <v>57.284818313137734</v>
      </c>
      <c r="AA92">
        <v>2041</v>
      </c>
      <c r="AB92" s="13">
        <f>('Australia EV uptake'!Z36*'EV %sales'!$AE$58+'Austria EV uptake'!X36*'EV %sales'!$AF$58+'Belgian EV uptake'!X36*'EV %sales'!$AG$58+'British EV uptake'!X36*'EV %sales'!$AY$58+'Canada EV uptake'!X36*'EV %sales'!$AH$58+'China EV uptake'!X36*'EV %sales'!$AI$58+'Denmark EV uptake'!AJ45*'EV %sales'!$AJ$58+'Finland EV uptake'!X36*'EV %sales'!$AK$58+'France EV uptake'!X36*'EV %sales'!$AL$58+'Germany EV uptake'!X36*'EV %sales'!$AM$58+'India EV uptake'!X36*'EV %sales'!$AN$58+'Ireland EV uptake'!X36*'EV %sales'!$AO$58+'Italy EV uptake'!X36*'EV %sales'!$AP$58+'Japan EV uptake'!X36*'EV %sales'!$AQ$58+'Korea EV uptake'!X36*'EV %sales'!$AR$58+'Netherlands logist Take-up'!AC114*'EV %sales'!$AS$58+'New Zealand EV uptake'!X36*'EV %sales'!$AT$58+'Norway EV uptake with subs'!AD43*'EV %sales'!$AU$58+'Spain EV uptake'!X36*'EV %sales'!$AV$58+'Sweden EV uptake'!X36*'EV %sales'!$AW$58+'Switzerland EV uptake'!X36*'EV %sales'!$AX$58+'USA EV uptake'!X36*'EV %sales'!$AZ$58)/('EV %sales'!$BB$58-'EV %sales'!$BA$58)</f>
        <v>50.820742688508389</v>
      </c>
      <c r="AC92" s="13">
        <f>('Australia EV uptake'!AA36*'EV %sales'!$AE$58+'Austria EV uptake'!Y36*'EV %sales'!$AF$58+'Belgian EV uptake'!Y36*'EV %sales'!$AG$58+'British EV uptake'!Y36*'EV %sales'!$AY$58+'Canada EV uptake'!Y36*'EV %sales'!$AH$58+'China EV uptake'!Y36*'EV %sales'!$AI$58+'Denmark EV uptake'!AK45*'EV %sales'!$AJ$58+'Finland EV uptake'!Y36*'EV %sales'!$AK$58+'France EV uptake'!Y36*'EV %sales'!$AL$58+'Germany EV uptake'!Y36*'EV %sales'!$AM$58+'India EV uptake'!Y36*'EV %sales'!$AN$58+'Ireland EV uptake'!Y36*'EV %sales'!$AO$58+'Italy EV uptake'!Y36*'EV %sales'!$AP$58+'Japan EV uptake'!Y36*'EV %sales'!$AQ$58+'Korea EV uptake'!Y36*'EV %sales'!$AR$58+'Netherlands logist Take-up'!AD114*'EV %sales'!$AS$58+'New Zealand EV uptake'!Y36*'EV %sales'!$AT$58+'Norway EV uptake with subs'!AE43*'EV %sales'!$AU$58+'Spain EV uptake'!Y36*'EV %sales'!$AV$58+'Sweden EV uptake'!Y36*'EV %sales'!$AW$58+'Switzerland EV uptake'!Y36*'EV %sales'!$AX$58+'USA EV uptake'!Y36*'EV %sales'!$AZ$58)/('EV %sales'!$BB$58-'EV %sales'!$BA$58)</f>
        <v>57.924062420675625</v>
      </c>
      <c r="AD92" s="13">
        <f>('Australia EV uptake'!AB36*'EV %sales'!$AE$58+'Austria EV uptake'!Z36*'EV %sales'!$AF$58+'Belgian EV uptake'!Z36*'EV %sales'!$AG$58+'British EV uptake'!Z36*'EV %sales'!$AY$58+'Canada EV uptake'!Z36*'EV %sales'!$AH$58+'China EV uptake'!Z36*'EV %sales'!$AI$58+'Denmark EV uptake'!AL45*'EV %sales'!$AJ$58+'Finland EV uptake'!Z36*'EV %sales'!$AK$58+'France EV uptake'!Z36*'EV %sales'!$AL$58+'Germany EV uptake'!Z36*'EV %sales'!$AM$58+'India EV uptake'!Z36*'EV %sales'!$AN$58+'Ireland EV uptake'!Z36*'EV %sales'!$AO$58+'Italy EV uptake'!Z36*'EV %sales'!$AP$58+'Japan EV uptake'!Z36*'EV %sales'!$AQ$58+'Korea EV uptake'!Z36*'EV %sales'!$AR$58+'Netherlands logist Take-up'!AE114*'EV %sales'!$AS$58+'New Zealand EV uptake'!Z36*'EV %sales'!$AT$58+'Norway EV uptake with subs'!AF43*'EV %sales'!$AU$58+'Spain EV uptake'!Z36*'EV %sales'!$AV$58+'Sweden EV uptake'!Z36*'EV %sales'!$AW$58+'Switzerland EV uptake'!Z36*'EV %sales'!$AX$58+'USA EV uptake'!Z36*'EV %sales'!$AZ$58)/('EV %sales'!$BB$58-'EV %sales'!$BA$58)</f>
        <v>60.691674694615287</v>
      </c>
    </row>
    <row r="93" spans="1:30">
      <c r="A93">
        <v>2042</v>
      </c>
      <c r="C93" s="13">
        <f t="shared" si="14"/>
        <v>64.988301019423389</v>
      </c>
      <c r="D93" s="13">
        <f t="shared" si="12"/>
        <v>58.92707800158886</v>
      </c>
      <c r="E93" s="13">
        <f t="shared" si="9"/>
        <v>58.927078001588853</v>
      </c>
      <c r="G93">
        <f t="shared" si="4"/>
        <v>8.6224608405581797</v>
      </c>
      <c r="H93" s="230">
        <f t="shared" si="11"/>
        <v>2.2724608405581779</v>
      </c>
      <c r="I93" s="230">
        <f>G93-SUM(J$71:J93)</f>
        <v>2.2724608405581783</v>
      </c>
      <c r="J93" s="89">
        <f t="shared" ref="J93:J106" si="15">J92</f>
        <v>0.34</v>
      </c>
      <c r="L93" s="13">
        <f>('Australia EV uptake'!V37*'EV %sales'!$AE$58+'Austria EV uptake'!T37*'EV %sales'!$AF$58+'Belgian EV uptake'!T37*'EV %sales'!$AG$58+'British EV uptake'!T37*'EV %sales'!$AY$58+'Canada EV uptake'!T37*'EV %sales'!$AH$58+'China EV uptake'!T37*'EV %sales'!$AI$58+'Denmark EV uptake'!AF46*'EV %sales'!$AJ$58+'Finland EV uptake'!T37*'EV %sales'!$AK$58+'France EV uptake'!T37*'EV %sales'!$AL$58+'Germany EV uptake'!T37*'EV %sales'!$AM$58+'India EV uptake'!T37*'EV %sales'!$AN$58+'Ireland EV uptake'!T37*'EV %sales'!$AO$58+'Italy EV uptake'!T37*'EV %sales'!$AP$58+'Japan EV uptake'!T37*'EV %sales'!$AQ$58+'Korea EV uptake'!T37*'EV %sales'!$AR$58+'Netherlands logist Take-up'!Y115*'EV %sales'!$AS$58+'New Zealand EV uptake'!T37*'EV %sales'!$AT$58+'Norway EV uptake with subs'!Z44*'EV %sales'!$AU$58+'Spain EV uptake'!T37*'EV %sales'!$AV$58+'Sweden EV uptake'!T37*'EV %sales'!$AW$58+'Switzerland EV uptake'!T37*'EV %sales'!$AX$58+'USA EV uptake'!T37*'EV %sales'!$AZ$58)/('EV %sales'!$BB$58-'EV %sales'!$BA$58)</f>
        <v>58.855310279062493</v>
      </c>
      <c r="M93" s="13">
        <f>('Australia EV uptake'!N37*'EV %sales'!AE$58+'Austria EV uptake'!L37*'EV %sales'!AF$58+'Belgian EV uptake'!L37*'EV %sales'!AG$58+'British EV uptake'!L37*'EV %sales'!AY$58+'Canada EV uptake'!L37*'EV %sales'!AH$58+'China EV uptake'!L37*'EV %sales'!AI$58+'Denmark EV uptake'!X46*'EV %sales'!AJ$58+'Finland EV uptake'!L37*'EV %sales'!AK$58+'France EV uptake'!L37*'EV %sales'!AL$58+'Germany EV uptake'!L37*'EV %sales'!AM$58+'India EV uptake'!L37*'EV %sales'!AN$58+'Ireland EV uptake'!L37*'EV %sales'!AO$58+'Italy EV uptake'!L37*'EV %sales'!AP$58+'Japan EV uptake'!L37*'EV %sales'!AQ$58+'Korea EV uptake'!L37*'EV %sales'!AR$58+'Netherlands logist Take-up'!O115*'EV %sales'!AS$58+'New Zealand EV uptake'!L37*'EV %sales'!AT$58+'Norway EV uptake with subs'!R47*'EV %sales'!AU$58+'Spain EV uptake'!L37*'EV %sales'!AV$58+'Sweden EV uptake'!L37*'EV %sales'!AW$58+'Switzerland EV uptake'!L37*'EV %sales'!AX$58+'USA EV uptake'!L37*'EV %sales'!AZ$58+'Rest Europe EV takeup'!O37*'EV %sales'!BA$58)/'EV %sales'!BB$58</f>
        <v>59.99959391616774</v>
      </c>
      <c r="N93" s="13">
        <f>('Australia EV uptake'!D37*'EV %sales'!AE$58+'Austria EV uptake'!AB37*'EV %sales'!AF$58+'Belgian EV uptake'!AB37*'EV %sales'!AG$58+'British EV uptake'!AB37*'EV %sales'!AY$58+'Canada EV uptake'!AB37*'EV %sales'!AH$58+'China EV uptake'!AB37*'EV %sales'!AI$58+'Denmark EV uptake'!F46*'EV %sales'!AJ$58+'Finland EV uptake'!AB37*'EV %sales'!AK$58+'France EV uptake'!AB37*'EV %sales'!AL$58+'Germany EV uptake'!AB37*'EV %sales'!AM$58+'India EV uptake'!AB37*'EV %sales'!AN$58+'Ireland EV uptake'!AB37*'EV %sales'!AO$58+'Italy EV uptake'!AB37*'EV %sales'!AP$58+'Japan EV uptake'!AB37*'EV %sales'!AQ$58+'Korea EV uptake'!AB37*'EV %sales'!AR$58+'Netherlands logist Take-up'!E115*'EV %sales'!AS$58+'New Zealand EV uptake'!AB37*'EV %sales'!AT$58+'Norway EV uptake with subs'!H47*'EV %sales'!AU$58+'Spain EV uptake'!AB37*'EV %sales'!AV$58+'Sweden EV uptake'!AB37*'EV %sales'!AW$58+'Switzerland EV uptake'!AB37*'EV %sales'!AX$58+'USA EV uptake'!AB37*'EV %sales'!AZ$58+'Rest Europe EV takeup'!O37*'EV %sales'!BA$58)/'EV %sales'!BB$58</f>
        <v>59.611067675104572</v>
      </c>
      <c r="P93">
        <v>33</v>
      </c>
      <c r="Q93" s="13">
        <f t="shared" si="6"/>
        <v>1.7292306123291177</v>
      </c>
      <c r="R93" s="13"/>
      <c r="S93" s="13"/>
      <c r="T93" s="13">
        <f t="shared" si="13"/>
        <v>1.7292306123291177</v>
      </c>
      <c r="V93">
        <v>2042</v>
      </c>
      <c r="W93" s="13">
        <f>('Australia EV uptake'!U37*'EV %sales'!$AE$58+'Austria EV uptake'!S37*'EV %sales'!$AF$58+'Belgian EV uptake'!S37*'EV %sales'!$AG$58+'British EV uptake'!S37*'EV %sales'!$AY$58+'Canada EV uptake'!S37*'EV %sales'!$AH$58+'China EV uptake'!S37*'EV %sales'!$AI$58+'Denmark EV uptake'!AE46*'EV %sales'!$AJ$58+'Finland EV uptake'!S37*'EV %sales'!$AK$58+'France EV uptake'!S37*'EV %sales'!$AL$58+'Germany EV uptake'!S37*'EV %sales'!$AM$58+'India EV uptake'!S37*'EV %sales'!$AN$58+'Ireland EV uptake'!S37*'EV %sales'!$AO$58+'Italy EV uptake'!S37*'EV %sales'!$AP$58+'Japan EV uptake'!S37*'EV %sales'!$AQ$58+'Korea EV uptake'!S37*'EV %sales'!$AR$58+'Netherlands logist Take-up'!X115*'EV %sales'!$AS$58+'New Zealand EV uptake'!S37*'EV %sales'!$AT$58+'Norway EV uptake with subs'!Y44*'EV %sales'!$AU$58+'Spain EV uptake'!S37*'EV %sales'!$AV$58+'Sweden EV uptake'!S37*'EV %sales'!$AW$58+'Switzerland EV uptake'!S37*'EV %sales'!$AX$58+'USA EV uptake'!S37*'EV %sales'!$AZ$58)/('EV %sales'!$BB$58-'EV %sales'!$BA$58)</f>
        <v>59.294444013672788</v>
      </c>
      <c r="X93" s="13">
        <f>('Australia EV uptake'!V37*'EV %sales'!$AE$58+'Austria EV uptake'!T37*'EV %sales'!$AF$58+'Belgian EV uptake'!T37*'EV %sales'!$AG$58+'British EV uptake'!T37*'EV %sales'!$AY$58+'Canada EV uptake'!T37*'EV %sales'!$AH$58+'China EV uptake'!T37*'EV %sales'!$AI$58+'Denmark EV uptake'!AF46*'EV %sales'!$AJ$58+'Finland EV uptake'!T37*'EV %sales'!$AK$58+'France EV uptake'!T37*'EV %sales'!$AL$58+'Germany EV uptake'!T37*'EV %sales'!$AM$58+'India EV uptake'!T37*'EV %sales'!$AN$58+'Ireland EV uptake'!T37*'EV %sales'!$AO$58+'Italy EV uptake'!T37*'EV %sales'!$AP$58+'Japan EV uptake'!T37*'EV %sales'!$AQ$58+'Korea EV uptake'!T37*'EV %sales'!$AR$58+'Netherlands logist Take-up'!Y115*'EV %sales'!$AS$58+'New Zealand EV uptake'!T37*'EV %sales'!$AT$58+'Norway EV uptake with subs'!Z44*'EV %sales'!$AU$58+'Spain EV uptake'!T37*'EV %sales'!$AV$58+'Sweden EV uptake'!T37*'EV %sales'!$AW$58+'Switzerland EV uptake'!T37*'EV %sales'!$AX$58+'USA EV uptake'!T37*'EV %sales'!$AZ$58)/('EV %sales'!$BB$58-'EV %sales'!$BA$58)</f>
        <v>58.855310279062493</v>
      </c>
      <c r="Y93" s="13">
        <f>('Australia EV uptake'!W37*'EV %sales'!$AE$58+'Austria EV uptake'!U37*'EV %sales'!$AF$58+'Belgian EV uptake'!U37*'EV %sales'!$AG$58+'British EV uptake'!U37*'EV %sales'!$AY$58+'Canada EV uptake'!U37*'EV %sales'!$AH$58+'China EV uptake'!U37*'EV %sales'!$AI$58+'Denmark EV uptake'!AG46*'EV %sales'!$AJ$58+'Finland EV uptake'!U37*'EV %sales'!$AK$58+'France EV uptake'!U37*'EV %sales'!$AL$58+'Germany EV uptake'!U37*'EV %sales'!$AM$58+'India EV uptake'!U37*'EV %sales'!$AN$58+'Ireland EV uptake'!U37*'EV %sales'!$AO$58+'Italy EV uptake'!U37*'EV %sales'!$AP$58+'Japan EV uptake'!U37*'EV %sales'!$AQ$58+'Korea EV uptake'!U37*'EV %sales'!$AR$58+'Netherlands logist Take-up'!Z115*'EV %sales'!$AS$58+'New Zealand EV uptake'!U37*'EV %sales'!$AT$58+'Norway EV uptake with subs'!AA44*'EV %sales'!$AU$58+'Spain EV uptake'!U37*'EV %sales'!$AV$58+'Sweden EV uptake'!U37*'EV %sales'!$AW$58+'Switzerland EV uptake'!U37*'EV %sales'!$AX$58+'USA EV uptake'!U37*'EV %sales'!$AZ$58)/('EV %sales'!$BB$58-'EV %sales'!$BA$58)</f>
        <v>58.312162630478795</v>
      </c>
      <c r="AA93">
        <v>2042</v>
      </c>
      <c r="AB93" s="13">
        <f>('Australia EV uptake'!Z37*'EV %sales'!$AE$58+'Austria EV uptake'!X37*'EV %sales'!$AF$58+'Belgian EV uptake'!X37*'EV %sales'!$AG$58+'British EV uptake'!X37*'EV %sales'!$AY$58+'Canada EV uptake'!X37*'EV %sales'!$AH$58+'China EV uptake'!X37*'EV %sales'!$AI$58+'Denmark EV uptake'!AJ46*'EV %sales'!$AJ$58+'Finland EV uptake'!X37*'EV %sales'!$AK$58+'France EV uptake'!X37*'EV %sales'!$AL$58+'Germany EV uptake'!X37*'EV %sales'!$AM$58+'India EV uptake'!X37*'EV %sales'!$AN$58+'Ireland EV uptake'!X37*'EV %sales'!$AO$58+'Italy EV uptake'!X37*'EV %sales'!$AP$58+'Japan EV uptake'!X37*'EV %sales'!$AQ$58+'Korea EV uptake'!X37*'EV %sales'!$AR$58+'Netherlands logist Take-up'!AC115*'EV %sales'!$AS$58+'New Zealand EV uptake'!X37*'EV %sales'!$AT$58+'Norway EV uptake with subs'!AD44*'EV %sales'!$AU$58+'Spain EV uptake'!X37*'EV %sales'!$AV$58+'Sweden EV uptake'!X37*'EV %sales'!$AW$58+'Switzerland EV uptake'!X37*'EV %sales'!$AX$58+'USA EV uptake'!X37*'EV %sales'!$AZ$58)/('EV %sales'!$BB$58-'EV %sales'!$BA$58)</f>
        <v>52.597883998715652</v>
      </c>
      <c r="AC93" s="13">
        <f>('Australia EV uptake'!AA37*'EV %sales'!$AE$58+'Austria EV uptake'!Y37*'EV %sales'!$AF$58+'Belgian EV uptake'!Y37*'EV %sales'!$AG$58+'British EV uptake'!Y37*'EV %sales'!$AY$58+'Canada EV uptake'!Y37*'EV %sales'!$AH$58+'China EV uptake'!Y37*'EV %sales'!$AI$58+'Denmark EV uptake'!AK46*'EV %sales'!$AJ$58+'Finland EV uptake'!Y37*'EV %sales'!$AK$58+'France EV uptake'!Y37*'EV %sales'!$AL$58+'Germany EV uptake'!Y37*'EV %sales'!$AM$58+'India EV uptake'!Y37*'EV %sales'!$AN$58+'Ireland EV uptake'!Y37*'EV %sales'!$AO$58+'Italy EV uptake'!Y37*'EV %sales'!$AP$58+'Japan EV uptake'!Y37*'EV %sales'!$AQ$58+'Korea EV uptake'!Y37*'EV %sales'!$AR$58+'Netherlands logist Take-up'!AD115*'EV %sales'!$AS$58+'New Zealand EV uptake'!Y37*'EV %sales'!$AT$58+'Norway EV uptake with subs'!AE44*'EV %sales'!$AU$58+'Spain EV uptake'!Y37*'EV %sales'!$AV$58+'Sweden EV uptake'!Y37*'EV %sales'!$AW$58+'Switzerland EV uptake'!Y37*'EV %sales'!$AX$58+'USA EV uptake'!Y37*'EV %sales'!$AZ$58)/('EV %sales'!$BB$58-'EV %sales'!$BA$58)</f>
        <v>58.855310279062493</v>
      </c>
      <c r="AD93" s="13">
        <f>('Australia EV uptake'!AB37*'EV %sales'!$AE$58+'Austria EV uptake'!Z37*'EV %sales'!$AF$58+'Belgian EV uptake'!Z37*'EV %sales'!$AG$58+'British EV uptake'!Z37*'EV %sales'!$AY$58+'Canada EV uptake'!Z37*'EV %sales'!$AH$58+'China EV uptake'!Z37*'EV %sales'!$AI$58+'Denmark EV uptake'!AL46*'EV %sales'!$AJ$58+'Finland EV uptake'!Z37*'EV %sales'!$AK$58+'France EV uptake'!Z37*'EV %sales'!$AL$58+'Germany EV uptake'!Z37*'EV %sales'!$AM$58+'India EV uptake'!Z37*'EV %sales'!$AN$58+'Ireland EV uptake'!Z37*'EV %sales'!$AO$58+'Italy EV uptake'!Z37*'EV %sales'!$AP$58+'Japan EV uptake'!Z37*'EV %sales'!$AQ$58+'Korea EV uptake'!Z37*'EV %sales'!$AR$58+'Netherlands logist Take-up'!AE115*'EV %sales'!$AS$58+'New Zealand EV uptake'!Z37*'EV %sales'!$AT$58+'Norway EV uptake with subs'!AF44*'EV %sales'!$AU$58+'Spain EV uptake'!Z37*'EV %sales'!$AV$58+'Sweden EV uptake'!Z37*'EV %sales'!$AW$58+'Switzerland EV uptake'!Z37*'EV %sales'!$AX$58+'USA EV uptake'!Z37*'EV %sales'!$AZ$58)/('EV %sales'!$BB$58-'EV %sales'!$BA$58)</f>
        <v>61.28689188727742</v>
      </c>
    </row>
    <row r="94" spans="1:30">
      <c r="A94">
        <v>2043</v>
      </c>
      <c r="C94" s="13">
        <f t="shared" si="14"/>
        <v>64.992761673339956</v>
      </c>
      <c r="D94" s="13">
        <f t="shared" si="12"/>
        <v>59.656102184445899</v>
      </c>
      <c r="E94" s="13">
        <f t="shared" si="9"/>
        <v>59.656102184445899</v>
      </c>
      <c r="G94">
        <f t="shared" si="4"/>
        <v>9.1026411284241178</v>
      </c>
      <c r="H94" s="230">
        <f t="shared" si="11"/>
        <v>2.412641128424116</v>
      </c>
      <c r="I94" s="230">
        <f>G94-SUM(J$71:J94)</f>
        <v>2.4126411284241165</v>
      </c>
      <c r="J94" s="89">
        <f t="shared" si="15"/>
        <v>0.34</v>
      </c>
      <c r="K94" s="41"/>
      <c r="L94" s="13">
        <f>('Australia EV uptake'!V38*'EV %sales'!$AE$58+'Austria EV uptake'!T38*'EV %sales'!$AF$58+'Belgian EV uptake'!T38*'EV %sales'!$AG$58+'British EV uptake'!T38*'EV %sales'!$AY$58+'Canada EV uptake'!T38*'EV %sales'!$AH$58+'China EV uptake'!T38*'EV %sales'!$AI$58+'Denmark EV uptake'!AF47*'EV %sales'!$AJ$58+'Finland EV uptake'!T38*'EV %sales'!$AK$58+'France EV uptake'!T38*'EV %sales'!$AL$58+'Germany EV uptake'!T38*'EV %sales'!$AM$58+'India EV uptake'!T38*'EV %sales'!$AN$58+'Ireland EV uptake'!T38*'EV %sales'!$AO$58+'Italy EV uptake'!T38*'EV %sales'!$AP$58+'Japan EV uptake'!T38*'EV %sales'!$AQ$58+'Korea EV uptake'!T38*'EV %sales'!$AR$58+'Netherlands logist Take-up'!Y116*'EV %sales'!$AS$58+'New Zealand EV uptake'!T38*'EV %sales'!$AT$58+'Norway EV uptake with subs'!Z45*'EV %sales'!$AU$58+'Spain EV uptake'!T38*'EV %sales'!$AV$58+'Sweden EV uptake'!T38*'EV %sales'!$AW$58+'Switzerland EV uptake'!T38*'EV %sales'!$AX$58+'USA EV uptake'!T38*'EV %sales'!$AZ$58)/('EV %sales'!$BB$58-'EV %sales'!$BA$58)</f>
        <v>59.6856717339844</v>
      </c>
      <c r="M94" s="13">
        <f>('Australia EV uptake'!N38*'EV %sales'!AE$58+'Austria EV uptake'!L38*'EV %sales'!AF$58+'Belgian EV uptake'!L38*'EV %sales'!AG$58+'British EV uptake'!L38*'EV %sales'!AY$58+'Canada EV uptake'!L38*'EV %sales'!AH$58+'China EV uptake'!L38*'EV %sales'!AI$58+'Denmark EV uptake'!X47*'EV %sales'!AJ$58+'Finland EV uptake'!L38*'EV %sales'!AK$58+'France EV uptake'!L38*'EV %sales'!AL$58+'Germany EV uptake'!L38*'EV %sales'!AM$58+'India EV uptake'!L38*'EV %sales'!AN$58+'Ireland EV uptake'!L38*'EV %sales'!AO$58+'Italy EV uptake'!L38*'EV %sales'!AP$58+'Japan EV uptake'!L38*'EV %sales'!AQ$58+'Korea EV uptake'!L38*'EV %sales'!AR$58+'Netherlands logist Take-up'!O116*'EV %sales'!AS$58+'New Zealand EV uptake'!L38*'EV %sales'!AT$58+'Norway EV uptake with subs'!R48*'EV %sales'!AU$58+'Spain EV uptake'!L38*'EV %sales'!AV$58+'Sweden EV uptake'!L38*'EV %sales'!AW$58+'Switzerland EV uptake'!L38*'EV %sales'!AX$58+'USA EV uptake'!L38*'EV %sales'!AZ$58+'Rest Europe EV takeup'!O38*'EV %sales'!BA$58)/'EV %sales'!BB$58</f>
        <v>60.673854190123969</v>
      </c>
      <c r="N94" s="13">
        <f>('Australia EV uptake'!D38*'EV %sales'!AE$58+'Austria EV uptake'!AB38*'EV %sales'!AF$58+'Belgian EV uptake'!AB38*'EV %sales'!AG$58+'British EV uptake'!AB38*'EV %sales'!AY$58+'Canada EV uptake'!AB38*'EV %sales'!AH$58+'China EV uptake'!AB38*'EV %sales'!AI$58+'Denmark EV uptake'!F47*'EV %sales'!AJ$58+'Finland EV uptake'!AB38*'EV %sales'!AK$58+'France EV uptake'!AB38*'EV %sales'!AL$58+'Germany EV uptake'!AB38*'EV %sales'!AM$58+'India EV uptake'!AB38*'EV %sales'!AN$58+'Ireland EV uptake'!AB38*'EV %sales'!AO$58+'Italy EV uptake'!AB38*'EV %sales'!AP$58+'Japan EV uptake'!AB38*'EV %sales'!AQ$58+'Korea EV uptake'!AB38*'EV %sales'!AR$58+'Netherlands logist Take-up'!E116*'EV %sales'!AS$58+'New Zealand EV uptake'!AB38*'EV %sales'!AT$58+'Norway EV uptake with subs'!H48*'EV %sales'!AU$58+'Spain EV uptake'!AB38*'EV %sales'!AV$58+'Sweden EV uptake'!AB38*'EV %sales'!AW$58+'Switzerland EV uptake'!AB38*'EV %sales'!AX$58+'USA EV uptake'!AB38*'EV %sales'!AZ$58+'Rest Europe EV takeup'!O38*'EV %sales'!BA$58)/'EV %sales'!BB$58</f>
        <v>60.268000408259837</v>
      </c>
      <c r="O94" s="41"/>
      <c r="P94">
        <v>34</v>
      </c>
      <c r="Q94" s="13">
        <f t="shared" si="6"/>
        <v>1.7292306123291177</v>
      </c>
      <c r="R94" s="13"/>
      <c r="S94" s="13"/>
      <c r="T94" s="13">
        <f t="shared" si="13"/>
        <v>1.7292306123291177</v>
      </c>
      <c r="U94" s="41"/>
      <c r="V94">
        <v>2043</v>
      </c>
      <c r="W94" s="13">
        <f>('Australia EV uptake'!U38*'EV %sales'!$AE$58+'Austria EV uptake'!S38*'EV %sales'!$AF$58+'Belgian EV uptake'!S38*'EV %sales'!$AG$58+'British EV uptake'!S38*'EV %sales'!$AY$58+'Canada EV uptake'!S38*'EV %sales'!$AH$58+'China EV uptake'!S38*'EV %sales'!$AI$58+'Denmark EV uptake'!AE47*'EV %sales'!$AJ$58+'Finland EV uptake'!S38*'EV %sales'!$AK$58+'France EV uptake'!S38*'EV %sales'!$AL$58+'Germany EV uptake'!S38*'EV %sales'!$AM$58+'India EV uptake'!S38*'EV %sales'!$AN$58+'Ireland EV uptake'!S38*'EV %sales'!$AO$58+'Italy EV uptake'!S38*'EV %sales'!$AP$58+'Japan EV uptake'!S38*'EV %sales'!$AQ$58+'Korea EV uptake'!S38*'EV %sales'!$AR$58+'Netherlands logist Take-up'!X116*'EV %sales'!$AS$58+'New Zealand EV uptake'!S38*'EV %sales'!$AT$58+'Norway EV uptake with subs'!Y45*'EV %sales'!$AU$58+'Spain EV uptake'!S38*'EV %sales'!$AV$58+'Sweden EV uptake'!S38*'EV %sales'!$AW$58+'Switzerland EV uptake'!S38*'EV %sales'!$AX$58+'USA EV uptake'!S38*'EV %sales'!$AZ$58)/('EV %sales'!$BB$58-'EV %sales'!$BA$58)</f>
        <v>60.052688767822794</v>
      </c>
      <c r="X94" s="13">
        <f>('Australia EV uptake'!V38*'EV %sales'!$AE$58+'Austria EV uptake'!T38*'EV %sales'!$AF$58+'Belgian EV uptake'!T38*'EV %sales'!$AG$58+'British EV uptake'!T38*'EV %sales'!$AY$58+'Canada EV uptake'!T38*'EV %sales'!$AH$58+'China EV uptake'!T38*'EV %sales'!$AI$58+'Denmark EV uptake'!AF47*'EV %sales'!$AJ$58+'Finland EV uptake'!T38*'EV %sales'!$AK$58+'France EV uptake'!T38*'EV %sales'!$AL$58+'Germany EV uptake'!T38*'EV %sales'!$AM$58+'India EV uptake'!T38*'EV %sales'!$AN$58+'Ireland EV uptake'!T38*'EV %sales'!$AO$58+'Italy EV uptake'!T38*'EV %sales'!$AP$58+'Japan EV uptake'!T38*'EV %sales'!$AQ$58+'Korea EV uptake'!T38*'EV %sales'!$AR$58+'Netherlands logist Take-up'!Y116*'EV %sales'!$AS$58+'New Zealand EV uptake'!T38*'EV %sales'!$AT$58+'Norway EV uptake with subs'!Z45*'EV %sales'!$AU$58+'Spain EV uptake'!T38*'EV %sales'!$AV$58+'Sweden EV uptake'!T38*'EV %sales'!$AW$58+'Switzerland EV uptake'!T38*'EV %sales'!$AX$58+'USA EV uptake'!T38*'EV %sales'!$AZ$58)/('EV %sales'!$BB$58-'EV %sales'!$BA$58)</f>
        <v>59.6856717339844</v>
      </c>
      <c r="Y94" s="13">
        <f>('Australia EV uptake'!W38*'EV %sales'!$AE$58+'Austria EV uptake'!U38*'EV %sales'!$AF$58+'Belgian EV uptake'!U38*'EV %sales'!$AG$58+'British EV uptake'!U38*'EV %sales'!$AY$58+'Canada EV uptake'!U38*'EV %sales'!$AH$58+'China EV uptake'!U38*'EV %sales'!$AI$58+'Denmark EV uptake'!AG47*'EV %sales'!$AJ$58+'Finland EV uptake'!U38*'EV %sales'!$AK$58+'France EV uptake'!U38*'EV %sales'!$AL$58+'Germany EV uptake'!U38*'EV %sales'!$AM$58+'India EV uptake'!U38*'EV %sales'!$AN$58+'Ireland EV uptake'!U38*'EV %sales'!$AO$58+'Italy EV uptake'!U38*'EV %sales'!$AP$58+'Japan EV uptake'!U38*'EV %sales'!$AQ$58+'Korea EV uptake'!U38*'EV %sales'!$AR$58+'Netherlands logist Take-up'!Z116*'EV %sales'!$AS$58+'New Zealand EV uptake'!U38*'EV %sales'!$AT$58+'Norway EV uptake with subs'!AA45*'EV %sales'!$AU$58+'Spain EV uptake'!U38*'EV %sales'!$AV$58+'Sweden EV uptake'!U38*'EV %sales'!$AW$58+'Switzerland EV uptake'!U38*'EV %sales'!$AX$58+'USA EV uptake'!U38*'EV %sales'!$AZ$58)/('EV %sales'!$BB$58-'EV %sales'!$BA$58)</f>
        <v>59.228594239021142</v>
      </c>
      <c r="AA94">
        <v>2043</v>
      </c>
      <c r="AB94" s="13">
        <f>('Australia EV uptake'!Z38*'EV %sales'!$AE$58+'Austria EV uptake'!X38*'EV %sales'!$AF$58+'Belgian EV uptake'!X38*'EV %sales'!$AG$58+'British EV uptake'!X38*'EV %sales'!$AY$58+'Canada EV uptake'!X38*'EV %sales'!$AH$58+'China EV uptake'!X38*'EV %sales'!$AI$58+'Denmark EV uptake'!AJ47*'EV %sales'!$AJ$58+'Finland EV uptake'!X38*'EV %sales'!$AK$58+'France EV uptake'!X38*'EV %sales'!$AL$58+'Germany EV uptake'!X38*'EV %sales'!$AM$58+'India EV uptake'!X38*'EV %sales'!$AN$58+'Ireland EV uptake'!X38*'EV %sales'!$AO$58+'Italy EV uptake'!X38*'EV %sales'!$AP$58+'Japan EV uptake'!X38*'EV %sales'!$AQ$58+'Korea EV uptake'!X38*'EV %sales'!$AR$58+'Netherlands logist Take-up'!AC116*'EV %sales'!$AS$58+'New Zealand EV uptake'!X38*'EV %sales'!$AT$58+'Norway EV uptake with subs'!AD45*'EV %sales'!$AU$58+'Spain EV uptake'!X38*'EV %sales'!$AV$58+'Sweden EV uptake'!X38*'EV %sales'!$AW$58+'Switzerland EV uptake'!X38*'EV %sales'!$AX$58+'USA EV uptake'!X38*'EV %sales'!$AZ$58)/('EV %sales'!$BB$58-'EV %sales'!$BA$58)</f>
        <v>54.187240227695597</v>
      </c>
      <c r="AC94" s="13">
        <f>('Australia EV uptake'!AA38*'EV %sales'!$AE$58+'Austria EV uptake'!Y38*'EV %sales'!$AF$58+'Belgian EV uptake'!Y38*'EV %sales'!$AG$58+'British EV uptake'!Y38*'EV %sales'!$AY$58+'Canada EV uptake'!Y38*'EV %sales'!$AH$58+'China EV uptake'!Y38*'EV %sales'!$AI$58+'Denmark EV uptake'!AK47*'EV %sales'!$AJ$58+'Finland EV uptake'!Y38*'EV %sales'!$AK$58+'France EV uptake'!Y38*'EV %sales'!$AL$58+'Germany EV uptake'!Y38*'EV %sales'!$AM$58+'India EV uptake'!Y38*'EV %sales'!$AN$58+'Ireland EV uptake'!Y38*'EV %sales'!$AO$58+'Italy EV uptake'!Y38*'EV %sales'!$AP$58+'Japan EV uptake'!Y38*'EV %sales'!$AQ$58+'Korea EV uptake'!Y38*'EV %sales'!$AR$58+'Netherlands logist Take-up'!AD116*'EV %sales'!$AS$58+'New Zealand EV uptake'!Y38*'EV %sales'!$AT$58+'Norway EV uptake with subs'!AE45*'EV %sales'!$AU$58+'Spain EV uptake'!Y38*'EV %sales'!$AV$58+'Sweden EV uptake'!Y38*'EV %sales'!$AW$58+'Switzerland EV uptake'!Y38*'EV %sales'!$AX$58+'USA EV uptake'!Y38*'EV %sales'!$AZ$58)/('EV %sales'!$BB$58-'EV %sales'!$BA$58)</f>
        <v>59.6856717339844</v>
      </c>
      <c r="AD94" s="13">
        <f>('Australia EV uptake'!AB38*'EV %sales'!$AE$58+'Austria EV uptake'!Z38*'EV %sales'!$AF$58+'Belgian EV uptake'!Z38*'EV %sales'!$AG$58+'British EV uptake'!Z38*'EV %sales'!$AY$58+'Canada EV uptake'!Z38*'EV %sales'!$AH$58+'China EV uptake'!Z38*'EV %sales'!$AI$58+'Denmark EV uptake'!AL47*'EV %sales'!$AJ$58+'Finland EV uptake'!Z38*'EV %sales'!$AK$58+'France EV uptake'!Z38*'EV %sales'!$AL$58+'Germany EV uptake'!Z38*'EV %sales'!$AM$58+'India EV uptake'!Z38*'EV %sales'!$AN$58+'Ireland EV uptake'!Z38*'EV %sales'!$AO$58+'Italy EV uptake'!Z38*'EV %sales'!$AP$58+'Japan EV uptake'!Z38*'EV %sales'!$AQ$58+'Korea EV uptake'!Z38*'EV %sales'!$AR$58+'Netherlands logist Take-up'!AE116*'EV %sales'!$AS$58+'New Zealand EV uptake'!Z38*'EV %sales'!$AT$58+'Norway EV uptake with subs'!AF45*'EV %sales'!$AU$58+'Spain EV uptake'!Z38*'EV %sales'!$AV$58+'Sweden EV uptake'!Z38*'EV %sales'!$AW$58+'Switzerland EV uptake'!Z38*'EV %sales'!$AX$58+'USA EV uptake'!Z38*'EV %sales'!$AZ$58)/('EV %sales'!$BB$58-'EV %sales'!$BA$58)</f>
        <v>61.811220834682402</v>
      </c>
    </row>
    <row r="95" spans="1:30">
      <c r="A95">
        <v>2044</v>
      </c>
      <c r="C95" s="13">
        <f t="shared" si="14"/>
        <v>64.99552166093757</v>
      </c>
      <c r="D95" s="13">
        <f t="shared" si="12"/>
        <v>60.304584039988718</v>
      </c>
      <c r="E95" s="13">
        <f t="shared" si="9"/>
        <v>60.304584039988711</v>
      </c>
      <c r="G95">
        <f t="shared" si="4"/>
        <v>9.5828214162900558</v>
      </c>
      <c r="H95" s="230">
        <f t="shared" si="11"/>
        <v>2.5528214162900538</v>
      </c>
      <c r="I95" s="230">
        <f>G95-SUM(J$71:J95)</f>
        <v>2.5528214162900547</v>
      </c>
      <c r="J95" s="89">
        <f t="shared" si="15"/>
        <v>0.34</v>
      </c>
      <c r="L95" s="13">
        <f>('Australia EV uptake'!V39*'EV %sales'!$AE$58+'Austria EV uptake'!T39*'EV %sales'!$AF$58+'Belgian EV uptake'!T39*'EV %sales'!$AG$58+'British EV uptake'!T39*'EV %sales'!$AY$58+'Canada EV uptake'!T39*'EV %sales'!$AH$58+'China EV uptake'!T39*'EV %sales'!$AI$58+'Denmark EV uptake'!AF48*'EV %sales'!$AJ$58+'Finland EV uptake'!T39*'EV %sales'!$AK$58+'France EV uptake'!T39*'EV %sales'!$AL$58+'Germany EV uptake'!T39*'EV %sales'!$AM$58+'India EV uptake'!T39*'EV %sales'!$AN$58+'Ireland EV uptake'!T39*'EV %sales'!$AO$58+'Italy EV uptake'!T39*'EV %sales'!$AP$58+'Japan EV uptake'!T39*'EV %sales'!$AQ$58+'Korea EV uptake'!T39*'EV %sales'!$AR$58+'Netherlands logist Take-up'!Y117*'EV %sales'!$AS$58+'New Zealand EV uptake'!T39*'EV %sales'!$AT$58+'Norway EV uptake with subs'!Z46*'EV %sales'!$AU$58+'Spain EV uptake'!T39*'EV %sales'!$AV$58+'Sweden EV uptake'!T39*'EV %sales'!$AW$58+'Switzerland EV uptake'!T39*'EV %sales'!$AX$58+'USA EV uptake'!T39*'EV %sales'!$AZ$58)/('EV %sales'!$BB$58-'EV %sales'!$BA$58)</f>
        <v>60.421650848044266</v>
      </c>
      <c r="M95" s="13">
        <f>('Australia EV uptake'!N39*'EV %sales'!AE$58+'Austria EV uptake'!L39*'EV %sales'!AF$58+'Belgian EV uptake'!L39*'EV %sales'!AG$58+'British EV uptake'!L39*'EV %sales'!AY$58+'Canada EV uptake'!L39*'EV %sales'!AH$58+'China EV uptake'!L39*'EV %sales'!AI$58+'Denmark EV uptake'!X48*'EV %sales'!AJ$58+'Finland EV uptake'!L39*'EV %sales'!AK$58+'France EV uptake'!L39*'EV %sales'!AL$58+'Germany EV uptake'!L39*'EV %sales'!AM$58+'India EV uptake'!L39*'EV %sales'!AN$58+'Ireland EV uptake'!L39*'EV %sales'!AO$58+'Italy EV uptake'!L39*'EV %sales'!AP$58+'Japan EV uptake'!L39*'EV %sales'!AQ$58+'Korea EV uptake'!L39*'EV %sales'!AR$58+'Netherlands logist Take-up'!O117*'EV %sales'!AS$58+'New Zealand EV uptake'!L39*'EV %sales'!AT$58+'Norway EV uptake with subs'!R49*'EV %sales'!AU$58+'Spain EV uptake'!L39*'EV %sales'!AV$58+'Sweden EV uptake'!L39*'EV %sales'!AW$58+'Switzerland EV uptake'!L39*'EV %sales'!AX$58+'USA EV uptake'!L39*'EV %sales'!AZ$58+'Rest Europe EV takeup'!O39*'EV %sales'!BA$58)/'EV %sales'!BB$58</f>
        <v>61.271205021818318</v>
      </c>
      <c r="N95" s="13">
        <f>('Australia EV uptake'!D39*'EV %sales'!AE$58+'Austria EV uptake'!AB39*'EV %sales'!AF$58+'Belgian EV uptake'!AB39*'EV %sales'!AG$58+'British EV uptake'!AB39*'EV %sales'!AY$58+'Canada EV uptake'!AB39*'EV %sales'!AH$58+'China EV uptake'!AB39*'EV %sales'!AI$58+'Denmark EV uptake'!F48*'EV %sales'!AJ$58+'Finland EV uptake'!AB39*'EV %sales'!AK$58+'France EV uptake'!AB39*'EV %sales'!AL$58+'Germany EV uptake'!AB39*'EV %sales'!AM$58+'India EV uptake'!AB39*'EV %sales'!AN$58+'Ireland EV uptake'!AB39*'EV %sales'!AO$58+'Italy EV uptake'!AB39*'EV %sales'!AP$58+'Japan EV uptake'!AB39*'EV %sales'!AQ$58+'Korea EV uptake'!AB39*'EV %sales'!AR$58+'Netherlands logist Take-up'!E117*'EV %sales'!AS$58+'New Zealand EV uptake'!AB39*'EV %sales'!AT$58+'Norway EV uptake with subs'!H49*'EV %sales'!AU$58+'Spain EV uptake'!AB39*'EV %sales'!AV$58+'Sweden EV uptake'!AB39*'EV %sales'!AW$58+'Switzerland EV uptake'!AB39*'EV %sales'!AX$58+'USA EV uptake'!AB39*'EV %sales'!AZ$58+'Rest Europe EV takeup'!O39*'EV %sales'!BA$58)/'EV %sales'!BB$58</f>
        <v>60.857530446297353</v>
      </c>
      <c r="P95">
        <v>35</v>
      </c>
      <c r="Q95" s="13">
        <f t="shared" si="6"/>
        <v>1.7292306123291177</v>
      </c>
      <c r="R95" s="13"/>
      <c r="S95" s="13"/>
      <c r="T95" s="13">
        <f t="shared" si="13"/>
        <v>1.7292306123291177</v>
      </c>
      <c r="V95">
        <v>2044</v>
      </c>
      <c r="W95" s="13">
        <f>('Australia EV uptake'!U39*'EV %sales'!$AE$58+'Austria EV uptake'!S39*'EV %sales'!$AF$58+'Belgian EV uptake'!S39*'EV %sales'!$AG$58+'British EV uptake'!S39*'EV %sales'!$AY$58+'Canada EV uptake'!S39*'EV %sales'!$AH$58+'China EV uptake'!S39*'EV %sales'!$AI$58+'Denmark EV uptake'!AE48*'EV %sales'!$AJ$58+'Finland EV uptake'!S39*'EV %sales'!$AK$58+'France EV uptake'!S39*'EV %sales'!$AL$58+'Germany EV uptake'!S39*'EV %sales'!$AM$58+'India EV uptake'!S39*'EV %sales'!$AN$58+'Ireland EV uptake'!S39*'EV %sales'!$AO$58+'Italy EV uptake'!S39*'EV %sales'!$AP$58+'Japan EV uptake'!S39*'EV %sales'!$AQ$58+'Korea EV uptake'!S39*'EV %sales'!$AR$58+'Netherlands logist Take-up'!X117*'EV %sales'!$AS$58+'New Zealand EV uptake'!S39*'EV %sales'!$AT$58+'Norway EV uptake with subs'!Y46*'EV %sales'!$AU$58+'Spain EV uptake'!S39*'EV %sales'!$AV$58+'Sweden EV uptake'!S39*'EV %sales'!$AW$58+'Switzerland EV uptake'!S39*'EV %sales'!$AX$58+'USA EV uptake'!S39*'EV %sales'!$AZ$58)/('EV %sales'!$BB$58-'EV %sales'!$BA$58)</f>
        <v>60.725478353168043</v>
      </c>
      <c r="X95" s="13">
        <f>('Australia EV uptake'!V39*'EV %sales'!$AE$58+'Austria EV uptake'!T39*'EV %sales'!$AF$58+'Belgian EV uptake'!T39*'EV %sales'!$AG$58+'British EV uptake'!T39*'EV %sales'!$AY$58+'Canada EV uptake'!T39*'EV %sales'!$AH$58+'China EV uptake'!T39*'EV %sales'!$AI$58+'Denmark EV uptake'!AF48*'EV %sales'!$AJ$58+'Finland EV uptake'!T39*'EV %sales'!$AK$58+'France EV uptake'!T39*'EV %sales'!$AL$58+'Germany EV uptake'!T39*'EV %sales'!$AM$58+'India EV uptake'!T39*'EV %sales'!$AN$58+'Ireland EV uptake'!T39*'EV %sales'!$AO$58+'Italy EV uptake'!T39*'EV %sales'!$AP$58+'Japan EV uptake'!T39*'EV %sales'!$AQ$58+'Korea EV uptake'!T39*'EV %sales'!$AR$58+'Netherlands logist Take-up'!Y117*'EV %sales'!$AS$58+'New Zealand EV uptake'!T39*'EV %sales'!$AT$58+'Norway EV uptake with subs'!Z46*'EV %sales'!$AU$58+'Spain EV uptake'!T39*'EV %sales'!$AV$58+'Sweden EV uptake'!T39*'EV %sales'!$AW$58+'Switzerland EV uptake'!T39*'EV %sales'!$AX$58+'USA EV uptake'!T39*'EV %sales'!$AZ$58)/('EV %sales'!$BB$58-'EV %sales'!$BA$58)</f>
        <v>60.421650848044266</v>
      </c>
      <c r="Y95" s="13">
        <f>('Australia EV uptake'!W39*'EV %sales'!$AE$58+'Austria EV uptake'!U39*'EV %sales'!$AF$58+'Belgian EV uptake'!U39*'EV %sales'!$AG$58+'British EV uptake'!U39*'EV %sales'!$AY$58+'Canada EV uptake'!U39*'EV %sales'!$AH$58+'China EV uptake'!U39*'EV %sales'!$AI$58+'Denmark EV uptake'!AG48*'EV %sales'!$AJ$58+'Finland EV uptake'!U39*'EV %sales'!$AK$58+'France EV uptake'!U39*'EV %sales'!$AL$58+'Germany EV uptake'!U39*'EV %sales'!$AM$58+'India EV uptake'!U39*'EV %sales'!$AN$58+'Ireland EV uptake'!U39*'EV %sales'!$AO$58+'Italy EV uptake'!U39*'EV %sales'!$AP$58+'Japan EV uptake'!U39*'EV %sales'!$AQ$58+'Korea EV uptake'!U39*'EV %sales'!$AR$58+'Netherlands logist Take-up'!Z117*'EV %sales'!$AS$58+'New Zealand EV uptake'!U39*'EV %sales'!$AT$58+'Norway EV uptake with subs'!AA46*'EV %sales'!$AU$58+'Spain EV uptake'!U39*'EV %sales'!$AV$58+'Sweden EV uptake'!U39*'EV %sales'!$AW$58+'Switzerland EV uptake'!U39*'EV %sales'!$AX$58+'USA EV uptake'!U39*'EV %sales'!$AZ$58)/('EV %sales'!$BB$58-'EV %sales'!$BA$58)</f>
        <v>60.040548440310978</v>
      </c>
      <c r="AA95">
        <v>2044</v>
      </c>
      <c r="AB95" s="13">
        <f>('Australia EV uptake'!Z39*'EV %sales'!$AE$58+'Austria EV uptake'!X39*'EV %sales'!$AF$58+'Belgian EV uptake'!X39*'EV %sales'!$AG$58+'British EV uptake'!X39*'EV %sales'!$AY$58+'Canada EV uptake'!X39*'EV %sales'!$AH$58+'China EV uptake'!X39*'EV %sales'!$AI$58+'Denmark EV uptake'!AJ48*'EV %sales'!$AJ$58+'Finland EV uptake'!X39*'EV %sales'!$AK$58+'France EV uptake'!X39*'EV %sales'!$AL$58+'Germany EV uptake'!X39*'EV %sales'!$AM$58+'India EV uptake'!X39*'EV %sales'!$AN$58+'Ireland EV uptake'!X39*'EV %sales'!$AO$58+'Italy EV uptake'!X39*'EV %sales'!$AP$58+'Japan EV uptake'!X39*'EV %sales'!$AQ$58+'Korea EV uptake'!X39*'EV %sales'!$AR$58+'Netherlands logist Take-up'!AC117*'EV %sales'!$AS$58+'New Zealand EV uptake'!X39*'EV %sales'!$AT$58+'Norway EV uptake with subs'!AD46*'EV %sales'!$AU$58+'Spain EV uptake'!X39*'EV %sales'!$AV$58+'Sweden EV uptake'!X39*'EV %sales'!$AW$58+'Switzerland EV uptake'!X39*'EV %sales'!$AX$58+'USA EV uptake'!X39*'EV %sales'!$AZ$58)/('EV %sales'!$BB$58-'EV %sales'!$BA$58)</f>
        <v>55.602437015943167</v>
      </c>
      <c r="AC95" s="13">
        <f>('Australia EV uptake'!AA39*'EV %sales'!$AE$58+'Austria EV uptake'!Y39*'EV %sales'!$AF$58+'Belgian EV uptake'!Y39*'EV %sales'!$AG$58+'British EV uptake'!Y39*'EV %sales'!$AY$58+'Canada EV uptake'!Y39*'EV %sales'!$AH$58+'China EV uptake'!Y39*'EV %sales'!$AI$58+'Denmark EV uptake'!AK48*'EV %sales'!$AJ$58+'Finland EV uptake'!Y39*'EV %sales'!$AK$58+'France EV uptake'!Y39*'EV %sales'!$AL$58+'Germany EV uptake'!Y39*'EV %sales'!$AM$58+'India EV uptake'!Y39*'EV %sales'!$AN$58+'Ireland EV uptake'!Y39*'EV %sales'!$AO$58+'Italy EV uptake'!Y39*'EV %sales'!$AP$58+'Japan EV uptake'!Y39*'EV %sales'!$AQ$58+'Korea EV uptake'!Y39*'EV %sales'!$AR$58+'Netherlands logist Take-up'!AD117*'EV %sales'!$AS$58+'New Zealand EV uptake'!Y39*'EV %sales'!$AT$58+'Norway EV uptake with subs'!AE46*'EV %sales'!$AU$58+'Spain EV uptake'!Y39*'EV %sales'!$AV$58+'Sweden EV uptake'!Y39*'EV %sales'!$AW$58+'Switzerland EV uptake'!Y39*'EV %sales'!$AX$58+'USA EV uptake'!Y39*'EV %sales'!$AZ$58)/('EV %sales'!$BB$58-'EV %sales'!$BA$58)</f>
        <v>60.421650848044266</v>
      </c>
      <c r="AD95" s="13">
        <f>('Australia EV uptake'!AB39*'EV %sales'!$AE$58+'Austria EV uptake'!Z39*'EV %sales'!$AF$58+'Belgian EV uptake'!Z39*'EV %sales'!$AG$58+'British EV uptake'!Z39*'EV %sales'!$AY$58+'Canada EV uptake'!Z39*'EV %sales'!$AH$58+'China EV uptake'!Z39*'EV %sales'!$AI$58+'Denmark EV uptake'!AL48*'EV %sales'!$AJ$58+'Finland EV uptake'!Z39*'EV %sales'!$AK$58+'France EV uptake'!Z39*'EV %sales'!$AL$58+'Germany EV uptake'!Z39*'EV %sales'!$AM$58+'India EV uptake'!Z39*'EV %sales'!$AN$58+'Ireland EV uptake'!Z39*'EV %sales'!$AO$58+'Italy EV uptake'!Z39*'EV %sales'!$AP$58+'Japan EV uptake'!Z39*'EV %sales'!$AQ$58+'Korea EV uptake'!Z39*'EV %sales'!$AR$58+'Netherlands logist Take-up'!AE117*'EV %sales'!$AS$58+'New Zealand EV uptake'!Z39*'EV %sales'!$AT$58+'Norway EV uptake with subs'!AF46*'EV %sales'!$AU$58+'Spain EV uptake'!Z39*'EV %sales'!$AV$58+'Sweden EV uptake'!Z39*'EV %sales'!$AW$58+'Switzerland EV uptake'!Z39*'EV %sales'!$AX$58+'USA EV uptake'!Z39*'EV %sales'!$AZ$58)/('EV %sales'!$BB$58-'EV %sales'!$BA$58)</f>
        <v>62.270942439065145</v>
      </c>
    </row>
    <row r="96" spans="1:30">
      <c r="A96">
        <v>2045</v>
      </c>
      <c r="C96" s="13">
        <f t="shared" si="14"/>
        <v>64.997229304926634</v>
      </c>
      <c r="D96" s="13">
        <f t="shared" si="12"/>
        <v>60.879807647169329</v>
      </c>
      <c r="E96" s="13">
        <f t="shared" si="9"/>
        <v>60.879807647169329</v>
      </c>
      <c r="G96">
        <f t="shared" si="4"/>
        <v>10.063001704155994</v>
      </c>
      <c r="H96" s="230">
        <f t="shared" si="11"/>
        <v>2.6930017041559915</v>
      </c>
      <c r="I96" s="230">
        <f>G96-SUM(J$71:J96)</f>
        <v>2.6930017041559928</v>
      </c>
      <c r="J96" s="89">
        <f t="shared" si="15"/>
        <v>0.34</v>
      </c>
      <c r="L96" s="13">
        <f>('Australia EV uptake'!V40*'EV %sales'!$AE$58+'Austria EV uptake'!T40*'EV %sales'!$AF$58+'Belgian EV uptake'!T40*'EV %sales'!$AG$58+'British EV uptake'!T40*'EV %sales'!$AY$58+'Canada EV uptake'!T40*'EV %sales'!$AH$58+'China EV uptake'!T40*'EV %sales'!$AI$58+'Denmark EV uptake'!AF49*'EV %sales'!$AJ$58+'Finland EV uptake'!T40*'EV %sales'!$AK$58+'France EV uptake'!T40*'EV %sales'!$AL$58+'Germany EV uptake'!T40*'EV %sales'!$AM$58+'India EV uptake'!T40*'EV %sales'!$AN$58+'Ireland EV uptake'!T40*'EV %sales'!$AO$58+'Italy EV uptake'!T40*'EV %sales'!$AP$58+'Japan EV uptake'!T40*'EV %sales'!$AQ$58+'Korea EV uptake'!T40*'EV %sales'!$AR$58+'Netherlands logist Take-up'!Y118*'EV %sales'!$AS$58+'New Zealand EV uptake'!T40*'EV %sales'!$AT$58+'Norway EV uptake with subs'!Z47*'EV %sales'!$AU$58+'Spain EV uptake'!T40*'EV %sales'!$AV$58+'Sweden EV uptake'!T40*'EV %sales'!$AW$58+'Switzerland EV uptake'!T40*'EV %sales'!$AX$58+'USA EV uptake'!T40*'EV %sales'!$AZ$58)/('EV %sales'!$BB$58-'EV %sales'!$BA$58)</f>
        <v>61.070140407745981</v>
      </c>
      <c r="M96" s="13">
        <f>('Australia EV uptake'!N40*'EV %sales'!AE$58+'Austria EV uptake'!L40*'EV %sales'!AF$58+'Belgian EV uptake'!L40*'EV %sales'!AG$58+'British EV uptake'!L40*'EV %sales'!AY$58+'Canada EV uptake'!L40*'EV %sales'!AH$58+'China EV uptake'!L40*'EV %sales'!AI$58+'Denmark EV uptake'!X49*'EV %sales'!AJ$58+'Finland EV uptake'!L40*'EV %sales'!AK$58+'France EV uptake'!L40*'EV %sales'!AL$58+'Germany EV uptake'!L40*'EV %sales'!AM$58+'India EV uptake'!L40*'EV %sales'!AN$58+'Ireland EV uptake'!L40*'EV %sales'!AO$58+'Italy EV uptake'!L40*'EV %sales'!AP$58+'Japan EV uptake'!L40*'EV %sales'!AQ$58+'Korea EV uptake'!L40*'EV %sales'!AR$58+'Netherlands logist Take-up'!O118*'EV %sales'!AS$58+'New Zealand EV uptake'!L40*'EV %sales'!AT$58+'Norway EV uptake with subs'!R50*'EV %sales'!AU$58+'Spain EV uptake'!L40*'EV %sales'!AV$58+'Sweden EV uptake'!L40*'EV %sales'!AW$58+'Switzerland EV uptake'!L40*'EV %sales'!AX$58+'USA EV uptake'!L40*'EV %sales'!AZ$58+'Rest Europe EV takeup'!O40*'EV %sales'!BA$58)/'EV %sales'!BB$58</f>
        <v>61.797802420976311</v>
      </c>
      <c r="N96" s="13">
        <f>('Australia EV uptake'!D40*'EV %sales'!AE$58+'Austria EV uptake'!AB40*'EV %sales'!AF$58+'Belgian EV uptake'!AB40*'EV %sales'!AG$58+'British EV uptake'!AB40*'EV %sales'!AY$58+'Canada EV uptake'!AB40*'EV %sales'!AH$58+'China EV uptake'!AB40*'EV %sales'!AI$58+'Denmark EV uptake'!F49*'EV %sales'!AJ$58+'Finland EV uptake'!AB40*'EV %sales'!AK$58+'France EV uptake'!AB40*'EV %sales'!AL$58+'Germany EV uptake'!AB40*'EV %sales'!AM$58+'India EV uptake'!AB40*'EV %sales'!AN$58+'Ireland EV uptake'!AB40*'EV %sales'!AO$58+'Italy EV uptake'!AB40*'EV %sales'!AP$58+'Japan EV uptake'!AB40*'EV %sales'!AQ$58+'Korea EV uptake'!AB40*'EV %sales'!AR$58+'Netherlands logist Take-up'!E118*'EV %sales'!AS$58+'New Zealand EV uptake'!AB40*'EV %sales'!AT$58+'Norway EV uptake with subs'!H50*'EV %sales'!AU$58+'Spain EV uptake'!AB40*'EV %sales'!AV$58+'Sweden EV uptake'!AB40*'EV %sales'!AW$58+'Switzerland EV uptake'!AB40*'EV %sales'!AX$58+'USA EV uptake'!AB40*'EV %sales'!AZ$58+'Rest Europe EV takeup'!O40*'EV %sales'!BA$58)/'EV %sales'!BB$58</f>
        <v>61.385838838999597</v>
      </c>
      <c r="P96">
        <v>36</v>
      </c>
      <c r="Q96" s="13">
        <f t="shared" si="6"/>
        <v>1.7292306123291177</v>
      </c>
      <c r="R96" s="13"/>
      <c r="S96" s="13"/>
      <c r="T96" s="13">
        <f t="shared" si="13"/>
        <v>1.7292306123291177</v>
      </c>
      <c r="V96">
        <v>2045</v>
      </c>
      <c r="W96" s="13">
        <f>('Australia EV uptake'!U40*'EV %sales'!$AE$58+'Austria EV uptake'!S40*'EV %sales'!$AF$58+'Belgian EV uptake'!S40*'EV %sales'!$AG$58+'British EV uptake'!S40*'EV %sales'!$AY$58+'Canada EV uptake'!S40*'EV %sales'!$AH$58+'China EV uptake'!S40*'EV %sales'!$AI$58+'Denmark EV uptake'!AE49*'EV %sales'!$AJ$58+'Finland EV uptake'!S40*'EV %sales'!$AK$58+'France EV uptake'!S40*'EV %sales'!$AL$58+'Germany EV uptake'!S40*'EV %sales'!$AM$58+'India EV uptake'!S40*'EV %sales'!$AN$58+'Ireland EV uptake'!S40*'EV %sales'!$AO$58+'Italy EV uptake'!S40*'EV %sales'!$AP$58+'Japan EV uptake'!S40*'EV %sales'!$AQ$58+'Korea EV uptake'!S40*'EV %sales'!$AR$58+'Netherlands logist Take-up'!X118*'EV %sales'!$AS$58+'New Zealand EV uptake'!S40*'EV %sales'!$AT$58+'Norway EV uptake with subs'!Y47*'EV %sales'!$AU$58+'Spain EV uptake'!S40*'EV %sales'!$AV$58+'Sweden EV uptake'!S40*'EV %sales'!$AW$58+'Switzerland EV uptake'!S40*'EV %sales'!$AX$58+'USA EV uptake'!S40*'EV %sales'!$AZ$58)/('EV %sales'!$BB$58-'EV %sales'!$BA$58)</f>
        <v>61.319585256746805</v>
      </c>
      <c r="X96" s="13">
        <f>('Australia EV uptake'!V40*'EV %sales'!$AE$58+'Austria EV uptake'!T40*'EV %sales'!$AF$58+'Belgian EV uptake'!T40*'EV %sales'!$AG$58+'British EV uptake'!T40*'EV %sales'!$AY$58+'Canada EV uptake'!T40*'EV %sales'!$AH$58+'China EV uptake'!T40*'EV %sales'!$AI$58+'Denmark EV uptake'!AF49*'EV %sales'!$AJ$58+'Finland EV uptake'!T40*'EV %sales'!$AK$58+'France EV uptake'!T40*'EV %sales'!$AL$58+'Germany EV uptake'!T40*'EV %sales'!$AM$58+'India EV uptake'!T40*'EV %sales'!$AN$58+'Ireland EV uptake'!T40*'EV %sales'!$AO$58+'Italy EV uptake'!T40*'EV %sales'!$AP$58+'Japan EV uptake'!T40*'EV %sales'!$AQ$58+'Korea EV uptake'!T40*'EV %sales'!$AR$58+'Netherlands logist Take-up'!Y118*'EV %sales'!$AS$58+'New Zealand EV uptake'!T40*'EV %sales'!$AT$58+'Norway EV uptake with subs'!Z47*'EV %sales'!$AU$58+'Spain EV uptake'!T40*'EV %sales'!$AV$58+'Sweden EV uptake'!T40*'EV %sales'!$AW$58+'Switzerland EV uptake'!T40*'EV %sales'!$AX$58+'USA EV uptake'!T40*'EV %sales'!$AZ$58)/('EV %sales'!$BB$58-'EV %sales'!$BA$58)</f>
        <v>61.070140407745981</v>
      </c>
      <c r="Y96" s="13">
        <f>('Australia EV uptake'!W40*'EV %sales'!$AE$58+'Austria EV uptake'!U40*'EV %sales'!$AF$58+'Belgian EV uptake'!U40*'EV %sales'!$AG$58+'British EV uptake'!U40*'EV %sales'!$AY$58+'Canada EV uptake'!U40*'EV %sales'!$AH$58+'China EV uptake'!U40*'EV %sales'!$AI$58+'Denmark EV uptake'!AG49*'EV %sales'!$AJ$58+'Finland EV uptake'!U40*'EV %sales'!$AK$58+'France EV uptake'!U40*'EV %sales'!$AL$58+'Germany EV uptake'!U40*'EV %sales'!$AM$58+'India EV uptake'!U40*'EV %sales'!$AN$58+'Ireland EV uptake'!U40*'EV %sales'!$AO$58+'Italy EV uptake'!U40*'EV %sales'!$AP$58+'Japan EV uptake'!U40*'EV %sales'!$AQ$58+'Korea EV uptake'!U40*'EV %sales'!$AR$58+'Netherlands logist Take-up'!Z118*'EV %sales'!$AS$58+'New Zealand EV uptake'!U40*'EV %sales'!$AT$58+'Norway EV uptake with subs'!AA47*'EV %sales'!$AU$58+'Spain EV uptake'!U40*'EV %sales'!$AV$58+'Sweden EV uptake'!U40*'EV %sales'!$AW$58+'Switzerland EV uptake'!U40*'EV %sales'!$AX$58+'USA EV uptake'!U40*'EV %sales'!$AZ$58)/('EV %sales'!$BB$58-'EV %sales'!$BA$58)</f>
        <v>60.755045674324045</v>
      </c>
      <c r="AA96">
        <v>2045</v>
      </c>
      <c r="AB96" s="13">
        <f>('Australia EV uptake'!Z40*'EV %sales'!$AE$58+'Austria EV uptake'!X40*'EV %sales'!$AF$58+'Belgian EV uptake'!X40*'EV %sales'!$AG$58+'British EV uptake'!X40*'EV %sales'!$AY$58+'Canada EV uptake'!X40*'EV %sales'!$AH$58+'China EV uptake'!X40*'EV %sales'!$AI$58+'Denmark EV uptake'!AJ49*'EV %sales'!$AJ$58+'Finland EV uptake'!X40*'EV %sales'!$AK$58+'France EV uptake'!X40*'EV %sales'!$AL$58+'Germany EV uptake'!X40*'EV %sales'!$AM$58+'India EV uptake'!X40*'EV %sales'!$AN$58+'Ireland EV uptake'!X40*'EV %sales'!$AO$58+'Italy EV uptake'!X40*'EV %sales'!$AP$58+'Japan EV uptake'!X40*'EV %sales'!$AQ$58+'Korea EV uptake'!X40*'EV %sales'!$AR$58+'Netherlands logist Take-up'!AC118*'EV %sales'!$AS$58+'New Zealand EV uptake'!X40*'EV %sales'!$AT$58+'Norway EV uptake with subs'!AD47*'EV %sales'!$AU$58+'Spain EV uptake'!X40*'EV %sales'!$AV$58+'Sweden EV uptake'!X40*'EV %sales'!$AW$58+'Switzerland EV uptake'!X40*'EV %sales'!$AX$58+'USA EV uptake'!X40*'EV %sales'!$AZ$58)/('EV %sales'!$BB$58-'EV %sales'!$BA$58)</f>
        <v>56.856274300563051</v>
      </c>
      <c r="AC96" s="13">
        <f>('Australia EV uptake'!AA40*'EV %sales'!$AE$58+'Austria EV uptake'!Y40*'EV %sales'!$AF$58+'Belgian EV uptake'!Y40*'EV %sales'!$AG$58+'British EV uptake'!Y40*'EV %sales'!$AY$58+'Canada EV uptake'!Y40*'EV %sales'!$AH$58+'China EV uptake'!Y40*'EV %sales'!$AI$58+'Denmark EV uptake'!AK49*'EV %sales'!$AJ$58+'Finland EV uptake'!Y40*'EV %sales'!$AK$58+'France EV uptake'!Y40*'EV %sales'!$AL$58+'Germany EV uptake'!Y40*'EV %sales'!$AM$58+'India EV uptake'!Y40*'EV %sales'!$AN$58+'Ireland EV uptake'!Y40*'EV %sales'!$AO$58+'Italy EV uptake'!Y40*'EV %sales'!$AP$58+'Japan EV uptake'!Y40*'EV %sales'!$AQ$58+'Korea EV uptake'!Y40*'EV %sales'!$AR$58+'Netherlands logist Take-up'!AD118*'EV %sales'!$AS$58+'New Zealand EV uptake'!Y40*'EV %sales'!$AT$58+'Norway EV uptake with subs'!AE47*'EV %sales'!$AU$58+'Spain EV uptake'!Y40*'EV %sales'!$AV$58+'Sweden EV uptake'!Y40*'EV %sales'!$AW$58+'Switzerland EV uptake'!Y40*'EV %sales'!$AX$58+'USA EV uptake'!Y40*'EV %sales'!$AZ$58)/('EV %sales'!$BB$58-'EV %sales'!$BA$58)</f>
        <v>61.070140407745981</v>
      </c>
      <c r="AD96" s="13">
        <f>('Australia EV uptake'!AB40*'EV %sales'!$AE$58+'Austria EV uptake'!Z40*'EV %sales'!$AF$58+'Belgian EV uptake'!Z40*'EV %sales'!$AG$58+'British EV uptake'!Z40*'EV %sales'!$AY$58+'Canada EV uptake'!Z40*'EV %sales'!$AH$58+'China EV uptake'!Z40*'EV %sales'!$AI$58+'Denmark EV uptake'!AL49*'EV %sales'!$AJ$58+'Finland EV uptake'!Z40*'EV %sales'!$AK$58+'France EV uptake'!Z40*'EV %sales'!$AL$58+'Germany EV uptake'!Z40*'EV %sales'!$AM$58+'India EV uptake'!Z40*'EV %sales'!$AN$58+'Ireland EV uptake'!Z40*'EV %sales'!$AO$58+'Italy EV uptake'!Z40*'EV %sales'!$AP$58+'Japan EV uptake'!Z40*'EV %sales'!$AQ$58+'Korea EV uptake'!Z40*'EV %sales'!$AR$58+'Netherlands logist Take-up'!AE118*'EV %sales'!$AS$58+'New Zealand EV uptake'!Z40*'EV %sales'!$AT$58+'Norway EV uptake with subs'!AF47*'EV %sales'!$AU$58+'Spain EV uptake'!Z40*'EV %sales'!$AV$58+'Sweden EV uptake'!Z40*'EV %sales'!$AW$58+'Switzerland EV uptake'!Z40*'EV %sales'!$AX$58+'USA EV uptake'!Z40*'EV %sales'!$AZ$58)/('EV %sales'!$BB$58-'EV %sales'!$BA$58)</f>
        <v>62.672173459862222</v>
      </c>
    </row>
    <row r="97" spans="1:30">
      <c r="A97">
        <v>2046</v>
      </c>
      <c r="C97" s="13">
        <f t="shared" si="14"/>
        <v>64.998285821110173</v>
      </c>
      <c r="D97" s="13">
        <f t="shared" si="12"/>
        <v>61.38878196147953</v>
      </c>
      <c r="E97" s="13">
        <f t="shared" si="9"/>
        <v>61.388781961479538</v>
      </c>
      <c r="G97">
        <f t="shared" si="4"/>
        <v>10.543181992021928</v>
      </c>
      <c r="H97" s="230">
        <f t="shared" si="11"/>
        <v>2.8331819920219288</v>
      </c>
      <c r="I97" s="230">
        <f>G97-SUM(J$71:J97)</f>
        <v>2.8331819920219274</v>
      </c>
      <c r="J97" s="89">
        <f t="shared" si="15"/>
        <v>0.34</v>
      </c>
      <c r="L97" s="13">
        <f>('Australia EV uptake'!V41*'EV %sales'!$AE$58+'Austria EV uptake'!T41*'EV %sales'!$AF$58+'Belgian EV uptake'!T41*'EV %sales'!$AG$58+'British EV uptake'!T41*'EV %sales'!$AY$58+'Canada EV uptake'!T41*'EV %sales'!$AH$58+'China EV uptake'!T41*'EV %sales'!$AI$58+'Denmark EV uptake'!AF50*'EV %sales'!$AJ$58+'Finland EV uptake'!T41*'EV %sales'!$AK$58+'France EV uptake'!T41*'EV %sales'!$AL$58+'Germany EV uptake'!T41*'EV %sales'!$AM$58+'India EV uptake'!T41*'EV %sales'!$AN$58+'Ireland EV uptake'!T41*'EV %sales'!$AO$58+'Italy EV uptake'!T41*'EV %sales'!$AP$58+'Japan EV uptake'!T41*'EV %sales'!$AQ$58+'Korea EV uptake'!T41*'EV %sales'!$AR$58+'Netherlands logist Take-up'!Y119*'EV %sales'!$AS$58+'New Zealand EV uptake'!T41*'EV %sales'!$AT$58+'Norway EV uptake with subs'!Z48*'EV %sales'!$AU$58+'Spain EV uptake'!T41*'EV %sales'!$AV$58+'Sweden EV uptake'!T41*'EV %sales'!$AW$58+'Switzerland EV uptake'!T41*'EV %sales'!$AX$58+'USA EV uptake'!T41*'EV %sales'!$AZ$58)/('EV %sales'!$BB$58-'EV %sales'!$BA$58)</f>
        <v>61.638713137976019</v>
      </c>
      <c r="M97" s="13">
        <f>('Australia EV uptake'!N41*'EV %sales'!AE$58+'Austria EV uptake'!L41*'EV %sales'!AF$58+'Belgian EV uptake'!L41*'EV %sales'!AG$58+'British EV uptake'!L41*'EV %sales'!AY$58+'Canada EV uptake'!L41*'EV %sales'!AH$58+'China EV uptake'!L41*'EV %sales'!AI$58+'Denmark EV uptake'!X50*'EV %sales'!AJ$58+'Finland EV uptake'!L41*'EV %sales'!AK$58+'France EV uptake'!L41*'EV %sales'!AL$58+'Germany EV uptake'!L41*'EV %sales'!AM$58+'India EV uptake'!L41*'EV %sales'!AN$58+'Ireland EV uptake'!L41*'EV %sales'!AO$58+'Italy EV uptake'!L41*'EV %sales'!AP$58+'Japan EV uptake'!L41*'EV %sales'!AQ$58+'Korea EV uptake'!L41*'EV %sales'!AR$58+'Netherlands logist Take-up'!O119*'EV %sales'!AS$58+'New Zealand EV uptake'!L41*'EV %sales'!AT$58+'Norway EV uptake with subs'!R51*'EV %sales'!AU$58+'Spain EV uptake'!L41*'EV %sales'!AV$58+'Sweden EV uptake'!L41*'EV %sales'!AW$58+'Switzerland EV uptake'!L41*'EV %sales'!AX$58+'USA EV uptake'!L41*'EV %sales'!AZ$58+'Rest Europe EV takeup'!O41*'EV %sales'!BA$58)/'EV %sales'!BB$58</f>
        <v>62.259834600803849</v>
      </c>
      <c r="N97" s="13">
        <f>('Australia EV uptake'!D41*'EV %sales'!AE$58+'Austria EV uptake'!AB41*'EV %sales'!AF$58+'Belgian EV uptake'!AB41*'EV %sales'!AG$58+'British EV uptake'!AB41*'EV %sales'!AY$58+'Canada EV uptake'!AB41*'EV %sales'!AH$58+'China EV uptake'!AB41*'EV %sales'!AI$58+'Denmark EV uptake'!F50*'EV %sales'!AJ$58+'Finland EV uptake'!AB41*'EV %sales'!AK$58+'France EV uptake'!AB41*'EV %sales'!AL$58+'Germany EV uptake'!AB41*'EV %sales'!AM$58+'India EV uptake'!AB41*'EV %sales'!AN$58+'Ireland EV uptake'!AB41*'EV %sales'!AO$58+'Italy EV uptake'!AB41*'EV %sales'!AP$58+'Japan EV uptake'!AB41*'EV %sales'!AQ$58+'Korea EV uptake'!AB41*'EV %sales'!AR$58+'Netherlands logist Take-up'!E119*'EV %sales'!AS$58+'New Zealand EV uptake'!AB41*'EV %sales'!AT$58+'Norway EV uptake with subs'!H51*'EV %sales'!AU$58+'Spain EV uptake'!AB41*'EV %sales'!AV$58+'Sweden EV uptake'!AB41*'EV %sales'!AW$58+'Switzerland EV uptake'!AB41*'EV %sales'!AX$58+'USA EV uptake'!AB41*'EV %sales'!AZ$58+'Rest Europe EV takeup'!O41*'EV %sales'!BA$58)/'EV %sales'!BB$58</f>
        <v>61.858289197192519</v>
      </c>
      <c r="P97">
        <v>37</v>
      </c>
      <c r="Q97" s="13">
        <f t="shared" si="6"/>
        <v>1.7292306123291177</v>
      </c>
      <c r="R97" s="13"/>
      <c r="S97" s="13"/>
      <c r="T97" s="13">
        <f t="shared" si="13"/>
        <v>1.7292306123291177</v>
      </c>
      <c r="V97">
        <v>2046</v>
      </c>
      <c r="W97" s="13">
        <f>('Australia EV uptake'!U41*'EV %sales'!$AE$58+'Austria EV uptake'!S41*'EV %sales'!$AF$58+'Belgian EV uptake'!S41*'EV %sales'!$AG$58+'British EV uptake'!S41*'EV %sales'!$AY$58+'Canada EV uptake'!S41*'EV %sales'!$AH$58+'China EV uptake'!S41*'EV %sales'!$AI$58+'Denmark EV uptake'!AE50*'EV %sales'!$AJ$58+'Finland EV uptake'!S41*'EV %sales'!$AK$58+'France EV uptake'!S41*'EV %sales'!$AL$58+'Germany EV uptake'!S41*'EV %sales'!$AM$58+'India EV uptake'!S41*'EV %sales'!$AN$58+'Ireland EV uptake'!S41*'EV %sales'!$AO$58+'Italy EV uptake'!S41*'EV %sales'!$AP$58+'Japan EV uptake'!S41*'EV %sales'!$AQ$58+'Korea EV uptake'!S41*'EV %sales'!$AR$58+'Netherlands logist Take-up'!X119*'EV %sales'!$AS$58+'New Zealand EV uptake'!S41*'EV %sales'!$AT$58+'Norway EV uptake with subs'!Y48*'EV %sales'!$AU$58+'Spain EV uptake'!S41*'EV %sales'!$AV$58+'Sweden EV uptake'!S41*'EV %sales'!$AW$58+'Switzerland EV uptake'!S41*'EV %sales'!$AX$58+'USA EV uptake'!S41*'EV %sales'!$AZ$58)/('EV %sales'!$BB$58-'EV %sales'!$BA$58)</f>
        <v>61.842070662754828</v>
      </c>
      <c r="X97" s="13">
        <f>('Australia EV uptake'!V41*'EV %sales'!$AE$58+'Austria EV uptake'!T41*'EV %sales'!$AF$58+'Belgian EV uptake'!T41*'EV %sales'!$AG$58+'British EV uptake'!T41*'EV %sales'!$AY$58+'Canada EV uptake'!T41*'EV %sales'!$AH$58+'China EV uptake'!T41*'EV %sales'!$AI$58+'Denmark EV uptake'!AF50*'EV %sales'!$AJ$58+'Finland EV uptake'!T41*'EV %sales'!$AK$58+'France EV uptake'!T41*'EV %sales'!$AL$58+'Germany EV uptake'!T41*'EV %sales'!$AM$58+'India EV uptake'!T41*'EV %sales'!$AN$58+'Ireland EV uptake'!T41*'EV %sales'!$AO$58+'Italy EV uptake'!T41*'EV %sales'!$AP$58+'Japan EV uptake'!T41*'EV %sales'!$AQ$58+'Korea EV uptake'!T41*'EV %sales'!$AR$58+'Netherlands logist Take-up'!Y119*'EV %sales'!$AS$58+'New Zealand EV uptake'!T41*'EV %sales'!$AT$58+'Norway EV uptake with subs'!Z48*'EV %sales'!$AU$58+'Spain EV uptake'!T41*'EV %sales'!$AV$58+'Sweden EV uptake'!T41*'EV %sales'!$AW$58+'Switzerland EV uptake'!T41*'EV %sales'!$AX$58+'USA EV uptake'!T41*'EV %sales'!$AZ$58)/('EV %sales'!$BB$58-'EV %sales'!$BA$58)</f>
        <v>61.638713137976019</v>
      </c>
      <c r="Y97" s="13">
        <f>('Australia EV uptake'!W41*'EV %sales'!$AE$58+'Austria EV uptake'!U41*'EV %sales'!$AF$58+'Belgian EV uptake'!U41*'EV %sales'!$AG$58+'British EV uptake'!U41*'EV %sales'!$AY$58+'Canada EV uptake'!U41*'EV %sales'!$AH$58+'China EV uptake'!U41*'EV %sales'!$AI$58+'Denmark EV uptake'!AG50*'EV %sales'!$AJ$58+'Finland EV uptake'!U41*'EV %sales'!$AK$58+'France EV uptake'!U41*'EV %sales'!$AL$58+'Germany EV uptake'!U41*'EV %sales'!$AM$58+'India EV uptake'!U41*'EV %sales'!$AN$58+'Ireland EV uptake'!U41*'EV %sales'!$AO$58+'Italy EV uptake'!U41*'EV %sales'!$AP$58+'Japan EV uptake'!U41*'EV %sales'!$AQ$58+'Korea EV uptake'!U41*'EV %sales'!$AR$58+'Netherlands logist Take-up'!Z119*'EV %sales'!$AS$58+'New Zealand EV uptake'!U41*'EV %sales'!$AT$58+'Norway EV uptake with subs'!AA48*'EV %sales'!$AU$58+'Spain EV uptake'!U41*'EV %sales'!$AV$58+'Sweden EV uptake'!U41*'EV %sales'!$AW$58+'Switzerland EV uptake'!U41*'EV %sales'!$AX$58+'USA EV uptake'!U41*'EV %sales'!$AZ$58)/('EV %sales'!$BB$58-'EV %sales'!$BA$58)</f>
        <v>61.380234671005319</v>
      </c>
      <c r="AA97">
        <v>2046</v>
      </c>
      <c r="AB97" s="13">
        <f>('Australia EV uptake'!Z41*'EV %sales'!$AE$58+'Austria EV uptake'!X41*'EV %sales'!$AF$58+'Belgian EV uptake'!X41*'EV %sales'!$AG$58+'British EV uptake'!X41*'EV %sales'!$AY$58+'Canada EV uptake'!X41*'EV %sales'!$AH$58+'China EV uptake'!X41*'EV %sales'!$AI$58+'Denmark EV uptake'!AJ50*'EV %sales'!$AJ$58+'Finland EV uptake'!X41*'EV %sales'!$AK$58+'France EV uptake'!X41*'EV %sales'!$AL$58+'Germany EV uptake'!X41*'EV %sales'!$AM$58+'India EV uptake'!X41*'EV %sales'!$AN$58+'Ireland EV uptake'!X41*'EV %sales'!$AO$58+'Italy EV uptake'!X41*'EV %sales'!$AP$58+'Japan EV uptake'!X41*'EV %sales'!$AQ$58+'Korea EV uptake'!X41*'EV %sales'!$AR$58+'Netherlands logist Take-up'!AC119*'EV %sales'!$AS$58+'New Zealand EV uptake'!X41*'EV %sales'!$AT$58+'Norway EV uptake with subs'!AD48*'EV %sales'!$AU$58+'Spain EV uptake'!X41*'EV %sales'!$AV$58+'Sweden EV uptake'!X41*'EV %sales'!$AW$58+'Switzerland EV uptake'!X41*'EV %sales'!$AX$58+'USA EV uptake'!X41*'EV %sales'!$AZ$58)/('EV %sales'!$BB$58-'EV %sales'!$BA$58)</f>
        <v>57.963181481820605</v>
      </c>
      <c r="AC97" s="13">
        <f>('Australia EV uptake'!AA41*'EV %sales'!$AE$58+'Austria EV uptake'!Y41*'EV %sales'!$AF$58+'Belgian EV uptake'!Y41*'EV %sales'!$AG$58+'British EV uptake'!Y41*'EV %sales'!$AY$58+'Canada EV uptake'!Y41*'EV %sales'!$AH$58+'China EV uptake'!Y41*'EV %sales'!$AI$58+'Denmark EV uptake'!AK50*'EV %sales'!$AJ$58+'Finland EV uptake'!Y41*'EV %sales'!$AK$58+'France EV uptake'!Y41*'EV %sales'!$AL$58+'Germany EV uptake'!Y41*'EV %sales'!$AM$58+'India EV uptake'!Y41*'EV %sales'!$AN$58+'Ireland EV uptake'!Y41*'EV %sales'!$AO$58+'Italy EV uptake'!Y41*'EV %sales'!$AP$58+'Japan EV uptake'!Y41*'EV %sales'!$AQ$58+'Korea EV uptake'!Y41*'EV %sales'!$AR$58+'Netherlands logist Take-up'!AD119*'EV %sales'!$AS$58+'New Zealand EV uptake'!Y41*'EV %sales'!$AT$58+'Norway EV uptake with subs'!AE48*'EV %sales'!$AU$58+'Spain EV uptake'!Y41*'EV %sales'!$AV$58+'Sweden EV uptake'!Y41*'EV %sales'!$AW$58+'Switzerland EV uptake'!Y41*'EV %sales'!$AX$58+'USA EV uptake'!Y41*'EV %sales'!$AZ$58)/('EV %sales'!$BB$58-'EV %sales'!$BA$58)</f>
        <v>61.638713137976019</v>
      </c>
      <c r="AD97" s="13">
        <f>('Australia EV uptake'!AB41*'EV %sales'!$AE$58+'Austria EV uptake'!Z41*'EV %sales'!$AF$58+'Belgian EV uptake'!Z41*'EV %sales'!$AG$58+'British EV uptake'!Z41*'EV %sales'!$AY$58+'Canada EV uptake'!Z41*'EV %sales'!$AH$58+'China EV uptake'!Z41*'EV %sales'!$AI$58+'Denmark EV uptake'!AL50*'EV %sales'!$AJ$58+'Finland EV uptake'!Z41*'EV %sales'!$AK$58+'France EV uptake'!Z41*'EV %sales'!$AL$58+'Germany EV uptake'!Z41*'EV %sales'!$AM$58+'India EV uptake'!Z41*'EV %sales'!$AN$58+'Ireland EV uptake'!Z41*'EV %sales'!$AO$58+'Italy EV uptake'!Z41*'EV %sales'!$AP$58+'Japan EV uptake'!Z41*'EV %sales'!$AQ$58+'Korea EV uptake'!Z41*'EV %sales'!$AR$58+'Netherlands logist Take-up'!AE119*'EV %sales'!$AS$58+'New Zealand EV uptake'!Z41*'EV %sales'!$AT$58+'Norway EV uptake with subs'!AF48*'EV %sales'!$AU$58+'Spain EV uptake'!Z41*'EV %sales'!$AV$58+'Sweden EV uptake'!Z41*'EV %sales'!$AW$58+'Switzerland EV uptake'!Z41*'EV %sales'!$AX$58+'USA EV uptake'!Z41*'EV %sales'!$AZ$58)/('EV %sales'!$BB$58-'EV %sales'!$BA$58)</f>
        <v>63.018776342213819</v>
      </c>
    </row>
    <row r="98" spans="1:30">
      <c r="A98">
        <v>2047</v>
      </c>
      <c r="C98" s="13">
        <f t="shared" si="14"/>
        <v>64.998939475122427</v>
      </c>
      <c r="D98" s="13">
        <f t="shared" si="12"/>
        <v>61.838147266588258</v>
      </c>
      <c r="E98" s="13">
        <f t="shared" si="9"/>
        <v>61.838147266588265</v>
      </c>
      <c r="G98">
        <f t="shared" si="4"/>
        <v>11.023362279887866</v>
      </c>
      <c r="H98" s="230">
        <f t="shared" si="11"/>
        <v>2.9733622798878665</v>
      </c>
      <c r="I98" s="230">
        <f>G98-SUM(J$71:J98)</f>
        <v>2.9733622798878656</v>
      </c>
      <c r="J98" s="89">
        <f t="shared" si="15"/>
        <v>0.34</v>
      </c>
      <c r="L98" s="13">
        <f>('Australia EV uptake'!V42*'EV %sales'!$AE$58+'Austria EV uptake'!T42*'EV %sales'!$AF$58+'Belgian EV uptake'!T42*'EV %sales'!$AG$58+'British EV uptake'!T42*'EV %sales'!$AY$58+'Canada EV uptake'!T42*'EV %sales'!$AH$58+'China EV uptake'!T42*'EV %sales'!$AI$58+'Denmark EV uptake'!AF51*'EV %sales'!$AJ$58+'Finland EV uptake'!T42*'EV %sales'!$AK$58+'France EV uptake'!T42*'EV %sales'!$AL$58+'Germany EV uptake'!T42*'EV %sales'!$AM$58+'India EV uptake'!T42*'EV %sales'!$AN$58+'Ireland EV uptake'!T42*'EV %sales'!$AO$58+'Italy EV uptake'!T42*'EV %sales'!$AP$58+'Japan EV uptake'!T42*'EV %sales'!$AQ$58+'Korea EV uptake'!T42*'EV %sales'!$AR$58+'Netherlands logist Take-up'!Y120*'EV %sales'!$AS$58+'New Zealand EV uptake'!T42*'EV %sales'!$AT$58+'Norway EV uptake with subs'!Z49*'EV %sales'!$AU$58+'Spain EV uptake'!T42*'EV %sales'!$AV$58+'Sweden EV uptake'!T42*'EV %sales'!$AW$58+'Switzerland EV uptake'!T42*'EV %sales'!$AX$58+'USA EV uptake'!T42*'EV %sales'!$AZ$58)/('EV %sales'!$BB$58-'EV %sales'!$BA$58)</f>
        <v>62.13457860755414</v>
      </c>
      <c r="M98" s="13">
        <f>('Australia EV uptake'!N42*'EV %sales'!AE$58+'Austria EV uptake'!L42*'EV %sales'!AF$58+'Belgian EV uptake'!L42*'EV %sales'!AG$58+'British EV uptake'!L42*'EV %sales'!AY$58+'Canada EV uptake'!L42*'EV %sales'!AH$58+'China EV uptake'!L42*'EV %sales'!AI$58+'Denmark EV uptake'!X51*'EV %sales'!AJ$58+'Finland EV uptake'!L42*'EV %sales'!AK$58+'France EV uptake'!L42*'EV %sales'!AL$58+'Germany EV uptake'!L42*'EV %sales'!AM$58+'India EV uptake'!L42*'EV %sales'!AN$58+'Ireland EV uptake'!L42*'EV %sales'!AO$58+'Italy EV uptake'!L42*'EV %sales'!AP$58+'Japan EV uptake'!L42*'EV %sales'!AQ$58+'Korea EV uptake'!L42*'EV %sales'!AR$58+'Netherlands logist Take-up'!O120*'EV %sales'!AS$58+'New Zealand EV uptake'!L42*'EV %sales'!AT$58+'Norway EV uptake with subs'!R52*'EV %sales'!AU$58+'Spain EV uptake'!L42*'EV %sales'!AV$58+'Sweden EV uptake'!L42*'EV %sales'!AW$58+'Switzerland EV uptake'!L42*'EV %sales'!AX$58+'USA EV uptake'!L42*'EV %sales'!AZ$58+'Rest Europe EV takeup'!O42*'EV %sales'!BA$58)/'EV %sales'!BB$58</f>
        <v>62.663338943690583</v>
      </c>
      <c r="N98" s="13">
        <f>('Australia EV uptake'!D42*'EV %sales'!AE$58+'Austria EV uptake'!AB42*'EV %sales'!AF$58+'Belgian EV uptake'!AB42*'EV %sales'!AG$58+'British EV uptake'!AB42*'EV %sales'!AY$58+'Canada EV uptake'!AB42*'EV %sales'!AH$58+'China EV uptake'!AB42*'EV %sales'!AI$58+'Denmark EV uptake'!F51*'EV %sales'!AJ$58+'Finland EV uptake'!AB42*'EV %sales'!AK$58+'France EV uptake'!AB42*'EV %sales'!AL$58+'Germany EV uptake'!AB42*'EV %sales'!AM$58+'India EV uptake'!AB42*'EV %sales'!AN$58+'Ireland EV uptake'!AB42*'EV %sales'!AO$58+'Italy EV uptake'!AB42*'EV %sales'!AP$58+'Japan EV uptake'!AB42*'EV %sales'!AQ$58+'Korea EV uptake'!AB42*'EV %sales'!AR$58+'Netherlands logist Take-up'!E120*'EV %sales'!AS$58+'New Zealand EV uptake'!AB42*'EV %sales'!AT$58+'Norway EV uptake with subs'!H52*'EV %sales'!AU$58+'Spain EV uptake'!AB42*'EV %sales'!AV$58+'Sweden EV uptake'!AB42*'EV %sales'!AW$58+'Switzerland EV uptake'!AB42*'EV %sales'!AX$58+'USA EV uptake'!AB42*'EV %sales'!AZ$58+'Rest Europe EV takeup'!O42*'EV %sales'!BA$58)/'EV %sales'!BB$58</f>
        <v>62.27954175442342</v>
      </c>
      <c r="P98">
        <v>38</v>
      </c>
      <c r="Q98" s="13">
        <f t="shared" si="6"/>
        <v>1.7292306123291177</v>
      </c>
      <c r="R98" s="13"/>
      <c r="S98" s="13"/>
      <c r="T98" s="13">
        <f t="shared" si="13"/>
        <v>1.7292306123291177</v>
      </c>
      <c r="V98">
        <v>2047</v>
      </c>
      <c r="W98" s="13">
        <f>('Australia EV uptake'!U42*'EV %sales'!$AE$58+'Austria EV uptake'!S42*'EV %sales'!$AF$58+'Belgian EV uptake'!S42*'EV %sales'!$AG$58+'British EV uptake'!S42*'EV %sales'!$AY$58+'Canada EV uptake'!S42*'EV %sales'!$AH$58+'China EV uptake'!S42*'EV %sales'!$AI$58+'Denmark EV uptake'!AE51*'EV %sales'!$AJ$58+'Finland EV uptake'!S42*'EV %sales'!$AK$58+'France EV uptake'!S42*'EV %sales'!$AL$58+'Germany EV uptake'!S42*'EV %sales'!$AM$58+'India EV uptake'!S42*'EV %sales'!$AN$58+'Ireland EV uptake'!S42*'EV %sales'!$AO$58+'Italy EV uptake'!S42*'EV %sales'!$AP$58+'Japan EV uptake'!S42*'EV %sales'!$AQ$58+'Korea EV uptake'!S42*'EV %sales'!$AR$58+'Netherlands logist Take-up'!X120*'EV %sales'!$AS$58+'New Zealand EV uptake'!S42*'EV %sales'!$AT$58+'Norway EV uptake with subs'!Y49*'EV %sales'!$AU$58+'Spain EV uptake'!S42*'EV %sales'!$AV$58+'Sweden EV uptake'!S42*'EV %sales'!$AW$58+'Switzerland EV uptake'!S42*'EV %sales'!$AX$58+'USA EV uptake'!S42*'EV %sales'!$AZ$58)/('EV %sales'!$BB$58-'EV %sales'!$BA$58)</f>
        <v>62.299385441112257</v>
      </c>
      <c r="X98" s="13">
        <f>('Australia EV uptake'!V42*'EV %sales'!$AE$58+'Austria EV uptake'!T42*'EV %sales'!$AF$58+'Belgian EV uptake'!T42*'EV %sales'!$AG$58+'British EV uptake'!T42*'EV %sales'!$AY$58+'Canada EV uptake'!T42*'EV %sales'!$AH$58+'China EV uptake'!T42*'EV %sales'!$AI$58+'Denmark EV uptake'!AF51*'EV %sales'!$AJ$58+'Finland EV uptake'!T42*'EV %sales'!$AK$58+'France EV uptake'!T42*'EV %sales'!$AL$58+'Germany EV uptake'!T42*'EV %sales'!$AM$58+'India EV uptake'!T42*'EV %sales'!$AN$58+'Ireland EV uptake'!T42*'EV %sales'!$AO$58+'Italy EV uptake'!T42*'EV %sales'!$AP$58+'Japan EV uptake'!T42*'EV %sales'!$AQ$58+'Korea EV uptake'!T42*'EV %sales'!$AR$58+'Netherlands logist Take-up'!Y120*'EV %sales'!$AS$58+'New Zealand EV uptake'!T42*'EV %sales'!$AT$58+'Norway EV uptake with subs'!Z49*'EV %sales'!$AU$58+'Spain EV uptake'!T42*'EV %sales'!$AV$58+'Sweden EV uptake'!T42*'EV %sales'!$AW$58+'Switzerland EV uptake'!T42*'EV %sales'!$AX$58+'USA EV uptake'!T42*'EV %sales'!$AZ$58)/('EV %sales'!$BB$58-'EV %sales'!$BA$58)</f>
        <v>62.13457860755414</v>
      </c>
      <c r="Y98" s="13">
        <f>('Australia EV uptake'!W42*'EV %sales'!$AE$58+'Austria EV uptake'!U42*'EV %sales'!$AF$58+'Belgian EV uptake'!U42*'EV %sales'!$AG$58+'British EV uptake'!U42*'EV %sales'!$AY$58+'Canada EV uptake'!U42*'EV %sales'!$AH$58+'China EV uptake'!U42*'EV %sales'!$AI$58+'Denmark EV uptake'!AG51*'EV %sales'!$AJ$58+'Finland EV uptake'!U42*'EV %sales'!$AK$58+'France EV uptake'!U42*'EV %sales'!$AL$58+'Germany EV uptake'!U42*'EV %sales'!$AM$58+'India EV uptake'!U42*'EV %sales'!$AN$58+'Ireland EV uptake'!U42*'EV %sales'!$AO$58+'Italy EV uptake'!U42*'EV %sales'!$AP$58+'Japan EV uptake'!U42*'EV %sales'!$AQ$58+'Korea EV uptake'!U42*'EV %sales'!$AR$58+'Netherlands logist Take-up'!Z120*'EV %sales'!$AS$58+'New Zealand EV uptake'!U42*'EV %sales'!$AT$58+'Norway EV uptake with subs'!AA49*'EV %sales'!$AU$58+'Spain EV uptake'!U42*'EV %sales'!$AV$58+'Sweden EV uptake'!U42*'EV %sales'!$AW$58+'Switzerland EV uptake'!U42*'EV %sales'!$AX$58+'USA EV uptake'!U42*'EV %sales'!$AZ$58)/('EV %sales'!$BB$58-'EV %sales'!$BA$58)</f>
        <v>61.923921262081215</v>
      </c>
      <c r="AA98">
        <v>2047</v>
      </c>
      <c r="AB98" s="13">
        <f>('Australia EV uptake'!Z42*'EV %sales'!$AE$58+'Austria EV uptake'!X42*'EV %sales'!$AF$58+'Belgian EV uptake'!X42*'EV %sales'!$AG$58+'British EV uptake'!X42*'EV %sales'!$AY$58+'Canada EV uptake'!X42*'EV %sales'!$AH$58+'China EV uptake'!X42*'EV %sales'!$AI$58+'Denmark EV uptake'!AJ51*'EV %sales'!$AJ$58+'Finland EV uptake'!X42*'EV %sales'!$AK$58+'France EV uptake'!X42*'EV %sales'!$AL$58+'Germany EV uptake'!X42*'EV %sales'!$AM$58+'India EV uptake'!X42*'EV %sales'!$AN$58+'Ireland EV uptake'!X42*'EV %sales'!$AO$58+'Italy EV uptake'!X42*'EV %sales'!$AP$58+'Japan EV uptake'!X42*'EV %sales'!$AQ$58+'Korea EV uptake'!X42*'EV %sales'!$AR$58+'Netherlands logist Take-up'!AC120*'EV %sales'!$AS$58+'New Zealand EV uptake'!X42*'EV %sales'!$AT$58+'Norway EV uptake with subs'!AD49*'EV %sales'!$AU$58+'Spain EV uptake'!X42*'EV %sales'!$AV$58+'Sweden EV uptake'!X42*'EV %sales'!$AW$58+'Switzerland EV uptake'!X42*'EV %sales'!$AX$58+'USA EV uptake'!X42*'EV %sales'!$AZ$58)/('EV %sales'!$BB$58-'EV %sales'!$BA$58)</f>
        <v>58.935241733393113</v>
      </c>
      <c r="AC98" s="13">
        <f>('Australia EV uptake'!AA42*'EV %sales'!$AE$58+'Austria EV uptake'!Y42*'EV %sales'!$AF$58+'Belgian EV uptake'!Y42*'EV %sales'!$AG$58+'British EV uptake'!Y42*'EV %sales'!$AY$58+'Canada EV uptake'!Y42*'EV %sales'!$AH$58+'China EV uptake'!Y42*'EV %sales'!$AI$58+'Denmark EV uptake'!AK51*'EV %sales'!$AJ$58+'Finland EV uptake'!Y42*'EV %sales'!$AK$58+'France EV uptake'!Y42*'EV %sales'!$AL$58+'Germany EV uptake'!Y42*'EV %sales'!$AM$58+'India EV uptake'!Y42*'EV %sales'!$AN$58+'Ireland EV uptake'!Y42*'EV %sales'!$AO$58+'Italy EV uptake'!Y42*'EV %sales'!$AP$58+'Japan EV uptake'!Y42*'EV %sales'!$AQ$58+'Korea EV uptake'!Y42*'EV %sales'!$AR$58+'Netherlands logist Take-up'!AD120*'EV %sales'!$AS$58+'New Zealand EV uptake'!Y42*'EV %sales'!$AT$58+'Norway EV uptake with subs'!AE49*'EV %sales'!$AU$58+'Spain EV uptake'!Y42*'EV %sales'!$AV$58+'Sweden EV uptake'!Y42*'EV %sales'!$AW$58+'Switzerland EV uptake'!Y42*'EV %sales'!$AX$58+'USA EV uptake'!Y42*'EV %sales'!$AZ$58)/('EV %sales'!$BB$58-'EV %sales'!$BA$58)</f>
        <v>62.13457860755414</v>
      </c>
      <c r="AD98" s="13">
        <f>('Australia EV uptake'!AB42*'EV %sales'!$AE$58+'Austria EV uptake'!Z42*'EV %sales'!$AF$58+'Belgian EV uptake'!Z42*'EV %sales'!$AG$58+'British EV uptake'!Z42*'EV %sales'!$AY$58+'Canada EV uptake'!Z42*'EV %sales'!$AH$58+'China EV uptake'!Z42*'EV %sales'!$AI$58+'Denmark EV uptake'!AL51*'EV %sales'!$AJ$58+'Finland EV uptake'!Z42*'EV %sales'!$AK$58+'France EV uptake'!Z42*'EV %sales'!$AL$58+'Germany EV uptake'!Z42*'EV %sales'!$AM$58+'India EV uptake'!Z42*'EV %sales'!$AN$58+'Ireland EV uptake'!Z42*'EV %sales'!$AO$58+'Italy EV uptake'!Z42*'EV %sales'!$AP$58+'Japan EV uptake'!Z42*'EV %sales'!$AQ$58+'Korea EV uptake'!Z42*'EV %sales'!$AR$58+'Netherlands logist Take-up'!AE120*'EV %sales'!$AS$58+'New Zealand EV uptake'!Z42*'EV %sales'!$AT$58+'Norway EV uptake with subs'!AF49*'EV %sales'!$AU$58+'Spain EV uptake'!Z42*'EV %sales'!$AV$58+'Sweden EV uptake'!Z42*'EV %sales'!$AW$58+'Switzerland EV uptake'!Z42*'EV %sales'!$AX$58+'USA EV uptake'!Z42*'EV %sales'!$AZ$58)/('EV %sales'!$BB$58-'EV %sales'!$BA$58)</f>
        <v>63.313316355699065</v>
      </c>
    </row>
    <row r="99" spans="1:30">
      <c r="A99">
        <v>2048</v>
      </c>
      <c r="C99" s="13">
        <f t="shared" si="14"/>
        <v>64.999343879037568</v>
      </c>
      <c r="D99" s="13">
        <f t="shared" si="12"/>
        <v>62.234114739923349</v>
      </c>
      <c r="E99" s="13">
        <f t="shared" si="9"/>
        <v>62.234114739923356</v>
      </c>
      <c r="G99">
        <f t="shared" si="4"/>
        <v>11.503542567753804</v>
      </c>
      <c r="H99" s="230">
        <f t="shared" si="11"/>
        <v>3.1135425677538042</v>
      </c>
      <c r="I99" s="230">
        <f>G99-SUM(J$71:J99)</f>
        <v>3.1135425677538038</v>
      </c>
      <c r="J99" s="89">
        <f t="shared" si="15"/>
        <v>0.34</v>
      </c>
      <c r="L99" s="13">
        <f>('Australia EV uptake'!V43*'EV %sales'!$AE$58+'Austria EV uptake'!T43*'EV %sales'!$AF$58+'Belgian EV uptake'!T43*'EV %sales'!$AG$58+'British EV uptake'!T43*'EV %sales'!$AY$58+'Canada EV uptake'!T43*'EV %sales'!$AH$58+'China EV uptake'!T43*'EV %sales'!$AI$58+'Denmark EV uptake'!AF52*'EV %sales'!$AJ$58+'Finland EV uptake'!T43*'EV %sales'!$AK$58+'France EV uptake'!T43*'EV %sales'!$AL$58+'Germany EV uptake'!T43*'EV %sales'!$AM$58+'India EV uptake'!T43*'EV %sales'!$AN$58+'Ireland EV uptake'!T43*'EV %sales'!$AO$58+'Italy EV uptake'!T43*'EV %sales'!$AP$58+'Japan EV uptake'!T43*'EV %sales'!$AQ$58+'Korea EV uptake'!T43*'EV %sales'!$AR$58+'Netherlands logist Take-up'!Y121*'EV %sales'!$AS$58+'New Zealand EV uptake'!T43*'EV %sales'!$AT$58+'Norway EV uptake with subs'!Z50*'EV %sales'!$AU$58+'Spain EV uptake'!T43*'EV %sales'!$AV$58+'Sweden EV uptake'!T43*'EV %sales'!$AW$58+'Switzerland EV uptake'!T43*'EV %sales'!$AX$58+'USA EV uptake'!T43*'EV %sales'!$AZ$58)/('EV %sales'!$BB$58-'EV %sales'!$BA$58)</f>
        <v>62.565045337886176</v>
      </c>
      <c r="M99" s="13">
        <f>('Australia EV uptake'!N43*'EV %sales'!AE$58+'Austria EV uptake'!L43*'EV %sales'!AF$58+'Belgian EV uptake'!L43*'EV %sales'!AG$58+'British EV uptake'!L43*'EV %sales'!AY$58+'Canada EV uptake'!L43*'EV %sales'!AH$58+'China EV uptake'!L43*'EV %sales'!AI$58+'Denmark EV uptake'!X52*'EV %sales'!AJ$58+'Finland EV uptake'!L43*'EV %sales'!AK$58+'France EV uptake'!L43*'EV %sales'!AL$58+'Germany EV uptake'!L43*'EV %sales'!AM$58+'India EV uptake'!L43*'EV %sales'!AN$58+'Ireland EV uptake'!L43*'EV %sales'!AO$58+'Italy EV uptake'!L43*'EV %sales'!AP$58+'Japan EV uptake'!L43*'EV %sales'!AQ$58+'Korea EV uptake'!L43*'EV %sales'!AR$58+'Netherlands logist Take-up'!O121*'EV %sales'!AS$58+'New Zealand EV uptake'!L43*'EV %sales'!AT$58+'Norway EV uptake with subs'!R53*'EV %sales'!AU$58+'Spain EV uptake'!L43*'EV %sales'!AV$58+'Sweden EV uptake'!L43*'EV %sales'!AW$58+'Switzerland EV uptake'!L43*'EV %sales'!AX$58+'USA EV uptake'!L43*'EV %sales'!AZ$58+'Rest Europe EV takeup'!O43*'EV %sales'!BA$58)/'EV %sales'!BB$58</f>
        <v>63.014099618872677</v>
      </c>
      <c r="N99" s="13">
        <f>('Australia EV uptake'!D43*'EV %sales'!AE$58+'Austria EV uptake'!AB43*'EV %sales'!AF$58+'Belgian EV uptake'!AB43*'EV %sales'!AG$58+'British EV uptake'!AB43*'EV %sales'!AY$58+'Canada EV uptake'!AB43*'EV %sales'!AH$58+'China EV uptake'!AB43*'EV %sales'!AI$58+'Denmark EV uptake'!F52*'EV %sales'!AJ$58+'Finland EV uptake'!AB43*'EV %sales'!AK$58+'France EV uptake'!AB43*'EV %sales'!AL$58+'Germany EV uptake'!AB43*'EV %sales'!AM$58+'India EV uptake'!AB43*'EV %sales'!AN$58+'Ireland EV uptake'!AB43*'EV %sales'!AO$58+'Italy EV uptake'!AB43*'EV %sales'!AP$58+'Japan EV uptake'!AB43*'EV %sales'!AQ$58+'Korea EV uptake'!AB43*'EV %sales'!AR$58+'Netherlands logist Take-up'!E121*'EV %sales'!AS$58+'New Zealand EV uptake'!AB43*'EV %sales'!AT$58+'Norway EV uptake with subs'!H53*'EV %sales'!AU$58+'Spain EV uptake'!AB43*'EV %sales'!AV$58+'Sweden EV uptake'!AB43*'EV %sales'!AW$58+'Switzerland EV uptake'!AB43*'EV %sales'!AX$58+'USA EV uptake'!AB43*'EV %sales'!AZ$58+'Rest Europe EV takeup'!O43*'EV %sales'!BA$58)/'EV %sales'!BB$58</f>
        <v>62.653714399560087</v>
      </c>
      <c r="P99">
        <v>39</v>
      </c>
      <c r="Q99" s="13">
        <f t="shared" si="6"/>
        <v>1.7292306123291177</v>
      </c>
      <c r="R99" s="13"/>
      <c r="S99" s="13"/>
      <c r="T99" s="13">
        <f t="shared" si="13"/>
        <v>1.7292306123291177</v>
      </c>
      <c r="V99">
        <v>2048</v>
      </c>
      <c r="W99" s="13">
        <f>('Australia EV uptake'!U43*'EV %sales'!$AE$58+'Austria EV uptake'!S43*'EV %sales'!$AF$58+'Belgian EV uptake'!S43*'EV %sales'!$AG$58+'British EV uptake'!S43*'EV %sales'!$AY$58+'Canada EV uptake'!S43*'EV %sales'!$AH$58+'China EV uptake'!S43*'EV %sales'!$AI$58+'Denmark EV uptake'!AE52*'EV %sales'!$AJ$58+'Finland EV uptake'!S43*'EV %sales'!$AK$58+'France EV uptake'!S43*'EV %sales'!$AL$58+'Germany EV uptake'!S43*'EV %sales'!$AM$58+'India EV uptake'!S43*'EV %sales'!$AN$58+'Ireland EV uptake'!S43*'EV %sales'!$AO$58+'Italy EV uptake'!S43*'EV %sales'!$AP$58+'Japan EV uptake'!S43*'EV %sales'!$AQ$58+'Korea EV uptake'!S43*'EV %sales'!$AR$58+'Netherlands logist Take-up'!X121*'EV %sales'!$AS$58+'New Zealand EV uptake'!S43*'EV %sales'!$AT$58+'Norway EV uptake with subs'!Y50*'EV %sales'!$AU$58+'Spain EV uptake'!S43*'EV %sales'!$AV$58+'Sweden EV uptake'!S43*'EV %sales'!$AW$58+'Switzerland EV uptake'!S43*'EV %sales'!$AX$58+'USA EV uptake'!S43*'EV %sales'!$AZ$58)/('EV %sales'!$BB$58-'EV %sales'!$BA$58)</f>
        <v>62.697873343195944</v>
      </c>
      <c r="X99" s="13">
        <f>('Australia EV uptake'!V43*'EV %sales'!$AE$58+'Austria EV uptake'!T43*'EV %sales'!$AF$58+'Belgian EV uptake'!T43*'EV %sales'!$AG$58+'British EV uptake'!T43*'EV %sales'!$AY$58+'Canada EV uptake'!T43*'EV %sales'!$AH$58+'China EV uptake'!T43*'EV %sales'!$AI$58+'Denmark EV uptake'!AF52*'EV %sales'!$AJ$58+'Finland EV uptake'!T43*'EV %sales'!$AK$58+'France EV uptake'!T43*'EV %sales'!$AL$58+'Germany EV uptake'!T43*'EV %sales'!$AM$58+'India EV uptake'!T43*'EV %sales'!$AN$58+'Ireland EV uptake'!T43*'EV %sales'!$AO$58+'Italy EV uptake'!T43*'EV %sales'!$AP$58+'Japan EV uptake'!T43*'EV %sales'!$AQ$58+'Korea EV uptake'!T43*'EV %sales'!$AR$58+'Netherlands logist Take-up'!Y121*'EV %sales'!$AS$58+'New Zealand EV uptake'!T43*'EV %sales'!$AT$58+'Norway EV uptake with subs'!Z50*'EV %sales'!$AU$58+'Spain EV uptake'!T43*'EV %sales'!$AV$58+'Sweden EV uptake'!T43*'EV %sales'!$AW$58+'Switzerland EV uptake'!T43*'EV %sales'!$AX$58+'USA EV uptake'!T43*'EV %sales'!$AZ$58)/('EV %sales'!$BB$58-'EV %sales'!$BA$58)</f>
        <v>62.565045337886176</v>
      </c>
      <c r="Y99" s="13">
        <f>('Australia EV uptake'!W43*'EV %sales'!$AE$58+'Austria EV uptake'!U43*'EV %sales'!$AF$58+'Belgian EV uptake'!U43*'EV %sales'!$AG$58+'British EV uptake'!U43*'EV %sales'!$AY$58+'Canada EV uptake'!U43*'EV %sales'!$AH$58+'China EV uptake'!U43*'EV %sales'!$AI$58+'Denmark EV uptake'!AG52*'EV %sales'!$AJ$58+'Finland EV uptake'!U43*'EV %sales'!$AK$58+'France EV uptake'!U43*'EV %sales'!$AL$58+'Germany EV uptake'!U43*'EV %sales'!$AM$58+'India EV uptake'!U43*'EV %sales'!$AN$58+'Ireland EV uptake'!U43*'EV %sales'!$AO$58+'Italy EV uptake'!U43*'EV %sales'!$AP$58+'Japan EV uptake'!U43*'EV %sales'!$AQ$58+'Korea EV uptake'!U43*'EV %sales'!$AR$58+'Netherlands logist Take-up'!Z121*'EV %sales'!$AS$58+'New Zealand EV uptake'!U43*'EV %sales'!$AT$58+'Norway EV uptake with subs'!AA50*'EV %sales'!$AU$58+'Spain EV uptake'!U43*'EV %sales'!$AV$58+'Sweden EV uptake'!U43*'EV %sales'!$AW$58+'Switzerland EV uptake'!U43*'EV %sales'!$AX$58+'USA EV uptake'!U43*'EV %sales'!$AZ$58)/('EV %sales'!$BB$58-'EV %sales'!$BA$58)</f>
        <v>62.394316171855579</v>
      </c>
      <c r="AA99">
        <v>2048</v>
      </c>
      <c r="AB99" s="13">
        <f>('Australia EV uptake'!Z43*'EV %sales'!$AE$58+'Austria EV uptake'!X43*'EV %sales'!$AF$58+'Belgian EV uptake'!X43*'EV %sales'!$AG$58+'British EV uptake'!X43*'EV %sales'!$AY$58+'Canada EV uptake'!X43*'EV %sales'!$AH$58+'China EV uptake'!X43*'EV %sales'!$AI$58+'Denmark EV uptake'!AJ52*'EV %sales'!$AJ$58+'Finland EV uptake'!X43*'EV %sales'!$AK$58+'France EV uptake'!X43*'EV %sales'!$AL$58+'Germany EV uptake'!X43*'EV %sales'!$AM$58+'India EV uptake'!X43*'EV %sales'!$AN$58+'Ireland EV uptake'!X43*'EV %sales'!$AO$58+'Italy EV uptake'!X43*'EV %sales'!$AP$58+'Japan EV uptake'!X43*'EV %sales'!$AQ$58+'Korea EV uptake'!X43*'EV %sales'!$AR$58+'Netherlands logist Take-up'!AC121*'EV %sales'!$AS$58+'New Zealand EV uptake'!X43*'EV %sales'!$AT$58+'Norway EV uptake with subs'!AD50*'EV %sales'!$AU$58+'Spain EV uptake'!X43*'EV %sales'!$AV$58+'Sweden EV uptake'!X43*'EV %sales'!$AW$58+'Switzerland EV uptake'!X43*'EV %sales'!$AX$58+'USA EV uptake'!X43*'EV %sales'!$AZ$58)/('EV %sales'!$BB$58-'EV %sales'!$BA$58)</f>
        <v>59.785584442321159</v>
      </c>
      <c r="AC99" s="13">
        <f>('Australia EV uptake'!AA43*'EV %sales'!$AE$58+'Austria EV uptake'!Y43*'EV %sales'!$AF$58+'Belgian EV uptake'!Y43*'EV %sales'!$AG$58+'British EV uptake'!Y43*'EV %sales'!$AY$58+'Canada EV uptake'!Y43*'EV %sales'!$AH$58+'China EV uptake'!Y43*'EV %sales'!$AI$58+'Denmark EV uptake'!AK52*'EV %sales'!$AJ$58+'Finland EV uptake'!Y43*'EV %sales'!$AK$58+'France EV uptake'!Y43*'EV %sales'!$AL$58+'Germany EV uptake'!Y43*'EV %sales'!$AM$58+'India EV uptake'!Y43*'EV %sales'!$AN$58+'Ireland EV uptake'!Y43*'EV %sales'!$AO$58+'Italy EV uptake'!Y43*'EV %sales'!$AP$58+'Japan EV uptake'!Y43*'EV %sales'!$AQ$58+'Korea EV uptake'!Y43*'EV %sales'!$AR$58+'Netherlands logist Take-up'!AD121*'EV %sales'!$AS$58+'New Zealand EV uptake'!Y43*'EV %sales'!$AT$58+'Norway EV uptake with subs'!AE50*'EV %sales'!$AU$58+'Spain EV uptake'!Y43*'EV %sales'!$AV$58+'Sweden EV uptake'!Y43*'EV %sales'!$AW$58+'Switzerland EV uptake'!Y43*'EV %sales'!$AX$58+'USA EV uptake'!Y43*'EV %sales'!$AZ$58)/('EV %sales'!$BB$58-'EV %sales'!$BA$58)</f>
        <v>62.565045337886176</v>
      </c>
      <c r="AD99" s="13">
        <f>('Australia EV uptake'!AB43*'EV %sales'!$AE$58+'Austria EV uptake'!Z43*'EV %sales'!$AF$58+'Belgian EV uptake'!Z43*'EV %sales'!$AG$58+'British EV uptake'!Z43*'EV %sales'!$AY$58+'Canada EV uptake'!Z43*'EV %sales'!$AH$58+'China EV uptake'!Z43*'EV %sales'!$AI$58+'Denmark EV uptake'!AL52*'EV %sales'!$AJ$58+'Finland EV uptake'!Z43*'EV %sales'!$AK$58+'France EV uptake'!Z43*'EV %sales'!$AL$58+'Germany EV uptake'!Z43*'EV %sales'!$AM$58+'India EV uptake'!Z43*'EV %sales'!$AN$58+'Ireland EV uptake'!Z43*'EV %sales'!$AO$58+'Italy EV uptake'!Z43*'EV %sales'!$AP$58+'Japan EV uptake'!Z43*'EV %sales'!$AQ$58+'Korea EV uptake'!Z43*'EV %sales'!$AR$58+'Netherlands logist Take-up'!AE121*'EV %sales'!$AS$58+'New Zealand EV uptake'!Z43*'EV %sales'!$AT$58+'Norway EV uptake with subs'!AF50*'EV %sales'!$AU$58+'Spain EV uptake'!Z43*'EV %sales'!$AV$58+'Sweden EV uptake'!Z43*'EV %sales'!$AW$58+'Switzerland EV uptake'!Z43*'EV %sales'!$AX$58+'USA EV uptake'!Z43*'EV %sales'!$AZ$58)/('EV %sales'!$BB$58-'EV %sales'!$BA$58)</f>
        <v>63.558481170024436</v>
      </c>
    </row>
    <row r="100" spans="1:30">
      <c r="A100">
        <v>2049</v>
      </c>
      <c r="C100" s="13">
        <f t="shared" si="14"/>
        <v>64.999594074872647</v>
      </c>
      <c r="D100" s="13">
        <f t="shared" si="12"/>
        <v>62.582432772917599</v>
      </c>
      <c r="E100" s="13">
        <f t="shared" si="9"/>
        <v>62.582432772917599</v>
      </c>
      <c r="G100">
        <f t="shared" si="4"/>
        <v>11.983722855619742</v>
      </c>
      <c r="H100" s="230">
        <f t="shared" si="11"/>
        <v>3.2537228556197419</v>
      </c>
      <c r="I100" s="230">
        <f>G100-SUM(J$71:J100)</f>
        <v>3.2537228556197419</v>
      </c>
      <c r="J100" s="89">
        <f t="shared" si="15"/>
        <v>0.34</v>
      </c>
      <c r="L100" s="13">
        <f>('Australia EV uptake'!V44*'EV %sales'!$AE$58+'Austria EV uptake'!T44*'EV %sales'!$AF$58+'Belgian EV uptake'!T44*'EV %sales'!$AG$58+'British EV uptake'!T44*'EV %sales'!$AY$58+'Canada EV uptake'!T44*'EV %sales'!$AH$58+'China EV uptake'!T44*'EV %sales'!$AI$58+'Denmark EV uptake'!AF53*'EV %sales'!$AJ$58+'Finland EV uptake'!T44*'EV %sales'!$AK$58+'France EV uptake'!T44*'EV %sales'!$AL$58+'Germany EV uptake'!T44*'EV %sales'!$AM$58+'India EV uptake'!T44*'EV %sales'!$AN$58+'Ireland EV uptake'!T44*'EV %sales'!$AO$58+'Italy EV uptake'!T44*'EV %sales'!$AP$58+'Japan EV uptake'!T44*'EV %sales'!$AQ$58+'Korea EV uptake'!T44*'EV %sales'!$AR$58+'Netherlands logist Take-up'!Y122*'EV %sales'!$AS$58+'New Zealand EV uptake'!T44*'EV %sales'!$AT$58+'Norway EV uptake with subs'!Z51*'EV %sales'!$AU$58+'Spain EV uptake'!T44*'EV %sales'!$AV$58+'Sweden EV uptake'!T44*'EV %sales'!$AW$58+'Switzerland EV uptake'!T44*'EV %sales'!$AX$58+'USA EV uptake'!T44*'EV %sales'!$AZ$58)/('EV %sales'!$BB$58-'EV %sales'!$BA$58)</f>
        <v>62.933366902690544</v>
      </c>
      <c r="M100" s="13">
        <f>('Australia EV uptake'!N44*'EV %sales'!AE$58+'Austria EV uptake'!L44*'EV %sales'!AF$58+'Belgian EV uptake'!L44*'EV %sales'!AG$58+'British EV uptake'!L44*'EV %sales'!AY$58+'Canada EV uptake'!L44*'EV %sales'!AH$58+'China EV uptake'!L44*'EV %sales'!AI$58+'Denmark EV uptake'!X53*'EV %sales'!AJ$58+'Finland EV uptake'!L44*'EV %sales'!AK$58+'France EV uptake'!L44*'EV %sales'!AL$58+'Germany EV uptake'!L44*'EV %sales'!AM$58+'India EV uptake'!L44*'EV %sales'!AN$58+'Ireland EV uptake'!L44*'EV %sales'!AO$58+'Italy EV uptake'!L44*'EV %sales'!AP$58+'Japan EV uptake'!L44*'EV %sales'!AQ$58+'Korea EV uptake'!L44*'EV %sales'!AR$58+'Netherlands logist Take-up'!O122*'EV %sales'!AS$58+'New Zealand EV uptake'!L44*'EV %sales'!AT$58+'Norway EV uptake with subs'!R54*'EV %sales'!AU$58+'Spain EV uptake'!L44*'EV %sales'!AV$58+'Sweden EV uptake'!L44*'EV %sales'!AW$58+'Switzerland EV uptake'!L44*'EV %sales'!AX$58+'USA EV uptake'!L44*'EV %sales'!AZ$58+'Rest Europe EV takeup'!O44*'EV %sales'!BA$58)/'EV %sales'!BB$58</f>
        <v>63.317607984887957</v>
      </c>
      <c r="N100" s="13">
        <f>('Australia EV uptake'!D44*'EV %sales'!AE$58+'Austria EV uptake'!AB44*'EV %sales'!AF$58+'Belgian EV uptake'!AB44*'EV %sales'!AG$58+'British EV uptake'!AB44*'EV %sales'!AY$58+'Canada EV uptake'!AB44*'EV %sales'!AH$58+'China EV uptake'!AB44*'EV %sales'!AI$58+'Denmark EV uptake'!F53*'EV %sales'!AJ$58+'Finland EV uptake'!AB44*'EV %sales'!AK$58+'France EV uptake'!AB44*'EV %sales'!AL$58+'Germany EV uptake'!AB44*'EV %sales'!AM$58+'India EV uptake'!AB44*'EV %sales'!AN$58+'Ireland EV uptake'!AB44*'EV %sales'!AO$58+'Italy EV uptake'!AB44*'EV %sales'!AP$58+'Japan EV uptake'!AB44*'EV %sales'!AQ$58+'Korea EV uptake'!AB44*'EV %sales'!AR$58+'Netherlands logist Take-up'!E122*'EV %sales'!AS$58+'New Zealand EV uptake'!AB44*'EV %sales'!AT$58+'Norway EV uptake with subs'!H54*'EV %sales'!AU$58+'Spain EV uptake'!AB44*'EV %sales'!AV$58+'Sweden EV uptake'!AB44*'EV %sales'!AW$58+'Switzerland EV uptake'!AB44*'EV %sales'!AX$58+'USA EV uptake'!AB44*'EV %sales'!AZ$58+'Rest Europe EV takeup'!O44*'EV %sales'!BA$58)/'EV %sales'!BB$58</f>
        <v>62.984551064136966</v>
      </c>
      <c r="P100">
        <v>40</v>
      </c>
      <c r="Q100" s="13">
        <f t="shared" si="6"/>
        <v>1.7292306123291177</v>
      </c>
      <c r="R100" s="13"/>
      <c r="S100" s="13"/>
      <c r="T100" s="13">
        <f t="shared" si="13"/>
        <v>1.7292306123291177</v>
      </c>
      <c r="V100">
        <v>2049</v>
      </c>
      <c r="W100" s="13">
        <f>('Australia EV uptake'!U44*'EV %sales'!$AE$58+'Austria EV uptake'!S44*'EV %sales'!$AF$58+'Belgian EV uptake'!S44*'EV %sales'!$AG$58+'British EV uptake'!S44*'EV %sales'!$AY$58+'Canada EV uptake'!S44*'EV %sales'!$AH$58+'China EV uptake'!S44*'EV %sales'!$AI$58+'Denmark EV uptake'!AE53*'EV %sales'!$AJ$58+'Finland EV uptake'!S44*'EV %sales'!$AK$58+'France EV uptake'!S44*'EV %sales'!$AL$58+'Germany EV uptake'!S44*'EV %sales'!$AM$58+'India EV uptake'!S44*'EV %sales'!$AN$58+'Ireland EV uptake'!S44*'EV %sales'!$AO$58+'Italy EV uptake'!S44*'EV %sales'!$AP$58+'Japan EV uptake'!S44*'EV %sales'!$AQ$58+'Korea EV uptake'!S44*'EV %sales'!$AR$58+'Netherlands logist Take-up'!X122*'EV %sales'!$AS$58+'New Zealand EV uptake'!S44*'EV %sales'!$AT$58+'Norway EV uptake with subs'!Y51*'EV %sales'!$AU$58+'Spain EV uptake'!S44*'EV %sales'!$AV$58+'Sweden EV uptake'!S44*'EV %sales'!$AW$58+'Switzerland EV uptake'!S44*'EV %sales'!$AX$58+'USA EV uptake'!S44*'EV %sales'!$AZ$58)/('EV %sales'!$BB$58-'EV %sales'!$BA$58)</f>
        <v>63.039961281284285</v>
      </c>
      <c r="X100" s="13">
        <f>('Australia EV uptake'!V44*'EV %sales'!$AE$58+'Austria EV uptake'!T44*'EV %sales'!$AF$58+'Belgian EV uptake'!T44*'EV %sales'!$AG$58+'British EV uptake'!T44*'EV %sales'!$AY$58+'Canada EV uptake'!T44*'EV %sales'!$AH$58+'China EV uptake'!T44*'EV %sales'!$AI$58+'Denmark EV uptake'!AF53*'EV %sales'!$AJ$58+'Finland EV uptake'!T44*'EV %sales'!$AK$58+'France EV uptake'!T44*'EV %sales'!$AL$58+'Germany EV uptake'!T44*'EV %sales'!$AM$58+'India EV uptake'!T44*'EV %sales'!$AN$58+'Ireland EV uptake'!T44*'EV %sales'!$AO$58+'Italy EV uptake'!T44*'EV %sales'!$AP$58+'Japan EV uptake'!T44*'EV %sales'!$AQ$58+'Korea EV uptake'!T44*'EV %sales'!$AR$58+'Netherlands logist Take-up'!Y122*'EV %sales'!$AS$58+'New Zealand EV uptake'!T44*'EV %sales'!$AT$58+'Norway EV uptake with subs'!Z51*'EV %sales'!$AU$58+'Spain EV uptake'!T44*'EV %sales'!$AV$58+'Sweden EV uptake'!T44*'EV %sales'!$AW$58+'Switzerland EV uptake'!T44*'EV %sales'!$AX$58+'USA EV uptake'!T44*'EV %sales'!$AZ$58)/('EV %sales'!$BB$58-'EV %sales'!$BA$58)</f>
        <v>62.933366902690544</v>
      </c>
      <c r="Y100" s="13">
        <f>('Australia EV uptake'!W44*'EV %sales'!$AE$58+'Austria EV uptake'!U44*'EV %sales'!$AF$58+'Belgian EV uptake'!U44*'EV %sales'!$AG$58+'British EV uptake'!U44*'EV %sales'!$AY$58+'Canada EV uptake'!U44*'EV %sales'!$AH$58+'China EV uptake'!U44*'EV %sales'!$AI$58+'Denmark EV uptake'!AG53*'EV %sales'!$AJ$58+'Finland EV uptake'!U44*'EV %sales'!$AK$58+'France EV uptake'!U44*'EV %sales'!$AL$58+'Germany EV uptake'!U44*'EV %sales'!$AM$58+'India EV uptake'!U44*'EV %sales'!$AN$58+'Ireland EV uptake'!U44*'EV %sales'!$AO$58+'Italy EV uptake'!U44*'EV %sales'!$AP$58+'Japan EV uptake'!U44*'EV %sales'!$AQ$58+'Korea EV uptake'!U44*'EV %sales'!$AR$58+'Netherlands logist Take-up'!Z122*'EV %sales'!$AS$58+'New Zealand EV uptake'!U44*'EV %sales'!$AT$58+'Norway EV uptake with subs'!AA51*'EV %sales'!$AU$58+'Spain EV uptake'!U44*'EV %sales'!$AV$58+'Sweden EV uptake'!U44*'EV %sales'!$AW$58+'Switzerland EV uptake'!U44*'EV %sales'!$AX$58+'USA EV uptake'!U44*'EV %sales'!$AZ$58)/('EV %sales'!$BB$58-'EV %sales'!$BA$58)</f>
        <v>62.795682710005266</v>
      </c>
      <c r="AA100">
        <v>2049</v>
      </c>
      <c r="AB100" s="13">
        <f>('Australia EV uptake'!Z44*'EV %sales'!$AE$58+'Austria EV uptake'!X44*'EV %sales'!$AF$58+'Belgian EV uptake'!X44*'EV %sales'!$AG$58+'British EV uptake'!X44*'EV %sales'!$AY$58+'Canada EV uptake'!X44*'EV %sales'!$AH$58+'China EV uptake'!X44*'EV %sales'!$AI$58+'Denmark EV uptake'!AJ53*'EV %sales'!$AJ$58+'Finland EV uptake'!X44*'EV %sales'!$AK$58+'France EV uptake'!X44*'EV %sales'!$AL$58+'Germany EV uptake'!X44*'EV %sales'!$AM$58+'India EV uptake'!X44*'EV %sales'!$AN$58+'Ireland EV uptake'!X44*'EV %sales'!$AO$58+'Italy EV uptake'!X44*'EV %sales'!$AP$58+'Japan EV uptake'!X44*'EV %sales'!$AQ$58+'Korea EV uptake'!X44*'EV %sales'!$AR$58+'Netherlands logist Take-up'!AC122*'EV %sales'!$AS$58+'New Zealand EV uptake'!X44*'EV %sales'!$AT$58+'Norway EV uptake with subs'!AD51*'EV %sales'!$AU$58+'Spain EV uptake'!X44*'EV %sales'!$AV$58+'Sweden EV uptake'!X44*'EV %sales'!$AW$58+'Switzerland EV uptake'!X44*'EV %sales'!$AX$58+'USA EV uptake'!X44*'EV %sales'!$AZ$58)/('EV %sales'!$BB$58-'EV %sales'!$BA$58)</f>
        <v>60.526752333728766</v>
      </c>
      <c r="AC100" s="13">
        <f>('Australia EV uptake'!AA44*'EV %sales'!$AE$58+'Austria EV uptake'!Y44*'EV %sales'!$AF$58+'Belgian EV uptake'!Y44*'EV %sales'!$AG$58+'British EV uptake'!Y44*'EV %sales'!$AY$58+'Canada EV uptake'!Y44*'EV %sales'!$AH$58+'China EV uptake'!Y44*'EV %sales'!$AI$58+'Denmark EV uptake'!AK53*'EV %sales'!$AJ$58+'Finland EV uptake'!Y44*'EV %sales'!$AK$58+'France EV uptake'!Y44*'EV %sales'!$AL$58+'Germany EV uptake'!Y44*'EV %sales'!$AM$58+'India EV uptake'!Y44*'EV %sales'!$AN$58+'Ireland EV uptake'!Y44*'EV %sales'!$AO$58+'Italy EV uptake'!Y44*'EV %sales'!$AP$58+'Japan EV uptake'!Y44*'EV %sales'!$AQ$58+'Korea EV uptake'!Y44*'EV %sales'!$AR$58+'Netherlands logist Take-up'!AD122*'EV %sales'!$AS$58+'New Zealand EV uptake'!Y44*'EV %sales'!$AT$58+'Norway EV uptake with subs'!AE51*'EV %sales'!$AU$58+'Spain EV uptake'!Y44*'EV %sales'!$AV$58+'Sweden EV uptake'!Y44*'EV %sales'!$AW$58+'Switzerland EV uptake'!Y44*'EV %sales'!$AX$58+'USA EV uptake'!Y44*'EV %sales'!$AZ$58)/('EV %sales'!$BB$58-'EV %sales'!$BA$58)</f>
        <v>62.933366902690544</v>
      </c>
      <c r="AD100" s="13">
        <f>('Australia EV uptake'!AB44*'EV %sales'!$AE$58+'Austria EV uptake'!Z44*'EV %sales'!$AF$58+'Belgian EV uptake'!Z44*'EV %sales'!$AG$58+'British EV uptake'!Z44*'EV %sales'!$AY$58+'Canada EV uptake'!Z44*'EV %sales'!$AH$58+'China EV uptake'!Z44*'EV %sales'!$AI$58+'Denmark EV uptake'!AL53*'EV %sales'!$AJ$58+'Finland EV uptake'!Z44*'EV %sales'!$AK$58+'France EV uptake'!Z44*'EV %sales'!$AL$58+'Germany EV uptake'!Z44*'EV %sales'!$AM$58+'India EV uptake'!Z44*'EV %sales'!$AN$58+'Ireland EV uptake'!Z44*'EV %sales'!$AO$58+'Italy EV uptake'!Z44*'EV %sales'!$AP$58+'Japan EV uptake'!Z44*'EV %sales'!$AQ$58+'Korea EV uptake'!Z44*'EV %sales'!$AR$58+'Netherlands logist Take-up'!AE122*'EV %sales'!$AS$58+'New Zealand EV uptake'!Z44*'EV %sales'!$AT$58+'Norway EV uptake with subs'!AF51*'EV %sales'!$AU$58+'Spain EV uptake'!Z44*'EV %sales'!$AV$58+'Sweden EV uptake'!Z44*'EV %sales'!$AW$58+'Switzerland EV uptake'!Z44*'EV %sales'!$AX$58+'USA EV uptake'!Z44*'EV %sales'!$AZ$58)/('EV %sales'!$BB$58-'EV %sales'!$BA$58)</f>
        <v>63.756562124497044</v>
      </c>
    </row>
    <row r="101" spans="1:30">
      <c r="A101">
        <v>2050</v>
      </c>
      <c r="C101" s="13">
        <f t="shared" si="14"/>
        <v>64.999748864955407</v>
      </c>
      <c r="D101" s="13">
        <f t="shared" si="12"/>
        <v>62.888374197685202</v>
      </c>
      <c r="E101" s="13">
        <f t="shared" si="9"/>
        <v>62.888374197685202</v>
      </c>
      <c r="G101">
        <f t="shared" si="4"/>
        <v>12.46390314348568</v>
      </c>
      <c r="H101" s="230">
        <f t="shared" si="11"/>
        <v>3.3939031434856797</v>
      </c>
      <c r="I101" s="230">
        <f>G101-SUM(J$71:J101)</f>
        <v>3.3939031434856801</v>
      </c>
      <c r="J101" s="89">
        <f t="shared" si="15"/>
        <v>0.34</v>
      </c>
      <c r="L101" s="13">
        <f>('Australia EV uptake'!V45*'EV %sales'!$AE$58+'Austria EV uptake'!T45*'EV %sales'!$AF$58+'Belgian EV uptake'!T45*'EV %sales'!$AG$58+'British EV uptake'!T45*'EV %sales'!$AY$58+'Canada EV uptake'!T45*'EV %sales'!$AH$58+'China EV uptake'!T45*'EV %sales'!$AI$58+'Denmark EV uptake'!AF54*'EV %sales'!$AJ$58+'Finland EV uptake'!T45*'EV %sales'!$AK$58+'France EV uptake'!T45*'EV %sales'!$AL$58+'Germany EV uptake'!T45*'EV %sales'!$AM$58+'India EV uptake'!T45*'EV %sales'!$AN$58+'Ireland EV uptake'!T45*'EV %sales'!$AO$58+'Italy EV uptake'!T45*'EV %sales'!$AP$58+'Japan EV uptake'!T45*'EV %sales'!$AQ$58+'Korea EV uptake'!T45*'EV %sales'!$AR$58+'Netherlands logist Take-up'!Y123*'EV %sales'!$AS$58+'New Zealand EV uptake'!T45*'EV %sales'!$AT$58+'Norway EV uptake with subs'!Z52*'EV %sales'!$AU$58+'Spain EV uptake'!T45*'EV %sales'!$AV$58+'Sweden EV uptake'!T45*'EV %sales'!$AW$58+'Switzerland EV uptake'!T45*'EV %sales'!$AX$58+'USA EV uptake'!T45*'EV %sales'!$AZ$58)/('EV %sales'!$BB$58-'EV %sales'!$BA$58)</f>
        <v>63.242554892661005</v>
      </c>
      <c r="M101" s="13">
        <f>('Australia EV uptake'!N45*'EV %sales'!AE$58+'Austria EV uptake'!L45*'EV %sales'!AF$58+'Belgian EV uptake'!L45*'EV %sales'!AG$58+'British EV uptake'!L45*'EV %sales'!AY$58+'Canada EV uptake'!L45*'EV %sales'!AH$58+'China EV uptake'!L45*'EV %sales'!AI$58+'Denmark EV uptake'!X54*'EV %sales'!AJ$58+'Finland EV uptake'!L45*'EV %sales'!AK$58+'France EV uptake'!L45*'EV %sales'!AL$58+'Germany EV uptake'!L45*'EV %sales'!AM$58+'India EV uptake'!L45*'EV %sales'!AN$58+'Ireland EV uptake'!L45*'EV %sales'!AO$58+'Italy EV uptake'!L45*'EV %sales'!AP$58+'Japan EV uptake'!L45*'EV %sales'!AQ$58+'Korea EV uptake'!L45*'EV %sales'!AR$58+'Netherlands logist Take-up'!O123*'EV %sales'!AS$58+'New Zealand EV uptake'!L45*'EV %sales'!AT$58+'Norway EV uptake with subs'!R55*'EV %sales'!AU$58+'Spain EV uptake'!L45*'EV %sales'!AV$58+'Sweden EV uptake'!L45*'EV %sales'!AW$58+'Switzerland EV uptake'!L45*'EV %sales'!AX$58+'USA EV uptake'!L45*'EV %sales'!AZ$58+'Rest Europe EV takeup'!O45*'EV %sales'!BA$58)/'EV %sales'!BB$58</f>
        <v>63.578999630943201</v>
      </c>
      <c r="N101" s="13">
        <f>('Australia EV uptake'!D45*'EV %sales'!AE$58+'Austria EV uptake'!AB45*'EV %sales'!AF$58+'Belgian EV uptake'!AB45*'EV %sales'!AG$58+'British EV uptake'!AB45*'EV %sales'!AY$58+'Canada EV uptake'!AB45*'EV %sales'!AH$58+'China EV uptake'!AB45*'EV %sales'!AI$58+'Denmark EV uptake'!F54*'EV %sales'!AJ$58+'Finland EV uptake'!AB45*'EV %sales'!AK$58+'France EV uptake'!AB45*'EV %sales'!AL$58+'Germany EV uptake'!AB45*'EV %sales'!AM$58+'India EV uptake'!AB45*'EV %sales'!AN$58+'Ireland EV uptake'!AB45*'EV %sales'!AO$58+'Italy EV uptake'!AB45*'EV %sales'!AP$58+'Japan EV uptake'!AB45*'EV %sales'!AQ$58+'Korea EV uptake'!AB45*'EV %sales'!AR$58+'Netherlands logist Take-up'!E123*'EV %sales'!AS$58+'New Zealand EV uptake'!AB45*'EV %sales'!AT$58+'Norway EV uptake with subs'!H55*'EV %sales'!AU$58+'Spain EV uptake'!AB45*'EV %sales'!AV$58+'Sweden EV uptake'!AB45*'EV %sales'!AW$58+'Switzerland EV uptake'!AB45*'EV %sales'!AX$58+'USA EV uptake'!AB45*'EV %sales'!AZ$58+'Rest Europe EV takeup'!O45*'EV %sales'!BA$58)/'EV %sales'!BB$58</f>
        <v>63.275565489357412</v>
      </c>
      <c r="P101">
        <v>41</v>
      </c>
      <c r="Q101" s="13">
        <f t="shared" si="6"/>
        <v>1.7292306123291177</v>
      </c>
      <c r="R101" s="13"/>
      <c r="S101" s="13"/>
      <c r="T101" s="13">
        <f t="shared" si="13"/>
        <v>1.7292306123291177</v>
      </c>
      <c r="V101">
        <v>2050</v>
      </c>
      <c r="W101" s="13">
        <f>('Australia EV uptake'!U45*'EV %sales'!$AE$58+'Austria EV uptake'!S45*'EV %sales'!$AF$58+'Belgian EV uptake'!S45*'EV %sales'!$AG$58+'British EV uptake'!S45*'EV %sales'!$AY$58+'Canada EV uptake'!S45*'EV %sales'!$AH$58+'China EV uptake'!S45*'EV %sales'!$AI$58+'Denmark EV uptake'!AE54*'EV %sales'!$AJ$58+'Finland EV uptake'!S45*'EV %sales'!$AK$58+'France EV uptake'!S45*'EV %sales'!$AL$58+'Germany EV uptake'!S45*'EV %sales'!$AM$58+'India EV uptake'!S45*'EV %sales'!$AN$58+'Ireland EV uptake'!S45*'EV %sales'!$AO$58+'Italy EV uptake'!S45*'EV %sales'!$AP$58+'Japan EV uptake'!S45*'EV %sales'!$AQ$58+'Korea EV uptake'!S45*'EV %sales'!$AR$58+'Netherlands logist Take-up'!X123*'EV %sales'!$AS$58+'New Zealand EV uptake'!S45*'EV %sales'!$AT$58+'Norway EV uptake with subs'!Y52*'EV %sales'!$AU$58+'Spain EV uptake'!S45*'EV %sales'!$AV$58+'Sweden EV uptake'!S45*'EV %sales'!$AW$58+'Switzerland EV uptake'!S45*'EV %sales'!$AX$58+'USA EV uptake'!S45*'EV %sales'!$AZ$58)/('EV %sales'!$BB$58-'EV %sales'!$BA$58)</f>
        <v>63.327785237974638</v>
      </c>
      <c r="X101" s="13">
        <f>('Australia EV uptake'!V45*'EV %sales'!$AE$58+'Austria EV uptake'!T45*'EV %sales'!$AF$58+'Belgian EV uptake'!T45*'EV %sales'!$AG$58+'British EV uptake'!T45*'EV %sales'!$AY$58+'Canada EV uptake'!T45*'EV %sales'!$AH$58+'China EV uptake'!T45*'EV %sales'!$AI$58+'Denmark EV uptake'!AF54*'EV %sales'!$AJ$58+'Finland EV uptake'!T45*'EV %sales'!$AK$58+'France EV uptake'!T45*'EV %sales'!$AL$58+'Germany EV uptake'!T45*'EV %sales'!$AM$58+'India EV uptake'!T45*'EV %sales'!$AN$58+'Ireland EV uptake'!T45*'EV %sales'!$AO$58+'Italy EV uptake'!T45*'EV %sales'!$AP$58+'Japan EV uptake'!T45*'EV %sales'!$AQ$58+'Korea EV uptake'!T45*'EV %sales'!$AR$58+'Netherlands logist Take-up'!Y123*'EV %sales'!$AS$58+'New Zealand EV uptake'!T45*'EV %sales'!$AT$58+'Norway EV uptake with subs'!Z52*'EV %sales'!$AU$58+'Spain EV uptake'!T45*'EV %sales'!$AV$58+'Sweden EV uptake'!T45*'EV %sales'!$AW$58+'Switzerland EV uptake'!T45*'EV %sales'!$AX$58+'USA EV uptake'!T45*'EV %sales'!$AZ$58)/('EV %sales'!$BB$58-'EV %sales'!$BA$58)</f>
        <v>63.242554892661005</v>
      </c>
      <c r="Y101" s="13">
        <f>('Australia EV uptake'!W45*'EV %sales'!$AE$58+'Austria EV uptake'!U45*'EV %sales'!$AF$58+'Belgian EV uptake'!U45*'EV %sales'!$AG$58+'British EV uptake'!U45*'EV %sales'!$AY$58+'Canada EV uptake'!U45*'EV %sales'!$AH$58+'China EV uptake'!U45*'EV %sales'!$AI$58+'Denmark EV uptake'!AG54*'EV %sales'!$AJ$58+'Finland EV uptake'!U45*'EV %sales'!$AK$58+'France EV uptake'!U45*'EV %sales'!$AL$58+'Germany EV uptake'!U45*'EV %sales'!$AM$58+'India EV uptake'!U45*'EV %sales'!$AN$58+'Ireland EV uptake'!U45*'EV %sales'!$AO$58+'Italy EV uptake'!U45*'EV %sales'!$AP$58+'Japan EV uptake'!U45*'EV %sales'!$AQ$58+'Korea EV uptake'!U45*'EV %sales'!$AR$58+'Netherlands logist Take-up'!Z123*'EV %sales'!$AS$58+'New Zealand EV uptake'!U45*'EV %sales'!$AT$58+'Norway EV uptake with subs'!AA52*'EV %sales'!$AU$58+'Spain EV uptake'!U45*'EV %sales'!$AV$58+'Sweden EV uptake'!U45*'EV %sales'!$AW$58+'Switzerland EV uptake'!U45*'EV %sales'!$AX$58+'USA EV uptake'!U45*'EV %sales'!$AZ$58)/('EV %sales'!$BB$58-'EV %sales'!$BA$58)</f>
        <v>63.132218982907368</v>
      </c>
      <c r="AA101">
        <v>2050</v>
      </c>
      <c r="AB101" s="13">
        <f>('Australia EV uptake'!Z45*'EV %sales'!$AE$58+'Austria EV uptake'!X45*'EV %sales'!$AF$58+'Belgian EV uptake'!X45*'EV %sales'!$AG$58+'British EV uptake'!X45*'EV %sales'!$AY$58+'Canada EV uptake'!X45*'EV %sales'!$AH$58+'China EV uptake'!X45*'EV %sales'!$AI$58+'Denmark EV uptake'!AJ54*'EV %sales'!$AJ$58+'Finland EV uptake'!X45*'EV %sales'!$AK$58+'France EV uptake'!X45*'EV %sales'!$AL$58+'Germany EV uptake'!X45*'EV %sales'!$AM$58+'India EV uptake'!X45*'EV %sales'!$AN$58+'Ireland EV uptake'!X45*'EV %sales'!$AO$58+'Italy EV uptake'!X45*'EV %sales'!$AP$58+'Japan EV uptake'!X45*'EV %sales'!$AQ$58+'Korea EV uptake'!X45*'EV %sales'!$AR$58+'Netherlands logist Take-up'!AC123*'EV %sales'!$AS$58+'New Zealand EV uptake'!X45*'EV %sales'!$AT$58+'Norway EV uptake with subs'!AD52*'EV %sales'!$AU$58+'Spain EV uptake'!X45*'EV %sales'!$AV$58+'Sweden EV uptake'!X45*'EV %sales'!$AW$58+'Switzerland EV uptake'!X45*'EV %sales'!$AX$58+'USA EV uptake'!X45*'EV %sales'!$AZ$58)/('EV %sales'!$BB$58-'EV %sales'!$BA$58)</f>
        <v>61.170417516337558</v>
      </c>
      <c r="AC101" s="13">
        <f>('Australia EV uptake'!AA45*'EV %sales'!$AE$58+'Austria EV uptake'!Y45*'EV %sales'!$AF$58+'Belgian EV uptake'!Y45*'EV %sales'!$AG$58+'British EV uptake'!Y45*'EV %sales'!$AY$58+'Canada EV uptake'!Y45*'EV %sales'!$AH$58+'China EV uptake'!Y45*'EV %sales'!$AI$58+'Denmark EV uptake'!AK54*'EV %sales'!$AJ$58+'Finland EV uptake'!Y45*'EV %sales'!$AK$58+'France EV uptake'!Y45*'EV %sales'!$AL$58+'Germany EV uptake'!Y45*'EV %sales'!$AM$58+'India EV uptake'!Y45*'EV %sales'!$AN$58+'Ireland EV uptake'!Y45*'EV %sales'!$AO$58+'Italy EV uptake'!Y45*'EV %sales'!$AP$58+'Japan EV uptake'!Y45*'EV %sales'!$AQ$58+'Korea EV uptake'!Y45*'EV %sales'!$AR$58+'Netherlands logist Take-up'!AD123*'EV %sales'!$AS$58+'New Zealand EV uptake'!Y45*'EV %sales'!$AT$58+'Norway EV uptake with subs'!AE52*'EV %sales'!$AU$58+'Spain EV uptake'!Y45*'EV %sales'!$AV$58+'Sweden EV uptake'!Y45*'EV %sales'!$AW$58+'Switzerland EV uptake'!Y45*'EV %sales'!$AX$58+'USA EV uptake'!Y45*'EV %sales'!$AZ$58)/('EV %sales'!$BB$58-'EV %sales'!$BA$58)</f>
        <v>63.242554892661005</v>
      </c>
      <c r="AD101" s="13">
        <f>('Australia EV uptake'!AB45*'EV %sales'!$AE$58+'Austria EV uptake'!Z45*'EV %sales'!$AF$58+'Belgian EV uptake'!Z45*'EV %sales'!$AG$58+'British EV uptake'!Z45*'EV %sales'!$AY$58+'Canada EV uptake'!Z45*'EV %sales'!$AH$58+'China EV uptake'!Z45*'EV %sales'!$AI$58+'Denmark EV uptake'!AL54*'EV %sales'!$AJ$58+'Finland EV uptake'!Z45*'EV %sales'!$AK$58+'France EV uptake'!Z45*'EV %sales'!$AL$58+'Germany EV uptake'!Z45*'EV %sales'!$AM$58+'India EV uptake'!Z45*'EV %sales'!$AN$58+'Ireland EV uptake'!Z45*'EV %sales'!$AO$58+'Italy EV uptake'!Z45*'EV %sales'!$AP$58+'Japan EV uptake'!Z45*'EV %sales'!$AQ$58+'Korea EV uptake'!Z45*'EV %sales'!$AR$58+'Netherlands logist Take-up'!AE123*'EV %sales'!$AS$58+'New Zealand EV uptake'!Z45*'EV %sales'!$AT$58+'Norway EV uptake with subs'!AF52*'EV %sales'!$AU$58+'Spain EV uptake'!Z45*'EV %sales'!$AV$58+'Sweden EV uptake'!Z45*'EV %sales'!$AW$58+'Switzerland EV uptake'!Z45*'EV %sales'!$AX$58+'USA EV uptake'!Z45*'EV %sales'!$AZ$58)/('EV %sales'!$BB$58-'EV %sales'!$BA$58)</f>
        <v>63.909898637817939</v>
      </c>
    </row>
    <row r="102" spans="1:30">
      <c r="A102">
        <v>2051</v>
      </c>
      <c r="C102" s="13">
        <f t="shared" si="14"/>
        <v>64.999844629590285</v>
      </c>
      <c r="D102" s="13">
        <f t="shared" si="12"/>
        <v>63.1567392859601</v>
      </c>
      <c r="E102" s="13">
        <f t="shared" si="9"/>
        <v>63.156739285960086</v>
      </c>
      <c r="G102">
        <f t="shared" si="4"/>
        <v>12.944083431351618</v>
      </c>
      <c r="H102" s="230">
        <f t="shared" si="11"/>
        <v>3.5340834313516174</v>
      </c>
      <c r="I102" s="230">
        <f>G102-SUM(J$71:J102)</f>
        <v>3.5340834313516183</v>
      </c>
      <c r="J102" s="89">
        <f t="shared" si="15"/>
        <v>0.34</v>
      </c>
      <c r="N102" s="13"/>
      <c r="P102">
        <v>42</v>
      </c>
      <c r="Q102" s="13">
        <f t="shared" si="6"/>
        <v>1.7292306123291177</v>
      </c>
      <c r="R102" s="13"/>
      <c r="S102" s="13"/>
      <c r="T102" s="13">
        <f t="shared" si="13"/>
        <v>1.7292306123291177</v>
      </c>
    </row>
    <row r="103" spans="1:30">
      <c r="A103">
        <v>2052</v>
      </c>
      <c r="C103" s="13">
        <f t="shared" si="14"/>
        <v>64.999903876614695</v>
      </c>
      <c r="D103" s="13">
        <f t="shared" si="12"/>
        <v>63.391870176745392</v>
      </c>
      <c r="E103" s="13">
        <f t="shared" si="9"/>
        <v>63.391870176745392</v>
      </c>
      <c r="G103">
        <f t="shared" si="4"/>
        <v>13.424263719217556</v>
      </c>
      <c r="H103" s="230">
        <f t="shared" si="11"/>
        <v>3.6742637192175551</v>
      </c>
      <c r="I103" s="230">
        <f>G103-SUM(J$71:J103)</f>
        <v>3.6742637192175565</v>
      </c>
      <c r="J103" s="89">
        <f t="shared" si="15"/>
        <v>0.34</v>
      </c>
      <c r="P103">
        <v>43</v>
      </c>
      <c r="Q103" s="13">
        <f t="shared" si="6"/>
        <v>1.7292306123291177</v>
      </c>
      <c r="R103" s="13"/>
      <c r="S103" s="13"/>
      <c r="T103" s="13">
        <f t="shared" si="13"/>
        <v>1.7292306123291177</v>
      </c>
    </row>
    <row r="104" spans="1:30">
      <c r="A104">
        <v>2053</v>
      </c>
      <c r="C104" s="13">
        <f t="shared" si="14"/>
        <v>64.999940531134541</v>
      </c>
      <c r="D104" s="13">
        <f t="shared" si="12"/>
        <v>63.59767317165285</v>
      </c>
      <c r="E104" s="13">
        <f t="shared" si="9"/>
        <v>63.498209818976676</v>
      </c>
      <c r="G104">
        <f t="shared" si="4"/>
        <v>13.904444007083491</v>
      </c>
      <c r="H104" s="230">
        <f t="shared" si="11"/>
        <v>3.7443538631505238</v>
      </c>
      <c r="I104" s="230">
        <f>G104-SUM(J$71:J104)</f>
        <v>3.8144440070834911</v>
      </c>
      <c r="J104" s="89">
        <f t="shared" si="15"/>
        <v>0.34</v>
      </c>
      <c r="P104">
        <v>44</v>
      </c>
      <c r="Q104" s="13">
        <f t="shared" si="6"/>
        <v>1.7292306123291177</v>
      </c>
      <c r="R104" s="13"/>
      <c r="S104" s="13"/>
      <c r="T104" s="13">
        <f t="shared" si="13"/>
        <v>1.7292306123291177</v>
      </c>
    </row>
    <row r="105" spans="1:30">
      <c r="A105">
        <v>2054</v>
      </c>
      <c r="C105" s="13">
        <f t="shared" si="14"/>
        <v>64.999963208274593</v>
      </c>
      <c r="D105" s="13">
        <f t="shared" si="12"/>
        <v>63.777646059971126</v>
      </c>
      <c r="E105" s="13">
        <f t="shared" si="9"/>
        <v>63.59767317165285</v>
      </c>
      <c r="G105">
        <f t="shared" si="4"/>
        <v>14.384624294949429</v>
      </c>
      <c r="H105" s="230">
        <f t="shared" si="11"/>
        <v>3.8144440070834924</v>
      </c>
      <c r="I105" s="230">
        <f>G105-SUM(J$71:J105)</f>
        <v>3.9546242949494292</v>
      </c>
      <c r="J105" s="89">
        <f t="shared" si="15"/>
        <v>0.34</v>
      </c>
      <c r="P105">
        <v>45</v>
      </c>
      <c r="Q105" s="13">
        <f t="shared" si="6"/>
        <v>1.7292306123291177</v>
      </c>
      <c r="R105" s="13"/>
      <c r="S105" s="13"/>
      <c r="T105" s="13">
        <f t="shared" si="13"/>
        <v>1.7292306123291177</v>
      </c>
    </row>
    <row r="106" spans="1:30">
      <c r="A106">
        <v>2055</v>
      </c>
      <c r="C106" s="13">
        <f t="shared" si="14"/>
        <v>64.999977237990535</v>
      </c>
      <c r="D106" s="13">
        <f t="shared" si="12"/>
        <v>63.934908272304135</v>
      </c>
      <c r="E106" s="13">
        <f t="shared" si="9"/>
        <v>63.690684911682133</v>
      </c>
      <c r="G106">
        <f t="shared" si="4"/>
        <v>14.864804582815367</v>
      </c>
      <c r="H106" s="230">
        <f t="shared" si="11"/>
        <v>3.884534151016461</v>
      </c>
      <c r="I106" s="230">
        <f>G106-SUM(J$71:J106)</f>
        <v>4.0948045828153674</v>
      </c>
      <c r="J106" s="89">
        <f t="shared" si="15"/>
        <v>0.34</v>
      </c>
      <c r="P106">
        <v>46</v>
      </c>
      <c r="Q106" s="13">
        <f t="shared" si="6"/>
        <v>1.7292306123291177</v>
      </c>
      <c r="R106" s="13"/>
      <c r="S106" s="13"/>
      <c r="T106" s="13">
        <f t="shared" si="13"/>
        <v>1.7292306123291177</v>
      </c>
    </row>
    <row r="108" spans="1:30">
      <c r="F108" s="41" t="s">
        <v>159</v>
      </c>
      <c r="G108" s="41">
        <v>-8.1893549207943721</v>
      </c>
      <c r="H108" s="41"/>
    </row>
    <row r="109" spans="1:30">
      <c r="F109" t="s">
        <v>898</v>
      </c>
      <c r="G109" s="41">
        <v>0.48018028786593758</v>
      </c>
      <c r="H109" s="41"/>
    </row>
    <row r="110" spans="1:30" ht="15.75" thickBot="1">
      <c r="F110" t="s">
        <v>899</v>
      </c>
      <c r="G110" s="42">
        <v>0.55855260419873987</v>
      </c>
      <c r="H110" s="41"/>
    </row>
  </sheetData>
  <pageMargins left="0.7" right="0.7" top="0.75" bottom="0.75" header="0.3" footer="0.3"/>
  <pageSetup scale="9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workbookViewId="0">
      <selection activeCell="A3" sqref="A3:G33"/>
    </sheetView>
  </sheetViews>
  <sheetFormatPr defaultRowHeight="15"/>
  <cols>
    <col min="1" max="1" width="18.140625" customWidth="1"/>
    <col min="2" max="7" width="13.5703125" customWidth="1"/>
  </cols>
  <sheetData>
    <row r="1" spans="1:7">
      <c r="A1" t="s">
        <v>148</v>
      </c>
    </row>
    <row r="2" spans="1:7" ht="15.75" thickBot="1"/>
    <row r="3" spans="1:7">
      <c r="A3" s="44" t="s">
        <v>149</v>
      </c>
      <c r="B3" s="44"/>
    </row>
    <row r="4" spans="1:7">
      <c r="A4" s="41" t="s">
        <v>150</v>
      </c>
      <c r="B4" s="41">
        <v>0.99500093860504024</v>
      </c>
    </row>
    <row r="5" spans="1:7">
      <c r="A5" s="41" t="s">
        <v>151</v>
      </c>
      <c r="B5" s="41">
        <v>0.99002686782491101</v>
      </c>
    </row>
    <row r="6" spans="1:7">
      <c r="A6" s="41" t="s">
        <v>152</v>
      </c>
      <c r="B6" s="41">
        <v>0.96723113713899322</v>
      </c>
    </row>
    <row r="7" spans="1:7">
      <c r="A7" s="41" t="s">
        <v>153</v>
      </c>
      <c r="B7" s="41">
        <v>0.58934410592569098</v>
      </c>
    </row>
    <row r="8" spans="1:7" ht="15.75" thickBot="1">
      <c r="A8" s="42" t="s">
        <v>154</v>
      </c>
      <c r="B8" s="42">
        <v>24</v>
      </c>
    </row>
    <row r="10" spans="1:7" ht="15.75" thickBot="1">
      <c r="A10" t="s">
        <v>155</v>
      </c>
    </row>
    <row r="11" spans="1:7">
      <c r="A11" s="43"/>
      <c r="B11" s="43" t="s">
        <v>160</v>
      </c>
      <c r="C11" s="43" t="s">
        <v>161</v>
      </c>
      <c r="D11" s="43" t="s">
        <v>162</v>
      </c>
      <c r="E11" s="43" t="s">
        <v>163</v>
      </c>
      <c r="F11" s="43" t="s">
        <v>164</v>
      </c>
    </row>
    <row r="12" spans="1:7">
      <c r="A12" s="41" t="s">
        <v>156</v>
      </c>
      <c r="B12" s="41">
        <v>16</v>
      </c>
      <c r="C12" s="41">
        <v>241.35224061533836</v>
      </c>
      <c r="D12" s="41">
        <v>15.084515038458647</v>
      </c>
      <c r="E12" s="41">
        <v>43.430363407324528</v>
      </c>
      <c r="F12" s="41">
        <v>1.9042209446850571E-5</v>
      </c>
    </row>
    <row r="13" spans="1:7">
      <c r="A13" s="41" t="s">
        <v>157</v>
      </c>
      <c r="B13" s="41">
        <v>7</v>
      </c>
      <c r="C13" s="41">
        <v>2.4312853263254648</v>
      </c>
      <c r="D13" s="41">
        <v>0.34732647518935211</v>
      </c>
      <c r="E13" s="41"/>
      <c r="F13" s="41"/>
    </row>
    <row r="14" spans="1:7" ht="15.75" thickBot="1">
      <c r="A14" s="42" t="s">
        <v>158</v>
      </c>
      <c r="B14" s="42">
        <v>23</v>
      </c>
      <c r="C14" s="42">
        <v>243.78352594166381</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2006.0956444042549</v>
      </c>
      <c r="C17" s="41">
        <v>0.86874480501129947</v>
      </c>
      <c r="D17" s="41">
        <v>2309.188651065559</v>
      </c>
      <c r="E17" s="41">
        <v>7.5432330707740062E-22</v>
      </c>
      <c r="F17" s="41">
        <v>2004.0413893698799</v>
      </c>
      <c r="G17" s="41">
        <v>2008.14989943863</v>
      </c>
    </row>
    <row r="18" spans="1:7">
      <c r="A18" s="41" t="s">
        <v>1107</v>
      </c>
      <c r="B18" s="41">
        <v>10.783904112355547</v>
      </c>
      <c r="C18" s="41">
        <v>0.93440005407028792</v>
      </c>
      <c r="D18" s="41">
        <v>11.5409926030937</v>
      </c>
      <c r="E18" s="41">
        <v>8.2571732405768411E-6</v>
      </c>
      <c r="F18" s="41">
        <v>8.5743990838113344</v>
      </c>
      <c r="G18" s="41">
        <v>12.993409140899759</v>
      </c>
    </row>
    <row r="19" spans="1:7">
      <c r="A19" s="41" t="s">
        <v>1108</v>
      </c>
      <c r="B19" s="41">
        <v>3.2747008164932261</v>
      </c>
      <c r="C19" s="41">
        <v>0.63483689071568106</v>
      </c>
      <c r="D19" s="41">
        <v>5.1583341554103823</v>
      </c>
      <c r="E19" s="41">
        <v>1.3118694040008881E-3</v>
      </c>
      <c r="F19" s="41">
        <v>1.7735501089011683</v>
      </c>
      <c r="G19" s="41">
        <v>4.7758515240852839</v>
      </c>
    </row>
    <row r="20" spans="1:7">
      <c r="A20" s="41" t="s">
        <v>1110</v>
      </c>
      <c r="B20" s="41">
        <v>2.7276845521810786</v>
      </c>
      <c r="C20" s="41">
        <v>0.63788533640003708</v>
      </c>
      <c r="D20" s="41">
        <v>4.276136158851072</v>
      </c>
      <c r="E20" s="41">
        <v>3.6728084602299835E-3</v>
      </c>
      <c r="F20" s="41">
        <v>1.2193254159941291</v>
      </c>
      <c r="G20" s="41">
        <v>4.2360436883680279</v>
      </c>
    </row>
    <row r="21" spans="1:7">
      <c r="A21" s="41" t="s">
        <v>1111</v>
      </c>
      <c r="B21" s="41">
        <v>-1.2544269368470402</v>
      </c>
      <c r="C21" s="41">
        <v>0.47319423654247822</v>
      </c>
      <c r="D21" s="41">
        <v>-2.6509767870649696</v>
      </c>
      <c r="E21" s="41">
        <v>3.2895020534990452E-2</v>
      </c>
      <c r="F21" s="41">
        <v>-2.3733535042893168</v>
      </c>
      <c r="G21" s="41">
        <v>-0.1355003694047634</v>
      </c>
    </row>
    <row r="22" spans="1:7">
      <c r="A22" s="41" t="s">
        <v>1113</v>
      </c>
      <c r="B22" s="41">
        <v>1.6840641661301363</v>
      </c>
      <c r="C22" s="41">
        <v>0.63254831331690298</v>
      </c>
      <c r="D22" s="41">
        <v>2.6623486786319672</v>
      </c>
      <c r="E22" s="41">
        <v>3.2356707574802718E-2</v>
      </c>
      <c r="F22" s="41">
        <v>0.18832508415687621</v>
      </c>
      <c r="G22" s="41">
        <v>3.1798032481033962</v>
      </c>
    </row>
    <row r="23" spans="1:7">
      <c r="A23" s="41" t="s">
        <v>1112</v>
      </c>
      <c r="B23" s="41">
        <v>3.2654872236791634</v>
      </c>
      <c r="C23" s="41">
        <v>0.4810016045990046</v>
      </c>
      <c r="D23" s="41">
        <v>6.7889320793461678</v>
      </c>
      <c r="E23" s="41">
        <v>2.5576777591809969E-4</v>
      </c>
      <c r="F23" s="41">
        <v>2.1280991643893135</v>
      </c>
      <c r="G23" s="41">
        <v>4.4028752829690134</v>
      </c>
    </row>
    <row r="24" spans="1:7">
      <c r="A24" s="41" t="s">
        <v>1114</v>
      </c>
      <c r="B24" s="41">
        <v>3.5582490934682056</v>
      </c>
      <c r="C24" s="41">
        <v>0.63010816109310497</v>
      </c>
      <c r="D24" s="41">
        <v>5.6470449252639305</v>
      </c>
      <c r="E24" s="41">
        <v>7.7686522659362034E-4</v>
      </c>
      <c r="F24" s="41">
        <v>2.0682800546209164</v>
      </c>
      <c r="G24" s="41">
        <v>5.0482181323154949</v>
      </c>
    </row>
    <row r="25" spans="1:7">
      <c r="A25" s="41" t="s">
        <v>1115</v>
      </c>
      <c r="B25" s="41">
        <v>1.900474768762227</v>
      </c>
      <c r="C25" s="41">
        <v>0.68908106673698466</v>
      </c>
      <c r="D25" s="41">
        <v>2.7579843076542097</v>
      </c>
      <c r="E25" s="41">
        <v>2.8177723998438538E-2</v>
      </c>
      <c r="F25" s="41">
        <v>0.27105696704252669</v>
      </c>
      <c r="G25" s="41">
        <v>3.5298925704819273</v>
      </c>
    </row>
    <row r="26" spans="1:7">
      <c r="A26" s="41" t="s">
        <v>1116</v>
      </c>
      <c r="B26" s="41">
        <v>-2.1041729879229703</v>
      </c>
      <c r="C26" s="41">
        <v>0.66292326684957348</v>
      </c>
      <c r="D26" s="41">
        <v>-3.174082270369968</v>
      </c>
      <c r="E26" s="41">
        <v>1.5618791143305496E-2</v>
      </c>
      <c r="F26" s="41">
        <v>-3.6717374216605867</v>
      </c>
      <c r="G26" s="41">
        <v>-0.53660855418535358</v>
      </c>
    </row>
    <row r="27" spans="1:7">
      <c r="A27" s="41" t="s">
        <v>1304</v>
      </c>
      <c r="B27" s="41">
        <v>4.4168133039283006</v>
      </c>
      <c r="C27" s="41">
        <v>0.64221478842063517</v>
      </c>
      <c r="D27" s="41">
        <v>6.8774705652455248</v>
      </c>
      <c r="E27" s="41">
        <v>2.3606583784818123E-4</v>
      </c>
      <c r="F27" s="41">
        <v>2.8982166404973375</v>
      </c>
      <c r="G27" s="41">
        <v>5.9354099673592637</v>
      </c>
    </row>
    <row r="28" spans="1:7">
      <c r="A28" s="41" t="s">
        <v>1117</v>
      </c>
      <c r="B28" s="41">
        <v>8.3918907463589623</v>
      </c>
      <c r="C28" s="41">
        <v>0.68577370758074951</v>
      </c>
      <c r="D28" s="41">
        <v>12.237113574919057</v>
      </c>
      <c r="E28" s="41">
        <v>5.5752679112366381E-6</v>
      </c>
      <c r="F28" s="41">
        <v>6.7702936063088233</v>
      </c>
      <c r="G28" s="41">
        <v>10.013487886409102</v>
      </c>
    </row>
    <row r="29" spans="1:7">
      <c r="A29" s="41" t="s">
        <v>1118</v>
      </c>
      <c r="B29" s="41">
        <v>2.1386885311349126</v>
      </c>
      <c r="C29" s="41">
        <v>0.63118526656241347</v>
      </c>
      <c r="D29" s="41">
        <v>3.3883689059833793</v>
      </c>
      <c r="E29" s="41">
        <v>1.1625249784539014E-2</v>
      </c>
      <c r="F29" s="41">
        <v>0.64617254257337331</v>
      </c>
      <c r="G29" s="41">
        <v>3.631204519696452</v>
      </c>
    </row>
    <row r="30" spans="1:7">
      <c r="A30" s="41" t="s">
        <v>951</v>
      </c>
      <c r="B30" s="41">
        <v>-0.86657486911619475</v>
      </c>
      <c r="C30" s="41">
        <v>0.65430102888696617</v>
      </c>
      <c r="D30" s="41">
        <v>-1.3244284065857703</v>
      </c>
      <c r="E30" s="41">
        <v>0.22696356334361584</v>
      </c>
      <c r="F30" s="41">
        <v>-2.4137509498644265</v>
      </c>
      <c r="G30" s="41">
        <v>0.6806012116320368</v>
      </c>
    </row>
    <row r="31" spans="1:7">
      <c r="A31" s="41" t="s">
        <v>1303</v>
      </c>
      <c r="B31" s="41">
        <v>2.0513905871244105</v>
      </c>
      <c r="C31" s="41">
        <v>0.67891672964842864</v>
      </c>
      <c r="D31" s="41">
        <v>3.0215643502947791</v>
      </c>
      <c r="E31" s="41">
        <v>1.9343539828970781E-2</v>
      </c>
      <c r="F31" s="41">
        <v>0.44600762338567379</v>
      </c>
      <c r="G31" s="41">
        <v>3.6567735508631474</v>
      </c>
    </row>
    <row r="32" spans="1:7">
      <c r="A32" s="41" t="s">
        <v>1305</v>
      </c>
      <c r="B32" s="41">
        <v>4.0948893434577212</v>
      </c>
      <c r="C32" s="41">
        <v>0.63020935868685857</v>
      </c>
      <c r="D32" s="41">
        <v>6.4976650806806084</v>
      </c>
      <c r="E32" s="41">
        <v>3.3486797058637297E-4</v>
      </c>
      <c r="F32" s="41">
        <v>2.6046810103260394</v>
      </c>
      <c r="G32" s="41">
        <v>5.5850976765894025</v>
      </c>
    </row>
    <row r="33" spans="1:8" ht="15.75" thickBot="1">
      <c r="A33" s="42" t="s">
        <v>1369</v>
      </c>
      <c r="B33" s="42">
        <v>2.2194506648107137</v>
      </c>
      <c r="C33" s="42">
        <v>0.70553045902345846</v>
      </c>
      <c r="D33" s="42">
        <v>3.1457900030038508</v>
      </c>
      <c r="E33" s="42">
        <v>1.6247271904621136E-2</v>
      </c>
      <c r="F33" s="42">
        <v>0.55113623116645427</v>
      </c>
      <c r="G33" s="42">
        <v>3.887765098454973</v>
      </c>
    </row>
    <row r="43" spans="1:8">
      <c r="H43" t="s">
        <v>1159</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opLeftCell="D1" workbookViewId="0">
      <selection activeCell="X3" sqref="X3:AC35"/>
    </sheetView>
  </sheetViews>
  <sheetFormatPr defaultRowHeight="15"/>
  <cols>
    <col min="1" max="1" width="9.5703125" style="13" bestFit="1" customWidth="1"/>
    <col min="2" max="6" width="9.140625" style="13"/>
    <col min="7" max="7" width="20.28515625" style="13" customWidth="1"/>
    <col min="8" max="8" width="9.140625" style="13"/>
    <col min="9" max="9" width="9.5703125" style="13" bestFit="1" customWidth="1"/>
    <col min="10" max="16384" width="9.140625" style="13"/>
  </cols>
  <sheetData>
    <row r="1" spans="1:29">
      <c r="B1" s="13" t="s">
        <v>1119</v>
      </c>
      <c r="J1" s="13" t="s">
        <v>1147</v>
      </c>
      <c r="Y1" s="13" t="s">
        <v>1150</v>
      </c>
    </row>
    <row r="3" spans="1:29">
      <c r="B3" s="13" t="str">
        <f>' All EV uptake'!D3</f>
        <v>Norway</v>
      </c>
      <c r="C3" s="13" t="str">
        <f>' All EV uptake'!G3</f>
        <v>Belgium</v>
      </c>
      <c r="D3" s="13" t="str">
        <f>' All EV uptake'!M3</f>
        <v>Germany</v>
      </c>
      <c r="E3" s="13" t="str">
        <f>' All EV uptake'!R3</f>
        <v>Korea</v>
      </c>
      <c r="F3" s="13" t="str">
        <f>' All EV uptake'!K3</f>
        <v>Finland</v>
      </c>
      <c r="G3" s="13" t="str">
        <f>' All EV uptake'!S3</f>
        <v>Netherlands subsidies</v>
      </c>
      <c r="J3" s="13" t="str">
        <f>' All EV uptake'!E3</f>
        <v>Austria</v>
      </c>
      <c r="K3" s="13" t="str">
        <f>' All EV uptake'!F3</f>
        <v>Canada</v>
      </c>
      <c r="L3" s="13" t="str">
        <f>' All EV uptake'!H3</f>
        <v>China</v>
      </c>
      <c r="M3" s="13" t="str">
        <f>' All EV uptake'!I3</f>
        <v>Denmark subsidies</v>
      </c>
      <c r="N3" s="13" t="str">
        <f>' All EV uptake'!J3</f>
        <v xml:space="preserve">Denmark no subs </v>
      </c>
      <c r="O3" s="13" t="str">
        <f>' All EV uptake'!O3</f>
        <v>Ireland</v>
      </c>
      <c r="P3" s="13" t="str">
        <f>' All EV uptake'!U3</f>
        <v>NZ</v>
      </c>
      <c r="Q3" s="13" t="str">
        <f>' All EV uptake'!W3</f>
        <v>Sweden</v>
      </c>
      <c r="R3" s="13" t="str">
        <f>' All EV uptake'!X3</f>
        <v>Switzerland</v>
      </c>
      <c r="S3" s="13" t="str">
        <f>' All EV uptake'!AA3</f>
        <v>Rest Europe</v>
      </c>
      <c r="T3" s="13" t="str">
        <f>' All EV uptake'!Y3</f>
        <v>UK</v>
      </c>
      <c r="U3" s="13" t="str">
        <f>' All EV uptake'!P3</f>
        <v>Italy</v>
      </c>
      <c r="V3" s="13" t="str">
        <f>' All EV uptake'!B3</f>
        <v>Australia</v>
      </c>
      <c r="Y3" s="13" t="str">
        <f>' All EV uptake'!N3</f>
        <v>India</v>
      </c>
      <c r="Z3" s="13" t="str">
        <f>' All EV uptake'!Q3</f>
        <v>Japan</v>
      </c>
      <c r="AA3" s="13" t="str">
        <f>' All EV uptake'!V3</f>
        <v>Spain</v>
      </c>
      <c r="AB3" s="13" t="str">
        <f>' All EV uptake'!Z3</f>
        <v>USA</v>
      </c>
      <c r="AC3" s="13" t="str">
        <f>' All EV uptake'!L3</f>
        <v>France</v>
      </c>
    </row>
    <row r="4" spans="1:29">
      <c r="A4" s="3">
        <v>2009</v>
      </c>
      <c r="I4" s="3">
        <v>2009</v>
      </c>
      <c r="X4" s="3">
        <v>2009</v>
      </c>
    </row>
    <row r="5" spans="1:29">
      <c r="A5" s="3">
        <v>2010</v>
      </c>
      <c r="B5" s="13">
        <f>' All EV uptake'!D5</f>
        <v>0.95422607071705978</v>
      </c>
      <c r="C5" s="13">
        <f>' All EV uptake'!G5</f>
        <v>1.893902262212482E-2</v>
      </c>
      <c r="D5" s="13">
        <f>' All EV uptake'!M5</f>
        <v>3.4183576746624901E-2</v>
      </c>
      <c r="E5" s="13">
        <f>' All EV uptake'!R5</f>
        <v>6.9344571248564201E-3</v>
      </c>
      <c r="F5" s="13">
        <f>' All EV uptake'!K5</f>
        <v>1.8233531246333173E-2</v>
      </c>
      <c r="G5" s="13">
        <f>' All EV uptake'!S5</f>
        <v>2.4685199082849503E-2</v>
      </c>
      <c r="I5" s="3">
        <v>2010</v>
      </c>
      <c r="J5" s="13">
        <f>' All EV uptake'!E5</f>
        <v>0.1203521589427423</v>
      </c>
      <c r="K5" s="13">
        <f>' All EV uptake'!F5</f>
        <v>0.11357973136349601</v>
      </c>
      <c r="L5" s="13">
        <f>' All EV uptake'!H5</f>
        <v>2.3951527012398163E-2</v>
      </c>
      <c r="M5" s="13" t="str">
        <f>' All EV uptake'!I5</f>
        <v xml:space="preserve"> </v>
      </c>
      <c r="N5" s="13">
        <f>' All EV uptake'!J5</f>
        <v>0</v>
      </c>
      <c r="O5" s="13">
        <f>' All EV uptake'!O5</f>
        <v>3.9735404900288353E-2</v>
      </c>
      <c r="P5" s="13">
        <f>' All EV uptake'!U5</f>
        <v>2.1888993231889326E-2</v>
      </c>
      <c r="Q5" s="13">
        <f>' All EV uptake'!W5</f>
        <v>0.15299460200173831</v>
      </c>
      <c r="R5" s="13">
        <f>' All EV uptake'!X5</f>
        <v>7.9671184386999661E-2</v>
      </c>
      <c r="S5" s="13">
        <f>' All EV uptake'!AA5</f>
        <v>1.3922142440185525E-2</v>
      </c>
      <c r="T5" s="13">
        <f>' All EV uptake'!Y5</f>
        <v>0</v>
      </c>
      <c r="U5" s="13">
        <f>' All EV uptake'!P5</f>
        <v>3.1673501110891733E-2</v>
      </c>
      <c r="V5" s="13">
        <f>' All EV uptake'!B5</f>
        <v>0</v>
      </c>
      <c r="X5" s="3">
        <v>2010</v>
      </c>
      <c r="Y5" s="13">
        <f>' All EV uptake'!N5</f>
        <v>7.3879359541848419E-2</v>
      </c>
      <c r="Z5" s="13">
        <f>' All EV uptake'!Q5</f>
        <v>0.37763544019268991</v>
      </c>
      <c r="AA5" s="13">
        <f>' All EV uptake'!V5</f>
        <v>0</v>
      </c>
      <c r="AB5" s="13">
        <f>' All EV uptake'!Z5</f>
        <v>0.27236607887944386</v>
      </c>
      <c r="AC5" s="13">
        <f>' All EV uptake'!L5</f>
        <v>0</v>
      </c>
    </row>
    <row r="6" spans="1:29">
      <c r="A6" s="3">
        <v>2011</v>
      </c>
      <c r="B6" s="13">
        <f>' All EV uptake'!D6</f>
        <v>1.8243074485334112</v>
      </c>
      <c r="C6" s="13">
        <f>' All EV uptake'!G6</f>
        <v>3.9987757684899747E-2</v>
      </c>
      <c r="D6" s="13">
        <f>' All EV uptake'!M6</f>
        <v>6.346987523992427E-2</v>
      </c>
      <c r="E6" s="13">
        <f>' All EV uptake'!R6</f>
        <v>2.1986754176250543E-2</v>
      </c>
      <c r="F6" s="13">
        <f>' All EV uptake'!K6</f>
        <v>3.6720612542961363E-2</v>
      </c>
      <c r="G6" s="13">
        <f>' All EV uptake'!S6</f>
        <v>0.16030483863318079</v>
      </c>
      <c r="I6" s="3">
        <v>2011</v>
      </c>
      <c r="J6" s="13">
        <f>' All EV uptake'!E6</f>
        <v>0.17782437732109599</v>
      </c>
      <c r="K6" s="13">
        <f>' All EV uptake'!F6</f>
        <v>0.1750884089993836</v>
      </c>
      <c r="L6" s="13">
        <f>' All EV uptake'!H6</f>
        <v>3.8755032033271214E-2</v>
      </c>
      <c r="M6" s="13">
        <f>' All EV uptake'!I6</f>
        <v>0.2445466806557601</v>
      </c>
      <c r="N6" s="13">
        <f>' All EV uptake'!J6</f>
        <v>0</v>
      </c>
      <c r="O6" s="13">
        <f>' All EV uptake'!O6</f>
        <v>6.0814865680479779E-2</v>
      </c>
      <c r="P6" s="13">
        <f>' All EV uptake'!U6</f>
        <v>3.3181380766074499E-2</v>
      </c>
      <c r="Q6" s="13">
        <f>' All EV uptake'!W6</f>
        <v>0.23449835169858751</v>
      </c>
      <c r="R6" s="13">
        <f>' All EV uptake'!X6</f>
        <v>0.1391609287823368</v>
      </c>
      <c r="S6" s="13">
        <f>' All EV uptake'!AA6</f>
        <v>2.1675441318295498E-2</v>
      </c>
      <c r="T6" s="13">
        <f>' All EV uptake'!Y6</f>
        <v>6.3746553607401155E-2</v>
      </c>
      <c r="U6" s="13">
        <f>' All EV uptake'!P6</f>
        <v>4.6634398966126429E-2</v>
      </c>
      <c r="V6" s="13">
        <f>' All EV uptake'!B6</f>
        <v>1.9307934808819711E-2</v>
      </c>
      <c r="X6" s="3">
        <v>2011</v>
      </c>
      <c r="Y6" s="13">
        <f>' All EV uptake'!N6</f>
        <v>8.9508675999903864E-2</v>
      </c>
      <c r="Z6" s="13">
        <f>' All EV uptake'!Q6</f>
        <v>0.44890658958815161</v>
      </c>
      <c r="AA6" s="13">
        <f>' All EV uptake'!V6</f>
        <v>7.9726181987478606E-2</v>
      </c>
      <c r="AB6" s="13">
        <f>' All EV uptake'!Z6</f>
        <v>0.3452602736585953</v>
      </c>
      <c r="AC6" s="13">
        <f>' All EV uptake'!L6</f>
        <v>0</v>
      </c>
    </row>
    <row r="7" spans="1:29">
      <c r="A7" s="3">
        <v>2012</v>
      </c>
      <c r="B7" s="13">
        <f>' All EV uptake'!D7</f>
        <v>3.4450702320769109</v>
      </c>
      <c r="C7" s="13">
        <f>' All EV uptake'!G7</f>
        <v>8.4399567466143896E-2</v>
      </c>
      <c r="D7" s="13">
        <f>' All EV uptake'!M7</f>
        <v>0.11780130161609073</v>
      </c>
      <c r="E7" s="13">
        <f>' All EV uptake'!R7</f>
        <v>4.3976366875896858E-2</v>
      </c>
      <c r="F7" s="13">
        <f>' All EV uptake'!K7</f>
        <v>0.10779280678428281</v>
      </c>
      <c r="G7" s="13">
        <f>' All EV uptake'!S7</f>
        <v>1.0292118863138331</v>
      </c>
      <c r="I7" s="3">
        <v>2012</v>
      </c>
      <c r="J7" s="13">
        <f>' All EV uptake'!E7</f>
        <v>0.26263042390584534</v>
      </c>
      <c r="K7" s="13">
        <f>' All EV uptake'!F7</f>
        <v>0.26976839331369129</v>
      </c>
      <c r="L7" s="13">
        <f>' All EV uptake'!H7</f>
        <v>6.269917749005402E-2</v>
      </c>
      <c r="M7" s="13">
        <f>' All EV uptake'!I7</f>
        <v>0.28414031280549218</v>
      </c>
      <c r="N7" s="13">
        <f>' All EV uptake'!J7</f>
        <v>0</v>
      </c>
      <c r="O7" s="13">
        <f>' All EV uptake'!O7</f>
        <v>9.3060869482101627E-2</v>
      </c>
      <c r="P7" s="13">
        <f>' All EV uptake'!U7</f>
        <v>5.0294927467282827E-2</v>
      </c>
      <c r="Q7" s="13">
        <f>' All EV uptake'!W7</f>
        <v>0.35918053409809425</v>
      </c>
      <c r="R7" s="13">
        <f>' All EV uptake'!X7</f>
        <v>0.2429049181160419</v>
      </c>
      <c r="S7" s="13">
        <f>' All EV uptake'!AA7</f>
        <v>3.3744342442585909E-2</v>
      </c>
      <c r="T7" s="13">
        <f>' All EV uptake'!Y7</f>
        <v>0.12311636472094348</v>
      </c>
      <c r="U7" s="13">
        <f>' All EV uptake'!P7</f>
        <v>8.2081523558712705E-2</v>
      </c>
      <c r="V7" s="13">
        <f>' All EV uptake'!B7</f>
        <v>1.5945111417234707E-2</v>
      </c>
      <c r="X7" s="3">
        <v>2012</v>
      </c>
      <c r="Y7" s="13">
        <f>' All EV uptake'!N7</f>
        <v>0.10843888120676225</v>
      </c>
      <c r="Z7" s="13">
        <f>' All EV uptake'!Q7</f>
        <v>0.53351769485601419</v>
      </c>
      <c r="AA7" s="13">
        <f>' All EV uptake'!V7</f>
        <v>0.10374374152131341</v>
      </c>
      <c r="AB7" s="13">
        <f>' All EV uptake'!Z7</f>
        <v>0.43753150028238091</v>
      </c>
      <c r="AC7" s="13">
        <f>' All EV uptake'!L7</f>
        <v>0.3326081919378055</v>
      </c>
    </row>
    <row r="8" spans="1:29">
      <c r="A8" s="3">
        <v>2013</v>
      </c>
      <c r="B8" s="13">
        <f>' All EV uptake'!D8</f>
        <v>6.3607835641863382</v>
      </c>
      <c r="C8" s="13">
        <f>' All EV uptake'!G8</f>
        <v>0.17800153505072761</v>
      </c>
      <c r="D8" s="13">
        <f>' All EV uptake'!M8</f>
        <v>0.21848498449567416</v>
      </c>
      <c r="E8" s="13">
        <f>' All EV uptake'!R8</f>
        <v>5.5501342011082921E-2</v>
      </c>
      <c r="F8" s="13">
        <f>' All EV uptake'!K8</f>
        <v>0.2167816204415593</v>
      </c>
      <c r="G8" s="13">
        <f>' All EV uptake'!S8</f>
        <v>1.8433023734304723</v>
      </c>
      <c r="I8" s="3">
        <v>2013</v>
      </c>
      <c r="J8" s="13">
        <f>' All EV uptake'!E8</f>
        <v>0.38763937622394484</v>
      </c>
      <c r="K8" s="13">
        <f>' All EV uptake'!F8</f>
        <v>0.4153190615900294</v>
      </c>
      <c r="L8" s="13">
        <f>' All EV uptake'!H8</f>
        <v>8.7551383817578696E-2</v>
      </c>
      <c r="M8" s="13">
        <f>' All EV uptake'!I8</f>
        <v>0.28452453918310588</v>
      </c>
      <c r="N8" s="13">
        <f>' All EV uptake'!J8</f>
        <v>0.2445466806557601</v>
      </c>
      <c r="O8" s="13">
        <f>' All EV uptake'!O8</f>
        <v>0.14236726087496704</v>
      </c>
      <c r="P8" s="13">
        <f>' All EV uptake'!U8</f>
        <v>7.6224558672425224E-2</v>
      </c>
      <c r="Q8" s="13">
        <f>' All EV uptake'!W8</f>
        <v>0.54959336127147995</v>
      </c>
      <c r="R8" s="13">
        <f>' All EV uptake'!X8</f>
        <v>0.42348472348697969</v>
      </c>
      <c r="S8" s="13">
        <f>' All EV uptake'!AA8</f>
        <v>5.2527783932434013E-2</v>
      </c>
      <c r="T8" s="13">
        <f>' All EV uptake'!Y8</f>
        <v>0.17450773560150143</v>
      </c>
      <c r="U8" s="13">
        <f>' All EV uptake'!P8</f>
        <v>0.11049248750991837</v>
      </c>
      <c r="V8" s="13">
        <f>' All EV uptake'!B8</f>
        <v>3.3737289203929641E-2</v>
      </c>
      <c r="X8" s="3">
        <v>2013</v>
      </c>
      <c r="Y8" s="13">
        <f>' All EV uptake'!N8</f>
        <v>0.13136453644471022</v>
      </c>
      <c r="Z8" s="13">
        <f>' All EV uptake'!Q8</f>
        <v>0.63391991215036203</v>
      </c>
      <c r="AA8" s="13">
        <f>' All EV uptake'!V8</f>
        <v>0.13498156151751803</v>
      </c>
      <c r="AB8" s="13">
        <f>' All EV uptake'!Z8</f>
        <v>0.75238469235392802</v>
      </c>
      <c r="AC8" s="13">
        <f>' All EV uptake'!L8</f>
        <v>0.53655302059368892</v>
      </c>
    </row>
    <row r="9" spans="1:29">
      <c r="A9" s="3">
        <v>2014</v>
      </c>
      <c r="B9" s="13">
        <f>' All EV uptake'!D9</f>
        <v>11.291522864493412</v>
      </c>
      <c r="C9" s="13">
        <f>' All EV uptake'!G9</f>
        <v>0.37481187378520425</v>
      </c>
      <c r="D9" s="13">
        <f>' All EV uptake'!M9</f>
        <v>0.40468534472849599</v>
      </c>
      <c r="E9" s="13">
        <f>' All EV uptake'!R9</f>
        <v>0.11095266482069387</v>
      </c>
      <c r="F9" s="13">
        <f>' All EV uptake'!K9</f>
        <v>0.43522943065798925</v>
      </c>
      <c r="G9" s="13">
        <f>' All EV uptake'!S9</f>
        <v>3.2684255704696215</v>
      </c>
      <c r="I9" s="3">
        <v>2014</v>
      </c>
      <c r="J9" s="13">
        <f>' All EV uptake'!E9</f>
        <v>0.57162569563598153</v>
      </c>
      <c r="K9" s="13">
        <f>' All EV uptake'!F9</f>
        <v>0.63862526913926998</v>
      </c>
      <c r="L9" s="13">
        <f>' All EV uptake'!H9</f>
        <v>0.36728493856347377</v>
      </c>
      <c r="M9" s="13">
        <f>' All EV uptake'!I9</f>
        <v>0.93137474819959321</v>
      </c>
      <c r="N9" s="13">
        <f>' All EV uptake'!J9</f>
        <v>0.28414031280549218</v>
      </c>
      <c r="O9" s="13">
        <f>' All EV uptake'!O9</f>
        <v>0.21771000690284034</v>
      </c>
      <c r="P9" s="13">
        <f>' All EV uptake'!U9</f>
        <v>0.11549848108329042</v>
      </c>
      <c r="Q9" s="13">
        <f>' All EV uptake'!W9</f>
        <v>1.5696418171502364</v>
      </c>
      <c r="R9" s="13">
        <f>' All EV uptake'!X9</f>
        <v>0.73678333887473513</v>
      </c>
      <c r="S9" s="13">
        <f>' All EV uptake'!AA9</f>
        <v>8.175367776141565E-2</v>
      </c>
      <c r="T9" s="13">
        <f>' All EV uptake'!Y9</f>
        <v>0.62214017193631121</v>
      </c>
      <c r="U9" s="13">
        <f>' All EV uptake'!P9</f>
        <v>0.14871484058186824</v>
      </c>
      <c r="V9" s="13">
        <f>' All EV uptake'!B9</f>
        <v>0.14852189694342086</v>
      </c>
      <c r="X9" s="3">
        <v>2014</v>
      </c>
      <c r="Y9" s="13">
        <f>' All EV uptake'!N9</f>
        <v>0.15912514420898602</v>
      </c>
      <c r="Z9" s="13">
        <f>' All EV uptake'!Q9</f>
        <v>0.69122173256355823</v>
      </c>
      <c r="AA9" s="13">
        <f>' All EV uptake'!V9</f>
        <v>0.17559981263618776</v>
      </c>
      <c r="AB9" s="13">
        <f>' All EV uptake'!Z9</f>
        <v>0.95185857423565579</v>
      </c>
      <c r="AC9" s="13">
        <f>' All EV uptake'!L9</f>
        <v>0.69582893347782004</v>
      </c>
    </row>
    <row r="10" spans="1:29">
      <c r="A10" s="3">
        <v>2015</v>
      </c>
      <c r="B10" s="13">
        <f>' All EV uptake'!D10</f>
        <v>18.81788217034801</v>
      </c>
      <c r="C10" s="13">
        <f>' All EV uptake'!G10</f>
        <v>0.78658824937243477</v>
      </c>
      <c r="D10" s="13">
        <f>' All EV uptake'!M10</f>
        <v>0.74774037060532272</v>
      </c>
      <c r="E10" s="13">
        <f>' All EV uptake'!R10</f>
        <v>0.22161628502959124</v>
      </c>
      <c r="F10" s="13">
        <f>' All EV uptake'!K10</f>
        <v>0.59949021570807204</v>
      </c>
      <c r="G10" s="13">
        <f>' All EV uptake'!S10</f>
        <v>5.6959919762793181</v>
      </c>
      <c r="I10" s="3">
        <v>2015</v>
      </c>
      <c r="J10" s="13">
        <f>' All EV uptake'!E10</f>
        <v>0.84180021336470912</v>
      </c>
      <c r="K10" s="13">
        <f>' All EV uptake'!F10</f>
        <v>0.83298342165318717</v>
      </c>
      <c r="L10" s="13">
        <f>' All EV uptake'!H10</f>
        <v>0.98551973616104327</v>
      </c>
      <c r="M10" s="13">
        <f>' All EV uptake'!I10</f>
        <v>1.4479052196409519</v>
      </c>
      <c r="N10" s="13">
        <f>' All EV uptake'!J10</f>
        <v>0.28452453918310588</v>
      </c>
      <c r="O10" s="13">
        <f>' All EV uptake'!O10</f>
        <v>0.33272064189834066</v>
      </c>
      <c r="P10" s="13">
        <f>' All EV uptake'!U10</f>
        <v>0.11847389558232939</v>
      </c>
      <c r="Q10" s="13">
        <f>' All EV uptake'!W10</f>
        <v>2.3781495989026036</v>
      </c>
      <c r="R10" s="13">
        <f>' All EV uptake'!X10</f>
        <v>1.7272382151998207</v>
      </c>
      <c r="S10" s="13">
        <f>' All EV uptake'!AA10</f>
        <v>0.12720869508644847</v>
      </c>
      <c r="T10" s="13">
        <f>' All EV uptake'!Y10</f>
        <v>1.1141054329537496</v>
      </c>
      <c r="U10" s="13">
        <f>' All EV uptake'!P10</f>
        <v>0.15297258907354042</v>
      </c>
      <c r="V10" s="13">
        <f>' All EV uptake'!B10</f>
        <v>0.19105189234029193</v>
      </c>
      <c r="X10" s="3">
        <v>2015</v>
      </c>
      <c r="Y10" s="13">
        <f>' All EV uptake'!N10</f>
        <v>0.1927348314807267</v>
      </c>
      <c r="Z10" s="13">
        <f>' All EV uptake'!Q10</f>
        <v>0.58282814824822404</v>
      </c>
      <c r="AA10" s="13">
        <f>' All EV uptake'!V10</f>
        <v>0.2283977496812255</v>
      </c>
      <c r="AB10" s="13">
        <f>' All EV uptake'!Z10</f>
        <v>0.88800892679070453</v>
      </c>
      <c r="AC10" s="13">
        <f>' All EV uptake'!L10</f>
        <v>1.2017643024582392</v>
      </c>
    </row>
    <row r="11" spans="1:29">
      <c r="A11" s="3">
        <v>2016</v>
      </c>
      <c r="B11" s="13">
        <f>' All EV uptake'!D11</f>
        <v>28.681875004731538</v>
      </c>
      <c r="C11" s="13">
        <f>' All EV uptake'!G11</f>
        <v>1.6392758105205087</v>
      </c>
      <c r="D11" s="13">
        <f>' All EV uptake'!M11</f>
        <v>0.73461459756398872</v>
      </c>
      <c r="E11" s="13">
        <f>' All EV uptake'!R11</f>
        <v>0.44190356227885791</v>
      </c>
      <c r="F11" s="13">
        <f>' All EV uptake'!K11</f>
        <v>1.1964656516070145</v>
      </c>
      <c r="G11" s="13">
        <f>' All EV uptake'!S11</f>
        <v>9.6448869592081987</v>
      </c>
      <c r="I11" s="3">
        <v>2016</v>
      </c>
      <c r="J11" s="13">
        <f>' All EV uptake'!E11</f>
        <v>1.5391698634286424</v>
      </c>
      <c r="K11" s="13">
        <f>' All EV uptake'!F11</f>
        <v>1.2764186108823803</v>
      </c>
      <c r="L11" s="13">
        <f>' All EV uptake'!H11</f>
        <v>1.3415981568072222</v>
      </c>
      <c r="M11" s="13">
        <f>' All EV uptake'!I11</f>
        <v>2.2408785959824278</v>
      </c>
      <c r="N11" s="13">
        <f>' All EV uptake'!J11</f>
        <v>0.93137474819959321</v>
      </c>
      <c r="O11" s="13">
        <f>' All EV uptake'!O11</f>
        <v>0.50801200951831016</v>
      </c>
      <c r="P11" s="13">
        <f>' All EV uptake'!U11</f>
        <v>0.26488873951865571</v>
      </c>
      <c r="Q11" s="13">
        <f>' All EV uptake'!W11</f>
        <v>3.5796100720839283</v>
      </c>
      <c r="R11" s="13">
        <f>' All EV uptake'!X11</f>
        <v>1.9655495214791945</v>
      </c>
      <c r="S11" s="13">
        <f>' All EV uptake'!AA11</f>
        <v>0.12387481770399303</v>
      </c>
      <c r="T11" s="13">
        <f>' All EV uptake'!Y11</f>
        <v>1.2399004278695112</v>
      </c>
      <c r="U11" s="13">
        <f>' All EV uptake'!P11</f>
        <v>0.24606828814625634</v>
      </c>
      <c r="V11" s="13">
        <f>' All EV uptake'!B11</f>
        <v>0.19728827949079125</v>
      </c>
      <c r="X11" s="3">
        <v>2016</v>
      </c>
      <c r="Y11" s="13">
        <f>' All EV uptake'!N11</f>
        <v>0.23341784865421891</v>
      </c>
      <c r="Z11" s="13">
        <f>' All EV uptake'!Q11</f>
        <v>0.60024846680994026</v>
      </c>
      <c r="AA11" s="13">
        <f>' All EV uptake'!V11</f>
        <v>0.29699781325595348</v>
      </c>
      <c r="AB11" s="13">
        <f>' All EV uptake'!Z11</f>
        <v>1.1228114078567422</v>
      </c>
      <c r="AC11" s="13">
        <f>' All EV uptake'!L11</f>
        <v>1.4468260734570164</v>
      </c>
    </row>
    <row r="12" spans="1:29">
      <c r="A12" s="3">
        <v>2017</v>
      </c>
      <c r="B12" s="13">
        <f>' All EV uptake'!D12</f>
        <v>39.314736357294422</v>
      </c>
      <c r="C12" s="13">
        <f>' All EV uptake'!G12</f>
        <v>3.3678254750715246</v>
      </c>
      <c r="D12" s="13">
        <f>' All EV uptake'!M12</f>
        <v>1.5872033755904482</v>
      </c>
      <c r="E12" s="13">
        <f>' All EV uptake'!R12</f>
        <v>0.87818859400646965</v>
      </c>
      <c r="F12" s="13">
        <f>' All EV uptake'!K12</f>
        <v>2.577341331106104</v>
      </c>
      <c r="G12" s="13">
        <f>' All EV uptake'!S12</f>
        <v>15.610808434297555</v>
      </c>
      <c r="I12" s="3">
        <v>2017</v>
      </c>
      <c r="J12" s="13">
        <f>' All EV uptake'!E12</f>
        <v>2.020466751119709</v>
      </c>
      <c r="K12" s="13">
        <f>' All EV uptake'!F12</f>
        <v>2.1109069198989259</v>
      </c>
      <c r="L12" s="13">
        <f>' All EV uptake'!H12</f>
        <v>2.1439166050925254</v>
      </c>
      <c r="M12" s="13">
        <f>' All EV uptake'!I12</f>
        <v>3.4446003282819651</v>
      </c>
      <c r="N12" s="13">
        <f>' All EV uptake'!J12</f>
        <v>0.93137474819959321</v>
      </c>
      <c r="O12" s="13">
        <f>' All EV uptake'!O12</f>
        <v>0.77454818827191763</v>
      </c>
      <c r="P12" s="13">
        <f>' All EV uptake'!U12</f>
        <v>0.40076989322369888</v>
      </c>
      <c r="Q12" s="13">
        <f>' All EV uptake'!W12</f>
        <v>5.3363335562542451</v>
      </c>
      <c r="R12" s="13">
        <f>' All EV uptake'!X12</f>
        <v>2.5181859041344001</v>
      </c>
      <c r="S12" s="13">
        <f>' All EV uptake'!AA12</f>
        <v>0.30756372069793464</v>
      </c>
      <c r="T12" s="13">
        <f>' All EV uptake'!Y12</f>
        <v>1.7449230058151759</v>
      </c>
      <c r="U12" s="13">
        <f>' All EV uptake'!P12</f>
        <v>0.47261854943019649</v>
      </c>
      <c r="V12" s="13">
        <f>' All EV uptake'!B12</f>
        <v>0.21240931229561377</v>
      </c>
      <c r="X12" s="3">
        <v>2017</v>
      </c>
      <c r="Y12" s="13">
        <f>' All EV uptake'!N12</f>
        <v>0.28265089943372285</v>
      </c>
      <c r="Z12" s="13">
        <f>' All EV uptake'!Q12</f>
        <v>1.2590579509713404</v>
      </c>
      <c r="AA12" s="13">
        <f>' All EV uptake'!V12</f>
        <v>0.59705961331901092</v>
      </c>
      <c r="AB12" s="13">
        <f>' All EV uptake'!Z12</f>
        <v>1.4183255938840109</v>
      </c>
      <c r="AC12" s="13">
        <f>' All EV uptake'!L12</f>
        <v>1.7404971160048122</v>
      </c>
    </row>
    <row r="13" spans="1:29">
      <c r="A13" s="3">
        <v>2018</v>
      </c>
      <c r="B13" s="13">
        <f>' All EV uptake'!D13</f>
        <v>48.613157762113936</v>
      </c>
      <c r="C13" s="13">
        <f>' All EV uptake'!G13</f>
        <v>6.7255868372254772</v>
      </c>
      <c r="D13" s="13">
        <f>' All EV uptake'!M13</f>
        <v>2.4665326913069379</v>
      </c>
      <c r="E13" s="13">
        <f>' All EV uptake'!R13</f>
        <v>1.7336445171730701</v>
      </c>
      <c r="F13" s="13">
        <f>' All EV uptake'!K13</f>
        <v>4.596654877069545</v>
      </c>
      <c r="G13" s="13">
        <f>' All EV uptake'!S13</f>
        <v>23.687839848159406</v>
      </c>
      <c r="I13" s="3">
        <v>2018</v>
      </c>
      <c r="J13" s="13">
        <f>' All EV uptake'!E13</f>
        <v>2.6459895790365104</v>
      </c>
      <c r="K13" s="13">
        <f>' All EV uptake'!F13</f>
        <v>5.4034855410703129</v>
      </c>
      <c r="L13" s="13">
        <f>' All EV uptake'!H13</f>
        <v>3.9822183298483407</v>
      </c>
      <c r="M13" s="13">
        <f>' All EV uptake'!I13</f>
        <v>5.2409229437896716</v>
      </c>
      <c r="N13" s="13">
        <f>' All EV uptake'!J13</f>
        <v>0.90531080068456737</v>
      </c>
      <c r="O13" s="13">
        <f>' All EV uptake'!O13</f>
        <v>1.1783714609456715</v>
      </c>
      <c r="P13" s="13">
        <f>' All EV uptake'!U13</f>
        <v>0.60570241577331663</v>
      </c>
      <c r="Q13" s="13">
        <f>' All EV uptake'!W13</f>
        <v>7.8450665364293197</v>
      </c>
      <c r="R13" s="13">
        <f>' All EV uptake'!X13</f>
        <v>3.5138465896522613</v>
      </c>
      <c r="S13" s="13">
        <f>' All EV uptake'!AA13</f>
        <v>0.47764529154494301</v>
      </c>
      <c r="T13" s="13">
        <f>' All EV uptake'!Y13</f>
        <v>2.4477489867286506</v>
      </c>
      <c r="U13" s="13">
        <f>' All EV uptake'!P13</f>
        <v>0.69363502576303426</v>
      </c>
      <c r="V13" s="13">
        <f>' All EV uptake'!B13</f>
        <v>0.32791105969958972</v>
      </c>
      <c r="X13" s="3">
        <v>2018</v>
      </c>
      <c r="Y13" s="13">
        <f>' All EV uptake'!N13</f>
        <v>0.34221343420214007</v>
      </c>
      <c r="Z13" s="13">
        <f>' All EV uptake'!Q13</f>
        <v>1.4928371390463264</v>
      </c>
      <c r="AA13" s="13">
        <f>' All EV uptake'!V13</f>
        <v>0.77506356503223739</v>
      </c>
      <c r="AB13" s="13">
        <f>' All EV uptake'!Z13</f>
        <v>2.6156431898055854</v>
      </c>
      <c r="AC13" s="13">
        <f>' All EV uptake'!L13</f>
        <v>2.0918143794335924</v>
      </c>
    </row>
    <row r="14" spans="1:29">
      <c r="A14" s="3">
        <v>2019</v>
      </c>
      <c r="B14" s="13">
        <f>' All EV uptake'!D14</f>
        <v>55.369953598215368</v>
      </c>
      <c r="C14" s="13">
        <f>' All EV uptake'!G14</f>
        <v>12.739114205438929</v>
      </c>
      <c r="D14" s="13">
        <f>' All EV uptake'!M14</f>
        <v>4.4373644231824505</v>
      </c>
      <c r="E14" s="13">
        <f>' All EV uptake'!R14</f>
        <v>3.3785058938819041</v>
      </c>
      <c r="F14" s="13">
        <f>' All EV uptake'!K14</f>
        <v>8.6400147217897896</v>
      </c>
      <c r="G14" s="13">
        <f>' All EV uptake'!S14</f>
        <v>33.139809185381857</v>
      </c>
      <c r="I14" s="3">
        <v>2019</v>
      </c>
      <c r="J14" s="13">
        <f>' All EV uptake'!E14</f>
        <v>3.8381890852736973</v>
      </c>
      <c r="K14" s="13">
        <f>' All EV uptake'!F14</f>
        <v>5.1907636009319509</v>
      </c>
      <c r="L14" s="13">
        <f>' All EV uptake'!H14</f>
        <v>6.209668440149346</v>
      </c>
      <c r="M14" s="13">
        <f>' All EV uptake'!I14</f>
        <v>7.8544776715370315</v>
      </c>
      <c r="N14" s="13">
        <f>' All EV uptake'!J14</f>
        <v>1.1672115702411343</v>
      </c>
      <c r="O14" s="13">
        <f>' All EV uptake'!O14</f>
        <v>1.7868769257937176</v>
      </c>
      <c r="P14" s="13">
        <f>' All EV uptake'!U14</f>
        <v>0.91394400665760067</v>
      </c>
      <c r="Q14" s="13">
        <f>' All EV uptake'!W14</f>
        <v>11.309646896270017</v>
      </c>
      <c r="R14" s="13">
        <f>' All EV uptake'!X14</f>
        <v>4.8724801350553042</v>
      </c>
      <c r="S14" s="13">
        <f>' All EV uptake'!AA14</f>
        <v>0.74070443711545286</v>
      </c>
      <c r="T14" s="13">
        <f>' All EV uptake'!Y14</f>
        <v>3.4183633247503673</v>
      </c>
      <c r="U14" s="13">
        <f>' All EV uptake'!P14</f>
        <v>1.0163801931175711</v>
      </c>
      <c r="V14" s="13">
        <f>' All EV uptake'!B14</f>
        <v>0.62592473597208209</v>
      </c>
      <c r="X14" s="3">
        <v>2019</v>
      </c>
      <c r="Y14" s="13">
        <f>' All EV uptake'!N14</f>
        <v>0.41424713827539777</v>
      </c>
      <c r="Z14" s="13">
        <f>' All EV uptake'!Q14</f>
        <v>1.7688193798116725</v>
      </c>
      <c r="AA14" s="13">
        <f>' All EV uptake'!V14</f>
        <v>1.0053082103042874</v>
      </c>
      <c r="AB14" s="13">
        <f>' All EV uptake'!Z14</f>
        <v>2.7228670318692854</v>
      </c>
      <c r="AC14" s="13">
        <f>' All EV uptake'!L14</f>
        <v>2.5112295614465268</v>
      </c>
    </row>
    <row r="15" spans="1:29">
      <c r="A15" s="3">
        <v>2020</v>
      </c>
      <c r="B15" s="13">
        <f>' All EV uptake'!D15</f>
        <v>59.647470933153592</v>
      </c>
      <c r="C15" s="13">
        <f>' All EV uptake'!G15</f>
        <v>22.091190429597429</v>
      </c>
      <c r="D15" s="13">
        <f>' All EV uptake'!M15</f>
        <v>7.7868554505897851</v>
      </c>
      <c r="E15" s="13">
        <f>' All EV uptake'!R15</f>
        <v>6.4254912311464647</v>
      </c>
      <c r="F15" s="13">
        <f>' All EV uptake'!K15</f>
        <v>15.336968936398058</v>
      </c>
      <c r="G15" s="13">
        <f>' All EV uptake'!S15</f>
        <v>42.484730160291178</v>
      </c>
      <c r="I15" s="3">
        <v>2020</v>
      </c>
      <c r="J15" s="13">
        <f>' All EV uptake'!E15</f>
        <v>5.5200023789857555</v>
      </c>
      <c r="K15" s="13">
        <f>' All EV uptake'!F15</f>
        <v>7.6765137034633693</v>
      </c>
      <c r="L15" s="13">
        <f>' All EV uptake'!H15</f>
        <v>9.4892790941138845</v>
      </c>
      <c r="M15" s="13">
        <f>' All EV uptake'!I15</f>
        <v>11.520114188615567</v>
      </c>
      <c r="N15" s="13">
        <f>' All EV uptake'!J15</f>
        <v>1.6698566862576087</v>
      </c>
      <c r="O15" s="13">
        <f>' All EV uptake'!O15</f>
        <v>2.6963361810187929</v>
      </c>
      <c r="P15" s="13">
        <f>' All EV uptake'!U15</f>
        <v>1.3756983661601709</v>
      </c>
      <c r="Q15" s="13">
        <f>' All EV uptake'!W15</f>
        <v>15.879185521949198</v>
      </c>
      <c r="R15" s="13">
        <f>' All EV uptake'!X15</f>
        <v>6.6991954560165095</v>
      </c>
      <c r="S15" s="13">
        <f>' All EV uptake'!AA15</f>
        <v>1.1460678396135278</v>
      </c>
      <c r="T15" s="13">
        <f>' All EV uptake'!Y15</f>
        <v>4.7446650101291459</v>
      </c>
      <c r="U15" s="13">
        <f>' All EV uptake'!P15</f>
        <v>1.485827405631815</v>
      </c>
      <c r="V15" s="13">
        <f>' All EV uptake'!B15</f>
        <v>0.96294157557979021</v>
      </c>
      <c r="X15" s="3">
        <v>2020</v>
      </c>
      <c r="Y15" s="13">
        <f>' All EV uptake'!N15</f>
        <v>0.50132590511767838</v>
      </c>
      <c r="Z15" s="13">
        <f>' All EV uptake'!Q15</f>
        <v>2.0941403093031719</v>
      </c>
      <c r="AA15" s="13">
        <f>' All EV uptake'!V15</f>
        <v>1.3025634030058668</v>
      </c>
      <c r="AB15" s="13">
        <f>' All EV uptake'!Z15</f>
        <v>2.8342866355497933</v>
      </c>
      <c r="AC15" s="13">
        <f>' All EV uptake'!L15</f>
        <v>3.0107141260906078</v>
      </c>
    </row>
    <row r="16" spans="1:29">
      <c r="A16" s="3">
        <v>2021</v>
      </c>
      <c r="B16" s="13">
        <f>' All EV uptake'!D16</f>
        <v>62.123681562857406</v>
      </c>
      <c r="C16" s="13">
        <f>' All EV uptake'!G16</f>
        <v>33.860541473603895</v>
      </c>
      <c r="D16" s="13">
        <f>' All EV uptake'!M16</f>
        <v>13.117067998248489</v>
      </c>
      <c r="E16" s="13">
        <f>' All EV uptake'!R16</f>
        <v>11.698768497088503</v>
      </c>
      <c r="F16" s="13">
        <f>' All EV uptake'!K16</f>
        <v>24.928799826983788</v>
      </c>
      <c r="G16" s="13">
        <f>' All EV uptake'!S16</f>
        <v>50.304167818683801</v>
      </c>
      <c r="I16" s="3">
        <v>2021</v>
      </c>
      <c r="J16" s="13">
        <f>' All EV uptake'!E16</f>
        <v>7.8442359614469916</v>
      </c>
      <c r="K16" s="13">
        <f>' All EV uptake'!F16</f>
        <v>11.13109783917723</v>
      </c>
      <c r="L16" s="13">
        <f>' All EV uptake'!H16</f>
        <v>14.085993315507633</v>
      </c>
      <c r="M16" s="13">
        <f>' All EV uptake'!I16</f>
        <v>16.405363572657308</v>
      </c>
      <c r="N16" s="13">
        <f>' All EV uptake'!J16</f>
        <v>2.6611363671789219</v>
      </c>
      <c r="O16" s="13">
        <f>' All EV uptake'!O16</f>
        <v>4.0391024160345372</v>
      </c>
      <c r="P16" s="13">
        <f>' All EV uptake'!U16</f>
        <v>2.0632352831504894</v>
      </c>
      <c r="Q16" s="13">
        <f>' All EV uptake'!W16</f>
        <v>21.553816245209962</v>
      </c>
      <c r="R16" s="13">
        <f>' All EV uptake'!X16</f>
        <v>9.1070270327411542</v>
      </c>
      <c r="S16" s="13">
        <f>' All EV uptake'!AA16</f>
        <v>1.7671726185362033</v>
      </c>
      <c r="T16" s="13">
        <f>' All EV uptake'!Y16</f>
        <v>6.5309876755262284</v>
      </c>
      <c r="U16" s="13">
        <f>' All EV uptake'!P16</f>
        <v>2.164767594639474</v>
      </c>
      <c r="V16" s="13">
        <f>' All EV uptake'!B16</f>
        <v>1.4772543508293725</v>
      </c>
      <c r="X16" s="3">
        <v>2021</v>
      </c>
      <c r="Y16" s="13">
        <f>' All EV uptake'!N16</f>
        <v>0.60653756944353054</v>
      </c>
      <c r="Z16" s="13">
        <f>' All EV uptake'!Q16</f>
        <v>2.4769503709961866</v>
      </c>
      <c r="AA16" s="13">
        <f>' All EV uptake'!V16</f>
        <v>1.6853978600233139</v>
      </c>
      <c r="AB16" s="13">
        <f>' All EV uptake'!Z16</f>
        <v>3.5551760195496298</v>
      </c>
      <c r="AC16" s="13">
        <f>' All EV uptake'!L16</f>
        <v>3.6038168475970256</v>
      </c>
    </row>
    <row r="17" spans="1:29">
      <c r="A17" s="3">
        <v>2022</v>
      </c>
      <c r="B17" s="13">
        <f>' All EV uptake'!D17</f>
        <v>63.483462457791383</v>
      </c>
      <c r="C17" s="13">
        <f>' All EV uptake'!G17</f>
        <v>45.282958136627563</v>
      </c>
      <c r="D17" s="13">
        <f>' All EV uptake'!M17</f>
        <v>20.771258326627883</v>
      </c>
      <c r="E17" s="13">
        <f>' All EV uptake'!R17</f>
        <v>19.83429983606014</v>
      </c>
      <c r="F17" s="13">
        <f>' All EV uptake'!K17</f>
        <v>36.15255806520549</v>
      </c>
      <c r="G17" s="13">
        <f>' All EV uptake'!S17</f>
        <v>55.984247460872368</v>
      </c>
      <c r="I17" s="3">
        <v>2022</v>
      </c>
      <c r="J17" s="13">
        <f>' All EV uptake'!E17</f>
        <v>10.96666716050855</v>
      </c>
      <c r="K17" s="13">
        <f>' All EV uptake'!F17</f>
        <v>15.714141029929063</v>
      </c>
      <c r="L17" s="13">
        <f>' All EV uptake'!H17</f>
        <v>20.103016074040784</v>
      </c>
      <c r="M17" s="13">
        <f>' All EV uptake'!I17</f>
        <v>22.491028963670956</v>
      </c>
      <c r="N17" s="13">
        <f>' All EV uptake'!J17</f>
        <v>4.0457569518464096</v>
      </c>
      <c r="O17" s="13">
        <f>' All EV uptake'!O17</f>
        <v>5.9863117522368512</v>
      </c>
      <c r="P17" s="13">
        <f>' All EV uptake'!U17</f>
        <v>3.0777626865267869</v>
      </c>
      <c r="Q17" s="13">
        <f>' All EV uptake'!W17</f>
        <v>28.096417491564278</v>
      </c>
      <c r="R17" s="13">
        <f>' All EV uptake'!X17</f>
        <v>12.199197278580884</v>
      </c>
      <c r="S17" s="13">
        <f>' All EV uptake'!AA17</f>
        <v>2.7105926994601921</v>
      </c>
      <c r="T17" s="13">
        <f>' All EV uptake'!Y17</f>
        <v>8.8906126641970715</v>
      </c>
      <c r="U17" s="13">
        <f>' All EV uptake'!P17</f>
        <v>3.1386148509074898</v>
      </c>
      <c r="V17" s="13">
        <f>' All EV uptake'!B17</f>
        <v>2.2565846223029289</v>
      </c>
      <c r="X17" s="3">
        <v>2022</v>
      </c>
      <c r="Y17" s="13">
        <f>' All EV uptake'!N17</f>
        <v>0.7335785364504962</v>
      </c>
      <c r="Z17" s="13">
        <f>' All EV uptake'!Q17</f>
        <v>2.9264828480241376</v>
      </c>
      <c r="AA17" s="13">
        <f>' All EV uptake'!V17</f>
        <v>2.1769052253495365</v>
      </c>
      <c r="AB17" s="13">
        <f>' All EV uptake'!Z17</f>
        <v>4.4463065083250726</v>
      </c>
      <c r="AC17" s="13">
        <f>' All EV uptake'!L17</f>
        <v>4.3056438023428854</v>
      </c>
    </row>
    <row r="18" spans="1:29">
      <c r="A18" s="3">
        <v>2023</v>
      </c>
      <c r="B18" s="13">
        <f>' All EV uptake'!D18</f>
        <v>64.208595508841753</v>
      </c>
      <c r="C18" s="13">
        <f>' All EV uptake'!G18</f>
        <v>53.890192903355754</v>
      </c>
      <c r="D18" s="13">
        <f>' All EV uptake'!M18</f>
        <v>30.284768316160477</v>
      </c>
      <c r="E18" s="13">
        <f>' All EV uptake'!R18</f>
        <v>30.400591171145539</v>
      </c>
      <c r="F18" s="13">
        <f>' All EV uptake'!K18</f>
        <v>46.558247297352999</v>
      </c>
      <c r="G18" s="13">
        <f>' All EV uptake'!S18</f>
        <v>59.700218311068888</v>
      </c>
      <c r="I18" s="3">
        <v>2023</v>
      </c>
      <c r="J18" s="13">
        <f>' All EV uptake'!E18</f>
        <v>15.005684880315728</v>
      </c>
      <c r="K18" s="13">
        <f>' All EV uptake'!F18</f>
        <v>21.433378729579367</v>
      </c>
      <c r="L18" s="13">
        <f>' All EV uptake'!H18</f>
        <v>27.311543855336645</v>
      </c>
      <c r="M18" s="13">
        <f>' All EV uptake'!I18</f>
        <v>29.465364095738629</v>
      </c>
      <c r="N18" s="13">
        <f>' All EV uptake'!J18</f>
        <v>7.0372486224496811</v>
      </c>
      <c r="O18" s="13">
        <f>' All EV uptake'!O18</f>
        <v>8.7376997223777266</v>
      </c>
      <c r="P18" s="13">
        <f>' All EV uptake'!U18</f>
        <v>4.5550452562582526</v>
      </c>
      <c r="Q18" s="13">
        <f>' All EV uptake'!W18</f>
        <v>35.024008658586574</v>
      </c>
      <c r="R18" s="13">
        <f>' All EV uptake'!X18</f>
        <v>16.039974653046883</v>
      </c>
      <c r="S18" s="13">
        <f>' All EV uptake'!AA18</f>
        <v>4.1248112477580197</v>
      </c>
      <c r="T18" s="13">
        <f>' All EV uptake'!Y18</f>
        <v>11.928830730580861</v>
      </c>
      <c r="U18" s="13">
        <f>' All EV uptake'!P18</f>
        <v>4.5190517009811133</v>
      </c>
      <c r="V18" s="13">
        <f>' All EV uptake'!B18</f>
        <v>3.4248861919283669</v>
      </c>
      <c r="X18" s="3">
        <v>2023</v>
      </c>
      <c r="Y18" s="13">
        <f>' All EV uptake'!N18</f>
        <v>0.88686210956113698</v>
      </c>
      <c r="Z18" s="13">
        <f>' All EV uptake'!Q18</f>
        <v>3.4530934847635457</v>
      </c>
      <c r="AA18" s="13">
        <f>' All EV uptake'!V18</f>
        <v>2.8053982735175036</v>
      </c>
      <c r="AB18" s="13">
        <f>' All EV uptake'!Z18</f>
        <v>5.5406634902843503</v>
      </c>
      <c r="AC18" s="13">
        <f>' All EV uptake'!L18</f>
        <v>5.1327221164140759</v>
      </c>
    </row>
    <row r="19" spans="1:29">
      <c r="A19" s="3">
        <v>2024</v>
      </c>
      <c r="B19" s="13">
        <f>' All EV uptake'!D19</f>
        <v>64.589249257811147</v>
      </c>
      <c r="C19" s="13">
        <f>' All EV uptake'!G19</f>
        <v>59.219670714792123</v>
      </c>
      <c r="D19" s="13">
        <f>' All EV uptake'!M19</f>
        <v>40.195612796933077</v>
      </c>
      <c r="E19" s="13">
        <f>' All EV uptake'!R19</f>
        <v>41.432186981588991</v>
      </c>
      <c r="F19" s="13">
        <f>' All EV uptake'!K19</f>
        <v>54.319355186406916</v>
      </c>
      <c r="G19" s="13">
        <f>' All EV uptake'!S19</f>
        <v>61.96755891259167</v>
      </c>
      <c r="I19" s="3">
        <v>2024</v>
      </c>
      <c r="J19" s="13">
        <f>' All EV uptake'!E19</f>
        <v>19.982150823142476</v>
      </c>
      <c r="K19" s="13">
        <f>' All EV uptake'!F19</f>
        <v>28.049514477473753</v>
      </c>
      <c r="L19" s="13">
        <f>' All EV uptake'!H19</f>
        <v>35.084973204563525</v>
      </c>
      <c r="M19" s="13">
        <f>' All EV uptake'!I19</f>
        <v>36.733532308131018</v>
      </c>
      <c r="N19" s="13">
        <f>' All EV uptake'!J19</f>
        <v>11.087278695987386</v>
      </c>
      <c r="O19" s="13">
        <f>' All EV uptake'!O19</f>
        <v>12.486103600758348</v>
      </c>
      <c r="P19" s="13">
        <f>' All EV uptake'!U19</f>
        <v>6.6650803900395221</v>
      </c>
      <c r="Q19" s="13">
        <f>' All EV uptake'!W19</f>
        <v>41.728285980140683</v>
      </c>
      <c r="R19" s="13">
        <f>' All EV uptake'!X19</f>
        <v>20.617795513239166</v>
      </c>
      <c r="S19" s="13">
        <f>' All EV uptake'!AA19</f>
        <v>6.2033984467536163</v>
      </c>
      <c r="T19" s="13">
        <f>' All EV uptake'!Y19</f>
        <v>15.714524034922066</v>
      </c>
      <c r="U19" s="13">
        <f>' All EV uptake'!P19</f>
        <v>6.4433974625468542</v>
      </c>
      <c r="V19" s="13">
        <f>' All EV uptake'!B19</f>
        <v>5.1484202707284563</v>
      </c>
      <c r="X19" s="3">
        <v>2024</v>
      </c>
      <c r="Y19" s="13">
        <f>' All EV uptake'!N19</f>
        <v>1.0716406896356336</v>
      </c>
      <c r="Z19" s="13">
        <f>' All EV uptake'!Q19</f>
        <v>4.0682552925428244</v>
      </c>
      <c r="AA19" s="13">
        <f>' All EV uptake'!V19</f>
        <v>3.6049310682133533</v>
      </c>
      <c r="AB19" s="13">
        <f>' All EV uptake'!Z19</f>
        <v>6.8737959202792842</v>
      </c>
      <c r="AC19" s="13">
        <f>' All EV uptake'!L19</f>
        <v>6.1027007251192567</v>
      </c>
    </row>
    <row r="20" spans="1:29">
      <c r="A20" s="3">
        <v>2025</v>
      </c>
      <c r="B20" s="13">
        <f>' All EV uptake'!D20</f>
        <v>64.78742039856111</v>
      </c>
      <c r="C20" s="13">
        <f>' All EV uptake'!G20</f>
        <v>62.128762575258762</v>
      </c>
      <c r="D20" s="13">
        <f>' All EV uptake'!M20</f>
        <v>48.791353526737112</v>
      </c>
      <c r="E20" s="13">
        <f>' All EV uptake'!R20</f>
        <v>50.611244860494736</v>
      </c>
      <c r="F20" s="13">
        <f>' All EV uptake'!K20</f>
        <v>59.219748667996228</v>
      </c>
      <c r="G20" s="13">
        <f>' All EV uptake'!S20</f>
        <v>63.292632284816008</v>
      </c>
      <c r="I20" s="3">
        <v>2025</v>
      </c>
      <c r="J20" s="13">
        <f>' All EV uptake'!E20</f>
        <v>25.758672365867149</v>
      </c>
      <c r="K20" s="13">
        <f>' All EV uptake'!F20</f>
        <v>35.064221343803105</v>
      </c>
      <c r="L20" s="13">
        <f>' All EV uptake'!H20</f>
        <v>42.571732694407068</v>
      </c>
      <c r="M20" s="13">
        <f>' All EV uptake'!I20</f>
        <v>43.595030140274922</v>
      </c>
      <c r="N20" s="13">
        <f>' All EV uptake'!J20</f>
        <v>16.291431449478718</v>
      </c>
      <c r="O20" s="13">
        <f>' All EV uptake'!O20</f>
        <v>17.346754578607644</v>
      </c>
      <c r="P20" s="13">
        <f>' All EV uptake'!U20</f>
        <v>9.5973526779353122</v>
      </c>
      <c r="Q20" s="13">
        <f>' All EV uptake'!W20</f>
        <v>47.674841827857293</v>
      </c>
      <c r="R20" s="13">
        <f>' All EV uptake'!X20</f>
        <v>25.813294105753002</v>
      </c>
      <c r="S20" s="13">
        <f>' All EV uptake'!AA20</f>
        <v>9.1716221571704377</v>
      </c>
      <c r="T20" s="13">
        <f>' All EV uptake'!Y20</f>
        <v>20.243366743568988</v>
      </c>
      <c r="U20" s="13">
        <f>' All EV uptake'!P20</f>
        <v>9.0643752569605045</v>
      </c>
      <c r="V20" s="13">
        <f>' All EV uptake'!B20</f>
        <v>7.6318010741069422</v>
      </c>
      <c r="X20" s="3">
        <v>2025</v>
      </c>
      <c r="Y20" s="13">
        <f>' All EV uptake'!N20</f>
        <v>1.2941409573841982</v>
      </c>
      <c r="Z20" s="13">
        <f>' All EV uptake'!Q20</f>
        <v>4.7844877499604683</v>
      </c>
      <c r="AA20" s="13">
        <f>' All EV uptake'!V20</f>
        <v>4.6154193572990128</v>
      </c>
      <c r="AB20" s="13">
        <f>' All EV uptake'!Z20</f>
        <v>8.4819345291881394</v>
      </c>
      <c r="AC20" s="13">
        <f>' All EV uptake'!L20</f>
        <v>7.2338362019303668</v>
      </c>
    </row>
    <row r="21" spans="1:29">
      <c r="A21" s="3">
        <v>2026</v>
      </c>
      <c r="B21" s="13">
        <f>' All EV uptake'!D21</f>
        <v>64.890144344344137</v>
      </c>
      <c r="C21" s="13">
        <f>' All EV uptake'!G21</f>
        <v>63.608192199633578</v>
      </c>
      <c r="D21" s="13">
        <f>' All EV uptake'!M21</f>
        <v>55.139080005240515</v>
      </c>
      <c r="E21" s="13">
        <f>' All EV uptake'!R21</f>
        <v>56.913081282143523</v>
      </c>
      <c r="F21" s="13">
        <f>' All EV uptake'!K21</f>
        <v>61.996124029956285</v>
      </c>
      <c r="G21" s="13">
        <f>' All EV uptake'!S21</f>
        <v>64.047592860998989</v>
      </c>
      <c r="I21" s="3">
        <v>2026</v>
      </c>
      <c r="J21" s="13">
        <f>' All EV uptake'!E21</f>
        <v>32.017433710081967</v>
      </c>
      <c r="K21" s="13">
        <f>' All EV uptake'!F21</f>
        <v>41.846485993743983</v>
      </c>
      <c r="L21" s="13">
        <f>' All EV uptake'!H21</f>
        <v>49.037279341738675</v>
      </c>
      <c r="M21" s="13">
        <f>' All EV uptake'!I21</f>
        <v>49.494021669546953</v>
      </c>
      <c r="N21" s="13">
        <f>' All EV uptake'!J21</f>
        <v>22.589953322346989</v>
      </c>
      <c r="O21" s="13">
        <f>' All EV uptake'!O21</f>
        <v>23.261428838728147</v>
      </c>
      <c r="P21" s="13">
        <f>' All EV uptake'!U21</f>
        <v>13.520664050956489</v>
      </c>
      <c r="Q21" s="13">
        <f>' All EV uptake'!W21</f>
        <v>52.555064664009244</v>
      </c>
      <c r="R21" s="13">
        <f>' All EV uptake'!X21</f>
        <v>31.39198763842187</v>
      </c>
      <c r="S21" s="13">
        <f>' All EV uptake'!AA21</f>
        <v>13.240269993680185</v>
      </c>
      <c r="T21" s="13">
        <f>' All EV uptake'!Y21</f>
        <v>25.404627196324107</v>
      </c>
      <c r="U21" s="13">
        <f>' All EV uptake'!P21</f>
        <v>12.523473405238571</v>
      </c>
      <c r="V21" s="13">
        <f>' All EV uptake'!B21</f>
        <v>11.091081532193469</v>
      </c>
      <c r="X21" s="3">
        <v>2026</v>
      </c>
      <c r="Y21" s="13">
        <f>' All EV uptake'!N21</f>
        <v>1.5617094795796753</v>
      </c>
      <c r="Z21" s="13">
        <f>' All EV uptake'!Q21</f>
        <v>5.6151953688923006</v>
      </c>
      <c r="AA21" s="13">
        <f>' All EV uptake'!V21</f>
        <v>5.8820180433334794</v>
      </c>
      <c r="AB21" s="13">
        <f>' All EV uptake'!Z21</f>
        <v>10.39899200101924</v>
      </c>
      <c r="AC21" s="13">
        <f>' All EV uptake'!L21</f>
        <v>8.5442128980735639</v>
      </c>
    </row>
    <row r="22" spans="1:29">
      <c r="A22" s="3">
        <v>2027</v>
      </c>
      <c r="B22" s="13">
        <f>' All EV uptake'!D22</f>
        <v>64.943272893507597</v>
      </c>
      <c r="C22" s="13">
        <f>' All EV uptake'!G22</f>
        <v>64.333510556176108</v>
      </c>
      <c r="D22" s="13">
        <f>' All EV uptake'!M22</f>
        <v>59.291711169072009</v>
      </c>
      <c r="E22" s="13">
        <f>' All EV uptake'!R22</f>
        <v>60.689947897794141</v>
      </c>
      <c r="F22" s="13">
        <f>' All EV uptake'!K22</f>
        <v>63.473327028320881</v>
      </c>
      <c r="G22" s="13">
        <f>' All EV uptake'!S22</f>
        <v>64.471513837004551</v>
      </c>
      <c r="I22" s="3">
        <v>2027</v>
      </c>
      <c r="J22" s="13">
        <f>' All EV uptake'!E22</f>
        <v>38.312201822341244</v>
      </c>
      <c r="K22" s="13">
        <f>' All EV uptake'!F22</f>
        <v>47.843973203094116</v>
      </c>
      <c r="L22" s="13">
        <f>' All EV uptake'!H22</f>
        <v>54.1155023268024</v>
      </c>
      <c r="M22" s="13">
        <f>' All EV uptake'!I22</f>
        <v>54.171130546633584</v>
      </c>
      <c r="N22" s="13">
        <f>' All EV uptake'!J22</f>
        <v>29.738063816094563</v>
      </c>
      <c r="O22" s="13">
        <f>' All EV uptake'!O22</f>
        <v>29.926315888739872</v>
      </c>
      <c r="P22" s="13">
        <f>' All EV uptake'!U22</f>
        <v>18.511901087386413</v>
      </c>
      <c r="Q22" s="13">
        <f>' All EV uptake'!W22</f>
        <v>56.311144997869462</v>
      </c>
      <c r="R22" s="13">
        <f>' All EV uptake'!X22</f>
        <v>37.036826165730012</v>
      </c>
      <c r="S22" s="13">
        <f>' All EV uptake'!AA22</f>
        <v>18.515233276278042</v>
      </c>
      <c r="T22" s="13">
        <f>' All EV uptake'!Y22</f>
        <v>30.971201794702385</v>
      </c>
      <c r="U22" s="13">
        <f>' All EV uptake'!P22</f>
        <v>16.903698286910249</v>
      </c>
      <c r="V22" s="13">
        <f>' All EV uptake'!B22</f>
        <v>15.689528339977821</v>
      </c>
      <c r="X22" s="3">
        <v>2027</v>
      </c>
      <c r="Y22" s="13">
        <f>' All EV uptake'!N22</f>
        <v>1.8829636772975846</v>
      </c>
      <c r="Z22" s="13">
        <f>' All EV uptake'!Q22</f>
        <v>6.5743873969310416</v>
      </c>
      <c r="AA22" s="13">
        <f>' All EV uptake'!V22</f>
        <v>7.4533032347368664</v>
      </c>
      <c r="AB22" s="13">
        <f>' All EV uptake'!Z22</f>
        <v>12.652339034827211</v>
      </c>
      <c r="AC22" s="13">
        <f>' All EV uptake'!L22</f>
        <v>10.050658916349153</v>
      </c>
    </row>
    <row r="23" spans="1:29">
      <c r="A23" s="3">
        <v>2028</v>
      </c>
      <c r="B23" s="13">
        <f>' All EV uptake'!D23</f>
        <v>64.970718932031488</v>
      </c>
      <c r="C23" s="13">
        <f>' All EV uptake'!G23</f>
        <v>64.682726242545442</v>
      </c>
      <c r="D23" s="13">
        <f>' All EV uptake'!M23</f>
        <v>61.797165159989525</v>
      </c>
      <c r="E23" s="13">
        <f>' All EV uptake'!R23</f>
        <v>62.771943957993223</v>
      </c>
      <c r="F23" s="13">
        <f>' All EV uptake'!K23</f>
        <v>64.233078720701982</v>
      </c>
      <c r="G23" s="13">
        <f>' All EV uptake'!S23</f>
        <v>64.707606970513154</v>
      </c>
      <c r="I23" s="3">
        <v>2028</v>
      </c>
      <c r="J23" s="13">
        <f>' All EV uptake'!E23</f>
        <v>44.186570827175956</v>
      </c>
      <c r="K23" s="13">
        <f>' All EV uptake'!F23</f>
        <v>52.742961554175409</v>
      </c>
      <c r="L23" s="13">
        <f>' All EV uptake'!H23</f>
        <v>57.814902817423203</v>
      </c>
      <c r="M23" s="13">
        <f>' All EV uptake'!I23</f>
        <v>57.647057747672527</v>
      </c>
      <c r="N23" s="13">
        <f>' All EV uptake'!J23</f>
        <v>36.355795435472501</v>
      </c>
      <c r="O23" s="13">
        <f>' All EV uptake'!O23</f>
        <v>36.816402784108064</v>
      </c>
      <c r="P23" s="13">
        <f>' All EV uptake'!U23</f>
        <v>24.469860094022749</v>
      </c>
      <c r="Q23" s="13">
        <f>' All EV uptake'!W23</f>
        <v>59.061673622444033</v>
      </c>
      <c r="R23" s="13">
        <f>' All EV uptake'!X23</f>
        <v>42.415652843649568</v>
      </c>
      <c r="S23" s="13">
        <f>' All EV uptake'!AA23</f>
        <v>24.881512508231992</v>
      </c>
      <c r="T23" s="13">
        <f>' All EV uptake'!Y23</f>
        <v>36.629150368416028</v>
      </c>
      <c r="U23" s="13">
        <f>' All EV uptake'!P23</f>
        <v>22.168747485891053</v>
      </c>
      <c r="V23" s="13">
        <f>' All EV uptake'!B23</f>
        <v>21.43640308466075</v>
      </c>
      <c r="X23" s="3">
        <v>2028</v>
      </c>
      <c r="Y23" s="13">
        <f>' All EV uptake'!N23</f>
        <v>2.2679395050816198</v>
      </c>
      <c r="Z23" s="13">
        <f>' All EV uptake'!Q23</f>
        <v>7.6762496412036976</v>
      </c>
      <c r="AA23" s="13">
        <f>' All EV uptake'!V23</f>
        <v>9.3777487441254639</v>
      </c>
      <c r="AB23" s="13">
        <f>' All EV uptake'!Z23</f>
        <v>15.25751951629652</v>
      </c>
      <c r="AC23" s="13">
        <f>' All EV uptake'!L23</f>
        <v>11.767348060463275</v>
      </c>
    </row>
    <row r="24" spans="1:29">
      <c r="A24" s="3">
        <v>2029</v>
      </c>
      <c r="B24" s="13">
        <f>' All EV uptake'!D24</f>
        <v>64.984888958391409</v>
      </c>
      <c r="C24" s="13">
        <f>' All EV uptake'!G24</f>
        <v>64.8493942439693</v>
      </c>
      <c r="D24" s="13">
        <f>' All EV uptake'!M24</f>
        <v>63.235660781813245</v>
      </c>
      <c r="E24" s="13">
        <f>' All EV uptake'!R24</f>
        <v>63.866995090139973</v>
      </c>
      <c r="F24" s="13">
        <f>' All EV uptake'!K24</f>
        <v>64.617019845831976</v>
      </c>
      <c r="G24" s="13">
        <f>' All EV uptake'!S24</f>
        <v>64.838493311169827</v>
      </c>
      <c r="I24" s="3">
        <v>2029</v>
      </c>
      <c r="J24" s="13">
        <f>' All EV uptake'!E24</f>
        <v>49.297852580242349</v>
      </c>
      <c r="K24" s="13">
        <f>' All EV uptake'!F24</f>
        <v>56.491794590116669</v>
      </c>
      <c r="L24" s="13">
        <f>' All EV uptake'!H24</f>
        <v>60.364658409767081</v>
      </c>
      <c r="M24" s="13">
        <f>' All EV uptake'!I24</f>
        <v>60.108014285855596</v>
      </c>
      <c r="N24" s="13">
        <f>' All EV uptake'!J24</f>
        <v>42.691815752065018</v>
      </c>
      <c r="O24" s="13">
        <f>' All EV uptake'!O24</f>
        <v>43.33293398469911</v>
      </c>
      <c r="P24" s="13">
        <f>' All EV uptake'!U24</f>
        <v>31.064030092641175</v>
      </c>
      <c r="Q24" s="13">
        <f>' All EV uptake'!W24</f>
        <v>61.00329814668018</v>
      </c>
      <c r="R24" s="13">
        <f>' All EV uptake'!X24</f>
        <v>47.255539591428146</v>
      </c>
      <c r="S24" s="13">
        <f>' All EV uptake'!AA24</f>
        <v>31.933037154333675</v>
      </c>
      <c r="T24" s="13">
        <f>' All EV uptake'!Y24</f>
        <v>42.043649495910991</v>
      </c>
      <c r="U24" s="13">
        <f>' All EV uptake'!P24</f>
        <v>28.115088703950246</v>
      </c>
      <c r="V24" s="13">
        <f>' All EV uptake'!B24</f>
        <v>28.089189867793255</v>
      </c>
      <c r="X24" s="3">
        <v>2029</v>
      </c>
      <c r="Y24" s="13">
        <f>' All EV uptake'!N24</f>
        <v>2.7282222524337612</v>
      </c>
      <c r="Z24" s="13">
        <f>' All EV uptake'!Q24</f>
        <v>8.934542906055853</v>
      </c>
      <c r="AA24" s="13">
        <f>' All EV uptake'!V24</f>
        <v>11.698078570932097</v>
      </c>
      <c r="AB24" s="13">
        <f>' All EV uptake'!Z24</f>
        <v>18.212491769628407</v>
      </c>
      <c r="AC24" s="13">
        <f>' All EV uptake'!L24</f>
        <v>13.704126976386682</v>
      </c>
    </row>
    <row r="25" spans="1:29">
      <c r="A25" s="3">
        <v>2030</v>
      </c>
      <c r="B25" s="13">
        <f>' All EV uptake'!D25</f>
        <v>64.992202487941555</v>
      </c>
      <c r="C25" s="13">
        <f>' All EV uptake'!G25</f>
        <v>64.928606029249892</v>
      </c>
      <c r="D25" s="13">
        <f>' All EV uptake'!M25</f>
        <v>64.038138020406834</v>
      </c>
      <c r="E25" s="13">
        <f>' All EV uptake'!R25</f>
        <v>64.428745335561374</v>
      </c>
      <c r="F25" s="13">
        <f>' All EV uptake'!K25</f>
        <v>64.809320454222686</v>
      </c>
      <c r="G25" s="13">
        <f>' All EV uptake'!S25</f>
        <v>64.910870605500591</v>
      </c>
      <c r="I25" s="3">
        <v>2030</v>
      </c>
      <c r="J25" s="13">
        <f>' All EV uptake'!E25</f>
        <v>53.481141904775455</v>
      </c>
      <c r="K25" s="13">
        <f>' All EV uptake'!F25</f>
        <v>59.219700270067449</v>
      </c>
      <c r="L25" s="13">
        <f>' All EV uptake'!H25</f>
        <v>62.055669149850516</v>
      </c>
      <c r="M25" s="13">
        <f>' All EV uptake'!I25</f>
        <v>61.791160878808874</v>
      </c>
      <c r="N25" s="13">
        <f>' All EV uptake'!J25</f>
        <v>48.328154482451801</v>
      </c>
      <c r="O25" s="13">
        <f>' All EV uptake'!O25</f>
        <v>48.997637836341092</v>
      </c>
      <c r="P25" s="13">
        <f>' All EV uptake'!U25</f>
        <v>37.778828723190486</v>
      </c>
      <c r="Q25" s="13">
        <f>' All EV uptake'!W25</f>
        <v>62.338685509486218</v>
      </c>
      <c r="R25" s="13">
        <f>' All EV uptake'!X25</f>
        <v>51.391009635066219</v>
      </c>
      <c r="S25" s="13">
        <f>' All EV uptake'!AA25</f>
        <v>39.038366136989417</v>
      </c>
      <c r="T25" s="13">
        <f>' All EV uptake'!Y25</f>
        <v>46.934452149406425</v>
      </c>
      <c r="U25" s="13">
        <f>' All EV uptake'!P25</f>
        <v>34.376284275425931</v>
      </c>
      <c r="V25" s="13">
        <f>' All EV uptake'!B25</f>
        <v>35.141157291165442</v>
      </c>
      <c r="X25" s="3">
        <v>2030</v>
      </c>
      <c r="Y25" s="13">
        <f>' All EV uptake'!N25</f>
        <v>3.2770403898495579</v>
      </c>
      <c r="Z25" s="13">
        <f>' All EV uptake'!Q25</f>
        <v>10.361812576120002</v>
      </c>
      <c r="AA25" s="13">
        <f>' All EV uptake'!V25</f>
        <v>14.443444720759517</v>
      </c>
      <c r="AB25" s="13">
        <f>' All EV uptake'!Z25</f>
        <v>21.492486800444834</v>
      </c>
      <c r="AC25" s="13">
        <f>' All EV uptake'!L25</f>
        <v>15.864676460614854</v>
      </c>
    </row>
    <row r="26" spans="1:29">
      <c r="A26" s="3">
        <v>2031</v>
      </c>
      <c r="B26" s="13">
        <f>' All EV uptake'!D26</f>
        <v>64.995976592197081</v>
      </c>
      <c r="C26" s="13">
        <f>' All EV uptake'!G26</f>
        <v>64.96617774300752</v>
      </c>
      <c r="D26" s="13">
        <f>' All EV uptake'!M26</f>
        <v>64.478632546612985</v>
      </c>
      <c r="E26" s="13">
        <f>' All EV uptake'!R26</f>
        <v>64.713227224192906</v>
      </c>
      <c r="F26" s="13">
        <f>' All EV uptake'!K26</f>
        <v>64.905205429006713</v>
      </c>
      <c r="G26" s="13">
        <f>' All EV uptake'!S26</f>
        <v>64.950837472731223</v>
      </c>
      <c r="I26" s="3">
        <v>2031</v>
      </c>
      <c r="J26" s="13">
        <f>' All EV uptake'!E26</f>
        <v>56.73674955124897</v>
      </c>
      <c r="K26" s="13">
        <f>' All EV uptake'!F26</f>
        <v>61.132855546813104</v>
      </c>
      <c r="L26" s="13">
        <f>' All EV uptake'!H26</f>
        <v>63.148704515446354</v>
      </c>
      <c r="M26" s="13">
        <f>' All EV uptake'!I26</f>
        <v>62.915285666542161</v>
      </c>
      <c r="N26" s="13">
        <f>' All EV uptake'!J26</f>
        <v>53.003050877996714</v>
      </c>
      <c r="O26" s="13">
        <f>' All EV uptake'!O26</f>
        <v>53.571923644377804</v>
      </c>
      <c r="P26" s="13">
        <f>' All EV uptake'!U26</f>
        <v>44.060588758828594</v>
      </c>
      <c r="Q26" s="13">
        <f>' All EV uptake'!W26</f>
        <v>63.240757360076294</v>
      </c>
      <c r="R26" s="13">
        <f>' All EV uptake'!X26</f>
        <v>54.771299004421564</v>
      </c>
      <c r="S26" s="13">
        <f>' All EV uptake'!AA26</f>
        <v>45.547003618162918</v>
      </c>
      <c r="T26" s="13">
        <f>' All EV uptake'!Y26</f>
        <v>51.127094201982246</v>
      </c>
      <c r="U26" s="13">
        <f>' All EV uptake'!P26</f>
        <v>40.500788806984481</v>
      </c>
      <c r="V26" s="13">
        <f>' All EV uptake'!B26</f>
        <v>41.951353198671526</v>
      </c>
      <c r="X26" s="3">
        <v>2031</v>
      </c>
      <c r="Y26" s="13">
        <f>' All EV uptake'!N26</f>
        <v>3.9292943115095809</v>
      </c>
      <c r="Z26" s="13">
        <f>' All EV uptake'!Q26</f>
        <v>11.968412618693254</v>
      </c>
      <c r="AA26" s="13">
        <f>' All EV uptake'!V26</f>
        <v>17.620121247697206</v>
      </c>
      <c r="AB26" s="13">
        <f>' All EV uptake'!Z26</f>
        <v>25.046966098071962</v>
      </c>
      <c r="AC26" s="13">
        <f>' All EV uptake'!L26</f>
        <v>18.2446991592826</v>
      </c>
    </row>
    <row r="27" spans="1:29">
      <c r="A27" s="3">
        <v>2032</v>
      </c>
      <c r="B27" s="13">
        <f>' All EV uptake'!D27</f>
        <v>64.997924035865111</v>
      </c>
      <c r="C27" s="13">
        <f>' All EV uptake'!G27</f>
        <v>64.983981885289836</v>
      </c>
      <c r="D27" s="13">
        <f>' All EV uptake'!M27</f>
        <v>64.71828554099875</v>
      </c>
      <c r="E27" s="13">
        <f>' All EV uptake'!R27</f>
        <v>64.856354451606165</v>
      </c>
      <c r="F27" s="13">
        <f>' All EV uptake'!K27</f>
        <v>64.952908791357117</v>
      </c>
      <c r="G27" s="13">
        <f>' All EV uptake'!S27</f>
        <v>64.97289012259948</v>
      </c>
      <c r="I27" s="3">
        <v>2032</v>
      </c>
      <c r="J27" s="13">
        <f>' All EV uptake'!E27</f>
        <v>59.172477908962534</v>
      </c>
      <c r="K27" s="13">
        <f>' All EV uptake'!F27</f>
        <v>62.440168733225129</v>
      </c>
      <c r="L27" s="13">
        <f>' All EV uptake'!H27</f>
        <v>63.843530086803234</v>
      </c>
      <c r="M27" s="13">
        <f>' All EV uptake'!I27</f>
        <v>63.654182671646552</v>
      </c>
      <c r="N27" s="13">
        <f>' All EV uptake'!J27</f>
        <v>56.642277025703507</v>
      </c>
      <c r="O27" s="13">
        <f>' All EV uptake'!O27</f>
        <v>57.050781563780149</v>
      </c>
      <c r="P27" s="13">
        <f>' All EV uptake'!U27</f>
        <v>49.487942130385711</v>
      </c>
      <c r="Q27" s="13">
        <f>' All EV uptake'!W27</f>
        <v>63.842741627581553</v>
      </c>
      <c r="R27" s="13">
        <f>' All EV uptake'!X27</f>
        <v>57.435556837430028</v>
      </c>
      <c r="S27" s="13">
        <f>' All EV uptake'!AA27</f>
        <v>51.008720535160165</v>
      </c>
      <c r="T27" s="13">
        <f>' All EV uptake'!Y27</f>
        <v>54.563084171109345</v>
      </c>
      <c r="U27" s="13">
        <f>' All EV uptake'!P27</f>
        <v>46.074760835613823</v>
      </c>
      <c r="V27" s="13">
        <f>' All EV uptake'!B27</f>
        <v>47.961401436211673</v>
      </c>
      <c r="X27" s="3">
        <v>2032</v>
      </c>
      <c r="Y27" s="13">
        <f>' All EV uptake'!N27</f>
        <v>4.7014825110803562</v>
      </c>
      <c r="Z27" s="13">
        <f>' All EV uptake'!Q27</f>
        <v>13.761376026223918</v>
      </c>
      <c r="AA27" s="13">
        <f>' All EV uptake'!V27</f>
        <v>21.202461713609075</v>
      </c>
      <c r="AB27" s="13">
        <f>' All EV uptake'!Z27</f>
        <v>28.800162611632498</v>
      </c>
      <c r="AC27" s="13">
        <f>' All EV uptake'!L27</f>
        <v>20.830405173776125</v>
      </c>
    </row>
    <row r="28" spans="1:29">
      <c r="A28" s="3">
        <v>2033</v>
      </c>
      <c r="B28" s="13">
        <f>' All EV uptake'!D28</f>
        <v>64.998928877011707</v>
      </c>
      <c r="C28" s="13">
        <f>' All EV uptake'!G28</f>
        <v>64.992414965402872</v>
      </c>
      <c r="D28" s="13">
        <f>' All EV uptake'!M28</f>
        <v>64.84803869476076</v>
      </c>
      <c r="E28" s="13">
        <f>' All EV uptake'!R28</f>
        <v>64.928126749273915</v>
      </c>
      <c r="F28" s="13">
        <f>' All EV uptake'!K28</f>
        <v>64.976615094924767</v>
      </c>
      <c r="G28" s="13">
        <f>' All EV uptake'!S28</f>
        <v>64.985052974742146</v>
      </c>
      <c r="I28" s="3">
        <v>2033</v>
      </c>
      <c r="J28" s="13">
        <f>' All EV uptake'!E28</f>
        <v>60.941592261933344</v>
      </c>
      <c r="K28" s="13">
        <f>' All EV uptake'!F28</f>
        <v>63.317698052510366</v>
      </c>
      <c r="L28" s="13">
        <f>' All EV uptake'!H28</f>
        <v>64.280545800679874</v>
      </c>
      <c r="M28" s="13">
        <f>' All EV uptake'!I28</f>
        <v>64.134789790351192</v>
      </c>
      <c r="N28" s="13">
        <f>' All EV uptake'!J28</f>
        <v>59.326529825102554</v>
      </c>
      <c r="O28" s="13">
        <f>' All EV uptake'!O28</f>
        <v>59.577814845498921</v>
      </c>
      <c r="P28" s="13">
        <f>' All EV uptake'!U28</f>
        <v>53.864100890929627</v>
      </c>
      <c r="Q28" s="13">
        <f>' All EV uptake'!W28</f>
        <v>64.241208206836262</v>
      </c>
      <c r="R28" s="13">
        <f>' All EV uptake'!X28</f>
        <v>59.475849898845816</v>
      </c>
      <c r="S28" s="13">
        <f>' All EV uptake'!AA28</f>
        <v>55.264742203913279</v>
      </c>
      <c r="T28" s="13">
        <f>' All EV uptake'!Y28</f>
        <v>57.276616992813544</v>
      </c>
      <c r="U28" s="13">
        <f>' All EV uptake'!P28</f>
        <v>50.824431532284635</v>
      </c>
      <c r="V28" s="13">
        <f>' All EV uptake'!B28</f>
        <v>52.857885146385492</v>
      </c>
      <c r="X28" s="3">
        <v>2033</v>
      </c>
      <c r="Y28" s="13">
        <f>' All EV uptake'!N28</f>
        <v>5.6114781425235627</v>
      </c>
      <c r="Z28" s="13">
        <f>' All EV uptake'!Q28</f>
        <v>15.743201724789555</v>
      </c>
      <c r="AA28" s="13">
        <f>' All EV uptake'!V28</f>
        <v>25.12687573909826</v>
      </c>
      <c r="AB28" s="13">
        <f>' All EV uptake'!Z28</f>
        <v>32.656075477571825</v>
      </c>
      <c r="AC28" s="13">
        <f>' All EV uptake'!L28</f>
        <v>23.597615056751863</v>
      </c>
    </row>
    <row r="29" spans="1:29">
      <c r="A29" s="3">
        <v>2034</v>
      </c>
      <c r="B29" s="13">
        <f>' All EV uptake'!D29</f>
        <v>64.999447343115634</v>
      </c>
      <c r="C29" s="13">
        <f>' All EV uptake'!G29</f>
        <v>64.996408514956386</v>
      </c>
      <c r="D29" s="13">
        <f>' All EV uptake'!M29</f>
        <v>64.918105253848566</v>
      </c>
      <c r="E29" s="13">
        <f>' All EV uptake'!R29</f>
        <v>64.964057991996526</v>
      </c>
      <c r="F29" s="13">
        <f>' All EV uptake'!K29</f>
        <v>64.988389481943116</v>
      </c>
      <c r="G29" s="13">
        <f>' All EV uptake'!S29</f>
        <v>64.991759652818033</v>
      </c>
      <c r="I29" s="3">
        <v>2034</v>
      </c>
      <c r="J29" s="13">
        <f>' All EV uptake'!E29</f>
        <v>62.199062445521918</v>
      </c>
      <c r="K29" s="13">
        <f>' All EV uptake'!F29</f>
        <v>63.899704744056265</v>
      </c>
      <c r="L29" s="13">
        <f>' All EV uptake'!H29</f>
        <v>64.553573430480995</v>
      </c>
      <c r="M29" s="13">
        <f>' All EV uptake'!I29</f>
        <v>64.445262218655003</v>
      </c>
      <c r="N29" s="13">
        <f>' All EV uptake'!J29</f>
        <v>61.223140250105146</v>
      </c>
      <c r="O29" s="13">
        <f>' All EV uptake'!O29</f>
        <v>61.352867201183777</v>
      </c>
      <c r="P29" s="13">
        <f>' All EV uptake'!U29</f>
        <v>57.200266309652122</v>
      </c>
      <c r="Q29" s="13">
        <f>' All EV uptake'!W29</f>
        <v>64.503541890273766</v>
      </c>
      <c r="R29" s="13">
        <f>' All EV uptake'!X29</f>
        <v>61.004118023693003</v>
      </c>
      <c r="S29" s="13">
        <f>' All EV uptake'!AA29</f>
        <v>58.393791321865343</v>
      </c>
      <c r="T29" s="13">
        <f>' All EV uptake'!Y29</f>
        <v>59.35760452132719</v>
      </c>
      <c r="U29" s="13">
        <f>' All EV uptake'!P29</f>
        <v>54.649850966082099</v>
      </c>
      <c r="V29" s="13">
        <f>' All EV uptake'!B29</f>
        <v>56.593863394225558</v>
      </c>
      <c r="X29" s="3">
        <v>2034</v>
      </c>
      <c r="Y29" s="13">
        <f>' All EV uptake'!N29</f>
        <v>6.6781010294633321</v>
      </c>
      <c r="Z29" s="13">
        <f>' All EV uptake'!Q29</f>
        <v>17.910671129207994</v>
      </c>
      <c r="AA29" s="13">
        <f>' All EV uptake'!V29</f>
        <v>29.291865338853871</v>
      </c>
      <c r="AB29" s="13">
        <f>' All EV uptake'!Z29</f>
        <v>36.507599321444729</v>
      </c>
      <c r="AC29" s="13">
        <f>' All EV uptake'!L29</f>
        <v>26.511785194965093</v>
      </c>
    </row>
    <row r="30" spans="1:29">
      <c r="A30" s="3">
        <v>2035</v>
      </c>
      <c r="B30" s="13">
        <f>' All EV uptake'!D30</f>
        <v>64.999714852116952</v>
      </c>
      <c r="C30" s="13">
        <f>' All EV uptake'!G30</f>
        <v>64.99829950050075</v>
      </c>
      <c r="D30" s="13">
        <f>' All EV uptake'!M30</f>
        <v>64.955887389291988</v>
      </c>
      <c r="E30" s="13">
        <f>' All EV uptake'!R30</f>
        <v>64.982031275478718</v>
      </c>
      <c r="F30" s="13">
        <f>' All EV uptake'!K30</f>
        <v>64.994235947045865</v>
      </c>
      <c r="G30" s="13">
        <f>' All EV uptake'!S30</f>
        <v>64.995457278203901</v>
      </c>
      <c r="I30" s="3">
        <v>2035</v>
      </c>
      <c r="J30" s="13">
        <f>' All EV uptake'!E30</f>
        <v>63.079194309776966</v>
      </c>
      <c r="K30" s="13">
        <f>' All EV uptake'!F30</f>
        <v>64.282642457883</v>
      </c>
      <c r="L30" s="13">
        <f>' All EV uptake'!H30</f>
        <v>64.723434850432866</v>
      </c>
      <c r="M30" s="13">
        <f>' All EV uptake'!I30</f>
        <v>64.644941359252172</v>
      </c>
      <c r="N30" s="13">
        <f>' All EV uptake'!J30</f>
        <v>62.520686658640876</v>
      </c>
      <c r="O30" s="13">
        <f>' All EV uptake'!O30</f>
        <v>62.570519514439546</v>
      </c>
      <c r="P30" s="13">
        <f>' All EV uptake'!U30</f>
        <v>59.636483712964129</v>
      </c>
      <c r="Q30" s="13">
        <f>' All EV uptake'!W30</f>
        <v>64.67563805863881</v>
      </c>
      <c r="R30" s="13">
        <f>' All EV uptake'!X30</f>
        <v>62.129989626255771</v>
      </c>
      <c r="S30" s="13">
        <f>' All EV uptake'!AA30</f>
        <v>60.597242333125578</v>
      </c>
      <c r="T30" s="13">
        <f>' All EV uptake'!Y30</f>
        <v>60.917852568126754</v>
      </c>
      <c r="U30" s="13">
        <f>' All EV uptake'!P30</f>
        <v>57.593383144374307</v>
      </c>
      <c r="V30" s="13">
        <f>' All EV uptake'!B30</f>
        <v>59.304195582809022</v>
      </c>
      <c r="X30" s="3">
        <v>2035</v>
      </c>
      <c r="Y30" s="13">
        <f>' All EV uptake'!N30</f>
        <v>7.9204272879143121</v>
      </c>
      <c r="Z30" s="13">
        <f>' All EV uptake'!Q30</f>
        <v>20.253847466681552</v>
      </c>
      <c r="AA30" s="13">
        <f>' All EV uptake'!V30</f>
        <v>33.566058411412435</v>
      </c>
      <c r="AB30" s="13">
        <f>' All EV uptake'!Z30</f>
        <v>40.248112240310185</v>
      </c>
      <c r="AC30" s="13">
        <f>' All EV uptake'!L30</f>
        <v>29.529161341843466</v>
      </c>
    </row>
    <row r="31" spans="1:29">
      <c r="A31" s="3">
        <v>2036</v>
      </c>
      <c r="B31" s="13">
        <f>' All EV uptake'!D31</f>
        <v>64.999852875888223</v>
      </c>
      <c r="C31" s="13">
        <f>' All EV uptake'!G31</f>
        <v>64.999194858333979</v>
      </c>
      <c r="D31" s="13">
        <f>' All EV uptake'!M31</f>
        <v>64.976245117461644</v>
      </c>
      <c r="E31" s="13">
        <f>' All EV uptake'!R31</f>
        <v>64.991018019992524</v>
      </c>
      <c r="F31" s="13">
        <f>' All EV uptake'!K31</f>
        <v>64.997138559942073</v>
      </c>
      <c r="G31" s="13">
        <f>' All EV uptake'!S31</f>
        <v>64.997495761520739</v>
      </c>
      <c r="I31" s="3">
        <v>2036</v>
      </c>
      <c r="J31" s="13">
        <f>' All EV uptake'!E31</f>
        <v>63.688595482263246</v>
      </c>
      <c r="K31" s="13">
        <f>' All EV uptake'!F31</f>
        <v>64.533279110024068</v>
      </c>
      <c r="L31" s="13">
        <f>' All EV uptake'!H31</f>
        <v>64.828836848000762</v>
      </c>
      <c r="M31" s="13">
        <f>' All EV uptake'!I31</f>
        <v>64.772998705422452</v>
      </c>
      <c r="N31" s="13">
        <f>' All EV uptake'!J31</f>
        <v>63.388136245200755</v>
      </c>
      <c r="O31" s="13">
        <f>' All EV uptake'!O31</f>
        <v>63.392292447343138</v>
      </c>
      <c r="P31" s="13">
        <f>' All EV uptake'!U31</f>
        <v>61.360178858851896</v>
      </c>
      <c r="Q31" s="13">
        <f>' All EV uptake'!W31</f>
        <v>64.788273266841315</v>
      </c>
      <c r="R31" s="13">
        <f>' All EV uptake'!X31</f>
        <v>62.949301624138897</v>
      </c>
      <c r="S31" s="13">
        <f>' All EV uptake'!AA31</f>
        <v>62.102220364826763</v>
      </c>
      <c r="T31" s="13">
        <f>' All EV uptake'!Y31</f>
        <v>62.067968868417445</v>
      </c>
      <c r="U31" s="13">
        <f>' All EV uptake'!P31</f>
        <v>59.77975278287154</v>
      </c>
      <c r="V31" s="13">
        <f>' All EV uptake'!B31</f>
        <v>61.199340704064824</v>
      </c>
      <c r="X31" s="3">
        <v>2036</v>
      </c>
      <c r="Y31" s="13">
        <f>' All EV uptake'!N31</f>
        <v>9.3567855877488721</v>
      </c>
      <c r="Z31" s="13">
        <f>' All EV uptake'!Q31</f>
        <v>22.755435479348741</v>
      </c>
      <c r="AA31" s="13">
        <f>' All EV uptake'!V31</f>
        <v>37.803651140592251</v>
      </c>
      <c r="AB31" s="13">
        <f>' All EV uptake'!Z31</f>
        <v>43.782954090933238</v>
      </c>
      <c r="AC31" s="13">
        <f>' All EV uptake'!L31</f>
        <v>32.599083937523453</v>
      </c>
    </row>
    <row r="32" spans="1:29">
      <c r="A32" s="3">
        <v>2037</v>
      </c>
      <c r="B32" s="13">
        <f>' All EV uptake'!D32</f>
        <v>64.999924090328904</v>
      </c>
      <c r="C32" s="13">
        <f>' All EV uptake'!G32</f>
        <v>64.999618789419856</v>
      </c>
      <c r="D32" s="13">
        <f>' All EV uptake'!M32</f>
        <v>64.987209715550918</v>
      </c>
      <c r="E32" s="13">
        <f>' All EV uptake'!R32</f>
        <v>64.995510511328135</v>
      </c>
      <c r="F32" s="13">
        <f>' All EV uptake'!K32</f>
        <v>64.998579531601152</v>
      </c>
      <c r="G32" s="13">
        <f>' All EV uptake'!S32</f>
        <v>64.998619523188253</v>
      </c>
      <c r="I32" s="3">
        <v>2037</v>
      </c>
      <c r="J32" s="13">
        <f>' All EV uptake'!E32</f>
        <v>64.107391906110223</v>
      </c>
      <c r="K32" s="13">
        <f>' All EV uptake'!F32</f>
        <v>64.696759229099783</v>
      </c>
      <c r="L32" s="13">
        <f>' All EV uptake'!H32</f>
        <v>64.89413469777223</v>
      </c>
      <c r="M32" s="13">
        <f>' All EV uptake'!I32</f>
        <v>64.854973819569949</v>
      </c>
      <c r="N32" s="13">
        <f>' All EV uptake'!J32</f>
        <v>63.958892341289413</v>
      </c>
      <c r="O32" s="13">
        <f>' All EV uptake'!O32</f>
        <v>63.940805689229563</v>
      </c>
      <c r="P32" s="13">
        <f>' All EV uptake'!U32</f>
        <v>62.552655924755371</v>
      </c>
      <c r="Q32" s="13">
        <f>' All EV uptake'!W32</f>
        <v>64.861879245893505</v>
      </c>
      <c r="R32" s="13">
        <f>' All EV uptake'!X32</f>
        <v>63.540217168021101</v>
      </c>
      <c r="S32" s="13">
        <f>' All EV uptake'!AA32</f>
        <v>63.1088126931933</v>
      </c>
      <c r="T32" s="13">
        <f>' All EV uptake'!Y32</f>
        <v>62.905190807797503</v>
      </c>
      <c r="U32" s="13">
        <f>' All EV uptake'!P32</f>
        <v>61.361498328668745</v>
      </c>
      <c r="V32" s="13">
        <f>' All EV uptake'!B32</f>
        <v>62.490602530055654</v>
      </c>
      <c r="X32" s="3">
        <v>2037</v>
      </c>
      <c r="Y32" s="13">
        <f>' All EV uptake'!N32</f>
        <v>11.003411575932741</v>
      </c>
      <c r="Z32" s="13">
        <f>' All EV uptake'!Q32</f>
        <v>25.390674501188812</v>
      </c>
      <c r="AA32" s="13">
        <f>' All EV uptake'!V32</f>
        <v>41.863737053982668</v>
      </c>
      <c r="AB32" s="13">
        <f>' All EV uptake'!Z32</f>
        <v>47.038267718087994</v>
      </c>
      <c r="AC32" s="13">
        <f>' All EV uptake'!L32</f>
        <v>35.667239375327917</v>
      </c>
    </row>
    <row r="33" spans="1:29">
      <c r="A33" s="3">
        <v>2038</v>
      </c>
      <c r="B33" s="13">
        <f>' All EV uptake'!D33</f>
        <v>64.999960833917427</v>
      </c>
      <c r="C33" s="13">
        <f>' All EV uptake'!G33</f>
        <v>64.999819508772802</v>
      </c>
      <c r="D33" s="13">
        <f>' All EV uptake'!M33</f>
        <v>64.993113894164921</v>
      </c>
      <c r="E33" s="13">
        <f>' All EV uptake'!R33</f>
        <v>64.997756083660121</v>
      </c>
      <c r="F33" s="13">
        <f>' All EV uptake'!K33</f>
        <v>64.999294862759669</v>
      </c>
      <c r="G33" s="13">
        <f>' All EV uptake'!S33</f>
        <v>64.999239009599833</v>
      </c>
      <c r="I33" s="3">
        <v>2038</v>
      </c>
      <c r="J33" s="13">
        <f>' All EV uptake'!E33</f>
        <v>64.393719042125909</v>
      </c>
      <c r="K33" s="13">
        <f>' All EV uptake'!F33</f>
        <v>64.80315121019143</v>
      </c>
      <c r="L33" s="13">
        <f>' All EV uptake'!H33</f>
        <v>64.93454690908419</v>
      </c>
      <c r="M33" s="13">
        <f>' All EV uptake'!I33</f>
        <v>64.907388259699118</v>
      </c>
      <c r="N33" s="13">
        <f>' All EV uptake'!J33</f>
        <v>64.330434949065463</v>
      </c>
      <c r="O33" s="13">
        <f>' All EV uptake'!O33</f>
        <v>64.304232664706845</v>
      </c>
      <c r="P33" s="13">
        <f>' All EV uptake'!U33</f>
        <v>63.364864897317197</v>
      </c>
      <c r="Q33" s="13">
        <f>' All EV uptake'!W33</f>
        <v>64.909931964655115</v>
      </c>
      <c r="R33" s="13">
        <f>' All EV uptake'!X33</f>
        <v>63.963661672656372</v>
      </c>
      <c r="S33" s="13">
        <f>' All EV uptake'!AA33</f>
        <v>63.77265865505985</v>
      </c>
      <c r="T33" s="13">
        <f>' All EV uptake'!Y33</f>
        <v>63.509092037664161</v>
      </c>
      <c r="U33" s="13">
        <f>' All EV uptake'!P33</f>
        <v>62.484142134015258</v>
      </c>
      <c r="V33" s="13">
        <f>' All EV uptake'!B33</f>
        <v>63.35495464768961</v>
      </c>
      <c r="X33" s="3">
        <v>2038</v>
      </c>
      <c r="Y33" s="13">
        <f>' All EV uptake'!N33</f>
        <v>12.872775785252154</v>
      </c>
      <c r="Z33" s="13">
        <f>' All EV uptake'!Q33</f>
        <v>28.127893831324712</v>
      </c>
      <c r="AA33" s="13">
        <f>' All EV uptake'!V33</f>
        <v>45.628295868721665</v>
      </c>
      <c r="AB33" s="13">
        <f>' All EV uptake'!Z33</f>
        <v>49.965627955048241</v>
      </c>
      <c r="AC33" s="13">
        <f>' All EV uptake'!L33</f>
        <v>38.679438450277175</v>
      </c>
    </row>
    <row r="34" spans="1:29">
      <c r="A34" s="3">
        <v>2039</v>
      </c>
      <c r="B34" s="13">
        <f>' All EV uptake'!D34</f>
        <v>64.999979792013562</v>
      </c>
      <c r="C34" s="13">
        <f>' All EV uptake'!G34</f>
        <v>64.999914543216207</v>
      </c>
      <c r="D34" s="13">
        <f>' All EV uptake'!M34</f>
        <v>64.996292774785871</v>
      </c>
      <c r="E34" s="13">
        <f>' All EV uptake'!R34</f>
        <v>64.998878475056671</v>
      </c>
      <c r="F34" s="13">
        <f>' All EV uptake'!K34</f>
        <v>64.999649963510308</v>
      </c>
      <c r="G34" s="13">
        <f>' All EV uptake'!S34</f>
        <v>64.99958050442612</v>
      </c>
      <c r="I34" s="3">
        <v>2039</v>
      </c>
      <c r="J34" s="13">
        <f>' All EV uptake'!E34</f>
        <v>64.588788486440805</v>
      </c>
      <c r="K34" s="13">
        <f>' All EV uptake'!F34</f>
        <v>64.872289264256466</v>
      </c>
      <c r="L34" s="13">
        <f>' All EV uptake'!H34</f>
        <v>64.959542089396493</v>
      </c>
      <c r="M34" s="13">
        <f>' All EV uptake'!I34</f>
        <v>64.940876675254501</v>
      </c>
      <c r="N34" s="13">
        <f>' All EV uptake'!J34</f>
        <v>64.570593178650171</v>
      </c>
      <c r="O34" s="13">
        <f>' All EV uptake'!O34</f>
        <v>64.543851455922123</v>
      </c>
      <c r="P34" s="13">
        <f>' All EV uptake'!U34</f>
        <v>63.912210608218167</v>
      </c>
      <c r="Q34" s="13">
        <f>' All EV uptake'!W34</f>
        <v>64.941282099830573</v>
      </c>
      <c r="R34" s="13">
        <f>' All EV uptake'!X34</f>
        <v>64.265695582398237</v>
      </c>
      <c r="S34" s="13">
        <f>' All EV uptake'!AA34</f>
        <v>64.206411174684547</v>
      </c>
      <c r="T34" s="13">
        <f>' All EV uptake'!Y34</f>
        <v>63.941826427757817</v>
      </c>
      <c r="U34" s="13">
        <f>' All EV uptake'!P34</f>
        <v>63.270164051956705</v>
      </c>
      <c r="V34" s="13">
        <f>' All EV uptake'!B34</f>
        <v>63.926697580784932</v>
      </c>
      <c r="X34" s="3">
        <v>2039</v>
      </c>
      <c r="Y34" s="13">
        <f>' All EV uptake'!N34</f>
        <v>14.971668268591911</v>
      </c>
      <c r="Z34" s="13">
        <f>' All EV uptake'!Q34</f>
        <v>30.929774511876143</v>
      </c>
      <c r="AA34" s="13">
        <f>' All EV uptake'!V34</f>
        <v>49.01421436123956</v>
      </c>
      <c r="AB34" s="13">
        <f>' All EV uptake'!Z34</f>
        <v>52.542249014773667</v>
      </c>
      <c r="AC34" s="13">
        <f>' All EV uptake'!L34</f>
        <v>41.585376567024952</v>
      </c>
    </row>
    <row r="35" spans="1:29">
      <c r="A35" s="3">
        <v>2040</v>
      </c>
      <c r="B35" s="13">
        <f>' All EV uptake'!D35</f>
        <v>64.999989573563866</v>
      </c>
      <c r="C35" s="13">
        <f>' All EV uptake'!G35</f>
        <v>64.999959538995952</v>
      </c>
      <c r="D35" s="13">
        <f>' All EV uptake'!M35</f>
        <v>64.998004211842257</v>
      </c>
      <c r="E35" s="13">
        <f>' All EV uptake'!R35</f>
        <v>64.99943945889963</v>
      </c>
      <c r="F35" s="13">
        <f>' All EV uptake'!K35</f>
        <v>64.999826239205618</v>
      </c>
      <c r="G35" s="13">
        <f>' All EV uptake'!S35</f>
        <v>64.999768753821897</v>
      </c>
      <c r="I35" s="3">
        <v>2040</v>
      </c>
      <c r="J35" s="13">
        <f>' All EV uptake'!E35</f>
        <v>64.721366382820392</v>
      </c>
      <c r="K35" s="13">
        <f>' All EV uptake'!F35</f>
        <v>64.917175398160026</v>
      </c>
      <c r="L35" s="13">
        <f>' All EV uptake'!H35</f>
        <v>64.97499580336121</v>
      </c>
      <c r="M35" s="13">
        <f>' All EV uptake'!I35</f>
        <v>64.962262716471727</v>
      </c>
      <c r="N35" s="13">
        <f>' All EV uptake'!J35</f>
        <v>64.725112872519745</v>
      </c>
      <c r="O35" s="13">
        <f>' All EV uptake'!O35</f>
        <v>64.701330025578272</v>
      </c>
      <c r="P35" s="13">
        <f>' All EV uptake'!U35</f>
        <v>64.278424047159135</v>
      </c>
      <c r="Q35" s="13">
        <f>' All EV uptake'!W35</f>
        <v>64.961726574009816</v>
      </c>
      <c r="R35" s="13">
        <f>' All EV uptake'!X35</f>
        <v>64.480418758306072</v>
      </c>
      <c r="S35" s="13">
        <f>' All EV uptake'!AA35</f>
        <v>64.488102447689897</v>
      </c>
      <c r="T35" s="13">
        <f>' All EV uptake'!Y35</f>
        <v>64.250442523908902</v>
      </c>
      <c r="U35" s="13">
        <f>' All EV uptake'!P35</f>
        <v>63.815267723868956</v>
      </c>
      <c r="V35" s="13">
        <f>' All EV uptake'!B35</f>
        <v>64.301918201083282</v>
      </c>
      <c r="X35" s="3">
        <v>2040</v>
      </c>
      <c r="Y35" s="13">
        <f>' All EV uptake'!N35</f>
        <v>17.299211315914775</v>
      </c>
      <c r="Z35" s="13">
        <f>' All EV uptake'!Q35</f>
        <v>33.75524808240845</v>
      </c>
      <c r="AA35" s="13">
        <f>' All EV uptake'!V35</f>
        <v>51.977228543072854</v>
      </c>
      <c r="AB35" s="13">
        <f>' All EV uptake'!Z35</f>
        <v>54.767714504466355</v>
      </c>
      <c r="AC35" s="13">
        <f>' All EV uptake'!L35</f>
        <v>44.34183475482628</v>
      </c>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W126"/>
  <sheetViews>
    <sheetView tabSelected="1" zoomScale="75" zoomScaleNormal="75" workbookViewId="0">
      <pane xSplit="1" ySplit="3" topLeftCell="Y40" activePane="bottomRight" state="frozen"/>
      <selection pane="topRight" activeCell="B1" sqref="B1"/>
      <selection pane="bottomLeft" activeCell="A4" sqref="A4"/>
      <selection pane="bottomRight" activeCell="AE42" sqref="AE42"/>
    </sheetView>
  </sheetViews>
  <sheetFormatPr defaultRowHeight="15"/>
  <cols>
    <col min="2" max="2" width="16.7109375" customWidth="1"/>
    <col min="3" max="3" width="14.5703125" customWidth="1"/>
    <col min="4" max="4" width="15.7109375" customWidth="1"/>
    <col min="5" max="5" width="13.85546875" customWidth="1"/>
    <col min="6" max="6" width="16" customWidth="1"/>
    <col min="7" max="7" width="15.7109375" customWidth="1"/>
    <col min="8" max="8" width="14.42578125" customWidth="1"/>
    <col min="9" max="9" width="18.42578125" customWidth="1"/>
    <col min="10" max="10" width="16.28515625" customWidth="1"/>
    <col min="11" max="12" width="10.42578125" customWidth="1"/>
    <col min="13" max="13" width="14" customWidth="1"/>
    <col min="14" max="17" width="13.42578125" customWidth="1"/>
    <col min="18" max="18" width="15.5703125" customWidth="1"/>
    <col min="19" max="19" width="13.42578125" customWidth="1"/>
    <col min="20" max="20" width="19" customWidth="1"/>
    <col min="21" max="21" width="16.7109375" customWidth="1"/>
    <col min="22" max="27" width="13.42578125" customWidth="1"/>
    <col min="28" max="56" width="10.42578125" customWidth="1"/>
    <col min="57" max="57" width="10.42578125" style="33" customWidth="1"/>
    <col min="59" max="59" width="11.85546875" customWidth="1"/>
    <col min="61" max="61" width="10.7109375" customWidth="1"/>
    <col min="62" max="62" width="9.85546875" customWidth="1"/>
    <col min="63" max="63" width="12.140625" customWidth="1"/>
    <col min="64" max="64" width="13" customWidth="1"/>
    <col min="65" max="65" width="12" customWidth="1"/>
    <col min="66" max="66" width="12.5703125" customWidth="1"/>
    <col min="67" max="80" width="13.140625" customWidth="1"/>
    <col min="81" max="81" width="9.5703125" customWidth="1"/>
    <col min="82" max="82" width="16.7109375" customWidth="1"/>
    <col min="83" max="83" width="9.85546875" customWidth="1"/>
    <col min="84" max="84" width="9.5703125" customWidth="1"/>
    <col min="85" max="85" width="4.5703125" customWidth="1"/>
    <col min="86" max="86" width="16" customWidth="1"/>
    <col min="87" max="87" width="13.140625" customWidth="1"/>
    <col min="88" max="88" width="9.140625" customWidth="1"/>
    <col min="89" max="90" width="10.140625" customWidth="1"/>
    <col min="91" max="91" width="13.28515625" customWidth="1"/>
    <col min="92" max="92" width="11.85546875" customWidth="1"/>
    <col min="93" max="93" width="8.28515625" customWidth="1"/>
    <col min="94" max="94" width="15.5703125" customWidth="1"/>
    <col min="95" max="95" width="10.28515625" customWidth="1"/>
    <col min="96" max="97" width="9.42578125" customWidth="1"/>
    <col min="98" max="98" width="12.140625" customWidth="1"/>
    <col min="99" max="99" width="9.5703125" customWidth="1"/>
    <col min="100" max="100" width="10.7109375" customWidth="1"/>
    <col min="101" max="101" width="13.42578125" customWidth="1"/>
    <col min="102" max="102" width="10.85546875" customWidth="1"/>
    <col min="103" max="103" width="16.7109375" customWidth="1"/>
    <col min="104" max="104" width="13" customWidth="1"/>
    <col min="105" max="105" width="17" customWidth="1"/>
    <col min="110" max="110" width="17.7109375" customWidth="1"/>
    <col min="112" max="112" width="12.7109375" customWidth="1"/>
    <col min="113" max="113" width="10.42578125" customWidth="1"/>
    <col min="114" max="114" width="13.28515625" customWidth="1"/>
  </cols>
  <sheetData>
    <row r="1" spans="1:101">
      <c r="AD1" t="s">
        <v>1378</v>
      </c>
      <c r="BC1" t="s">
        <v>1386</v>
      </c>
      <c r="BE1"/>
    </row>
    <row r="2" spans="1:101">
      <c r="S2" t="s">
        <v>1135</v>
      </c>
      <c r="T2" t="s">
        <v>1134</v>
      </c>
      <c r="AS2" t="s">
        <v>1134</v>
      </c>
      <c r="BE2"/>
    </row>
    <row r="3" spans="1:101">
      <c r="B3" t="s">
        <v>255</v>
      </c>
      <c r="C3" t="s">
        <v>1004</v>
      </c>
      <c r="D3" t="s">
        <v>246</v>
      </c>
      <c r="E3" t="s">
        <v>539</v>
      </c>
      <c r="F3" t="s">
        <v>238</v>
      </c>
      <c r="G3" t="s">
        <v>540</v>
      </c>
      <c r="H3" t="s">
        <v>239</v>
      </c>
      <c r="I3" t="s">
        <v>1392</v>
      </c>
      <c r="J3" t="s">
        <v>1390</v>
      </c>
      <c r="K3" t="s">
        <v>542</v>
      </c>
      <c r="L3" t="s">
        <v>240</v>
      </c>
      <c r="M3" t="s">
        <v>241</v>
      </c>
      <c r="N3" t="s">
        <v>242</v>
      </c>
      <c r="O3" t="s">
        <v>544</v>
      </c>
      <c r="P3" t="s">
        <v>538</v>
      </c>
      <c r="Q3" t="s">
        <v>243</v>
      </c>
      <c r="R3" t="s">
        <v>244</v>
      </c>
      <c r="S3" t="s">
        <v>1393</v>
      </c>
      <c r="T3" t="s">
        <v>1391</v>
      </c>
      <c r="U3" t="s">
        <v>331</v>
      </c>
      <c r="V3" t="s">
        <v>545</v>
      </c>
      <c r="W3" t="s">
        <v>685</v>
      </c>
      <c r="X3" t="s">
        <v>546</v>
      </c>
      <c r="Y3" t="s">
        <v>248</v>
      </c>
      <c r="Z3" t="s">
        <v>249</v>
      </c>
      <c r="AA3" t="s">
        <v>648</v>
      </c>
      <c r="AD3" t="s">
        <v>1394</v>
      </c>
      <c r="AE3" t="s">
        <v>1347</v>
      </c>
      <c r="AF3" t="s">
        <v>539</v>
      </c>
      <c r="AG3" t="s">
        <v>238</v>
      </c>
      <c r="AH3" t="s">
        <v>1397</v>
      </c>
      <c r="AI3" t="s">
        <v>1348</v>
      </c>
      <c r="AJ3" t="s">
        <v>1349</v>
      </c>
      <c r="AK3" t="s">
        <v>682</v>
      </c>
      <c r="AL3" t="s">
        <v>240</v>
      </c>
      <c r="AM3" t="s">
        <v>241</v>
      </c>
      <c r="AN3" t="s">
        <v>242</v>
      </c>
      <c r="AO3" t="s">
        <v>1350</v>
      </c>
      <c r="AP3" t="s">
        <v>538</v>
      </c>
      <c r="AQ3" t="s">
        <v>243</v>
      </c>
      <c r="AR3" t="s">
        <v>244</v>
      </c>
      <c r="AS3" t="s">
        <v>1351</v>
      </c>
      <c r="AT3" t="s">
        <v>331</v>
      </c>
      <c r="AU3" t="s">
        <v>545</v>
      </c>
      <c r="AV3" t="s">
        <v>685</v>
      </c>
      <c r="AW3" t="s">
        <v>546</v>
      </c>
      <c r="AX3" t="s">
        <v>248</v>
      </c>
      <c r="AY3" t="s">
        <v>249</v>
      </c>
      <c r="AZ3" t="s">
        <v>648</v>
      </c>
      <c r="BC3" t="s">
        <v>1210</v>
      </c>
      <c r="BD3" t="s">
        <v>1211</v>
      </c>
      <c r="BE3" t="s">
        <v>1212</v>
      </c>
      <c r="BF3" t="s">
        <v>953</v>
      </c>
      <c r="BG3" t="s">
        <v>954</v>
      </c>
      <c r="BH3" t="s">
        <v>955</v>
      </c>
      <c r="BI3" t="s">
        <v>1072</v>
      </c>
      <c r="BJ3" t="s">
        <v>1073</v>
      </c>
      <c r="BK3" t="s">
        <v>1074</v>
      </c>
      <c r="BL3" t="s">
        <v>1076</v>
      </c>
      <c r="BM3" t="s">
        <v>1077</v>
      </c>
      <c r="BN3" t="s">
        <v>1078</v>
      </c>
      <c r="BO3" t="s">
        <v>1079</v>
      </c>
      <c r="BP3" t="s">
        <v>1080</v>
      </c>
      <c r="BQ3" t="s">
        <v>1081</v>
      </c>
      <c r="BR3" t="s">
        <v>1082</v>
      </c>
      <c r="BS3" t="s">
        <v>245</v>
      </c>
      <c r="BT3" t="s">
        <v>1099</v>
      </c>
      <c r="BU3" t="s">
        <v>1100</v>
      </c>
      <c r="BV3" t="s">
        <v>1101</v>
      </c>
      <c r="BW3" t="s">
        <v>546</v>
      </c>
      <c r="BX3" t="s">
        <v>1102</v>
      </c>
      <c r="BY3" t="s">
        <v>1213</v>
      </c>
      <c r="CE3" s="18" t="s">
        <v>1389</v>
      </c>
      <c r="CF3" s="18" t="s">
        <v>1296</v>
      </c>
      <c r="CH3" s="18" t="s">
        <v>1206</v>
      </c>
      <c r="CI3" s="18" t="s">
        <v>1108</v>
      </c>
      <c r="CJ3" s="18" t="s">
        <v>1110</v>
      </c>
      <c r="CK3" s="18" t="s">
        <v>1111</v>
      </c>
      <c r="CL3" s="18" t="s">
        <v>1113</v>
      </c>
      <c r="CM3" s="18" t="s">
        <v>1112</v>
      </c>
      <c r="CN3" s="18" t="s">
        <v>1114</v>
      </c>
      <c r="CO3" s="18" t="s">
        <v>1115</v>
      </c>
      <c r="CP3" s="18" t="s">
        <v>1116</v>
      </c>
      <c r="CQ3" s="18" t="s">
        <v>1304</v>
      </c>
      <c r="CR3" s="18" t="s">
        <v>1117</v>
      </c>
      <c r="CS3" s="18" t="s">
        <v>1118</v>
      </c>
      <c r="CT3" s="18" t="s">
        <v>956</v>
      </c>
      <c r="CU3" s="18" t="s">
        <v>969</v>
      </c>
      <c r="CV3" s="18" t="s">
        <v>972</v>
      </c>
      <c r="CW3" s="18" t="s">
        <v>1368</v>
      </c>
    </row>
    <row r="4" spans="1:101">
      <c r="A4">
        <v>2009</v>
      </c>
      <c r="B4" s="13"/>
      <c r="C4" s="13"/>
      <c r="D4" s="13"/>
      <c r="E4" s="13"/>
      <c r="F4" s="13"/>
      <c r="G4" s="13"/>
      <c r="H4" s="13"/>
      <c r="I4" s="13"/>
      <c r="J4" s="13"/>
      <c r="K4" s="13"/>
      <c r="L4" s="13"/>
      <c r="M4" s="13"/>
      <c r="N4" s="13"/>
      <c r="O4" s="13"/>
      <c r="P4" s="13"/>
      <c r="Q4" s="13"/>
      <c r="R4" s="13"/>
      <c r="S4" s="13"/>
      <c r="T4" s="13"/>
      <c r="U4" s="13"/>
      <c r="V4" s="13"/>
      <c r="W4" s="13"/>
      <c r="X4" s="13"/>
      <c r="Y4" s="13"/>
      <c r="Z4" s="13"/>
      <c r="AA4" s="13"/>
      <c r="AC4">
        <v>2009</v>
      </c>
      <c r="AD4" s="13"/>
      <c r="BB4">
        <v>2009</v>
      </c>
      <c r="BE4"/>
      <c r="CD4" t="s">
        <v>1388</v>
      </c>
      <c r="CE4" s="12">
        <v>2011.1084011511434</v>
      </c>
      <c r="CF4" s="12">
        <v>2010.807342149152</v>
      </c>
      <c r="CH4" s="13">
        <v>0.43691947701006872</v>
      </c>
      <c r="CI4">
        <v>0</v>
      </c>
      <c r="CJ4">
        <v>0</v>
      </c>
      <c r="CK4">
        <v>0</v>
      </c>
      <c r="CL4">
        <v>0</v>
      </c>
      <c r="CM4">
        <v>0</v>
      </c>
      <c r="CN4">
        <v>0</v>
      </c>
      <c r="CO4">
        <v>0</v>
      </c>
      <c r="CP4">
        <v>0</v>
      </c>
      <c r="CQ4">
        <v>0</v>
      </c>
      <c r="CR4">
        <v>0</v>
      </c>
      <c r="CS4">
        <v>0</v>
      </c>
      <c r="CT4">
        <v>0</v>
      </c>
      <c r="CU4">
        <v>0</v>
      </c>
      <c r="CV4">
        <v>0</v>
      </c>
      <c r="CW4">
        <v>0</v>
      </c>
    </row>
    <row r="5" spans="1:101">
      <c r="A5">
        <v>2010</v>
      </c>
      <c r="B5" s="13">
        <f>'Australia EV uptake'!C5</f>
        <v>0</v>
      </c>
      <c r="C5" s="13">
        <f>'Global EV uptake'!C61</f>
        <v>7.0956542813617018E-2</v>
      </c>
      <c r="D5" s="72">
        <f>'Norway EV uptake with subs'!H15</f>
        <v>0.95422607071705978</v>
      </c>
      <c r="E5" s="13">
        <f>'Austria EV uptake'!AB5</f>
        <v>0.1203521589427423</v>
      </c>
      <c r="F5" s="13">
        <f>'Canada EV uptake'!AB5</f>
        <v>0.11357973136349601</v>
      </c>
      <c r="G5" s="13">
        <f>'Belgian EV uptake'!AB5</f>
        <v>1.893902262212482E-2</v>
      </c>
      <c r="H5" s="13">
        <f>'China EV uptake'!AB5</f>
        <v>2.3951527012398163E-2</v>
      </c>
      <c r="I5" s="13" t="str">
        <f>'Denmark EV uptake'!F14</f>
        <v xml:space="preserve"> </v>
      </c>
      <c r="J5" s="13">
        <f>'Denmark EV uptake'!E14</f>
        <v>0</v>
      </c>
      <c r="K5" s="13">
        <f>'Finland EV uptake'!AB5</f>
        <v>1.8233531246333173E-2</v>
      </c>
      <c r="L5" s="13">
        <f>'France EV uptake'!AB5</f>
        <v>0</v>
      </c>
      <c r="M5" s="13">
        <f>'Germany EV uptake'!AB5</f>
        <v>3.4183576746624901E-2</v>
      </c>
      <c r="N5" s="13">
        <f>'India EV uptake'!AB5</f>
        <v>7.3879359541848419E-2</v>
      </c>
      <c r="O5" s="13">
        <f>'Ireland EV uptake'!AB5</f>
        <v>3.9735404900288353E-2</v>
      </c>
      <c r="P5" s="13">
        <f>'Italy EV uptake'!AB6</f>
        <v>3.1673501110891733E-2</v>
      </c>
      <c r="Q5" s="13">
        <f>'Japan EV uptake'!AB5</f>
        <v>0.37763544019268991</v>
      </c>
      <c r="R5" s="13">
        <f>'Korea EV uptake'!AB5</f>
        <v>6.9344571248564201E-3</v>
      </c>
      <c r="S5" s="13">
        <f>'Netherlands logist Take-up'!E83</f>
        <v>2.4685199082849503E-2</v>
      </c>
      <c r="T5" s="13">
        <f>'Netherlands logist Take-up'!O83</f>
        <v>0</v>
      </c>
      <c r="U5" s="13">
        <f>'New Zealand EV uptake'!AB5</f>
        <v>2.1888993231889326E-2</v>
      </c>
      <c r="V5" s="13">
        <f>'Spain EV uptake'!AB5</f>
        <v>0</v>
      </c>
      <c r="W5" s="13">
        <f>'Sweden EV uptake'!AB5</f>
        <v>0.15299460200173831</v>
      </c>
      <c r="X5" s="13">
        <f>'Switzerland EV uptake'!AB5</f>
        <v>7.9671184386999661E-2</v>
      </c>
      <c r="Y5" s="13">
        <f>'British EV uptake'!AB5</f>
        <v>0</v>
      </c>
      <c r="Z5" s="13">
        <f>'USA EV uptake'!AB5</f>
        <v>0.27236607887944386</v>
      </c>
      <c r="AA5" s="13">
        <f>'Rest Europe EV takeup'!O5</f>
        <v>1.3922142440185525E-2</v>
      </c>
      <c r="AC5">
        <v>2010</v>
      </c>
      <c r="AD5" s="13"/>
      <c r="BB5">
        <v>2010</v>
      </c>
      <c r="BC5" s="33">
        <f>'Australia EV uptake'!AH5</f>
        <v>0</v>
      </c>
      <c r="BD5" s="33">
        <f>'Global EV uptake'!G61</f>
        <v>-6.8189826968851079</v>
      </c>
      <c r="BE5" s="33">
        <f>'Norway EV uptake with subs'!AN15</f>
        <v>-4.2064527095640738</v>
      </c>
      <c r="BF5" s="33">
        <v>-6.3660470280665011</v>
      </c>
      <c r="BG5" s="33">
        <v>-6.2463343726220817</v>
      </c>
      <c r="BH5" s="33">
        <v>-7.9106908849513076</v>
      </c>
      <c r="BI5" s="33">
        <f>'China EV uptake'!AE5</f>
        <v>-7.9057419157685969</v>
      </c>
      <c r="BJ5" s="33">
        <f>'Denmark EV uptake'!AQ14</f>
        <v>-6.0282731984227436</v>
      </c>
      <c r="BK5">
        <f>'Finland EV uptake'!AE5</f>
        <v>-8.1785997184989085</v>
      </c>
      <c r="BL5" s="33">
        <f>'France EV uptake'!AE5</f>
        <v>0</v>
      </c>
      <c r="BM5" s="33">
        <f>'Germany EV uptake'!AE5</f>
        <v>-7.5498711927197109</v>
      </c>
      <c r="BN5" s="33">
        <f>'India EV uptake'!AE5</f>
        <v>-6.7785718105245207</v>
      </c>
      <c r="BO5" s="33">
        <f>'Ireland EV uptake'!AE5</f>
        <v>-7.3992884466714006</v>
      </c>
      <c r="BP5" s="33">
        <f>'Italy EV uptake'!AG5</f>
        <v>-8.0132630875259458</v>
      </c>
      <c r="BQ5" s="33">
        <f>'Japan EV uptake'!AG5</f>
        <v>-5.1423865441636893</v>
      </c>
      <c r="BR5" s="33">
        <f>'Korea EV uptake'!AF5</f>
        <v>-9.1455330890102822</v>
      </c>
      <c r="BS5" s="33">
        <f>'Netherlands logist Take-up'!AI83</f>
        <v>-5.3207792368616822</v>
      </c>
      <c r="BT5" s="33">
        <f>'New Zealand EV uptake'!AF5</f>
        <v>-7.9958218200919573</v>
      </c>
      <c r="BU5" s="33">
        <f>'Spain EV uptake'!AF5</f>
        <v>-6.9660130199503074</v>
      </c>
      <c r="BV5" s="33">
        <f>'Sweden EV uptake'!AF5</f>
        <v>-6.0493833715795553</v>
      </c>
      <c r="BW5" s="33">
        <f>'Switzerland EV uptake'!AF5</f>
        <v>-6.7030081171090243</v>
      </c>
      <c r="BX5" s="33">
        <f>'USA EV uptake'!AF5</f>
        <v>-5.4707964581752497</v>
      </c>
      <c r="BY5" s="33">
        <f>'Rest Europe EV takeup'!S5</f>
        <v>-8.4484477851336628</v>
      </c>
      <c r="BZ5" s="33"/>
      <c r="CA5" s="33"/>
      <c r="CB5" s="33"/>
      <c r="CC5" s="33"/>
      <c r="CD5" s="33" t="s">
        <v>540</v>
      </c>
      <c r="CE5" s="83">
        <v>2016.2086860429163</v>
      </c>
      <c r="CF5" s="83">
        <v>2016.7539438926117</v>
      </c>
      <c r="CH5" s="13">
        <v>0.98835258337888732</v>
      </c>
      <c r="CI5">
        <v>0</v>
      </c>
      <c r="CJ5">
        <v>0</v>
      </c>
      <c r="CK5">
        <v>0</v>
      </c>
      <c r="CL5">
        <v>0</v>
      </c>
      <c r="CM5">
        <v>0</v>
      </c>
      <c r="CN5">
        <v>0</v>
      </c>
      <c r="CO5">
        <v>0</v>
      </c>
      <c r="CP5">
        <v>0</v>
      </c>
      <c r="CQ5">
        <v>0</v>
      </c>
      <c r="CR5">
        <v>0</v>
      </c>
      <c r="CS5">
        <v>0</v>
      </c>
      <c r="CT5">
        <v>0</v>
      </c>
      <c r="CU5">
        <v>0</v>
      </c>
      <c r="CV5">
        <v>0</v>
      </c>
      <c r="CW5">
        <v>0</v>
      </c>
    </row>
    <row r="6" spans="1:101">
      <c r="A6">
        <v>2011</v>
      </c>
      <c r="B6" s="13">
        <f>'Australia EV uptake'!C6</f>
        <v>1.9307934808819711E-2</v>
      </c>
      <c r="C6" s="13">
        <f>'Global EV uptake'!C62</f>
        <v>0.12499382424174706</v>
      </c>
      <c r="D6" s="72">
        <f>'Norway EV uptake with subs'!H16</f>
        <v>1.8243074485334112</v>
      </c>
      <c r="E6" s="13">
        <f>'Austria EV uptake'!AB6</f>
        <v>0.17782437732109599</v>
      </c>
      <c r="F6" s="13">
        <f>'Canada EV uptake'!AB6</f>
        <v>0.1750884089993836</v>
      </c>
      <c r="G6" s="13">
        <f>'Belgian EV uptake'!AB6</f>
        <v>3.9987757684899747E-2</v>
      </c>
      <c r="H6" s="13">
        <f>'China EV uptake'!AB6</f>
        <v>3.8755032033271214E-2</v>
      </c>
      <c r="I6" s="13">
        <f>'Denmark EV uptake'!F15</f>
        <v>0.2445466806557601</v>
      </c>
      <c r="J6" s="13">
        <v>0</v>
      </c>
      <c r="K6" s="13">
        <f>'Finland EV uptake'!AB6</f>
        <v>3.6720612542961363E-2</v>
      </c>
      <c r="L6" s="13">
        <f>'France EV uptake'!AB6</f>
        <v>0</v>
      </c>
      <c r="M6" s="13">
        <f>'Germany EV uptake'!AB6</f>
        <v>6.346987523992427E-2</v>
      </c>
      <c r="N6" s="13">
        <f>'India EV uptake'!AB6</f>
        <v>8.9508675999903864E-2</v>
      </c>
      <c r="O6" s="13">
        <f>'Ireland EV uptake'!AB6</f>
        <v>6.0814865680479779E-2</v>
      </c>
      <c r="P6" s="13">
        <f>'Italy EV uptake'!AB7</f>
        <v>4.6634398966126429E-2</v>
      </c>
      <c r="Q6" s="13">
        <f>'Japan EV uptake'!AB6</f>
        <v>0.44890658958815161</v>
      </c>
      <c r="R6" s="13">
        <f>'Korea EV uptake'!AB6</f>
        <v>2.1986754176250543E-2</v>
      </c>
      <c r="S6" s="13">
        <f>'Netherlands logist Take-up'!E84</f>
        <v>0.16030483863318079</v>
      </c>
      <c r="T6" s="13">
        <f>'Netherlands logist Take-up'!O84</f>
        <v>0</v>
      </c>
      <c r="U6" s="13">
        <f>'New Zealand EV uptake'!AB6</f>
        <v>3.3181380766074499E-2</v>
      </c>
      <c r="V6" s="13">
        <f>'Spain EV uptake'!AB6</f>
        <v>7.9726181987478606E-2</v>
      </c>
      <c r="W6" s="13">
        <f>'Sweden EV uptake'!AB6</f>
        <v>0.23449835169858751</v>
      </c>
      <c r="X6" s="13">
        <f>'Switzerland EV uptake'!AB6</f>
        <v>0.1391609287823368</v>
      </c>
      <c r="Y6" s="13">
        <f>'British EV uptake'!AB6</f>
        <v>6.3746553607401155E-2</v>
      </c>
      <c r="Z6" s="13">
        <f>'USA EV uptake'!AB6</f>
        <v>0.3452602736585953</v>
      </c>
      <c r="AA6" s="13">
        <f>'Rest Europe EV takeup'!O6</f>
        <v>2.1675441318295498E-2</v>
      </c>
      <c r="AC6">
        <v>2011</v>
      </c>
      <c r="AD6" s="13"/>
      <c r="BB6">
        <v>2011</v>
      </c>
      <c r="BC6" s="33">
        <f>'Australia EV uptake'!AH6</f>
        <v>-8.121329318189499</v>
      </c>
      <c r="BD6" s="33">
        <f>'Global EV uptake'!G62</f>
        <v>-6.2519533856471599</v>
      </c>
      <c r="BE6" s="33">
        <f>'Norway EV uptake with subs'!AN16</f>
        <v>-3.5447191808854641</v>
      </c>
      <c r="BF6" s="33">
        <v>-5.9427525973629818</v>
      </c>
      <c r="BG6" s="33">
        <v>-5.8529671139284503</v>
      </c>
      <c r="BH6" s="33">
        <v>-7.2205019868796292</v>
      </c>
      <c r="BI6" s="33">
        <f>'China EV uptake'!AE6</f>
        <v>-7.4242855335076374</v>
      </c>
      <c r="BJ6" s="33">
        <f>'Denmark EV uptake'!AQ15</f>
        <v>-5.5789669835446478</v>
      </c>
      <c r="BK6">
        <f>'Finland EV uptake'!AE6</f>
        <v>-7.4782392096762713</v>
      </c>
      <c r="BL6" s="33">
        <f>'France EV uptake'!AE6</f>
        <v>0</v>
      </c>
      <c r="BM6" s="33">
        <f>'Germany EV uptake'!AE6</f>
        <v>-6.9306002245492451</v>
      </c>
      <c r="BN6" s="33">
        <f>'India EV uptake'!AE6</f>
        <v>-6.5864289841812385</v>
      </c>
      <c r="BO6" s="33">
        <f>'Ireland EV uptake'!AE6</f>
        <v>-6.9733722371900528</v>
      </c>
      <c r="BP6" s="33">
        <f>'Italy EV uptake'!AG6</f>
        <v>-7.626174741283422</v>
      </c>
      <c r="BQ6" s="33">
        <f>'Japan EV uptake'!AG6</f>
        <v>-4.9683975100073727</v>
      </c>
      <c r="BR6" s="33">
        <f>'Korea EV uptake'!AF6</f>
        <v>-7.9913640447632375</v>
      </c>
      <c r="BS6" s="33">
        <f>'Netherlands logist Take-up'!AI84</f>
        <v>-4.7252062149298837</v>
      </c>
      <c r="BT6" s="33">
        <f>'New Zealand EV uptake'!AF6</f>
        <v>-7.5796430374511061</v>
      </c>
      <c r="BU6" s="33">
        <f>'Spain EV uptake'!AF6</f>
        <v>-6.7023172008021348</v>
      </c>
      <c r="BV6" s="33">
        <f>'Sweden EV uptake'!AF6</f>
        <v>-5.6210797997463704</v>
      </c>
      <c r="BW6" s="33">
        <f>'Switzerland EV uptake'!AF6</f>
        <v>-6.1443682919629063</v>
      </c>
      <c r="BX6" s="33">
        <f>'USA EV uptake'!AF6</f>
        <v>-5.2325181461411203</v>
      </c>
      <c r="BY6" s="33">
        <f>'Rest Europe EV takeup'!S6</f>
        <v>-8.0056291417718697</v>
      </c>
      <c r="BZ6" s="33"/>
      <c r="CA6" s="33"/>
      <c r="CB6" s="33"/>
      <c r="CC6" s="33"/>
      <c r="CD6" s="33" t="s">
        <v>542</v>
      </c>
      <c r="CE6" s="83">
        <v>2016.5819020208137</v>
      </c>
      <c r="CF6" s="83">
        <v>2016.8559499419252</v>
      </c>
      <c r="CH6" s="13">
        <v>0.99781168541193943</v>
      </c>
      <c r="CI6">
        <v>0</v>
      </c>
      <c r="CJ6">
        <v>0</v>
      </c>
      <c r="CK6">
        <v>0</v>
      </c>
      <c r="CL6">
        <v>0</v>
      </c>
      <c r="CM6">
        <v>0</v>
      </c>
      <c r="CN6">
        <v>0</v>
      </c>
      <c r="CO6">
        <v>0</v>
      </c>
      <c r="CP6">
        <v>0</v>
      </c>
      <c r="CQ6">
        <v>0</v>
      </c>
      <c r="CR6">
        <v>0</v>
      </c>
      <c r="CS6">
        <v>0</v>
      </c>
      <c r="CT6">
        <v>0</v>
      </c>
      <c r="CU6">
        <v>0</v>
      </c>
      <c r="CV6">
        <v>0</v>
      </c>
      <c r="CW6">
        <v>0</v>
      </c>
    </row>
    <row r="7" spans="1:101">
      <c r="A7">
        <v>2012</v>
      </c>
      <c r="B7" s="13">
        <f>'Australia EV uptake'!C7</f>
        <v>1.5945111417234707E-2</v>
      </c>
      <c r="C7" s="13">
        <f>'Global EV uptake'!C63</f>
        <v>0.23591088263388429</v>
      </c>
      <c r="D7" s="72">
        <f>'Norway EV uptake with subs'!H17</f>
        <v>3.4450702320769109</v>
      </c>
      <c r="E7" s="13">
        <f>'Austria EV uptake'!AB7</f>
        <v>0.26263042390584534</v>
      </c>
      <c r="F7" s="13">
        <f>'Canada EV uptake'!AB7</f>
        <v>0.26976839331369129</v>
      </c>
      <c r="G7" s="13">
        <f>'Belgian EV uptake'!AB7</f>
        <v>8.4399567466143896E-2</v>
      </c>
      <c r="H7" s="13">
        <f>'China EV uptake'!AB7</f>
        <v>6.269917749005402E-2</v>
      </c>
      <c r="I7" s="13">
        <f>'Denmark EV uptake'!F16</f>
        <v>0.28414031280549218</v>
      </c>
      <c r="J7" s="13">
        <v>0</v>
      </c>
      <c r="K7" s="13">
        <f>'Finland EV uptake'!AB7</f>
        <v>0.10779280678428281</v>
      </c>
      <c r="L7" s="13">
        <f>'France EV uptake'!AB7</f>
        <v>0.3326081919378055</v>
      </c>
      <c r="M7" s="13">
        <f>'Germany EV uptake'!AB7</f>
        <v>0.11780130161609073</v>
      </c>
      <c r="N7" s="13">
        <f>'India EV uptake'!AB7</f>
        <v>0.10843888120676225</v>
      </c>
      <c r="O7" s="13">
        <f>'Ireland EV uptake'!AB7</f>
        <v>9.3060869482101627E-2</v>
      </c>
      <c r="P7" s="13">
        <f>'Italy EV uptake'!AB8</f>
        <v>8.2081523558712705E-2</v>
      </c>
      <c r="Q7" s="13">
        <f>'Japan EV uptake'!AB7</f>
        <v>0.53351769485601419</v>
      </c>
      <c r="R7" s="13">
        <f>'Korea EV uptake'!AB7</f>
        <v>4.3976366875896858E-2</v>
      </c>
      <c r="S7" s="13">
        <f>'Netherlands logist Take-up'!E85</f>
        <v>1.0292118863138331</v>
      </c>
      <c r="T7" s="13">
        <f>'Netherlands logist Take-up'!O85</f>
        <v>1.8433023734304723</v>
      </c>
      <c r="U7" s="13">
        <f>'New Zealand EV uptake'!AB7</f>
        <v>5.0294927467282827E-2</v>
      </c>
      <c r="V7" s="13">
        <f>'Spain EV uptake'!AB7</f>
        <v>0.10374374152131341</v>
      </c>
      <c r="W7" s="13">
        <f>'Sweden EV uptake'!AB7</f>
        <v>0.35918053409809425</v>
      </c>
      <c r="X7" s="13">
        <f>'Switzerland EV uptake'!AB7</f>
        <v>0.2429049181160419</v>
      </c>
      <c r="Y7" s="13">
        <f>'British EV uptake'!AB7</f>
        <v>0.12311636472094348</v>
      </c>
      <c r="Z7" s="13">
        <f>'USA EV uptake'!AB7</f>
        <v>0.43753150028238091</v>
      </c>
      <c r="AA7" s="13">
        <f>'Rest Europe EV takeup'!O7</f>
        <v>3.3744342442585909E-2</v>
      </c>
      <c r="AC7">
        <v>2012</v>
      </c>
      <c r="AD7" s="13">
        <f>'Australia EV uptake'!E7</f>
        <v>3.3737289203929641E-2</v>
      </c>
      <c r="AE7" s="13">
        <f>'Norway EV uptake with subs'!J17</f>
        <v>3.4450702320769127</v>
      </c>
      <c r="AF7" s="13">
        <f>'Austria EV uptake'!C7</f>
        <v>0.26263042390584534</v>
      </c>
      <c r="AG7" s="13">
        <f>'Canada EV uptake'!C7</f>
        <v>0.26976839331369129</v>
      </c>
      <c r="AH7" s="13">
        <f>'Belgian EV uptake'!C7</f>
        <v>8.4399567466143896E-2</v>
      </c>
      <c r="AI7" s="13">
        <f>'China EV uptake'!C7</f>
        <v>3.8755032033271214E-2</v>
      </c>
      <c r="AJ7" s="13">
        <f>'Denmark EV uptake'!O16</f>
        <v>0.28414031280549218</v>
      </c>
      <c r="AK7" s="13">
        <f>'Finland EV uptake'!C7</f>
        <v>0.10779280678428281</v>
      </c>
      <c r="AL7" s="13">
        <f>'France EV uptake'!C7</f>
        <v>0.3326081919378055</v>
      </c>
      <c r="AM7" s="13">
        <f>'Germany EV uptake'!C7</f>
        <v>6.346987523992427E-2</v>
      </c>
      <c r="AN7" s="13">
        <f>'India EV uptake'!C7</f>
        <v>0.15912514420898602</v>
      </c>
      <c r="AO7" s="13">
        <f>'Ireland EV uptake'!C7</f>
        <v>9.3060869482101627E-2</v>
      </c>
      <c r="AP7" s="13">
        <f>'Italy EV uptake'!C7</f>
        <v>4.6634398966126429E-2</v>
      </c>
      <c r="AQ7" s="13">
        <f>'Japan EV uptake'!C7</f>
        <v>0.37763544019268991</v>
      </c>
      <c r="AR7" s="13">
        <f>'Korea EV uptake'!C7</f>
        <v>4.3976366875896858E-2</v>
      </c>
      <c r="AS7" s="13">
        <f>'Netherlands logist Take-up'!F85</f>
        <v>1.8433023734304723</v>
      </c>
      <c r="AT7" s="13">
        <f>'New Zealand EV uptake'!Y7</f>
        <v>5.0294927467282827E-2</v>
      </c>
      <c r="AU7" s="13">
        <f>'Spain EV uptake'!C7</f>
        <v>0.10374374152131341</v>
      </c>
      <c r="AV7" s="13">
        <f>'Sweden EV uptake'!C7</f>
        <v>0.35918053409809425</v>
      </c>
      <c r="AW7" s="13">
        <f>'Switzerland EV uptake'!C7</f>
        <v>0.2429049181160419</v>
      </c>
      <c r="AX7" s="13">
        <f>'British EV uptake'!C7</f>
        <v>0.12311636472094348</v>
      </c>
      <c r="AY7" s="13">
        <f>'USA EV uptake'!C7</f>
        <v>0.43753150028238091</v>
      </c>
      <c r="AZ7" s="13">
        <f>'Rest Europe EV takeup'!C7</f>
        <v>3.3744342442585909E-2</v>
      </c>
      <c r="BB7">
        <v>2012</v>
      </c>
      <c r="BC7" s="33">
        <f>'Australia EV uptake'!AH7</f>
        <v>-8.3127449213434392</v>
      </c>
      <c r="BD7" s="33">
        <f>'Global EV uptake'!G63</f>
        <v>-5.6150524306855214</v>
      </c>
      <c r="BE7" s="33">
        <f>'Norway EV uptake with subs'!AN17</f>
        <v>-2.8829856522068544</v>
      </c>
      <c r="BF7" s="33">
        <v>-5.5194581666594615</v>
      </c>
      <c r="BG7" s="33">
        <v>-5.4595998552348188</v>
      </c>
      <c r="BH7" s="33">
        <v>-6.5303130888079508</v>
      </c>
      <c r="BI7" s="33">
        <f>'China EV uptake'!AE7</f>
        <v>-6.9428291512466789</v>
      </c>
      <c r="BJ7" s="33">
        <f>'Denmark EV uptake'!AQ16</f>
        <v>-5.428293401662839</v>
      </c>
      <c r="BK7">
        <f>'Finland EV uptake'!AE7</f>
        <v>-6.4002718925882442</v>
      </c>
      <c r="BL7" s="33">
        <f>'France EV uptake'!AE7</f>
        <v>-5.2700471663862904</v>
      </c>
      <c r="BM7" s="33">
        <f>'Germany EV uptake'!AE7</f>
        <v>-6.3113292563787802</v>
      </c>
      <c r="BN7" s="33">
        <f>'India EV uptake'!AE7</f>
        <v>-6.3942861578379571</v>
      </c>
      <c r="BO7" s="33">
        <f>'Ireland EV uptake'!AE7</f>
        <v>-6.5474560277087051</v>
      </c>
      <c r="BP7" s="33">
        <f>'Italy EV uptake'!AG7</f>
        <v>-7.239086395040899</v>
      </c>
      <c r="BQ7" s="33">
        <f>'Japan EV uptake'!AG7</f>
        <v>-4.7944084758510552</v>
      </c>
      <c r="BR7" s="33">
        <f>'Korea EV uptake'!AF7</f>
        <v>-7.2978133872550686</v>
      </c>
      <c r="BS7" s="33">
        <f>'Netherlands logist Take-up'!AI85</f>
        <v>-4.1296331929980861</v>
      </c>
      <c r="BT7" s="33">
        <f>'New Zealand EV uptake'!AF7</f>
        <v>-7.1634642548102549</v>
      </c>
      <c r="BU7" s="33">
        <f>'Spain EV uptake'!AF7</f>
        <v>-6.4386213816539621</v>
      </c>
      <c r="BV7" s="33">
        <f>'Sweden EV uptake'!AF7</f>
        <v>-5.1927762279131864</v>
      </c>
      <c r="BW7" s="33">
        <f>'Switzerland EV uptake'!AF7</f>
        <v>-5.5857284668167875</v>
      </c>
      <c r="BX7" s="33">
        <f>'USA EV uptake'!AF7</f>
        <v>-4.99423983410699</v>
      </c>
      <c r="BY7" s="33">
        <f>'Rest Europe EV takeup'!S7</f>
        <v>-7.5628104984100766</v>
      </c>
      <c r="BZ7" s="33"/>
      <c r="CA7" s="33"/>
      <c r="CB7" s="33"/>
      <c r="CC7" s="33" t="s">
        <v>1119</v>
      </c>
      <c r="CD7" s="33" t="s">
        <v>241</v>
      </c>
      <c r="CE7" s="83">
        <v>2017.4694448564735</v>
      </c>
      <c r="CF7" s="83">
        <v>2016.9419121989265</v>
      </c>
      <c r="CH7" s="13">
        <v>1.0057830338313676</v>
      </c>
      <c r="CI7">
        <v>0</v>
      </c>
      <c r="CJ7">
        <v>0</v>
      </c>
      <c r="CK7">
        <v>0</v>
      </c>
      <c r="CL7">
        <v>0</v>
      </c>
      <c r="CM7">
        <v>0</v>
      </c>
      <c r="CN7">
        <v>0</v>
      </c>
      <c r="CO7">
        <v>0</v>
      </c>
      <c r="CP7">
        <v>0</v>
      </c>
      <c r="CQ7">
        <v>0</v>
      </c>
      <c r="CR7">
        <v>0</v>
      </c>
      <c r="CS7">
        <v>0</v>
      </c>
      <c r="CT7">
        <v>0</v>
      </c>
      <c r="CU7">
        <v>0</v>
      </c>
      <c r="CV7">
        <v>0</v>
      </c>
      <c r="CW7">
        <v>0</v>
      </c>
    </row>
    <row r="8" spans="1:101">
      <c r="A8">
        <v>2013</v>
      </c>
      <c r="B8" s="13">
        <f>'Australia EV uptake'!C8</f>
        <v>3.3737289203929641E-2</v>
      </c>
      <c r="C8" s="13">
        <f>'Global EV uptake'!C64</f>
        <v>0.3747641205194997</v>
      </c>
      <c r="D8" s="72">
        <f>'Norway EV uptake with subs'!H18</f>
        <v>6.3607835641863382</v>
      </c>
      <c r="E8" s="13">
        <f>'Austria EV uptake'!AB8</f>
        <v>0.38763937622394484</v>
      </c>
      <c r="F8" s="13">
        <f>'Canada EV uptake'!AB8</f>
        <v>0.4153190615900294</v>
      </c>
      <c r="G8" s="13">
        <f>'Belgian EV uptake'!AB8</f>
        <v>0.17800153505072761</v>
      </c>
      <c r="H8" s="13">
        <f>'China EV uptake'!AB8</f>
        <v>8.7551383817578696E-2</v>
      </c>
      <c r="I8" s="13">
        <f>'Denmark EV uptake'!F17</f>
        <v>0.28452453918310588</v>
      </c>
      <c r="J8" s="13">
        <f t="shared" ref="J8:J9" si="0">I6</f>
        <v>0.2445466806557601</v>
      </c>
      <c r="K8" s="13">
        <f>'Finland EV uptake'!AB8</f>
        <v>0.2167816204415593</v>
      </c>
      <c r="L8" s="13">
        <f>'France EV uptake'!AB8</f>
        <v>0.53655302059368892</v>
      </c>
      <c r="M8" s="13">
        <f>'Germany EV uptake'!AB8</f>
        <v>0.21848498449567416</v>
      </c>
      <c r="N8" s="13">
        <f>'India EV uptake'!AB8</f>
        <v>0.13136453644471022</v>
      </c>
      <c r="O8" s="13">
        <f>'Ireland EV uptake'!AB8</f>
        <v>0.14236726087496704</v>
      </c>
      <c r="P8" s="13">
        <f>'Italy EV uptake'!AB9</f>
        <v>0.11049248750991837</v>
      </c>
      <c r="Q8" s="13">
        <f>'Japan EV uptake'!AB8</f>
        <v>0.63391991215036203</v>
      </c>
      <c r="R8" s="13">
        <f>'Korea EV uptake'!AB8</f>
        <v>5.5501342011082921E-2</v>
      </c>
      <c r="S8" s="13">
        <f>'Netherlands logist Take-up'!E86</f>
        <v>1.8433023734304723</v>
      </c>
      <c r="T8" s="13">
        <f>'Netherlands logist Take-up'!O86</f>
        <v>1.8433023734304723</v>
      </c>
      <c r="U8" s="13">
        <f>'New Zealand EV uptake'!AB8</f>
        <v>7.6224558672425224E-2</v>
      </c>
      <c r="V8" s="13">
        <f>'Spain EV uptake'!AB8</f>
        <v>0.13498156151751803</v>
      </c>
      <c r="W8" s="13">
        <f>'Sweden EV uptake'!AB8</f>
        <v>0.54959336127147995</v>
      </c>
      <c r="X8" s="13">
        <f>'Switzerland EV uptake'!AB8</f>
        <v>0.42348472348697969</v>
      </c>
      <c r="Y8" s="13">
        <f>'British EV uptake'!AB8</f>
        <v>0.17450773560150143</v>
      </c>
      <c r="Z8" s="13">
        <f>'USA EV uptake'!AB8</f>
        <v>0.75238469235392802</v>
      </c>
      <c r="AA8" s="13">
        <f>'Rest Europe EV takeup'!O8</f>
        <v>5.2527783932434013E-2</v>
      </c>
      <c r="AC8">
        <v>2013</v>
      </c>
      <c r="AD8" s="13">
        <f>'Australia EV uptake'!E8</f>
        <v>3.3737289203929641E-2</v>
      </c>
      <c r="AE8" s="13">
        <f>'Norway EV uptake with subs'!J18</f>
        <v>6.3607835641863382</v>
      </c>
      <c r="AF8" s="13">
        <f>'Austria EV uptake'!C8</f>
        <v>0.38763937622394484</v>
      </c>
      <c r="AG8" s="13">
        <f>'Canada EV uptake'!C8</f>
        <v>0.4153190615900294</v>
      </c>
      <c r="AH8" s="13">
        <f>'Belgian EV uptake'!C8</f>
        <v>0.17800153505072761</v>
      </c>
      <c r="AI8" s="13">
        <f>'China EV uptake'!C8</f>
        <v>8.7551383817578696E-2</v>
      </c>
      <c r="AJ8" s="13">
        <f>'Denmark EV uptake'!O17</f>
        <v>0.28452453918310588</v>
      </c>
      <c r="AK8" s="13">
        <f>'Finland EV uptake'!C8</f>
        <v>0.2167816204415593</v>
      </c>
      <c r="AL8" s="13">
        <f>'France EV uptake'!C8</f>
        <v>0.69582893347782004</v>
      </c>
      <c r="AM8" s="13">
        <f>'Germany EV uptake'!C8</f>
        <v>0.40468534472849599</v>
      </c>
      <c r="AN8" s="13">
        <f>'India EV uptake'!C8</f>
        <v>0.10843888120676225</v>
      </c>
      <c r="AO8" s="13">
        <f>'Ireland EV uptake'!C8</f>
        <v>0.14236726087496704</v>
      </c>
      <c r="AP8" s="13">
        <f>'Italy EV uptake'!C8</f>
        <v>8.2081523558712705E-2</v>
      </c>
      <c r="AQ8" s="13">
        <f>'Japan EV uptake'!C8</f>
        <v>0.69122173256355823</v>
      </c>
      <c r="AR8" s="13">
        <f>'Korea EV uptake'!C8</f>
        <v>5.5501342011082921E-2</v>
      </c>
      <c r="AS8" s="13">
        <f>'Netherlands logist Take-up'!F86</f>
        <v>1.8433023734304723</v>
      </c>
      <c r="AT8" s="13">
        <f>'New Zealand EV uptake'!Y8</f>
        <v>7.6224558672425224E-2</v>
      </c>
      <c r="AU8" s="13">
        <f>'Spain EV uptake'!C8</f>
        <v>0.13498156151751803</v>
      </c>
      <c r="AV8" s="13">
        <f>'Sweden EV uptake'!C8</f>
        <v>0.54959336127147995</v>
      </c>
      <c r="AW8" s="13">
        <f>'Switzerland EV uptake'!C8</f>
        <v>0.42348472348697969</v>
      </c>
      <c r="AX8" s="13">
        <f>'British EV uptake'!C8</f>
        <v>0.17450773560150143</v>
      </c>
      <c r="AY8" s="13">
        <f>'USA EV uptake'!C8</f>
        <v>0.75238469235392802</v>
      </c>
      <c r="AZ8" s="13">
        <f>'Rest Europe EV takeup'!C8</f>
        <v>5.2527783932434013E-2</v>
      </c>
      <c r="BB8">
        <v>2013</v>
      </c>
      <c r="BC8" s="33">
        <f>'Australia EV uptake'!AH8</f>
        <v>-7.5630196487128547</v>
      </c>
      <c r="BD8" s="33">
        <f>'Global EV uptake'!G64</f>
        <v>-5.1500634456652898</v>
      </c>
      <c r="BE8" s="33">
        <f>'Norway EV uptake with subs'!AN18</f>
        <v>-2.2212521235282452</v>
      </c>
      <c r="BF8" s="33">
        <v>-5.0961637359559413</v>
      </c>
      <c r="BG8" s="33">
        <v>-5.0662325965411874</v>
      </c>
      <c r="BH8" s="33">
        <v>-5.8401241907362724</v>
      </c>
      <c r="BI8" s="33">
        <f>'China EV uptake'!AE8</f>
        <v>-6.6085688319334199</v>
      </c>
      <c r="BJ8" s="33">
        <f>'Denmark EV uptake'!AQ17</f>
        <v>-5.4269361362791733</v>
      </c>
      <c r="BK8">
        <f>'Finland EV uptake'!AE8</f>
        <v>-5.6999113837656079</v>
      </c>
      <c r="BL8" s="33">
        <f>'France EV uptake'!AE8</f>
        <v>-4.7886882446269237</v>
      </c>
      <c r="BM8" s="33">
        <f>'Germany EV uptake'!AE8</f>
        <v>-5.6920582882083144</v>
      </c>
      <c r="BN8" s="33">
        <f>'India EV uptake'!AE8</f>
        <v>-6.2021433314946748</v>
      </c>
      <c r="BO8" s="33">
        <f>'Ireland EV uptake'!AE8</f>
        <v>-6.1215398182273582</v>
      </c>
      <c r="BP8" s="33">
        <f>'Italy EV uptake'!AG8</f>
        <v>-6.8519980487983752</v>
      </c>
      <c r="BQ8" s="33">
        <f>'Japan EV uptake'!AG8</f>
        <v>-4.6204194416947386</v>
      </c>
      <c r="BR8" s="33">
        <f>'Korea EV uptake'!AF8</f>
        <v>-7.064881116485779</v>
      </c>
      <c r="BS8" s="33">
        <f>'Netherlands logist Take-up'!AI86</f>
        <v>-3.5340601710662876</v>
      </c>
      <c r="BT8" s="33">
        <f>'New Zealand EV uptake'!AF8</f>
        <v>-6.7472854721694038</v>
      </c>
      <c r="BU8" s="33">
        <f>'Spain EV uptake'!AF8</f>
        <v>-6.1749255625057895</v>
      </c>
      <c r="BV8" s="33">
        <f>'Sweden EV uptake'!AF8</f>
        <v>-4.7644726560800015</v>
      </c>
      <c r="BW8" s="33">
        <f>'Switzerland EV uptake'!AF8</f>
        <v>-5.0270886416706695</v>
      </c>
      <c r="BX8" s="33">
        <f>'USA EV uptake'!AF8</f>
        <v>-4.7559615220728597</v>
      </c>
      <c r="BY8" s="33">
        <f>'Rest Europe EV takeup'!S8</f>
        <v>-7.1199918550482835</v>
      </c>
      <c r="BZ8" s="33"/>
      <c r="CA8" s="33"/>
      <c r="CB8" s="33"/>
      <c r="CC8" s="33"/>
      <c r="CD8" s="33" t="s">
        <v>244</v>
      </c>
      <c r="CE8" s="83">
        <v>2018.1619318725568</v>
      </c>
      <c r="CF8" s="83">
        <v>2018.5503778605353</v>
      </c>
      <c r="CH8" s="13">
        <v>0.8512717235003322</v>
      </c>
      <c r="CI8">
        <v>1</v>
      </c>
      <c r="CJ8">
        <v>0</v>
      </c>
      <c r="CK8">
        <v>0</v>
      </c>
      <c r="CL8">
        <v>0</v>
      </c>
      <c r="CM8">
        <v>0</v>
      </c>
      <c r="CN8">
        <v>0</v>
      </c>
      <c r="CO8">
        <v>0</v>
      </c>
      <c r="CP8">
        <v>0</v>
      </c>
      <c r="CQ8">
        <v>0</v>
      </c>
      <c r="CR8">
        <v>0</v>
      </c>
      <c r="CS8">
        <v>0</v>
      </c>
      <c r="CT8">
        <v>0</v>
      </c>
      <c r="CU8">
        <v>0</v>
      </c>
      <c r="CV8">
        <v>0</v>
      </c>
      <c r="CW8">
        <v>0</v>
      </c>
    </row>
    <row r="9" spans="1:101">
      <c r="A9">
        <v>2014</v>
      </c>
      <c r="B9" s="13">
        <f>'Australia EV uptake'!C9</f>
        <v>0.14852189694342086</v>
      </c>
      <c r="C9" s="13">
        <f>'Global EV uptake'!C65</f>
        <v>0.58973972945617281</v>
      </c>
      <c r="D9" s="72">
        <f>'Norway EV uptake with subs'!H19</f>
        <v>11.291522864493412</v>
      </c>
      <c r="E9" s="13">
        <f>'Austria EV uptake'!AB9</f>
        <v>0.57162569563598153</v>
      </c>
      <c r="F9" s="13">
        <f>'Canada EV uptake'!AB9</f>
        <v>0.63862526913926998</v>
      </c>
      <c r="G9" s="13">
        <f>'Belgian EV uptake'!AB9</f>
        <v>0.37481187378520425</v>
      </c>
      <c r="H9" s="13">
        <f>'China EV uptake'!AB9</f>
        <v>0.36728493856347377</v>
      </c>
      <c r="I9" s="13">
        <f>'Denmark EV uptake'!F18</f>
        <v>0.93137474819959321</v>
      </c>
      <c r="J9" s="13">
        <f t="shared" si="0"/>
        <v>0.28414031280549218</v>
      </c>
      <c r="K9" s="13">
        <f>'Finland EV uptake'!AB9</f>
        <v>0.43522943065798925</v>
      </c>
      <c r="L9" s="13">
        <f>'France EV uptake'!AB9</f>
        <v>0.69582893347782004</v>
      </c>
      <c r="M9" s="13">
        <f>'Germany EV uptake'!AB9</f>
        <v>0.40468534472849599</v>
      </c>
      <c r="N9" s="13">
        <f>'India EV uptake'!AB9</f>
        <v>0.15912514420898602</v>
      </c>
      <c r="O9" s="13">
        <f>'Ireland EV uptake'!AB9</f>
        <v>0.21771000690284034</v>
      </c>
      <c r="P9" s="13">
        <f>'Italy EV uptake'!AB10</f>
        <v>0.14871484058186824</v>
      </c>
      <c r="Q9" s="13">
        <f>'Japan EV uptake'!AB9</f>
        <v>0.69122173256355823</v>
      </c>
      <c r="R9" s="13">
        <f>'Korea EV uptake'!AB9</f>
        <v>0.11095266482069387</v>
      </c>
      <c r="S9" s="13">
        <f>'Netherlands logist Take-up'!E87</f>
        <v>3.2684255704696215</v>
      </c>
      <c r="T9" s="13">
        <f>'Netherlands logist Take-up'!O87</f>
        <v>3.2684255704696215</v>
      </c>
      <c r="U9" s="13">
        <f>'New Zealand EV uptake'!AB9</f>
        <v>0.11549848108329042</v>
      </c>
      <c r="V9" s="13">
        <f>'Spain EV uptake'!AB9</f>
        <v>0.17559981263618776</v>
      </c>
      <c r="W9" s="13">
        <f>'Sweden EV uptake'!AB9</f>
        <v>1.5696418171502364</v>
      </c>
      <c r="X9" s="13">
        <f>'Switzerland EV uptake'!AB9</f>
        <v>0.73678333887473513</v>
      </c>
      <c r="Y9" s="13">
        <f>'British EV uptake'!AB9</f>
        <v>0.62214017193631121</v>
      </c>
      <c r="Z9" s="13">
        <f>'USA EV uptake'!AB9</f>
        <v>0.95185857423565579</v>
      </c>
      <c r="AA9" s="13">
        <f>'Rest Europe EV takeup'!O9</f>
        <v>8.175367776141565E-2</v>
      </c>
      <c r="AC9">
        <v>2014</v>
      </c>
      <c r="AD9" s="13">
        <f>'Australia EV uptake'!E9</f>
        <v>3.3737289203929641E-2</v>
      </c>
      <c r="AE9" s="13">
        <f>'Norway EV uptake with subs'!J19</f>
        <v>13.102487636563037</v>
      </c>
      <c r="AF9" s="13">
        <f>'Austria EV uptake'!C9</f>
        <v>0.57162569563598153</v>
      </c>
      <c r="AG9" s="13">
        <f>'Canada EV uptake'!C9</f>
        <v>0.63862526913926998</v>
      </c>
      <c r="AH9" s="13">
        <f>'Belgian EV uptake'!C9</f>
        <v>0.40271582726249378</v>
      </c>
      <c r="AI9" s="13">
        <f>'China EV uptake'!C9</f>
        <v>8.7551383817578696E-2</v>
      </c>
      <c r="AJ9" s="13">
        <f>'Denmark EV uptake'!O18</f>
        <v>0.93137474819959321</v>
      </c>
      <c r="AK9" s="13">
        <f>'Finland EV uptake'!C9</f>
        <v>0.43522943065798925</v>
      </c>
      <c r="AL9" s="13">
        <f>'France EV uptake'!C9</f>
        <v>0.69582893347782004</v>
      </c>
      <c r="AM9" s="13">
        <f>'Germany EV uptake'!C9</f>
        <v>0.40468534472849599</v>
      </c>
      <c r="AN9" s="13">
        <f>'India EV uptake'!C9</f>
        <v>0.13136453644471022</v>
      </c>
      <c r="AO9" s="13">
        <f>'Ireland EV uptake'!C9</f>
        <v>0.21771000690284034</v>
      </c>
      <c r="AP9" s="13">
        <f>'Italy EV uptake'!C9</f>
        <v>0.11049248750991837</v>
      </c>
      <c r="AQ9" s="13">
        <f>'Japan EV uptake'!C9</f>
        <v>0.63391991215036203</v>
      </c>
      <c r="AR9" s="13">
        <f>'Korea EV uptake'!C9</f>
        <v>5.5501342011082921E-2</v>
      </c>
      <c r="AS9" s="13">
        <f>'Netherlands logist Take-up'!F87</f>
        <v>3.2684255704696215</v>
      </c>
      <c r="AT9" s="13">
        <f>'New Zealand EV uptake'!Y9</f>
        <v>7.6224558672425224E-2</v>
      </c>
      <c r="AU9" s="13">
        <f>'Spain EV uptake'!C9</f>
        <v>0.13498156151751803</v>
      </c>
      <c r="AV9" s="13">
        <f>'Sweden EV uptake'!C9</f>
        <v>1.5696418171502364</v>
      </c>
      <c r="AW9" s="13">
        <f>'Switzerland EV uptake'!C9</f>
        <v>0.73678333887473513</v>
      </c>
      <c r="AX9" s="13">
        <f>'British EV uptake'!C9</f>
        <v>0.62214017193631121</v>
      </c>
      <c r="AY9" s="13">
        <f>'USA EV uptake'!C9</f>
        <v>0.75238469235392802</v>
      </c>
      <c r="AZ9" s="13">
        <f>'Rest Europe EV takeup'!C9</f>
        <v>8.175367776141565E-2</v>
      </c>
      <c r="BB9">
        <v>2014</v>
      </c>
      <c r="BC9" s="33">
        <f>'Australia EV uptake'!AH9</f>
        <v>-6.0791225805933706</v>
      </c>
      <c r="BD9" s="33">
        <f>'Global EV uptake'!G65</f>
        <v>-4.6933469173179176</v>
      </c>
      <c r="BE9" s="33">
        <f>'Norway EV uptake with subs'!AN19</f>
        <v>-1.559518594849636</v>
      </c>
      <c r="BF9" s="33">
        <v>-4.6728693052524211</v>
      </c>
      <c r="BG9" s="33">
        <v>-4.672865337847556</v>
      </c>
      <c r="BH9" s="33">
        <v>-5.149935292664594</v>
      </c>
      <c r="BI9" s="33">
        <f>'China EV uptake'!AE9</f>
        <v>-5.1703380405123989</v>
      </c>
      <c r="BJ9" s="33">
        <f>'Denmark EV uptake'!AQ18</f>
        <v>-4.2310483389103624</v>
      </c>
      <c r="BK9">
        <f>'Finland EV uptake'!AE9</f>
        <v>-4.9995508749429716</v>
      </c>
      <c r="BL9" s="33">
        <f>'France EV uptake'!AE9</f>
        <v>-4.5262759320722701</v>
      </c>
      <c r="BM9" s="33">
        <f>'Germany EV uptake'!AE9</f>
        <v>-5.0727873200378495</v>
      </c>
      <c r="BN9" s="33">
        <f>'India EV uptake'!AE9</f>
        <v>-6.0100005051513934</v>
      </c>
      <c r="BO9" s="33">
        <f>'Ireland EV uptake'!AE9</f>
        <v>-5.6956236087460113</v>
      </c>
      <c r="BP9" s="33">
        <f>'Italy EV uptake'!AG9</f>
        <v>-6.4649097025558522</v>
      </c>
      <c r="BQ9" s="33">
        <f>'Japan EV uptake'!AG9</f>
        <v>-4.4464304075384211</v>
      </c>
      <c r="BR9" s="33">
        <f>'Korea EV uptake'!AF9</f>
        <v>-6.3713304589776101</v>
      </c>
      <c r="BS9" s="33">
        <f>'Netherlands logist Take-up'!AI87</f>
        <v>-2.9384871491344891</v>
      </c>
      <c r="BT9" s="33">
        <f>'New Zealand EV uptake'!AF9</f>
        <v>-6.3311066895285517</v>
      </c>
      <c r="BU9" s="33">
        <f>'Spain EV uptake'!AF9</f>
        <v>-5.9112297433576177</v>
      </c>
      <c r="BV9" s="33">
        <f>'Sweden EV uptake'!AF9</f>
        <v>-3.69909513114023</v>
      </c>
      <c r="BW9" s="33">
        <f>'Switzerland EV uptake'!AF9</f>
        <v>-4.4684488165245506</v>
      </c>
      <c r="BX9" s="33">
        <f>'USA EV uptake'!AF9</f>
        <v>-4.5176832100387294</v>
      </c>
      <c r="BY9" s="33">
        <f>'Rest Europe EV takeup'!S9</f>
        <v>-6.6771732116864904</v>
      </c>
      <c r="BZ9" s="33"/>
      <c r="CA9" s="33"/>
      <c r="CB9" s="33"/>
      <c r="CC9" s="33"/>
      <c r="CD9" s="33" t="s">
        <v>1133</v>
      </c>
      <c r="CE9" s="83">
        <v>2013.1099537407679</v>
      </c>
      <c r="CF9" s="83">
        <v>2013.2999640268331</v>
      </c>
      <c r="CH9" s="13">
        <v>0.78438629194910292</v>
      </c>
      <c r="CI9">
        <v>0</v>
      </c>
      <c r="CJ9">
        <v>0</v>
      </c>
      <c r="CK9">
        <v>1</v>
      </c>
      <c r="CL9">
        <v>0</v>
      </c>
      <c r="CM9">
        <v>0</v>
      </c>
      <c r="CN9">
        <v>0</v>
      </c>
      <c r="CO9">
        <v>0</v>
      </c>
      <c r="CP9">
        <v>0</v>
      </c>
      <c r="CQ9">
        <v>0</v>
      </c>
      <c r="CR9">
        <v>0</v>
      </c>
      <c r="CS9">
        <v>0</v>
      </c>
      <c r="CT9">
        <v>0</v>
      </c>
      <c r="CU9">
        <v>0</v>
      </c>
      <c r="CV9">
        <v>0</v>
      </c>
      <c r="CW9">
        <v>0</v>
      </c>
    </row>
    <row r="10" spans="1:101">
      <c r="A10">
        <v>2015</v>
      </c>
      <c r="B10" s="13">
        <f>'Australia EV uptake'!C10</f>
        <v>0.19105189234029193</v>
      </c>
      <c r="C10" s="13">
        <f>'Global EV uptake'!C66</f>
        <v>0.89844045782464999</v>
      </c>
      <c r="D10" s="72">
        <f>'Norway EV uptake with subs'!H20</f>
        <v>18.81788217034801</v>
      </c>
      <c r="E10" s="13">
        <f>'Austria EV uptake'!AB10</f>
        <v>0.84180021336470912</v>
      </c>
      <c r="F10" s="13">
        <f>'Canada EV uptake'!AB10</f>
        <v>0.83298342165318717</v>
      </c>
      <c r="G10" s="13">
        <f>'Belgian EV uptake'!AB10</f>
        <v>0.78658824937243477</v>
      </c>
      <c r="H10" s="13">
        <f>'China EV uptake'!AB10</f>
        <v>0.98551973616104327</v>
      </c>
      <c r="I10" s="13">
        <f>'Denmark EV uptake'!F19</f>
        <v>1.4479052196409519</v>
      </c>
      <c r="J10" s="13">
        <f>I8</f>
        <v>0.28452453918310588</v>
      </c>
      <c r="K10" s="13">
        <f>'Finland EV uptake'!AB10</f>
        <v>0.59949021570807204</v>
      </c>
      <c r="L10" s="13">
        <f>'France EV uptake'!AB10</f>
        <v>1.2017643024582392</v>
      </c>
      <c r="M10" s="13">
        <f>'Germany EV uptake'!AB10</f>
        <v>0.74774037060532272</v>
      </c>
      <c r="N10" s="13">
        <f>'India EV uptake'!AB10</f>
        <v>0.1927348314807267</v>
      </c>
      <c r="O10" s="13">
        <f>'Ireland EV uptake'!AB10</f>
        <v>0.33272064189834066</v>
      </c>
      <c r="P10" s="13">
        <f>'Italy EV uptake'!AB11</f>
        <v>0.15297258907354042</v>
      </c>
      <c r="Q10" s="13">
        <f>'Japan EV uptake'!AB10</f>
        <v>0.58282814824822404</v>
      </c>
      <c r="R10" s="13">
        <f>'Korea EV uptake'!AB10</f>
        <v>0.22161628502959124</v>
      </c>
      <c r="S10" s="13">
        <f>'Netherlands logist Take-up'!E88</f>
        <v>5.6959919762793181</v>
      </c>
      <c r="T10" s="13">
        <f>'Netherlands logist Take-up'!O88</f>
        <v>5.6959919762793181</v>
      </c>
      <c r="U10" s="13">
        <f>'New Zealand EV uptake'!AB10</f>
        <v>0.11847389558232939</v>
      </c>
      <c r="V10" s="13">
        <f>'Spain EV uptake'!AB10</f>
        <v>0.2283977496812255</v>
      </c>
      <c r="W10" s="13">
        <f>'Sweden EV uptake'!AB10</f>
        <v>2.3781495989026036</v>
      </c>
      <c r="X10" s="13">
        <f>'Switzerland EV uptake'!AB10</f>
        <v>1.7272382151998207</v>
      </c>
      <c r="Y10" s="13">
        <f>'British EV uptake'!AB10</f>
        <v>1.1141054329537496</v>
      </c>
      <c r="Z10" s="13">
        <f>'USA EV uptake'!AB10</f>
        <v>0.88800892679070453</v>
      </c>
      <c r="AA10" s="13">
        <f>'Rest Europe EV takeup'!O10</f>
        <v>0.12720869508644847</v>
      </c>
      <c r="AC10">
        <v>2015</v>
      </c>
      <c r="AD10" s="13">
        <f>'Australia EV uptake'!E10</f>
        <v>0.19105189234029193</v>
      </c>
      <c r="AE10" s="13">
        <f>'Norway EV uptake with subs'!J20</f>
        <v>18.817882170348014</v>
      </c>
      <c r="AF10" s="13">
        <f>'Austria EV uptake'!C10</f>
        <v>0.84180021336470912</v>
      </c>
      <c r="AG10" s="13">
        <f>'Canada EV uptake'!C10</f>
        <v>0.83298342165318717</v>
      </c>
      <c r="AH10" s="13">
        <f>'Belgian EV uptake'!C10</f>
        <v>0.71369107587336666</v>
      </c>
      <c r="AI10" s="13">
        <f>'China EV uptake'!C10</f>
        <v>0.98551973616104327</v>
      </c>
      <c r="AJ10" s="13">
        <f>'Denmark EV uptake'!O19</f>
        <v>1.4479052196409519</v>
      </c>
      <c r="AK10" s="13">
        <f>'Finland EV uptake'!C10</f>
        <v>0.59949021570807204</v>
      </c>
      <c r="AL10" s="13">
        <f>'France EV uptake'!C10</f>
        <v>1.2017643024582392</v>
      </c>
      <c r="AM10" s="13">
        <f>'Germany EV uptake'!C10</f>
        <v>0.74774037060532272</v>
      </c>
      <c r="AN10" s="13">
        <f>'India EV uptake'!C10</f>
        <v>0.1927348314807267</v>
      </c>
      <c r="AO10" s="13">
        <f>'Ireland EV uptake'!C10</f>
        <v>0.33272064189834066</v>
      </c>
      <c r="AP10" s="13">
        <f>'Italy EV uptake'!C10</f>
        <v>0.14871484058186824</v>
      </c>
      <c r="AQ10" s="13">
        <f>'Japan EV uptake'!C10</f>
        <v>0.58282814824822404</v>
      </c>
      <c r="AR10" s="13">
        <f>'Korea EV uptake'!C10</f>
        <v>0.22161628502959124</v>
      </c>
      <c r="AS10" s="13">
        <f>'Netherlands logist Take-up'!F88</f>
        <v>5.6959919762793181</v>
      </c>
      <c r="AT10" s="13">
        <f>'New Zealand EV uptake'!Y10</f>
        <v>0.11847389558232939</v>
      </c>
      <c r="AU10" s="13">
        <f>'Spain EV uptake'!C10</f>
        <v>0.2283977496812255</v>
      </c>
      <c r="AV10" s="13">
        <f>'Sweden EV uptake'!C10</f>
        <v>2.3781495989026036</v>
      </c>
      <c r="AW10" s="13">
        <f>'Switzerland EV uptake'!C10</f>
        <v>1.7272382151998207</v>
      </c>
      <c r="AX10" s="13">
        <f>'British EV uptake'!C10</f>
        <v>1.1141054329537496</v>
      </c>
      <c r="AY10" s="13">
        <f>'USA EV uptake'!C10</f>
        <v>0.88800892679070453</v>
      </c>
      <c r="AZ10" s="13">
        <f>'Rest Europe EV takeup'!C10</f>
        <v>0.12720869508644847</v>
      </c>
      <c r="BB10">
        <v>2015</v>
      </c>
      <c r="BC10" s="33">
        <f>'Australia EV uptake'!AH10</f>
        <v>-5.8266538820965206</v>
      </c>
      <c r="BD10" s="33">
        <f>'Global EV uptake'!G66</f>
        <v>-4.2675635368361373</v>
      </c>
      <c r="BE10" s="33">
        <f>'Norway EV uptake with subs'!AN20</f>
        <v>-0.89778506617102627</v>
      </c>
      <c r="BF10" s="33">
        <v>-4.2495748745489017</v>
      </c>
      <c r="BG10" s="33">
        <v>-4.2794980791539254</v>
      </c>
      <c r="BH10" s="33">
        <v>-4.4597463945929166</v>
      </c>
      <c r="BI10" s="33">
        <f>'China EV uptake'!AE10</f>
        <v>-4.1736954379344828</v>
      </c>
      <c r="BJ10" s="33">
        <f>'Denmark EV uptake'!AQ19</f>
        <v>-3.7817421240322675</v>
      </c>
      <c r="BK10">
        <f>'Finland EV uptake'!AE10</f>
        <v>-4.676797174385726</v>
      </c>
      <c r="BL10" s="33">
        <f>'France EV uptake'!AE10</f>
        <v>-3.9719348072446659</v>
      </c>
      <c r="BM10" s="33">
        <f>'Germany EV uptake'!AE10</f>
        <v>-4.4535163518673846</v>
      </c>
      <c r="BN10" s="33">
        <f>'India EV uptake'!AE10</f>
        <v>-5.817857678808112</v>
      </c>
      <c r="BO10" s="33">
        <f>'Ireland EV uptake'!AE10</f>
        <v>-5.2697073992646635</v>
      </c>
      <c r="BP10" s="33">
        <f>'Italy EV uptake'!AG10</f>
        <v>-6.0778213563133292</v>
      </c>
      <c r="BQ10" s="33">
        <f>'Japan EV uptake'!AG10</f>
        <v>-4.2724413733821045</v>
      </c>
      <c r="BR10" s="33">
        <f>'Korea EV uptake'!AF10</f>
        <v>-5.6777798014694421</v>
      </c>
      <c r="BS10" s="33">
        <f>'Netherlands logist Take-up'!AI88</f>
        <v>-2.342914127202691</v>
      </c>
      <c r="BT10" s="33">
        <f>'New Zealand EV uptake'!AF10</f>
        <v>-5.9149279068877014</v>
      </c>
      <c r="BU10" s="33">
        <f>'Spain EV uptake'!AF10</f>
        <v>-5.6475339242094451</v>
      </c>
      <c r="BV10" s="33">
        <f>'Sweden EV uptake'!AF10</f>
        <v>-3.2707915593070456</v>
      </c>
      <c r="BW10" s="33">
        <f>'Switzerland EV uptake'!AF10</f>
        <v>-3.9098089913784317</v>
      </c>
      <c r="BX10" s="33">
        <f>'USA EV uptake'!AF10</f>
        <v>-4.2794048980046</v>
      </c>
      <c r="BY10" s="33">
        <f>'Rest Europe EV takeup'!S10</f>
        <v>-6.2343545683246964</v>
      </c>
      <c r="BZ10" s="33"/>
      <c r="CA10" s="33"/>
      <c r="CB10" s="33"/>
      <c r="CC10" s="33"/>
      <c r="CD10" s="33" t="s">
        <v>1132</v>
      </c>
      <c r="CE10" s="83">
        <v>2016.8900462592321</v>
      </c>
      <c r="CF10" s="83">
        <v>2016.4571105230541</v>
      </c>
      <c r="CH10" s="13">
        <v>1.0771509960235544</v>
      </c>
      <c r="CI10">
        <v>0</v>
      </c>
      <c r="CJ10">
        <v>0</v>
      </c>
      <c r="CK10">
        <v>1</v>
      </c>
      <c r="CL10">
        <v>0</v>
      </c>
      <c r="CM10">
        <v>0</v>
      </c>
      <c r="CN10">
        <v>0</v>
      </c>
      <c r="CO10">
        <v>0</v>
      </c>
      <c r="CP10">
        <v>0</v>
      </c>
      <c r="CQ10">
        <v>0</v>
      </c>
      <c r="CR10">
        <v>0</v>
      </c>
      <c r="CS10">
        <v>0</v>
      </c>
      <c r="CT10">
        <v>0</v>
      </c>
      <c r="CU10">
        <v>0</v>
      </c>
      <c r="CV10">
        <v>0</v>
      </c>
      <c r="CW10">
        <v>0</v>
      </c>
    </row>
    <row r="11" spans="1:101">
      <c r="A11">
        <v>2016</v>
      </c>
      <c r="B11" s="13">
        <f>'Australia EV uptake'!C11</f>
        <v>0.19728827949079125</v>
      </c>
      <c r="C11" s="13">
        <f>'Global EV uptake'!C67</f>
        <v>1.1247146069601437</v>
      </c>
      <c r="D11" s="72">
        <f>'Norway EV uptake with subs'!H21</f>
        <v>28.681875004731538</v>
      </c>
      <c r="E11" s="13">
        <f>'Austria EV uptake'!AB11</f>
        <v>1.5391698634286424</v>
      </c>
      <c r="F11" s="13">
        <f>'Canada EV uptake'!AB11</f>
        <v>1.2764186108823803</v>
      </c>
      <c r="G11" s="13">
        <f>'Belgian EV uptake'!AB11</f>
        <v>1.6392758105205087</v>
      </c>
      <c r="H11" s="13">
        <f>'China EV uptake'!AB11</f>
        <v>1.3415981568072222</v>
      </c>
      <c r="I11" s="13">
        <f>'Denmark EV uptake'!F20</f>
        <v>2.2408785959824278</v>
      </c>
      <c r="J11" s="13">
        <f>'Denmark EV uptake'!E20</f>
        <v>0.93137474819959321</v>
      </c>
      <c r="K11" s="13">
        <f>'Finland EV uptake'!AB11</f>
        <v>1.1964656516070145</v>
      </c>
      <c r="L11" s="13">
        <f>'France EV uptake'!AB11</f>
        <v>1.4468260734570164</v>
      </c>
      <c r="M11" s="13">
        <f>'Germany EV uptake'!AB11</f>
        <v>0.73461459756398872</v>
      </c>
      <c r="N11" s="13">
        <f>'India EV uptake'!AB11</f>
        <v>0.23341784865421891</v>
      </c>
      <c r="O11" s="13">
        <f>'Ireland EV uptake'!AB11</f>
        <v>0.50801200951831016</v>
      </c>
      <c r="P11" s="13">
        <f>'Italy EV uptake'!AB12</f>
        <v>0.24606828814625634</v>
      </c>
      <c r="Q11" s="13">
        <f>'Japan EV uptake'!AB11</f>
        <v>0.60024846680994026</v>
      </c>
      <c r="R11" s="13">
        <f>'Korea EV uptake'!AB11</f>
        <v>0.44190356227885791</v>
      </c>
      <c r="S11" s="13">
        <f>'Netherlands logist Take-up'!E89</f>
        <v>9.6448869592081987</v>
      </c>
      <c r="T11" s="13">
        <f>'Netherlands logist Take-up'!O89</f>
        <v>3.2684255704696215</v>
      </c>
      <c r="U11" s="13">
        <f>'New Zealand EV uptake'!AB11</f>
        <v>0.26488873951865571</v>
      </c>
      <c r="V11" s="13">
        <f>'Spain EV uptake'!AB11</f>
        <v>0.29699781325595348</v>
      </c>
      <c r="W11" s="13">
        <f>'Sweden EV uptake'!AB11</f>
        <v>3.5796100720839283</v>
      </c>
      <c r="X11" s="13">
        <f>'Switzerland EV uptake'!AB11</f>
        <v>1.9655495214791945</v>
      </c>
      <c r="Y11" s="13">
        <f>'British EV uptake'!AB11</f>
        <v>1.2399004278695112</v>
      </c>
      <c r="Z11" s="13">
        <f>'USA EV uptake'!AB11</f>
        <v>1.1228114078567422</v>
      </c>
      <c r="AA11" s="13">
        <f>'Rest Europe EV takeup'!O11</f>
        <v>0.12387481770399303</v>
      </c>
      <c r="AC11">
        <v>2016</v>
      </c>
      <c r="AD11" s="13">
        <f>'Australia EV uptake'!E11</f>
        <v>0.19728827949079125</v>
      </c>
      <c r="AE11" s="13">
        <f>'Norway EV uptake with subs'!J21</f>
        <v>28.681875004731538</v>
      </c>
      <c r="AF11" s="13">
        <f>'Austria EV uptake'!C11</f>
        <v>1.5391698634286424</v>
      </c>
      <c r="AG11" s="13">
        <f>'Canada EV uptake'!C11</f>
        <v>1.2764186108823803</v>
      </c>
      <c r="AH11" s="13">
        <f>'Belgian EV uptake'!C11</f>
        <v>1.1926559312137441</v>
      </c>
      <c r="AI11" s="13">
        <f>'China EV uptake'!C11</f>
        <v>1.3415981568072222</v>
      </c>
      <c r="AJ11" s="13">
        <f>'Denmark EV uptake'!O20</f>
        <v>0.93137474819959321</v>
      </c>
      <c r="AK11" s="13">
        <f>'Finland EV uptake'!C11</f>
        <v>1.1964656516070145</v>
      </c>
      <c r="AL11" s="13">
        <f>'France EV uptake'!C11</f>
        <v>1.4468260734570164</v>
      </c>
      <c r="AM11" s="13">
        <f>'Germany EV uptake'!C11</f>
        <v>0.73461459756398872</v>
      </c>
      <c r="AN11" s="13">
        <f>'India EV uptake'!C11</f>
        <v>0.23341784865421891</v>
      </c>
      <c r="AO11" s="13">
        <f>'Ireland EV uptake'!C11</f>
        <v>0.50801200951831016</v>
      </c>
      <c r="AP11" s="13">
        <f>'Italy EV uptake'!C11</f>
        <v>0.15297258907354042</v>
      </c>
      <c r="AQ11" s="13">
        <f>'Japan EV uptake'!C11</f>
        <v>0.60024846680994026</v>
      </c>
      <c r="AR11" s="13">
        <f>'Korea EV uptake'!C11</f>
        <v>0.44190356227885791</v>
      </c>
      <c r="AS11" s="13">
        <f>'Netherlands logist Take-up'!F89</f>
        <v>3.2684255704696215</v>
      </c>
      <c r="AT11" s="13">
        <f>'New Zealand EV uptake'!Y11</f>
        <v>0.26488873951865571</v>
      </c>
      <c r="AU11" s="13">
        <f>'Spain EV uptake'!C11</f>
        <v>0.29699781325595348</v>
      </c>
      <c r="AV11" s="13">
        <f>'Sweden EV uptake'!C11</f>
        <v>3.5796100720839283</v>
      </c>
      <c r="AW11" s="13">
        <f>'Switzerland EV uptake'!C11</f>
        <v>1.9655495214791945</v>
      </c>
      <c r="AX11" s="13">
        <f>'British EV uptake'!C11</f>
        <v>1.2399004278695112</v>
      </c>
      <c r="AY11" s="13">
        <f>'USA EV uptake'!C11</f>
        <v>1.1228114078567422</v>
      </c>
      <c r="AZ11" s="13">
        <f>'Rest Europe EV takeup'!C11</f>
        <v>0.12387481770399303</v>
      </c>
      <c r="BB11">
        <v>2016</v>
      </c>
      <c r="BC11" s="33">
        <f>'Australia EV uptake'!AH11</f>
        <v>-5.7944367222463393</v>
      </c>
      <c r="BD11" s="33">
        <f>'Global EV uptake'!G67</f>
        <v>-4.0394031957352938</v>
      </c>
      <c r="BE11" s="33">
        <f>'Norway EV uptake with subs'!AN21</f>
        <v>-0.23605153749241659</v>
      </c>
      <c r="BF11" s="33">
        <v>-3.8262804438453815</v>
      </c>
      <c r="BG11" s="33">
        <v>-3.886130820460294</v>
      </c>
      <c r="BH11" s="33">
        <v>-3.7695574965212382</v>
      </c>
      <c r="BI11" s="33">
        <f>'China EV uptake'!AE11</f>
        <v>-3.8596697593213212</v>
      </c>
      <c r="BJ11" s="33">
        <f>'Denmark EV uptake'!AQ20</f>
        <v>-3.3324359091541726</v>
      </c>
      <c r="BK11">
        <f>'Finland EV uptake'!AE11</f>
        <v>-3.9764366655630896</v>
      </c>
      <c r="BL11" s="33">
        <f>'France EV uptake'!AE11</f>
        <v>-3.7825046977582506</v>
      </c>
      <c r="BM11" s="33">
        <f>'Germany EV uptake'!AE11</f>
        <v>-4.4714304309738457</v>
      </c>
      <c r="BN11" s="33">
        <f>'India EV uptake'!AE11</f>
        <v>-5.6257148524648297</v>
      </c>
      <c r="BO11" s="33">
        <f>'Ireland EV uptake'!AE11</f>
        <v>-4.8437911897833157</v>
      </c>
      <c r="BP11" s="33">
        <f>'Italy EV uptake'!AG11</f>
        <v>-5.6907330100708062</v>
      </c>
      <c r="BQ11" s="33">
        <f>'Japan EV uptake'!AG11</f>
        <v>-4.098452339225787</v>
      </c>
      <c r="BR11" s="33">
        <f>'Korea EV uptake'!AF11</f>
        <v>-4.984229143961274</v>
      </c>
      <c r="BS11" s="33">
        <f>'Netherlands logist Take-up'!AI89</f>
        <v>-1.7473411052708929</v>
      </c>
      <c r="BT11" s="33">
        <f>'New Zealand EV uptake'!AF11</f>
        <v>-5.4987491242468494</v>
      </c>
      <c r="BU11" s="33">
        <f>'Spain EV uptake'!AF11</f>
        <v>-5.3838381050612725</v>
      </c>
      <c r="BV11" s="33">
        <f>'Sweden EV uptake'!AF11</f>
        <v>-2.8424879874738611</v>
      </c>
      <c r="BW11" s="33">
        <f>'Switzerland EV uptake'!AF11</f>
        <v>-3.9098089913784317</v>
      </c>
      <c r="BX11" s="33">
        <f>'USA EV uptake'!AF11</f>
        <v>-4.0411265859704697</v>
      </c>
      <c r="BY11" s="33">
        <f>'Rest Europe EV takeup'!S11</f>
        <v>-5.7915359249629033</v>
      </c>
      <c r="BZ11" s="33"/>
      <c r="CA11" s="33"/>
      <c r="CB11" s="33"/>
      <c r="CC11" s="33"/>
      <c r="CD11" s="33" t="s">
        <v>255</v>
      </c>
      <c r="CE11" s="83">
        <v>2021.6707626641812</v>
      </c>
      <c r="CF11" s="83">
        <v>2021.7688629854749</v>
      </c>
      <c r="CH11" s="13">
        <v>1.2475785927097467</v>
      </c>
      <c r="CI11">
        <v>0</v>
      </c>
      <c r="CJ11">
        <v>0</v>
      </c>
      <c r="CK11">
        <v>0</v>
      </c>
      <c r="CL11">
        <v>0</v>
      </c>
      <c r="CM11">
        <v>0</v>
      </c>
      <c r="CN11">
        <v>0</v>
      </c>
      <c r="CO11">
        <v>0</v>
      </c>
      <c r="CP11">
        <v>0</v>
      </c>
      <c r="CQ11">
        <v>0</v>
      </c>
      <c r="CR11">
        <v>0</v>
      </c>
      <c r="CS11">
        <v>0</v>
      </c>
      <c r="CT11">
        <v>0</v>
      </c>
      <c r="CU11">
        <v>0</v>
      </c>
      <c r="CV11">
        <v>0</v>
      </c>
      <c r="CW11">
        <v>1</v>
      </c>
    </row>
    <row r="12" spans="1:101">
      <c r="A12">
        <v>2017</v>
      </c>
      <c r="B12" s="13">
        <f>'Australia EV uptake'!C12</f>
        <v>0.21240931229561377</v>
      </c>
      <c r="C12" s="13">
        <f>'Global EV uptake'!C68</f>
        <v>1.6934891727988695</v>
      </c>
      <c r="D12" s="72">
        <f>'Norway EV uptake with subs'!H22</f>
        <v>39.314736357294422</v>
      </c>
      <c r="E12" s="13">
        <f>'Austria EV uptake'!AB12</f>
        <v>2.020466751119709</v>
      </c>
      <c r="F12" s="13">
        <f>'Canada EV uptake'!AB12</f>
        <v>2.1109069198989259</v>
      </c>
      <c r="G12" s="13">
        <f>'Belgian EV uptake'!AB12</f>
        <v>3.3678254750715246</v>
      </c>
      <c r="H12" s="13">
        <f>'China EV uptake'!AB12</f>
        <v>2.1439166050925254</v>
      </c>
      <c r="I12" s="13">
        <f>'Denmark EV uptake'!F21</f>
        <v>3.4446003282819651</v>
      </c>
      <c r="J12" s="13">
        <f>'Denmark EV uptake'!E21</f>
        <v>0.93137474819959321</v>
      </c>
      <c r="K12" s="13">
        <f>'Finland EV uptake'!AB12</f>
        <v>2.577341331106104</v>
      </c>
      <c r="L12" s="13">
        <f>'France EV uptake'!AB12</f>
        <v>1.7404971160048122</v>
      </c>
      <c r="M12" s="13">
        <f>'Germany EV uptake'!AB12</f>
        <v>1.5872033755904482</v>
      </c>
      <c r="N12" s="13">
        <f>'India EV uptake'!AB12</f>
        <v>0.28265089943372285</v>
      </c>
      <c r="O12" s="13">
        <f>'Ireland EV uptake'!AB12</f>
        <v>0.77454818827191763</v>
      </c>
      <c r="P12" s="13">
        <f>'Italy EV uptake'!AB13</f>
        <v>0.47261854943019649</v>
      </c>
      <c r="Q12" s="13">
        <f>'Japan EV uptake'!AB12</f>
        <v>1.2590579509713404</v>
      </c>
      <c r="R12" s="13">
        <f>'Korea EV uptake'!AB12</f>
        <v>0.87818859400646965</v>
      </c>
      <c r="S12" s="13">
        <f>'Netherlands logist Take-up'!E90</f>
        <v>15.610808434297555</v>
      </c>
      <c r="T12" s="13">
        <f>'Netherlands logist Take-up'!O90</f>
        <v>1.8433023734304723</v>
      </c>
      <c r="U12" s="13">
        <f>'New Zealand EV uptake'!AB12</f>
        <v>0.40076989322369888</v>
      </c>
      <c r="V12" s="13">
        <f>'Spain EV uptake'!AB12</f>
        <v>0.59705961331901092</v>
      </c>
      <c r="W12" s="13">
        <f>'Sweden EV uptake'!AB12</f>
        <v>5.3363335562542451</v>
      </c>
      <c r="X12" s="13">
        <f>'Switzerland EV uptake'!AB12</f>
        <v>2.5181859041344001</v>
      </c>
      <c r="Y12" s="13">
        <f>'British EV uptake'!AB12</f>
        <v>1.7449230058151759</v>
      </c>
      <c r="Z12" s="13">
        <f>'USA EV uptake'!AB12</f>
        <v>1.4183255938840109</v>
      </c>
      <c r="AA12" s="13">
        <f>'Rest Europe EV takeup'!O12</f>
        <v>0.30756372069793464</v>
      </c>
      <c r="AC12">
        <v>2017</v>
      </c>
      <c r="AD12" s="13">
        <f>'Australia EV uptake'!E12</f>
        <v>0.21240931229561377</v>
      </c>
      <c r="AE12" s="13">
        <f>'Norway EV uptake with subs'!J22</f>
        <v>39.314736357294422</v>
      </c>
      <c r="AF12" s="13">
        <f>'Austria EV uptake'!C12</f>
        <v>2.020466751119709</v>
      </c>
      <c r="AG12" s="13">
        <f>'Canada EV uptake'!C12</f>
        <v>2.1109069198989259</v>
      </c>
      <c r="AH12" s="13">
        <f>'Belgian EV uptake'!C12</f>
        <v>2.0222454368261653</v>
      </c>
      <c r="AI12" s="13">
        <f>'China EV uptake'!C12</f>
        <v>2.1439166050925254</v>
      </c>
      <c r="AJ12" s="13">
        <f>'Denmark EV uptake'!O21</f>
        <v>0.93137474819959321</v>
      </c>
      <c r="AK12" s="13">
        <f>'Finland EV uptake'!C12</f>
        <v>2.577341331106104</v>
      </c>
      <c r="AL12" s="13">
        <f>'France EV uptake'!C12</f>
        <v>1.7404971160048122</v>
      </c>
      <c r="AM12" s="13">
        <f>'Germany EV uptake'!C12</f>
        <v>1.5872033755904482</v>
      </c>
      <c r="AN12" s="13">
        <f>'India EV uptake'!C12</f>
        <v>0.28265089943372285</v>
      </c>
      <c r="AO12" s="13">
        <f>'Ireland EV uptake'!C12</f>
        <v>0.77454818827191763</v>
      </c>
      <c r="AP12" s="13">
        <f>'Italy EV uptake'!C12</f>
        <v>0.24606828814625634</v>
      </c>
      <c r="AQ12" s="13">
        <f>'Japan EV uptake'!C12</f>
        <v>1.2590579509713404</v>
      </c>
      <c r="AR12" s="13">
        <f>'Korea EV uptake'!C12</f>
        <v>0.87818859400646965</v>
      </c>
      <c r="AS12" s="13">
        <f>'Netherlands logist Take-up'!F90</f>
        <v>1.8433023734304723</v>
      </c>
      <c r="AT12" s="13">
        <f>'New Zealand EV uptake'!Y12</f>
        <v>0.40076989322369888</v>
      </c>
      <c r="AU12" s="13">
        <f>'Spain EV uptake'!C12</f>
        <v>0.59705961331901092</v>
      </c>
      <c r="AV12" s="13">
        <f>'Sweden EV uptake'!C12</f>
        <v>5.3363335562542451</v>
      </c>
      <c r="AW12" s="13">
        <f>'Switzerland EV uptake'!C12</f>
        <v>2.5181859041344001</v>
      </c>
      <c r="AX12" s="13">
        <f>'British EV uptake'!C12</f>
        <v>1.7449230058151759</v>
      </c>
      <c r="AY12" s="13">
        <f>'USA EV uptake'!C12</f>
        <v>1.4183255938840109</v>
      </c>
      <c r="AZ12" s="13">
        <f>'Rest Europe EV takeup'!C12</f>
        <v>0.30756372069793464</v>
      </c>
      <c r="BB12">
        <v>2017</v>
      </c>
      <c r="BC12" s="33">
        <f>'Australia EV uptake'!AH12</f>
        <v>-5.7203542306622239</v>
      </c>
      <c r="BD12" s="33">
        <f>'Global EV uptake'!G68</f>
        <v>-3.6211971806624836</v>
      </c>
      <c r="BE12" s="33">
        <f>'Norway EV uptake with subs'!AN22</f>
        <v>0.42568199118619265</v>
      </c>
      <c r="BF12" s="33">
        <v>-3.4029860131418617</v>
      </c>
      <c r="BG12" s="33">
        <v>-3.4927635617666626</v>
      </c>
      <c r="BH12" s="33">
        <v>-3.0793685984495598</v>
      </c>
      <c r="BI12" s="33">
        <f>'China EV uptake'!AE12</f>
        <v>-3.3782133770603617</v>
      </c>
      <c r="BJ12" s="33">
        <f>'Denmark EV uptake'!AQ21</f>
        <v>-2.8831296942760773</v>
      </c>
      <c r="BK12">
        <f>'Finland EV uptake'!AE12</f>
        <v>-3.1871699533647488</v>
      </c>
      <c r="BL12" s="33">
        <f>'France EV uptake'!AE12</f>
        <v>-3.5930745882718349</v>
      </c>
      <c r="BM12" s="33">
        <f>'Germany EV uptake'!AE12</f>
        <v>-3.6876920962737518</v>
      </c>
      <c r="BN12" s="33">
        <f>'India EV uptake'!AE12</f>
        <v>-5.4335720261215474</v>
      </c>
      <c r="BO12" s="33">
        <f>'Ireland EV uptake'!AE12</f>
        <v>-4.4178749803019688</v>
      </c>
      <c r="BP12" s="33">
        <f>'Italy EV uptake'!AG12</f>
        <v>-5.3036446638282824</v>
      </c>
      <c r="BQ12" s="33">
        <f>'Japan EV uptake'!AG12</f>
        <v>-3.9244633050694699</v>
      </c>
      <c r="BR12" s="33">
        <f>'Korea EV uptake'!AF12</f>
        <v>-4.290678486453106</v>
      </c>
      <c r="BS12" s="33">
        <f>'Netherlands logist Take-up'!AI90</f>
        <v>-1.1517680833390944</v>
      </c>
      <c r="BT12" s="33">
        <f>'New Zealand EV uptake'!AF12</f>
        <v>-5.0825703416059991</v>
      </c>
      <c r="BU12" s="33">
        <f>'Spain EV uptake'!AF12</f>
        <v>-4.6808976060152618</v>
      </c>
      <c r="BV12" s="33">
        <f>'Sweden EV uptake'!AF12</f>
        <v>-2.4141844156406762</v>
      </c>
      <c r="BW12" s="33">
        <f>'Switzerland EV uptake'!AF12</f>
        <v>-3.9098089913784317</v>
      </c>
      <c r="BX12" s="33">
        <f>'USA EV uptake'!AF12</f>
        <v>-3.8028482739363398</v>
      </c>
      <c r="BY12" s="33">
        <f>'Rest Europe EV takeup'!S12</f>
        <v>-5.3487172816011102</v>
      </c>
      <c r="BZ12" s="33"/>
      <c r="CA12" s="33"/>
      <c r="CB12" s="33"/>
      <c r="CC12" s="33"/>
      <c r="CD12" s="33" t="s">
        <v>539</v>
      </c>
      <c r="CE12" s="83">
        <v>2016.9574758290712</v>
      </c>
      <c r="CF12" s="83">
        <v>2017.049752732456</v>
      </c>
      <c r="CH12" s="13">
        <v>1.0961413486395826</v>
      </c>
      <c r="CI12">
        <v>0</v>
      </c>
      <c r="CJ12">
        <v>0</v>
      </c>
      <c r="CK12">
        <v>0</v>
      </c>
      <c r="CL12">
        <v>0</v>
      </c>
      <c r="CM12">
        <v>0</v>
      </c>
      <c r="CN12">
        <v>0</v>
      </c>
      <c r="CO12">
        <v>0</v>
      </c>
      <c r="CP12">
        <v>0</v>
      </c>
      <c r="CQ12">
        <v>0</v>
      </c>
      <c r="CR12">
        <v>0</v>
      </c>
      <c r="CS12">
        <v>0</v>
      </c>
      <c r="CT12">
        <v>1</v>
      </c>
      <c r="CU12">
        <v>0</v>
      </c>
      <c r="CV12">
        <v>0</v>
      </c>
      <c r="CW12">
        <v>0</v>
      </c>
    </row>
    <row r="13" spans="1:101">
      <c r="A13">
        <v>2018</v>
      </c>
      <c r="B13" s="13">
        <f>'Australia EV uptake'!C13</f>
        <v>0.32791105969958972</v>
      </c>
      <c r="C13" s="13">
        <f>'Global EV uptake'!C69</f>
        <v>2.8311667018084488</v>
      </c>
      <c r="D13" s="72">
        <f>'Norway EV uptake with subs'!H23</f>
        <v>48.613157762113936</v>
      </c>
      <c r="E13" s="13">
        <f>'Austria EV uptake'!AB13</f>
        <v>2.6459895790365104</v>
      </c>
      <c r="F13" s="13">
        <f>'Canada EV uptake'!AB13</f>
        <v>5.4034855410703129</v>
      </c>
      <c r="G13" s="13">
        <f>'Belgian EV uptake'!AB13</f>
        <v>6.7255868372254772</v>
      </c>
      <c r="H13" s="13">
        <f>'China EV uptake'!AB13</f>
        <v>3.9822183298483407</v>
      </c>
      <c r="I13" s="13">
        <f>'Denmark EV uptake'!F22</f>
        <v>5.2409229437896716</v>
      </c>
      <c r="J13" s="13">
        <f>'Denmark EV uptake'!E22</f>
        <v>0.90531080068456737</v>
      </c>
      <c r="K13" s="13">
        <f>'Finland EV uptake'!AB13</f>
        <v>4.596654877069545</v>
      </c>
      <c r="L13" s="13">
        <f>'France EV uptake'!AB13</f>
        <v>2.0918143794335924</v>
      </c>
      <c r="M13" s="13">
        <f>'Germany EV uptake'!AB13</f>
        <v>2.4665326913069379</v>
      </c>
      <c r="N13" s="13">
        <f>'India EV uptake'!AB13</f>
        <v>0.34221343420214007</v>
      </c>
      <c r="O13" s="13">
        <f>'Ireland EV uptake'!AB13</f>
        <v>1.1783714609456715</v>
      </c>
      <c r="P13" s="13">
        <f>'Italy EV uptake'!AB14</f>
        <v>0.69363502576303426</v>
      </c>
      <c r="Q13" s="13">
        <f>'Japan EV uptake'!AB13</f>
        <v>1.4928371390463264</v>
      </c>
      <c r="R13" s="13">
        <f>'Korea EV uptake'!AB13</f>
        <v>1.7336445171730701</v>
      </c>
      <c r="S13" s="13">
        <f>'Netherlands logist Take-up'!E91</f>
        <v>23.687839848159406</v>
      </c>
      <c r="T13" s="13">
        <f>'Netherlands logist Take-up'!O91</f>
        <v>5.6959919762793181</v>
      </c>
      <c r="U13" s="13">
        <f>'New Zealand EV uptake'!AB13</f>
        <v>0.60570241577331663</v>
      </c>
      <c r="V13" s="13">
        <f>'Spain EV uptake'!AB13</f>
        <v>0.77506356503223739</v>
      </c>
      <c r="W13" s="13">
        <f>'Sweden EV uptake'!AB13</f>
        <v>7.8450665364293197</v>
      </c>
      <c r="X13" s="13">
        <f>'Switzerland EV uptake'!AB13</f>
        <v>3.5138465896522613</v>
      </c>
      <c r="Y13" s="13">
        <f>'British EV uptake'!AB13</f>
        <v>2.4477489867286506</v>
      </c>
      <c r="Z13" s="13">
        <f>'USA EV uptake'!AB13</f>
        <v>2.6156431898055854</v>
      </c>
      <c r="AA13" s="13">
        <f>'Rest Europe EV takeup'!O13</f>
        <v>0.47764529154494301</v>
      </c>
      <c r="AC13">
        <v>2018</v>
      </c>
      <c r="AD13" s="13">
        <f>'Australia EV uptake'!E13</f>
        <v>0.46529499260757357</v>
      </c>
      <c r="AE13" s="13">
        <f>'Norway EV uptake with subs'!J23</f>
        <v>48.613157762113936</v>
      </c>
      <c r="AF13" s="13">
        <f>'Austria EV uptake'!C13</f>
        <v>2.9732896015560768</v>
      </c>
      <c r="AG13" s="13">
        <f>'Canada EV uptake'!C13</f>
        <v>5.4034855410703129</v>
      </c>
      <c r="AH13" s="13">
        <f>'Belgian EV uptake'!C13</f>
        <v>2.9105026776402227</v>
      </c>
      <c r="AI13" s="13">
        <f>'China EV uptake'!C13</f>
        <v>3.9822183298483407</v>
      </c>
      <c r="AJ13" s="13">
        <f>'Denmark EV uptake'!O22</f>
        <v>0.90531080068456726</v>
      </c>
      <c r="AK13" s="13">
        <f>'Finland EV uptake'!C13</f>
        <v>4.596654877069545</v>
      </c>
      <c r="AL13" s="13">
        <f>'France EV uptake'!C13</f>
        <v>2.0918143794335924</v>
      </c>
      <c r="AM13" s="13">
        <f>'Germany EV uptake'!C13</f>
        <v>2.4665326913069379</v>
      </c>
      <c r="AN13" s="13">
        <f>'India EV uptake'!C13</f>
        <v>0.36396305984338306</v>
      </c>
      <c r="AO13" s="13">
        <f>'Ireland EV uptake'!C13</f>
        <v>1.4826241933696944</v>
      </c>
      <c r="AP13" s="13">
        <f>'Italy EV uptake'!C13</f>
        <v>0.47261854943019649</v>
      </c>
      <c r="AQ13" s="13">
        <f>'Japan EV uptake'!C13</f>
        <v>1.4928371390463264</v>
      </c>
      <c r="AR13" s="13">
        <f>'Korea EV uptake'!C13</f>
        <v>1.7804203205284468</v>
      </c>
      <c r="AS13" s="13">
        <f>'Netherlands logist Take-up'!F91</f>
        <v>5.6959919762793181</v>
      </c>
      <c r="AT13" s="13">
        <f>'New Zealand EV uptake'!Y13</f>
        <v>0.60570241577331663</v>
      </c>
      <c r="AU13" s="13">
        <f>'Spain EV uptake'!C13</f>
        <v>0.77506356503223739</v>
      </c>
      <c r="AV13" s="13">
        <f>'Sweden EV uptake'!C13</f>
        <v>9.2732106911149987</v>
      </c>
      <c r="AW13" s="13">
        <f>'Switzerland EV uptake'!C13</f>
        <v>4.0792777376945386</v>
      </c>
      <c r="AX13" s="13">
        <f>'British EV uptake'!C13</f>
        <v>2.4477489867286506</v>
      </c>
      <c r="AY13" s="13">
        <f>'USA EV uptake'!C13</f>
        <v>2.6156431898055854</v>
      </c>
      <c r="AZ13" s="13">
        <f>'Rest Europe EV takeup'!C13</f>
        <v>0.53770724711563977</v>
      </c>
      <c r="BB13">
        <v>2018</v>
      </c>
      <c r="BC13" s="33">
        <f>'Australia EV uptake'!AH13</f>
        <v>-5.2843425832931477</v>
      </c>
      <c r="BD13" s="33">
        <f>'Global EV uptake'!G69</f>
        <v>-3.0891649129684851</v>
      </c>
      <c r="BE13" s="33">
        <f>'Norway EV uptake with subs'!AN23</f>
        <v>1.0874155198648019</v>
      </c>
      <c r="BF13" s="33">
        <v>-2.9796915824383419</v>
      </c>
      <c r="BG13" s="33">
        <v>-3.0993963030730312</v>
      </c>
      <c r="BH13" s="33">
        <v>-2.3891797003778814</v>
      </c>
      <c r="BI13" s="33">
        <f>'China EV uptake'!AE13</f>
        <v>-2.7293262911516045</v>
      </c>
      <c r="BJ13" s="33">
        <f>'Denmark EV uptake'!AQ22</f>
        <v>-2.433823479397982</v>
      </c>
      <c r="BK13">
        <f>'Finland EV uptake'!AE13</f>
        <v>-2.5757156479178169</v>
      </c>
      <c r="BL13" s="33">
        <f>'France EV uptake'!AE13</f>
        <v>-3.4036444787854192</v>
      </c>
      <c r="BM13" s="33">
        <f>'Germany EV uptake'!AE13</f>
        <v>-3.2328884946329159</v>
      </c>
      <c r="BN13" s="33">
        <f>'India EV uptake'!AE13</f>
        <v>-5.241429199778266</v>
      </c>
      <c r="BO13" s="33">
        <f>'Ireland EV uptake'!AE13</f>
        <v>-3.9919587708206214</v>
      </c>
      <c r="BP13" s="33">
        <f>'Italy EV uptake'!AG13</f>
        <v>-4.9165563175857585</v>
      </c>
      <c r="BQ13" s="33">
        <f>'Japan EV uptake'!AG13</f>
        <v>-3.7504742709131529</v>
      </c>
      <c r="BR13" s="33">
        <f>'Korea EV uptake'!AF13</f>
        <v>-3.597127828944938</v>
      </c>
      <c r="BS13" s="33">
        <f>'Netherlands logist Take-up'!AI91</f>
        <v>-0.55619506140729591</v>
      </c>
      <c r="BT13" s="33">
        <f>'New Zealand EV uptake'!AF13</f>
        <v>-4.666391558965147</v>
      </c>
      <c r="BU13" s="33">
        <f>'Spain EV uptake'!AF13</f>
        <v>-4.4172017868670892</v>
      </c>
      <c r="BV13" s="33">
        <f>'Sweden EV uptake'!AF13</f>
        <v>-1.9858808438074913</v>
      </c>
      <c r="BW13" s="33">
        <f>'Switzerland EV uptake'!AF13</f>
        <v>-3.9098089913784317</v>
      </c>
      <c r="BX13" s="33">
        <f>'USA EV uptake'!AF13</f>
        <v>-3.56456996190221</v>
      </c>
      <c r="BY13" s="33">
        <f>'Rest Europe EV takeup'!S13</f>
        <v>-4.905898638239317</v>
      </c>
      <c r="BZ13" s="33"/>
      <c r="CA13" s="33"/>
      <c r="CB13" s="33"/>
      <c r="CC13" s="33"/>
      <c r="CD13" s="33" t="s">
        <v>238</v>
      </c>
      <c r="CE13" s="83">
        <v>2016.8670958973294</v>
      </c>
      <c r="CF13" s="83">
        <v>2017.6180844157946</v>
      </c>
      <c r="CH13" s="13">
        <v>1.0684850209617511</v>
      </c>
      <c r="CI13">
        <v>0</v>
      </c>
      <c r="CJ13">
        <v>0</v>
      </c>
      <c r="CK13">
        <v>0</v>
      </c>
      <c r="CL13">
        <v>0</v>
      </c>
      <c r="CM13">
        <v>0</v>
      </c>
      <c r="CN13">
        <v>0</v>
      </c>
      <c r="CO13">
        <v>0</v>
      </c>
      <c r="CP13">
        <v>0</v>
      </c>
      <c r="CQ13">
        <v>0</v>
      </c>
      <c r="CR13">
        <v>0</v>
      </c>
      <c r="CS13">
        <v>0</v>
      </c>
      <c r="CT13">
        <v>0</v>
      </c>
      <c r="CU13">
        <v>0</v>
      </c>
      <c r="CV13">
        <v>0</v>
      </c>
      <c r="CW13">
        <v>0</v>
      </c>
    </row>
    <row r="14" spans="1:101">
      <c r="A14">
        <v>2019</v>
      </c>
      <c r="B14" s="13">
        <f>'Australia EV uptake'!C14</f>
        <v>0.62592473597208209</v>
      </c>
      <c r="C14" s="13">
        <f>'Global EV uptake'!C70</f>
        <v>4.6657433283108087</v>
      </c>
      <c r="D14" s="72">
        <f>'Norway EV uptake with subs'!H24</f>
        <v>55.369953598215368</v>
      </c>
      <c r="E14" s="13">
        <f>'Austria EV uptake'!AB14</f>
        <v>3.8381890852736973</v>
      </c>
      <c r="F14" s="13">
        <f>'Canada EV uptake'!AB14</f>
        <v>5.1907636009319509</v>
      </c>
      <c r="G14" s="13">
        <f>'Belgian EV uptake'!AB14</f>
        <v>12.739114205438929</v>
      </c>
      <c r="H14" s="13">
        <f>'China EV uptake'!AB14</f>
        <v>6.209668440149346</v>
      </c>
      <c r="I14" s="13">
        <f>'Denmark EV uptake'!F23</f>
        <v>7.8544776715370315</v>
      </c>
      <c r="J14" s="13">
        <f>'Denmark EV uptake'!E23</f>
        <v>1.1672115702411343</v>
      </c>
      <c r="K14" s="13">
        <f>'Finland EV uptake'!AB14</f>
        <v>8.6400147217897896</v>
      </c>
      <c r="L14" s="13">
        <f>'France EV uptake'!AB14</f>
        <v>2.5112295614465268</v>
      </c>
      <c r="M14" s="13">
        <f>'Germany EV uptake'!AB14</f>
        <v>4.4373644231824505</v>
      </c>
      <c r="N14" s="13">
        <f>'India EV uptake'!AB14</f>
        <v>0.41424713827539777</v>
      </c>
      <c r="O14" s="13">
        <f>'Ireland EV uptake'!AB14</f>
        <v>1.7868769257937176</v>
      </c>
      <c r="P14" s="13">
        <f>'Italy EV uptake'!AB15</f>
        <v>1.0163801931175711</v>
      </c>
      <c r="Q14" s="13">
        <f>'Japan EV uptake'!AB14</f>
        <v>1.7688193798116725</v>
      </c>
      <c r="R14" s="13">
        <f>'Korea EV uptake'!AB14</f>
        <v>3.3785058938819041</v>
      </c>
      <c r="S14" s="13">
        <f>'Netherlands logist Take-up'!E92</f>
        <v>33.139809185381857</v>
      </c>
      <c r="T14" s="13">
        <f>'Netherlands logist Take-up'!O92</f>
        <v>5.6959919762793181</v>
      </c>
      <c r="U14" s="13">
        <f>'New Zealand EV uptake'!AB14</f>
        <v>0.91394400665760067</v>
      </c>
      <c r="V14" s="13">
        <f>'Spain EV uptake'!AB14</f>
        <v>1.0053082103042874</v>
      </c>
      <c r="W14" s="13">
        <f>'Sweden EV uptake'!AB14</f>
        <v>11.309646896270017</v>
      </c>
      <c r="X14" s="13">
        <f>'Switzerland EV uptake'!AB14</f>
        <v>4.8724801350553042</v>
      </c>
      <c r="Y14" s="13">
        <f>'British EV uptake'!AB14</f>
        <v>3.4183633247503673</v>
      </c>
      <c r="Z14" s="13">
        <f>'USA EV uptake'!AB14</f>
        <v>2.7228670318692854</v>
      </c>
      <c r="AA14" s="13">
        <f>'Rest Europe EV takeup'!O14</f>
        <v>0.74070443711545286</v>
      </c>
      <c r="AC14">
        <v>2019</v>
      </c>
      <c r="AD14" s="13">
        <f>'Australia EV uptake'!E14</f>
        <v>0.72128820687528983</v>
      </c>
      <c r="AE14" s="13">
        <f>'Norway EV uptake with subs'!J24</f>
        <v>55.369953598215368</v>
      </c>
      <c r="AF14" s="13">
        <f>'Austria EV uptake'!C14</f>
        <v>4.3737767511725316</v>
      </c>
      <c r="AG14" s="13">
        <f>'Canada EV uptake'!C14</f>
        <v>3.5166388613865194</v>
      </c>
      <c r="AH14" s="13">
        <f>'Belgian EV uptake'!C14</f>
        <v>4.2993095302947566</v>
      </c>
      <c r="AI14" s="13">
        <f>'China EV uptake'!C14</f>
        <v>6.1024878315413114</v>
      </c>
      <c r="AJ14" s="13">
        <f>'Denmark EV uptake'!O23</f>
        <v>1.1672115702411339</v>
      </c>
      <c r="AK14" s="13">
        <f>'Finland EV uptake'!C14</f>
        <v>11.215955938669456</v>
      </c>
      <c r="AL14" s="13">
        <f>'France EV uptake'!C14</f>
        <v>2.6482789871426538</v>
      </c>
      <c r="AM14" s="13">
        <f>'Germany EV uptake'!C14</f>
        <v>4.2857980085890945</v>
      </c>
      <c r="AN14" s="13">
        <f>'India EV uptake'!C14</f>
        <v>0.44298154046646898</v>
      </c>
      <c r="AO14" s="13">
        <f>'Ireland EV uptake'!C14</f>
        <v>2.824179396802704</v>
      </c>
      <c r="AP14" s="13">
        <f>'Italy EV uptake'!C14</f>
        <v>0.79885183226478085</v>
      </c>
      <c r="AQ14" s="13">
        <f>'Japan EV uptake'!C14</f>
        <v>1.8531998816118898</v>
      </c>
      <c r="AR14" s="13">
        <f>'Korea EV uptake'!C14</f>
        <v>2.8065512897951961</v>
      </c>
      <c r="AS14" s="13">
        <f>'Netherlands logist Take-up'!F92</f>
        <v>6.5472336108152431</v>
      </c>
      <c r="AT14" s="13">
        <f>'New Zealand EV uptake'!Y14</f>
        <v>0.91394400665760067</v>
      </c>
      <c r="AU14" s="13">
        <f>'Spain EV uptake'!C14</f>
        <v>1.0053082103042874</v>
      </c>
      <c r="AV14" s="13">
        <f>'Sweden EV uptake'!C14</f>
        <v>13.009676331884179</v>
      </c>
      <c r="AW14" s="13">
        <f>'Switzerland EV uptake'!C14</f>
        <v>5.3295337963467757</v>
      </c>
      <c r="AX14" s="13">
        <f>'British EV uptake'!C14</f>
        <v>3.4183633247503673</v>
      </c>
      <c r="AY14" s="13">
        <f>'USA EV uptake'!C14</f>
        <v>2.3935033158161345</v>
      </c>
      <c r="AZ14" s="13">
        <f>'Rest Europe EV takeup'!C14</f>
        <v>0.80231503714945585</v>
      </c>
      <c r="BB14">
        <v>2019</v>
      </c>
      <c r="BC14" s="33">
        <f>'Australia EV uptake'!AH14</f>
        <v>-4.6332361392368906</v>
      </c>
      <c r="BD14" s="33">
        <f>'Global EV uptake'!G70</f>
        <v>-2.5596528832797447</v>
      </c>
      <c r="BE14" s="33">
        <f>'Norway EV uptake with subs'!AN24</f>
        <v>1.7491490485434111</v>
      </c>
      <c r="BF14" s="33">
        <v>-2.5563971517348216</v>
      </c>
      <c r="BG14" s="33">
        <v>-2.7060290443793997</v>
      </c>
      <c r="BH14" s="33">
        <v>-1.698990802306203</v>
      </c>
      <c r="BI14" s="33">
        <f>'China EV uptake'!AE14</f>
        <v>-2.2478699088906451</v>
      </c>
      <c r="BJ14" s="33">
        <f>'Denmark EV uptake'!AQ23</f>
        <v>-1.9845172645198872</v>
      </c>
      <c r="BK14">
        <f>'Finland EV uptake'!AE14</f>
        <v>-1.8753551390951806</v>
      </c>
      <c r="BL14" s="33">
        <f>'France EV uptake'!AE14</f>
        <v>-3.2142143692990039</v>
      </c>
      <c r="BM14" s="33">
        <f>'Germany EV uptake'!AE14</f>
        <v>-2.6136175264624502</v>
      </c>
      <c r="BN14" s="33">
        <f>'India EV uptake'!AE14</f>
        <v>-5.0492863734349847</v>
      </c>
      <c r="BO14" s="33">
        <f>'Ireland EV uptake'!AE14</f>
        <v>-3.5660425613392741</v>
      </c>
      <c r="BP14" s="33">
        <f>'Italy EV uptake'!AG14</f>
        <v>-4.5294679713432355</v>
      </c>
      <c r="BQ14" s="33">
        <f>'Japan EV uptake'!AG14</f>
        <v>-3.5764852367568358</v>
      </c>
      <c r="BR14" s="33">
        <f>'Korea EV uptake'!AF14</f>
        <v>-2.90357717143677</v>
      </c>
      <c r="BS14" s="33">
        <f>'Netherlands logist Take-up'!AI92</f>
        <v>3.9377960524502598E-2</v>
      </c>
      <c r="BT14" s="33">
        <f>'New Zealand EV uptake'!AF14</f>
        <v>-4.2502127763242958</v>
      </c>
      <c r="BU14" s="33">
        <f>'Spain EV uptake'!AF14</f>
        <v>-4.1535059677189166</v>
      </c>
      <c r="BV14" s="33">
        <f>'Sweden EV uptake'!AF14</f>
        <v>-1.5575772719743064</v>
      </c>
      <c r="BW14" s="33">
        <f>'Switzerland EV uptake'!AF14</f>
        <v>-3.9098089913784317</v>
      </c>
      <c r="BX14" s="33">
        <f>'USA EV uptake'!AF14</f>
        <v>-3.3262916498680797</v>
      </c>
      <c r="BY14" s="33">
        <f>'Rest Europe EV takeup'!S14</f>
        <v>-4.4630799948775239</v>
      </c>
      <c r="BZ14" s="33"/>
      <c r="CA14" s="33"/>
      <c r="CB14" s="33"/>
      <c r="CC14" s="33"/>
      <c r="CD14" s="33" t="s">
        <v>239</v>
      </c>
      <c r="CE14" s="83">
        <v>2016.8206240858601</v>
      </c>
      <c r="CF14" s="83">
        <v>2016.9164503902307</v>
      </c>
      <c r="CH14" s="13">
        <v>0.84725733135714365</v>
      </c>
      <c r="CI14">
        <v>0</v>
      </c>
      <c r="CJ14">
        <v>0</v>
      </c>
      <c r="CK14">
        <v>0</v>
      </c>
      <c r="CL14">
        <v>1</v>
      </c>
      <c r="CM14">
        <v>0</v>
      </c>
      <c r="CN14">
        <v>0</v>
      </c>
      <c r="CO14">
        <v>0</v>
      </c>
      <c r="CP14">
        <v>0</v>
      </c>
      <c r="CQ14">
        <v>0</v>
      </c>
      <c r="CR14">
        <v>0</v>
      </c>
      <c r="CS14">
        <v>0</v>
      </c>
      <c r="CT14">
        <v>0</v>
      </c>
      <c r="CU14">
        <v>0</v>
      </c>
      <c r="CV14">
        <v>0</v>
      </c>
      <c r="CW14">
        <v>0</v>
      </c>
    </row>
    <row r="15" spans="1:101">
      <c r="A15">
        <v>2020</v>
      </c>
      <c r="B15" s="13">
        <f>'Australia EV uptake'!C15</f>
        <v>0.96294157557979021</v>
      </c>
      <c r="C15" s="13">
        <f>'Global EV uptake'!C71</f>
        <v>7.1311545047818807</v>
      </c>
      <c r="D15" s="72">
        <f>'Norway EV uptake with subs'!H25</f>
        <v>59.647470933153592</v>
      </c>
      <c r="E15" s="13">
        <f>'Austria EV uptake'!AB15</f>
        <v>5.5200023789857555</v>
      </c>
      <c r="F15" s="13">
        <f>'Canada EV uptake'!AB15</f>
        <v>7.6765137034633693</v>
      </c>
      <c r="G15" s="13">
        <f>'Belgian EV uptake'!AB15</f>
        <v>22.091190429597429</v>
      </c>
      <c r="H15" s="13">
        <f>'China EV uptake'!AB15</f>
        <v>9.4892790941138845</v>
      </c>
      <c r="I15" s="13">
        <f>'Denmark EV uptake'!F24</f>
        <v>11.520114188615567</v>
      </c>
      <c r="J15" s="13">
        <f>'Denmark EV uptake'!E24</f>
        <v>1.6698566862576087</v>
      </c>
      <c r="K15" s="13">
        <f>'Finland EV uptake'!AB15</f>
        <v>15.336968936398058</v>
      </c>
      <c r="L15" s="13">
        <f>'France EV uptake'!AB15</f>
        <v>3.0107141260906078</v>
      </c>
      <c r="M15" s="13">
        <f>'Germany EV uptake'!AB15</f>
        <v>7.7868554505897851</v>
      </c>
      <c r="N15" s="13">
        <f>'India EV uptake'!AB15</f>
        <v>0.50132590511767838</v>
      </c>
      <c r="O15" s="13">
        <f>'Ireland EV uptake'!AB15</f>
        <v>2.6963361810187929</v>
      </c>
      <c r="P15" s="13">
        <f>'Italy EV uptake'!AB16</f>
        <v>1.485827405631815</v>
      </c>
      <c r="Q15" s="13">
        <f>'Japan EV uptake'!AB15</f>
        <v>2.0941403093031719</v>
      </c>
      <c r="R15" s="13">
        <f>'Korea EV uptake'!AB15</f>
        <v>6.4254912311464647</v>
      </c>
      <c r="S15" s="13">
        <f>'Netherlands logist Take-up'!E93</f>
        <v>42.484730160291178</v>
      </c>
      <c r="T15" s="13">
        <f>'Netherlands logist Take-up'!O93</f>
        <v>10.31722912326169</v>
      </c>
      <c r="U15" s="13">
        <f>'New Zealand EV uptake'!AB15</f>
        <v>1.3756983661601709</v>
      </c>
      <c r="V15" s="13">
        <f>'Spain EV uptake'!AB15</f>
        <v>1.3025634030058668</v>
      </c>
      <c r="W15" s="13">
        <f>'Sweden EV uptake'!AB15</f>
        <v>15.879185521949198</v>
      </c>
      <c r="X15" s="13">
        <f>'Switzerland EV uptake'!AB15</f>
        <v>6.6991954560165095</v>
      </c>
      <c r="Y15" s="13">
        <f>'British EV uptake'!AB15</f>
        <v>4.7446650101291459</v>
      </c>
      <c r="Z15" s="13">
        <f>'USA EV uptake'!AB15</f>
        <v>2.8342866355497933</v>
      </c>
      <c r="AA15" s="13">
        <f>'Rest Europe EV takeup'!O15</f>
        <v>1.1460678396135278</v>
      </c>
      <c r="AC15">
        <v>2020</v>
      </c>
      <c r="AD15" s="13">
        <f>'Australia EV uptake'!E15</f>
        <v>1.3784503770027925</v>
      </c>
      <c r="AE15" s="13">
        <f>'Norway EV uptake with subs'!J25</f>
        <v>59.647470933153592</v>
      </c>
      <c r="AF15" s="13">
        <f>'Austria EV uptake'!C15</f>
        <v>5.1340918730190337</v>
      </c>
      <c r="AG15" s="13">
        <f>'Canada EV uptake'!C15</f>
        <v>4.8401346420411286</v>
      </c>
      <c r="AH15" s="13">
        <f>'Belgian EV uptake'!C15</f>
        <v>6.1235588751700103</v>
      </c>
      <c r="AI15" s="13">
        <f>'China EV uptake'!C15</f>
        <v>8.6348881204181804</v>
      </c>
      <c r="AJ15" s="13">
        <f>'Denmark EV uptake'!O24</f>
        <v>1.5146517368990953</v>
      </c>
      <c r="AK15" s="13">
        <f>'Finland EV uptake'!C15</f>
        <v>14.367487649150064</v>
      </c>
      <c r="AL15" s="13">
        <f>'France EV uptake'!C15</f>
        <v>3.1864034686442451</v>
      </c>
      <c r="AM15" s="13">
        <f>'Germany EV uptake'!C15</f>
        <v>6.3965483267176513</v>
      </c>
      <c r="AN15" s="13">
        <f>'India EV uptake'!C15</f>
        <v>0.5384491529880634</v>
      </c>
      <c r="AO15" s="13">
        <f>'Ireland EV uptake'!C15</f>
        <v>3.9273759317622585</v>
      </c>
      <c r="AP15" s="13">
        <f>'Italy EV uptake'!C15</f>
        <v>1.1131383963990709</v>
      </c>
      <c r="AQ15" s="13">
        <f>'Japan EV uptake'!C15</f>
        <v>2.2307944819395216</v>
      </c>
      <c r="AR15" s="13">
        <f>'Korea EV uptake'!C15</f>
        <v>5.2403013381056427</v>
      </c>
      <c r="AS15" s="13">
        <f>'Netherlands logist Take-up'!F93</f>
        <v>9.0292647735608416</v>
      </c>
      <c r="AT15" s="13">
        <f>'New Zealand EV uptake'!Y15</f>
        <v>1.4577469580307734</v>
      </c>
      <c r="AU15" s="13">
        <f>'Spain EV uptake'!C15</f>
        <v>1.3890476527430482</v>
      </c>
      <c r="AV15" s="13">
        <f>'Sweden EV uptake'!C15</f>
        <v>16.547495299341858</v>
      </c>
      <c r="AW15" s="13">
        <f>'Switzerland EV uptake'!C15</f>
        <v>6.833462724122529</v>
      </c>
      <c r="AX15" s="13">
        <f>'British EV uptake'!C15</f>
        <v>4.0264837096282111</v>
      </c>
      <c r="AY15" s="13">
        <f>'USA EV uptake'!C15</f>
        <v>2.7192280592535458</v>
      </c>
      <c r="AZ15" s="13">
        <f>'Rest Europe EV takeup'!C15</f>
        <v>1.1409432358500173</v>
      </c>
      <c r="BB15">
        <v>2020</v>
      </c>
      <c r="BC15" s="33">
        <f>'Australia EV uptake'!AH15</f>
        <v>-4.1972244918678152</v>
      </c>
      <c r="BD15" s="33">
        <f>'Global EV uptake'!G71</f>
        <v>-2.0937060219689059</v>
      </c>
      <c r="BE15" s="33">
        <f>'Norway EV uptake with subs'!AN25</f>
        <v>2.4108825772220213</v>
      </c>
      <c r="BF15" s="33">
        <v>-2.1331027210313014</v>
      </c>
      <c r="BG15" s="33">
        <v>-2.3126617856857683</v>
      </c>
      <c r="BH15" s="33">
        <v>-1.0088019042345246</v>
      </c>
      <c r="BI15" s="33">
        <f>'China EV uptake'!AE15</f>
        <v>-1.7664135266296856</v>
      </c>
      <c r="BJ15" s="33">
        <f>'Denmark EV uptake'!AQ24</f>
        <v>-1.5352110496417923</v>
      </c>
      <c r="BK15">
        <f>'Finland EV uptake'!AE15</f>
        <v>-1.1749946302725442</v>
      </c>
      <c r="BL15" s="33">
        <f>'France EV uptake'!AE15</f>
        <v>-3.0247842598125887</v>
      </c>
      <c r="BM15" s="33">
        <f>'Germany EV uptake'!AE15</f>
        <v>-1.9943465582919853</v>
      </c>
      <c r="BN15" s="33">
        <f>'India EV uptake'!AE15</f>
        <v>-4.8571435470917024</v>
      </c>
      <c r="BO15" s="33">
        <f>'Ireland EV uptake'!AE15</f>
        <v>-3.1401263518579263</v>
      </c>
      <c r="BP15" s="33">
        <f>'Italy EV uptake'!AG15</f>
        <v>-4.1423796251007126</v>
      </c>
      <c r="BQ15" s="33">
        <f>'Japan EV uptake'!AG15</f>
        <v>-3.4024962026005188</v>
      </c>
      <c r="BR15" s="33">
        <f>'Korea EV uptake'!AF15</f>
        <v>-2.2100265139286019</v>
      </c>
      <c r="BS15" s="33">
        <f>'Netherlands logist Take-up'!AI93</f>
        <v>0.63495098245630022</v>
      </c>
      <c r="BT15" s="33">
        <f>'New Zealand EV uptake'!AF15</f>
        <v>-3.8340339936834447</v>
      </c>
      <c r="BU15" s="33">
        <f>'Spain EV uptake'!AF15</f>
        <v>-3.8898101485707444</v>
      </c>
      <c r="BV15" s="33">
        <f>'Sweden EV uptake'!AF15</f>
        <v>-1.1292737001411224</v>
      </c>
      <c r="BW15" s="33">
        <f>'Switzerland EV uptake'!AF15</f>
        <v>-3.9098089913784317</v>
      </c>
      <c r="BX15" s="33">
        <f>'USA EV uptake'!AF15</f>
        <v>-3.0880133378339498</v>
      </c>
      <c r="BY15" s="33">
        <f>'Rest Europe EV takeup'!S15</f>
        <v>-4.0202613515157308</v>
      </c>
      <c r="BZ15" s="33"/>
      <c r="CA15" s="33"/>
      <c r="CB15" s="33"/>
      <c r="CC15" s="33" t="s">
        <v>1147</v>
      </c>
      <c r="CD15" s="33" t="s">
        <v>1145</v>
      </c>
      <c r="CE15" s="83">
        <v>2015.6962336906015</v>
      </c>
      <c r="CF15" s="83">
        <v>2016.0923970003205</v>
      </c>
      <c r="CH15" s="13">
        <v>0.62419558837453848</v>
      </c>
      <c r="CI15">
        <v>0</v>
      </c>
      <c r="CJ15">
        <v>0</v>
      </c>
      <c r="CK15">
        <v>0</v>
      </c>
      <c r="CL15">
        <v>0</v>
      </c>
      <c r="CM15">
        <v>1</v>
      </c>
      <c r="CN15">
        <v>0</v>
      </c>
      <c r="CO15">
        <v>0</v>
      </c>
      <c r="CP15">
        <v>0</v>
      </c>
      <c r="CQ15">
        <v>0</v>
      </c>
      <c r="CR15">
        <v>0</v>
      </c>
      <c r="CS15">
        <v>0</v>
      </c>
      <c r="CT15">
        <v>0</v>
      </c>
      <c r="CU15">
        <v>0</v>
      </c>
      <c r="CV15">
        <v>0</v>
      </c>
      <c r="CW15">
        <v>0</v>
      </c>
    </row>
    <row r="16" spans="1:101">
      <c r="A16">
        <v>2021</v>
      </c>
      <c r="B16" s="13">
        <f>'Australia EV uptake'!C16</f>
        <v>1.4772543508293725</v>
      </c>
      <c r="C16" s="13">
        <f>'Global EV uptake'!C72</f>
        <v>10.80906767568065</v>
      </c>
      <c r="D16" s="72">
        <f>'Norway EV uptake with subs'!H26</f>
        <v>62.123681562857406</v>
      </c>
      <c r="E16" s="13">
        <f>'Austria EV uptake'!AB16</f>
        <v>7.8442359614469916</v>
      </c>
      <c r="F16" s="13">
        <f>'Canada EV uptake'!AB16</f>
        <v>11.13109783917723</v>
      </c>
      <c r="G16" s="13">
        <f>'Belgian EV uptake'!AB16</f>
        <v>33.860541473603895</v>
      </c>
      <c r="H16" s="13">
        <f>'China EV uptake'!AB16</f>
        <v>14.085993315507633</v>
      </c>
      <c r="I16" s="13">
        <f>'Denmark EV uptake'!F25</f>
        <v>16.405363572657308</v>
      </c>
      <c r="J16" s="13">
        <f>'Denmark EV uptake'!E25</f>
        <v>2.6611363671789219</v>
      </c>
      <c r="K16" s="13">
        <f>'Finland EV uptake'!AB16</f>
        <v>24.928799826983788</v>
      </c>
      <c r="L16" s="13">
        <f>'France EV uptake'!AB16</f>
        <v>3.6038168475970256</v>
      </c>
      <c r="M16" s="13">
        <f>'Germany EV uptake'!AB16</f>
        <v>13.117067998248489</v>
      </c>
      <c r="N16" s="13">
        <f>'India EV uptake'!AB16</f>
        <v>0.60653756944353054</v>
      </c>
      <c r="O16" s="13">
        <f>'Ireland EV uptake'!AB16</f>
        <v>4.0391024160345372</v>
      </c>
      <c r="P16" s="13">
        <f>'Italy EV uptake'!AB17</f>
        <v>2.164767594639474</v>
      </c>
      <c r="Q16" s="13">
        <f>'Japan EV uptake'!AB16</f>
        <v>2.4769503709961866</v>
      </c>
      <c r="R16" s="13">
        <f>'Korea EV uptake'!AB16</f>
        <v>11.698768497088503</v>
      </c>
      <c r="S16" s="13">
        <f>'Netherlands logist Take-up'!E94</f>
        <v>50.304167818683801</v>
      </c>
      <c r="T16" s="13">
        <f>'Netherlands logist Take-up'!O94</f>
        <v>17.555867280665268</v>
      </c>
      <c r="U16" s="13">
        <f>'New Zealand EV uptake'!AB16</f>
        <v>2.0632352831504894</v>
      </c>
      <c r="V16" s="13">
        <f>'Spain EV uptake'!AB16</f>
        <v>1.6853978600233139</v>
      </c>
      <c r="W16" s="13">
        <f>'Sweden EV uptake'!AB16</f>
        <v>21.553816245209962</v>
      </c>
      <c r="X16" s="13">
        <f>'Switzerland EV uptake'!AB16</f>
        <v>9.1070270327411542</v>
      </c>
      <c r="Y16" s="13">
        <f>'British EV uptake'!AB16</f>
        <v>6.5309876755262284</v>
      </c>
      <c r="Z16" s="13">
        <f>'USA EV uptake'!AB16</f>
        <v>3.5551760195496298</v>
      </c>
      <c r="AA16" s="13">
        <f>'Rest Europe EV takeup'!O16</f>
        <v>1.7671726185362033</v>
      </c>
      <c r="AC16">
        <v>2021</v>
      </c>
      <c r="AD16" s="13">
        <f>'Australia EV uptake'!E16</f>
        <v>2.0454176020905916</v>
      </c>
      <c r="AE16" s="13">
        <f>'Norway EV uptake with subs'!J26</f>
        <v>48.077248062780114</v>
      </c>
      <c r="AF16" s="13">
        <f>'Austria EV uptake'!C16</f>
        <v>6.5300184054192467</v>
      </c>
      <c r="AG16" s="13">
        <f>'Canada EV uptake'!C16</f>
        <v>6.7819588768419212</v>
      </c>
      <c r="AH16" s="13">
        <f>'Belgian EV uptake'!C16</f>
        <v>8.9369762499681951</v>
      </c>
      <c r="AI16" s="13">
        <f>'China EV uptake'!C16</f>
        <v>11.405845874630028</v>
      </c>
      <c r="AJ16" s="13">
        <f>'Denmark EV uptake'!O25</f>
        <v>2.1844642818764251</v>
      </c>
      <c r="AK16" s="13">
        <f>'Finland EV uptake'!C16</f>
        <v>18.265617627829446</v>
      </c>
      <c r="AL16" s="13">
        <f>'France EV uptake'!C16</f>
        <v>4.0424320446843387</v>
      </c>
      <c r="AM16" s="13">
        <f>'Germany EV uptake'!C16</f>
        <v>9.0282834753518948</v>
      </c>
      <c r="AN16" s="13">
        <f>'India EV uptake'!C16</f>
        <v>0.69880890576847388</v>
      </c>
      <c r="AO16" s="13">
        <f>'Ireland EV uptake'!C16</f>
        <v>5.7087109217509404</v>
      </c>
      <c r="AP16" s="13">
        <f>'Italy EV uptake'!C16</f>
        <v>1.7220737046054655</v>
      </c>
      <c r="AQ16" s="13">
        <f>'Japan EV uptake'!C16</f>
        <v>2.8108491062770335</v>
      </c>
      <c r="AR16" s="13">
        <f>'Korea EV uptake'!C16</f>
        <v>7.5973475012623597</v>
      </c>
      <c r="AS16" s="13">
        <f>'Netherlands logist Take-up'!F94</f>
        <v>11.1603586919554</v>
      </c>
      <c r="AT16" s="13">
        <f>'New Zealand EV uptake'!Y16</f>
        <v>2.7577063663501185</v>
      </c>
      <c r="AU16" s="13">
        <f>'Spain EV uptake'!C16</f>
        <v>1.7951145944401015</v>
      </c>
      <c r="AV16" s="13">
        <f>'Sweden EV uptake'!C16</f>
        <v>20.364141676569183</v>
      </c>
      <c r="AW16" s="13">
        <f>'Switzerland EV uptake'!C16</f>
        <v>9.0655879820791885</v>
      </c>
      <c r="AX16" s="13">
        <f>'British EV uptake'!C16</f>
        <v>4.6678633605832385</v>
      </c>
      <c r="AY16" s="13">
        <f>'USA EV uptake'!C16</f>
        <v>3.1016682263851574</v>
      </c>
      <c r="AZ16" s="13">
        <f>'Rest Europe EV takeup'!C16</f>
        <v>1.7397763277109062</v>
      </c>
      <c r="BB16">
        <v>2021</v>
      </c>
      <c r="BC16" s="33">
        <f>'Australia EV uptake'!AH16</f>
        <v>-3.7612128444987389</v>
      </c>
      <c r="BD16" s="33">
        <f>'Global EV uptake'!G72</f>
        <v>-1.6121282126963838</v>
      </c>
      <c r="BE16" s="33">
        <f>'Norway EV uptake with subs'!AN26</f>
        <v>3.0726161059006305</v>
      </c>
      <c r="BF16" s="33">
        <v>-1.709808290327782</v>
      </c>
      <c r="BG16" s="33">
        <v>-1.9192945269921378</v>
      </c>
      <c r="BH16" s="33">
        <v>-0.31861300616284716</v>
      </c>
      <c r="BI16" s="33">
        <f>'China EV uptake'!AE16</f>
        <v>-1.2849571443687271</v>
      </c>
      <c r="BJ16" s="33">
        <f>'Denmark EV uptake'!AQ25</f>
        <v>-1.0859048347636966</v>
      </c>
      <c r="BK16">
        <f>'Finland EV uptake'!AE16</f>
        <v>-0.47463412144990791</v>
      </c>
      <c r="BL16" s="33">
        <f>'France EV uptake'!AE16</f>
        <v>-2.8353541503261734</v>
      </c>
      <c r="BM16" s="33">
        <f>'Germany EV uptake'!AE16</f>
        <v>-1.3750755901215204</v>
      </c>
      <c r="BN16" s="33">
        <f>'India EV uptake'!AE16</f>
        <v>-4.665000720748421</v>
      </c>
      <c r="BO16" s="33">
        <f>'Ireland EV uptake'!AE16</f>
        <v>-2.7142101423765794</v>
      </c>
      <c r="BP16" s="33">
        <f>'Italy EV uptake'!AG16</f>
        <v>-3.7552912788581896</v>
      </c>
      <c r="BQ16" s="33">
        <f>'Japan EV uptake'!AG16</f>
        <v>-3.2285071684442013</v>
      </c>
      <c r="BR16" s="33">
        <f>'Korea EV uptake'!AF16</f>
        <v>-1.516475856420433</v>
      </c>
      <c r="BS16" s="33">
        <f>'Netherlands logist Take-up'!AI94</f>
        <v>1.2305240043880987</v>
      </c>
      <c r="BT16" s="33">
        <f>'New Zealand EV uptake'!AF16</f>
        <v>-3.4178552110425935</v>
      </c>
      <c r="BU16" s="33">
        <f>'Spain EV uptake'!AF16</f>
        <v>-3.6261143294225717</v>
      </c>
      <c r="BV16" s="33">
        <f>'Sweden EV uptake'!AF16</f>
        <v>-0.70097012830793748</v>
      </c>
      <c r="BW16" s="33">
        <f>'Switzerland EV uptake'!AF16</f>
        <v>-3.9098089913784317</v>
      </c>
      <c r="BX16" s="33">
        <f>'USA EV uptake'!AF16</f>
        <v>-2.84973502579982</v>
      </c>
      <c r="BY16" s="33">
        <f>'Rest Europe EV takeup'!S16</f>
        <v>-3.5774427081539368</v>
      </c>
      <c r="BZ16" s="33"/>
      <c r="CA16" s="33"/>
      <c r="CB16" s="33"/>
      <c r="CC16" s="33"/>
      <c r="CD16" s="33" t="s">
        <v>1146</v>
      </c>
      <c r="CE16" s="83">
        <v>2020.3330475950395</v>
      </c>
      <c r="CF16" s="83">
        <v>2020.0146708121101</v>
      </c>
      <c r="CH16" s="13">
        <v>0.98791115658843531</v>
      </c>
      <c r="CI16">
        <v>0</v>
      </c>
      <c r="CJ16">
        <v>0</v>
      </c>
      <c r="CK16">
        <v>0</v>
      </c>
      <c r="CL16">
        <v>0</v>
      </c>
      <c r="CM16">
        <v>1</v>
      </c>
      <c r="CN16">
        <v>0</v>
      </c>
      <c r="CO16">
        <v>0</v>
      </c>
      <c r="CP16">
        <v>0</v>
      </c>
      <c r="CQ16">
        <v>0</v>
      </c>
      <c r="CR16">
        <v>0</v>
      </c>
      <c r="CS16">
        <v>0</v>
      </c>
      <c r="CT16">
        <v>0</v>
      </c>
      <c r="CU16">
        <v>0</v>
      </c>
      <c r="CV16">
        <v>0</v>
      </c>
      <c r="CW16">
        <v>0</v>
      </c>
    </row>
    <row r="17" spans="1:101">
      <c r="A17">
        <v>2022</v>
      </c>
      <c r="B17" s="13">
        <f>'Australia EV uptake'!C17</f>
        <v>2.2565846223029289</v>
      </c>
      <c r="C17" s="13">
        <f>'Global EV uptake'!C73</f>
        <v>16.220950988507798</v>
      </c>
      <c r="D17" s="72">
        <f>'Norway EV uptake with subs'!H27</f>
        <v>63.483462457791383</v>
      </c>
      <c r="E17" s="13">
        <f>'Austria EV uptake'!AB17</f>
        <v>10.96666716050855</v>
      </c>
      <c r="F17" s="13">
        <f>'Canada EV uptake'!AB17</f>
        <v>15.714141029929063</v>
      </c>
      <c r="G17" s="13">
        <f>'Belgian EV uptake'!AB17</f>
        <v>45.282958136627563</v>
      </c>
      <c r="H17" s="13">
        <f>'China EV uptake'!AB17</f>
        <v>20.103016074040784</v>
      </c>
      <c r="I17" s="13">
        <f>'Denmark EV uptake'!F26</f>
        <v>22.491028963670956</v>
      </c>
      <c r="J17" s="13">
        <f>'Denmark EV uptake'!E26</f>
        <v>4.0457569518464096</v>
      </c>
      <c r="K17" s="13">
        <f>'Finland EV uptake'!AB17</f>
        <v>36.15255806520549</v>
      </c>
      <c r="L17" s="13">
        <f>'France EV uptake'!AB17</f>
        <v>4.3056438023428854</v>
      </c>
      <c r="M17" s="13">
        <f>'Germany EV uptake'!AB17</f>
        <v>20.771258326627883</v>
      </c>
      <c r="N17" s="13">
        <f>'India EV uptake'!AB17</f>
        <v>0.7335785364504962</v>
      </c>
      <c r="O17" s="13">
        <f>'Ireland EV uptake'!AB17</f>
        <v>5.9863117522368512</v>
      </c>
      <c r="P17" s="13">
        <f>'Italy EV uptake'!AB18</f>
        <v>3.1386148509074898</v>
      </c>
      <c r="Q17" s="13">
        <f>'Japan EV uptake'!AB17</f>
        <v>2.9264828480241376</v>
      </c>
      <c r="R17" s="13">
        <f>'Korea EV uptake'!AB17</f>
        <v>19.83429983606014</v>
      </c>
      <c r="S17" s="13">
        <f>'Netherlands logist Take-up'!E95</f>
        <v>55.984247460872368</v>
      </c>
      <c r="T17" s="13">
        <f>'Netherlands logist Take-up'!O95</f>
        <v>25.795462054614472</v>
      </c>
      <c r="U17" s="13">
        <f>'New Zealand EV uptake'!AB17</f>
        <v>3.0777626865267869</v>
      </c>
      <c r="V17" s="13">
        <f>'Spain EV uptake'!AB17</f>
        <v>2.1769052253495365</v>
      </c>
      <c r="W17" s="13">
        <f>'Sweden EV uptake'!AB17</f>
        <v>28.096417491564278</v>
      </c>
      <c r="X17" s="13">
        <f>'Switzerland EV uptake'!AB17</f>
        <v>12.199197278580884</v>
      </c>
      <c r="Y17" s="13">
        <f>'British EV uptake'!AB17</f>
        <v>8.8906126641970715</v>
      </c>
      <c r="Z17" s="13">
        <f>'USA EV uptake'!AB17</f>
        <v>4.4463065083250726</v>
      </c>
      <c r="AA17" s="13">
        <f>'Rest Europe EV takeup'!O17</f>
        <v>2.7105926994601921</v>
      </c>
      <c r="AC17">
        <v>2022</v>
      </c>
      <c r="AD17" s="13">
        <f>'Australia EV uptake'!E17</f>
        <v>2.9260014029329313</v>
      </c>
      <c r="AE17" s="13">
        <f>'Norway EV uptake with subs'!J27</f>
        <v>56.264107302094025</v>
      </c>
      <c r="AF17" s="13">
        <f>'Austria EV uptake'!C17</f>
        <v>8.0013383234854825</v>
      </c>
      <c r="AG17" s="13">
        <f>'Canada EV uptake'!C17</f>
        <v>8.9554016993125423</v>
      </c>
      <c r="AH17" s="13">
        <f>'Belgian EV uptake'!C17</f>
        <v>12.107574473266308</v>
      </c>
      <c r="AI17" s="13">
        <f>'China EV uptake'!C17</f>
        <v>14.757399435374293</v>
      </c>
      <c r="AJ17" s="13">
        <f>'Denmark EV uptake'!O26</f>
        <v>3.0030555808113628</v>
      </c>
      <c r="AK17" s="13">
        <f>'Finland EV uptake'!C17</f>
        <v>23.220405124882777</v>
      </c>
      <c r="AL17" s="13">
        <f>'France EV uptake'!C17</f>
        <v>4.9321054966629498</v>
      </c>
      <c r="AM17" s="13">
        <f>'Germany EV uptake'!C17</f>
        <v>11.62524357232658</v>
      </c>
      <c r="AN17" s="13">
        <f>'India EV uptake'!C17</f>
        <v>0.86730205535340221</v>
      </c>
      <c r="AO17" s="13">
        <f>'Ireland EV uptake'!C17</f>
        <v>7.6349336512067856</v>
      </c>
      <c r="AP17" s="13">
        <f>'Italy EV uptake'!C17</f>
        <v>2.3699569093357091</v>
      </c>
      <c r="AQ17" s="13">
        <f>'Japan EV uptake'!C17</f>
        <v>3.4005413333204459</v>
      </c>
      <c r="AR17" s="13">
        <f>'Korea EV uptake'!C17</f>
        <v>10.821903618953856</v>
      </c>
      <c r="AS17" s="13">
        <f>'Netherlands logist Take-up'!F95</f>
        <v>13.704534636337453</v>
      </c>
      <c r="AT17" s="13">
        <f>'New Zealand EV uptake'!Y17</f>
        <v>4.0555904034033849</v>
      </c>
      <c r="AU17" s="13">
        <f>'Spain EV uptake'!C17</f>
        <v>2.517136823839047</v>
      </c>
      <c r="AV17" s="13">
        <f>'Sweden EV uptake'!C17</f>
        <v>24.501361537391915</v>
      </c>
      <c r="AW17" s="13">
        <f>'Switzerland EV uptake'!C17</f>
        <v>11.340549172193581</v>
      </c>
      <c r="AX17" s="13">
        <f>'British EV uptake'!C17</f>
        <v>6.0277420639963921</v>
      </c>
      <c r="AY17" s="13">
        <f>'USA EV uptake'!C17</f>
        <v>3.5330616873736922</v>
      </c>
      <c r="AZ17" s="13">
        <f>'Rest Europe EV takeup'!C17</f>
        <v>2.3882958574109643</v>
      </c>
      <c r="BB17">
        <v>2022</v>
      </c>
      <c r="BC17" s="33">
        <f>'Australia EV uptake'!AH17</f>
        <v>-3.3252011971296627</v>
      </c>
      <c r="BD17" s="33">
        <f>'Global EV uptake'!G73</f>
        <v>-1.1009972195589726</v>
      </c>
      <c r="BE17" s="33">
        <f>'Norway EV uptake with subs'!AN27</f>
        <v>3.7343496345792397</v>
      </c>
      <c r="BF17" s="33">
        <v>-1.2865138596242618</v>
      </c>
      <c r="BG17" s="33">
        <v>-1.5259272682985063</v>
      </c>
      <c r="BH17" s="33">
        <v>0.37157589190883122</v>
      </c>
      <c r="BI17" s="33">
        <f>'China EV uptake'!AE17</f>
        <v>-0.80350076210776766</v>
      </c>
      <c r="BJ17" s="33">
        <f>'Denmark EV uptake'!AQ26</f>
        <v>-0.63659861988560174</v>
      </c>
      <c r="BK17">
        <f>'Finland EV uptake'!AE17</f>
        <v>0.22572638737272932</v>
      </c>
      <c r="BL17" s="33">
        <f>'France EV uptake'!AE17</f>
        <v>-2.6459240408397577</v>
      </c>
      <c r="BM17" s="33">
        <f>'Germany EV uptake'!AE17</f>
        <v>-0.75580462195105547</v>
      </c>
      <c r="BN17" s="33">
        <f>'India EV uptake'!AE17</f>
        <v>-4.4728578944051396</v>
      </c>
      <c r="BO17" s="33">
        <f>'Ireland EV uptake'!AE17</f>
        <v>-2.2882939328952325</v>
      </c>
      <c r="BP17" s="33">
        <f>'Italy EV uptake'!AG17</f>
        <v>-3.3682029326156657</v>
      </c>
      <c r="BQ17" s="33">
        <f>'Japan EV uptake'!AG17</f>
        <v>-3.0545181342878842</v>
      </c>
      <c r="BR17" s="33">
        <f>'Korea EV uptake'!AF17</f>
        <v>-0.8229251989122659</v>
      </c>
      <c r="BS17" s="33">
        <f>'Netherlands logist Take-up'!AI95</f>
        <v>1.8260970263198972</v>
      </c>
      <c r="BT17" s="33">
        <f>'New Zealand EV uptake'!AF17</f>
        <v>-3.0016764284017423</v>
      </c>
      <c r="BU17" s="33">
        <f>'Spain EV uptake'!AF17</f>
        <v>-3.3624185102743991</v>
      </c>
      <c r="BV17" s="33">
        <f>'Sweden EV uptake'!AF17</f>
        <v>-0.27266655647475257</v>
      </c>
      <c r="BW17" s="33">
        <f>'Switzerland EV uptake'!AF17</f>
        <v>-3.9098089913784317</v>
      </c>
      <c r="BX17" s="33">
        <f>'USA EV uptake'!AF17</f>
        <v>-2.6114567137656897</v>
      </c>
      <c r="BY17" s="33">
        <f>'Rest Europe EV takeup'!S17</f>
        <v>-3.1346240647921437</v>
      </c>
      <c r="BZ17" s="33"/>
      <c r="CA17" s="33"/>
      <c r="CB17" s="33"/>
      <c r="CC17" s="33"/>
      <c r="CD17" s="33" t="s">
        <v>544</v>
      </c>
      <c r="CE17" s="83">
        <v>2019.2343404313958</v>
      </c>
      <c r="CF17" s="83">
        <v>2019.3325959403301</v>
      </c>
      <c r="CH17" s="13">
        <v>0.89751377068696248</v>
      </c>
      <c r="CI17">
        <v>0</v>
      </c>
      <c r="CJ17">
        <v>0</v>
      </c>
      <c r="CK17">
        <v>0</v>
      </c>
      <c r="CL17">
        <v>0</v>
      </c>
      <c r="CM17">
        <v>0</v>
      </c>
      <c r="CN17">
        <v>1</v>
      </c>
      <c r="CO17">
        <v>0</v>
      </c>
      <c r="CP17">
        <v>0</v>
      </c>
      <c r="CQ17">
        <v>0</v>
      </c>
      <c r="CR17">
        <v>0</v>
      </c>
      <c r="CS17">
        <v>0</v>
      </c>
      <c r="CT17">
        <v>0</v>
      </c>
      <c r="CU17">
        <v>0</v>
      </c>
      <c r="CV17">
        <v>0</v>
      </c>
      <c r="CW17">
        <v>0</v>
      </c>
    </row>
    <row r="18" spans="1:101">
      <c r="A18">
        <v>2023</v>
      </c>
      <c r="B18" s="13">
        <f>'Australia EV uptake'!C18</f>
        <v>3.4248861919283669</v>
      </c>
      <c r="C18" s="13">
        <f>'Global EV uptake'!C74</f>
        <v>23.06565896987421</v>
      </c>
      <c r="D18" s="72">
        <f>'Norway EV uptake with subs'!H28</f>
        <v>64.208595508841753</v>
      </c>
      <c r="E18" s="13">
        <f>'Austria EV uptake'!AB18</f>
        <v>15.005684880315728</v>
      </c>
      <c r="F18" s="13">
        <f>'Canada EV uptake'!AB18</f>
        <v>21.433378729579367</v>
      </c>
      <c r="G18" s="13">
        <f>'Belgian EV uptake'!AB18</f>
        <v>53.890192903355754</v>
      </c>
      <c r="H18" s="13">
        <f>'China EV uptake'!AB18</f>
        <v>27.311543855336645</v>
      </c>
      <c r="I18" s="13">
        <f>'Denmark EV uptake'!F27</f>
        <v>29.465364095738629</v>
      </c>
      <c r="J18" s="13">
        <f>'Denmark EV uptake'!E27</f>
        <v>7.0372486224496811</v>
      </c>
      <c r="K18" s="13">
        <f>'Finland EV uptake'!AB18</f>
        <v>46.558247297352999</v>
      </c>
      <c r="L18" s="13">
        <f>'France EV uptake'!AB18</f>
        <v>5.1327221164140759</v>
      </c>
      <c r="M18" s="13">
        <f>'Germany EV uptake'!AB18</f>
        <v>30.284768316160477</v>
      </c>
      <c r="N18" s="13">
        <f>'India EV uptake'!AB18</f>
        <v>0.88686210956113698</v>
      </c>
      <c r="O18" s="13">
        <f>'Ireland EV uptake'!AB18</f>
        <v>8.7376997223777266</v>
      </c>
      <c r="P18" s="13">
        <f>'Italy EV uptake'!AB19</f>
        <v>4.5190517009811133</v>
      </c>
      <c r="Q18" s="13">
        <f>'Japan EV uptake'!AB18</f>
        <v>3.4530934847635457</v>
      </c>
      <c r="R18" s="13">
        <f>'Korea EV uptake'!AB18</f>
        <v>30.400591171145539</v>
      </c>
      <c r="S18" s="13">
        <f>'Netherlands logist Take-up'!E96</f>
        <v>59.700218311068888</v>
      </c>
      <c r="T18" s="13">
        <f>'Netherlands logist Take-up'!O96</f>
        <v>33.510351531012979</v>
      </c>
      <c r="U18" s="13">
        <f>'New Zealand EV uptake'!AB18</f>
        <v>4.5550452562582526</v>
      </c>
      <c r="V18" s="13">
        <f>'Spain EV uptake'!AB18</f>
        <v>2.8053982735175036</v>
      </c>
      <c r="W18" s="13">
        <f>'Sweden EV uptake'!AB18</f>
        <v>35.024008658586574</v>
      </c>
      <c r="X18" s="13">
        <f>'Switzerland EV uptake'!AB18</f>
        <v>16.039974653046883</v>
      </c>
      <c r="Y18" s="13">
        <f>'British EV uptake'!AB18</f>
        <v>11.928830730580861</v>
      </c>
      <c r="Z18" s="13">
        <f>'USA EV uptake'!AB18</f>
        <v>5.5406634902843503</v>
      </c>
      <c r="AA18" s="13">
        <f>'Rest Europe EV takeup'!O18</f>
        <v>4.1248112477580197</v>
      </c>
      <c r="AC18">
        <v>2023</v>
      </c>
      <c r="AD18" s="13">
        <f>'Australia EV uptake'!E18</f>
        <v>4.1981355639089175</v>
      </c>
      <c r="AE18" s="13">
        <f>'Norway EV uptake with subs'!J28</f>
        <v>56.516079957945678</v>
      </c>
      <c r="AF18" s="13">
        <f>'Austria EV uptake'!C18</f>
        <v>9.6328139322572195</v>
      </c>
      <c r="AG18" s="13">
        <f>'Canada EV uptake'!C18</f>
        <v>11.538905194591692</v>
      </c>
      <c r="AH18" s="13">
        <f>'Belgian EV uptake'!C18</f>
        <v>15.834916959571382</v>
      </c>
      <c r="AI18" s="13">
        <f>'China EV uptake'!C18</f>
        <v>18.852198102158244</v>
      </c>
      <c r="AJ18" s="13">
        <f>'Denmark EV uptake'!O27</f>
        <v>4.7578194610155951</v>
      </c>
      <c r="AK18" s="13">
        <f>'Finland EV uptake'!C18</f>
        <v>28.678843507589971</v>
      </c>
      <c r="AL18" s="13">
        <f>'France EV uptake'!C18</f>
        <v>5.9952762265435036</v>
      </c>
      <c r="AM18" s="13">
        <f>'Germany EV uptake'!C18</f>
        <v>14.633056848848486</v>
      </c>
      <c r="AN18" s="13">
        <f>'India EV uptake'!C18</f>
        <v>1.0777449312835681</v>
      </c>
      <c r="AO18" s="13">
        <f>'Ireland EV uptake'!C18</f>
        <v>10.047581927165023</v>
      </c>
      <c r="AP18" s="13">
        <f>'Italy EV uptake'!C18</f>
        <v>3.2917415337684437</v>
      </c>
      <c r="AQ18" s="13">
        <f>'Japan EV uptake'!C18</f>
        <v>4.100342987975151</v>
      </c>
      <c r="AR18" s="13">
        <f>'Korea EV uptake'!C18</f>
        <v>15.305519087429673</v>
      </c>
      <c r="AS18" s="13">
        <f>'Netherlands logist Take-up'!F96</f>
        <v>16.219124474894382</v>
      </c>
      <c r="AT18" s="13">
        <f>'New Zealand EV uptake'!Y18</f>
        <v>5.7796746796103458</v>
      </c>
      <c r="AU18" s="13">
        <f>'Spain EV uptake'!C18</f>
        <v>3.9361466814945563</v>
      </c>
      <c r="AV18" s="13">
        <f>'Sweden EV uptake'!C18</f>
        <v>28.890772537291301</v>
      </c>
      <c r="AW18" s="13">
        <f>'Switzerland EV uptake'!C18</f>
        <v>13.969895796420333</v>
      </c>
      <c r="AX18" s="13">
        <f>'British EV uptake'!C18</f>
        <v>7.7213108086701068</v>
      </c>
      <c r="AY18" s="13">
        <f>'USA EV uptake'!C18</f>
        <v>4.2449709311987238</v>
      </c>
      <c r="AZ18" s="13">
        <f>'Rest Europe EV takeup'!C18</f>
        <v>3.235463946736632</v>
      </c>
      <c r="BB18">
        <v>2023</v>
      </c>
      <c r="BC18" s="33">
        <f>'Australia EV uptake'!AH18</f>
        <v>-2.8891895497605873</v>
      </c>
      <c r="BD18" s="33">
        <f>'Global EV uptake'!G74</f>
        <v>-0.5977601995104791</v>
      </c>
      <c r="BE18" s="33">
        <f>'Norway EV uptake with subs'!AN28</f>
        <v>4.3960831632578499</v>
      </c>
      <c r="BF18" s="33">
        <v>-0.86321942892074155</v>
      </c>
      <c r="BG18" s="33">
        <v>-1.1325600096048749</v>
      </c>
      <c r="BH18" s="33">
        <v>1.0617647899805096</v>
      </c>
      <c r="BI18" s="33">
        <f>'China EV uptake'!AE18</f>
        <v>-0.32204437984680823</v>
      </c>
      <c r="BJ18" s="33">
        <f>'Denmark EV uptake'!AQ27</f>
        <v>-0.18729240500750688</v>
      </c>
      <c r="BK18">
        <f>'Finland EV uptake'!AE18</f>
        <v>0.92608689619536477</v>
      </c>
      <c r="BL18" s="33">
        <f>'France EV uptake'!AE18</f>
        <v>-2.4564939313533425</v>
      </c>
      <c r="BM18" s="33">
        <f>'Germany EV uptake'!AE18</f>
        <v>-0.13653365378058879</v>
      </c>
      <c r="BN18" s="33">
        <f>'India EV uptake'!AE18</f>
        <v>-4.2807150680618573</v>
      </c>
      <c r="BO18" s="33">
        <f>'Ireland EV uptake'!AE18</f>
        <v>-1.8623777234138847</v>
      </c>
      <c r="BP18" s="33">
        <f>'Italy EV uptake'!AG18</f>
        <v>-2.9811145863731427</v>
      </c>
      <c r="BQ18" s="33">
        <f>'Japan EV uptake'!AG18</f>
        <v>-2.8805291001315672</v>
      </c>
      <c r="BR18" s="33">
        <f>'Korea EV uptake'!AF18</f>
        <v>-0.12937454140409699</v>
      </c>
      <c r="BS18" s="33">
        <f>'Netherlands logist Take-up'!AI96</f>
        <v>2.4216700482516949</v>
      </c>
      <c r="BT18" s="33">
        <f>'New Zealand EV uptake'!AF18</f>
        <v>-2.5854976457608911</v>
      </c>
      <c r="BU18" s="33">
        <f>'Spain EV uptake'!AF18</f>
        <v>-3.0987226911262269</v>
      </c>
      <c r="BV18" s="33">
        <f>'Sweden EV uptake'!AF18</f>
        <v>0.15563701535843144</v>
      </c>
      <c r="BW18" s="33">
        <f>'Switzerland EV uptake'!AF18</f>
        <v>-3.9098089913784317</v>
      </c>
      <c r="BX18" s="33">
        <f>'USA EV uptake'!AF18</f>
        <v>-2.3731784017315598</v>
      </c>
      <c r="BY18" s="33">
        <f>'Rest Europe EV takeup'!S18</f>
        <v>-2.6918054214303506</v>
      </c>
      <c r="BZ18" s="33"/>
      <c r="CA18" s="33"/>
      <c r="CB18" s="33"/>
      <c r="CC18" s="33"/>
      <c r="CD18" s="33" t="s">
        <v>684</v>
      </c>
      <c r="CE18" s="83">
        <v>2020.9080263450765</v>
      </c>
      <c r="CF18" s="83">
        <v>2021.0024974018199</v>
      </c>
      <c r="CH18" s="13">
        <v>1.2060917913671696</v>
      </c>
      <c r="CI18">
        <v>0</v>
      </c>
      <c r="CJ18">
        <v>0</v>
      </c>
      <c r="CK18">
        <v>0</v>
      </c>
      <c r="CL18">
        <v>0</v>
      </c>
      <c r="CM18">
        <v>0</v>
      </c>
      <c r="CN18">
        <v>0</v>
      </c>
      <c r="CO18">
        <v>1</v>
      </c>
      <c r="CP18">
        <v>0</v>
      </c>
      <c r="CQ18">
        <v>0</v>
      </c>
      <c r="CR18">
        <v>0</v>
      </c>
      <c r="CS18">
        <v>0</v>
      </c>
      <c r="CT18">
        <v>0</v>
      </c>
      <c r="CU18">
        <v>0</v>
      </c>
      <c r="CV18">
        <v>0</v>
      </c>
      <c r="CW18">
        <v>0</v>
      </c>
    </row>
    <row r="19" spans="1:101">
      <c r="A19">
        <v>2024</v>
      </c>
      <c r="B19" s="13">
        <f>'Australia EV uptake'!C19</f>
        <v>5.1484202707284563</v>
      </c>
      <c r="C19" s="13">
        <f>'Global EV uptake'!C75</f>
        <v>30.766875783016317</v>
      </c>
      <c r="D19" s="72">
        <f>'Norway EV uptake with subs'!H29</f>
        <v>64.589249257811147</v>
      </c>
      <c r="E19" s="13">
        <f>'Austria EV uptake'!AB19</f>
        <v>19.982150823142476</v>
      </c>
      <c r="F19" s="13">
        <f>'Canada EV uptake'!AB19</f>
        <v>28.049514477473753</v>
      </c>
      <c r="G19" s="13">
        <f>'Belgian EV uptake'!AB19</f>
        <v>59.219670714792123</v>
      </c>
      <c r="H19" s="13">
        <f>'China EV uptake'!AB19</f>
        <v>35.084973204563525</v>
      </c>
      <c r="I19" s="13">
        <f>'Denmark EV uptake'!F28</f>
        <v>36.733532308131018</v>
      </c>
      <c r="J19" s="13">
        <f>'Denmark EV uptake'!E28</f>
        <v>11.087278695987386</v>
      </c>
      <c r="K19" s="13">
        <f>'Finland EV uptake'!AB19</f>
        <v>54.319355186406916</v>
      </c>
      <c r="L19" s="13">
        <f>'France EV uptake'!AB19</f>
        <v>6.1027007251192567</v>
      </c>
      <c r="M19" s="13">
        <f>'Germany EV uptake'!AB19</f>
        <v>40.195612796933077</v>
      </c>
      <c r="N19" s="13">
        <f>'India EV uptake'!AB19</f>
        <v>1.0716406896356336</v>
      </c>
      <c r="O19" s="13">
        <f>'Ireland EV uptake'!AB19</f>
        <v>12.486103600758348</v>
      </c>
      <c r="P19" s="13">
        <f>'Italy EV uptake'!AB20</f>
        <v>6.4433974625468542</v>
      </c>
      <c r="Q19" s="13">
        <f>'Japan EV uptake'!AB19</f>
        <v>4.0682552925428244</v>
      </c>
      <c r="R19" s="13">
        <f>'Korea EV uptake'!AB19</f>
        <v>41.432186981588991</v>
      </c>
      <c r="S19" s="13">
        <f>'Netherlands logist Take-up'!E97</f>
        <v>61.96755891259167</v>
      </c>
      <c r="T19" s="13">
        <f>'Netherlands logist Take-up'!O97</f>
        <v>40.985018952924911</v>
      </c>
      <c r="U19" s="13">
        <f>'New Zealand EV uptake'!AB19</f>
        <v>6.6650803900395221</v>
      </c>
      <c r="V19" s="13">
        <f>'Spain EV uptake'!AB19</f>
        <v>3.6049310682133533</v>
      </c>
      <c r="W19" s="13">
        <f>'Sweden EV uptake'!AB19</f>
        <v>41.728285980140683</v>
      </c>
      <c r="X19" s="13">
        <f>'Switzerland EV uptake'!AB19</f>
        <v>20.617795513239166</v>
      </c>
      <c r="Y19" s="13">
        <f>'British EV uptake'!AB19</f>
        <v>15.714524034922066</v>
      </c>
      <c r="Z19" s="13">
        <f>'USA EV uptake'!AB19</f>
        <v>6.8737959202792842</v>
      </c>
      <c r="AA19" s="13">
        <f>'Rest Europe EV takeup'!O19</f>
        <v>6.2033984467536163</v>
      </c>
      <c r="AC19">
        <v>2024</v>
      </c>
      <c r="AD19" s="13">
        <f>'Australia EV uptake'!E19</f>
        <v>5.8798767082036187</v>
      </c>
      <c r="AE19" s="13">
        <f>'Norway EV uptake with subs'!J29</f>
        <v>59.986107797620143</v>
      </c>
      <c r="AF19" s="13">
        <f>'Austria EV uptake'!C19</f>
        <v>11.674811535506359</v>
      </c>
      <c r="AG19" s="13">
        <f>'Canada EV uptake'!C19</f>
        <v>14.73318377422464</v>
      </c>
      <c r="AH19" s="13">
        <f>'Belgian EV uptake'!C19</f>
        <v>20.652276048250862</v>
      </c>
      <c r="AI19" s="13">
        <f>'China EV uptake'!C19</f>
        <v>23.760830088439658</v>
      </c>
      <c r="AJ19" s="13">
        <f>'Denmark EV uptake'!O28</f>
        <v>6.8943043346632562</v>
      </c>
      <c r="AK19" s="13">
        <f>'Finland EV uptake'!C19</f>
        <v>34.355952049744346</v>
      </c>
      <c r="AL19" s="13">
        <f>'France EV uptake'!C19</f>
        <v>7.3320712920762068</v>
      </c>
      <c r="AM19" s="13">
        <f>'Germany EV uptake'!C19</f>
        <v>18.534462224743553</v>
      </c>
      <c r="AN19" s="13">
        <f>'India EV uptake'!C19</f>
        <v>1.3569514067810817</v>
      </c>
      <c r="AO19" s="13">
        <f>'Ireland EV uptake'!C19</f>
        <v>13.124338124799181</v>
      </c>
      <c r="AP19" s="13">
        <f>'Italy EV uptake'!C19</f>
        <v>4.5309701300095435</v>
      </c>
      <c r="AQ19" s="13">
        <f>'Japan EV uptake'!C19</f>
        <v>4.9577589275349983</v>
      </c>
      <c r="AR19" s="13">
        <f>'Korea EV uptake'!C19</f>
        <v>20.828298895684373</v>
      </c>
      <c r="AS19" s="13">
        <f>'Netherlands logist Take-up'!F97</f>
        <v>18.679487431988754</v>
      </c>
      <c r="AT19" s="13">
        <f>'New Zealand EV uptake'!Y19</f>
        <v>7.9199890011022029</v>
      </c>
      <c r="AU19" s="13">
        <f>'Spain EV uptake'!C19</f>
        <v>5.2243190122691248</v>
      </c>
      <c r="AV19" s="13">
        <f>'Sweden EV uptake'!C19</f>
        <v>33.551690175248289</v>
      </c>
      <c r="AW19" s="13">
        <f>'Switzerland EV uptake'!C19</f>
        <v>17.132598991346192</v>
      </c>
      <c r="AX19" s="13">
        <f>'British EV uptake'!C19</f>
        <v>9.8172621104326403</v>
      </c>
      <c r="AY19" s="13">
        <f>'USA EV uptake'!C19</f>
        <v>5.2627084369068342</v>
      </c>
      <c r="AZ19" s="13">
        <f>'Rest Europe EV takeup'!C19</f>
        <v>4.3373109947000348</v>
      </c>
      <c r="BB19">
        <v>2024</v>
      </c>
      <c r="BC19" s="33">
        <f>'Australia EV uptake'!AH19</f>
        <v>-2.453177902391511</v>
      </c>
      <c r="BD19" s="33">
        <f>'Global EV uptake'!G75</f>
        <v>-0.10675507002299356</v>
      </c>
      <c r="BE19" s="33">
        <f>'Norway EV uptake with subs'!AN29</f>
        <v>5.0578166919364582</v>
      </c>
      <c r="BF19" s="33">
        <v>-0.4399249982172222</v>
      </c>
      <c r="BG19" s="33">
        <v>-0.73919275091124348</v>
      </c>
      <c r="BH19" s="33">
        <v>1.751953688052188</v>
      </c>
      <c r="BI19" s="33">
        <f>'China EV uptake'!AE19</f>
        <v>0.15941200241415121</v>
      </c>
      <c r="BJ19" s="33">
        <f>'Denmark EV uptake'!AQ28</f>
        <v>0.26201380987058887</v>
      </c>
      <c r="BK19">
        <f>'Finland EV uptake'!AE19</f>
        <v>1.6264474050180002</v>
      </c>
      <c r="BL19" s="33">
        <f>'France EV uptake'!AE19</f>
        <v>-2.2670638218669268</v>
      </c>
      <c r="BM19" s="33">
        <f>'Germany EV uptake'!AE19</f>
        <v>0.4827373143898761</v>
      </c>
      <c r="BN19" s="33">
        <f>'India EV uptake'!AE19</f>
        <v>-4.088572241718575</v>
      </c>
      <c r="BO19" s="33">
        <f>'Ireland EV uptake'!AE19</f>
        <v>-1.436461513932537</v>
      </c>
      <c r="BP19" s="33">
        <f>'Italy EV uptake'!AG19</f>
        <v>-2.5940262401306189</v>
      </c>
      <c r="BQ19" s="33">
        <f>'Japan EV uptake'!AG19</f>
        <v>-2.7065400659752501</v>
      </c>
      <c r="BR19" s="33">
        <f>'Korea EV uptake'!AF19</f>
        <v>0.56417611610407015</v>
      </c>
      <c r="BS19" s="33">
        <f>'Netherlands logist Take-up'!AI97</f>
        <v>3.0172430701834934</v>
      </c>
      <c r="BT19" s="33">
        <f>'New Zealand EV uptake'!AF19</f>
        <v>-2.16931886312004</v>
      </c>
      <c r="BU19" s="33">
        <f>'Spain EV uptake'!AF19</f>
        <v>-2.8350268719780543</v>
      </c>
      <c r="BV19" s="33">
        <f>'Sweden EV uptake'!AF19</f>
        <v>0.58394058719161634</v>
      </c>
      <c r="BW19" s="33">
        <f>'Switzerland EV uptake'!AF19</f>
        <v>-3.9098089913784317</v>
      </c>
      <c r="BX19" s="33">
        <f>'USA EV uptake'!AF19</f>
        <v>-2.1349000896974295</v>
      </c>
      <c r="BY19" s="33">
        <f>'Rest Europe EV takeup'!S19</f>
        <v>-2.2489867780685575</v>
      </c>
      <c r="BZ19" s="33"/>
      <c r="CA19" s="33"/>
      <c r="CB19" s="33"/>
      <c r="CC19" s="33"/>
      <c r="CD19" s="33" t="s">
        <v>685</v>
      </c>
      <c r="CE19" s="83">
        <v>2014.5322870015141</v>
      </c>
      <c r="CF19" s="83">
        <v>2015.1574972587619</v>
      </c>
      <c r="CH19" s="13">
        <v>0.84031281807526137</v>
      </c>
      <c r="CI19">
        <v>0</v>
      </c>
      <c r="CJ19">
        <v>0</v>
      </c>
      <c r="CK19">
        <v>0</v>
      </c>
      <c r="CL19">
        <v>0</v>
      </c>
      <c r="CM19">
        <v>0</v>
      </c>
      <c r="CN19">
        <v>0</v>
      </c>
      <c r="CO19">
        <v>0</v>
      </c>
      <c r="CP19">
        <v>0</v>
      </c>
      <c r="CQ19">
        <v>0</v>
      </c>
      <c r="CR19">
        <v>0</v>
      </c>
      <c r="CS19">
        <v>0</v>
      </c>
      <c r="CT19">
        <v>0</v>
      </c>
      <c r="CU19">
        <v>0</v>
      </c>
      <c r="CV19">
        <v>0</v>
      </c>
      <c r="CW19">
        <v>0</v>
      </c>
    </row>
    <row r="20" spans="1:101">
      <c r="A20">
        <v>2025</v>
      </c>
      <c r="B20" s="13">
        <f>'Australia EV uptake'!C20</f>
        <v>7.6318010741069422</v>
      </c>
      <c r="C20" s="13">
        <f>'Global EV uptake'!C76</f>
        <v>38.544427268869043</v>
      </c>
      <c r="D20" s="72">
        <f>'Norway EV uptake with subs'!H30</f>
        <v>64.78742039856111</v>
      </c>
      <c r="E20" s="13">
        <f>'Austria EV uptake'!AB20</f>
        <v>25.758672365867149</v>
      </c>
      <c r="F20" s="13">
        <f>'Canada EV uptake'!AB20</f>
        <v>35.064221343803105</v>
      </c>
      <c r="G20" s="13">
        <f>'Belgian EV uptake'!AB20</f>
        <v>62.128762575258762</v>
      </c>
      <c r="H20" s="13">
        <f>'China EV uptake'!AB20</f>
        <v>42.571732694407068</v>
      </c>
      <c r="I20" s="13">
        <f>'Denmark EV uptake'!F29</f>
        <v>43.595030140274922</v>
      </c>
      <c r="J20" s="13">
        <f>'Denmark EV uptake'!E29</f>
        <v>16.291431449478718</v>
      </c>
      <c r="K20" s="13">
        <f>'Finland EV uptake'!AB20</f>
        <v>59.219748667996228</v>
      </c>
      <c r="L20" s="13">
        <f>'France EV uptake'!AB20</f>
        <v>7.2338362019303668</v>
      </c>
      <c r="M20" s="13">
        <f>'Germany EV uptake'!AB20</f>
        <v>48.791353526737112</v>
      </c>
      <c r="N20" s="13">
        <f>'India EV uptake'!AB20</f>
        <v>1.2941409573841982</v>
      </c>
      <c r="O20" s="13">
        <f>'Ireland EV uptake'!AB20</f>
        <v>17.346754578607644</v>
      </c>
      <c r="P20" s="13">
        <f>'Italy EV uptake'!AB21</f>
        <v>9.0643752569605045</v>
      </c>
      <c r="Q20" s="13">
        <f>'Japan EV uptake'!AB20</f>
        <v>4.7844877499604683</v>
      </c>
      <c r="R20" s="13">
        <f>'Korea EV uptake'!AB20</f>
        <v>50.611244860494736</v>
      </c>
      <c r="S20" s="13">
        <f>'Netherlands logist Take-up'!E98</f>
        <v>63.292632284816008</v>
      </c>
      <c r="T20" s="13">
        <f>'Netherlands logist Take-up'!O98</f>
        <v>47.796708074427542</v>
      </c>
      <c r="U20" s="13">
        <f>'New Zealand EV uptake'!AB20</f>
        <v>9.5973526779353122</v>
      </c>
      <c r="V20" s="13">
        <f>'Spain EV uptake'!AB20</f>
        <v>4.6154193572990128</v>
      </c>
      <c r="W20" s="13">
        <f>'Sweden EV uptake'!AB20</f>
        <v>47.674841827857293</v>
      </c>
      <c r="X20" s="13">
        <f>'Switzerland EV uptake'!AB20</f>
        <v>25.813294105753002</v>
      </c>
      <c r="Y20" s="13">
        <f>'British EV uptake'!AB20</f>
        <v>20.243366743568988</v>
      </c>
      <c r="Z20" s="13">
        <f>'USA EV uptake'!AB20</f>
        <v>8.4819345291881394</v>
      </c>
      <c r="AA20" s="13">
        <f>'Rest Europe EV takeup'!O20</f>
        <v>9.1716221571704377</v>
      </c>
      <c r="AC20">
        <v>2025</v>
      </c>
      <c r="AD20" s="13">
        <f>'Australia EV uptake'!E20</f>
        <v>8.0223170470678973</v>
      </c>
      <c r="AE20" s="13">
        <f>'Norway EV uptake with subs'!J30</f>
        <v>62.244089960793424</v>
      </c>
      <c r="AF20" s="13">
        <f>'Austria EV uptake'!C20</f>
        <v>14.025627871187837</v>
      </c>
      <c r="AG20" s="13">
        <f>'Canada EV uptake'!C20</f>
        <v>18.62032881779167</v>
      </c>
      <c r="AH20" s="13">
        <f>'Belgian EV uptake'!C20</f>
        <v>26.679494955090632</v>
      </c>
      <c r="AI20" s="13">
        <f>'China EV uptake'!C20</f>
        <v>29.477995640258456</v>
      </c>
      <c r="AJ20" s="13">
        <f>'Denmark EV uptake'!O29</f>
        <v>9.4585081823171482</v>
      </c>
      <c r="AK20" s="13">
        <f>'Finland EV uptake'!C20</f>
        <v>40.113725422452497</v>
      </c>
      <c r="AL20" s="13">
        <f>'France EV uptake'!C20</f>
        <v>8.9330173444295422</v>
      </c>
      <c r="AM20" s="13">
        <f>'Germany EV uptake'!C20</f>
        <v>22.839043393520146</v>
      </c>
      <c r="AN20" s="13">
        <f>'India EV uptake'!C20</f>
        <v>1.7103042924540723</v>
      </c>
      <c r="AO20" s="13">
        <f>'Ireland EV uptake'!C20</f>
        <v>16.872079181313538</v>
      </c>
      <c r="AP20" s="13">
        <f>'Italy EV uptake'!C20</f>
        <v>6.0900009554144026</v>
      </c>
      <c r="AQ20" s="13">
        <f>'Japan EV uptake'!C20</f>
        <v>5.9919155617124007</v>
      </c>
      <c r="AR20" s="13">
        <f>'Korea EV uptake'!C20</f>
        <v>27.335747293277198</v>
      </c>
      <c r="AS20" s="13">
        <f>'Netherlands logist Take-up'!F98</f>
        <v>21.332290501130679</v>
      </c>
      <c r="AT20" s="13">
        <f>'New Zealand EV uptake'!Y20</f>
        <v>10.561998939520437</v>
      </c>
      <c r="AU20" s="13">
        <f>'Spain EV uptake'!C20</f>
        <v>6.892208741951988</v>
      </c>
      <c r="AV20" s="13">
        <f>'Sweden EV uptake'!C20</f>
        <v>38.357748742352179</v>
      </c>
      <c r="AW20" s="13">
        <f>'Switzerland EV uptake'!C20</f>
        <v>20.673049593959433</v>
      </c>
      <c r="AX20" s="13">
        <f>'British EV uptake'!C20</f>
        <v>12.38227248314139</v>
      </c>
      <c r="AY20" s="13">
        <f>'USA EV uptake'!C20</f>
        <v>6.6362512235749405</v>
      </c>
      <c r="AZ20" s="13">
        <f>'Rest Europe EV takeup'!C20</f>
        <v>5.7460928041321813</v>
      </c>
      <c r="BB20">
        <v>2025</v>
      </c>
      <c r="BC20" s="33">
        <f>'Australia EV uptake'!AH20</f>
        <v>-2.0171662550224347</v>
      </c>
      <c r="BD20" s="33">
        <f>'Global EV uptake'!G76</f>
        <v>0.37634470565479761</v>
      </c>
      <c r="BE20" s="33">
        <f>'Norway EV uptake with subs'!AN30</f>
        <v>5.7195502206150683</v>
      </c>
      <c r="BF20" s="33">
        <v>-1.6630567513701955E-2</v>
      </c>
      <c r="BG20" s="33">
        <v>-0.34582549221761205</v>
      </c>
      <c r="BH20" s="33">
        <v>2.4421425861238664</v>
      </c>
      <c r="BI20" s="33">
        <f>'China EV uptake'!AE20</f>
        <v>0.64086838467511065</v>
      </c>
      <c r="BJ20" s="33">
        <f>'Denmark EV uptake'!AQ29</f>
        <v>0.71132002474868372</v>
      </c>
      <c r="BK20">
        <f>'Finland EV uptake'!AE20</f>
        <v>2.3268079138406375</v>
      </c>
      <c r="BL20" s="33">
        <f>'France EV uptake'!AE20</f>
        <v>-2.0776337123805115</v>
      </c>
      <c r="BM20" s="33">
        <f>'Germany EV uptake'!AE20</f>
        <v>1.102008282560341</v>
      </c>
      <c r="BN20" s="33">
        <f>'India EV uptake'!AE20</f>
        <v>-3.8964294153752936</v>
      </c>
      <c r="BO20" s="33">
        <f>'Ireland EV uptake'!AE20</f>
        <v>-1.0105453044511901</v>
      </c>
      <c r="BP20" s="33">
        <f>'Italy EV uptake'!AG20</f>
        <v>-2.2069378938880959</v>
      </c>
      <c r="BQ20" s="33">
        <f>'Japan EV uptake'!AG20</f>
        <v>-2.532551031818933</v>
      </c>
      <c r="BR20" s="33">
        <f>'Korea EV uptake'!AF20</f>
        <v>1.2577267736122391</v>
      </c>
      <c r="BS20" s="33">
        <f>'Netherlands logist Take-up'!AI98</f>
        <v>3.6128160921152919</v>
      </c>
      <c r="BT20" s="33">
        <f>'New Zealand EV uptake'!AF20</f>
        <v>-1.7531400804791888</v>
      </c>
      <c r="BU20" s="33">
        <f>'Spain EV uptake'!AF20</f>
        <v>-2.5713310528298816</v>
      </c>
      <c r="BV20" s="33">
        <f>'Sweden EV uptake'!AF20</f>
        <v>1.0122441590248012</v>
      </c>
      <c r="BW20" s="33">
        <f>'Switzerland EV uptake'!AF20</f>
        <v>-3.9098089913784317</v>
      </c>
      <c r="BX20" s="33">
        <f>'USA EV uptake'!AF20</f>
        <v>-1.8966217776632996</v>
      </c>
      <c r="BY20" s="33">
        <f>'Rest Europe EV takeup'!S20</f>
        <v>-1.8061681347067644</v>
      </c>
      <c r="BZ20" s="33"/>
      <c r="CA20" s="33"/>
      <c r="CB20" s="33"/>
      <c r="CC20" s="33"/>
      <c r="CD20" s="33" t="s">
        <v>546</v>
      </c>
      <c r="CE20" s="83">
        <v>2016.0623384192609</v>
      </c>
      <c r="CF20" s="83">
        <v>2016.1561619791923</v>
      </c>
      <c r="CH20" s="13">
        <v>1.1280414250830448</v>
      </c>
      <c r="CI20">
        <v>0</v>
      </c>
      <c r="CJ20">
        <v>0</v>
      </c>
      <c r="CK20">
        <v>0</v>
      </c>
      <c r="CL20">
        <v>0</v>
      </c>
      <c r="CM20">
        <v>0</v>
      </c>
      <c r="CN20">
        <v>0</v>
      </c>
      <c r="CO20">
        <v>0</v>
      </c>
      <c r="CP20">
        <v>1</v>
      </c>
      <c r="CQ20">
        <v>0</v>
      </c>
      <c r="CR20">
        <v>0</v>
      </c>
      <c r="CS20">
        <v>0</v>
      </c>
      <c r="CT20">
        <v>0</v>
      </c>
      <c r="CU20">
        <v>0</v>
      </c>
      <c r="CV20">
        <v>0</v>
      </c>
      <c r="CW20">
        <v>0</v>
      </c>
    </row>
    <row r="21" spans="1:101">
      <c r="A21">
        <v>2026</v>
      </c>
      <c r="B21" s="13">
        <f>'Australia EV uptake'!C21</f>
        <v>11.091081532193469</v>
      </c>
      <c r="C21" s="13">
        <f>'Global EV uptake'!C77</f>
        <v>45.825790417369525</v>
      </c>
      <c r="D21" s="72">
        <f>'Norway EV uptake with subs'!H31</f>
        <v>64.890144344344137</v>
      </c>
      <c r="E21" s="13">
        <f>'Austria EV uptake'!AB21</f>
        <v>32.017433710081967</v>
      </c>
      <c r="F21" s="13">
        <f>'Canada EV uptake'!AB21</f>
        <v>41.846485993743983</v>
      </c>
      <c r="G21" s="13">
        <f>'Belgian EV uptake'!AB21</f>
        <v>63.608192199633578</v>
      </c>
      <c r="H21" s="13">
        <f>'China EV uptake'!AB21</f>
        <v>49.037279341738675</v>
      </c>
      <c r="I21" s="13">
        <f>'Denmark EV uptake'!F30</f>
        <v>49.494021669546953</v>
      </c>
      <c r="J21" s="13">
        <f>'Denmark EV uptake'!E30</f>
        <v>22.589953322346989</v>
      </c>
      <c r="K21" s="13">
        <f>'Finland EV uptake'!AB21</f>
        <v>61.996124029956285</v>
      </c>
      <c r="L21" s="13">
        <f>'France EV uptake'!AB21</f>
        <v>8.5442128980735639</v>
      </c>
      <c r="M21" s="13">
        <f>'Germany EV uptake'!AB21</f>
        <v>55.139080005240515</v>
      </c>
      <c r="N21" s="13">
        <f>'India EV uptake'!AB21</f>
        <v>1.5617094795796753</v>
      </c>
      <c r="O21" s="13">
        <f>'Ireland EV uptake'!AB21</f>
        <v>23.261428838728147</v>
      </c>
      <c r="P21" s="13">
        <f>'Italy EV uptake'!AB22</f>
        <v>12.523473405238571</v>
      </c>
      <c r="Q21" s="13">
        <f>'Japan EV uptake'!AB21</f>
        <v>5.6151953688923006</v>
      </c>
      <c r="R21" s="13">
        <f>'Korea EV uptake'!AB21</f>
        <v>56.913081282143523</v>
      </c>
      <c r="S21" s="13">
        <f>'Netherlands logist Take-up'!E99</f>
        <v>64.047592860998989</v>
      </c>
      <c r="T21" s="13">
        <f>'Netherlands logist Take-up'!O99</f>
        <v>53.622947215691134</v>
      </c>
      <c r="U21" s="13">
        <f>'New Zealand EV uptake'!AB21</f>
        <v>13.520664050956489</v>
      </c>
      <c r="V21" s="13">
        <f>'Spain EV uptake'!AB21</f>
        <v>5.8820180433334794</v>
      </c>
      <c r="W21" s="13">
        <f>'Sweden EV uptake'!AB21</f>
        <v>52.555064664009244</v>
      </c>
      <c r="X21" s="13">
        <f>'Switzerland EV uptake'!AB21</f>
        <v>31.39198763842187</v>
      </c>
      <c r="Y21" s="13">
        <f>'British EV uptake'!AB21</f>
        <v>25.404627196324107</v>
      </c>
      <c r="Z21" s="13">
        <f>'USA EV uptake'!AB21</f>
        <v>10.39899200101924</v>
      </c>
      <c r="AA21" s="13">
        <f>'Rest Europe EV takeup'!O21</f>
        <v>13.240269993680185</v>
      </c>
      <c r="AC21">
        <v>2026</v>
      </c>
      <c r="AD21" s="13">
        <f>'Australia EV uptake'!E21</f>
        <v>10.641364340714375</v>
      </c>
      <c r="AE21" s="13">
        <f>'Norway EV uptake with subs'!J31</f>
        <v>63.589614491396411</v>
      </c>
      <c r="AF21" s="13">
        <f>'Austria EV uptake'!C21</f>
        <v>16.735019057864029</v>
      </c>
      <c r="AG21" s="13">
        <f>'Canada EV uptake'!C21</f>
        <v>22.928622096889296</v>
      </c>
      <c r="AH21" s="13">
        <f>'Belgian EV uptake'!C21</f>
        <v>32.916725584360151</v>
      </c>
      <c r="AI21" s="13">
        <f>'China EV uptake'!C21</f>
        <v>35.985260366750502</v>
      </c>
      <c r="AJ21" s="13">
        <f>'Denmark EV uptake'!O30</f>
        <v>12.50206484745504</v>
      </c>
      <c r="AK21" s="13">
        <f>'Finland EV uptake'!C21</f>
        <v>45.690626869820264</v>
      </c>
      <c r="AL21" s="13">
        <f>'France EV uptake'!C21</f>
        <v>10.818405824689448</v>
      </c>
      <c r="AM21" s="13">
        <f>'Germany EV uptake'!C21</f>
        <v>27.385803410641039</v>
      </c>
      <c r="AN21" s="13">
        <f>'India EV uptake'!C21</f>
        <v>2.151403489951798</v>
      </c>
      <c r="AO21" s="13">
        <f>'Ireland EV uptake'!C21</f>
        <v>21.314274226264978</v>
      </c>
      <c r="AP21" s="13">
        <f>'Italy EV uptake'!C21</f>
        <v>8.0091841501325991</v>
      </c>
      <c r="AQ21" s="13">
        <f>'Japan EV uptake'!C21</f>
        <v>7.2018763661100786</v>
      </c>
      <c r="AR21" s="13">
        <f>'Korea EV uptake'!C21</f>
        <v>34.429408480020584</v>
      </c>
      <c r="AS21" s="13">
        <f>'Netherlands logist Take-up'!F99</f>
        <v>24.643019090423234</v>
      </c>
      <c r="AT21" s="13">
        <f>'New Zealand EV uptake'!Y21</f>
        <v>13.547688579025499</v>
      </c>
      <c r="AU21" s="13">
        <f>'Spain EV uptake'!C21</f>
        <v>8.9619116532738996</v>
      </c>
      <c r="AV21" s="13">
        <f>'Sweden EV uptake'!C21</f>
        <v>43.071236332996399</v>
      </c>
      <c r="AW21" s="13">
        <f>'Switzerland EV uptake'!C21</f>
        <v>24.573267650361963</v>
      </c>
      <c r="AX21" s="13">
        <f>'British EV uptake'!C21</f>
        <v>15.326228918126082</v>
      </c>
      <c r="AY21" s="13">
        <f>'USA EV uptake'!C21</f>
        <v>8.3751662262900783</v>
      </c>
      <c r="AZ21" s="13">
        <f>'Rest Europe EV takeup'!C21</f>
        <v>7.5123484183964866</v>
      </c>
      <c r="BB21">
        <v>2026</v>
      </c>
      <c r="BC21" s="33">
        <f>'Australia EV uptake'!AH21</f>
        <v>-1.5811546076533585</v>
      </c>
      <c r="BD21" s="33">
        <f>'Global EV uptake'!G77</f>
        <v>0.87128091702412858</v>
      </c>
      <c r="BE21" s="33">
        <f>'Norway EV uptake with subs'!AN31</f>
        <v>6.3812837492936785</v>
      </c>
      <c r="BF21" s="33">
        <v>0.40666386318981829</v>
      </c>
      <c r="BG21" s="33">
        <v>4.7541766476019376E-2</v>
      </c>
      <c r="BH21" s="33">
        <v>3.1323314841955447</v>
      </c>
      <c r="BI21" s="33">
        <f>'China EV uptake'!AE21</f>
        <v>1.1223247669360692</v>
      </c>
      <c r="BJ21" s="33">
        <f>'Denmark EV uptake'!AQ30</f>
        <v>1.1606262396267786</v>
      </c>
      <c r="BK21">
        <f>'Finland EV uptake'!AE21</f>
        <v>3.0271684226632747</v>
      </c>
      <c r="BL21" s="33">
        <f>'France EV uptake'!AE21</f>
        <v>-1.8882036028940963</v>
      </c>
      <c r="BM21" s="33">
        <f>'Germany EV uptake'!AE21</f>
        <v>1.7212792507308059</v>
      </c>
      <c r="BN21" s="33">
        <f>'India EV uptake'!AE21</f>
        <v>-3.7042865890320118</v>
      </c>
      <c r="BO21" s="33">
        <f>'Ireland EV uptake'!AE21</f>
        <v>-0.58462909496984317</v>
      </c>
      <c r="BP21" s="33">
        <f>'Italy EV uptake'!AG21</f>
        <v>-1.8198495476455729</v>
      </c>
      <c r="BQ21" s="33">
        <f>'Japan EV uptake'!AG21</f>
        <v>-2.358561997662616</v>
      </c>
      <c r="BR21" s="33">
        <f>'Korea EV uptake'!AF21</f>
        <v>1.951277431120408</v>
      </c>
      <c r="BS21" s="33">
        <f>'Netherlands logist Take-up'!AI99</f>
        <v>4.2083891140470904</v>
      </c>
      <c r="BT21" s="33">
        <f>'New Zealand EV uptake'!AF21</f>
        <v>-1.3369612978383376</v>
      </c>
      <c r="BU21" s="33">
        <f>'Spain EV uptake'!AF21</f>
        <v>-2.307635233681709</v>
      </c>
      <c r="BV21" s="33">
        <f>'Sweden EV uptake'!AF21</f>
        <v>1.4405477308579862</v>
      </c>
      <c r="BW21" s="33">
        <f>'Switzerland EV uptake'!AF21</f>
        <v>-3.9098089913784317</v>
      </c>
      <c r="BX21" s="33">
        <f>'USA EV uptake'!AF21</f>
        <v>-1.6583434656291693</v>
      </c>
      <c r="BY21" s="33">
        <f>'Rest Europe EV takeup'!S21</f>
        <v>-1.3633494913449713</v>
      </c>
      <c r="BZ21" s="33"/>
      <c r="CA21" s="33"/>
      <c r="CB21" s="33"/>
      <c r="CC21" s="33"/>
      <c r="CD21" s="33" t="s">
        <v>248</v>
      </c>
      <c r="CE21" s="83">
        <v>2017.3629305135437</v>
      </c>
      <c r="CF21" s="83">
        <v>2017.4513768817899</v>
      </c>
      <c r="CH21" s="13">
        <v>0.80008574218203099</v>
      </c>
      <c r="CI21">
        <v>0</v>
      </c>
      <c r="CJ21">
        <v>1</v>
      </c>
      <c r="CK21">
        <v>0</v>
      </c>
      <c r="CL21">
        <v>0</v>
      </c>
      <c r="CM21">
        <v>0</v>
      </c>
      <c r="CN21">
        <v>0</v>
      </c>
      <c r="CO21">
        <v>0</v>
      </c>
      <c r="CP21">
        <v>0</v>
      </c>
      <c r="CQ21">
        <v>0</v>
      </c>
      <c r="CR21">
        <v>0</v>
      </c>
      <c r="CS21">
        <v>0</v>
      </c>
      <c r="CT21">
        <v>0</v>
      </c>
      <c r="CU21">
        <v>0</v>
      </c>
      <c r="CV21">
        <v>0</v>
      </c>
      <c r="CW21">
        <v>0</v>
      </c>
    </row>
    <row r="22" spans="1:101">
      <c r="A22">
        <v>2027</v>
      </c>
      <c r="B22" s="13">
        <f>'Australia EV uptake'!C22</f>
        <v>15.689528339977821</v>
      </c>
      <c r="C22" s="13">
        <f>'Global EV uptake'!C78</f>
        <v>51.906454915807629</v>
      </c>
      <c r="D22" s="72">
        <f>'Norway EV uptake with subs'!H32</f>
        <v>64.943272893507597</v>
      </c>
      <c r="E22" s="13">
        <f>'Austria EV uptake'!AB22</f>
        <v>38.312201822341244</v>
      </c>
      <c r="F22" s="13">
        <f>'Canada EV uptake'!AB22</f>
        <v>47.843973203094116</v>
      </c>
      <c r="G22" s="13">
        <f>'Belgian EV uptake'!AB22</f>
        <v>64.333510556176108</v>
      </c>
      <c r="H22" s="13">
        <f>'China EV uptake'!AB22</f>
        <v>54.1155023268024</v>
      </c>
      <c r="I22" s="13">
        <f>'Denmark EV uptake'!F31</f>
        <v>54.171130546633584</v>
      </c>
      <c r="J22" s="13">
        <f>'Denmark EV uptake'!E31</f>
        <v>29.738063816094563</v>
      </c>
      <c r="K22" s="13">
        <f>'Finland EV uptake'!AB22</f>
        <v>63.473327028320881</v>
      </c>
      <c r="L22" s="13">
        <f>'France EV uptake'!AB22</f>
        <v>10.050658916349153</v>
      </c>
      <c r="M22" s="13">
        <f>'Germany EV uptake'!AB22</f>
        <v>59.291711169072009</v>
      </c>
      <c r="N22" s="13">
        <f>'India EV uptake'!AB22</f>
        <v>1.8829636772975846</v>
      </c>
      <c r="O22" s="13">
        <f>'Ireland EV uptake'!AB22</f>
        <v>29.926315888739872</v>
      </c>
      <c r="P22" s="13">
        <f>'Italy EV uptake'!AB23</f>
        <v>16.903698286910249</v>
      </c>
      <c r="Q22" s="13">
        <f>'Japan EV uptake'!AB22</f>
        <v>6.5743873969310416</v>
      </c>
      <c r="R22" s="13">
        <f>'Korea EV uptake'!AB22</f>
        <v>60.689947897794141</v>
      </c>
      <c r="S22" s="13">
        <f>'Netherlands logist Take-up'!E100</f>
        <v>64.471513837004551</v>
      </c>
      <c r="T22" s="13">
        <f>'Netherlands logist Take-up'!O100</f>
        <v>58.132632613567033</v>
      </c>
      <c r="U22" s="13">
        <f>'New Zealand EV uptake'!AB22</f>
        <v>18.511901087386413</v>
      </c>
      <c r="V22" s="13">
        <f>'Spain EV uptake'!AB22</f>
        <v>7.4533032347368664</v>
      </c>
      <c r="W22" s="13">
        <f>'Sweden EV uptake'!AB22</f>
        <v>56.311144997869462</v>
      </c>
      <c r="X22" s="13">
        <f>'Switzerland EV uptake'!AB22</f>
        <v>37.036826165730012</v>
      </c>
      <c r="Y22" s="13">
        <f>'British EV uptake'!AB22</f>
        <v>30.971201794702385</v>
      </c>
      <c r="Z22" s="13">
        <f>'USA EV uptake'!AB22</f>
        <v>12.652339034827211</v>
      </c>
      <c r="AA22" s="13">
        <f>'Rest Europe EV takeup'!O22</f>
        <v>18.515233276278042</v>
      </c>
      <c r="AC22">
        <v>2027</v>
      </c>
      <c r="AD22" s="13">
        <f>'Australia EV uptake'!E22</f>
        <v>13.915702409395562</v>
      </c>
      <c r="AE22" s="13">
        <f>'Norway EV uptake with subs'!J32</f>
        <v>64.351240619450323</v>
      </c>
      <c r="AF22" s="13">
        <f>'Austria EV uptake'!C22</f>
        <v>19.774774485245235</v>
      </c>
      <c r="AG22" s="13">
        <f>'Canada EV uptake'!C22</f>
        <v>27.665322089276572</v>
      </c>
      <c r="AH22" s="13">
        <f>'Belgian EV uptake'!C22</f>
        <v>39.172877935886966</v>
      </c>
      <c r="AI22" s="13">
        <f>'China EV uptake'!C22</f>
        <v>42.401460558894172</v>
      </c>
      <c r="AJ22" s="13">
        <f>'Denmark EV uptake'!O31</f>
        <v>16.107048765331417</v>
      </c>
      <c r="AK22" s="13">
        <f>'Finland EV uptake'!C22</f>
        <v>50.950363967952946</v>
      </c>
      <c r="AL22" s="13">
        <f>'France EV uptake'!C22</f>
        <v>12.966963972449891</v>
      </c>
      <c r="AM22" s="13">
        <f>'Germany EV uptake'!C22</f>
        <v>32.279020304359399</v>
      </c>
      <c r="AN22" s="13">
        <f>'India EV uptake'!C22</f>
        <v>2.6882106288758019</v>
      </c>
      <c r="AO22" s="13">
        <f>'Ireland EV uptake'!C22</f>
        <v>26.331705442305974</v>
      </c>
      <c r="AP22" s="13">
        <f>'Italy EV uptake'!C22</f>
        <v>10.293885746311389</v>
      </c>
      <c r="AQ22" s="13">
        <f>'Japan EV uptake'!C22</f>
        <v>8.6036476398910491</v>
      </c>
      <c r="AR22" s="13">
        <f>'Korea EV uptake'!C22</f>
        <v>41.364685885968512</v>
      </c>
      <c r="AS22" s="13">
        <f>'Netherlands logist Take-up'!F100</f>
        <v>29.184931276318629</v>
      </c>
      <c r="AT22" s="13">
        <f>'New Zealand EV uptake'!Y22</f>
        <v>16.870385678585343</v>
      </c>
      <c r="AU22" s="13">
        <f>'Spain EV uptake'!C22</f>
        <v>11.469747763292974</v>
      </c>
      <c r="AV22" s="13">
        <f>'Sweden EV uptake'!C22</f>
        <v>47.582553312925562</v>
      </c>
      <c r="AW22" s="13">
        <f>'Switzerland EV uptake'!C22</f>
        <v>28.686021159696825</v>
      </c>
      <c r="AX22" s="13">
        <f>'British EV uptake'!C22</f>
        <v>18.688647046715996</v>
      </c>
      <c r="AY22" s="13">
        <f>'USA EV uptake'!C22</f>
        <v>10.50379583667393</v>
      </c>
      <c r="AZ22" s="13">
        <f>'Rest Europe EV takeup'!C22</f>
        <v>9.6782153372011557</v>
      </c>
      <c r="BB22">
        <v>2027</v>
      </c>
      <c r="BC22" s="33">
        <f>'Australia EV uptake'!AH22</f>
        <v>-1.1451429602842822</v>
      </c>
      <c r="BD22" s="33">
        <f>'Global EV uptake'!G78</f>
        <v>1.377323787506489</v>
      </c>
      <c r="BE22" s="33">
        <f>'Norway EV uptake with subs'!AN32</f>
        <v>7.0430172779722868</v>
      </c>
      <c r="BF22" s="33">
        <v>0.82995829389333764</v>
      </c>
      <c r="BG22" s="33">
        <v>0.4409090251696508</v>
      </c>
      <c r="BH22" s="33">
        <v>3.8225203822672231</v>
      </c>
      <c r="BI22" s="33">
        <f>'China EV uptake'!AE22</f>
        <v>1.6037811491970295</v>
      </c>
      <c r="BJ22" s="33">
        <f>'Denmark EV uptake'!AQ31</f>
        <v>1.6099324545048743</v>
      </c>
      <c r="BK22">
        <f>'Finland EV uptake'!AE22</f>
        <v>3.7275289314859101</v>
      </c>
      <c r="BL22" s="33">
        <f>'France EV uptake'!AE22</f>
        <v>-1.6987734934076806</v>
      </c>
      <c r="BM22" s="33">
        <f>'Germany EV uptake'!AE22</f>
        <v>2.3405502189012708</v>
      </c>
      <c r="BN22" s="33">
        <f>'India EV uptake'!AE22</f>
        <v>-3.51214376268873</v>
      </c>
      <c r="BO22" s="33">
        <f>'Ireland EV uptake'!AE22</f>
        <v>-0.15871288548849538</v>
      </c>
      <c r="BP22" s="33">
        <f>'Italy EV uptake'!AG22</f>
        <v>-1.4327612014030491</v>
      </c>
      <c r="BQ22" s="33">
        <f>'Japan EV uptake'!AG22</f>
        <v>-2.1845729635062989</v>
      </c>
      <c r="BR22" s="33">
        <f>'Korea EV uptake'!AF22</f>
        <v>2.6448280886285751</v>
      </c>
      <c r="BS22" s="33">
        <f>'Netherlands logist Take-up'!AI100</f>
        <v>4.8039621359788889</v>
      </c>
      <c r="BT22" s="33">
        <f>'New Zealand EV uptake'!AF22</f>
        <v>-0.92078251519748644</v>
      </c>
      <c r="BU22" s="33">
        <f>'Spain EV uptake'!AF22</f>
        <v>-2.0439394145335363</v>
      </c>
      <c r="BV22" s="33">
        <f>'Sweden EV uptake'!AF22</f>
        <v>1.8688513026911711</v>
      </c>
      <c r="BW22" s="33">
        <f>'Switzerland EV uptake'!AF22</f>
        <v>-3.9098089913784317</v>
      </c>
      <c r="BX22" s="33">
        <f>'USA EV uptake'!AF22</f>
        <v>-1.4200651535950399</v>
      </c>
      <c r="BY22" s="33">
        <f>'Rest Europe EV takeup'!S22</f>
        <v>-0.92053084798317819</v>
      </c>
      <c r="BZ22" s="33"/>
      <c r="CA22" s="33"/>
      <c r="CB22" s="33"/>
      <c r="CC22" s="33"/>
      <c r="CD22" s="33" t="s">
        <v>240</v>
      </c>
      <c r="CE22" s="83">
        <v>2017.7386567954632</v>
      </c>
      <c r="CF22" s="83">
        <v>2016.982255222978</v>
      </c>
      <c r="CH22" s="13">
        <v>1.0095240745186009</v>
      </c>
      <c r="CI22">
        <v>0</v>
      </c>
      <c r="CJ22">
        <v>0</v>
      </c>
      <c r="CK22">
        <v>0</v>
      </c>
      <c r="CL22">
        <v>0</v>
      </c>
      <c r="CM22">
        <v>0</v>
      </c>
      <c r="CN22">
        <v>0</v>
      </c>
      <c r="CO22">
        <v>0</v>
      </c>
      <c r="CP22">
        <v>0</v>
      </c>
      <c r="CQ22">
        <v>0</v>
      </c>
      <c r="CR22">
        <v>0</v>
      </c>
      <c r="CS22">
        <v>0</v>
      </c>
      <c r="CT22">
        <v>0</v>
      </c>
      <c r="CU22">
        <v>0</v>
      </c>
      <c r="CV22">
        <v>0</v>
      </c>
      <c r="CW22">
        <v>0</v>
      </c>
    </row>
    <row r="23" spans="1:101">
      <c r="A23">
        <v>2028</v>
      </c>
      <c r="B23" s="13">
        <f>'Australia EV uptake'!C23</f>
        <v>21.43640308466075</v>
      </c>
      <c r="C23" s="13">
        <f>'Global EV uptake'!C79</f>
        <v>56.326745165258494</v>
      </c>
      <c r="D23" s="72">
        <f>'Norway EV uptake with subs'!H33</f>
        <v>64.970718932031488</v>
      </c>
      <c r="E23" s="13">
        <f>'Austria EV uptake'!AB23</f>
        <v>44.186570827175956</v>
      </c>
      <c r="F23" s="13">
        <f>'Canada EV uptake'!AB23</f>
        <v>52.742961554175409</v>
      </c>
      <c r="G23" s="13">
        <f>'Belgian EV uptake'!AB23</f>
        <v>64.682726242545442</v>
      </c>
      <c r="H23" s="13">
        <f>'China EV uptake'!AB23</f>
        <v>57.814902817423203</v>
      </c>
      <c r="I23" s="13">
        <f>'Denmark EV uptake'!F32</f>
        <v>57.647057747672527</v>
      </c>
      <c r="J23" s="13">
        <f>'Denmark EV uptake'!E32</f>
        <v>36.355795435472501</v>
      </c>
      <c r="K23" s="13">
        <f>'Finland EV uptake'!AB23</f>
        <v>64.233078720701982</v>
      </c>
      <c r="L23" s="13">
        <f>'France EV uptake'!AB23</f>
        <v>11.767348060463275</v>
      </c>
      <c r="M23" s="13">
        <f>'Germany EV uptake'!AB23</f>
        <v>61.797165159989525</v>
      </c>
      <c r="N23" s="13">
        <f>'India EV uptake'!AB23</f>
        <v>2.2679395050816198</v>
      </c>
      <c r="O23" s="13">
        <f>'Ireland EV uptake'!AB23</f>
        <v>36.816402784108064</v>
      </c>
      <c r="P23" s="13">
        <f>'Italy EV uptake'!AB24</f>
        <v>22.168747485891053</v>
      </c>
      <c r="Q23" s="13">
        <f>'Japan EV uptake'!AB23</f>
        <v>7.6762496412036976</v>
      </c>
      <c r="R23" s="13">
        <f>'Korea EV uptake'!AB23</f>
        <v>62.771943957993223</v>
      </c>
      <c r="S23" s="13">
        <f>'Netherlands logist Take-up'!E101</f>
        <v>64.707606970513154</v>
      </c>
      <c r="T23" s="13">
        <f>'Netherlands logist Take-up'!O101</f>
        <v>61.326027349406843</v>
      </c>
      <c r="U23" s="13">
        <f>'New Zealand EV uptake'!AB23</f>
        <v>24.469860094022749</v>
      </c>
      <c r="V23" s="13">
        <f>'Spain EV uptake'!AB23</f>
        <v>9.3777487441254639</v>
      </c>
      <c r="W23" s="13">
        <f>'Sweden EV uptake'!AB23</f>
        <v>59.061673622444033</v>
      </c>
      <c r="X23" s="13">
        <f>'Switzerland EV uptake'!AB23</f>
        <v>42.415652843649568</v>
      </c>
      <c r="Y23" s="13">
        <f>'British EV uptake'!AB23</f>
        <v>36.629150368416028</v>
      </c>
      <c r="Z23" s="13">
        <f>'USA EV uptake'!AB23</f>
        <v>15.25751951629652</v>
      </c>
      <c r="AA23" s="13">
        <f>'Rest Europe EV takeup'!O23</f>
        <v>24.881512508231992</v>
      </c>
      <c r="AC23">
        <v>2028</v>
      </c>
      <c r="AD23" s="13">
        <f>'Australia EV uptake'!E23</f>
        <v>17.676776875566038</v>
      </c>
      <c r="AE23" s="13">
        <f>'Norway EV uptake with subs'!J33</f>
        <v>64.767510585903281</v>
      </c>
      <c r="AF23" s="13">
        <f>'Austria EV uptake'!C23</f>
        <v>23.265738855400819</v>
      </c>
      <c r="AG23" s="13">
        <f>'Canada EV uptake'!C23</f>
        <v>32.647000337788334</v>
      </c>
      <c r="AH23" s="13">
        <f>'Belgian EV uptake'!C23</f>
        <v>45.309889660480998</v>
      </c>
      <c r="AI23" s="13">
        <f>'China EV uptake'!C23</f>
        <v>48.360946904840048</v>
      </c>
      <c r="AJ23" s="13">
        <f>'Denmark EV uptake'!O32</f>
        <v>19.577898337638004</v>
      </c>
      <c r="AK23" s="13">
        <f>'Finland EV uptake'!C23</f>
        <v>55.526801517277214</v>
      </c>
      <c r="AL23" s="13">
        <f>'France EV uptake'!C23</f>
        <v>15.383470471544754</v>
      </c>
      <c r="AM23" s="13">
        <f>'Germany EV uptake'!C23</f>
        <v>37.472066512159685</v>
      </c>
      <c r="AN23" s="13">
        <f>'India EV uptake'!C23</f>
        <v>3.3368971657319908</v>
      </c>
      <c r="AO23" s="13">
        <f>'Ireland EV uptake'!C23</f>
        <v>31.791769224284813</v>
      </c>
      <c r="AP23" s="13">
        <f>'Italy EV uptake'!C23</f>
        <v>12.838471174668937</v>
      </c>
      <c r="AQ23" s="13">
        <f>'Japan EV uptake'!C23</f>
        <v>10.211757986091756</v>
      </c>
      <c r="AR23" s="13">
        <f>'Korea EV uptake'!C23</f>
        <v>47.86406928319709</v>
      </c>
      <c r="AS23" s="13">
        <f>'Netherlands logist Take-up'!F101</f>
        <v>34.101265452622528</v>
      </c>
      <c r="AT23" s="13">
        <f>'New Zealand EV uptake'!Y23</f>
        <v>20.393496520207453</v>
      </c>
      <c r="AU23" s="13">
        <f>'Spain EV uptake'!C23</f>
        <v>14.437586000905386</v>
      </c>
      <c r="AV23" s="13">
        <f>'Sweden EV uptake'!C23</f>
        <v>51.766622414112668</v>
      </c>
      <c r="AW23" s="13">
        <f>'Switzerland EV uptake'!C23</f>
        <v>32.989440621710102</v>
      </c>
      <c r="AX23" s="13">
        <f>'British EV uptake'!C23</f>
        <v>22.338012040843889</v>
      </c>
      <c r="AY23" s="13">
        <f>'USA EV uptake'!C23</f>
        <v>12.972130328381544</v>
      </c>
      <c r="AZ23" s="13">
        <f>'Rest Europe EV takeup'!C23</f>
        <v>12.269378694505548</v>
      </c>
      <c r="BB23">
        <v>2028</v>
      </c>
      <c r="BC23" s="33">
        <f>'Australia EV uptake'!AH23</f>
        <v>-0.70913131291520592</v>
      </c>
      <c r="BD23" s="33">
        <f>'Global EV uptake'!G79</f>
        <v>1.8709253358792295</v>
      </c>
      <c r="BE23" s="33">
        <f>'Norway EV uptake with subs'!AN33</f>
        <v>7.704750806650897</v>
      </c>
      <c r="BF23" s="33">
        <v>1.2532527245968588</v>
      </c>
      <c r="BG23" s="33">
        <v>0.83427628386328223</v>
      </c>
      <c r="BH23" s="33">
        <v>4.5127092803389015</v>
      </c>
      <c r="BI23" s="33">
        <f>'China EV uptake'!AE23</f>
        <v>2.0852375314579881</v>
      </c>
      <c r="BJ23" s="33">
        <f>'Denmark EV uptake'!AQ32</f>
        <v>2.0592386693829683</v>
      </c>
      <c r="BK23">
        <f>'Finland EV uptake'!AE23</f>
        <v>4.4278894403085456</v>
      </c>
      <c r="BL23" s="33">
        <f>'France EV uptake'!AE23</f>
        <v>-1.5093433839212653</v>
      </c>
      <c r="BM23" s="33">
        <f>'Germany EV uptake'!AE23</f>
        <v>2.9598211870717375</v>
      </c>
      <c r="BN23" s="33">
        <f>'India EV uptake'!AE23</f>
        <v>-3.3200009363454481</v>
      </c>
      <c r="BO23" s="33">
        <f>'Ireland EV uptake'!AE23</f>
        <v>0.2672033239928524</v>
      </c>
      <c r="BP23" s="33">
        <f>'Italy EV uptake'!AG23</f>
        <v>-1.0456728551605261</v>
      </c>
      <c r="BQ23" s="33">
        <f>'Japan EV uptake'!AG23</f>
        <v>-2.0105839293499819</v>
      </c>
      <c r="BR23" s="33">
        <f>'Korea EV uptake'!AF23</f>
        <v>3.338378746136744</v>
      </c>
      <c r="BS23" s="33">
        <f>'Netherlands logist Take-up'!AI101</f>
        <v>5.3995351579106874</v>
      </c>
      <c r="BT23" s="33">
        <f>'New Zealand EV uptake'!AF23</f>
        <v>-0.50460373255663526</v>
      </c>
      <c r="BU23" s="33">
        <f>'Spain EV uptake'!AF23</f>
        <v>-1.7802435953853637</v>
      </c>
      <c r="BV23" s="33">
        <f>'Sweden EV uptake'!AF23</f>
        <v>2.297154874524356</v>
      </c>
      <c r="BW23" s="33">
        <f>'Switzerland EV uptake'!AF23</f>
        <v>-3.9098089913784317</v>
      </c>
      <c r="BX23" s="33">
        <f>'USA EV uptake'!AF23</f>
        <v>-1.1817868415609096</v>
      </c>
      <c r="BY23" s="33">
        <f>'Rest Europe EV takeup'!S23</f>
        <v>-0.47771220462138508</v>
      </c>
      <c r="BZ23" s="33"/>
      <c r="CA23" s="33"/>
      <c r="CB23" s="33"/>
      <c r="CC23" s="33"/>
      <c r="CD23" s="33" t="s">
        <v>242</v>
      </c>
      <c r="CE23" s="83">
        <v>2027.3040095358092</v>
      </c>
      <c r="CF23" s="83">
        <v>2027.4023052258367</v>
      </c>
      <c r="CH23" s="13">
        <v>1.1975968944703292</v>
      </c>
      <c r="CI23">
        <v>0</v>
      </c>
      <c r="CJ23">
        <v>0</v>
      </c>
      <c r="CK23">
        <v>0</v>
      </c>
      <c r="CL23">
        <v>0</v>
      </c>
      <c r="CM23">
        <v>0</v>
      </c>
      <c r="CN23">
        <v>0</v>
      </c>
      <c r="CO23">
        <v>0</v>
      </c>
      <c r="CP23">
        <v>0</v>
      </c>
      <c r="CQ23">
        <v>0</v>
      </c>
      <c r="CR23">
        <v>1</v>
      </c>
      <c r="CS23">
        <v>0</v>
      </c>
      <c r="CT23">
        <v>0</v>
      </c>
      <c r="CU23">
        <v>0</v>
      </c>
      <c r="CV23">
        <v>0</v>
      </c>
      <c r="CW23">
        <v>0</v>
      </c>
    </row>
    <row r="24" spans="1:101">
      <c r="A24">
        <v>2029</v>
      </c>
      <c r="B24" s="13">
        <f>'Australia EV uptake'!C24</f>
        <v>28.089189867793255</v>
      </c>
      <c r="C24" s="13">
        <f>'Global EV uptake'!C80</f>
        <v>59.39095758619905</v>
      </c>
      <c r="D24" s="72">
        <f>'Norway EV uptake with subs'!H34</f>
        <v>64.984888958391409</v>
      </c>
      <c r="E24" s="13">
        <f>'Austria EV uptake'!AB24</f>
        <v>49.297852580242349</v>
      </c>
      <c r="F24" s="13">
        <f>'Canada EV uptake'!AB24</f>
        <v>56.491794590116669</v>
      </c>
      <c r="G24" s="13">
        <f>'Belgian EV uptake'!AB24</f>
        <v>64.8493942439693</v>
      </c>
      <c r="H24" s="13">
        <f>'China EV uptake'!AB24</f>
        <v>60.364658409767081</v>
      </c>
      <c r="I24" s="13">
        <f>'Denmark EV uptake'!F33</f>
        <v>60.108014285855596</v>
      </c>
      <c r="J24" s="13">
        <f>'Denmark EV uptake'!E33</f>
        <v>42.691815752065018</v>
      </c>
      <c r="K24" s="13">
        <f>'Finland EV uptake'!AB24</f>
        <v>64.617019845831976</v>
      </c>
      <c r="L24" s="13">
        <f>'France EV uptake'!AB24</f>
        <v>13.704126976386682</v>
      </c>
      <c r="M24" s="13">
        <f>'Germany EV uptake'!AB24</f>
        <v>63.235660781813245</v>
      </c>
      <c r="N24" s="13">
        <f>'India EV uptake'!AB24</f>
        <v>2.7282222524337612</v>
      </c>
      <c r="O24" s="13">
        <f>'Ireland EV uptake'!AB24</f>
        <v>43.33293398469911</v>
      </c>
      <c r="P24" s="13">
        <f>'Italy EV uptake'!AB25</f>
        <v>28.115088703950246</v>
      </c>
      <c r="Q24" s="13">
        <f>'Japan EV uptake'!AB24</f>
        <v>8.934542906055853</v>
      </c>
      <c r="R24" s="13">
        <f>'Korea EV uptake'!AB24</f>
        <v>63.866995090139973</v>
      </c>
      <c r="S24" s="13">
        <f>'Netherlands logist Take-up'!E102</f>
        <v>64.838493311169827</v>
      </c>
      <c r="T24" s="13">
        <f>'Netherlands logist Take-up'!O102</f>
        <v>63.412699176094961</v>
      </c>
      <c r="U24" s="13">
        <f>'New Zealand EV uptake'!AB24</f>
        <v>31.064030092641175</v>
      </c>
      <c r="V24" s="13">
        <f>'Spain EV uptake'!AB24</f>
        <v>11.698078570932097</v>
      </c>
      <c r="W24" s="13">
        <f>'Sweden EV uptake'!AB24</f>
        <v>61.00329814668018</v>
      </c>
      <c r="X24" s="13">
        <f>'Switzerland EV uptake'!AB24</f>
        <v>47.255539591428146</v>
      </c>
      <c r="Y24" s="13">
        <f>'British EV uptake'!AB24</f>
        <v>42.043649495910991</v>
      </c>
      <c r="Z24" s="13">
        <f>'USA EV uptake'!AB24</f>
        <v>18.212491769628407</v>
      </c>
      <c r="AA24" s="13">
        <f>'Rest Europe EV takeup'!O24</f>
        <v>31.933037154333675</v>
      </c>
      <c r="AC24">
        <v>2029</v>
      </c>
      <c r="AD24" s="13">
        <f>'Australia EV uptake'!E24</f>
        <v>21.927531861590744</v>
      </c>
      <c r="AE24" s="13">
        <f>'Norway EV uptake with subs'!J34</f>
        <v>64.879732649035418</v>
      </c>
      <c r="AF24" s="13">
        <f>'Austria EV uptake'!C24</f>
        <v>26.865534497160706</v>
      </c>
      <c r="AG24" s="13">
        <f>'Canada EV uptake'!C24</f>
        <v>37.740478997781011</v>
      </c>
      <c r="AH24" s="13">
        <f>'Belgian EV uptake'!C24</f>
        <v>50.848230517620586</v>
      </c>
      <c r="AI24" s="13">
        <f>'China EV uptake'!C24</f>
        <v>53.510082101162276</v>
      </c>
      <c r="AJ24" s="13">
        <f>'Denmark EV uptake'!O33</f>
        <v>23.391281091125158</v>
      </c>
      <c r="AK24" s="13">
        <f>'Finland EV uptake'!C24</f>
        <v>59.100104228259383</v>
      </c>
      <c r="AL24" s="13">
        <f>'France EV uptake'!C24</f>
        <v>17.996910699785918</v>
      </c>
      <c r="AM24" s="13">
        <f>'Germany EV uptake'!C24</f>
        <v>42.873198148679599</v>
      </c>
      <c r="AN24" s="13">
        <f>'India EV uptake'!C24</f>
        <v>4.0968159970912694</v>
      </c>
      <c r="AO24" s="13">
        <f>'Ireland EV uptake'!C24</f>
        <v>37.493858571420454</v>
      </c>
      <c r="AP24" s="13">
        <f>'Italy EV uptake'!C24</f>
        <v>15.639595156943576</v>
      </c>
      <c r="AQ24" s="13">
        <f>'Japan EV uptake'!C24</f>
        <v>11.992361362791774</v>
      </c>
      <c r="AR24" s="13">
        <f>'Korea EV uptake'!C24</f>
        <v>53.518510254323168</v>
      </c>
      <c r="AS24" s="13">
        <f>'Netherlands logist Take-up'!F102</f>
        <v>39.331777776119338</v>
      </c>
      <c r="AT24" s="13">
        <f>'New Zealand EV uptake'!Y24</f>
        <v>24.06561481942407</v>
      </c>
      <c r="AU24" s="13">
        <f>'Spain EV uptake'!C24</f>
        <v>17.776358134921203</v>
      </c>
      <c r="AV24" s="13">
        <f>'Sweden EV uptake'!C24</f>
        <v>55.284613937014441</v>
      </c>
      <c r="AW24" s="13">
        <f>'Switzerland EV uptake'!C24</f>
        <v>37.169467984997326</v>
      </c>
      <c r="AX24" s="13">
        <f>'British EV uptake'!C24</f>
        <v>26.210065115308712</v>
      </c>
      <c r="AY24" s="13">
        <f>'USA EV uptake'!C24</f>
        <v>15.773021633345055</v>
      </c>
      <c r="AZ24" s="13">
        <f>'Rest Europe EV takeup'!C24</f>
        <v>15.287046255962554</v>
      </c>
      <c r="BB24">
        <v>2029</v>
      </c>
      <c r="BC24" s="33">
        <f>'Australia EV uptake'!AH24</f>
        <v>-0.27311966554612965</v>
      </c>
      <c r="BD24" s="33">
        <f>'Global EV uptake'!G80</f>
        <v>2.3597619733541535</v>
      </c>
      <c r="BE24" s="33">
        <f>'Norway EV uptake with subs'!AN34</f>
        <v>8.3664843353295062</v>
      </c>
      <c r="BF24" s="33">
        <v>1.6765471553003781</v>
      </c>
      <c r="BG24" s="33">
        <v>1.2276435425569137</v>
      </c>
      <c r="BH24" s="33">
        <v>5.2028981784105799</v>
      </c>
      <c r="BI24" s="33">
        <f>'China EV uptake'!AE24</f>
        <v>2.5666939137189484</v>
      </c>
      <c r="BJ24" s="33">
        <f>'Denmark EV uptake'!AQ33</f>
        <v>2.508544884261064</v>
      </c>
      <c r="BK24">
        <f>'Finland EV uptake'!AE24</f>
        <v>5.1282499491311828</v>
      </c>
      <c r="BL24" s="33">
        <f>'France EV uptake'!AE24</f>
        <v>-1.3199132744348496</v>
      </c>
      <c r="BM24" s="33">
        <f>'Germany EV uptake'!AE24</f>
        <v>3.5790921552422024</v>
      </c>
      <c r="BN24" s="33">
        <f>'India EV uptake'!AE24</f>
        <v>-3.1278581100021663</v>
      </c>
      <c r="BO24" s="33">
        <f>'Ireland EV uptake'!AE24</f>
        <v>0.6931195334741993</v>
      </c>
      <c r="BP24" s="33">
        <f>'Italy EV uptake'!AG24</f>
        <v>-0.65858450891800224</v>
      </c>
      <c r="BQ24" s="33">
        <f>'Japan EV uptake'!AG24</f>
        <v>-1.8365948951936648</v>
      </c>
      <c r="BR24" s="33">
        <f>'Korea EV uptake'!AF24</f>
        <v>4.0319294036449111</v>
      </c>
      <c r="BS24" s="33">
        <f>'Netherlands logist Take-up'!AI102</f>
        <v>5.9951081798424859</v>
      </c>
      <c r="BT24" s="33">
        <f>'New Zealand EV uptake'!AF24</f>
        <v>-8.8424949915783202E-2</v>
      </c>
      <c r="BU24" s="33">
        <f>'Spain EV uptake'!AF24</f>
        <v>-1.5165477762371911</v>
      </c>
      <c r="BV24" s="33">
        <f>'Sweden EV uptake'!AF24</f>
        <v>2.7254584463575409</v>
      </c>
      <c r="BW24" s="33">
        <f>'Switzerland EV uptake'!AF24</f>
        <v>-3.9098089913784317</v>
      </c>
      <c r="BX24" s="33">
        <f>'USA EV uptake'!AF24</f>
        <v>-0.94350852952677933</v>
      </c>
      <c r="BY24" s="33">
        <f>'Rest Europe EV takeup'!S24</f>
        <v>-3.4893561259591976E-2</v>
      </c>
      <c r="BZ24" s="33"/>
      <c r="CA24" s="33"/>
      <c r="CB24" s="33"/>
      <c r="CC24" s="33"/>
      <c r="CD24" s="33" t="s">
        <v>538</v>
      </c>
      <c r="CE24" s="83">
        <v>2020.7573164804394</v>
      </c>
      <c r="CF24" s="83">
        <v>2020.8823914766338</v>
      </c>
      <c r="CH24" s="13">
        <v>1.1809597296644165</v>
      </c>
      <c r="CI24">
        <v>0</v>
      </c>
      <c r="CJ24">
        <v>0</v>
      </c>
      <c r="CK24">
        <v>0</v>
      </c>
      <c r="CL24">
        <v>0</v>
      </c>
      <c r="CM24">
        <v>0</v>
      </c>
      <c r="CN24">
        <v>0</v>
      </c>
      <c r="CO24">
        <v>0</v>
      </c>
      <c r="CP24">
        <v>0</v>
      </c>
      <c r="CQ24">
        <v>0</v>
      </c>
      <c r="CR24">
        <v>0</v>
      </c>
      <c r="CS24">
        <v>0</v>
      </c>
      <c r="CT24">
        <v>0</v>
      </c>
      <c r="CU24">
        <v>1</v>
      </c>
      <c r="CV24">
        <v>0</v>
      </c>
      <c r="CW24">
        <v>0</v>
      </c>
    </row>
    <row r="25" spans="1:101">
      <c r="A25">
        <v>2030</v>
      </c>
      <c r="B25" s="13">
        <f>'Australia EV uptake'!C25</f>
        <v>35.141157291165442</v>
      </c>
      <c r="C25" s="13">
        <f>'Global EV uptake'!C81</f>
        <v>61.451030793898077</v>
      </c>
      <c r="D25" s="72">
        <f>'Norway EV uptake with subs'!H35</f>
        <v>64.992202487941555</v>
      </c>
      <c r="E25" s="13">
        <f>'Austria EV uptake'!AB25</f>
        <v>53.481141904775455</v>
      </c>
      <c r="F25" s="13">
        <f>'Canada EV uptake'!AB25</f>
        <v>59.219700270067449</v>
      </c>
      <c r="G25" s="13">
        <f>'Belgian EV uptake'!AB25</f>
        <v>64.928606029249892</v>
      </c>
      <c r="H25" s="13">
        <f>'China EV uptake'!AB25</f>
        <v>62.055669149850516</v>
      </c>
      <c r="I25" s="13">
        <f>'Denmark EV uptake'!F34</f>
        <v>61.791160878808874</v>
      </c>
      <c r="J25" s="13">
        <f>'Denmark EV uptake'!E34</f>
        <v>48.328154482451801</v>
      </c>
      <c r="K25" s="13">
        <f>'Finland EV uptake'!AB25</f>
        <v>64.809320454222686</v>
      </c>
      <c r="L25" s="13">
        <f>'France EV uptake'!AB25</f>
        <v>15.864676460614854</v>
      </c>
      <c r="M25" s="13">
        <f>'Germany EV uptake'!AB25</f>
        <v>64.038138020406834</v>
      </c>
      <c r="N25" s="13">
        <f>'India EV uptake'!AB25</f>
        <v>3.2770403898495579</v>
      </c>
      <c r="O25" s="13">
        <f>'Ireland EV uptake'!AB25</f>
        <v>48.997637836341092</v>
      </c>
      <c r="P25" s="13">
        <f>'Italy EV uptake'!AB26</f>
        <v>34.376284275425931</v>
      </c>
      <c r="Q25" s="13">
        <f>'Japan EV uptake'!AB25</f>
        <v>10.361812576120002</v>
      </c>
      <c r="R25" s="13">
        <f>'Korea EV uptake'!AB25</f>
        <v>64.428745335561374</v>
      </c>
      <c r="S25" s="13">
        <f>'Netherlands logist Take-up'!E103</f>
        <v>64.910870605500591</v>
      </c>
      <c r="T25" s="13">
        <f>'Netherlands logist Take-up'!O103</f>
        <v>64.162787627761006</v>
      </c>
      <c r="U25" s="13">
        <f>'New Zealand EV uptake'!AB25</f>
        <v>37.778828723190486</v>
      </c>
      <c r="V25" s="13">
        <f>'Spain EV uptake'!AB25</f>
        <v>14.443444720759517</v>
      </c>
      <c r="W25" s="13">
        <f>'Sweden EV uptake'!AB25</f>
        <v>62.338685509486218</v>
      </c>
      <c r="X25" s="13">
        <f>'Switzerland EV uptake'!AB25</f>
        <v>51.391009635066219</v>
      </c>
      <c r="Y25" s="13">
        <f>'British EV uptake'!AB25</f>
        <v>46.934452149406425</v>
      </c>
      <c r="Z25" s="13">
        <f>'USA EV uptake'!AB25</f>
        <v>21.492486800444834</v>
      </c>
      <c r="AA25" s="13">
        <f>'Rest Europe EV takeup'!O25</f>
        <v>39.038366136989417</v>
      </c>
      <c r="AC25">
        <v>2030</v>
      </c>
      <c r="AD25" s="13">
        <f>'Australia EV uptake'!E25</f>
        <v>26.53930108875187</v>
      </c>
      <c r="AE25" s="13">
        <f>'Norway EV uptake with subs'!J35</f>
        <v>64.937863612935615</v>
      </c>
      <c r="AF25" s="13">
        <f>'Austria EV uptake'!C25</f>
        <v>30.520093276262724</v>
      </c>
      <c r="AG25" s="13">
        <f>'Canada EV uptake'!C25</f>
        <v>42.580692937590193</v>
      </c>
      <c r="AH25" s="13">
        <f>'Belgian EV uptake'!C25</f>
        <v>55.571869169006327</v>
      </c>
      <c r="AI25" s="13">
        <f>'China EV uptake'!C25</f>
        <v>57.576138176176222</v>
      </c>
      <c r="AJ25" s="13">
        <f>'Denmark EV uptake'!O34</f>
        <v>27.491239953220312</v>
      </c>
      <c r="AK25" s="13">
        <f>'Finland EV uptake'!C25</f>
        <v>61.260752034074862</v>
      </c>
      <c r="AL25" s="13">
        <f>'France EV uptake'!C25</f>
        <v>20.78936319492934</v>
      </c>
      <c r="AM25" s="13">
        <f>'Germany EV uptake'!C25</f>
        <v>47.811686522248429</v>
      </c>
      <c r="AN25" s="13">
        <f>'India EV uptake'!C25</f>
        <v>4.9841796547928281</v>
      </c>
      <c r="AO25" s="13">
        <f>'Ireland EV uptake'!C25</f>
        <v>42.9438536085827</v>
      </c>
      <c r="AP25" s="13">
        <f>'Italy EV uptake'!C25</f>
        <v>18.586385836707301</v>
      </c>
      <c r="AQ25" s="13">
        <f>'Japan EV uptake'!C25</f>
        <v>13.948617569596729</v>
      </c>
      <c r="AR25" s="13">
        <f>'Korea EV uptake'!C25</f>
        <v>57.817795202045488</v>
      </c>
      <c r="AS25" s="13">
        <f>'Netherlands logist Take-up'!F103</f>
        <v>44.836250733647944</v>
      </c>
      <c r="AT25" s="13">
        <f>'New Zealand EV uptake'!Y25</f>
        <v>27.807344244802135</v>
      </c>
      <c r="AU25" s="13">
        <f>'Spain EV uptake'!C25</f>
        <v>21.451375841592988</v>
      </c>
      <c r="AV25" s="13">
        <f>'Sweden EV uptake'!C25</f>
        <v>57.956761195220921</v>
      </c>
      <c r="AW25" s="13">
        <f>'Switzerland EV uptake'!C25</f>
        <v>41.135504216434143</v>
      </c>
      <c r="AX25" s="13">
        <f>'British EV uptake'!C25</f>
        <v>30.215984364203909</v>
      </c>
      <c r="AY25" s="13">
        <f>'USA EV uptake'!C25</f>
        <v>18.816114514095393</v>
      </c>
      <c r="AZ25" s="13">
        <f>'Rest Europe EV takeup'!C25</f>
        <v>18.701877305538918</v>
      </c>
      <c r="BB25">
        <v>2030</v>
      </c>
      <c r="BC25" s="33">
        <f>'Australia EV uptake'!AH25</f>
        <v>0.16289198182294484</v>
      </c>
      <c r="BD25" s="33">
        <f>'Global EV uptake'!G81</f>
        <v>2.8515834135404963</v>
      </c>
      <c r="BE25" s="33">
        <f>'Norway EV uptake with subs'!AN35</f>
        <v>9.0282178640081163</v>
      </c>
      <c r="BF25" s="33">
        <v>2.0998415860038975</v>
      </c>
      <c r="BG25" s="33">
        <v>1.6210108012505451</v>
      </c>
      <c r="BH25" s="33">
        <v>5.8930870764822583</v>
      </c>
      <c r="BI25" s="33">
        <f>'China EV uptake'!AE25</f>
        <v>3.0481502959799069</v>
      </c>
      <c r="BJ25" s="33">
        <f>'Denmark EV uptake'!AQ34</f>
        <v>2.9578510991391598</v>
      </c>
      <c r="BK25">
        <f>'Finland EV uptake'!AE25</f>
        <v>5.82861045795382</v>
      </c>
      <c r="BL25" s="33">
        <f>'France EV uptake'!AE25</f>
        <v>-1.1304831649484344</v>
      </c>
      <c r="BM25" s="33">
        <f>'Germany EV uptake'!AE25</f>
        <v>4.1983631234126673</v>
      </c>
      <c r="BN25" s="33">
        <f>'India EV uptake'!AE25</f>
        <v>-2.9357152836588849</v>
      </c>
      <c r="BO25" s="33">
        <f>'Ireland EV uptake'!AE25</f>
        <v>1.1190357429555462</v>
      </c>
      <c r="BP25" s="33">
        <f>'Italy EV uptake'!AG25</f>
        <v>-0.27149616267547927</v>
      </c>
      <c r="BQ25" s="33">
        <f>'Japan EV uptake'!AG25</f>
        <v>-1.6626058610373473</v>
      </c>
      <c r="BR25" s="33">
        <f>'Korea EV uptake'!AF25</f>
        <v>4.7254800611530801</v>
      </c>
      <c r="BS25" s="33">
        <f>'Netherlands logist Take-up'!AI103</f>
        <v>6.5906812017742826</v>
      </c>
      <c r="BT25" s="33">
        <f>'New Zealand EV uptake'!AF25</f>
        <v>0.32775383272506708</v>
      </c>
      <c r="BU25" s="33">
        <f>'Spain EV uptake'!AF25</f>
        <v>-1.2528519570890193</v>
      </c>
      <c r="BV25" s="33">
        <f>'Sweden EV uptake'!AF25</f>
        <v>3.153762018190724</v>
      </c>
      <c r="BW25" s="33">
        <f>'Switzerland EV uptake'!AF25</f>
        <v>-3.9098089913784317</v>
      </c>
      <c r="BX25" s="33">
        <f>'USA EV uptake'!AF25</f>
        <v>-0.70523021749264991</v>
      </c>
      <c r="BY25" s="33">
        <f>'Rest Europe EV takeup'!S25</f>
        <v>0.40792508210220113</v>
      </c>
      <c r="BZ25" s="33"/>
      <c r="CA25" s="33"/>
      <c r="CB25" s="33"/>
      <c r="CC25" s="33"/>
      <c r="CD25" s="33" t="s">
        <v>243</v>
      </c>
      <c r="CE25" s="83">
        <v>2019.7106232622343</v>
      </c>
      <c r="CF25" s="83">
        <v>2020.4329483138711</v>
      </c>
      <c r="CH25" s="13">
        <v>0.94978724397440906</v>
      </c>
      <c r="CI25">
        <v>0</v>
      </c>
      <c r="CJ25">
        <v>0</v>
      </c>
      <c r="CK25">
        <v>0</v>
      </c>
      <c r="CL25">
        <v>0</v>
      </c>
      <c r="CM25">
        <v>0</v>
      </c>
      <c r="CN25">
        <v>0</v>
      </c>
      <c r="CO25">
        <v>0</v>
      </c>
      <c r="CP25">
        <v>0</v>
      </c>
      <c r="CQ25">
        <v>0</v>
      </c>
      <c r="CR25">
        <v>0</v>
      </c>
      <c r="CS25">
        <v>0</v>
      </c>
      <c r="CT25">
        <v>0</v>
      </c>
      <c r="CU25">
        <v>0</v>
      </c>
      <c r="CV25">
        <v>1</v>
      </c>
      <c r="CW25">
        <v>0</v>
      </c>
    </row>
    <row r="26" spans="1:101">
      <c r="A26">
        <v>2031</v>
      </c>
      <c r="B26" s="13">
        <f>'Australia EV uptake'!C26</f>
        <v>41.951353198671526</v>
      </c>
      <c r="C26" s="13">
        <f>'Global EV uptake'!C82</f>
        <v>62.776455773883036</v>
      </c>
      <c r="D26" s="72">
        <f>'Norway EV uptake with subs'!H36</f>
        <v>64.995976592197081</v>
      </c>
      <c r="E26" s="13">
        <f>'Austria EV uptake'!AB26</f>
        <v>56.73674955124897</v>
      </c>
      <c r="F26" s="13">
        <f>'Canada EV uptake'!AB26</f>
        <v>61.132855546813104</v>
      </c>
      <c r="G26" s="13">
        <f>'Belgian EV uptake'!AB26</f>
        <v>64.96617774300752</v>
      </c>
      <c r="H26" s="13">
        <f>'China EV uptake'!AB26</f>
        <v>63.148704515446354</v>
      </c>
      <c r="I26" s="13">
        <f>'Denmark EV uptake'!F35</f>
        <v>62.915285666542161</v>
      </c>
      <c r="J26" s="13">
        <f>'Denmark EV uptake'!E35</f>
        <v>53.003050877996714</v>
      </c>
      <c r="K26" s="13">
        <f>'Finland EV uptake'!AB26</f>
        <v>64.905205429006713</v>
      </c>
      <c r="L26" s="13">
        <f>'France EV uptake'!AB26</f>
        <v>18.2446991592826</v>
      </c>
      <c r="M26" s="13">
        <f>'Germany EV uptake'!AB26</f>
        <v>64.478632546612985</v>
      </c>
      <c r="N26" s="13">
        <f>'India EV uptake'!AB26</f>
        <v>3.9292943115095809</v>
      </c>
      <c r="O26" s="13">
        <f>'Ireland EV uptake'!AB26</f>
        <v>53.571923644377804</v>
      </c>
      <c r="P26" s="13">
        <f>'Italy EV uptake'!AB27</f>
        <v>40.500788806984481</v>
      </c>
      <c r="Q26" s="13">
        <f>'Japan EV uptake'!AB26</f>
        <v>11.968412618693254</v>
      </c>
      <c r="R26" s="13">
        <f>'Korea EV uptake'!AB26</f>
        <v>64.713227224192906</v>
      </c>
      <c r="S26" s="13">
        <f>'Netherlands logist Take-up'!E104</f>
        <v>64.950837472731223</v>
      </c>
      <c r="T26" s="13">
        <f>'Netherlands logist Take-up'!O104</f>
        <v>64.592120657762123</v>
      </c>
      <c r="U26" s="13">
        <f>'New Zealand EV uptake'!AB26</f>
        <v>44.060588758828594</v>
      </c>
      <c r="V26" s="13">
        <f>'Spain EV uptake'!AB26</f>
        <v>17.620121247697206</v>
      </c>
      <c r="W26" s="13">
        <f>'Sweden EV uptake'!AB26</f>
        <v>63.240757360076294</v>
      </c>
      <c r="X26" s="13">
        <f>'Switzerland EV uptake'!AB26</f>
        <v>54.771299004421564</v>
      </c>
      <c r="Y26" s="13">
        <f>'British EV uptake'!AB26</f>
        <v>51.127094201982246</v>
      </c>
      <c r="Z26" s="13">
        <f>'USA EV uptake'!AB26</f>
        <v>25.046966098071962</v>
      </c>
      <c r="AA26" s="13">
        <f>'Rest Europe EV takeup'!O26</f>
        <v>45.547003618162918</v>
      </c>
      <c r="AC26">
        <v>2031</v>
      </c>
      <c r="AD26" s="13">
        <f>'Australia EV uptake'!E26</f>
        <v>31.541346455031022</v>
      </c>
      <c r="AE26" s="13">
        <f>'Norway EV uptake with subs'!J36</f>
        <v>64.967918012706406</v>
      </c>
      <c r="AF26" s="13">
        <f>'Austria EV uptake'!C26</f>
        <v>34.052373674056277</v>
      </c>
      <c r="AG26" s="13">
        <f>'Canada EV uptake'!C26</f>
        <v>47.009867346596209</v>
      </c>
      <c r="AH26" s="13">
        <f>'Belgian EV uptake'!C26</f>
        <v>59.176430082922074</v>
      </c>
      <c r="AI26" s="13">
        <f>'China EV uptake'!C26</f>
        <v>60.235360003673044</v>
      </c>
      <c r="AJ26" s="13">
        <f>'Denmark EV uptake'!O35</f>
        <v>31.780195571499071</v>
      </c>
      <c r="AK26" s="13">
        <f>'Finland EV uptake'!C26</f>
        <v>62.784429615521056</v>
      </c>
      <c r="AL26" s="13">
        <f>'France EV uptake'!C26</f>
        <v>23.66581068891168</v>
      </c>
      <c r="AM26" s="13">
        <f>'Germany EV uptake'!C26</f>
        <v>51.814082722476925</v>
      </c>
      <c r="AN26" s="13">
        <f>'India EV uptake'!C26</f>
        <v>5.9973617130902346</v>
      </c>
      <c r="AO26" s="13">
        <f>'Ireland EV uptake'!C26</f>
        <v>47.890879896237649</v>
      </c>
      <c r="AP26" s="13">
        <f>'Italy EV uptake'!C26</f>
        <v>21.644637668562154</v>
      </c>
      <c r="AQ26" s="13">
        <f>'Japan EV uptake'!C26</f>
        <v>16.053467126053174</v>
      </c>
      <c r="AR26" s="13">
        <f>'Korea EV uptake'!C26</f>
        <v>60.959576697754969</v>
      </c>
      <c r="AS26" s="13">
        <f>'Netherlands logist Take-up'!F104</f>
        <v>49.585825992214367</v>
      </c>
      <c r="AT26" s="13">
        <f>'New Zealand EV uptake'!Y26</f>
        <v>31.5665908451634</v>
      </c>
      <c r="AU26" s="13">
        <f>'Spain EV uptake'!C26</f>
        <v>25.34058549795693</v>
      </c>
      <c r="AV26" s="13">
        <f>'Sweden EV uptake'!C26</f>
        <v>60.056078419948754</v>
      </c>
      <c r="AW26" s="13">
        <f>'Switzerland EV uptake'!C26</f>
        <v>44.68290315088489</v>
      </c>
      <c r="AX26" s="13">
        <f>'British EV uptake'!C26</f>
        <v>34.239280285492683</v>
      </c>
      <c r="AY26" s="13">
        <f>'USA EV uptake'!C26</f>
        <v>22.086190607185557</v>
      </c>
      <c r="AZ26" s="13">
        <f>'Rest Europe EV takeup'!C26</f>
        <v>22.451750711328952</v>
      </c>
      <c r="BB26">
        <v>2031</v>
      </c>
      <c r="BC26" s="33">
        <f>'Australia EV uptake'!AH26</f>
        <v>0.59890362919202111</v>
      </c>
      <c r="BD26" s="33">
        <f>'Global EV uptake'!G82</f>
        <v>3.3404776740328641</v>
      </c>
      <c r="BE26" s="33">
        <f>'Norway EV uptake with subs'!AN36</f>
        <v>9.6899513926867265</v>
      </c>
      <c r="BF26" s="33">
        <v>2.5231360167074186</v>
      </c>
      <c r="BG26" s="33">
        <v>2.0143780599441765</v>
      </c>
      <c r="BH26" s="33">
        <v>6.5832759745539366</v>
      </c>
      <c r="BI26" s="33">
        <f>'China EV uptake'!AE26</f>
        <v>3.5296066782408673</v>
      </c>
      <c r="BJ26" s="33">
        <f>'Denmark EV uptake'!AQ35</f>
        <v>3.4071573140172537</v>
      </c>
      <c r="BK26">
        <f>'Finland EV uptake'!AE26</f>
        <v>6.5289709667764555</v>
      </c>
      <c r="BL26" s="33">
        <f>'France EV uptake'!AE26</f>
        <v>-0.94105305546201912</v>
      </c>
      <c r="BM26" s="33">
        <f>'Germany EV uptake'!AE26</f>
        <v>4.8176340915831322</v>
      </c>
      <c r="BN26" s="33">
        <f>'India EV uptake'!AE26</f>
        <v>-2.7435724573156026</v>
      </c>
      <c r="BO26" s="33">
        <f>'Ireland EV uptake'!AE26</f>
        <v>1.5449519524368949</v>
      </c>
      <c r="BP26" s="33">
        <f>'Italy EV uptake'!AG26</f>
        <v>0.1155921835670437</v>
      </c>
      <c r="BQ26" s="33">
        <f>'Japan EV uptake'!AG26</f>
        <v>-1.4886168268810303</v>
      </c>
      <c r="BR26" s="33">
        <f>'Korea EV uptake'!AF26</f>
        <v>5.4190307186612472</v>
      </c>
      <c r="BS26" s="33">
        <f>'Netherlands logist Take-up'!AI104</f>
        <v>7.1862542237060811</v>
      </c>
      <c r="BT26" s="33">
        <f>'New Zealand EV uptake'!AF26</f>
        <v>0.74393261536591915</v>
      </c>
      <c r="BU26" s="33">
        <f>'Spain EV uptake'!AF26</f>
        <v>-0.98915613794084667</v>
      </c>
      <c r="BV26" s="33">
        <f>'Sweden EV uptake'!AF26</f>
        <v>3.5820655900239089</v>
      </c>
      <c r="BW26" s="33">
        <f>'Switzerland EV uptake'!AF26</f>
        <v>-3.9098089913784317</v>
      </c>
      <c r="BX26" s="33">
        <f>'USA EV uptake'!AF26</f>
        <v>-0.46695190545851961</v>
      </c>
      <c r="BY26" s="33">
        <f>'Rest Europe EV takeup'!S26</f>
        <v>0.85074372546399424</v>
      </c>
      <c r="BZ26" s="33"/>
      <c r="CA26" s="33"/>
      <c r="CB26" s="33"/>
      <c r="CC26" s="33" t="s">
        <v>1150</v>
      </c>
      <c r="CD26" s="33" t="s">
        <v>545</v>
      </c>
      <c r="CE26" s="83">
        <v>2021.640076145691</v>
      </c>
      <c r="CF26" s="83">
        <v>2021.739415158265</v>
      </c>
      <c r="CH26" s="13">
        <v>1.0410846881713862</v>
      </c>
      <c r="CI26">
        <v>0</v>
      </c>
      <c r="CJ26">
        <v>0</v>
      </c>
      <c r="CK26">
        <v>0</v>
      </c>
      <c r="CL26">
        <v>0</v>
      </c>
      <c r="CM26">
        <v>0</v>
      </c>
      <c r="CN26">
        <v>0</v>
      </c>
      <c r="CO26">
        <v>0</v>
      </c>
      <c r="CP26">
        <v>0</v>
      </c>
      <c r="CQ26">
        <v>1</v>
      </c>
      <c r="CR26">
        <v>0</v>
      </c>
      <c r="CS26">
        <v>0</v>
      </c>
      <c r="CT26">
        <v>0</v>
      </c>
      <c r="CU26">
        <v>0</v>
      </c>
      <c r="CV26">
        <v>0</v>
      </c>
      <c r="CW26">
        <v>0</v>
      </c>
    </row>
    <row r="27" spans="1:101">
      <c r="A27">
        <v>2032</v>
      </c>
      <c r="B27" s="13">
        <f>'Australia EV uptake'!C27</f>
        <v>47.961401436211673</v>
      </c>
      <c r="C27" s="13">
        <f>'Global EV uptake'!C83</f>
        <v>63.606173869989689</v>
      </c>
      <c r="D27" s="72">
        <f>'Norway EV uptake with subs'!H37</f>
        <v>64.997924035865111</v>
      </c>
      <c r="E27" s="13">
        <f>'Austria EV uptake'!AB27</f>
        <v>59.172477908962534</v>
      </c>
      <c r="F27" s="13">
        <f>'Canada EV uptake'!AB27</f>
        <v>62.440168733225129</v>
      </c>
      <c r="G27" s="13">
        <f>'Belgian EV uptake'!AB27</f>
        <v>64.983981885289836</v>
      </c>
      <c r="H27" s="13">
        <f>'China EV uptake'!AB27</f>
        <v>63.843530086803234</v>
      </c>
      <c r="I27" s="13">
        <f>'Denmark EV uptake'!F36</f>
        <v>63.654182671646552</v>
      </c>
      <c r="J27" s="13">
        <f>'Denmark EV uptake'!E36</f>
        <v>56.642277025703507</v>
      </c>
      <c r="K27" s="13">
        <f>'Finland EV uptake'!AB27</f>
        <v>64.952908791357117</v>
      </c>
      <c r="L27" s="13">
        <f>'France EV uptake'!AB27</f>
        <v>20.830405173776125</v>
      </c>
      <c r="M27" s="13">
        <f>'Germany EV uptake'!AB27</f>
        <v>64.71828554099875</v>
      </c>
      <c r="N27" s="13">
        <f>'India EV uptake'!AB27</f>
        <v>4.7014825110803562</v>
      </c>
      <c r="O27" s="13">
        <f>'Ireland EV uptake'!AB27</f>
        <v>57.050781563780149</v>
      </c>
      <c r="P27" s="13">
        <f>'Italy EV uptake'!AB28</f>
        <v>46.074760835613823</v>
      </c>
      <c r="Q27" s="13">
        <f>'Japan EV uptake'!AB27</f>
        <v>13.761376026223918</v>
      </c>
      <c r="R27" s="13">
        <f>'Korea EV uptake'!AB27</f>
        <v>64.856354451606165</v>
      </c>
      <c r="S27" s="13">
        <f>'Netherlands logist Take-up'!E105</f>
        <v>64.97289012259948</v>
      </c>
      <c r="T27" s="13">
        <f>'Netherlands logist Take-up'!O105</f>
        <v>64.833895042037284</v>
      </c>
      <c r="U27" s="13">
        <f>'New Zealand EV uptake'!AB27</f>
        <v>49.487942130385711</v>
      </c>
      <c r="V27" s="13">
        <f>'Spain EV uptake'!AB27</f>
        <v>21.202461713609075</v>
      </c>
      <c r="W27" s="13">
        <f>'Sweden EV uptake'!AB27</f>
        <v>63.842741627581553</v>
      </c>
      <c r="X27" s="13">
        <f>'Switzerland EV uptake'!AB27</f>
        <v>57.435556837430028</v>
      </c>
      <c r="Y27" s="13">
        <f>'British EV uptake'!AB27</f>
        <v>54.563084171109345</v>
      </c>
      <c r="Z27" s="13">
        <f>'USA EV uptake'!AB27</f>
        <v>28.800162611632498</v>
      </c>
      <c r="AA27" s="13">
        <f>'Rest Europe EV takeup'!O27</f>
        <v>51.008720535160165</v>
      </c>
      <c r="AC27">
        <v>2032</v>
      </c>
      <c r="AD27" s="13">
        <f>'Australia EV uptake'!E27</f>
        <v>36.457651563255034</v>
      </c>
      <c r="AE27" s="13">
        <f>'Norway EV uptake with subs'!J37</f>
        <v>64.98344114817084</v>
      </c>
      <c r="AF27" s="13">
        <f>'Austria EV uptake'!C27</f>
        <v>37.517058750001787</v>
      </c>
      <c r="AG27" s="13">
        <f>'Canada EV uptake'!C27</f>
        <v>50.758278508185988</v>
      </c>
      <c r="AH27" s="13">
        <f>'Belgian EV uptake'!C27</f>
        <v>61.211091022849381</v>
      </c>
      <c r="AI27" s="13">
        <f>'China EV uptake'!C27</f>
        <v>62.079576288656014</v>
      </c>
      <c r="AJ27" s="13">
        <f>'Denmark EV uptake'!O36</f>
        <v>36.117949277945051</v>
      </c>
      <c r="AK27" s="13">
        <f>'Finland EV uptake'!C27</f>
        <v>63.774538942341827</v>
      </c>
      <c r="AL27" s="13">
        <f>'France EV uptake'!C27</f>
        <v>26.621898157075655</v>
      </c>
      <c r="AM27" s="13">
        <f>'Germany EV uptake'!C27</f>
        <v>55.270760789028323</v>
      </c>
      <c r="AN27" s="13">
        <f>'India EV uptake'!C27</f>
        <v>7.1577950344627235</v>
      </c>
      <c r="AO27" s="13">
        <f>'Ireland EV uptake'!C27</f>
        <v>52.223716629287729</v>
      </c>
      <c r="AP27" s="13">
        <f>'Italy EV uptake'!C27</f>
        <v>24.803517653624453</v>
      </c>
      <c r="AQ27" s="13">
        <f>'Japan EV uptake'!C27</f>
        <v>18.297543046090663</v>
      </c>
      <c r="AR27" s="13">
        <f>'Korea EV uptake'!C27</f>
        <v>62.910479618304272</v>
      </c>
      <c r="AS27" s="13">
        <f>'Netherlands logist Take-up'!F105</f>
        <v>52.957902551228656</v>
      </c>
      <c r="AT27" s="13">
        <f>'New Zealand EV uptake'!Y27</f>
        <v>35.222121988058468</v>
      </c>
      <c r="AU27" s="13">
        <f>'Spain EV uptake'!C27</f>
        <v>29.355563878666867</v>
      </c>
      <c r="AV27" s="13">
        <f>'Sweden EV uptake'!C27</f>
        <v>61.612702797981477</v>
      </c>
      <c r="AW27" s="13">
        <f>'Switzerland EV uptake'!C27</f>
        <v>47.891592258478695</v>
      </c>
      <c r="AX27" s="13">
        <f>'British EV uptake'!C27</f>
        <v>38.135703199022991</v>
      </c>
      <c r="AY27" s="13">
        <f>'USA EV uptake'!C27</f>
        <v>25.529528406376212</v>
      </c>
      <c r="AZ27" s="13">
        <f>'Rest Europe EV takeup'!C27</f>
        <v>26.444523671266914</v>
      </c>
      <c r="BB27">
        <v>2032</v>
      </c>
      <c r="BC27" s="33">
        <f>'Australia EV uptake'!AH27</f>
        <v>1.0349152765610974</v>
      </c>
      <c r="BD27" s="33">
        <f>'Global EV uptake'!G83</f>
        <v>3.8206579618988021</v>
      </c>
      <c r="BE27" s="33">
        <f>'Norway EV uptake with subs'!AN37</f>
        <v>10.351684921365333</v>
      </c>
      <c r="BF27" s="33">
        <v>2.946430447410938</v>
      </c>
      <c r="BG27" s="33">
        <v>2.4077453186378079</v>
      </c>
      <c r="BH27" s="33">
        <v>7.273464872625615</v>
      </c>
      <c r="BI27" s="33">
        <f>'China EV uptake'!AE27</f>
        <v>4.0110630605018258</v>
      </c>
      <c r="BJ27" s="33">
        <f>'Denmark EV uptake'!AQ36</f>
        <v>3.8564635288953495</v>
      </c>
      <c r="BK27">
        <f>'Finland EV uptake'!AE27</f>
        <v>7.229331475599091</v>
      </c>
      <c r="BL27" s="222">
        <f>'France EV uptake'!AE27</f>
        <v>-0.75162294597560386</v>
      </c>
      <c r="BM27" s="33">
        <f>'Germany EV uptake'!AE27</f>
        <v>5.4369050597535971</v>
      </c>
      <c r="BN27" s="33">
        <f>'India EV uptake'!AE27</f>
        <v>-2.5514296309723212</v>
      </c>
      <c r="BO27" s="33">
        <f>'Ireland EV uptake'!AE27</f>
        <v>1.9708681619182418</v>
      </c>
      <c r="BP27" s="33">
        <f>'Italy EV uptake'!AG27</f>
        <v>0.50268052980956668</v>
      </c>
      <c r="BQ27" s="33">
        <f>'Japan EV uptake'!AG27</f>
        <v>-1.3146277927247132</v>
      </c>
      <c r="BR27" s="33">
        <f>'Korea EV uptake'!AF27</f>
        <v>6.1125813761694161</v>
      </c>
      <c r="BS27" s="33">
        <f>'Netherlands logist Take-up'!AI105</f>
        <v>7.7818272456378796</v>
      </c>
      <c r="BT27" s="33">
        <f>'New Zealand EV uptake'!AF27</f>
        <v>1.1601113980067694</v>
      </c>
      <c r="BU27" s="33">
        <f>'Spain EV uptake'!AF27</f>
        <v>-0.72546031879267403</v>
      </c>
      <c r="BV27" s="33">
        <f>'Sweden EV uptake'!AF27</f>
        <v>4.0103691618570938</v>
      </c>
      <c r="BW27" s="33">
        <f>'Switzerland EV uptake'!AF27</f>
        <v>-3.9098089913784317</v>
      </c>
      <c r="BX27" s="33">
        <f>'USA EV uptake'!AF27</f>
        <v>-0.22867359342438931</v>
      </c>
      <c r="BY27" s="33">
        <f>'Rest Europe EV takeup'!S27</f>
        <v>1.2935623688257873</v>
      </c>
      <c r="BZ27" s="33"/>
      <c r="CA27" s="33"/>
      <c r="CB27" s="33"/>
      <c r="CC27" s="33"/>
      <c r="CD27" s="33" t="s">
        <v>249</v>
      </c>
      <c r="CE27" s="83">
        <v>2017.485814631053</v>
      </c>
      <c r="CF27" s="83">
        <v>2017.5778599031757</v>
      </c>
      <c r="CH27" s="13">
        <v>0.86643268249025507</v>
      </c>
      <c r="CI27">
        <v>0</v>
      </c>
      <c r="CJ27">
        <v>0</v>
      </c>
      <c r="CK27">
        <v>0</v>
      </c>
      <c r="CL27">
        <v>0</v>
      </c>
      <c r="CM27">
        <v>0</v>
      </c>
      <c r="CN27">
        <v>0</v>
      </c>
      <c r="CO27">
        <v>0</v>
      </c>
      <c r="CP27">
        <v>0</v>
      </c>
      <c r="CQ27">
        <v>0</v>
      </c>
      <c r="CR27">
        <v>0</v>
      </c>
      <c r="CS27">
        <v>1</v>
      </c>
      <c r="CT27">
        <v>0</v>
      </c>
      <c r="CU27">
        <v>0</v>
      </c>
      <c r="CV27">
        <v>0</v>
      </c>
      <c r="CW27">
        <v>0</v>
      </c>
    </row>
    <row r="28" spans="1:101">
      <c r="A28">
        <v>2033</v>
      </c>
      <c r="B28" s="13">
        <f>'Australia EV uptake'!C28</f>
        <v>52.857885146385492</v>
      </c>
      <c r="C28" s="13">
        <f>'Global EV uptake'!C84</f>
        <v>64.130569686028679</v>
      </c>
      <c r="D28" s="72">
        <f>'Norway EV uptake with subs'!H38</f>
        <v>64.998928877011707</v>
      </c>
      <c r="E28" s="13">
        <f>'Austria EV uptake'!AB28</f>
        <v>60.941592261933344</v>
      </c>
      <c r="F28" s="13">
        <f>'Canada EV uptake'!AB28</f>
        <v>63.317698052510366</v>
      </c>
      <c r="G28" s="13">
        <f>'Belgian EV uptake'!AB28</f>
        <v>64.992414965402872</v>
      </c>
      <c r="H28" s="13">
        <f>'China EV uptake'!AB28</f>
        <v>64.280545800679874</v>
      </c>
      <c r="I28" s="13">
        <f>'Denmark EV uptake'!F37</f>
        <v>64.134789790351192</v>
      </c>
      <c r="J28" s="13">
        <f>'Denmark EV uptake'!E37</f>
        <v>59.326529825102554</v>
      </c>
      <c r="K28" s="13">
        <f>'Finland EV uptake'!AB28</f>
        <v>64.976615094924767</v>
      </c>
      <c r="L28" s="13">
        <f>'France EV uptake'!AB28</f>
        <v>23.597615056751863</v>
      </c>
      <c r="M28" s="13">
        <f>'Germany EV uptake'!AB28</f>
        <v>64.84803869476076</v>
      </c>
      <c r="N28" s="13">
        <f>'India EV uptake'!AB28</f>
        <v>5.6114781425235627</v>
      </c>
      <c r="O28" s="13">
        <f>'Ireland EV uptake'!AB28</f>
        <v>59.577814845498921</v>
      </c>
      <c r="P28" s="13">
        <f>'Italy EV uptake'!AB29</f>
        <v>50.824431532284635</v>
      </c>
      <c r="Q28" s="13">
        <f>'Japan EV uptake'!AB28</f>
        <v>15.743201724789555</v>
      </c>
      <c r="R28" s="13">
        <f>'Korea EV uptake'!AB28</f>
        <v>64.928126749273915</v>
      </c>
      <c r="S28" s="13">
        <f>'Netherlands logist Take-up'!E106</f>
        <v>64.985052974742146</v>
      </c>
      <c r="T28" s="13">
        <f>'Netherlands logist Take-up'!O106</f>
        <v>64.908215872867771</v>
      </c>
      <c r="U28" s="13">
        <f>'New Zealand EV uptake'!AB28</f>
        <v>53.864100890929627</v>
      </c>
      <c r="V28" s="13">
        <f>'Spain EV uptake'!AB28</f>
        <v>25.12687573909826</v>
      </c>
      <c r="W28" s="13">
        <f>'Sweden EV uptake'!AB28</f>
        <v>64.241208206836262</v>
      </c>
      <c r="X28" s="13">
        <f>'Switzerland EV uptake'!AB28</f>
        <v>59.475849898845816</v>
      </c>
      <c r="Y28" s="13">
        <f>'British EV uptake'!AB28</f>
        <v>57.276616992813544</v>
      </c>
      <c r="Z28" s="13">
        <f>'USA EV uptake'!AB28</f>
        <v>32.656075477571825</v>
      </c>
      <c r="AA28" s="13">
        <f>'Rest Europe EV takeup'!O28</f>
        <v>55.264742203913279</v>
      </c>
      <c r="AC28">
        <v>2033</v>
      </c>
      <c r="AD28" s="13">
        <f>'Australia EV uptake'!E28</f>
        <v>41.140043673785051</v>
      </c>
      <c r="AE28" s="13">
        <f>'Norway EV uptake with subs'!J38</f>
        <v>64.991454772887778</v>
      </c>
      <c r="AF28" s="13">
        <f>'Austria EV uptake'!C28</f>
        <v>40.818097245629644</v>
      </c>
      <c r="AG28" s="13">
        <f>'Canada EV uptake'!C28</f>
        <v>53.985948552210502</v>
      </c>
      <c r="AH28" s="13">
        <f>'Belgian EV uptake'!C28</f>
        <v>62.655238369716763</v>
      </c>
      <c r="AI28" s="13">
        <f>'China EV uptake'!C28</f>
        <v>63.265725435003688</v>
      </c>
      <c r="AJ28" s="13">
        <f>'Denmark EV uptake'!O37</f>
        <v>40.341447778454459</v>
      </c>
      <c r="AK28" s="13">
        <f>'Finland EV uptake'!C28</f>
        <v>64.34160449647699</v>
      </c>
      <c r="AL28" s="13">
        <f>'France EV uptake'!C28</f>
        <v>29.61414897588477</v>
      </c>
      <c r="AM28" s="13">
        <f>'Germany EV uptake'!C28</f>
        <v>58.099140083468527</v>
      </c>
      <c r="AN28" s="13">
        <f>'India EV uptake'!C28</f>
        <v>8.4796646290573392</v>
      </c>
      <c r="AO28" s="13">
        <f>'Ireland EV uptake'!C28</f>
        <v>55.815327901090924</v>
      </c>
      <c r="AP28" s="13">
        <f>'Italy EV uptake'!C28</f>
        <v>27.998858376571174</v>
      </c>
      <c r="AQ28" s="13">
        <f>'Japan EV uptake'!C28</f>
        <v>20.665407145781536</v>
      </c>
      <c r="AR28" s="13">
        <f>'Korea EV uptake'!C28</f>
        <v>63.791176217728925</v>
      </c>
      <c r="AS28" s="13">
        <f>'Netherlands logist Take-up'!F106</f>
        <v>55.714327874223841</v>
      </c>
      <c r="AT28" s="13">
        <f>'New Zealand EV uptake'!Y28</f>
        <v>38.798280228540712</v>
      </c>
      <c r="AU28" s="13">
        <f>'Spain EV uptake'!C28</f>
        <v>33.391616477299635</v>
      </c>
      <c r="AV28" s="13">
        <f>'Sweden EV uptake'!C28</f>
        <v>62.683968672407914</v>
      </c>
      <c r="AW28" s="13">
        <f>'Switzerland EV uptake'!C28</f>
        <v>50.704484533454597</v>
      </c>
      <c r="AX28" s="13">
        <f>'British EV uptake'!C28</f>
        <v>41.896705249588628</v>
      </c>
      <c r="AY28" s="13">
        <f>'USA EV uptake'!C28</f>
        <v>29.076278040603714</v>
      </c>
      <c r="AZ28" s="13">
        <f>'Rest Europe EV takeup'!C28</f>
        <v>30.5657574927612</v>
      </c>
      <c r="BB28">
        <v>2033</v>
      </c>
      <c r="BC28" s="33">
        <f>'Australia EV uptake'!AH28</f>
        <v>1.4709269239301737</v>
      </c>
      <c r="BD28" s="33">
        <f>'Global EV uptake'!G84</f>
        <v>4.3008382497647402</v>
      </c>
      <c r="BE28" s="33">
        <f>'Norway EV uptake with subs'!AN38</f>
        <v>11.013418450043943</v>
      </c>
      <c r="BF28" s="33">
        <v>3.3697248781144573</v>
      </c>
      <c r="BG28" s="33">
        <v>2.8011125773314376</v>
      </c>
      <c r="BH28" s="33">
        <v>7.9636537706972916</v>
      </c>
      <c r="BI28" s="33">
        <f>'China EV uptake'!AE28</f>
        <v>4.4925194427627844</v>
      </c>
      <c r="BJ28" s="33">
        <f>'Denmark EV uptake'!AQ37</f>
        <v>4.3057697437734452</v>
      </c>
      <c r="BK28">
        <f>'Finland EV uptake'!AE28</f>
        <v>7.9296919844217282</v>
      </c>
      <c r="BL28" s="33">
        <f>'France EV uptake'!AE28</f>
        <v>-0.56219283648918861</v>
      </c>
      <c r="BM28" s="33">
        <f>'Germany EV uptake'!AE28</f>
        <v>6.056176027924062</v>
      </c>
      <c r="BN28" s="33">
        <f>'India EV uptake'!AE28</f>
        <v>-2.3592868046290398</v>
      </c>
      <c r="BO28" s="33">
        <f>'Ireland EV uptake'!AE28</f>
        <v>2.3967843713995887</v>
      </c>
      <c r="BP28" s="33">
        <f>'Italy EV uptake'!AG28</f>
        <v>0.88976887605208965</v>
      </c>
      <c r="BQ28" s="33">
        <f>'Japan EV uptake'!AG28</f>
        <v>-1.1406387585683957</v>
      </c>
      <c r="BR28" s="33">
        <f>'Korea EV uptake'!AF28</f>
        <v>6.806132033677585</v>
      </c>
      <c r="BS28" s="33">
        <f>'Netherlands logist Take-up'!AI106</f>
        <v>8.3774002675696781</v>
      </c>
      <c r="BT28" s="33">
        <f>'New Zealand EV uptake'!AF28</f>
        <v>1.5762901806476215</v>
      </c>
      <c r="BU28" s="33">
        <f>'Spain EV uptake'!AF28</f>
        <v>-0.46176449964450139</v>
      </c>
      <c r="BV28" s="33">
        <f>'Sweden EV uptake'!AF28</f>
        <v>4.4386727336902787</v>
      </c>
      <c r="BW28" s="33">
        <f>'Switzerland EV uptake'!AF28</f>
        <v>-3.9098089913784317</v>
      </c>
      <c r="BX28" s="33">
        <f>'USA EV uptake'!AF28</f>
        <v>9.6047186097401038E-3</v>
      </c>
      <c r="BY28" s="33">
        <f>'Rest Europe EV takeup'!S28</f>
        <v>1.7363810121875822</v>
      </c>
      <c r="BZ28" s="33"/>
      <c r="CA28" s="33"/>
      <c r="CB28" s="33"/>
      <c r="CC28" s="33"/>
      <c r="CD28" s="33"/>
      <c r="CE28" s="33"/>
      <c r="CF28" s="33"/>
    </row>
    <row r="29" spans="1:101">
      <c r="A29">
        <v>2034</v>
      </c>
      <c r="B29" s="13">
        <f>'Australia EV uptake'!C29</f>
        <v>56.593863394225558</v>
      </c>
      <c r="C29" s="13">
        <f>'Global EV uptake'!C85</f>
        <v>64.45935031390492</v>
      </c>
      <c r="D29" s="72">
        <f>'Norway EV uptake with subs'!H39</f>
        <v>64.999447343115634</v>
      </c>
      <c r="E29" s="13">
        <f>'Austria EV uptake'!AB29</f>
        <v>62.199062445521918</v>
      </c>
      <c r="F29" s="13">
        <f>'Canada EV uptake'!AB29</f>
        <v>63.899704744056265</v>
      </c>
      <c r="G29" s="13">
        <f>'Belgian EV uptake'!AB29</f>
        <v>64.996408514956386</v>
      </c>
      <c r="H29" s="13">
        <f>'China EV uptake'!AB29</f>
        <v>64.553573430480995</v>
      </c>
      <c r="I29" s="13">
        <f>'Denmark EV uptake'!F38</f>
        <v>64.445262218655003</v>
      </c>
      <c r="J29" s="13">
        <f>'Denmark EV uptake'!E38</f>
        <v>61.223140250105146</v>
      </c>
      <c r="K29" s="13">
        <f>'Finland EV uptake'!AB29</f>
        <v>64.988389481943116</v>
      </c>
      <c r="L29" s="13">
        <f>'France EV uptake'!AB29</f>
        <v>26.511785194965093</v>
      </c>
      <c r="M29" s="13">
        <f>'Germany EV uptake'!AB29</f>
        <v>64.918105253848566</v>
      </c>
      <c r="N29" s="13">
        <f>'India EV uptake'!AB29</f>
        <v>6.6781010294633321</v>
      </c>
      <c r="O29" s="13">
        <f>'Ireland EV uptake'!AB29</f>
        <v>61.352867201183777</v>
      </c>
      <c r="P29" s="13">
        <f>'Italy EV uptake'!AB30</f>
        <v>54.649850966082099</v>
      </c>
      <c r="Q29" s="13">
        <f>'Japan EV uptake'!AB29</f>
        <v>17.910671129207994</v>
      </c>
      <c r="R29" s="13">
        <f>'Korea EV uptake'!AB29</f>
        <v>64.964057991996526</v>
      </c>
      <c r="S29" s="13">
        <f>'Netherlands logist Take-up'!E107</f>
        <v>64.991759652818033</v>
      </c>
      <c r="T29" s="13">
        <f>'Netherlands logist Take-up'!O107</f>
        <v>64.949337345395023</v>
      </c>
      <c r="U29" s="13">
        <f>'New Zealand EV uptake'!AB29</f>
        <v>57.200266309652122</v>
      </c>
      <c r="V29" s="13">
        <f>'Spain EV uptake'!AB29</f>
        <v>29.291865338853871</v>
      </c>
      <c r="W29" s="13">
        <f>'Sweden EV uptake'!AB29</f>
        <v>64.503541890273766</v>
      </c>
      <c r="X29" s="13">
        <f>'Switzerland EV uptake'!AB29</f>
        <v>61.004118023693003</v>
      </c>
      <c r="Y29" s="13">
        <f>'British EV uptake'!AB29</f>
        <v>59.35760452132719</v>
      </c>
      <c r="Z29" s="13">
        <f>'USA EV uptake'!AB29</f>
        <v>36.507599321444729</v>
      </c>
      <c r="AA29" s="13">
        <f>'Rest Europe EV takeup'!O29</f>
        <v>58.393791321865343</v>
      </c>
      <c r="AC29">
        <v>2034</v>
      </c>
      <c r="AD29" s="13">
        <f>'Australia EV uptake'!E29</f>
        <v>45.31624094050359</v>
      </c>
      <c r="AE29" s="13">
        <f>'Norway EV uptake with subs'!J39</f>
        <v>64.99559061532328</v>
      </c>
      <c r="AF29" s="13">
        <f>'Austria EV uptake'!C29</f>
        <v>43.825589856797954</v>
      </c>
      <c r="AG29" s="13">
        <f>'Canada EV uptake'!C29</f>
        <v>56.636318021438015</v>
      </c>
      <c r="AH29" s="13">
        <f>'Belgian EV uptake'!C29</f>
        <v>63.620594864692961</v>
      </c>
      <c r="AI29" s="13">
        <f>'China EV uptake'!C29</f>
        <v>63.970027409325859</v>
      </c>
      <c r="AJ29" s="13">
        <f>'Denmark EV uptake'!O38</f>
        <v>44.296915049808547</v>
      </c>
      <c r="AK29" s="13">
        <f>'Finland EV uptake'!C29</f>
        <v>64.580381567450573</v>
      </c>
      <c r="AL29" s="13">
        <f>'France EV uptake'!C29</f>
        <v>32.594153893074015</v>
      </c>
      <c r="AM29" s="13">
        <f>'Germany EV uptake'!C29</f>
        <v>60.245447499995393</v>
      </c>
      <c r="AN29" s="13">
        <f>'India EV uptake'!C29</f>
        <v>9.9751947428949048</v>
      </c>
      <c r="AO29" s="13">
        <f>'Ireland EV uptake'!C29</f>
        <v>58.595976614611679</v>
      </c>
      <c r="AP29" s="13">
        <f>'Italy EV uptake'!C29</f>
        <v>31.138291268627935</v>
      </c>
      <c r="AQ29" s="13">
        <f>'Japan EV uptake'!C29</f>
        <v>23.135328061849897</v>
      </c>
      <c r="AR29" s="13">
        <f>'Korea EV uptake'!C29</f>
        <v>64.308204277339939</v>
      </c>
      <c r="AS29" s="13">
        <f>'Netherlands logist Take-up'!F107</f>
        <v>57.749861502004379</v>
      </c>
      <c r="AT29" s="13">
        <f>'New Zealand EV uptake'!Y29</f>
        <v>42.213655566163354</v>
      </c>
      <c r="AU29" s="13">
        <f>'Spain EV uptake'!C29</f>
        <v>37.335978428464948</v>
      </c>
      <c r="AV29" s="13">
        <f>'Sweden EV uptake'!C29</f>
        <v>63.339454393893071</v>
      </c>
      <c r="AW29" s="13">
        <f>'Switzerland EV uptake'!C29</f>
        <v>53.06923354824098</v>
      </c>
      <c r="AX29" s="13">
        <f>'British EV uptake'!C29</f>
        <v>45.412905407599169</v>
      </c>
      <c r="AY29" s="13">
        <f>'USA EV uptake'!C29</f>
        <v>32.644299700791024</v>
      </c>
      <c r="AZ29" s="13">
        <f>'Rest Europe EV takeup'!C29</f>
        <v>34.690210331963065</v>
      </c>
      <c r="BB29">
        <v>2034</v>
      </c>
      <c r="BC29" s="33">
        <f>'Australia EV uptake'!AH29</f>
        <v>1.9069385712992499</v>
      </c>
      <c r="BD29" s="33">
        <f>'Global EV uptake'!G85</f>
        <v>4.7810185376306782</v>
      </c>
      <c r="BE29" s="33">
        <f>'Norway EV uptake with subs'!AN39</f>
        <v>11.675151978722553</v>
      </c>
      <c r="BF29" s="33">
        <v>3.7930193088179784</v>
      </c>
      <c r="BG29" s="33">
        <v>3.194479836025069</v>
      </c>
      <c r="BH29" s="33">
        <v>8.65384266876897</v>
      </c>
      <c r="BI29" s="33">
        <f>'China EV uptake'!AE29</f>
        <v>4.9739758250237447</v>
      </c>
      <c r="BJ29" s="33">
        <f>'Denmark EV uptake'!AQ38</f>
        <v>4.7550759586515392</v>
      </c>
      <c r="BK29">
        <f>'Finland EV uptake'!AE29</f>
        <v>8.6300524932443654</v>
      </c>
      <c r="BL29" s="33">
        <f>'France EV uptake'!AE29</f>
        <v>-0.37276272700277246</v>
      </c>
      <c r="BM29" s="33">
        <f>'Germany EV uptake'!AE29</f>
        <v>6.6754469960945286</v>
      </c>
      <c r="BN29" s="33">
        <f>'India EV uptake'!AE29</f>
        <v>-2.1671439782857576</v>
      </c>
      <c r="BO29" s="33">
        <f>'Ireland EV uptake'!AE29</f>
        <v>2.8227005808809356</v>
      </c>
      <c r="BP29" s="33">
        <f>'Italy EV uptake'!AG29</f>
        <v>1.2768572222946144</v>
      </c>
      <c r="BQ29" s="33">
        <f>'Japan EV uptake'!AG29</f>
        <v>-0.96664972441207908</v>
      </c>
      <c r="BR29" s="33">
        <f>'Korea EV uptake'!AF29</f>
        <v>7.4996826911857539</v>
      </c>
      <c r="BS29" s="33">
        <f>'Netherlands logist Take-up'!AI107</f>
        <v>8.9729732895014767</v>
      </c>
      <c r="BT29" s="33">
        <f>'New Zealand EV uptake'!AF29</f>
        <v>1.9924689632884718</v>
      </c>
      <c r="BU29" s="33">
        <f>'Spain EV uptake'!AF29</f>
        <v>-0.19806868049632875</v>
      </c>
      <c r="BV29" s="33">
        <f>'Sweden EV uptake'!AF29</f>
        <v>4.8669763055234636</v>
      </c>
      <c r="BW29" s="33">
        <f>'Switzerland EV uptake'!AF29</f>
        <v>-3.9098089913784317</v>
      </c>
      <c r="BX29" s="33">
        <f>'USA EV uptake'!AF29</f>
        <v>0.24788303064387041</v>
      </c>
      <c r="BY29" s="33">
        <f>'Rest Europe EV takeup'!S29</f>
        <v>2.1791996555493753</v>
      </c>
      <c r="BZ29" s="33"/>
      <c r="CA29" s="33"/>
      <c r="CB29" s="33"/>
      <c r="CC29" s="33"/>
      <c r="CD29" s="33"/>
      <c r="CE29" s="33"/>
      <c r="CF29" s="33"/>
    </row>
    <row r="30" spans="1:101">
      <c r="A30">
        <v>2035</v>
      </c>
      <c r="B30" s="13">
        <f>'Australia EV uptake'!C30</f>
        <v>59.304195582809022</v>
      </c>
      <c r="C30" s="13">
        <f>'Global EV uptake'!C86</f>
        <v>64.664450978639351</v>
      </c>
      <c r="D30" s="72">
        <f>'Norway EV uptake with subs'!H40</f>
        <v>64.999714852116952</v>
      </c>
      <c r="E30" s="13">
        <f>'Austria EV uptake'!AB30</f>
        <v>63.079194309776966</v>
      </c>
      <c r="F30" s="13">
        <f>'Canada EV uptake'!AB30</f>
        <v>64.282642457883</v>
      </c>
      <c r="G30" s="13">
        <f>'Belgian EV uptake'!AB30</f>
        <v>64.99829950050075</v>
      </c>
      <c r="H30" s="13">
        <f>'China EV uptake'!AB30</f>
        <v>64.723434850432866</v>
      </c>
      <c r="I30" s="13">
        <f>'Denmark EV uptake'!F39</f>
        <v>64.644941359252172</v>
      </c>
      <c r="J30" s="13">
        <f>'Denmark EV uptake'!E39</f>
        <v>62.520686658640876</v>
      </c>
      <c r="K30" s="13">
        <f>'Finland EV uptake'!AB30</f>
        <v>64.994235947045865</v>
      </c>
      <c r="L30" s="13">
        <f>'France EV uptake'!AB30</f>
        <v>29.529161341843466</v>
      </c>
      <c r="M30" s="13">
        <f>'Germany EV uptake'!AB30</f>
        <v>64.955887389291988</v>
      </c>
      <c r="N30" s="13">
        <f>'India EV uptake'!AB30</f>
        <v>7.9204272879143121</v>
      </c>
      <c r="O30" s="13">
        <f>'Ireland EV uptake'!AB30</f>
        <v>62.570519514439546</v>
      </c>
      <c r="P30" s="13">
        <f>'Italy EV uptake'!AB31</f>
        <v>57.593383144374307</v>
      </c>
      <c r="Q30" s="13">
        <f>'Japan EV uptake'!AB30</f>
        <v>20.253847466681552</v>
      </c>
      <c r="R30" s="13">
        <f>'Korea EV uptake'!AB30</f>
        <v>64.982031275478718</v>
      </c>
      <c r="S30" s="13">
        <f>'Netherlands logist Take-up'!E108</f>
        <v>64.995457278203901</v>
      </c>
      <c r="T30" s="13">
        <f>'Netherlands logist Take-up'!O108</f>
        <v>64.972051981159439</v>
      </c>
      <c r="U30" s="13">
        <f>'New Zealand EV uptake'!AB30</f>
        <v>59.636483712964129</v>
      </c>
      <c r="V30" s="13">
        <f>'Spain EV uptake'!AB30</f>
        <v>33.566058411412435</v>
      </c>
      <c r="W30" s="13">
        <f>'Sweden EV uptake'!AB30</f>
        <v>64.67563805863881</v>
      </c>
      <c r="X30" s="13">
        <f>'Switzerland EV uptake'!AB30</f>
        <v>62.129989626255771</v>
      </c>
      <c r="Y30" s="13">
        <f>'British EV uptake'!AB30</f>
        <v>60.917852568126754</v>
      </c>
      <c r="Z30" s="13">
        <f>'USA EV uptake'!AB30</f>
        <v>40.248112240310185</v>
      </c>
      <c r="AA30" s="13">
        <f>'Rest Europe EV takeup'!O30</f>
        <v>60.597242333125578</v>
      </c>
      <c r="AC30">
        <v>2035</v>
      </c>
      <c r="AD30" s="13">
        <f>'Australia EV uptake'!E30</f>
        <v>49.059959713650805</v>
      </c>
      <c r="AE30" s="13">
        <f>'Norway EV uptake with subs'!J40</f>
        <v>64.997724838480636</v>
      </c>
      <c r="AF30" s="13">
        <f>'Austria EV uptake'!C30</f>
        <v>46.371460709969426</v>
      </c>
      <c r="AG30" s="13">
        <f>'Canada EV uptake'!C30</f>
        <v>58.674109188170284</v>
      </c>
      <c r="AH30" s="13">
        <f>'Belgian EV uptake'!C30</f>
        <v>64.197957405628046</v>
      </c>
      <c r="AI30" s="13">
        <f>'China EV uptake'!C30</f>
        <v>64.334536445063151</v>
      </c>
      <c r="AJ30" s="13">
        <f>'Denmark EV uptake'!O39</f>
        <v>47.868210470726417</v>
      </c>
      <c r="AK30" s="13">
        <f>'Finland EV uptake'!C30</f>
        <v>64.731973395144877</v>
      </c>
      <c r="AL30" s="13">
        <f>'France EV uptake'!C30</f>
        <v>35.510982866616487</v>
      </c>
      <c r="AM30" s="13">
        <f>'Germany EV uptake'!C30</f>
        <v>61.721967468788776</v>
      </c>
      <c r="AN30" s="13">
        <f>'India EV uptake'!C30</f>
        <v>11.653369090747033</v>
      </c>
      <c r="AO30" s="13">
        <f>'Ireland EV uptake'!C30</f>
        <v>60.591507987325812</v>
      </c>
      <c r="AP30" s="13">
        <f>'Italy EV uptake'!C30</f>
        <v>34.274158691978428</v>
      </c>
      <c r="AQ30" s="13">
        <f>'Japan EV uptake'!C30</f>
        <v>25.679484427928521</v>
      </c>
      <c r="AR30" s="13">
        <f>'Korea EV uptake'!C30</f>
        <v>64.606162940402797</v>
      </c>
      <c r="AS30" s="13">
        <f>'Netherlands logist Take-up'!F108</f>
        <v>58.886786008172749</v>
      </c>
      <c r="AT30" s="13">
        <f>'New Zealand EV uptake'!Y30</f>
        <v>45.398426965543081</v>
      </c>
      <c r="AU30" s="13">
        <f>'Spain EV uptake'!C30</f>
        <v>41.077353514526088</v>
      </c>
      <c r="AV30" s="13">
        <f>'Sweden EV uptake'!C30</f>
        <v>63.812202712996964</v>
      </c>
      <c r="AW30" s="13">
        <f>'Switzerland EV uptake'!C30</f>
        <v>54.937576847824054</v>
      </c>
      <c r="AX30" s="13">
        <f>'British EV uptake'!C30</f>
        <v>48.615538716512127</v>
      </c>
      <c r="AY30" s="13">
        <f>'USA EV uptake'!C30</f>
        <v>36.209087821450417</v>
      </c>
      <c r="AZ30" s="13">
        <f>'Rest Europe EV takeup'!C30</f>
        <v>38.695058871007866</v>
      </c>
      <c r="BB30">
        <v>2035</v>
      </c>
      <c r="BC30" s="33">
        <f>'Australia EV uptake'!AH30</f>
        <v>2.3429502186683262</v>
      </c>
      <c r="BD30" s="33">
        <f>'Global EV uptake'!G86</f>
        <v>5.2611988254966162</v>
      </c>
      <c r="BE30" s="33">
        <f>'Norway EV uptake with subs'!AN40</f>
        <v>12.336885507401163</v>
      </c>
      <c r="BF30" s="33">
        <v>4.2163137395214978</v>
      </c>
      <c r="BG30" s="33">
        <v>3.5878470947187004</v>
      </c>
      <c r="BH30" s="33">
        <v>9.3440315668406484</v>
      </c>
      <c r="BI30" s="33">
        <f>'China EV uptake'!AE30</f>
        <v>5.4554322072847032</v>
      </c>
      <c r="BJ30" s="33">
        <f>'Denmark EV uptake'!AQ39</f>
        <v>5.2043821735296349</v>
      </c>
      <c r="BK30">
        <f>'Finland EV uptake'!AE30</f>
        <v>9.3304130020670026</v>
      </c>
      <c r="BL30" s="33">
        <f>'France EV uptake'!AE30</f>
        <v>-0.18333261751635721</v>
      </c>
      <c r="BM30" s="33">
        <f>'Germany EV uptake'!AE30</f>
        <v>7.2947179642649917</v>
      </c>
      <c r="BN30" s="33">
        <f>'India EV uptake'!AE30</f>
        <v>-1.9750011519424762</v>
      </c>
      <c r="BO30" s="33">
        <f>'Ireland EV uptake'!AE30</f>
        <v>3.2486167903622825</v>
      </c>
      <c r="BP30" s="33">
        <f>'Italy EV uptake'!AG30</f>
        <v>1.6639455685371374</v>
      </c>
      <c r="BQ30" s="33">
        <f>'Japan EV uptake'!AG30</f>
        <v>-0.79266069025576158</v>
      </c>
      <c r="BR30" s="33">
        <f>'Korea EV uptake'!AF30</f>
        <v>8.1932333486939193</v>
      </c>
      <c r="BS30" s="33">
        <f>'Netherlands logist Take-up'!AI108</f>
        <v>9.5685463114332752</v>
      </c>
      <c r="BT30" s="33">
        <f>'New Zealand EV uptake'!AF30</f>
        <v>2.4086477459293238</v>
      </c>
      <c r="BU30" s="33">
        <f>'Spain EV uptake'!AF30</f>
        <v>6.5627138651843886E-2</v>
      </c>
      <c r="BV30" s="33">
        <f>'Sweden EV uptake'!AF30</f>
        <v>5.2952798773566485</v>
      </c>
      <c r="BW30" s="33">
        <f>'Switzerland EV uptake'!AF30</f>
        <v>-3.9098089913784317</v>
      </c>
      <c r="BX30" s="33">
        <f>'USA EV uptake'!AF30</f>
        <v>0.48616134267800071</v>
      </c>
      <c r="BY30" s="33">
        <f>'Rest Europe EV takeup'!S30</f>
        <v>2.6220182989111684</v>
      </c>
      <c r="BZ30" s="33"/>
      <c r="CA30" s="33"/>
      <c r="CB30" s="33"/>
      <c r="CC30" s="33"/>
      <c r="CD30" s="33"/>
      <c r="CE30" s="33"/>
      <c r="CF30" s="33"/>
    </row>
    <row r="31" spans="1:101">
      <c r="A31">
        <v>2036</v>
      </c>
      <c r="B31" s="13">
        <f>'Australia EV uptake'!C31</f>
        <v>61.199340704064824</v>
      </c>
      <c r="C31" s="13">
        <f>'Global EV uptake'!C87</f>
        <v>64.791995806647634</v>
      </c>
      <c r="D31" s="72">
        <f>'Norway EV uptake with subs'!H41</f>
        <v>64.999852875888223</v>
      </c>
      <c r="E31" s="13">
        <f>'Austria EV uptake'!AB31</f>
        <v>63.688595482263246</v>
      </c>
      <c r="F31" s="13">
        <f>'Canada EV uptake'!AB31</f>
        <v>64.533279110024068</v>
      </c>
      <c r="G31" s="13">
        <f>'Belgian EV uptake'!AB31</f>
        <v>64.999194858333979</v>
      </c>
      <c r="H31" s="13">
        <f>'China EV uptake'!AB31</f>
        <v>64.828836848000762</v>
      </c>
      <c r="I31" s="13">
        <f>'Denmark EV uptake'!F40</f>
        <v>64.772998705422452</v>
      </c>
      <c r="J31" s="13">
        <f>'Denmark EV uptake'!E40</f>
        <v>63.388136245200755</v>
      </c>
      <c r="K31" s="13">
        <f>'Finland EV uptake'!AB31</f>
        <v>64.997138559942073</v>
      </c>
      <c r="L31" s="13">
        <f>'France EV uptake'!AB31</f>
        <v>32.599083937523453</v>
      </c>
      <c r="M31" s="13">
        <f>'Germany EV uptake'!AB31</f>
        <v>64.976245117461644</v>
      </c>
      <c r="N31" s="13">
        <f>'India EV uptake'!AB31</f>
        <v>9.3567855877488721</v>
      </c>
      <c r="O31" s="13">
        <f>'Ireland EV uptake'!AB31</f>
        <v>63.392292447343138</v>
      </c>
      <c r="P31" s="13">
        <f>'Italy EV uptake'!AB32</f>
        <v>59.77975278287154</v>
      </c>
      <c r="Q31" s="13">
        <f>'Japan EV uptake'!AB31</f>
        <v>22.755435479348741</v>
      </c>
      <c r="R31" s="13">
        <f>'Korea EV uptake'!AB31</f>
        <v>64.991018019992524</v>
      </c>
      <c r="S31" s="13">
        <f>'Netherlands logist Take-up'!E109</f>
        <v>64.997495761520739</v>
      </c>
      <c r="T31" s="13">
        <f>'Netherlands logist Take-up'!O109</f>
        <v>64.984587540829111</v>
      </c>
      <c r="U31" s="13">
        <f>'New Zealand EV uptake'!AB31</f>
        <v>61.360178858851896</v>
      </c>
      <c r="V31" s="13">
        <f>'Spain EV uptake'!AB31</f>
        <v>37.803651140592251</v>
      </c>
      <c r="W31" s="13">
        <f>'Sweden EV uptake'!AB31</f>
        <v>64.788273266841315</v>
      </c>
      <c r="X31" s="13">
        <f>'Switzerland EV uptake'!AB31</f>
        <v>62.949301624138897</v>
      </c>
      <c r="Y31" s="13">
        <f>'British EV uptake'!AB31</f>
        <v>62.067968868417445</v>
      </c>
      <c r="Z31" s="13">
        <f>'USA EV uptake'!AB31</f>
        <v>43.782954090933238</v>
      </c>
      <c r="AA31" s="13">
        <f>'Rest Europe EV takeup'!O31</f>
        <v>62.102220364826763</v>
      </c>
      <c r="AC31">
        <v>2036</v>
      </c>
      <c r="AD31" s="13">
        <f>'Australia EV uptake'!E31</f>
        <v>52.27369741094325</v>
      </c>
      <c r="AE31" s="13">
        <f>'Norway EV uptake with subs'!J41</f>
        <v>64.99882608652068</v>
      </c>
      <c r="AF31" s="13">
        <f>'Austria EV uptake'!C31</f>
        <v>48.739664528034844</v>
      </c>
      <c r="AG31" s="13">
        <f>'Canada EV uptake'!C31</f>
        <v>60.081095148379987</v>
      </c>
      <c r="AH31" s="13">
        <f>'Belgian EV uptake'!C31</f>
        <v>64.445121255382659</v>
      </c>
      <c r="AI31" s="13">
        <f>'China EV uptake'!C31</f>
        <v>64.571354548520972</v>
      </c>
      <c r="AJ31" s="13">
        <f>'Denmark EV uptake'!O40</f>
        <v>50.990301380283242</v>
      </c>
      <c r="AK31" s="13">
        <f>'Finland EV uptake'!C31</f>
        <v>64.828261508675723</v>
      </c>
      <c r="AL31" s="13">
        <f>'France EV uptake'!C31</f>
        <v>38.381911029483774</v>
      </c>
      <c r="AM31" s="13">
        <f>'Germany EV uptake'!C31</f>
        <v>62.524367834205222</v>
      </c>
      <c r="AN31" s="13">
        <f>'India EV uptake'!C31</f>
        <v>13.537145465974074</v>
      </c>
      <c r="AO31" s="13">
        <f>'Ireland EV uptake'!C31</f>
        <v>61.877024011109384</v>
      </c>
      <c r="AP31" s="13">
        <f>'Italy EV uptake'!C31</f>
        <v>37.347456716300776</v>
      </c>
      <c r="AQ31" s="13">
        <f>'Japan EV uptake'!C31</f>
        <v>28.310544002829211</v>
      </c>
      <c r="AR31" s="13">
        <f>'Korea EV uptake'!C31</f>
        <v>64.776209802246811</v>
      </c>
      <c r="AS31" s="13">
        <f>'Netherlands logist Take-up'!F109</f>
        <v>59.822444724934442</v>
      </c>
      <c r="AT31" s="13">
        <f>'New Zealand EV uptake'!Y31</f>
        <v>48.300623305289001</v>
      </c>
      <c r="AU31" s="13">
        <f>'Spain EV uptake'!C31</f>
        <v>44.60610440127585</v>
      </c>
      <c r="AV31" s="13">
        <f>'Sweden EV uptake'!C31</f>
        <v>64.15119395269214</v>
      </c>
      <c r="AW31" s="13">
        <f>'Switzerland EV uptake'!C31</f>
        <v>56.553846464532619</v>
      </c>
      <c r="AX31" s="13">
        <f>'British EV uptake'!C31</f>
        <v>51.461128427110211</v>
      </c>
      <c r="AY31" s="13">
        <f>'USA EV uptake'!C31</f>
        <v>39.691620122192134</v>
      </c>
      <c r="AZ31" s="13">
        <f>'Rest Europe EV takeup'!C31</f>
        <v>42.472445808493127</v>
      </c>
      <c r="BB31">
        <v>2036</v>
      </c>
      <c r="BC31" s="33">
        <f>'Australia EV uptake'!AH31</f>
        <v>2.7789618660374025</v>
      </c>
      <c r="BD31" s="33">
        <f>'Global EV uptake'!G87</f>
        <v>5.7413791133625525</v>
      </c>
      <c r="BE31" s="33">
        <f>'Norway EV uptake with subs'!AN41</f>
        <v>12.998619036079774</v>
      </c>
      <c r="BF31" s="33">
        <v>4.6396081702250171</v>
      </c>
      <c r="BG31" s="33">
        <v>3.9812143534123319</v>
      </c>
      <c r="BH31" s="33">
        <v>10.034220464912327</v>
      </c>
      <c r="BI31" s="33">
        <f>'China EV uptake'!AE31</f>
        <v>5.9368885895456636</v>
      </c>
      <c r="BJ31" s="33">
        <f>'Denmark EV uptake'!AQ40</f>
        <v>5.6536883884077307</v>
      </c>
      <c r="BK31">
        <f>'Finland EV uptake'!AE31</f>
        <v>10.030773510889636</v>
      </c>
      <c r="BL31" s="33">
        <f>'France EV uptake'!AE31</f>
        <v>6.0974919700580443E-3</v>
      </c>
      <c r="BM31" s="33">
        <f>'Germany EV uptake'!AE31</f>
        <v>7.9139889324354602</v>
      </c>
      <c r="BN31" s="33">
        <f>'India EV uptake'!AE31</f>
        <v>-1.7828583255991939</v>
      </c>
      <c r="BO31" s="33">
        <f>'Ireland EV uptake'!AE31</f>
        <v>3.6745329998436311</v>
      </c>
      <c r="BP31" s="33">
        <f>'Italy EV uptake'!AG31</f>
        <v>2.0510339147796603</v>
      </c>
      <c r="BQ31" s="33">
        <f>'Japan EV uptake'!AG31</f>
        <v>-0.61867165609944497</v>
      </c>
      <c r="BR31" s="33">
        <f>'Korea EV uptake'!AF31</f>
        <v>8.8867840062020882</v>
      </c>
      <c r="BS31" s="33">
        <f>'Netherlands logist Take-up'!AI109</f>
        <v>10.164119333365072</v>
      </c>
      <c r="BT31" s="33">
        <f>'New Zealand EV uptake'!AF31</f>
        <v>2.8248265285701741</v>
      </c>
      <c r="BU31" s="33">
        <f>'Spain EV uptake'!AF31</f>
        <v>0.32932295780001652</v>
      </c>
      <c r="BV31" s="33">
        <f>'Sweden EV uptake'!AF31</f>
        <v>5.7235834491898334</v>
      </c>
      <c r="BW31" s="33">
        <f>'Switzerland EV uptake'!AF31</f>
        <v>-3.9098089913784317</v>
      </c>
      <c r="BX31" s="33">
        <f>'USA EV uptake'!AF31</f>
        <v>0.72443965471213101</v>
      </c>
      <c r="BY31" s="33">
        <f>'Rest Europe EV takeup'!S31</f>
        <v>3.0648369422729616</v>
      </c>
      <c r="BZ31" s="33"/>
      <c r="CA31" s="33"/>
      <c r="CB31" s="33"/>
      <c r="CC31" s="33"/>
      <c r="CD31" s="33"/>
      <c r="CE31" s="33"/>
      <c r="CF31" s="33"/>
    </row>
    <row r="32" spans="1:101">
      <c r="A32">
        <v>2037</v>
      </c>
      <c r="B32" s="13">
        <f>'Australia EV uptake'!C32</f>
        <v>62.490602530055654</v>
      </c>
      <c r="C32" s="13">
        <f>'Global EV uptake'!C88</f>
        <v>64.871156437864585</v>
      </c>
      <c r="D32" s="72">
        <f>'Norway EV uptake with subs'!H42</f>
        <v>64.999924090328904</v>
      </c>
      <c r="E32" s="13">
        <f>'Austria EV uptake'!AB32</f>
        <v>64.107391906110223</v>
      </c>
      <c r="F32" s="13">
        <f>'Canada EV uptake'!AB32</f>
        <v>64.696759229099783</v>
      </c>
      <c r="G32" s="13">
        <f>'Belgian EV uptake'!AB32</f>
        <v>64.999618789419856</v>
      </c>
      <c r="H32" s="13">
        <f>'China EV uptake'!AB32</f>
        <v>64.89413469777223</v>
      </c>
      <c r="I32" s="13">
        <f>'Denmark EV uptake'!F41</f>
        <v>64.854973819569949</v>
      </c>
      <c r="J32" s="13">
        <f>'Denmark EV uptake'!E41</f>
        <v>63.958892341289413</v>
      </c>
      <c r="K32" s="13">
        <f>'Finland EV uptake'!AB32</f>
        <v>64.998579531601152</v>
      </c>
      <c r="L32" s="13">
        <f>'France EV uptake'!AB32</f>
        <v>35.667239375327917</v>
      </c>
      <c r="M32" s="13">
        <f>'Germany EV uptake'!AB32</f>
        <v>64.987209715550918</v>
      </c>
      <c r="N32" s="13">
        <f>'India EV uptake'!AB32</f>
        <v>11.003411575932741</v>
      </c>
      <c r="O32" s="13">
        <f>'Ireland EV uptake'!AB32</f>
        <v>63.940805689229563</v>
      </c>
      <c r="P32" s="13">
        <f>'Italy EV uptake'!AB33</f>
        <v>61.361498328668745</v>
      </c>
      <c r="Q32" s="13">
        <f>'Japan EV uptake'!AB32</f>
        <v>25.390674501188812</v>
      </c>
      <c r="R32" s="13">
        <f>'Korea EV uptake'!AB32</f>
        <v>64.995510511328135</v>
      </c>
      <c r="S32" s="13">
        <f>'Netherlands logist Take-up'!E110</f>
        <v>64.998619523188253</v>
      </c>
      <c r="T32" s="13">
        <f>'Netherlands logist Take-up'!O110</f>
        <v>64.991502046096045</v>
      </c>
      <c r="U32" s="13">
        <f>'New Zealand EV uptake'!AB32</f>
        <v>62.552655924755371</v>
      </c>
      <c r="V32" s="13">
        <f>'Spain EV uptake'!AB32</f>
        <v>41.863737053982668</v>
      </c>
      <c r="W32" s="13">
        <f>'Sweden EV uptake'!AB32</f>
        <v>64.861879245893505</v>
      </c>
      <c r="X32" s="13">
        <f>'Switzerland EV uptake'!AB32</f>
        <v>63.540217168021101</v>
      </c>
      <c r="Y32" s="13">
        <f>'British EV uptake'!AB32</f>
        <v>62.905190807797503</v>
      </c>
      <c r="Z32" s="13">
        <f>'USA EV uptake'!AB32</f>
        <v>47.038267718087994</v>
      </c>
      <c r="AA32" s="13">
        <f>'Rest Europe EV takeup'!O32</f>
        <v>63.1088126931933</v>
      </c>
      <c r="AC32">
        <v>2037</v>
      </c>
      <c r="AD32" s="13">
        <f>'Australia EV uptake'!E32</f>
        <v>54.867705368968885</v>
      </c>
      <c r="AE32" s="13">
        <f>'Norway EV uptake with subs'!J42</f>
        <v>64.999394304169485</v>
      </c>
      <c r="AF32" s="13">
        <f>'Austria EV uptake'!C32</f>
        <v>50.909842404491577</v>
      </c>
      <c r="AG32" s="13">
        <f>'Canada EV uptake'!C32</f>
        <v>61.202486867669677</v>
      </c>
      <c r="AH32" s="13">
        <f>'Belgian EV uptake'!C32</f>
        <v>64.614904578951212</v>
      </c>
      <c r="AI32" s="13">
        <f>'China EV uptake'!C32</f>
        <v>64.724442379232826</v>
      </c>
      <c r="AJ32" s="13">
        <f>'Denmark EV uptake'!O41</f>
        <v>53.647110975328651</v>
      </c>
      <c r="AK32" s="13">
        <f>'Finland EV uptake'!C32</f>
        <v>64.889546774269732</v>
      </c>
      <c r="AL32" s="13">
        <f>'France EV uptake'!C32</f>
        <v>41.16505370153498</v>
      </c>
      <c r="AM32" s="13">
        <f>'Germany EV uptake'!C32</f>
        <v>63.127970905709084</v>
      </c>
      <c r="AN32" s="13">
        <f>'India EV uptake'!C32</f>
        <v>15.628164450522215</v>
      </c>
      <c r="AO32" s="13">
        <f>'Ireland EV uptake'!C32</f>
        <v>62.809233286577488</v>
      </c>
      <c r="AP32" s="13">
        <f>'Italy EV uptake'!C32</f>
        <v>40.30282601774848</v>
      </c>
      <c r="AQ32" s="13">
        <f>'Japan EV uptake'!C32</f>
        <v>30.996327111165531</v>
      </c>
      <c r="AR32" s="13">
        <f>'Korea EV uptake'!C32</f>
        <v>64.872825969980639</v>
      </c>
      <c r="AS32" s="13">
        <f>'Netherlands logist Take-up'!F110</f>
        <v>60.59112762866647</v>
      </c>
      <c r="AT32" s="13">
        <f>'New Zealand EV uptake'!Y32</f>
        <v>50.889499442911244</v>
      </c>
      <c r="AU32" s="13">
        <f>'Spain EV uptake'!C32</f>
        <v>47.852225158409667</v>
      </c>
      <c r="AV32" s="13">
        <f>'Sweden EV uptake'!C32</f>
        <v>64.393431774741117</v>
      </c>
      <c r="AW32" s="13">
        <f>'Switzerland EV uptake'!C32</f>
        <v>57.936908496138756</v>
      </c>
      <c r="AX32" s="13">
        <f>'British EV uptake'!C32</f>
        <v>53.932201707087792</v>
      </c>
      <c r="AY32" s="13">
        <f>'USA EV uptake'!C32</f>
        <v>43.019314504399027</v>
      </c>
      <c r="AZ32" s="13">
        <f>'Rest Europe EV takeup'!C32</f>
        <v>45.939101265020064</v>
      </c>
      <c r="BB32">
        <v>2037</v>
      </c>
      <c r="BC32" s="33">
        <f>'Australia EV uptake'!AH32</f>
        <v>3.214973513406477</v>
      </c>
      <c r="BD32" s="33">
        <f>'Global EV uptake'!G88</f>
        <v>6.2215594012284905</v>
      </c>
      <c r="BE32" s="33">
        <f>'Norway EV uptake with subs'!AN42</f>
        <v>13.660352564758384</v>
      </c>
      <c r="BF32" s="33">
        <v>5.0629026009285383</v>
      </c>
      <c r="BG32" s="33">
        <v>4.3745816121059633</v>
      </c>
      <c r="BH32" s="33">
        <v>10.724409362984005</v>
      </c>
      <c r="BI32" s="33">
        <f>'China EV uptake'!AE32</f>
        <v>6.4183449718066221</v>
      </c>
      <c r="BJ32" s="33">
        <f>'Denmark EV uptake'!AQ41</f>
        <v>6.1029946032858247</v>
      </c>
      <c r="BK32">
        <f>'Finland EV uptake'!AE32</f>
        <v>10.731134019712274</v>
      </c>
      <c r="BL32" s="33">
        <f>'France EV uptake'!AE32</f>
        <v>0.1955276014564733</v>
      </c>
      <c r="BM32" s="33">
        <f>'Germany EV uptake'!AE32</f>
        <v>8.5332599006059251</v>
      </c>
      <c r="BN32" s="33">
        <f>'India EV uptake'!AE32</f>
        <v>-1.5907154992559125</v>
      </c>
      <c r="BO32" s="33">
        <f>'Ireland EV uptake'!AE32</f>
        <v>4.100449209324978</v>
      </c>
      <c r="BP32" s="33">
        <f>'Italy EV uptake'!AG32</f>
        <v>2.4381222610221833</v>
      </c>
      <c r="BQ32" s="33">
        <f>'Japan EV uptake'!AG32</f>
        <v>-0.44468262194312747</v>
      </c>
      <c r="BR32" s="33">
        <f>'Korea EV uptake'!AF32</f>
        <v>9.5803346637102571</v>
      </c>
      <c r="BS32" s="33">
        <f>'Netherlands logist Take-up'!AI110</f>
        <v>10.75969235529687</v>
      </c>
      <c r="BT32" s="33">
        <f>'New Zealand EV uptake'!AF32</f>
        <v>3.2410053112110262</v>
      </c>
      <c r="BU32" s="33">
        <f>'Spain EV uptake'!AF32</f>
        <v>0.59301877694818828</v>
      </c>
      <c r="BV32" s="33">
        <f>'Sweden EV uptake'!AF32</f>
        <v>6.1518870210230165</v>
      </c>
      <c r="BW32" s="33">
        <f>'Switzerland EV uptake'!AF32</f>
        <v>-3.9098089913784317</v>
      </c>
      <c r="BX32" s="33">
        <f>'USA EV uptake'!AF32</f>
        <v>0.96271796674626042</v>
      </c>
      <c r="BY32" s="33">
        <f>'Rest Europe EV takeup'!S32</f>
        <v>3.5076555856347547</v>
      </c>
      <c r="BZ32" s="33"/>
      <c r="CA32" s="33"/>
      <c r="CB32" s="33"/>
      <c r="CC32" s="33"/>
      <c r="CD32" s="33"/>
      <c r="CE32" s="33"/>
      <c r="CF32" s="33"/>
    </row>
    <row r="33" spans="1:101">
      <c r="A33">
        <v>2038</v>
      </c>
      <c r="B33" s="13">
        <f>'Australia EV uptake'!C33</f>
        <v>63.35495464768961</v>
      </c>
      <c r="C33" s="13">
        <f>'Global EV uptake'!C89</f>
        <v>64.920227818434341</v>
      </c>
      <c r="D33" s="72">
        <f>'Norway EV uptake with subs'!H43</f>
        <v>64.999960833917427</v>
      </c>
      <c r="E33" s="13">
        <f>'Austria EV uptake'!AB33</f>
        <v>64.393719042125909</v>
      </c>
      <c r="F33" s="13">
        <f>'Canada EV uptake'!AB33</f>
        <v>64.80315121019143</v>
      </c>
      <c r="G33" s="13">
        <f>'Belgian EV uptake'!AB33</f>
        <v>64.999819508772802</v>
      </c>
      <c r="H33" s="13">
        <f>'China EV uptake'!AB33</f>
        <v>64.93454690908419</v>
      </c>
      <c r="I33" s="13">
        <f>'Denmark EV uptake'!F42</f>
        <v>64.907388259699118</v>
      </c>
      <c r="J33" s="13">
        <f>'Denmark EV uptake'!E42</f>
        <v>64.330434949065463</v>
      </c>
      <c r="K33" s="13">
        <f>'Finland EV uptake'!AB33</f>
        <v>64.999294862759669</v>
      </c>
      <c r="L33" s="13">
        <f>'France EV uptake'!AB33</f>
        <v>38.679438450277175</v>
      </c>
      <c r="M33" s="13">
        <f>'Germany EV uptake'!AB33</f>
        <v>64.993113894164921</v>
      </c>
      <c r="N33" s="13">
        <f>'India EV uptake'!AB33</f>
        <v>12.872775785252154</v>
      </c>
      <c r="O33" s="13">
        <f>'Ireland EV uptake'!AB33</f>
        <v>64.304232664706845</v>
      </c>
      <c r="P33" s="13">
        <f>'Italy EV uptake'!AB34</f>
        <v>62.484142134015258</v>
      </c>
      <c r="Q33" s="13">
        <f>'Japan EV uptake'!AB33</f>
        <v>28.127893831324712</v>
      </c>
      <c r="R33" s="13">
        <f>'Korea EV uptake'!AB33</f>
        <v>64.997756083660121</v>
      </c>
      <c r="S33" s="13">
        <f>'Netherlands logist Take-up'!E111</f>
        <v>64.999239009599833</v>
      </c>
      <c r="T33" s="13">
        <f>'Netherlands logist Take-up'!O111</f>
        <v>64.995314957785581</v>
      </c>
      <c r="U33" s="13">
        <f>'New Zealand EV uptake'!AB33</f>
        <v>63.364864897317197</v>
      </c>
      <c r="V33" s="13">
        <f>'Spain EV uptake'!AB33</f>
        <v>45.628295868721665</v>
      </c>
      <c r="W33" s="13">
        <f>'Sweden EV uptake'!AB33</f>
        <v>64.909931964655115</v>
      </c>
      <c r="X33" s="13">
        <f>'Switzerland EV uptake'!AB33</f>
        <v>63.963661672656372</v>
      </c>
      <c r="Y33" s="13">
        <f>'British EV uptake'!AB33</f>
        <v>63.509092037664161</v>
      </c>
      <c r="Z33" s="13">
        <f>'USA EV uptake'!AB33</f>
        <v>49.965627955048241</v>
      </c>
      <c r="AA33" s="13">
        <f>'Rest Europe EV takeup'!O33</f>
        <v>63.77265865505985</v>
      </c>
      <c r="AC33">
        <v>2038</v>
      </c>
      <c r="AD33" s="13">
        <f>'Australia EV uptake'!E33</f>
        <v>56.757455016019755</v>
      </c>
      <c r="AE33" s="13">
        <f>'Norway EV uptake with subs'!J43</f>
        <v>64.999687485399122</v>
      </c>
      <c r="AF33" s="13">
        <f>'Austria EV uptake'!C33</f>
        <v>52.871381277329633</v>
      </c>
      <c r="AG33" s="13">
        <f>'Canada EV uptake'!C33</f>
        <v>62.084966056047946</v>
      </c>
      <c r="AH33" s="13">
        <f>'Belgian EV uptake'!C33</f>
        <v>64.731776026663411</v>
      </c>
      <c r="AI33" s="13">
        <f>'China EV uptake'!C33</f>
        <v>64.823082031600762</v>
      </c>
      <c r="AJ33" s="13">
        <f>'Denmark EV uptake'!O42</f>
        <v>55.859777131668501</v>
      </c>
      <c r="AK33" s="13">
        <f>'Finland EV uptake'!C33</f>
        <v>64.928680060874711</v>
      </c>
      <c r="AL33" s="13">
        <f>'France EV uptake'!C33</f>
        <v>43.823306734211542</v>
      </c>
      <c r="AM33" s="13">
        <f>'Germany EV uptake'!C33</f>
        <v>63.581291004702464</v>
      </c>
      <c r="AN33" s="13">
        <f>'India EV uptake'!C33</f>
        <v>17.921158856672587</v>
      </c>
      <c r="AO33" s="13">
        <f>'Ireland EV uptake'!C33</f>
        <v>63.47418935072568</v>
      </c>
      <c r="AP33" s="13">
        <f>'Italy EV uptake'!C33</f>
        <v>43.101068426274978</v>
      </c>
      <c r="AQ33" s="13">
        <f>'Japan EV uptake'!C33</f>
        <v>33.702004794960494</v>
      </c>
      <c r="AR33" s="13">
        <f>'Korea EV uptake'!C33</f>
        <v>64.927647708952094</v>
      </c>
      <c r="AS33" s="13">
        <f>'Netherlands logist Take-up'!F111</f>
        <v>61.222530710150558</v>
      </c>
      <c r="AT33" s="13">
        <f>'New Zealand EV uptake'!Y33</f>
        <v>53.159468218956867</v>
      </c>
      <c r="AU33" s="13">
        <f>'Spain EV uptake'!C33</f>
        <v>50.768002716233049</v>
      </c>
      <c r="AV33" s="13">
        <f>'Sweden EV uptake'!C33</f>
        <v>64.566268969835548</v>
      </c>
      <c r="AW33" s="13">
        <f>'Switzerland EV uptake'!C33</f>
        <v>59.110854323429628</v>
      </c>
      <c r="AX33" s="13">
        <f>'British EV uptake'!C33</f>
        <v>56.035744993121156</v>
      </c>
      <c r="AY33" s="13">
        <f>'USA EV uptake'!C33</f>
        <v>46.131280259941583</v>
      </c>
      <c r="AZ33" s="13">
        <f>'Rest Europe EV takeup'!C33</f>
        <v>49.04663284859231</v>
      </c>
      <c r="BB33">
        <v>2038</v>
      </c>
      <c r="BC33" s="33">
        <f>'Australia EV uptake'!AH33</f>
        <v>3.6509851607755532</v>
      </c>
      <c r="BD33" s="33">
        <f>'Global EV uptake'!G89</f>
        <v>6.7017396890944285</v>
      </c>
      <c r="BE33" s="33">
        <f>'Norway EV uptake with subs'!AN43</f>
        <v>14.322086093436994</v>
      </c>
      <c r="BF33" s="33">
        <v>5.4861970316320576</v>
      </c>
      <c r="BG33" s="33">
        <v>4.7679488707995947</v>
      </c>
      <c r="BH33" s="33">
        <v>11.414598261055684</v>
      </c>
      <c r="BI33" s="33">
        <f>'China EV uptake'!AE33</f>
        <v>6.8998013540675824</v>
      </c>
      <c r="BJ33" s="33">
        <f>'Denmark EV uptake'!AQ42</f>
        <v>6.5523008181639204</v>
      </c>
      <c r="BK33">
        <f>'Finland EV uptake'!AE33</f>
        <v>11.431494528534911</v>
      </c>
      <c r="BL33" s="33">
        <f>'France EV uptake'!AE33</f>
        <v>0.38495771094288855</v>
      </c>
      <c r="BM33" s="33">
        <f>'Germany EV uptake'!AE33</f>
        <v>9.15253086877639</v>
      </c>
      <c r="BN33" s="33">
        <f>'India EV uptake'!AE33</f>
        <v>-1.3985726729126302</v>
      </c>
      <c r="BO33" s="33">
        <f>'Ireland EV uptake'!AE33</f>
        <v>4.5263654188063249</v>
      </c>
      <c r="BP33" s="33">
        <f>'Italy EV uptake'!AG33</f>
        <v>2.8252106072647063</v>
      </c>
      <c r="BQ33" s="33">
        <f>'Japan EV uptake'!AG33</f>
        <v>-0.27069358778681085</v>
      </c>
      <c r="BR33" s="33">
        <f>'Korea EV uptake'!AF33</f>
        <v>10.273885321218426</v>
      </c>
      <c r="BS33" s="33">
        <f>'Netherlands logist Take-up'!AI111</f>
        <v>11.355265377228669</v>
      </c>
      <c r="BT33" s="33">
        <f>'New Zealand EV uptake'!AF33</f>
        <v>3.6571840938518765</v>
      </c>
      <c r="BU33" s="33">
        <f>'Spain EV uptake'!AF33</f>
        <v>0.85671459609636091</v>
      </c>
      <c r="BV33" s="33">
        <f>'Sweden EV uptake'!AF33</f>
        <v>6.5801905928562014</v>
      </c>
      <c r="BW33" s="33">
        <f>'Switzerland EV uptake'!AF33</f>
        <v>-3.9098089913784317</v>
      </c>
      <c r="BX33" s="33">
        <f>'USA EV uptake'!AF33</f>
        <v>1.2009962787803907</v>
      </c>
      <c r="BY33" s="33">
        <f>'Rest Europe EV takeup'!S33</f>
        <v>3.9504742289965478</v>
      </c>
      <c r="BZ33" s="33"/>
      <c r="CA33" s="33"/>
      <c r="CB33" s="33"/>
      <c r="CC33" s="33"/>
      <c r="CD33" s="33"/>
      <c r="CE33" s="33"/>
      <c r="CF33" s="33"/>
    </row>
    <row r="34" spans="1:101">
      <c r="A34">
        <v>2039</v>
      </c>
      <c r="B34" s="13">
        <f>'Australia EV uptake'!C34</f>
        <v>63.926697580784932</v>
      </c>
      <c r="C34" s="13">
        <f>'Global EV uptake'!C90</f>
        <v>64.950624089978433</v>
      </c>
      <c r="D34" s="72">
        <f>'Norway EV uptake with subs'!H44</f>
        <v>64.999979792013562</v>
      </c>
      <c r="E34" s="13">
        <f>'Austria EV uptake'!AB34</f>
        <v>64.588788486440805</v>
      </c>
      <c r="F34" s="13">
        <f>'Canada EV uptake'!AB34</f>
        <v>64.872289264256466</v>
      </c>
      <c r="G34" s="13">
        <f>'Belgian EV uptake'!AB34</f>
        <v>64.999914543216207</v>
      </c>
      <c r="H34" s="13">
        <f>'China EV uptake'!AB34</f>
        <v>64.959542089396493</v>
      </c>
      <c r="I34" s="13">
        <f>'Denmark EV uptake'!F43</f>
        <v>64.940876675254501</v>
      </c>
      <c r="J34" s="13">
        <f>'Denmark EV uptake'!E43</f>
        <v>64.570593178650171</v>
      </c>
      <c r="K34" s="13">
        <f>'Finland EV uptake'!AB34</f>
        <v>64.999649963510308</v>
      </c>
      <c r="L34" s="13">
        <f>'France EV uptake'!AB34</f>
        <v>41.585376567024952</v>
      </c>
      <c r="M34" s="13">
        <f>'Germany EV uptake'!AB34</f>
        <v>64.996292774785871</v>
      </c>
      <c r="N34" s="13">
        <f>'India EV uptake'!AB34</f>
        <v>14.971668268591911</v>
      </c>
      <c r="O34" s="13">
        <f>'Ireland EV uptake'!AB34</f>
        <v>64.543851455922123</v>
      </c>
      <c r="P34" s="13">
        <f>'Italy EV uptake'!AB35</f>
        <v>63.270164051956705</v>
      </c>
      <c r="Q34" s="13">
        <f>'Japan EV uptake'!AB34</f>
        <v>30.929774511876143</v>
      </c>
      <c r="R34" s="13">
        <f>'Korea EV uptake'!AB34</f>
        <v>64.998878475056671</v>
      </c>
      <c r="S34" s="13">
        <f>'Netherlands logist Take-up'!E112</f>
        <v>64.99958050442612</v>
      </c>
      <c r="T34" s="13">
        <f>'Netherlands logist Take-up'!O112</f>
        <v>64.997417211939833</v>
      </c>
      <c r="U34" s="13">
        <f>'New Zealand EV uptake'!AB34</f>
        <v>63.912210608218167</v>
      </c>
      <c r="V34" s="13">
        <f>'Spain EV uptake'!AB34</f>
        <v>49.01421436123956</v>
      </c>
      <c r="W34" s="13">
        <f>'Sweden EV uptake'!AB34</f>
        <v>64.941282099830573</v>
      </c>
      <c r="X34" s="13">
        <f>'Switzerland EV uptake'!AB34</f>
        <v>64.265695582398237</v>
      </c>
      <c r="Y34" s="13">
        <f>'British EV uptake'!AB34</f>
        <v>63.941826427757817</v>
      </c>
      <c r="Z34" s="13">
        <f>'USA EV uptake'!AB34</f>
        <v>52.542249014773667</v>
      </c>
      <c r="AA34" s="13">
        <f>'Rest Europe EV takeup'!O34</f>
        <v>64.206411174684547</v>
      </c>
      <c r="AC34">
        <v>2039</v>
      </c>
      <c r="AD34" s="13">
        <f>'Australia EV uptake'!E34</f>
        <v>58.326983196037432</v>
      </c>
      <c r="AE34" s="13">
        <f>'Norway EV uptake with subs'!J44</f>
        <v>64.999838755609858</v>
      </c>
      <c r="AF34" s="13">
        <f>'Austria EV uptake'!C34</f>
        <v>54.622356834219126</v>
      </c>
      <c r="AG34" s="13">
        <f>'Canada EV uptake'!C34</f>
        <v>62.772428344001469</v>
      </c>
      <c r="AH34" s="13">
        <f>'Belgian EV uptake'!C34</f>
        <v>64.812481839970701</v>
      </c>
      <c r="AI34" s="13">
        <f>'China EV uptake'!C34</f>
        <v>64.886505467915768</v>
      </c>
      <c r="AJ34" s="13">
        <f>'Denmark EV uptake'!O43</f>
        <v>57.672262939623479</v>
      </c>
      <c r="AK34" s="13">
        <f>'Finland EV uptake'!C34</f>
        <v>64.953764812139156</v>
      </c>
      <c r="AL34" s="13">
        <f>'France EV uptake'!C34</f>
        <v>46.326056199379593</v>
      </c>
      <c r="AM34" s="13">
        <f>'Germany EV uptake'!C34</f>
        <v>63.921949390789045</v>
      </c>
      <c r="AN34" s="13">
        <f>'India EV uptake'!C34</f>
        <v>20.402997055576975</v>
      </c>
      <c r="AO34" s="13">
        <f>'Ireland EV uptake'!C34</f>
        <v>63.942793977739818</v>
      </c>
      <c r="AP34" s="13">
        <f>'Italy EV uptake'!C34</f>
        <v>45.711996159636143</v>
      </c>
      <c r="AQ34" s="13">
        <f>'Japan EV uptake'!C34</f>
        <v>36.39176838115619</v>
      </c>
      <c r="AR34" s="13">
        <f>'Korea EV uptake'!C34</f>
        <v>64.958767268421511</v>
      </c>
      <c r="AS34" s="13">
        <f>'Netherlands logist Take-up'!F112</f>
        <v>61.745723154645944</v>
      </c>
      <c r="AT34" s="13">
        <f>'New Zealand EV uptake'!Y34</f>
        <v>55.120868606155526</v>
      </c>
      <c r="AU34" s="13">
        <f>'Spain EV uptake'!C34</f>
        <v>53.329089833568844</v>
      </c>
      <c r="AV34" s="13">
        <f>'Sweden EV uptake'!C34</f>
        <v>64.689552897893151</v>
      </c>
      <c r="AW34" s="13">
        <f>'Switzerland EV uptake'!C34</f>
        <v>60.100956023586413</v>
      </c>
      <c r="AX34" s="13">
        <f>'British EV uptake'!C34</f>
        <v>57.795731915354104</v>
      </c>
      <c r="AY34" s="13">
        <f>'USA EV uptake'!C34</f>
        <v>48.981940547460013</v>
      </c>
      <c r="AZ34" s="13">
        <f>'Rest Europe EV takeup'!C34</f>
        <v>51.774010485656405</v>
      </c>
      <c r="BB34">
        <v>2039</v>
      </c>
      <c r="BC34" s="33">
        <f>'Australia EV uptake'!AH34</f>
        <v>4.0869968081446295</v>
      </c>
      <c r="BD34" s="33">
        <f>'Global EV uptake'!G90</f>
        <v>7.1819199769603648</v>
      </c>
      <c r="BE34" s="33">
        <f>'Norway EV uptake with subs'!AN44</f>
        <v>14.9838196221156</v>
      </c>
      <c r="BF34" s="33">
        <v>5.909491462335577</v>
      </c>
      <c r="BG34" s="33">
        <v>5.1613161294932262</v>
      </c>
      <c r="BH34" s="33">
        <v>12.104787159127362</v>
      </c>
      <c r="BI34" s="33">
        <f>'China EV uptake'!AE34</f>
        <v>7.381257736328541</v>
      </c>
      <c r="BJ34" s="33">
        <f>'Denmark EV uptake'!AQ43</f>
        <v>7.0016070330420161</v>
      </c>
      <c r="BK34">
        <f>'Finland EV uptake'!AE34</f>
        <v>12.131855037357544</v>
      </c>
      <c r="BL34" s="33">
        <f>'France EV uptake'!AE34</f>
        <v>0.5743878204293047</v>
      </c>
      <c r="BM34" s="33">
        <f>'Germany EV uptake'!AE34</f>
        <v>9.7718018369468549</v>
      </c>
      <c r="BN34" s="33">
        <f>'India EV uptake'!AE34</f>
        <v>-1.2064298465693488</v>
      </c>
      <c r="BO34" s="33">
        <f>'Ireland EV uptake'!AE34</f>
        <v>4.9522816282876736</v>
      </c>
      <c r="BP34" s="33">
        <f>'Italy EV uptake'!AG34</f>
        <v>3.212298953507231</v>
      </c>
      <c r="BQ34" s="33">
        <f>'Japan EV uptake'!AG34</f>
        <v>-9.6704553630493351E-2</v>
      </c>
      <c r="BR34" s="33">
        <f>'Korea EV uptake'!AF34</f>
        <v>10.967435978726591</v>
      </c>
      <c r="BS34" s="33">
        <f>'Netherlands logist Take-up'!AI112</f>
        <v>11.950838399160467</v>
      </c>
      <c r="BT34" s="33">
        <f>'New Zealand EV uptake'!AF34</f>
        <v>4.0733628764927285</v>
      </c>
      <c r="BU34" s="33">
        <f>'Spain EV uptake'!AF34</f>
        <v>1.1204104152445336</v>
      </c>
      <c r="BV34" s="33">
        <f>'Sweden EV uptake'!AF34</f>
        <v>7.0084941646893864</v>
      </c>
      <c r="BW34" s="33">
        <f>'Switzerland EV uptake'!AF34</f>
        <v>-3.9098089913784317</v>
      </c>
      <c r="BX34" s="33">
        <f>'USA EV uptake'!AF34</f>
        <v>1.439274590814521</v>
      </c>
      <c r="BY34" s="33">
        <f>'Rest Europe EV takeup'!S34</f>
        <v>4.3932928723583409</v>
      </c>
      <c r="BZ34" s="33"/>
      <c r="CA34" s="33"/>
      <c r="CB34" s="33"/>
      <c r="CC34" s="33"/>
      <c r="CD34" s="33"/>
      <c r="CE34" s="33"/>
      <c r="CF34" s="33"/>
    </row>
    <row r="35" spans="1:101">
      <c r="A35">
        <v>2040</v>
      </c>
      <c r="B35" s="13">
        <f>'Australia EV uptake'!C35</f>
        <v>64.301918201083282</v>
      </c>
      <c r="C35" s="13">
        <f>'Global EV uptake'!C91</f>
        <v>64.969443663565642</v>
      </c>
      <c r="D35" s="72">
        <f>'Norway EV uptake with subs'!H45</f>
        <v>64.999989573563866</v>
      </c>
      <c r="E35" s="13">
        <f>'Austria EV uptake'!AB35</f>
        <v>64.721366382820392</v>
      </c>
      <c r="F35" s="13">
        <f>'Canada EV uptake'!AB35</f>
        <v>64.917175398160026</v>
      </c>
      <c r="G35" s="13">
        <f>'Belgian EV uptake'!AB35</f>
        <v>64.999959538995952</v>
      </c>
      <c r="H35" s="13">
        <f>'China EV uptake'!AB35</f>
        <v>64.97499580336121</v>
      </c>
      <c r="I35" s="13">
        <f>'Denmark EV uptake'!F44</f>
        <v>64.962262716471727</v>
      </c>
      <c r="J35" s="13">
        <f>'Denmark EV uptake'!E44</f>
        <v>64.725112872519745</v>
      </c>
      <c r="K35" s="13">
        <f>'Finland EV uptake'!AB35</f>
        <v>64.999826239205618</v>
      </c>
      <c r="L35" s="13">
        <f>'France EV uptake'!AB35</f>
        <v>44.34183475482628</v>
      </c>
      <c r="M35" s="13">
        <f>'Germany EV uptake'!AB35</f>
        <v>64.998004211842257</v>
      </c>
      <c r="N35" s="13">
        <f>'India EV uptake'!AB35</f>
        <v>17.299211315914775</v>
      </c>
      <c r="O35" s="13">
        <f>'Ireland EV uptake'!AB35</f>
        <v>64.701330025578272</v>
      </c>
      <c r="P35" s="13">
        <f>'Italy EV uptake'!AB36</f>
        <v>63.815267723868956</v>
      </c>
      <c r="Q35" s="13">
        <f>'Japan EV uptake'!AB35</f>
        <v>33.75524808240845</v>
      </c>
      <c r="R35" s="13">
        <f>'Korea EV uptake'!AB35</f>
        <v>64.99943945889963</v>
      </c>
      <c r="S35" s="13">
        <f>'Netherlands logist Take-up'!E113</f>
        <v>64.999768753821897</v>
      </c>
      <c r="T35" s="13">
        <f>'Netherlands logist Take-up'!O113</f>
        <v>64.998576193841146</v>
      </c>
      <c r="U35" s="13">
        <f>'New Zealand EV uptake'!AB35</f>
        <v>64.278424047159135</v>
      </c>
      <c r="V35" s="13">
        <f>'Spain EV uptake'!AB35</f>
        <v>51.977228543072854</v>
      </c>
      <c r="W35" s="13">
        <f>'Sweden EV uptake'!AB35</f>
        <v>64.961726574009816</v>
      </c>
      <c r="X35" s="13">
        <f>'Switzerland EV uptake'!AB35</f>
        <v>64.480418758306072</v>
      </c>
      <c r="Y35" s="13">
        <f>'British EV uptake'!AB35</f>
        <v>64.250442523908902</v>
      </c>
      <c r="Z35" s="13">
        <f>'USA EV uptake'!AB35</f>
        <v>54.767714504466355</v>
      </c>
      <c r="AA35" s="13">
        <f>'Rest Europe EV takeup'!O35</f>
        <v>64.488102447689897</v>
      </c>
      <c r="AC35">
        <v>2040</v>
      </c>
      <c r="AD35" s="13">
        <f>'Australia EV uptake'!E35</f>
        <v>59.617035091051719</v>
      </c>
      <c r="AE35" s="13">
        <f>'Norway EV uptake with subs'!J45</f>
        <v>64.999916804817474</v>
      </c>
      <c r="AF35" s="13">
        <f>'Austria EV uptake'!C35</f>
        <v>56.167981342237518</v>
      </c>
      <c r="AG35" s="13">
        <f>'Canada EV uptake'!C35</f>
        <v>63.303719333515723</v>
      </c>
      <c r="AH35" s="13">
        <f>'Belgian EV uptake'!C35</f>
        <v>64.868432896549479</v>
      </c>
      <c r="AI35" s="13">
        <f>'China EV uptake'!C35</f>
        <v>64.927230510028664</v>
      </c>
      <c r="AJ35" s="13">
        <f>'Denmark EV uptake'!O44</f>
        <v>59.138859288545795</v>
      </c>
      <c r="AK35" s="13">
        <f>'Finland EV uptake'!C35</f>
        <v>64.969912632556671</v>
      </c>
      <c r="AL35" s="13">
        <f>'France EV uptake'!C35</f>
        <v>48.650245743011297</v>
      </c>
      <c r="AM35" s="13">
        <f>'Germany EV uptake'!C35</f>
        <v>64.178528452075398</v>
      </c>
      <c r="AN35" s="13">
        <f>'India EV uptake'!C35</f>
        <v>23.052226189629614</v>
      </c>
      <c r="AO35" s="13">
        <f>'Ireland EV uptake'!C35</f>
        <v>64.270157592789019</v>
      </c>
      <c r="AP35" s="13">
        <f>'Italy EV uptake'!C35</f>
        <v>48.116011769222844</v>
      </c>
      <c r="AQ35" s="13">
        <f>'Japan EV uptake'!C35</f>
        <v>39.030593596480358</v>
      </c>
      <c r="AR35" s="13">
        <f>'Korea EV uptake'!C35</f>
        <v>64.976456813807914</v>
      </c>
      <c r="AS35" s="13">
        <f>'Netherlands logist Take-up'!F113</f>
        <v>62.183992667932174</v>
      </c>
      <c r="AT35" s="13">
        <f>'New Zealand EV uptake'!Y35</f>
        <v>56.795666341264642</v>
      </c>
      <c r="AU35" s="13">
        <f>'Spain EV uptake'!C35</f>
        <v>55.532697019299555</v>
      </c>
      <c r="AV35" s="13">
        <f>'Sweden EV uptake'!C35</f>
        <v>64.777542227510679</v>
      </c>
      <c r="AW35" s="13">
        <f>'Switzerland EV uptake'!C35</f>
        <v>60.931984632212469</v>
      </c>
      <c r="AX35" s="13">
        <f>'British EV uptake'!C35</f>
        <v>59.247080614259097</v>
      </c>
      <c r="AY35" s="13">
        <f>'USA EV uptake'!C35</f>
        <v>51.54266515602253</v>
      </c>
      <c r="AZ35" s="13">
        <f>'Rest Europe EV takeup'!C35</f>
        <v>54.124354992857789</v>
      </c>
      <c r="BB35">
        <v>2040</v>
      </c>
      <c r="BC35" s="33">
        <f>'Australia EV uptake'!AH35</f>
        <v>4.5230084555137058</v>
      </c>
      <c r="BD35" s="33">
        <f>'Global EV uptake'!G91</f>
        <v>7.6621002648263028</v>
      </c>
      <c r="BE35" s="33">
        <f>'Norway EV uptake with subs'!AN45</f>
        <v>15.64555315079421</v>
      </c>
      <c r="BF35" s="33">
        <v>6.3327858930390981</v>
      </c>
      <c r="BG35" s="33">
        <v>5.5546833881868576</v>
      </c>
      <c r="BH35" s="33">
        <v>12.79497605719904</v>
      </c>
      <c r="BI35" s="33">
        <f>'China EV uptake'!AE35</f>
        <v>7.8627141185895013</v>
      </c>
      <c r="BJ35" s="33">
        <f>'Denmark EV uptake'!AQ44</f>
        <v>7.4509132479201101</v>
      </c>
      <c r="BK35">
        <f>'Finland EV uptake'!AE35</f>
        <v>12.832215546180182</v>
      </c>
      <c r="BL35" s="33">
        <f>'France EV uptake'!AE35</f>
        <v>0.76381792991571995</v>
      </c>
      <c r="BM35" s="33">
        <f>'Germany EV uptake'!AE35</f>
        <v>10.39107280511732</v>
      </c>
      <c r="BN35" s="33">
        <f>'India EV uptake'!AE35</f>
        <v>-1.0142870202260665</v>
      </c>
      <c r="BO35" s="33">
        <f>'Ireland EV uptake'!AE35</f>
        <v>5.3781978377690205</v>
      </c>
      <c r="BP35" s="33">
        <f>'Italy EV uptake'!AG35</f>
        <v>3.599387299749754</v>
      </c>
      <c r="BQ35" s="33">
        <f>'Japan EV uptake'!AG35</f>
        <v>7.7284480525823263E-2</v>
      </c>
      <c r="BR35" s="33">
        <f>'Korea EV uptake'!AF35</f>
        <v>11.66098663623476</v>
      </c>
      <c r="BS35" s="33">
        <f>'Netherlands logist Take-up'!AI113</f>
        <v>12.546411421092266</v>
      </c>
      <c r="BT35" s="33">
        <f>'New Zealand EV uptake'!AF35</f>
        <v>4.4895416591335788</v>
      </c>
      <c r="BU35" s="33">
        <f>'Spain EV uptake'!AF35</f>
        <v>1.3841062343927071</v>
      </c>
      <c r="BV35" s="33">
        <f>'Sweden EV uptake'!AF35</f>
        <v>7.4367977365225713</v>
      </c>
      <c r="BW35" s="33">
        <f>'Switzerland EV uptake'!AF35</f>
        <v>-3.9098089913784317</v>
      </c>
      <c r="BX35" s="33">
        <f>'USA EV uptake'!AF35</f>
        <v>1.6775529028486504</v>
      </c>
      <c r="BY35" s="33">
        <f>'Rest Europe EV takeup'!S35</f>
        <v>4.836111515720134</v>
      </c>
      <c r="BZ35" s="33"/>
      <c r="CA35" s="33"/>
      <c r="CB35" s="33"/>
      <c r="CC35" s="33"/>
      <c r="CD35" s="33"/>
      <c r="CE35" s="33"/>
      <c r="CF35" s="33"/>
    </row>
    <row r="36" spans="1:101">
      <c r="A36">
        <v>2041</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C36">
        <v>2041</v>
      </c>
      <c r="BB36">
        <v>2041</v>
      </c>
      <c r="BE36"/>
      <c r="BJ36" s="33"/>
      <c r="CO36" s="13"/>
      <c r="CP36" s="13"/>
      <c r="CQ36" s="13"/>
      <c r="CR36" s="13"/>
      <c r="CS36" s="13"/>
      <c r="CU36" s="41"/>
    </row>
    <row r="37" spans="1:101">
      <c r="A37">
        <v>2042</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C37">
        <v>2042</v>
      </c>
      <c r="BB37">
        <v>2042</v>
      </c>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O37" s="13"/>
      <c r="CP37" s="13"/>
      <c r="CQ37" s="13"/>
      <c r="CR37" s="13"/>
      <c r="CS37" s="13"/>
      <c r="CT37" s="41"/>
      <c r="CU37" s="41"/>
    </row>
    <row r="38" spans="1:101">
      <c r="A38">
        <v>2043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C38">
        <v>2043</v>
      </c>
      <c r="BB38">
        <v>2043</v>
      </c>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O38" s="13"/>
      <c r="CP38" s="13"/>
      <c r="CQ38" s="13"/>
      <c r="CR38" s="13"/>
      <c r="CS38" s="13"/>
      <c r="CU38" s="41"/>
    </row>
    <row r="39" spans="1:101">
      <c r="A39">
        <v>2044</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C39">
        <v>2044</v>
      </c>
      <c r="BB39">
        <v>2044</v>
      </c>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O39" s="13"/>
      <c r="CP39" s="13"/>
      <c r="CQ39" s="13"/>
      <c r="CR39" s="13"/>
      <c r="CS39" s="13"/>
      <c r="CU39" s="41"/>
    </row>
    <row r="40" spans="1:101">
      <c r="A40">
        <v>2045</v>
      </c>
      <c r="G40" t="s">
        <v>1203</v>
      </c>
      <c r="AC40">
        <v>2045</v>
      </c>
      <c r="BB40">
        <v>2045</v>
      </c>
      <c r="BE40"/>
      <c r="CO40" s="13"/>
      <c r="CS40" s="13"/>
      <c r="CU40" s="41"/>
    </row>
    <row r="41" spans="1:101">
      <c r="A41">
        <v>2046</v>
      </c>
      <c r="AC41">
        <v>2046</v>
      </c>
      <c r="BB41">
        <v>2046</v>
      </c>
      <c r="BE41"/>
      <c r="CO41" s="13"/>
      <c r="CU41" s="41"/>
    </row>
    <row r="42" spans="1:101">
      <c r="A42">
        <v>2047</v>
      </c>
      <c r="AC42">
        <v>2047</v>
      </c>
      <c r="BB42">
        <v>2047</v>
      </c>
      <c r="BE42"/>
      <c r="CO42" s="13"/>
    </row>
    <row r="43" spans="1:101" ht="23.25">
      <c r="A43">
        <v>2048</v>
      </c>
      <c r="T43" s="247" t="s">
        <v>1201</v>
      </c>
      <c r="AC43">
        <v>2048</v>
      </c>
      <c r="BB43">
        <v>2048</v>
      </c>
      <c r="BE43"/>
      <c r="CO43" s="13"/>
    </row>
    <row r="44" spans="1:101" ht="23.25">
      <c r="A44">
        <v>2049</v>
      </c>
      <c r="L44" s="246" t="s">
        <v>1200</v>
      </c>
      <c r="AB44" s="247" t="s">
        <v>1202</v>
      </c>
      <c r="AC44">
        <v>2049</v>
      </c>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v>2049</v>
      </c>
      <c r="BE44"/>
      <c r="CO44" s="13"/>
    </row>
    <row r="45" spans="1:101">
      <c r="A45">
        <v>2050</v>
      </c>
      <c r="AC45">
        <v>2050</v>
      </c>
      <c r="BB45">
        <v>2050</v>
      </c>
      <c r="BE45"/>
      <c r="CO45" s="13"/>
    </row>
    <row r="46" spans="1:101">
      <c r="D46" s="41" t="s">
        <v>159</v>
      </c>
      <c r="E46" s="181">
        <v>2006.0956444042549</v>
      </c>
      <c r="CW46" s="13"/>
    </row>
    <row r="47" spans="1:101">
      <c r="D47" s="33" t="s">
        <v>1107</v>
      </c>
      <c r="E47" s="181">
        <v>10.783904112355547</v>
      </c>
      <c r="CW47" s="13"/>
    </row>
    <row r="48" spans="1:101">
      <c r="D48" s="33" t="s">
        <v>1108</v>
      </c>
      <c r="E48" s="181">
        <v>3.2747008164932261</v>
      </c>
      <c r="CV48" s="13"/>
    </row>
    <row r="49" spans="3:98">
      <c r="D49" s="33" t="s">
        <v>1110</v>
      </c>
      <c r="E49" s="181">
        <v>2.7276845521810786</v>
      </c>
      <c r="BC49" s="33"/>
      <c r="BE49"/>
      <c r="CT49" s="13"/>
    </row>
    <row r="50" spans="3:98">
      <c r="D50" s="33" t="s">
        <v>1111</v>
      </c>
      <c r="E50" s="181">
        <v>-1.2544269368470402</v>
      </c>
      <c r="BC50" s="33"/>
      <c r="BE50"/>
      <c r="CT50" s="13"/>
    </row>
    <row r="51" spans="3:98">
      <c r="D51" s="33" t="s">
        <v>1113</v>
      </c>
      <c r="E51" s="181">
        <v>1.6840641661301363</v>
      </c>
      <c r="BC51" s="33"/>
      <c r="BE51"/>
      <c r="CT51" s="13"/>
    </row>
    <row r="52" spans="3:98">
      <c r="D52" s="33" t="s">
        <v>1112</v>
      </c>
      <c r="E52" s="181">
        <v>3.2654872236791634</v>
      </c>
      <c r="BC52" s="33"/>
      <c r="BE52"/>
      <c r="CT52" s="13"/>
    </row>
    <row r="53" spans="3:98">
      <c r="D53" s="33" t="s">
        <v>1114</v>
      </c>
      <c r="E53" s="181">
        <v>3.5582490934682056</v>
      </c>
      <c r="BC53" s="33"/>
      <c r="BE53"/>
    </row>
    <row r="54" spans="3:98">
      <c r="D54" s="33" t="s">
        <v>1115</v>
      </c>
      <c r="E54" s="181">
        <v>1.900474768762227</v>
      </c>
      <c r="BC54" s="33"/>
      <c r="BE54"/>
    </row>
    <row r="55" spans="3:98">
      <c r="D55" s="33" t="s">
        <v>1116</v>
      </c>
      <c r="E55" s="181">
        <v>-2.1041729879229703</v>
      </c>
      <c r="BC55" s="33"/>
      <c r="BE55"/>
    </row>
    <row r="56" spans="3:98">
      <c r="D56" s="33" t="s">
        <v>1304</v>
      </c>
      <c r="E56" s="181">
        <v>4.4168133039283006</v>
      </c>
      <c r="BC56" s="33"/>
      <c r="BE56"/>
    </row>
    <row r="57" spans="3:98">
      <c r="C57" t="s">
        <v>1149</v>
      </c>
      <c r="D57" s="33" t="s">
        <v>1117</v>
      </c>
      <c r="E57" s="181">
        <v>8.3918907463589623</v>
      </c>
      <c r="BC57" s="33"/>
      <c r="BE57"/>
    </row>
    <row r="58" spans="3:98">
      <c r="D58" s="33" t="s">
        <v>1118</v>
      </c>
      <c r="E58" s="181">
        <v>2.1386885311349126</v>
      </c>
      <c r="BC58" s="33"/>
      <c r="BE58"/>
    </row>
    <row r="59" spans="3:98">
      <c r="D59" s="33" t="s">
        <v>951</v>
      </c>
      <c r="E59" s="181">
        <v>-0.86657486911619475</v>
      </c>
      <c r="BC59" s="33"/>
      <c r="BE59"/>
    </row>
    <row r="60" spans="3:98">
      <c r="D60" s="33" t="s">
        <v>1303</v>
      </c>
      <c r="E60" s="181">
        <v>2.0513905871244105</v>
      </c>
      <c r="BC60" s="33"/>
      <c r="BE60"/>
    </row>
    <row r="61" spans="3:98">
      <c r="D61" s="33" t="s">
        <v>1305</v>
      </c>
      <c r="E61" s="181">
        <v>4.0948893434577212</v>
      </c>
      <c r="BC61" s="33"/>
      <c r="BE61"/>
    </row>
    <row r="62" spans="3:98">
      <c r="D62" s="33" t="s">
        <v>1369</v>
      </c>
      <c r="E62" s="13">
        <v>2.2194506648107137</v>
      </c>
      <c r="BC62" s="33"/>
      <c r="BE62"/>
    </row>
    <row r="63" spans="3:98">
      <c r="BC63" s="33"/>
      <c r="BE63"/>
    </row>
    <row r="64" spans="3:98">
      <c r="E64" s="31"/>
      <c r="BC64" s="33"/>
      <c r="BE64"/>
    </row>
    <row r="65" spans="2:57">
      <c r="C65" s="83"/>
      <c r="D65" s="41" t="s">
        <v>159</v>
      </c>
      <c r="E65" s="226">
        <v>2006.6628091215709</v>
      </c>
      <c r="F65" s="226"/>
      <c r="BC65" s="33"/>
      <c r="BE65"/>
    </row>
    <row r="66" spans="2:57">
      <c r="C66" s="83"/>
      <c r="D66" t="s">
        <v>1107</v>
      </c>
      <c r="E66" s="226">
        <v>10.599684891163736</v>
      </c>
      <c r="F66" s="226"/>
      <c r="BC66" s="33"/>
      <c r="BE66"/>
    </row>
    <row r="67" spans="2:57">
      <c r="C67" s="83" t="s">
        <v>1148</v>
      </c>
      <c r="D67" t="s">
        <v>1108</v>
      </c>
      <c r="E67" s="226">
        <v>2.9143542001707265</v>
      </c>
      <c r="F67" s="226"/>
      <c r="BC67" s="33"/>
      <c r="BE67"/>
    </row>
    <row r="68" spans="2:57">
      <c r="C68" s="83"/>
      <c r="D68" t="s">
        <v>1109</v>
      </c>
      <c r="E68" s="226">
        <v>1.9782577737899607</v>
      </c>
      <c r="F68" s="226"/>
      <c r="BC68" s="33"/>
      <c r="BE68"/>
    </row>
    <row r="69" spans="2:57" ht="15.75" thickBot="1">
      <c r="C69" s="83"/>
      <c r="D69" t="s">
        <v>1111</v>
      </c>
      <c r="E69" s="227">
        <v>-1.6386665947020573</v>
      </c>
      <c r="F69" s="226"/>
      <c r="BC69" s="33"/>
      <c r="BE69"/>
    </row>
    <row r="70" spans="2:57">
      <c r="BC70" s="33"/>
      <c r="BE70"/>
    </row>
    <row r="71" spans="2:57">
      <c r="BC71" s="33"/>
      <c r="BE71"/>
    </row>
    <row r="72" spans="2:57">
      <c r="D72" t="s">
        <v>1205</v>
      </c>
      <c r="E72" t="s">
        <v>1296</v>
      </c>
      <c r="G72" t="s">
        <v>1206</v>
      </c>
      <c r="H72" s="87" t="s">
        <v>1108</v>
      </c>
      <c r="I72" s="87" t="s">
        <v>1110</v>
      </c>
      <c r="J72" s="87" t="s">
        <v>1111</v>
      </c>
      <c r="K72" s="87" t="s">
        <v>1113</v>
      </c>
      <c r="L72" s="87" t="s">
        <v>1112</v>
      </c>
      <c r="M72" s="87" t="s">
        <v>1114</v>
      </c>
      <c r="N72" s="87" t="s">
        <v>1115</v>
      </c>
      <c r="O72" s="87" t="s">
        <v>1116</v>
      </c>
      <c r="P72" s="87" t="s">
        <v>1304</v>
      </c>
      <c r="Q72" s="87" t="s">
        <v>1117</v>
      </c>
      <c r="R72" s="87" t="s">
        <v>1118</v>
      </c>
      <c r="S72" s="87" t="s">
        <v>956</v>
      </c>
      <c r="T72" s="87" t="s">
        <v>969</v>
      </c>
      <c r="U72" s="87" t="s">
        <v>972</v>
      </c>
      <c r="V72" s="87" t="s">
        <v>1368</v>
      </c>
      <c r="BB72" s="33"/>
      <c r="BE72"/>
    </row>
    <row r="73" spans="2:57">
      <c r="X73" s="33" t="s">
        <v>255</v>
      </c>
      <c r="BB73" s="33"/>
      <c r="BE73"/>
    </row>
    <row r="74" spans="2:57">
      <c r="C74" s="72" t="s">
        <v>1388</v>
      </c>
      <c r="D74" s="83">
        <f>A6+(2-D6)/(D7-D6)</f>
        <v>2011.1084011511434</v>
      </c>
      <c r="E74" s="83">
        <f t="shared" ref="E74:E97" si="1">E$46+E$47*G74+E$48*H74+E$49*I74+E$50*J74+E$51*K74+E$52*L74+E$53*M74+E$54*N74+E$55*O74+E$56*P74+E$57*Q74+E$58*R74+E$59*S74+E$60*T74+E$61*U74+E$62*V74</f>
        <v>2010.807342149152</v>
      </c>
      <c r="F74" s="33"/>
      <c r="G74" s="72">
        <f>1/AVERAGE('Norway with subs'!R79:R84)</f>
        <v>0.43691947701006872</v>
      </c>
      <c r="H74" s="33">
        <v>0</v>
      </c>
      <c r="I74" s="33">
        <v>0</v>
      </c>
      <c r="J74" s="33">
        <v>0</v>
      </c>
      <c r="K74" s="33">
        <v>0</v>
      </c>
      <c r="L74" s="33">
        <v>0</v>
      </c>
      <c r="M74" s="33">
        <v>0</v>
      </c>
      <c r="N74" s="33">
        <v>0</v>
      </c>
      <c r="O74" s="33">
        <v>0</v>
      </c>
      <c r="P74" s="33">
        <v>0</v>
      </c>
      <c r="Q74" s="33">
        <v>0</v>
      </c>
      <c r="R74" s="33">
        <v>0</v>
      </c>
      <c r="S74" s="33">
        <v>0</v>
      </c>
      <c r="T74" s="33">
        <v>0</v>
      </c>
      <c r="U74" s="33">
        <v>0</v>
      </c>
      <c r="V74" s="33">
        <v>0</v>
      </c>
      <c r="X74" s="33" t="s">
        <v>539</v>
      </c>
      <c r="BB74" s="33"/>
      <c r="BE74"/>
    </row>
    <row r="75" spans="2:57">
      <c r="C75" s="72" t="s">
        <v>540</v>
      </c>
      <c r="D75" s="83">
        <f>A11+(2-G11)/(G12-G11)</f>
        <v>2016.2086860429163</v>
      </c>
      <c r="E75" s="83">
        <f t="shared" si="1"/>
        <v>2016.7539438926117</v>
      </c>
      <c r="F75" s="33"/>
      <c r="G75" s="72">
        <f>1/AVERAGE(Belgium!R82:R87)</f>
        <v>0.98835258337888732</v>
      </c>
      <c r="H75" s="33">
        <v>0</v>
      </c>
      <c r="I75" s="33">
        <v>0</v>
      </c>
      <c r="J75" s="33">
        <v>0</v>
      </c>
      <c r="K75" s="33">
        <v>0</v>
      </c>
      <c r="L75" s="33">
        <v>0</v>
      </c>
      <c r="M75" s="33">
        <v>0</v>
      </c>
      <c r="N75" s="33">
        <v>0</v>
      </c>
      <c r="O75" s="33">
        <v>0</v>
      </c>
      <c r="P75" s="33">
        <v>0</v>
      </c>
      <c r="Q75" s="33">
        <v>0</v>
      </c>
      <c r="R75" s="33">
        <v>0</v>
      </c>
      <c r="S75" s="33">
        <v>0</v>
      </c>
      <c r="T75" s="33">
        <v>0</v>
      </c>
      <c r="U75" s="33">
        <v>0</v>
      </c>
      <c r="V75" s="33">
        <v>0</v>
      </c>
      <c r="X75" s="72" t="s">
        <v>540</v>
      </c>
      <c r="BB75" s="33"/>
      <c r="BE75"/>
    </row>
    <row r="76" spans="2:57">
      <c r="C76" s="72" t="s">
        <v>542</v>
      </c>
      <c r="D76" s="83">
        <f>A11+(2-K11)/(K12-K11)</f>
        <v>2016.5819020208137</v>
      </c>
      <c r="E76" s="83">
        <f t="shared" si="1"/>
        <v>2016.8559499419252</v>
      </c>
      <c r="F76" s="33"/>
      <c r="G76" s="72">
        <f>1/AVERAGE(Finland!R82:R87)</f>
        <v>0.99781168541193943</v>
      </c>
      <c r="H76" s="33">
        <v>0</v>
      </c>
      <c r="I76" s="33">
        <v>0</v>
      </c>
      <c r="J76" s="33">
        <v>0</v>
      </c>
      <c r="K76" s="33">
        <v>0</v>
      </c>
      <c r="L76" s="33">
        <v>0</v>
      </c>
      <c r="M76" s="33">
        <v>0</v>
      </c>
      <c r="N76" s="33">
        <v>0</v>
      </c>
      <c r="O76" s="33">
        <v>0</v>
      </c>
      <c r="P76" s="33">
        <v>0</v>
      </c>
      <c r="Q76" s="33">
        <v>0</v>
      </c>
      <c r="R76" s="33">
        <v>0</v>
      </c>
      <c r="S76" s="33">
        <v>0</v>
      </c>
      <c r="T76" s="33">
        <v>0</v>
      </c>
      <c r="U76" s="33">
        <v>0</v>
      </c>
      <c r="V76" s="33">
        <v>0</v>
      </c>
      <c r="X76" s="72" t="s">
        <v>298</v>
      </c>
      <c r="BB76" s="33"/>
      <c r="BE76"/>
    </row>
    <row r="77" spans="2:57">
      <c r="B77" t="s">
        <v>1119</v>
      </c>
      <c r="C77" s="72" t="s">
        <v>241</v>
      </c>
      <c r="D77" s="83">
        <f>A12+(2-M12)/(M13-M12)</f>
        <v>2017.4694448564735</v>
      </c>
      <c r="E77" s="83">
        <f t="shared" si="1"/>
        <v>2016.9419121989265</v>
      </c>
      <c r="F77" s="33"/>
      <c r="G77" s="72">
        <f>1/AVERAGE(Germany!R84:R89)</f>
        <v>1.0057830338313676</v>
      </c>
      <c r="H77" s="33">
        <v>0</v>
      </c>
      <c r="I77" s="33">
        <v>0</v>
      </c>
      <c r="J77" s="33">
        <v>0</v>
      </c>
      <c r="K77" s="33">
        <v>0</v>
      </c>
      <c r="L77" s="33">
        <v>0</v>
      </c>
      <c r="M77" s="33">
        <v>0</v>
      </c>
      <c r="N77" s="33">
        <v>0</v>
      </c>
      <c r="O77" s="33">
        <v>0</v>
      </c>
      <c r="P77" s="33">
        <v>0</v>
      </c>
      <c r="Q77" s="33">
        <v>0</v>
      </c>
      <c r="R77" s="33">
        <v>0</v>
      </c>
      <c r="S77" s="33">
        <v>0</v>
      </c>
      <c r="T77" s="33">
        <v>0</v>
      </c>
      <c r="U77" s="33">
        <v>0</v>
      </c>
      <c r="V77" s="33">
        <v>0</v>
      </c>
      <c r="X77" s="33" t="s">
        <v>238</v>
      </c>
      <c r="BB77" s="33"/>
      <c r="BE77"/>
    </row>
    <row r="78" spans="2:57">
      <c r="C78" s="72" t="s">
        <v>244</v>
      </c>
      <c r="D78" s="83">
        <f>A13+(2-R13)/(R14-R13)</f>
        <v>2018.1619318725568</v>
      </c>
      <c r="E78" s="83">
        <f t="shared" si="1"/>
        <v>2018.5503778605353</v>
      </c>
      <c r="F78" s="33"/>
      <c r="G78" s="72">
        <f>1/AVERAGE(Korea!R87:R92)</f>
        <v>0.8512717235003322</v>
      </c>
      <c r="H78" s="33">
        <v>1</v>
      </c>
      <c r="I78" s="33">
        <v>0</v>
      </c>
      <c r="J78" s="33">
        <v>0</v>
      </c>
      <c r="K78" s="33">
        <v>0</v>
      </c>
      <c r="L78" s="33">
        <v>0</v>
      </c>
      <c r="M78" s="33">
        <v>0</v>
      </c>
      <c r="N78" s="33">
        <v>0</v>
      </c>
      <c r="O78" s="33">
        <v>0</v>
      </c>
      <c r="P78" s="33">
        <v>0</v>
      </c>
      <c r="Q78" s="33">
        <v>0</v>
      </c>
      <c r="R78" s="33">
        <v>0</v>
      </c>
      <c r="S78" s="33">
        <v>0</v>
      </c>
      <c r="T78" s="33">
        <v>0</v>
      </c>
      <c r="U78" s="33">
        <v>0</v>
      </c>
      <c r="V78" s="33">
        <v>0</v>
      </c>
      <c r="X78" s="33" t="s">
        <v>239</v>
      </c>
      <c r="BB78" s="33"/>
      <c r="BE78"/>
    </row>
    <row r="79" spans="2:57" ht="15.75" thickBot="1">
      <c r="B79" s="228"/>
      <c r="C79" s="260" t="s">
        <v>1133</v>
      </c>
      <c r="D79" s="83">
        <f>A8+(2-S8)/(S9-S8)</f>
        <v>2013.1099537407679</v>
      </c>
      <c r="E79" s="83">
        <f t="shared" si="1"/>
        <v>2013.2999640268331</v>
      </c>
      <c r="F79" s="33"/>
      <c r="G79" s="72">
        <f>1/AVERAGE('Netherlands '!R87:R90)</f>
        <v>0.78438629194910292</v>
      </c>
      <c r="H79" s="33">
        <v>0</v>
      </c>
      <c r="I79" s="33">
        <v>0</v>
      </c>
      <c r="J79" s="33">
        <v>1</v>
      </c>
      <c r="K79">
        <v>0</v>
      </c>
      <c r="L79">
        <v>0</v>
      </c>
      <c r="M79">
        <v>0</v>
      </c>
      <c r="N79" s="33">
        <v>0</v>
      </c>
      <c r="O79" s="33">
        <v>0</v>
      </c>
      <c r="P79" s="33">
        <v>0</v>
      </c>
      <c r="Q79" s="33">
        <v>0</v>
      </c>
      <c r="R79" s="33">
        <v>0</v>
      </c>
      <c r="S79" s="33">
        <v>0</v>
      </c>
      <c r="T79" s="33">
        <v>0</v>
      </c>
      <c r="U79" s="33">
        <v>0</v>
      </c>
      <c r="V79" s="33">
        <v>0</v>
      </c>
      <c r="X79" s="33" t="s">
        <v>1146</v>
      </c>
      <c r="BB79" s="33"/>
      <c r="BE79"/>
    </row>
    <row r="80" spans="2:57">
      <c r="C80" s="33" t="s">
        <v>1132</v>
      </c>
      <c r="D80" s="83">
        <f>A11+(2-T11)/(T12-T11)</f>
        <v>2016.8900462592321</v>
      </c>
      <c r="E80" s="83">
        <f t="shared" si="1"/>
        <v>2016.4571105230541</v>
      </c>
      <c r="F80" s="33"/>
      <c r="G80" s="72">
        <f>1/AVERAGE('Netherlands '!R91:S92)</f>
        <v>1.0771509960235544</v>
      </c>
      <c r="H80" s="33">
        <v>0</v>
      </c>
      <c r="I80" s="33">
        <v>0</v>
      </c>
      <c r="J80" s="33">
        <v>1</v>
      </c>
      <c r="K80" s="33">
        <v>0</v>
      </c>
      <c r="L80" s="33">
        <v>0</v>
      </c>
      <c r="M80" s="33">
        <v>0</v>
      </c>
      <c r="N80" s="33">
        <v>0</v>
      </c>
      <c r="O80" s="33">
        <v>0</v>
      </c>
      <c r="P80" s="33">
        <v>0</v>
      </c>
      <c r="Q80" s="33">
        <v>0</v>
      </c>
      <c r="R80" s="33">
        <v>0</v>
      </c>
      <c r="S80" s="33">
        <v>0</v>
      </c>
      <c r="T80" s="33">
        <v>0</v>
      </c>
      <c r="U80" s="33">
        <v>0</v>
      </c>
      <c r="V80" s="33">
        <v>0</v>
      </c>
      <c r="X80" s="33" t="s">
        <v>1145</v>
      </c>
      <c r="BB80" s="33"/>
      <c r="BE80"/>
    </row>
    <row r="81" spans="2:57">
      <c r="B81" s="31"/>
      <c r="C81" s="33" t="s">
        <v>255</v>
      </c>
      <c r="D81" s="83">
        <f>A16+(2-B16)/(B17-B16)</f>
        <v>2021.6707626641812</v>
      </c>
      <c r="E81" s="12">
        <f t="shared" si="1"/>
        <v>2021.7688629854749</v>
      </c>
      <c r="F81" s="33"/>
      <c r="G81" s="72">
        <f>1/AVERAGE(Australia!R142:R147)</f>
        <v>1.2475785927097467</v>
      </c>
      <c r="H81" s="33">
        <v>0</v>
      </c>
      <c r="I81" s="33">
        <v>0</v>
      </c>
      <c r="J81" s="33">
        <v>0</v>
      </c>
      <c r="K81" s="33">
        <v>0</v>
      </c>
      <c r="L81" s="33">
        <v>0</v>
      </c>
      <c r="M81" s="33">
        <v>0</v>
      </c>
      <c r="N81" s="33">
        <v>0</v>
      </c>
      <c r="O81" s="33">
        <v>0</v>
      </c>
      <c r="P81" s="33">
        <v>0</v>
      </c>
      <c r="Q81" s="33">
        <v>0</v>
      </c>
      <c r="R81" s="33">
        <v>0</v>
      </c>
      <c r="S81" s="33">
        <v>0</v>
      </c>
      <c r="T81" s="33">
        <v>0</v>
      </c>
      <c r="U81" s="33">
        <v>0</v>
      </c>
      <c r="V81" s="33">
        <v>1</v>
      </c>
      <c r="X81" s="72" t="s">
        <v>542</v>
      </c>
      <c r="BB81" s="33"/>
      <c r="BE81"/>
    </row>
    <row r="82" spans="2:57">
      <c r="C82" s="33" t="s">
        <v>539</v>
      </c>
      <c r="D82" s="12">
        <f>A11+(2-E11)/(E12-E11)</f>
        <v>2016.9574758290712</v>
      </c>
      <c r="E82" s="12">
        <f t="shared" si="1"/>
        <v>2017.049752732456</v>
      </c>
      <c r="G82" s="13">
        <f>1/AVERAGE(Austria!R79:R84)</f>
        <v>1.0961413486395826</v>
      </c>
      <c r="H82">
        <v>0</v>
      </c>
      <c r="I82">
        <v>0</v>
      </c>
      <c r="J82">
        <v>0</v>
      </c>
      <c r="K82">
        <v>0</v>
      </c>
      <c r="L82">
        <v>0</v>
      </c>
      <c r="M82">
        <v>0</v>
      </c>
      <c r="N82">
        <v>0</v>
      </c>
      <c r="O82">
        <v>0</v>
      </c>
      <c r="P82">
        <v>0</v>
      </c>
      <c r="Q82">
        <v>0</v>
      </c>
      <c r="R82" s="33">
        <v>0</v>
      </c>
      <c r="S82" s="33">
        <v>1</v>
      </c>
      <c r="T82" s="33">
        <v>0</v>
      </c>
      <c r="U82" s="33">
        <v>0</v>
      </c>
      <c r="V82" s="33">
        <v>0</v>
      </c>
      <c r="X82" s="33" t="s">
        <v>240</v>
      </c>
      <c r="BB82" s="33"/>
      <c r="BE82"/>
    </row>
    <row r="83" spans="2:57">
      <c r="C83" s="33" t="s">
        <v>238</v>
      </c>
      <c r="D83" s="12">
        <f>A11+(2-F11)/(F12-F11)</f>
        <v>2016.8670958973294</v>
      </c>
      <c r="E83" s="12">
        <f t="shared" si="1"/>
        <v>2017.6180844157946</v>
      </c>
      <c r="G83" s="13">
        <f>1/AVERAGE(Canada!R80:R85)</f>
        <v>1.0684850209617511</v>
      </c>
      <c r="H83">
        <v>0</v>
      </c>
      <c r="I83">
        <v>0</v>
      </c>
      <c r="J83">
        <v>0</v>
      </c>
      <c r="K83">
        <v>0</v>
      </c>
      <c r="L83">
        <v>0</v>
      </c>
      <c r="M83">
        <v>0</v>
      </c>
      <c r="N83" s="33">
        <v>0</v>
      </c>
      <c r="O83" s="33">
        <v>0</v>
      </c>
      <c r="P83" s="33">
        <v>0</v>
      </c>
      <c r="Q83" s="33">
        <v>0</v>
      </c>
      <c r="R83" s="33">
        <v>0</v>
      </c>
      <c r="S83" s="33">
        <v>0</v>
      </c>
      <c r="T83" s="33">
        <v>0</v>
      </c>
      <c r="U83" s="33">
        <v>0</v>
      </c>
      <c r="V83" s="33">
        <v>0</v>
      </c>
      <c r="X83" s="72" t="s">
        <v>241</v>
      </c>
      <c r="BB83" s="33"/>
      <c r="BE83"/>
    </row>
    <row r="84" spans="2:57">
      <c r="C84" s="33" t="s">
        <v>239</v>
      </c>
      <c r="D84" s="12">
        <f>A11+(2-H11)/(H12-H11)</f>
        <v>2016.8206240858601</v>
      </c>
      <c r="E84" s="12">
        <f t="shared" si="1"/>
        <v>2016.9164503902307</v>
      </c>
      <c r="G84" s="13">
        <f>1/AVERAGE(China!R79:R84)</f>
        <v>0.84725733135714365</v>
      </c>
      <c r="H84">
        <v>0</v>
      </c>
      <c r="I84">
        <v>0</v>
      </c>
      <c r="J84">
        <v>0</v>
      </c>
      <c r="K84">
        <v>1</v>
      </c>
      <c r="L84">
        <v>0</v>
      </c>
      <c r="M84">
        <v>0</v>
      </c>
      <c r="N84" s="33">
        <v>0</v>
      </c>
      <c r="O84" s="33">
        <v>0</v>
      </c>
      <c r="P84" s="33">
        <v>0</v>
      </c>
      <c r="Q84" s="33">
        <v>0</v>
      </c>
      <c r="R84" s="33">
        <v>0</v>
      </c>
      <c r="S84" s="33">
        <v>0</v>
      </c>
      <c r="T84" s="33">
        <v>0</v>
      </c>
      <c r="U84" s="33">
        <v>0</v>
      </c>
      <c r="V84" s="33">
        <v>0</v>
      </c>
      <c r="X84" s="33" t="s">
        <v>242</v>
      </c>
      <c r="BB84" s="33"/>
      <c r="BE84"/>
    </row>
    <row r="85" spans="2:57">
      <c r="B85" t="s">
        <v>1147</v>
      </c>
      <c r="C85" s="33" t="s">
        <v>1145</v>
      </c>
      <c r="D85" s="12">
        <f>A10+(2-I10)/(I11-I10)</f>
        <v>2015.6962336906015</v>
      </c>
      <c r="E85" s="12">
        <f t="shared" si="1"/>
        <v>2016.0923970003205</v>
      </c>
      <c r="G85" s="13">
        <f>1/AVERAGE(Denmark!R80:R83)</f>
        <v>0.62419558837453848</v>
      </c>
      <c r="H85">
        <v>0</v>
      </c>
      <c r="I85">
        <v>0</v>
      </c>
      <c r="J85">
        <v>0</v>
      </c>
      <c r="K85">
        <v>0</v>
      </c>
      <c r="L85">
        <v>1</v>
      </c>
      <c r="M85">
        <v>0</v>
      </c>
      <c r="N85" s="33">
        <v>0</v>
      </c>
      <c r="O85" s="33">
        <v>0</v>
      </c>
      <c r="P85" s="33">
        <v>0</v>
      </c>
      <c r="Q85" s="33">
        <v>0</v>
      </c>
      <c r="R85" s="33">
        <v>0</v>
      </c>
      <c r="S85" s="33">
        <v>0</v>
      </c>
      <c r="T85" s="33">
        <v>0</v>
      </c>
      <c r="U85" s="33">
        <v>0</v>
      </c>
      <c r="V85" s="33">
        <v>0</v>
      </c>
      <c r="X85" s="33" t="s">
        <v>544</v>
      </c>
      <c r="BB85" s="33"/>
      <c r="BE85"/>
    </row>
    <row r="86" spans="2:57">
      <c r="C86" s="33" t="s">
        <v>1146</v>
      </c>
      <c r="D86" s="12">
        <f>A15+(2-J15)/(J16-J15)</f>
        <v>2020.3330475950395</v>
      </c>
      <c r="E86" s="12">
        <f t="shared" si="1"/>
        <v>2020.0146708121101</v>
      </c>
      <c r="G86" s="13">
        <f>1/AVERAGE(Denmark!R85:R86)</f>
        <v>0.98791115658843531</v>
      </c>
      <c r="H86">
        <v>0</v>
      </c>
      <c r="I86">
        <v>0</v>
      </c>
      <c r="J86">
        <v>0</v>
      </c>
      <c r="K86">
        <v>0</v>
      </c>
      <c r="L86">
        <v>1</v>
      </c>
      <c r="M86">
        <v>0</v>
      </c>
      <c r="N86" s="33">
        <v>0</v>
      </c>
      <c r="O86" s="33">
        <v>0</v>
      </c>
      <c r="P86" s="33">
        <v>0</v>
      </c>
      <c r="Q86" s="33">
        <v>0</v>
      </c>
      <c r="R86" s="33">
        <v>0</v>
      </c>
      <c r="S86" s="33">
        <v>0</v>
      </c>
      <c r="T86" s="33">
        <v>0</v>
      </c>
      <c r="U86" s="33">
        <v>0</v>
      </c>
      <c r="V86" s="33">
        <v>0</v>
      </c>
      <c r="X86" s="33" t="s">
        <v>538</v>
      </c>
      <c r="BB86" s="33"/>
      <c r="BE86"/>
    </row>
    <row r="87" spans="2:57">
      <c r="C87" s="33" t="s">
        <v>544</v>
      </c>
      <c r="D87" s="12">
        <f>A14+(2-O14)/(O15-O14)</f>
        <v>2019.2343404313958</v>
      </c>
      <c r="E87" s="12">
        <f t="shared" si="1"/>
        <v>2019.3325959403301</v>
      </c>
      <c r="G87" s="13">
        <f>1/AVERAGE(Ireland!R82:R87)</f>
        <v>0.89751377068696248</v>
      </c>
      <c r="H87">
        <v>0</v>
      </c>
      <c r="I87">
        <v>0</v>
      </c>
      <c r="J87">
        <v>0</v>
      </c>
      <c r="K87">
        <v>0</v>
      </c>
      <c r="L87">
        <v>0</v>
      </c>
      <c r="M87">
        <v>1</v>
      </c>
      <c r="N87" s="33">
        <v>0</v>
      </c>
      <c r="O87" s="33">
        <v>0</v>
      </c>
      <c r="P87" s="33">
        <v>0</v>
      </c>
      <c r="Q87" s="33">
        <v>0</v>
      </c>
      <c r="R87" s="33">
        <v>0</v>
      </c>
      <c r="S87" s="33">
        <v>0</v>
      </c>
      <c r="T87" s="33">
        <v>0</v>
      </c>
      <c r="U87" s="33">
        <v>0</v>
      </c>
      <c r="V87" s="33">
        <v>0</v>
      </c>
      <c r="X87" s="33" t="s">
        <v>243</v>
      </c>
      <c r="BB87" s="33"/>
      <c r="BE87"/>
    </row>
    <row r="88" spans="2:57">
      <c r="C88" s="33" t="s">
        <v>684</v>
      </c>
      <c r="D88" s="12">
        <f>A15+(2-U15)/(U16-U15)</f>
        <v>2020.9080263450765</v>
      </c>
      <c r="E88" s="12">
        <f t="shared" si="1"/>
        <v>2021.0024974018199</v>
      </c>
      <c r="G88" s="13">
        <f>1/AVERAGE('New Zealand'!R87:R92)</f>
        <v>1.2060917913671696</v>
      </c>
      <c r="H88">
        <v>0</v>
      </c>
      <c r="I88">
        <v>0</v>
      </c>
      <c r="J88">
        <v>0</v>
      </c>
      <c r="K88">
        <v>0</v>
      </c>
      <c r="L88">
        <v>0</v>
      </c>
      <c r="M88">
        <v>0</v>
      </c>
      <c r="N88" s="33">
        <v>1</v>
      </c>
      <c r="O88" s="33">
        <v>0</v>
      </c>
      <c r="P88" s="33">
        <v>0</v>
      </c>
      <c r="Q88" s="33">
        <v>0</v>
      </c>
      <c r="R88" s="33">
        <v>0</v>
      </c>
      <c r="S88" s="33">
        <v>0</v>
      </c>
      <c r="T88" s="33">
        <v>0</v>
      </c>
      <c r="U88" s="33">
        <v>0</v>
      </c>
      <c r="V88" s="33">
        <v>0</v>
      </c>
      <c r="X88" s="72" t="s">
        <v>244</v>
      </c>
      <c r="BB88" s="33"/>
      <c r="BE88"/>
    </row>
    <row r="89" spans="2:57">
      <c r="C89" s="33" t="s">
        <v>685</v>
      </c>
      <c r="D89" s="12">
        <f>A9+(2-W9)/(W10-W9)</f>
        <v>2014.5322870015141</v>
      </c>
      <c r="E89" s="12">
        <f t="shared" si="1"/>
        <v>2015.1574972587619</v>
      </c>
      <c r="G89" s="13">
        <f>1/AVERAGE(Sweden!S85:S90)</f>
        <v>0.84031281807526137</v>
      </c>
      <c r="H89">
        <v>0</v>
      </c>
      <c r="I89">
        <v>0</v>
      </c>
      <c r="J89">
        <v>0</v>
      </c>
      <c r="K89">
        <v>0</v>
      </c>
      <c r="L89">
        <v>0</v>
      </c>
      <c r="M89">
        <v>0</v>
      </c>
      <c r="N89" s="33">
        <v>0</v>
      </c>
      <c r="O89" s="33">
        <v>0</v>
      </c>
      <c r="P89" s="33">
        <v>0</v>
      </c>
      <c r="Q89" s="33">
        <v>0</v>
      </c>
      <c r="R89" s="33">
        <v>0</v>
      </c>
      <c r="S89" s="33">
        <v>0</v>
      </c>
      <c r="T89" s="33">
        <v>0</v>
      </c>
      <c r="U89" s="33">
        <v>0</v>
      </c>
      <c r="V89" s="33">
        <v>0</v>
      </c>
      <c r="X89" s="33" t="s">
        <v>1132</v>
      </c>
      <c r="BB89" s="33"/>
      <c r="BE89"/>
    </row>
    <row r="90" spans="2:57">
      <c r="B90" s="31"/>
      <c r="C90" s="33" t="s">
        <v>546</v>
      </c>
      <c r="D90" s="12">
        <f>A11+(2-X11)/(X12-X11)</f>
        <v>2016.0623384192609</v>
      </c>
      <c r="E90" s="12">
        <f t="shared" si="1"/>
        <v>2016.1561619791923</v>
      </c>
      <c r="G90" s="13">
        <f>1/AVERAGE(Switzerland!R84:R89)</f>
        <v>1.1280414250830448</v>
      </c>
      <c r="H90">
        <v>0</v>
      </c>
      <c r="I90">
        <v>0</v>
      </c>
      <c r="J90">
        <v>0</v>
      </c>
      <c r="K90">
        <v>0</v>
      </c>
      <c r="L90">
        <v>0</v>
      </c>
      <c r="M90">
        <v>0</v>
      </c>
      <c r="N90" s="33">
        <v>0</v>
      </c>
      <c r="O90" s="33">
        <v>1</v>
      </c>
      <c r="P90" s="33">
        <v>0</v>
      </c>
      <c r="Q90" s="33">
        <v>0</v>
      </c>
      <c r="R90" s="33">
        <v>0</v>
      </c>
      <c r="S90" s="33">
        <v>0</v>
      </c>
      <c r="T90" s="33">
        <v>0</v>
      </c>
      <c r="U90" s="33">
        <v>0</v>
      </c>
      <c r="V90" s="33">
        <v>0</v>
      </c>
      <c r="X90" s="33" t="s">
        <v>1133</v>
      </c>
      <c r="BB90" s="33"/>
      <c r="BE90"/>
    </row>
    <row r="91" spans="2:57" ht="15.75" thickBot="1">
      <c r="B91" s="228"/>
      <c r="C91" s="261" t="s">
        <v>248</v>
      </c>
      <c r="D91" s="12">
        <f>A12+(2-Y12)/(Y13-Y12)</f>
        <v>2017.3629305135437</v>
      </c>
      <c r="E91" s="12">
        <f t="shared" si="1"/>
        <v>2017.4513768817899</v>
      </c>
      <c r="F91" s="12"/>
      <c r="G91" s="13">
        <f>1/AVERAGE(Britain!R81:R86)</f>
        <v>0.80008574218203099</v>
      </c>
      <c r="H91">
        <v>0</v>
      </c>
      <c r="I91">
        <v>1</v>
      </c>
      <c r="J91">
        <v>0</v>
      </c>
      <c r="K91" s="33">
        <v>0</v>
      </c>
      <c r="L91" s="33">
        <v>0</v>
      </c>
      <c r="M91" s="33">
        <v>0</v>
      </c>
      <c r="N91" s="33">
        <v>0</v>
      </c>
      <c r="O91" s="33">
        <v>0</v>
      </c>
      <c r="P91" s="33">
        <v>0</v>
      </c>
      <c r="Q91" s="33">
        <v>0</v>
      </c>
      <c r="R91" s="33">
        <v>0</v>
      </c>
      <c r="S91" s="33">
        <v>0</v>
      </c>
      <c r="T91" s="33">
        <v>0</v>
      </c>
      <c r="U91" s="33">
        <v>0</v>
      </c>
      <c r="V91" s="33">
        <v>0</v>
      </c>
      <c r="X91" s="33" t="s">
        <v>684</v>
      </c>
      <c r="BB91" s="33"/>
      <c r="BE91"/>
    </row>
    <row r="92" spans="2:57">
      <c r="C92" s="33" t="s">
        <v>240</v>
      </c>
      <c r="D92" s="12">
        <f>A12+(2-L12)/(L13-L12)</f>
        <v>2017.7386567954632</v>
      </c>
      <c r="E92" s="12">
        <f t="shared" si="1"/>
        <v>2016.982255222978</v>
      </c>
      <c r="G92" s="13">
        <f>1/AVERAGE(France!S83:S88)</f>
        <v>1.0095240745186009</v>
      </c>
      <c r="H92">
        <v>0</v>
      </c>
      <c r="I92">
        <v>0</v>
      </c>
      <c r="J92">
        <v>0</v>
      </c>
      <c r="K92">
        <v>0</v>
      </c>
      <c r="L92">
        <v>0</v>
      </c>
      <c r="M92">
        <v>0</v>
      </c>
      <c r="N92" s="33">
        <v>0</v>
      </c>
      <c r="O92" s="33">
        <v>0</v>
      </c>
      <c r="P92" s="33">
        <v>0</v>
      </c>
      <c r="Q92" s="33">
        <v>0</v>
      </c>
      <c r="R92" s="33">
        <v>0</v>
      </c>
      <c r="S92" s="33">
        <v>0</v>
      </c>
      <c r="T92" s="33">
        <v>0</v>
      </c>
      <c r="U92" s="33">
        <v>0</v>
      </c>
      <c r="V92" s="33">
        <v>0</v>
      </c>
      <c r="X92" s="72" t="s">
        <v>246</v>
      </c>
      <c r="BB92" s="33"/>
      <c r="BE92"/>
    </row>
    <row r="93" spans="2:57">
      <c r="B93" s="31"/>
      <c r="C93" s="33" t="s">
        <v>242</v>
      </c>
      <c r="D93" s="12">
        <f>A22+(2-N22)/(N23-N22)</f>
        <v>2027.3040095358092</v>
      </c>
      <c r="E93" s="12">
        <f t="shared" si="1"/>
        <v>2027.4023052258367</v>
      </c>
      <c r="G93" s="13">
        <f>1/AVERAGE(India!S84:S89)</f>
        <v>1.1975968944703292</v>
      </c>
      <c r="H93">
        <v>0</v>
      </c>
      <c r="I93">
        <v>0</v>
      </c>
      <c r="J93">
        <v>0</v>
      </c>
      <c r="K93">
        <v>0</v>
      </c>
      <c r="L93">
        <v>0</v>
      </c>
      <c r="M93">
        <v>0</v>
      </c>
      <c r="N93" s="33">
        <v>0</v>
      </c>
      <c r="O93" s="33">
        <v>0</v>
      </c>
      <c r="P93" s="33">
        <v>0</v>
      </c>
      <c r="Q93" s="33">
        <v>1</v>
      </c>
      <c r="R93" s="33">
        <v>0</v>
      </c>
      <c r="S93" s="33">
        <v>0</v>
      </c>
      <c r="T93" s="33">
        <v>0</v>
      </c>
      <c r="U93" s="33">
        <v>0</v>
      </c>
      <c r="V93" s="33">
        <v>0</v>
      </c>
      <c r="X93" s="33" t="s">
        <v>545</v>
      </c>
      <c r="BB93" s="33"/>
      <c r="BE93"/>
    </row>
    <row r="94" spans="2:57">
      <c r="C94" s="33" t="s">
        <v>538</v>
      </c>
      <c r="D94" s="12">
        <f>A15+(2-P15)/(P16-P15)</f>
        <v>2020.7573164804394</v>
      </c>
      <c r="E94" s="12">
        <f t="shared" si="1"/>
        <v>2020.8823914766338</v>
      </c>
      <c r="G94" s="13">
        <f>1/AVERAGE(Italy!R82:R87)</f>
        <v>1.1809597296644165</v>
      </c>
      <c r="H94">
        <v>0</v>
      </c>
      <c r="I94">
        <v>0</v>
      </c>
      <c r="J94">
        <v>0</v>
      </c>
      <c r="K94">
        <v>0</v>
      </c>
      <c r="L94">
        <v>0</v>
      </c>
      <c r="M94">
        <v>0</v>
      </c>
      <c r="N94" s="33">
        <v>0</v>
      </c>
      <c r="O94" s="33">
        <v>0</v>
      </c>
      <c r="P94" s="33">
        <v>0</v>
      </c>
      <c r="Q94" s="33">
        <v>0</v>
      </c>
      <c r="R94" s="33">
        <v>0</v>
      </c>
      <c r="S94" s="33">
        <v>0</v>
      </c>
      <c r="T94" s="33">
        <v>1</v>
      </c>
      <c r="U94" s="33">
        <v>0</v>
      </c>
      <c r="V94" s="33">
        <v>0</v>
      </c>
      <c r="X94" s="33" t="s">
        <v>685</v>
      </c>
      <c r="BB94" s="33"/>
      <c r="BE94"/>
    </row>
    <row r="95" spans="2:57">
      <c r="C95" s="33" t="s">
        <v>243</v>
      </c>
      <c r="D95" s="12">
        <f>A14+(2-Q14)/(Q15-Q14)</f>
        <v>2019.7106232622343</v>
      </c>
      <c r="E95" s="12">
        <f t="shared" si="1"/>
        <v>2020.4329483138711</v>
      </c>
      <c r="G95" s="13">
        <f>1/AVERAGE(Japan!R84:R89)</f>
        <v>0.94978724397440906</v>
      </c>
      <c r="H95">
        <v>0</v>
      </c>
      <c r="I95">
        <v>0</v>
      </c>
      <c r="J95">
        <v>0</v>
      </c>
      <c r="K95">
        <v>0</v>
      </c>
      <c r="L95">
        <v>0</v>
      </c>
      <c r="M95">
        <v>0</v>
      </c>
      <c r="N95">
        <v>0</v>
      </c>
      <c r="O95">
        <v>0</v>
      </c>
      <c r="P95" s="33">
        <v>0</v>
      </c>
      <c r="Q95">
        <v>0</v>
      </c>
      <c r="R95" s="33">
        <v>0</v>
      </c>
      <c r="S95" s="33">
        <v>0</v>
      </c>
      <c r="T95" s="33">
        <v>0</v>
      </c>
      <c r="U95" s="33">
        <v>1</v>
      </c>
      <c r="V95" s="33">
        <v>0</v>
      </c>
      <c r="X95" s="33" t="s">
        <v>546</v>
      </c>
      <c r="BB95" s="33"/>
      <c r="BE95"/>
    </row>
    <row r="96" spans="2:57">
      <c r="B96" t="s">
        <v>1150</v>
      </c>
      <c r="C96" s="33" t="s">
        <v>545</v>
      </c>
      <c r="D96" s="12">
        <f>A16+(2-V16)/(V17-V16)</f>
        <v>2021.640076145691</v>
      </c>
      <c r="E96" s="12">
        <f t="shared" si="1"/>
        <v>2021.739415158265</v>
      </c>
      <c r="G96" s="13">
        <f>1/AVERAGE(Spain!R84:R89)</f>
        <v>1.0410846881713862</v>
      </c>
      <c r="H96">
        <v>0</v>
      </c>
      <c r="I96">
        <v>0</v>
      </c>
      <c r="J96">
        <v>0</v>
      </c>
      <c r="K96">
        <v>0</v>
      </c>
      <c r="L96">
        <v>0</v>
      </c>
      <c r="M96">
        <v>0</v>
      </c>
      <c r="N96" s="33">
        <v>0</v>
      </c>
      <c r="O96" s="33">
        <v>0</v>
      </c>
      <c r="P96" s="33">
        <v>1</v>
      </c>
      <c r="Q96" s="33">
        <v>0</v>
      </c>
      <c r="R96" s="33">
        <v>0</v>
      </c>
      <c r="S96" s="33">
        <v>0</v>
      </c>
      <c r="T96" s="33">
        <v>0</v>
      </c>
      <c r="U96" s="33">
        <v>0</v>
      </c>
      <c r="V96" s="33">
        <v>0</v>
      </c>
      <c r="X96" s="33" t="s">
        <v>249</v>
      </c>
      <c r="BB96" s="33"/>
      <c r="BE96"/>
    </row>
    <row r="97" spans="3:57">
      <c r="C97" s="33" t="s">
        <v>249</v>
      </c>
      <c r="D97" s="12">
        <f>A12+(2-Z12)/(Z13-Z12)</f>
        <v>2017.485814631053</v>
      </c>
      <c r="E97" s="12">
        <f t="shared" si="1"/>
        <v>2017.5778599031757</v>
      </c>
      <c r="G97" s="13">
        <f>1/AVERAGE(USA!R84:R89)</f>
        <v>0.86643268249025507</v>
      </c>
      <c r="H97">
        <v>0</v>
      </c>
      <c r="I97">
        <v>0</v>
      </c>
      <c r="J97">
        <v>0</v>
      </c>
      <c r="K97">
        <v>0</v>
      </c>
      <c r="L97">
        <v>0</v>
      </c>
      <c r="M97">
        <v>0</v>
      </c>
      <c r="N97" s="33">
        <v>0</v>
      </c>
      <c r="O97" s="33">
        <v>0</v>
      </c>
      <c r="P97" s="33">
        <v>0</v>
      </c>
      <c r="Q97" s="33">
        <v>0</v>
      </c>
      <c r="R97" s="33">
        <v>1</v>
      </c>
      <c r="S97" s="33">
        <v>0</v>
      </c>
      <c r="T97" s="33">
        <v>0</v>
      </c>
      <c r="U97" s="33">
        <v>0</v>
      </c>
      <c r="V97" s="33">
        <v>0</v>
      </c>
      <c r="BD97" s="33"/>
      <c r="BE97"/>
    </row>
    <row r="98" spans="3:57">
      <c r="L98" s="13"/>
      <c r="M98" s="13"/>
      <c r="N98" s="13"/>
      <c r="O98" s="13"/>
      <c r="P98" s="13"/>
      <c r="Q98" s="13"/>
      <c r="R98" s="13"/>
      <c r="S98" s="13"/>
      <c r="T98" s="13"/>
      <c r="U98" s="13"/>
    </row>
    <row r="99" spans="3:57">
      <c r="L99" s="13"/>
      <c r="M99" s="13"/>
      <c r="N99" s="13"/>
      <c r="O99" s="13"/>
      <c r="P99" s="13"/>
      <c r="Q99" s="13"/>
      <c r="R99" s="13"/>
      <c r="S99" s="13"/>
      <c r="T99" s="13"/>
      <c r="U99" s="13"/>
    </row>
    <row r="100" spans="3:57">
      <c r="L100" s="13"/>
      <c r="M100" s="13"/>
      <c r="N100" s="13"/>
      <c r="O100" s="13"/>
      <c r="P100" s="13"/>
      <c r="Q100" s="13"/>
      <c r="R100" s="13"/>
      <c r="S100" s="13"/>
      <c r="T100" s="13"/>
      <c r="U100" s="13"/>
    </row>
    <row r="101" spans="3:57">
      <c r="L101" s="13"/>
      <c r="M101" s="13"/>
      <c r="N101" s="13"/>
      <c r="O101" s="13"/>
      <c r="P101" s="13"/>
      <c r="Q101" s="13"/>
      <c r="R101" s="13"/>
      <c r="S101" s="13"/>
      <c r="T101" s="13"/>
      <c r="U101" s="13"/>
    </row>
    <row r="102" spans="3:57">
      <c r="L102" s="13"/>
      <c r="M102" s="13"/>
      <c r="N102" s="13"/>
      <c r="O102" s="13"/>
      <c r="P102" s="13"/>
      <c r="Q102" s="13"/>
      <c r="R102" s="13"/>
      <c r="S102" s="13"/>
      <c r="T102" s="13"/>
      <c r="U102" s="13"/>
    </row>
    <row r="103" spans="3:57">
      <c r="L103" s="13"/>
      <c r="M103" s="13"/>
      <c r="N103" s="13"/>
      <c r="O103" s="13"/>
      <c r="P103" s="13"/>
      <c r="Q103" s="13"/>
      <c r="R103" s="13"/>
      <c r="S103" s="13"/>
      <c r="T103" s="13"/>
      <c r="U103" s="13"/>
    </row>
    <row r="104" spans="3:57">
      <c r="L104" s="13"/>
      <c r="M104" s="13"/>
      <c r="N104" s="13"/>
      <c r="O104" s="13"/>
      <c r="P104" s="13"/>
      <c r="Q104" s="13"/>
      <c r="R104" s="13"/>
      <c r="S104" s="13"/>
      <c r="T104" s="13"/>
      <c r="U104" s="13"/>
    </row>
    <row r="105" spans="3:57">
      <c r="L105" s="13"/>
      <c r="M105" s="13"/>
      <c r="N105" s="13"/>
      <c r="O105" s="13"/>
      <c r="P105" s="13"/>
      <c r="Q105" s="13"/>
      <c r="R105" s="13"/>
      <c r="S105" s="13"/>
      <c r="T105" s="13"/>
      <c r="U105" s="13"/>
    </row>
    <row r="106" spans="3:57">
      <c r="L106" s="13"/>
      <c r="M106" s="13"/>
      <c r="N106" s="13"/>
      <c r="O106" s="13"/>
      <c r="P106" s="13"/>
      <c r="Q106" s="13"/>
      <c r="R106" s="13"/>
      <c r="S106" s="13"/>
      <c r="T106" s="13"/>
      <c r="U106" s="13"/>
    </row>
    <row r="107" spans="3:57">
      <c r="L107" s="13"/>
      <c r="M107" s="13"/>
      <c r="N107" s="13"/>
      <c r="O107" s="13"/>
      <c r="P107" s="13"/>
      <c r="Q107" s="13"/>
      <c r="R107" s="13"/>
      <c r="S107" s="13"/>
      <c r="T107" s="13"/>
      <c r="U107" s="13"/>
    </row>
    <row r="108" spans="3:57">
      <c r="L108" s="13"/>
      <c r="M108" s="13"/>
      <c r="N108" s="13"/>
      <c r="O108" s="13"/>
      <c r="P108" s="13"/>
      <c r="Q108" s="13"/>
      <c r="R108" s="13"/>
      <c r="S108" s="13"/>
      <c r="T108" s="13"/>
      <c r="U108" s="13"/>
    </row>
    <row r="109" spans="3:57">
      <c r="L109" s="13"/>
      <c r="M109" s="13"/>
      <c r="N109" s="13"/>
      <c r="O109" s="13"/>
      <c r="P109" s="13"/>
      <c r="Q109" s="13"/>
      <c r="R109" s="13"/>
      <c r="S109" s="13"/>
      <c r="T109" s="13"/>
      <c r="U109" s="13"/>
    </row>
    <row r="110" spans="3:57">
      <c r="L110" s="13"/>
      <c r="M110" s="13"/>
      <c r="N110" s="13"/>
      <c r="O110" s="13"/>
      <c r="P110" s="13"/>
      <c r="Q110" s="13"/>
      <c r="R110" s="13"/>
      <c r="S110" s="13"/>
      <c r="T110" s="13"/>
      <c r="U110" s="13"/>
    </row>
    <row r="111" spans="3:57">
      <c r="L111" s="13"/>
      <c r="M111" s="13"/>
      <c r="N111" s="13"/>
      <c r="O111" s="13"/>
      <c r="P111" s="13"/>
      <c r="Q111" s="13"/>
      <c r="R111" s="13"/>
      <c r="S111" s="13"/>
      <c r="T111" s="13"/>
      <c r="U111" s="13"/>
    </row>
    <row r="112" spans="3:57">
      <c r="L112" s="13"/>
      <c r="M112" s="13"/>
      <c r="N112" s="13"/>
      <c r="O112" s="13"/>
      <c r="P112" s="13"/>
      <c r="Q112" s="13"/>
      <c r="R112" s="13"/>
      <c r="S112" s="13"/>
      <c r="T112" s="13"/>
      <c r="U112" s="13"/>
    </row>
    <row r="113" spans="11:21">
      <c r="L113" s="13"/>
      <c r="M113" s="13"/>
      <c r="N113" s="13"/>
      <c r="O113" s="13"/>
      <c r="P113" s="13"/>
      <c r="Q113" s="13"/>
      <c r="R113" s="13"/>
      <c r="S113" s="13"/>
      <c r="T113" s="13"/>
      <c r="U113" s="13"/>
    </row>
    <row r="114" spans="11:21">
      <c r="L114" s="13"/>
      <c r="M114" s="13"/>
      <c r="N114" s="13"/>
      <c r="O114" s="13"/>
      <c r="P114" s="13"/>
      <c r="Q114" s="13"/>
      <c r="R114" s="13"/>
      <c r="S114" s="13"/>
      <c r="T114" s="13"/>
      <c r="U114" s="13"/>
    </row>
    <row r="115" spans="11:21">
      <c r="L115" s="13"/>
      <c r="M115" s="13"/>
      <c r="N115" s="13"/>
      <c r="O115" s="13"/>
      <c r="P115" s="13"/>
      <c r="Q115" s="13"/>
      <c r="R115" s="13"/>
      <c r="S115" s="13"/>
      <c r="T115" s="13"/>
      <c r="U115" s="13"/>
    </row>
    <row r="116" spans="11:21">
      <c r="L116" s="13"/>
      <c r="M116" s="13"/>
      <c r="N116" s="13"/>
      <c r="O116" s="13"/>
      <c r="P116" s="13"/>
      <c r="Q116" s="13"/>
      <c r="R116" s="13"/>
      <c r="S116" s="13"/>
      <c r="T116" s="13"/>
      <c r="U116" s="13"/>
    </row>
    <row r="117" spans="11:21">
      <c r="L117" s="13"/>
      <c r="M117" s="13"/>
      <c r="N117" s="13"/>
      <c r="O117" s="13"/>
      <c r="P117" s="13"/>
      <c r="Q117" s="13"/>
      <c r="R117" s="13"/>
      <c r="S117" s="13"/>
      <c r="T117" s="13"/>
      <c r="U117" s="13"/>
    </row>
    <row r="118" spans="11:21">
      <c r="L118" s="13"/>
      <c r="M118" s="13"/>
      <c r="N118" s="13"/>
      <c r="O118" s="13"/>
      <c r="P118" s="13"/>
      <c r="Q118" s="13"/>
      <c r="R118" s="13"/>
      <c r="S118" s="13"/>
      <c r="T118" s="13"/>
      <c r="U118" s="13"/>
    </row>
    <row r="119" spans="11:21">
      <c r="L119" s="13"/>
      <c r="M119" s="13"/>
      <c r="N119" s="13"/>
      <c r="O119" s="13"/>
      <c r="P119" s="13"/>
      <c r="Q119" s="13"/>
      <c r="R119" s="13"/>
      <c r="S119" s="13"/>
      <c r="T119" s="13"/>
      <c r="U119" s="13"/>
    </row>
    <row r="120" spans="11:21">
      <c r="L120" s="13"/>
      <c r="M120" s="13"/>
      <c r="N120" s="13"/>
      <c r="O120" s="13"/>
      <c r="P120" s="13"/>
      <c r="Q120" s="13"/>
      <c r="R120" s="13"/>
      <c r="S120" s="13"/>
      <c r="T120" s="13"/>
      <c r="U120" s="13"/>
    </row>
    <row r="121" spans="11:21">
      <c r="L121" s="13"/>
      <c r="M121" s="13"/>
      <c r="N121" s="13"/>
      <c r="O121" s="13"/>
      <c r="P121" s="13"/>
      <c r="Q121" s="13"/>
      <c r="R121" s="13"/>
      <c r="S121" s="13"/>
      <c r="T121" s="13"/>
      <c r="U121" s="13"/>
    </row>
    <row r="122" spans="11:21">
      <c r="L122" s="13"/>
      <c r="M122" s="13"/>
      <c r="N122" s="13"/>
      <c r="O122" s="13"/>
      <c r="P122" s="13"/>
      <c r="Q122" s="13"/>
      <c r="R122" s="13"/>
      <c r="S122" s="13"/>
      <c r="T122" s="13"/>
      <c r="U122" s="13"/>
    </row>
    <row r="123" spans="11:21">
      <c r="L123" s="13"/>
      <c r="M123" s="13"/>
      <c r="N123" s="13"/>
      <c r="O123" s="13"/>
      <c r="P123" s="13"/>
      <c r="Q123" s="13"/>
      <c r="R123" s="13"/>
      <c r="S123" s="13"/>
      <c r="T123" s="13"/>
      <c r="U123" s="13"/>
    </row>
    <row r="124" spans="11:21">
      <c r="L124" s="13"/>
      <c r="M124" s="13"/>
      <c r="N124" s="13"/>
      <c r="O124" s="13"/>
      <c r="P124" s="13"/>
      <c r="Q124" s="13"/>
      <c r="R124" s="13"/>
      <c r="S124" s="13"/>
      <c r="T124" s="13"/>
      <c r="U124" s="13"/>
    </row>
    <row r="125" spans="11:21">
      <c r="L125" s="13"/>
      <c r="M125" s="13"/>
      <c r="N125" s="13"/>
      <c r="O125" s="13"/>
      <c r="P125" s="13"/>
      <c r="Q125" s="13"/>
      <c r="R125" s="13"/>
      <c r="S125" s="13"/>
      <c r="T125" s="13"/>
      <c r="U125" s="13"/>
    </row>
    <row r="126" spans="11:21">
      <c r="K126" s="13"/>
      <c r="L126" s="13"/>
      <c r="M126" s="13"/>
      <c r="N126" s="13"/>
      <c r="O126" s="13"/>
      <c r="P126" s="13"/>
      <c r="Q126" s="13"/>
      <c r="R126" s="13"/>
      <c r="S126" s="13"/>
      <c r="T126" s="13"/>
      <c r="U126" s="13"/>
    </row>
  </sheetData>
  <sortState ref="X73:X96">
    <sortCondition ref="X73"/>
  </sortState>
  <printOptions gridLines="1"/>
  <pageMargins left="0.7" right="0.7" top="0.75" bottom="0.75" header="0.3" footer="0.3"/>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showGridLines="0" workbookViewId="0">
      <selection activeCell="G37" sqref="G37"/>
    </sheetView>
  </sheetViews>
  <sheetFormatPr defaultRowHeight="15"/>
  <cols>
    <col min="1" max="1" width="18.140625" customWidth="1"/>
    <col min="2" max="7" width="13.7109375" customWidth="1"/>
  </cols>
  <sheetData>
    <row r="1" spans="1:7">
      <c r="A1" t="s">
        <v>148</v>
      </c>
    </row>
    <row r="2" spans="1:7" ht="15.75" thickBot="1"/>
    <row r="3" spans="1:7">
      <c r="A3" s="44" t="s">
        <v>149</v>
      </c>
      <c r="B3" s="44"/>
    </row>
    <row r="4" spans="1:7">
      <c r="A4" s="41" t="s">
        <v>150</v>
      </c>
      <c r="B4" s="41">
        <v>0.99900952228184225</v>
      </c>
    </row>
    <row r="5" spans="1:7">
      <c r="A5" s="41" t="s">
        <v>151</v>
      </c>
      <c r="B5" s="41">
        <v>0.99802002560979475</v>
      </c>
    </row>
    <row r="6" spans="1:7">
      <c r="A6" s="41" t="s">
        <v>152</v>
      </c>
      <c r="B6" s="41">
        <v>0.99538005975618782</v>
      </c>
    </row>
    <row r="7" spans="1:7">
      <c r="A7" s="41" t="s">
        <v>153</v>
      </c>
      <c r="B7" s="41">
        <v>8.2118250298069656E-2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4</v>
      </c>
      <c r="C12" s="41">
        <v>10.197185315249587</v>
      </c>
      <c r="D12" s="41">
        <v>2.5492963288123969</v>
      </c>
      <c r="E12" s="41">
        <v>378.04277818450254</v>
      </c>
      <c r="F12" s="41">
        <v>2.1999515999607017E-4</v>
      </c>
    </row>
    <row r="13" spans="1:7">
      <c r="A13" s="41" t="s">
        <v>157</v>
      </c>
      <c r="B13" s="41">
        <v>3</v>
      </c>
      <c r="C13" s="41">
        <v>2.0230221096049252E-2</v>
      </c>
      <c r="D13" s="41">
        <v>6.7434070320164172E-3</v>
      </c>
      <c r="E13" s="41"/>
      <c r="F13" s="41"/>
    </row>
    <row r="14" spans="1:7" ht="15.75" thickBot="1">
      <c r="A14" s="42" t="s">
        <v>158</v>
      </c>
      <c r="B14" s="42">
        <v>7</v>
      </c>
      <c r="C14" s="42">
        <v>10.217415536345637</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-8.9933526129276515</v>
      </c>
      <c r="C17" s="41">
        <v>0.11525274489623161</v>
      </c>
      <c r="D17" s="41">
        <v>-78.031569842652004</v>
      </c>
      <c r="E17" s="41">
        <v>4.6387717328190867E-6</v>
      </c>
      <c r="F17" s="41">
        <v>-9.3601382850964701</v>
      </c>
      <c r="G17" s="41">
        <v>-8.626566940758833</v>
      </c>
    </row>
    <row r="18" spans="1:7">
      <c r="A18" s="41" t="s">
        <v>329</v>
      </c>
      <c r="B18" s="41">
        <v>0.43601164736907605</v>
      </c>
      <c r="C18" s="41">
        <v>2.3131468958201142E-2</v>
      </c>
      <c r="D18" s="41">
        <v>18.849284849006114</v>
      </c>
      <c r="E18" s="41">
        <v>3.2598910452436339E-4</v>
      </c>
      <c r="F18" s="41">
        <v>0.36239698944726401</v>
      </c>
      <c r="G18" s="41">
        <v>0.50962630529088804</v>
      </c>
    </row>
    <row r="19" spans="1:7">
      <c r="A19" s="41" t="s">
        <v>327</v>
      </c>
      <c r="B19" s="41">
        <v>0.73417179548889999</v>
      </c>
      <c r="C19" s="41">
        <v>0.10549365113818404</v>
      </c>
      <c r="D19" s="41">
        <v>6.9593931726490625</v>
      </c>
      <c r="E19" s="41">
        <v>6.0867055217441908E-3</v>
      </c>
      <c r="F19" s="41">
        <v>0.39844391519329764</v>
      </c>
      <c r="G19" s="41">
        <v>1.0698996757845023</v>
      </c>
    </row>
    <row r="20" spans="1:7">
      <c r="A20" s="41" t="s">
        <v>1096</v>
      </c>
      <c r="B20" s="41">
        <v>-0.62742725052301562</v>
      </c>
      <c r="C20" s="41">
        <v>0.10646357945900892</v>
      </c>
      <c r="D20" s="41">
        <v>-5.8933510756567271</v>
      </c>
      <c r="E20" s="41">
        <v>9.7522514523121009E-3</v>
      </c>
      <c r="F20" s="41">
        <v>-0.96624187561961716</v>
      </c>
      <c r="G20" s="41">
        <v>-0.28861262542641414</v>
      </c>
    </row>
    <row r="21" spans="1:7" ht="15.75" thickBot="1">
      <c r="A21" s="42" t="s">
        <v>1367</v>
      </c>
      <c r="B21" s="42">
        <v>-0.2150947966871809</v>
      </c>
      <c r="C21" s="42">
        <v>0.1296123268398674</v>
      </c>
      <c r="D21" s="42">
        <v>-1.6595242283777902</v>
      </c>
      <c r="E21" s="42">
        <v>0.19559271686234356</v>
      </c>
      <c r="F21" s="42">
        <v>-0.62757906735794144</v>
      </c>
      <c r="G21" s="42">
        <v>0.19738947398357964</v>
      </c>
    </row>
    <row r="42" spans="19:19">
      <c r="S42" t="s">
        <v>1297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P71"/>
  <sheetViews>
    <sheetView zoomScale="75" zoomScaleNormal="75" workbookViewId="0">
      <pane xSplit="1" ySplit="3" topLeftCell="B16" activePane="bottomRight" state="frozen"/>
      <selection pane="topRight" activeCell="B1" sqref="B1"/>
      <selection pane="bottomLeft" activeCell="A4" sqref="A4"/>
      <selection pane="bottomRight" activeCell="AC25" sqref="AC25"/>
    </sheetView>
  </sheetViews>
  <sheetFormatPr defaultRowHeight="15"/>
  <cols>
    <col min="3" max="3" width="11.5703125" customWidth="1"/>
    <col min="4" max="4" width="14.140625" customWidth="1"/>
    <col min="5" max="6" width="18" customWidth="1"/>
    <col min="7" max="7" width="13" customWidth="1"/>
    <col min="9" max="9" width="9.140625" style="33"/>
    <col min="10" max="10" width="12.140625" bestFit="1" customWidth="1"/>
    <col min="11" max="11" width="13.28515625" customWidth="1"/>
    <col min="13" max="13" width="10.7109375" customWidth="1"/>
    <col min="14" max="14" width="12.7109375" customWidth="1"/>
    <col min="19" max="19" width="10.42578125" customWidth="1"/>
    <col min="30" max="30" width="10.42578125" customWidth="1"/>
  </cols>
  <sheetData>
    <row r="1" spans="1:68">
      <c r="E1" t="s">
        <v>1161</v>
      </c>
      <c r="F1" t="s">
        <v>1164</v>
      </c>
      <c r="G1" s="87" t="s">
        <v>1137</v>
      </c>
      <c r="I1"/>
      <c r="K1" s="87" t="s">
        <v>1136</v>
      </c>
      <c r="L1" t="s">
        <v>1163</v>
      </c>
      <c r="T1" s="236" t="s">
        <v>1171</v>
      </c>
      <c r="U1" s="236"/>
      <c r="V1" s="236"/>
      <c r="W1" s="236"/>
      <c r="Y1" s="236" t="s">
        <v>1171</v>
      </c>
      <c r="Z1" s="236"/>
      <c r="AA1" s="236"/>
      <c r="AB1" s="236"/>
      <c r="AH1" t="s">
        <v>1103</v>
      </c>
      <c r="BE1" t="s">
        <v>936</v>
      </c>
      <c r="BG1" t="s">
        <v>833</v>
      </c>
    </row>
    <row r="2" spans="1:68">
      <c r="B2" t="s">
        <v>833</v>
      </c>
      <c r="E2" s="33" t="s">
        <v>282</v>
      </c>
      <c r="I2"/>
      <c r="L2" s="33"/>
      <c r="N2" t="s">
        <v>282</v>
      </c>
      <c r="O2" t="s">
        <v>1162</v>
      </c>
      <c r="U2" t="s">
        <v>1172</v>
      </c>
      <c r="Z2" t="s">
        <v>1184</v>
      </c>
      <c r="AG2" t="s">
        <v>940</v>
      </c>
      <c r="AV2" t="s">
        <v>1157</v>
      </c>
      <c r="BF2" t="s">
        <v>934</v>
      </c>
      <c r="BG2" t="s">
        <v>850</v>
      </c>
      <c r="BH2" t="s">
        <v>935</v>
      </c>
    </row>
    <row r="3" spans="1:68">
      <c r="B3" t="s">
        <v>1299</v>
      </c>
      <c r="C3" s="33" t="s">
        <v>1319</v>
      </c>
      <c r="D3" s="14" t="s">
        <v>1207</v>
      </c>
      <c r="E3" s="14" t="s">
        <v>1321</v>
      </c>
      <c r="F3" t="s">
        <v>1164</v>
      </c>
      <c r="G3" s="87" t="s">
        <v>1137</v>
      </c>
      <c r="H3" s="87" t="s">
        <v>1384</v>
      </c>
      <c r="I3" s="87" t="s">
        <v>1383</v>
      </c>
      <c r="J3" s="87" t="s">
        <v>1382</v>
      </c>
      <c r="K3" s="87" t="s">
        <v>1136</v>
      </c>
      <c r="L3" t="s">
        <v>1163</v>
      </c>
      <c r="N3" t="s">
        <v>1328</v>
      </c>
      <c r="O3" s="14" t="s">
        <v>1160</v>
      </c>
      <c r="P3" s="14" t="s">
        <v>944</v>
      </c>
      <c r="Q3" s="14" t="s">
        <v>1153</v>
      </c>
      <c r="R3" s="14" t="s">
        <v>1152</v>
      </c>
      <c r="U3" s="236" t="s">
        <v>1173</v>
      </c>
      <c r="V3" s="160" t="s">
        <v>1147</v>
      </c>
      <c r="W3" s="236" t="s">
        <v>1174</v>
      </c>
      <c r="Z3" s="236" t="s">
        <v>1173</v>
      </c>
      <c r="AA3" s="160" t="s">
        <v>1147</v>
      </c>
      <c r="AB3" s="236" t="s">
        <v>1174</v>
      </c>
      <c r="AC3" t="s">
        <v>1418</v>
      </c>
      <c r="AD3" t="s">
        <v>1295</v>
      </c>
      <c r="AF3" t="s">
        <v>939</v>
      </c>
      <c r="AG3" t="s">
        <v>1316</v>
      </c>
      <c r="AH3" t="s">
        <v>1296</v>
      </c>
      <c r="AI3" t="s">
        <v>1158</v>
      </c>
      <c r="AK3" t="s">
        <v>329</v>
      </c>
      <c r="AL3" t="s">
        <v>327</v>
      </c>
      <c r="AM3" t="s">
        <v>1096</v>
      </c>
      <c r="AN3" t="s">
        <v>1367</v>
      </c>
      <c r="AQ3" t="s">
        <v>941</v>
      </c>
      <c r="AR3" t="s">
        <v>942</v>
      </c>
      <c r="AT3" t="s">
        <v>1360</v>
      </c>
      <c r="AU3" t="s">
        <v>1025</v>
      </c>
      <c r="AV3" t="s">
        <v>170</v>
      </c>
      <c r="AX3" t="s">
        <v>1026</v>
      </c>
      <c r="BE3">
        <v>2008</v>
      </c>
      <c r="BF3" s="13">
        <f>'Country Petrol Prices'!B11</f>
        <v>141</v>
      </c>
      <c r="BG3" s="13">
        <f>CPIs!B47</f>
        <v>94.773928361714624</v>
      </c>
      <c r="BH3" s="13">
        <f>BH4</f>
        <v>1.3526519162558128</v>
      </c>
      <c r="BK3" t="s">
        <v>255</v>
      </c>
      <c r="BL3" t="s">
        <v>244</v>
      </c>
      <c r="BO3" t="s">
        <v>1004</v>
      </c>
      <c r="BP3" t="s">
        <v>255</v>
      </c>
    </row>
    <row r="4" spans="1:68">
      <c r="A4">
        <v>2009</v>
      </c>
      <c r="B4" s="13">
        <f>'EV %sales'!B67</f>
        <v>0</v>
      </c>
      <c r="C4" s="13">
        <v>0</v>
      </c>
      <c r="D4" s="13"/>
      <c r="E4" s="20"/>
      <c r="H4" s="84"/>
      <c r="I4" s="84"/>
      <c r="J4" s="84"/>
      <c r="L4" s="33"/>
      <c r="T4">
        <v>2009</v>
      </c>
      <c r="Y4">
        <v>2009</v>
      </c>
      <c r="AL4" s="13">
        <v>0</v>
      </c>
      <c r="AM4" s="13">
        <v>0</v>
      </c>
      <c r="AN4" s="13">
        <v>0</v>
      </c>
      <c r="AO4" s="13"/>
      <c r="AP4">
        <v>2009</v>
      </c>
      <c r="AQ4" s="3">
        <f>'EV %sales'!AE50</f>
        <v>728.71500000000003</v>
      </c>
      <c r="AR4" s="12">
        <f>'Australia EV uptake'!C4/100*AQ4</f>
        <v>0</v>
      </c>
      <c r="AT4" s="13"/>
      <c r="AU4" s="13"/>
      <c r="AV4" s="13"/>
      <c r="AW4" s="13"/>
      <c r="AX4" s="13"/>
      <c r="AZ4">
        <v>1</v>
      </c>
      <c r="BA4">
        <v>0</v>
      </c>
      <c r="BD4" s="13"/>
      <c r="BE4">
        <v>2009</v>
      </c>
      <c r="BF4" s="13">
        <f>'Country Petrol Prices'!B12</f>
        <v>119.61</v>
      </c>
      <c r="BG4" s="13">
        <f>CPIs!B48</f>
        <v>97.70992366412213</v>
      </c>
      <c r="BH4" s="13">
        <f>'Country Vehicle Prices'!B81</f>
        <v>1.3526519162558128</v>
      </c>
      <c r="BJ4">
        <v>2009</v>
      </c>
      <c r="BK4" s="13">
        <f>AD4</f>
        <v>0</v>
      </c>
      <c r="BL4" s="13">
        <f>'Korea EV uptake'!AB4</f>
        <v>0</v>
      </c>
      <c r="BN4">
        <v>2009</v>
      </c>
      <c r="BO4" s="13">
        <f>'Global EV uptake'!E60</f>
        <v>0</v>
      </c>
      <c r="BP4" s="13">
        <f>E4</f>
        <v>0</v>
      </c>
    </row>
    <row r="5" spans="1:68">
      <c r="A5">
        <v>2010</v>
      </c>
      <c r="B5" s="13">
        <f>'EV %sales'!B68</f>
        <v>4.8343801780743939E-3</v>
      </c>
      <c r="C5" s="13">
        <v>0</v>
      </c>
      <c r="D5" s="72"/>
      <c r="E5" s="20"/>
      <c r="F5" s="72"/>
      <c r="G5" s="230"/>
      <c r="H5" s="230"/>
      <c r="I5" s="230"/>
      <c r="J5" s="230"/>
      <c r="K5" s="13"/>
      <c r="L5" s="72"/>
      <c r="T5">
        <v>2010</v>
      </c>
      <c r="Y5">
        <v>2010</v>
      </c>
      <c r="AI5">
        <f t="shared" ref="AI5:AI12" si="0">AE$55+AE$56*AK5+AE$57*AL5</f>
        <v>-8.5573409655585753</v>
      </c>
      <c r="AK5">
        <v>1</v>
      </c>
      <c r="AL5" s="13">
        <v>0</v>
      </c>
      <c r="AM5" s="13">
        <v>0</v>
      </c>
      <c r="AN5" s="13">
        <v>0</v>
      </c>
      <c r="AO5" s="13"/>
      <c r="AP5">
        <v>2010</v>
      </c>
      <c r="AQ5" s="3">
        <f>'EV %sales'!AE51</f>
        <v>827.40700000000004</v>
      </c>
      <c r="AR5" s="12">
        <f>'Australia EV uptake'!C5/100*AQ5</f>
        <v>0</v>
      </c>
      <c r="AT5" s="13"/>
      <c r="AU5" s="13"/>
      <c r="AV5" s="13"/>
      <c r="AW5" s="13"/>
      <c r="AX5" s="13"/>
      <c r="AZ5">
        <v>1</v>
      </c>
      <c r="BA5">
        <v>0</v>
      </c>
      <c r="BD5" s="13"/>
      <c r="BE5">
        <v>2010</v>
      </c>
      <c r="BF5" s="13">
        <f>'Country Petrol Prices'!B13</f>
        <v>125.99446257199398</v>
      </c>
      <c r="BG5" s="13">
        <f>CPIs!B49</f>
        <v>100</v>
      </c>
      <c r="BH5" s="13">
        <f>'Country Vehicle Prices'!B82</f>
        <v>1.3822189944850582</v>
      </c>
      <c r="BJ5">
        <v>2010</v>
      </c>
      <c r="BK5" s="13">
        <f t="shared" ref="BK5:BK45" si="1">AD5</f>
        <v>0</v>
      </c>
      <c r="BL5" s="13">
        <f>'Korea EV uptake'!AB5</f>
        <v>6.9344571248564201E-3</v>
      </c>
      <c r="BN5">
        <v>2010</v>
      </c>
      <c r="BO5" s="13">
        <f>'Global EV uptake'!E61</f>
        <v>7.0956542813617018E-2</v>
      </c>
      <c r="BP5" s="13">
        <f t="shared" ref="BP5:BP50" si="2">E5</f>
        <v>0</v>
      </c>
    </row>
    <row r="6" spans="1:68">
      <c r="A6">
        <v>2011</v>
      </c>
      <c r="B6" s="13">
        <f>'EV %sales'!B69</f>
        <v>1.8918414338166656E-2</v>
      </c>
      <c r="C6" s="72">
        <f>65*EXP('Australia EV uptake'!AH6)/(1+EXP('Australia EV uptake'!AH6))</f>
        <v>1.9307934808819711E-2</v>
      </c>
      <c r="D6" s="72">
        <f t="shared" ref="D6:D42" si="3">65*EXP(AH6)/(1+EXP(AH6))</f>
        <v>1.9307934808819711E-2</v>
      </c>
      <c r="E6" s="20"/>
      <c r="F6" s="72"/>
      <c r="G6" s="230"/>
      <c r="H6" s="230"/>
      <c r="I6" s="230"/>
      <c r="J6" s="230"/>
      <c r="K6" s="13"/>
      <c r="L6" s="72"/>
      <c r="T6">
        <v>2011</v>
      </c>
      <c r="Y6">
        <v>2011</v>
      </c>
      <c r="AF6">
        <f>LN('Australia EV uptake'!B6/(65-'Australia EV uptake'!B6))</f>
        <v>-8.1417157026388818</v>
      </c>
      <c r="AG6">
        <f>LN('Australia EV uptake'!B6/(65-'Australia EV uptake'!B6))</f>
        <v>-8.1417157026388818</v>
      </c>
      <c r="AH6" s="33">
        <f>AE$55+AE$56*'Australia EV uptake'!AK6+AE$57*'Australia EV uptake'!AL6+AE$58*'Australia EV uptake'!AM6+AE$59*AN6</f>
        <v>-8.121329318189499</v>
      </c>
      <c r="AI6">
        <f t="shared" si="0"/>
        <v>-8.121329318189499</v>
      </c>
      <c r="AK6">
        <v>2</v>
      </c>
      <c r="AL6" s="13">
        <v>0</v>
      </c>
      <c r="AM6" s="13">
        <v>0</v>
      </c>
      <c r="AN6" s="13">
        <v>0</v>
      </c>
      <c r="AO6" s="13"/>
      <c r="AP6">
        <v>2011</v>
      </c>
      <c r="AQ6" s="3">
        <f>'EV %sales'!AE52</f>
        <v>803.45</v>
      </c>
      <c r="AR6" s="12">
        <f>'Australia EV uptake'!C6/100*AQ6</f>
        <v>0.15512960222146199</v>
      </c>
      <c r="AT6" s="13"/>
      <c r="AU6" s="13">
        <f>'Australia EV uptake'!B6</f>
        <v>1.8918414338166656E-2</v>
      </c>
      <c r="AV6" s="13"/>
      <c r="AW6" s="13"/>
      <c r="AX6" s="13">
        <f>'Australia EV uptake'!AF6</f>
        <v>-8.1417157026388818</v>
      </c>
      <c r="AZ6">
        <v>1</v>
      </c>
      <c r="BA6">
        <v>0</v>
      </c>
      <c r="BD6" s="13"/>
      <c r="BE6">
        <v>2011</v>
      </c>
      <c r="BF6" s="13">
        <f>'Country Petrol Prices'!B14</f>
        <v>141.04314566863206</v>
      </c>
      <c r="BG6" s="13">
        <f>CPIs!B50</f>
        <v>103.21282196044922</v>
      </c>
      <c r="BH6" s="13">
        <f>'Country Vehicle Prices'!B83</f>
        <v>1.3924388226240862</v>
      </c>
      <c r="BJ6">
        <v>2011</v>
      </c>
      <c r="BK6" s="13">
        <f t="shared" si="1"/>
        <v>0</v>
      </c>
      <c r="BL6" s="13">
        <f>'Korea EV uptake'!AB6</f>
        <v>2.1986754176250543E-2</v>
      </c>
      <c r="BN6">
        <v>2011</v>
      </c>
      <c r="BO6" s="13">
        <f>'Global EV uptake'!E62</f>
        <v>0.12499382424174706</v>
      </c>
      <c r="BP6" s="13">
        <f t="shared" si="2"/>
        <v>0</v>
      </c>
    </row>
    <row r="7" spans="1:68">
      <c r="A7">
        <v>2012</v>
      </c>
      <c r="B7" s="13">
        <f>'EV %sales'!B70</f>
        <v>1.5067748221325963E-2</v>
      </c>
      <c r="C7" s="72">
        <f>65*EXP('Australia EV uptake'!AH7)/(1+EXP('Australia EV uptake'!AH7))</f>
        <v>1.5945111417234707E-2</v>
      </c>
      <c r="D7" s="72">
        <f t="shared" si="3"/>
        <v>1.5945111417234707E-2</v>
      </c>
      <c r="E7" s="13">
        <f>F7</f>
        <v>3.3737289203929641E-2</v>
      </c>
      <c r="F7" s="72">
        <f>65*EXP(G7)/(1+EXP(G7))</f>
        <v>3.3737289203929641E-2</v>
      </c>
      <c r="G7" s="84">
        <f t="shared" ref="G7:G14" si="4">L7</f>
        <v>-7.5630196487128547</v>
      </c>
      <c r="H7" s="13">
        <f>K7*I7</f>
        <v>0</v>
      </c>
      <c r="I7" s="13">
        <f>IF(J7&lt;0,0,J7)</f>
        <v>1</v>
      </c>
      <c r="J7" s="13">
        <f>IF((R7-0.6)/0.3&gt;1,1,(R7-0.6)/0.3)</f>
        <v>1</v>
      </c>
      <c r="K7" s="13">
        <v>0</v>
      </c>
      <c r="L7" s="13">
        <f>LN(O7/(65-O7))</f>
        <v>-7.5630196487128547</v>
      </c>
      <c r="M7" s="84">
        <v>-8.5065183263576056</v>
      </c>
      <c r="N7" s="13">
        <f>O7</f>
        <v>3.3737289203929641E-2</v>
      </c>
      <c r="O7" s="13">
        <f t="shared" ref="O7:O50" si="5">LOOKUP(ROUND(P7,0),A$4:A$50,C$4:C$50)</f>
        <v>3.3737289203929641E-2</v>
      </c>
      <c r="P7" s="13">
        <f t="shared" ref="P7:P50" si="6">A7-(Q7-Q$11)</f>
        <v>2012.5757337182488</v>
      </c>
      <c r="Q7" s="13">
        <f t="shared" ref="Q7:Q50" si="7">N$55+N$56*R7+N$71</f>
        <v>2021.1666342836513</v>
      </c>
      <c r="R7" s="13">
        <f>1/Australia!R141</f>
        <v>1.1917334465039546</v>
      </c>
      <c r="T7">
        <v>2012</v>
      </c>
      <c r="U7" s="13">
        <v>3.3737289203929641E-2</v>
      </c>
      <c r="V7" s="13">
        <v>3.3737289203929641E-2</v>
      </c>
      <c r="W7" s="13">
        <v>3.3737289203929641E-2</v>
      </c>
      <c r="Y7">
        <v>2012</v>
      </c>
      <c r="Z7" s="13">
        <v>3.3737289203929641E-2</v>
      </c>
      <c r="AA7" s="13">
        <f>V7</f>
        <v>3.3737289203929641E-2</v>
      </c>
      <c r="AB7" s="13">
        <v>3.3737289203929641E-2</v>
      </c>
      <c r="AD7" s="72">
        <f>65*EXP(AH7)/(1+EXP(AH7))</f>
        <v>1.5945111417234707E-2</v>
      </c>
      <c r="AF7">
        <f>LN('Australia EV uptake'!B7/(65-'Australia EV uptake'!B7))</f>
        <v>-8.3693541302992696</v>
      </c>
      <c r="AG7">
        <f>LN('Australia EV uptake'!B7/(65-'Australia EV uptake'!B7))</f>
        <v>-8.3693541302992696</v>
      </c>
      <c r="AH7" s="33">
        <f>AE$55+AE$56*'Australia EV uptake'!AK7+AE$57*'Australia EV uptake'!AL7+AE$58*'Australia EV uptake'!AM7+AE$59*AN7</f>
        <v>-8.3127449213434392</v>
      </c>
      <c r="AI7">
        <f t="shared" si="0"/>
        <v>-7.6853176708204236</v>
      </c>
      <c r="AK7">
        <v>3</v>
      </c>
      <c r="AL7" s="13">
        <v>0</v>
      </c>
      <c r="AM7" s="13">
        <v>1</v>
      </c>
      <c r="AN7" s="13">
        <v>0</v>
      </c>
      <c r="AO7" s="13"/>
      <c r="AP7">
        <v>2012</v>
      </c>
      <c r="AQ7" s="3">
        <f>'EV %sales'!AE53</f>
        <v>882.68</v>
      </c>
      <c r="AR7" s="12">
        <f>'Australia EV uptake'!C7/100*AQ7</f>
        <v>0.14074430945764732</v>
      </c>
      <c r="AT7" s="13"/>
      <c r="AU7" s="13">
        <f>'Australia EV uptake'!B7</f>
        <v>1.5067748221325963E-2</v>
      </c>
      <c r="AV7" s="13"/>
      <c r="AW7" s="13"/>
      <c r="AX7" s="13">
        <f>'Australia EV uptake'!AF7</f>
        <v>-8.3693541302992696</v>
      </c>
      <c r="AZ7">
        <v>1</v>
      </c>
      <c r="BA7">
        <v>1</v>
      </c>
      <c r="BD7" s="13"/>
      <c r="BE7">
        <v>2012</v>
      </c>
      <c r="BF7" s="13">
        <f>'Country Petrol Prices'!B15</f>
        <v>143.38560818068964</v>
      </c>
      <c r="BG7" s="13">
        <f>CPIs!B51</f>
        <v>105.1121826171875</v>
      </c>
      <c r="BH7" s="13">
        <f>'Country Vehicle Prices'!B84</f>
        <v>1.4289470018941086</v>
      </c>
      <c r="BJ7">
        <v>2012</v>
      </c>
      <c r="BK7" s="13">
        <f t="shared" si="1"/>
        <v>1.5945111417234707E-2</v>
      </c>
      <c r="BL7" s="13">
        <f>'Korea EV uptake'!AB7</f>
        <v>4.3976366875896858E-2</v>
      </c>
      <c r="BN7">
        <v>2012</v>
      </c>
      <c r="BO7" s="13">
        <f>'Global EV uptake'!E63</f>
        <v>0.23591088263388429</v>
      </c>
      <c r="BP7" s="13">
        <f t="shared" si="2"/>
        <v>3.3737289203929641E-2</v>
      </c>
    </row>
    <row r="8" spans="1:68">
      <c r="A8">
        <v>2013</v>
      </c>
      <c r="B8" s="13">
        <f>'EV %sales'!B71</f>
        <v>3.7779246970715524E-2</v>
      </c>
      <c r="C8" s="72">
        <f>65*EXP('Australia EV uptake'!AH8)/(1+EXP('Australia EV uptake'!AH8))</f>
        <v>3.3737289203929641E-2</v>
      </c>
      <c r="D8" s="72">
        <f t="shared" si="3"/>
        <v>3.3737289203929641E-2</v>
      </c>
      <c r="E8" s="13">
        <f t="shared" ref="E8:E13" si="8">F8</f>
        <v>3.3737289203929641E-2</v>
      </c>
      <c r="F8" s="72">
        <f t="shared" ref="F8:F36" si="9">65*EXP(G8)/(1+EXP(G8))</f>
        <v>3.3737289203929641E-2</v>
      </c>
      <c r="G8" s="84">
        <f t="shared" si="4"/>
        <v>-7.5630196487128547</v>
      </c>
      <c r="H8" s="13">
        <f t="shared" ref="H8:H50" si="10">K8*I8</f>
        <v>0</v>
      </c>
      <c r="I8" s="13">
        <f t="shared" ref="I8:I50" si="11">IF(J8&lt;0,0,J8)</f>
        <v>1</v>
      </c>
      <c r="J8" s="13">
        <f t="shared" ref="J8:J50" si="12">IF((R8-0.6)/0.3&gt;1,1,(R8-0.6)/0.3)</f>
        <v>1</v>
      </c>
      <c r="K8" s="13">
        <v>0</v>
      </c>
      <c r="L8" s="13">
        <f t="shared" ref="L8:L12" si="13">LN(O8/(65-O8))</f>
        <v>-7.5630196487128547</v>
      </c>
      <c r="M8" s="84">
        <v>-7.4005843784081131</v>
      </c>
      <c r="N8" s="13">
        <f>O8</f>
        <v>3.3737289203929641E-2</v>
      </c>
      <c r="O8" s="13">
        <f t="shared" si="5"/>
        <v>3.3737289203929641E-2</v>
      </c>
      <c r="P8" s="13">
        <f t="shared" si="6"/>
        <v>2013.3195317464965</v>
      </c>
      <c r="Q8" s="13">
        <f t="shared" si="7"/>
        <v>2021.4228362554036</v>
      </c>
      <c r="R8" s="13">
        <f>1/Australia!R142</f>
        <v>1.2154912589884712</v>
      </c>
      <c r="T8">
        <v>2013</v>
      </c>
      <c r="U8" s="13">
        <v>3.3737289203929641E-2</v>
      </c>
      <c r="V8" s="13">
        <v>3.3737289203929641E-2</v>
      </c>
      <c r="W8" s="13">
        <v>3.3737289203929641E-2</v>
      </c>
      <c r="Y8">
        <v>2013</v>
      </c>
      <c r="Z8" s="13">
        <v>3.3737289203929641E-2</v>
      </c>
      <c r="AA8" s="13">
        <f t="shared" ref="AA8:AA45" si="14">V8</f>
        <v>3.3737289203929641E-2</v>
      </c>
      <c r="AB8" s="13">
        <v>3.3737289203929641E-2</v>
      </c>
      <c r="AD8" s="72">
        <f t="shared" ref="AD8:AD50" si="15">65*EXP(AH8)/(1+EXP(AH8))</f>
        <v>3.3737289203929641E-2</v>
      </c>
      <c r="AF8">
        <f>LN('Australia EV uptake'!B8/(65-'Australia EV uptake'!B8))</f>
        <v>-7.4498012308011932</v>
      </c>
      <c r="AG8">
        <f>LN('Australia EV uptake'!B8/(65-'Australia EV uptake'!B8))</f>
        <v>-7.4498012308011932</v>
      </c>
      <c r="AH8" s="33">
        <f>AE$55+AE$56*'Australia EV uptake'!AK8+AE$57*'Australia EV uptake'!AL8+AE$58*'Australia EV uptake'!AM8+AE$59*AN8</f>
        <v>-7.5630196487128547</v>
      </c>
      <c r="AI8">
        <f t="shared" si="0"/>
        <v>-7.2493060234513473</v>
      </c>
      <c r="AK8">
        <v>4</v>
      </c>
      <c r="AL8" s="13">
        <v>0</v>
      </c>
      <c r="AM8" s="13">
        <v>0.5</v>
      </c>
      <c r="AN8" s="13">
        <v>0</v>
      </c>
      <c r="AO8" s="13"/>
      <c r="AP8">
        <v>2013</v>
      </c>
      <c r="AQ8" s="3">
        <f>'EV %sales'!AE54</f>
        <v>899.96500000000003</v>
      </c>
      <c r="AR8" s="12">
        <f>'Australia EV uptake'!C8/100*AQ8</f>
        <v>0.30362379478414536</v>
      </c>
      <c r="AT8" s="13"/>
      <c r="AU8" s="13">
        <f>'Australia EV uptake'!B8</f>
        <v>3.7779246970715524E-2</v>
      </c>
      <c r="AV8" s="13"/>
      <c r="AW8" s="13"/>
      <c r="AX8" s="13">
        <f>'Australia EV uptake'!AF8</f>
        <v>-7.4498012308011932</v>
      </c>
      <c r="AY8" s="41"/>
      <c r="AZ8" s="41">
        <v>1</v>
      </c>
      <c r="BA8">
        <v>0.5</v>
      </c>
      <c r="BD8" s="13"/>
      <c r="BE8">
        <v>2013</v>
      </c>
      <c r="BF8" s="13">
        <f>'Country Petrol Prices'!B16</f>
        <v>146.10016876493671</v>
      </c>
      <c r="BG8" s="13">
        <f>CPIs!B52</f>
        <v>107.69465637207031</v>
      </c>
      <c r="BH8" s="13">
        <f>'Country Vehicle Prices'!B85</f>
        <v>1.4353494349589788</v>
      </c>
      <c r="BJ8">
        <v>2013</v>
      </c>
      <c r="BK8" s="13">
        <f t="shared" si="1"/>
        <v>3.3737289203929641E-2</v>
      </c>
      <c r="BL8" s="13">
        <f>'Korea EV uptake'!AB8</f>
        <v>5.5501342011082921E-2</v>
      </c>
      <c r="BN8">
        <v>2013</v>
      </c>
      <c r="BO8" s="13">
        <f>'Global EV uptake'!E64</f>
        <v>0.33516897867153417</v>
      </c>
      <c r="BP8" s="13">
        <f t="shared" si="2"/>
        <v>3.3737289203929641E-2</v>
      </c>
    </row>
    <row r="9" spans="1:68">
      <c r="A9">
        <v>2014</v>
      </c>
      <c r="B9" s="13">
        <f>'EV %sales'!B72</f>
        <v>0.14955613955103744</v>
      </c>
      <c r="C9" s="72">
        <f>65*EXP('Australia EV uptake'!AH9)/(1+EXP('Australia EV uptake'!AH9))</f>
        <v>0.14852189694342086</v>
      </c>
      <c r="D9" s="72">
        <f t="shared" si="3"/>
        <v>0.14852189694342086</v>
      </c>
      <c r="E9" s="13">
        <f t="shared" si="8"/>
        <v>3.3737289203929641E-2</v>
      </c>
      <c r="F9" s="72">
        <f t="shared" si="9"/>
        <v>3.3737289203929641E-2</v>
      </c>
      <c r="G9" s="84">
        <f t="shared" si="4"/>
        <v>-7.5630196487128547</v>
      </c>
      <c r="H9" s="13">
        <f t="shared" si="10"/>
        <v>0</v>
      </c>
      <c r="I9" s="13">
        <f t="shared" si="11"/>
        <v>1</v>
      </c>
      <c r="J9" s="13">
        <f t="shared" si="12"/>
        <v>1</v>
      </c>
      <c r="K9" s="13">
        <v>0</v>
      </c>
      <c r="L9" s="13">
        <f t="shared" si="13"/>
        <v>-7.5630196487128547</v>
      </c>
      <c r="M9" s="84">
        <v>-6.2946504304586206</v>
      </c>
      <c r="N9" s="13">
        <f>AVERAGE(O7:O11)</f>
        <v>9.7910407888574427E-2</v>
      </c>
      <c r="O9" s="13">
        <f t="shared" si="5"/>
        <v>3.3737289203929641E-2</v>
      </c>
      <c r="P9" s="13">
        <f t="shared" si="6"/>
        <v>2013.1908524905091</v>
      </c>
      <c r="Q9" s="13">
        <f t="shared" si="7"/>
        <v>2022.551515511391</v>
      </c>
      <c r="R9" s="13">
        <f>1/Australia!R143</f>
        <v>1.3201545835347563</v>
      </c>
      <c r="T9">
        <v>2014</v>
      </c>
      <c r="U9" s="13">
        <v>3.3737289203929641E-2</v>
      </c>
      <c r="V9" s="13">
        <v>3.3737289203929641E-2</v>
      </c>
      <c r="W9" s="13">
        <v>3.3737289203929641E-2</v>
      </c>
      <c r="Y9">
        <v>2014</v>
      </c>
      <c r="Z9" s="13">
        <v>3.3737289203929641E-2</v>
      </c>
      <c r="AA9" s="13">
        <f t="shared" si="14"/>
        <v>3.3737289203929641E-2</v>
      </c>
      <c r="AB9" s="13">
        <v>3.3737289203929641E-2</v>
      </c>
      <c r="AD9" s="72">
        <f t="shared" si="15"/>
        <v>0.14852189694342086</v>
      </c>
      <c r="AF9">
        <f>LN('Australia EV uptake'!B9/(65-'Australia EV uptake'!B9))</f>
        <v>-6.0721671964042301</v>
      </c>
      <c r="AG9">
        <f>LN('Australia EV uptake'!B9/(65-'Australia EV uptake'!B9))</f>
        <v>-6.0721671964042301</v>
      </c>
      <c r="AH9" s="33">
        <f>AE$55+AE$56*'Australia EV uptake'!AK9+AE$57*'Australia EV uptake'!AL9+AE$58*'Australia EV uptake'!AM9+AE$59*AN9</f>
        <v>-6.0791225805933706</v>
      </c>
      <c r="AI9">
        <f t="shared" si="0"/>
        <v>-6.0791225805933706</v>
      </c>
      <c r="AK9">
        <v>5</v>
      </c>
      <c r="AL9" s="13">
        <v>1</v>
      </c>
      <c r="AM9" s="13">
        <v>0</v>
      </c>
      <c r="AN9" s="13">
        <v>0</v>
      </c>
      <c r="AO9" s="13"/>
      <c r="AP9">
        <v>2014</v>
      </c>
      <c r="AQ9" s="3">
        <f>'EV %sales'!AE55</f>
        <v>883.94899999999996</v>
      </c>
      <c r="AR9" s="12">
        <f>'Australia EV uptake'!C9/100*AQ9</f>
        <v>1.3128578228123993</v>
      </c>
      <c r="AT9" s="13"/>
      <c r="AU9" s="13">
        <f>'Australia EV uptake'!B9</f>
        <v>0.14955613955103744</v>
      </c>
      <c r="AV9" s="13"/>
      <c r="AW9" s="13"/>
      <c r="AX9" s="13">
        <f>'Australia EV uptake'!AF9</f>
        <v>-6.0721671964042301</v>
      </c>
      <c r="AZ9" s="41">
        <v>1</v>
      </c>
      <c r="BA9">
        <v>0</v>
      </c>
      <c r="BD9" s="13"/>
      <c r="BE9">
        <v>2014</v>
      </c>
      <c r="BF9" s="13">
        <f>'Country Petrol Prices'!B17</f>
        <v>146.96277301453196</v>
      </c>
      <c r="BG9" s="13">
        <f>CPIs!B53</f>
        <v>110.31600189208984</v>
      </c>
      <c r="BH9" s="13">
        <f>'Country Vehicle Prices'!B86</f>
        <v>1.5344357149306243</v>
      </c>
      <c r="BJ9">
        <v>2014</v>
      </c>
      <c r="BK9" s="13">
        <f t="shared" si="1"/>
        <v>0.14852189694342086</v>
      </c>
      <c r="BL9" s="13">
        <f>'Korea EV uptake'!AB9</f>
        <v>0.11095266482069387</v>
      </c>
      <c r="BN9">
        <v>2014</v>
      </c>
      <c r="BO9" s="13">
        <f>'Global EV uptake'!E65</f>
        <v>0.52767465208105813</v>
      </c>
      <c r="BP9" s="13">
        <f t="shared" si="2"/>
        <v>3.3737289203929641E-2</v>
      </c>
    </row>
    <row r="10" spans="1:68">
      <c r="A10">
        <v>2015</v>
      </c>
      <c r="B10" s="13">
        <f>'EV %sales'!B73</f>
        <v>0.19163472754540908</v>
      </c>
      <c r="C10" s="72">
        <f>65*EXP('Australia EV uptake'!AH10)/(1+EXP('Australia EV uptake'!AH10))</f>
        <v>0.19105189234029193</v>
      </c>
      <c r="D10" s="72">
        <f t="shared" si="3"/>
        <v>0.19105189234029193</v>
      </c>
      <c r="E10" s="13">
        <f t="shared" si="8"/>
        <v>0.19105189234029193</v>
      </c>
      <c r="F10" s="72">
        <f t="shared" si="9"/>
        <v>0.19105189234029193</v>
      </c>
      <c r="G10" s="84">
        <f t="shared" si="4"/>
        <v>-5.8266538820965206</v>
      </c>
      <c r="H10" s="13">
        <f t="shared" si="10"/>
        <v>0</v>
      </c>
      <c r="I10" s="13">
        <f t="shared" si="11"/>
        <v>1</v>
      </c>
      <c r="J10" s="13">
        <f t="shared" si="12"/>
        <v>1</v>
      </c>
      <c r="K10" s="13">
        <v>0</v>
      </c>
      <c r="L10" s="13">
        <f t="shared" si="13"/>
        <v>-5.8266538820965206</v>
      </c>
      <c r="M10" s="84">
        <v>-5.6518771020495979</v>
      </c>
      <c r="N10" s="13">
        <f>AVERAGE(O8:O12)</f>
        <v>0.13364481250691124</v>
      </c>
      <c r="O10" s="13">
        <f t="shared" si="5"/>
        <v>0.19105189234029193</v>
      </c>
      <c r="P10" s="13">
        <f t="shared" si="6"/>
        <v>2015.185163562797</v>
      </c>
      <c r="Q10" s="13">
        <f t="shared" si="7"/>
        <v>2021.5572044391031</v>
      </c>
      <c r="R10" s="13">
        <f>1/Australia!R144</f>
        <v>1.22795132746642</v>
      </c>
      <c r="T10">
        <v>2015</v>
      </c>
      <c r="U10" s="13">
        <v>0.19105189234029193</v>
      </c>
      <c r="V10" s="13">
        <v>0.19105189234029193</v>
      </c>
      <c r="W10" s="13">
        <v>0.19105189234029193</v>
      </c>
      <c r="Y10">
        <v>2015</v>
      </c>
      <c r="Z10" s="13">
        <v>0.19105189234029193</v>
      </c>
      <c r="AA10" s="13">
        <f t="shared" si="14"/>
        <v>0.19105189234029193</v>
      </c>
      <c r="AB10" s="13">
        <v>0.19105189234029193</v>
      </c>
      <c r="AD10" s="72">
        <f t="shared" si="15"/>
        <v>0.19105189234029193</v>
      </c>
      <c r="AF10">
        <f>LN('Australia EV uptake'!B10/(65-'Australia EV uptake'!B10))</f>
        <v>-5.823598868369289</v>
      </c>
      <c r="AG10">
        <f>LN('Australia EV uptake'!B10/(65-'Australia EV uptake'!B10))</f>
        <v>-5.823598868369289</v>
      </c>
      <c r="AH10" s="33">
        <f>AE$55+AE$56*'Australia EV uptake'!AK10+AE$57*'Australia EV uptake'!AL10+AE$58*'Australia EV uptake'!AM10+AE$59*AN10</f>
        <v>-5.8266538820965206</v>
      </c>
      <c r="AI10">
        <f t="shared" si="0"/>
        <v>-5.8266538820965206</v>
      </c>
      <c r="AK10">
        <v>6</v>
      </c>
      <c r="AL10" s="13">
        <v>0.75</v>
      </c>
      <c r="AM10" s="13">
        <v>0</v>
      </c>
      <c r="AN10" s="13">
        <v>0</v>
      </c>
      <c r="AO10" s="13"/>
      <c r="AP10">
        <v>2015</v>
      </c>
      <c r="AQ10" s="3">
        <f>'EV %sales'!AE56</f>
        <v>924.154</v>
      </c>
      <c r="AR10" s="12">
        <f>'Australia EV uptake'!C10/100*AQ10</f>
        <v>1.7656137051385015</v>
      </c>
      <c r="AT10" s="13"/>
      <c r="AU10" s="13">
        <f>'Australia EV uptake'!B10</f>
        <v>0.19163472754540908</v>
      </c>
      <c r="AV10" s="13"/>
      <c r="AW10" s="13"/>
      <c r="AX10" s="13">
        <f>'Australia EV uptake'!AF10</f>
        <v>-5.823598868369289</v>
      </c>
      <c r="AZ10" s="41">
        <v>1</v>
      </c>
      <c r="BA10">
        <v>0</v>
      </c>
      <c r="BD10" s="13"/>
      <c r="BE10">
        <v>2015</v>
      </c>
      <c r="BF10" s="13">
        <f>'Country Petrol Prices'!B18</f>
        <v>128.02078817120008</v>
      </c>
      <c r="BG10" s="13">
        <f>CPIs!B54</f>
        <v>111.99044799804688</v>
      </c>
      <c r="BH10" s="13">
        <f>'Country Vehicle Prices'!B87</f>
        <v>1.3675361036296012</v>
      </c>
      <c r="BJ10">
        <v>2015</v>
      </c>
      <c r="BK10" s="13">
        <f t="shared" si="1"/>
        <v>0.19105189234029193</v>
      </c>
      <c r="BL10" s="13">
        <f>'Korea EV uptake'!AB10</f>
        <v>0.22161628502959124</v>
      </c>
      <c r="BN10">
        <v>2015</v>
      </c>
      <c r="BO10" s="13">
        <f>'Global EV uptake'!E66</f>
        <v>0.82524529248265621</v>
      </c>
      <c r="BP10" s="13">
        <f t="shared" si="2"/>
        <v>0.19105189234029193</v>
      </c>
    </row>
    <row r="11" spans="1:68">
      <c r="A11">
        <v>2016</v>
      </c>
      <c r="B11" s="13">
        <f>'EV %sales'!B74</f>
        <v>0.18840048313346561</v>
      </c>
      <c r="C11" s="72">
        <f>65*EXP('Australia EV uptake'!AH11)/(1+EXP('Australia EV uptake'!AH11))</f>
        <v>0.19728827949079125</v>
      </c>
      <c r="D11" s="72">
        <f t="shared" si="3"/>
        <v>0.19728827949079125</v>
      </c>
      <c r="E11" s="13">
        <f t="shared" si="8"/>
        <v>0.19728827949079125</v>
      </c>
      <c r="F11" s="72">
        <f t="shared" si="9"/>
        <v>0.19728827949079125</v>
      </c>
      <c r="G11" s="84">
        <f t="shared" si="4"/>
        <v>-5.7944367222463393</v>
      </c>
      <c r="H11" s="13">
        <f t="shared" si="10"/>
        <v>0</v>
      </c>
      <c r="I11" s="13">
        <f t="shared" si="11"/>
        <v>1</v>
      </c>
      <c r="J11" s="13">
        <f t="shared" si="12"/>
        <v>1</v>
      </c>
      <c r="K11" s="13">
        <v>0</v>
      </c>
      <c r="L11" s="13">
        <f t="shared" si="13"/>
        <v>-5.7944367222463393</v>
      </c>
      <c r="M11" s="84">
        <v>-6.0550593940516499</v>
      </c>
      <c r="N11" s="13">
        <f t="shared" ref="N11:N42" si="16">AVERAGE(O9:O13)</f>
        <v>0.19247956660604326</v>
      </c>
      <c r="O11" s="13">
        <f t="shared" si="5"/>
        <v>0.19728827949079125</v>
      </c>
      <c r="P11" s="13">
        <f t="shared" si="6"/>
        <v>2016</v>
      </c>
      <c r="Q11" s="13">
        <f t="shared" si="7"/>
        <v>2021.7423680019001</v>
      </c>
      <c r="R11" s="13">
        <f>1/Australia!R145</f>
        <v>1.2451216918231311</v>
      </c>
      <c r="T11">
        <v>2016</v>
      </c>
      <c r="U11" s="13">
        <v>0.19728827949079125</v>
      </c>
      <c r="V11" s="13">
        <v>0.19728827949079125</v>
      </c>
      <c r="W11" s="13">
        <v>0.19728827949079125</v>
      </c>
      <c r="Y11">
        <v>2016</v>
      </c>
      <c r="Z11" s="13">
        <v>0.19728827949079125</v>
      </c>
      <c r="AA11" s="13">
        <f t="shared" si="14"/>
        <v>0.19728827949079125</v>
      </c>
      <c r="AB11" s="13">
        <v>0.19728827949079125</v>
      </c>
      <c r="AD11" s="72">
        <f t="shared" si="15"/>
        <v>0.19728827949079125</v>
      </c>
      <c r="AF11">
        <f>LN('Australia EV uptake'!B11/(65-'Australia EV uptake'!B11))</f>
        <v>-5.8406699446691599</v>
      </c>
      <c r="AG11">
        <f>LN('Australia EV uptake'!B11/(65-'Australia EV uptake'!B11))</f>
        <v>-5.8406699446691599</v>
      </c>
      <c r="AH11" s="33">
        <f>AE$55+AE$56*'Australia EV uptake'!AK11+AE$57*'Australia EV uptake'!AL11+AE$58*'Australia EV uptake'!AM11+AE$59*AN11</f>
        <v>-5.7944367222463393</v>
      </c>
      <c r="AI11">
        <f t="shared" si="0"/>
        <v>-5.7944367222463393</v>
      </c>
      <c r="AK11">
        <v>7</v>
      </c>
      <c r="AL11" s="13">
        <v>0.2</v>
      </c>
      <c r="AM11" s="13">
        <v>0</v>
      </c>
      <c r="AN11" s="13">
        <v>0</v>
      </c>
      <c r="AO11" s="13"/>
      <c r="AP11">
        <v>2016</v>
      </c>
      <c r="AQ11" s="3">
        <f>'EV %sales'!AE57</f>
        <v>927.28</v>
      </c>
      <c r="AR11" s="12">
        <f>'Australia EV uptake'!C11/100*AQ11</f>
        <v>1.8294147580622091</v>
      </c>
      <c r="AT11" s="13"/>
      <c r="AU11" s="13">
        <f>'Australia EV uptake'!B11</f>
        <v>0.18840048313346561</v>
      </c>
      <c r="AV11" s="13"/>
      <c r="AW11" s="13"/>
      <c r="AX11" s="13">
        <f>'Australia EV uptake'!AF11</f>
        <v>-5.8406699446691599</v>
      </c>
      <c r="AZ11" s="41">
        <v>0.5</v>
      </c>
      <c r="BA11">
        <v>0</v>
      </c>
      <c r="BD11" s="13"/>
      <c r="BE11">
        <v>2016</v>
      </c>
      <c r="BF11" s="13">
        <f>'Country Petrol Prices'!B19</f>
        <v>116.68330899809229</v>
      </c>
      <c r="BG11" s="13">
        <f>CPIs!B55</f>
        <v>113.47606658935547</v>
      </c>
      <c r="BH11" s="13">
        <f>'Country Vehicle Prices'!B88</f>
        <v>1.3672758112094396</v>
      </c>
      <c r="BJ11">
        <v>2016</v>
      </c>
      <c r="BK11" s="13">
        <f t="shared" si="1"/>
        <v>0.19728827949079125</v>
      </c>
      <c r="BL11" s="13">
        <f>'Korea EV uptake'!AB11</f>
        <v>0.44190356227885791</v>
      </c>
      <c r="BN11">
        <v>2016</v>
      </c>
      <c r="BO11" s="13">
        <f>'Global EV uptake'!E67</f>
        <v>1.268058518934593</v>
      </c>
      <c r="BP11" s="13">
        <f t="shared" si="2"/>
        <v>0.19728827949079125</v>
      </c>
    </row>
    <row r="12" spans="1:68">
      <c r="A12">
        <v>2017</v>
      </c>
      <c r="B12" s="13">
        <f>'EV %sales'!B75</f>
        <v>0.20651104337713735</v>
      </c>
      <c r="C12" s="72">
        <f>65*EXP('Australia EV uptake'!AH12)/(1+EXP('Australia EV uptake'!AH12))</f>
        <v>0.21240931229561377</v>
      </c>
      <c r="D12" s="72">
        <f t="shared" si="3"/>
        <v>0.21240931229561377</v>
      </c>
      <c r="E12" s="13">
        <f t="shared" si="8"/>
        <v>0.21240931229561377</v>
      </c>
      <c r="F12" s="72">
        <f t="shared" si="9"/>
        <v>0.21240931229561377</v>
      </c>
      <c r="G12" s="84">
        <f t="shared" si="4"/>
        <v>-5.7203542306622239</v>
      </c>
      <c r="H12" s="13">
        <f t="shared" si="10"/>
        <v>0</v>
      </c>
      <c r="I12" s="13">
        <f t="shared" si="11"/>
        <v>1</v>
      </c>
      <c r="J12" s="13">
        <f t="shared" si="12"/>
        <v>1</v>
      </c>
      <c r="K12" s="13">
        <v>0</v>
      </c>
      <c r="L12" s="13">
        <f t="shared" si="13"/>
        <v>-5.7203542306622239</v>
      </c>
      <c r="M12" s="84">
        <v>-5.4122860656426264</v>
      </c>
      <c r="N12" s="13">
        <f t="shared" si="16"/>
        <v>0.31091705595967378</v>
      </c>
      <c r="O12" s="13">
        <f t="shared" si="5"/>
        <v>0.21240931229561377</v>
      </c>
      <c r="P12" s="13">
        <f t="shared" si="6"/>
        <v>2017.1237740006522</v>
      </c>
      <c r="Q12" s="13">
        <f t="shared" si="7"/>
        <v>2021.6185940012479</v>
      </c>
      <c r="R12" s="13">
        <f>1/Australia!R146</f>
        <v>1.2336440303600191</v>
      </c>
      <c r="T12">
        <v>2017</v>
      </c>
      <c r="U12" s="13">
        <v>0.21240931229561377</v>
      </c>
      <c r="V12" s="13">
        <v>0.21240931229561377</v>
      </c>
      <c r="W12" s="13">
        <v>0.21240931229561377</v>
      </c>
      <c r="Y12">
        <v>2017</v>
      </c>
      <c r="Z12" s="13">
        <v>0.21240931229561377</v>
      </c>
      <c r="AA12" s="13">
        <f t="shared" si="14"/>
        <v>0.21240931229561377</v>
      </c>
      <c r="AB12" s="13">
        <v>0.21240931229561377</v>
      </c>
      <c r="AD12" s="72">
        <f t="shared" si="15"/>
        <v>0.21240931229561377</v>
      </c>
      <c r="AF12">
        <f>LN('Australia EV uptake'!B12/(65-'Australia EV uptake'!B12))</f>
        <v>-5.7486065084324887</v>
      </c>
      <c r="AG12">
        <f>LN('Australia EV uptake'!B12/(65-'Australia EV uptake'!B12))</f>
        <v>-5.7486065084324887</v>
      </c>
      <c r="AH12" s="33">
        <f>AE$55+AE$56*'Australia EV uptake'!AK12+AE$57*'Australia EV uptake'!AL12+AE$58*'Australia EV uptake'!AM12+AE$59*AN12</f>
        <v>-5.7203542306622239</v>
      </c>
      <c r="AI12">
        <f t="shared" si="0"/>
        <v>-5.5052594339750431</v>
      </c>
      <c r="AK12">
        <v>8</v>
      </c>
      <c r="AL12" s="13">
        <v>0</v>
      </c>
      <c r="AM12" s="13">
        <v>0</v>
      </c>
      <c r="AN12" s="13">
        <v>1</v>
      </c>
      <c r="AO12" s="13"/>
      <c r="AP12">
        <v>2017</v>
      </c>
      <c r="AQ12" s="3">
        <f>'EV %sales'!AE58</f>
        <v>916.65800000000002</v>
      </c>
      <c r="AR12" s="12">
        <f>'Australia EV uptake'!C12/100*AQ12</f>
        <v>1.9470669539027272</v>
      </c>
      <c r="AT12" s="13"/>
      <c r="AU12" s="13">
        <f>'Australia EV uptake'!B12</f>
        <v>0.20651104337713735</v>
      </c>
      <c r="AV12" s="13"/>
      <c r="AW12" s="13"/>
      <c r="AX12" s="13">
        <f>'Australia EV uptake'!AF12</f>
        <v>-5.7486065084324887</v>
      </c>
      <c r="AZ12" s="41"/>
      <c r="BD12" s="13"/>
      <c r="BE12">
        <v>2017</v>
      </c>
      <c r="BF12" s="13">
        <f>'Country Petrol Prices'!B20</f>
        <v>128.02082212403147</v>
      </c>
      <c r="BG12" s="13">
        <f>CPIs!B56</f>
        <v>115.69</v>
      </c>
      <c r="BH12" s="13">
        <f>'Country Vehicle Prices'!B89</f>
        <v>1.3694547903039631</v>
      </c>
      <c r="BJ12">
        <v>2017</v>
      </c>
      <c r="BK12" s="13">
        <f t="shared" si="1"/>
        <v>0.21240931229561377</v>
      </c>
      <c r="BL12" s="13">
        <f>'Korea EV uptake'!AB12</f>
        <v>0.87818859400646965</v>
      </c>
      <c r="BN12">
        <v>2017</v>
      </c>
      <c r="BO12" s="13">
        <f>'Global EV uptake'!E68</f>
        <v>1.8884492699371382</v>
      </c>
      <c r="BP12" s="13">
        <f t="shared" si="2"/>
        <v>0.21240931229561377</v>
      </c>
    </row>
    <row r="13" spans="1:68">
      <c r="A13">
        <v>2018</v>
      </c>
      <c r="B13" s="13">
        <f>'EV %sales'!B76</f>
        <v>0.33725864927910965</v>
      </c>
      <c r="C13" s="72">
        <f>65*EXP('Australia EV uptake'!AH13)/(1+EXP('Australia EV uptake'!AH13))</f>
        <v>0.32791105969958972</v>
      </c>
      <c r="D13" s="72">
        <f t="shared" si="3"/>
        <v>0.32791105969958972</v>
      </c>
      <c r="E13" s="13">
        <f t="shared" si="8"/>
        <v>0.46529499260757357</v>
      </c>
      <c r="F13" s="72">
        <f>65*EXP(G13)/(1+EXP(G13))</f>
        <v>0.46529499260757357</v>
      </c>
      <c r="G13" s="84">
        <f t="shared" si="4"/>
        <v>-4.9322868230606272</v>
      </c>
      <c r="H13" s="13">
        <f t="shared" si="10"/>
        <v>0</v>
      </c>
      <c r="I13" s="13">
        <f t="shared" si="11"/>
        <v>1</v>
      </c>
      <c r="J13" s="13">
        <f t="shared" si="12"/>
        <v>1</v>
      </c>
      <c r="K13" s="13">
        <v>0</v>
      </c>
      <c r="L13" s="13">
        <f>LN(N13/(65-N13))</f>
        <v>-4.9322868230606272</v>
      </c>
      <c r="M13" s="84">
        <v>-4.6695127372336032</v>
      </c>
      <c r="N13" s="13">
        <f t="shared" si="16"/>
        <v>0.4652949926075734</v>
      </c>
      <c r="O13" s="13">
        <f t="shared" si="5"/>
        <v>0.32791105969958972</v>
      </c>
      <c r="P13" s="13">
        <f t="shared" si="6"/>
        <v>2017.9644081636407</v>
      </c>
      <c r="Q13" s="13">
        <f t="shared" si="7"/>
        <v>2021.7779598382594</v>
      </c>
      <c r="R13" s="13">
        <f>1/Australia!R147</f>
        <v>1.2484221510991409</v>
      </c>
      <c r="T13">
        <v>2018</v>
      </c>
      <c r="U13" s="13">
        <v>0.46529499260757357</v>
      </c>
      <c r="V13" s="13">
        <v>0.46529499260757357</v>
      </c>
      <c r="W13" s="13">
        <v>0.33828888943153329</v>
      </c>
      <c r="Y13">
        <v>2018</v>
      </c>
      <c r="Z13" s="13">
        <v>0.33828888943153329</v>
      </c>
      <c r="AA13" s="13">
        <f t="shared" si="14"/>
        <v>0.46529499260757357</v>
      </c>
      <c r="AB13" s="13">
        <v>0.46529499260757357</v>
      </c>
      <c r="AD13" s="72">
        <f t="shared" si="15"/>
        <v>0.32791105969958972</v>
      </c>
      <c r="AF13">
        <f>LN('Australia EV uptake'!B13/(65-'Australia EV uptake'!B13))</f>
        <v>-5.2560903055228829</v>
      </c>
      <c r="AG13">
        <f>LN('Australia EV uptake'!B13/(65-'Australia EV uptake'!B13))</f>
        <v>-5.2560903055228829</v>
      </c>
      <c r="AH13" s="33">
        <f>AE$55+AE$56*'Australia EV uptake'!AK13+AE$57*'Australia EV uptake'!AL13+AE$58*'Australia EV uptake'!AM13+AE$59*AN13</f>
        <v>-5.2843425832931477</v>
      </c>
      <c r="AI13">
        <f>AE$55+AE$56*AK13+AE$57*AL13+0.1</f>
        <v>-4.9692477866059672</v>
      </c>
      <c r="AK13">
        <v>9</v>
      </c>
      <c r="AL13" s="13">
        <v>0</v>
      </c>
      <c r="AM13" s="13">
        <v>0</v>
      </c>
      <c r="AN13" s="13">
        <v>1</v>
      </c>
      <c r="AO13" s="13"/>
      <c r="AP13">
        <v>2018</v>
      </c>
      <c r="AT13" s="13">
        <f>AV13</f>
        <v>0.29254322250643544</v>
      </c>
      <c r="AV13" s="13">
        <f t="shared" ref="AV13:AV15" si="17">65*EXP(AX13)/(1+EXP(AX13))</f>
        <v>0.29254322250643544</v>
      </c>
      <c r="AW13" s="13"/>
      <c r="AX13" s="20">
        <f>AX12+(AX25-AX12)/13</f>
        <v>-5.3990193004242926</v>
      </c>
      <c r="AZ13" s="41"/>
      <c r="BD13" s="13"/>
      <c r="BE13">
        <v>2018</v>
      </c>
      <c r="BF13" s="13"/>
      <c r="BH13" s="13">
        <f>'Country Vehicle Prices'!B90</f>
        <v>1.392793520251193</v>
      </c>
      <c r="BJ13">
        <v>2018</v>
      </c>
      <c r="BK13" s="13">
        <f t="shared" si="1"/>
        <v>0.32791105969958972</v>
      </c>
      <c r="BL13" s="13">
        <f>'Korea EV uptake'!AB13</f>
        <v>1.7336445171730701</v>
      </c>
      <c r="BN13">
        <v>2018</v>
      </c>
      <c r="BO13" s="13">
        <f>'Global EV uptake'!E69</f>
        <v>2.730161099649465</v>
      </c>
      <c r="BP13" s="13">
        <f t="shared" si="2"/>
        <v>0.46529499260757357</v>
      </c>
    </row>
    <row r="14" spans="1:68">
      <c r="A14">
        <v>2019</v>
      </c>
      <c r="B14" s="13"/>
      <c r="C14" s="72">
        <f>65*EXP('Australia EV uptake'!AH14)/(1+EXP('Australia EV uptake'!AH14))</f>
        <v>0.62592473597208209</v>
      </c>
      <c r="D14" s="72">
        <f t="shared" si="3"/>
        <v>0.62592473597208209</v>
      </c>
      <c r="E14" s="13">
        <f>F14</f>
        <v>0.72128820687528983</v>
      </c>
      <c r="F14" s="72">
        <f t="shared" si="9"/>
        <v>0.72128820687528983</v>
      </c>
      <c r="G14" s="84">
        <f t="shared" si="4"/>
        <v>-4.4899449895390369</v>
      </c>
      <c r="H14" s="13">
        <f t="shared" si="10"/>
        <v>0</v>
      </c>
      <c r="I14" s="13">
        <f t="shared" si="11"/>
        <v>1</v>
      </c>
      <c r="J14" s="13">
        <f t="shared" si="12"/>
        <v>1</v>
      </c>
      <c r="K14" s="13">
        <v>0</v>
      </c>
      <c r="L14" s="13">
        <f t="shared" ref="L14:L50" si="18">LN(N14/(65-N14))</f>
        <v>-4.4899449895390369</v>
      </c>
      <c r="M14" s="84">
        <v>-4.0267394088245796</v>
      </c>
      <c r="N14" s="13">
        <f t="shared" si="16"/>
        <v>0.72128820687528961</v>
      </c>
      <c r="O14" s="13">
        <f t="shared" si="5"/>
        <v>0.62592473597208209</v>
      </c>
      <c r="P14" s="13">
        <f t="shared" si="6"/>
        <v>2018.6815835004143</v>
      </c>
      <c r="Q14" s="13">
        <f t="shared" si="7"/>
        <v>2022.0607845014858</v>
      </c>
      <c r="R14" s="13">
        <f>1/Australia!R148</f>
        <v>1.2746487069252932</v>
      </c>
      <c r="T14">
        <v>2019</v>
      </c>
      <c r="U14" s="13">
        <v>0.87715426117000117</v>
      </c>
      <c r="V14" s="13">
        <v>0.72128820687528983</v>
      </c>
      <c r="W14" s="13">
        <v>0.5942821036992495</v>
      </c>
      <c r="Y14">
        <v>2019</v>
      </c>
      <c r="Z14" s="13">
        <v>0.49141954864933296</v>
      </c>
      <c r="AA14" s="13">
        <f t="shared" si="14"/>
        <v>0.72128820687528983</v>
      </c>
      <c r="AB14" s="13">
        <v>0.87715426117000117</v>
      </c>
      <c r="AC14" s="13">
        <v>0.72128820687528983</v>
      </c>
      <c r="AD14" s="72">
        <f t="shared" si="15"/>
        <v>0.62592473597208209</v>
      </c>
      <c r="AH14" s="33">
        <f>AE$55+AE$56*'Australia EV uptake'!AK14+AE$57*'Australia EV uptake'!AL14+AE$58*'Australia EV uptake'!AM14+AE$59*AN14</f>
        <v>-4.6332361392368906</v>
      </c>
      <c r="AK14">
        <v>10</v>
      </c>
      <c r="AL14" s="13">
        <v>0</v>
      </c>
      <c r="AM14" s="13">
        <v>0</v>
      </c>
      <c r="AN14" s="13">
        <v>0</v>
      </c>
      <c r="AO14" s="13"/>
      <c r="AP14">
        <v>2019</v>
      </c>
      <c r="AT14" s="13">
        <f t="shared" ref="AT14:AT16" si="19">AV14</f>
        <v>0.41418716361827262</v>
      </c>
      <c r="AU14" s="13"/>
      <c r="AV14" s="13">
        <f t="shared" si="17"/>
        <v>0.41418716361827262</v>
      </c>
      <c r="AW14" s="13"/>
      <c r="AX14" s="20">
        <f>AX13+(AX25-AX12)/13</f>
        <v>-5.0494320924160965</v>
      </c>
      <c r="AZ14" s="41"/>
      <c r="BD14" s="13"/>
      <c r="BE14">
        <v>2019</v>
      </c>
      <c r="BH14" s="13">
        <f>'Country Vehicle Prices'!B91</f>
        <v>1.4180497464430613</v>
      </c>
      <c r="BJ14">
        <v>2019</v>
      </c>
      <c r="BK14" s="13">
        <f t="shared" si="1"/>
        <v>0.62592473597208209</v>
      </c>
      <c r="BL14" s="13">
        <f>'Korea EV uptake'!AB14</f>
        <v>3.3785058938819041</v>
      </c>
      <c r="BN14">
        <v>2019</v>
      </c>
      <c r="BO14" s="13">
        <f>'Global EV uptake'!E70</f>
        <v>3.8564974304636261</v>
      </c>
      <c r="BP14" s="13">
        <f t="shared" si="2"/>
        <v>0.72128820687528983</v>
      </c>
    </row>
    <row r="15" spans="1:68">
      <c r="A15">
        <v>2020</v>
      </c>
      <c r="B15" s="13"/>
      <c r="C15" s="72">
        <f>65*EXP('Australia EV uptake'!AH15)/(1+EXP('Australia EV uptake'!AH15))</f>
        <v>0.96294157557979021</v>
      </c>
      <c r="D15" s="72">
        <f t="shared" si="3"/>
        <v>0.96294157557979021</v>
      </c>
      <c r="E15" s="13">
        <f>AVERAGE(F12:F18)</f>
        <v>1.3784503770027925</v>
      </c>
      <c r="F15" s="72">
        <f>65*EXP(G15)/(1+EXP(G15))</f>
        <v>1.0242725260250209</v>
      </c>
      <c r="G15" s="84">
        <f>L15-SUM(H$7:H15)</f>
        <v>-4.1345211232989385</v>
      </c>
      <c r="H15" s="13">
        <f t="shared" si="10"/>
        <v>0.1</v>
      </c>
      <c r="I15" s="13">
        <f t="shared" si="11"/>
        <v>1</v>
      </c>
      <c r="J15" s="13">
        <f t="shared" si="12"/>
        <v>1</v>
      </c>
      <c r="K15" s="231">
        <v>0.1</v>
      </c>
      <c r="L15" s="13">
        <f>LN(N15/(65-N15))</f>
        <v>-4.0345211232989389</v>
      </c>
      <c r="M15" s="84">
        <v>-3.8339660804155566</v>
      </c>
      <c r="N15" s="13">
        <f>AVERAGE(O13:O17)</f>
        <v>1.1301232688767526</v>
      </c>
      <c r="O15" s="13">
        <f t="shared" si="5"/>
        <v>0.96294157557979021</v>
      </c>
      <c r="P15" s="13">
        <f t="shared" si="6"/>
        <v>2019.7489083247265</v>
      </c>
      <c r="Q15" s="13">
        <f t="shared" si="7"/>
        <v>2021.9934596771736</v>
      </c>
      <c r="R15" s="13">
        <f>1/Australia!R149</f>
        <v>1.2684056224532048</v>
      </c>
      <c r="T15">
        <v>2020</v>
      </c>
      <c r="U15" s="13">
        <v>1.5829135765545301</v>
      </c>
      <c r="V15" s="13">
        <v>1.3784503770027925</v>
      </c>
      <c r="W15" s="13">
        <v>1.2018310113118065</v>
      </c>
      <c r="Y15">
        <v>2020</v>
      </c>
      <c r="Z15" s="13">
        <v>0.81108862974483864</v>
      </c>
      <c r="AA15" s="13">
        <f t="shared" si="14"/>
        <v>1.3784503770027925</v>
      </c>
      <c r="AB15" s="13">
        <v>2.2053287029361379</v>
      </c>
      <c r="AC15" s="13">
        <v>1.3784503770027925</v>
      </c>
      <c r="AD15" s="72">
        <f t="shared" si="15"/>
        <v>0.96294157557979021</v>
      </c>
      <c r="AH15" s="33">
        <f>AE$55+AE$56*'Australia EV uptake'!AK15+AE$57*'Australia EV uptake'!AL15+AE$58*'Australia EV uptake'!AM15+AE$59*AN15</f>
        <v>-4.1972244918678152</v>
      </c>
      <c r="AK15">
        <v>11</v>
      </c>
      <c r="AL15" s="13">
        <v>0</v>
      </c>
      <c r="AM15" s="13">
        <v>0</v>
      </c>
      <c r="AN15" s="13">
        <v>0</v>
      </c>
      <c r="AO15" s="13"/>
      <c r="AP15">
        <v>2020</v>
      </c>
      <c r="AT15" s="13">
        <f t="shared" si="19"/>
        <v>0.58595447690055014</v>
      </c>
      <c r="AU15" s="13"/>
      <c r="AV15" s="13">
        <f t="shared" si="17"/>
        <v>0.58595447690055014</v>
      </c>
      <c r="AW15" s="13"/>
      <c r="AX15" s="20">
        <f>AX14+(AX25-AX12)/13</f>
        <v>-4.6998448844079004</v>
      </c>
      <c r="AZ15" s="41"/>
      <c r="BD15" s="13"/>
      <c r="BE15">
        <v>2020</v>
      </c>
      <c r="BH15" s="13">
        <f>'Country Vehicle Prices'!B92</f>
        <v>1.4099153581800679</v>
      </c>
      <c r="BJ15">
        <v>2020</v>
      </c>
      <c r="BK15" s="13">
        <f t="shared" si="1"/>
        <v>0.96294157557979021</v>
      </c>
      <c r="BL15" s="13">
        <f>'Korea EV uptake'!AB15</f>
        <v>6.4254912311464647</v>
      </c>
      <c r="BN15">
        <v>2020</v>
      </c>
      <c r="BO15" s="13">
        <f>'Global EV uptake'!E71</f>
        <v>5.4455779264867781</v>
      </c>
      <c r="BP15" s="13">
        <f t="shared" si="2"/>
        <v>1.3784503770027925</v>
      </c>
    </row>
    <row r="16" spans="1:68">
      <c r="A16">
        <v>2021</v>
      </c>
      <c r="B16" s="13"/>
      <c r="C16" s="72">
        <f>65*EXP('Australia EV uptake'!AH16)/(1+EXP('Australia EV uptake'!AH16))</f>
        <v>1.4772543508293725</v>
      </c>
      <c r="D16" s="72">
        <f t="shared" si="3"/>
        <v>1.4772543508293725</v>
      </c>
      <c r="E16" s="13">
        <f>AVERAGE(F13:F19)</f>
        <v>2.0454176020905916</v>
      </c>
      <c r="F16" s="72">
        <f>65*EXP(G16)/(1+EXP(G16))</f>
        <v>1.4323864038482466</v>
      </c>
      <c r="G16" s="84">
        <f>L16-SUM(H$7:H16)</f>
        <v>-3.7927622532340814</v>
      </c>
      <c r="H16" s="13">
        <f t="shared" si="10"/>
        <v>0.10500000000000001</v>
      </c>
      <c r="I16" s="13">
        <f t="shared" si="11"/>
        <v>1</v>
      </c>
      <c r="J16" s="13">
        <f t="shared" si="12"/>
        <v>1</v>
      </c>
      <c r="K16" s="20">
        <f>K15+(K35-K15)/20</f>
        <v>0.10500000000000001</v>
      </c>
      <c r="L16" s="13">
        <f t="shared" si="18"/>
        <v>-3.5877622532340814</v>
      </c>
      <c r="M16" s="84">
        <v>-3.6411927520065328</v>
      </c>
      <c r="N16" s="13">
        <f t="shared" si="16"/>
        <v>1.7495182953225084</v>
      </c>
      <c r="O16" s="13">
        <f t="shared" si="5"/>
        <v>1.4772543508293725</v>
      </c>
      <c r="P16" s="13">
        <f t="shared" si="6"/>
        <v>2021.1259809986434</v>
      </c>
      <c r="Q16" s="13">
        <f t="shared" si="7"/>
        <v>2021.6163870032567</v>
      </c>
      <c r="R16" s="13">
        <f>1/Australia!R150</f>
        <v>1.2334393736820439</v>
      </c>
      <c r="T16">
        <v>2021</v>
      </c>
      <c r="U16" s="13">
        <v>2.3883810105955754</v>
      </c>
      <c r="V16" s="13">
        <v>2.0454176020905916</v>
      </c>
      <c r="W16" s="13">
        <v>1.8233840036803106</v>
      </c>
      <c r="Y16">
        <v>2021</v>
      </c>
      <c r="Z16" s="13">
        <v>1.1181815992224682</v>
      </c>
      <c r="AA16" s="13">
        <f t="shared" si="14"/>
        <v>2.0454176020905916</v>
      </c>
      <c r="AB16" s="13">
        <v>3.6208853311106659</v>
      </c>
      <c r="AC16" s="13">
        <v>2.0454176020905916</v>
      </c>
      <c r="AD16" s="72">
        <f t="shared" si="15"/>
        <v>1.4772543508293725</v>
      </c>
      <c r="AH16" s="33">
        <f>AE$55+AE$56*'Australia EV uptake'!AK16+AE$57*'Australia EV uptake'!AL16+AE$58*'Australia EV uptake'!AM16+AE$59*AN16</f>
        <v>-3.7612128444987389</v>
      </c>
      <c r="AK16">
        <v>12</v>
      </c>
      <c r="AL16" s="13">
        <v>0</v>
      </c>
      <c r="AM16" s="13">
        <v>0</v>
      </c>
      <c r="AN16" s="13">
        <v>0</v>
      </c>
      <c r="AO16" s="13"/>
      <c r="AP16">
        <v>2021</v>
      </c>
      <c r="AT16" s="13">
        <f t="shared" si="19"/>
        <v>1.5</v>
      </c>
      <c r="AU16" s="13"/>
      <c r="AV16" s="13">
        <v>1.5</v>
      </c>
      <c r="AW16" s="13"/>
      <c r="AX16" s="20">
        <f>AX15+(AX25-AX12)/13</f>
        <v>-4.3502576763997043</v>
      </c>
      <c r="AZ16" s="41"/>
      <c r="BD16" s="13"/>
      <c r="BE16">
        <v>2021</v>
      </c>
      <c r="BH16" s="13">
        <f>'Country Vehicle Prices'!B93</f>
        <v>1.376037345991926</v>
      </c>
      <c r="BJ16">
        <v>2021</v>
      </c>
      <c r="BK16" s="13">
        <f t="shared" si="1"/>
        <v>1.4772543508293725</v>
      </c>
      <c r="BL16" s="13">
        <f>'Korea EV uptake'!AB16</f>
        <v>11.698768497088503</v>
      </c>
      <c r="BN16">
        <v>2021</v>
      </c>
      <c r="BO16" s="13">
        <f>'Global EV uptake'!E72</f>
        <v>7.4602925423505688</v>
      </c>
      <c r="BP16" s="13">
        <f t="shared" si="2"/>
        <v>2.0454176020905916</v>
      </c>
    </row>
    <row r="17" spans="1:68">
      <c r="A17">
        <v>2022</v>
      </c>
      <c r="B17" s="13"/>
      <c r="C17" s="72">
        <f>65*EXP('Australia EV uptake'!AH17)/(1+EXP('Australia EV uptake'!AH17))</f>
        <v>2.2565846223029289</v>
      </c>
      <c r="D17" s="72">
        <f t="shared" si="3"/>
        <v>2.2565846223029289</v>
      </c>
      <c r="E17" s="13">
        <f t="shared" ref="E17:E20" si="20">AVERAGE(F14:F20)</f>
        <v>2.9260014029329313</v>
      </c>
      <c r="F17" s="72">
        <f t="shared" si="9"/>
        <v>2.3298569458475034</v>
      </c>
      <c r="G17" s="84">
        <f>L17-SUM(H$7:H17)</f>
        <v>-3.2920782778308042</v>
      </c>
      <c r="H17" s="13">
        <f t="shared" si="10"/>
        <v>0.11000000000000001</v>
      </c>
      <c r="I17" s="13">
        <f t="shared" si="11"/>
        <v>1</v>
      </c>
      <c r="J17" s="13">
        <f t="shared" si="12"/>
        <v>1</v>
      </c>
      <c r="K17" s="20">
        <f>K16+(K35-K15)/20</f>
        <v>0.11000000000000001</v>
      </c>
      <c r="L17" s="13">
        <f t="shared" si="18"/>
        <v>-2.9770782778308043</v>
      </c>
      <c r="M17" s="84">
        <v>-3.4484194235975094</v>
      </c>
      <c r="N17" s="13">
        <f>AVERAGE(O15:O19)</f>
        <v>3.1506935629494803</v>
      </c>
      <c r="O17" s="13">
        <f t="shared" si="5"/>
        <v>2.2565846223029289</v>
      </c>
      <c r="P17" s="13">
        <f t="shared" si="6"/>
        <v>2021.9748211190704</v>
      </c>
      <c r="Q17" s="13">
        <f t="shared" si="7"/>
        <v>2021.7675468828297</v>
      </c>
      <c r="R17" s="13">
        <f>1/Australia!R151</f>
        <v>1.2474565494653407</v>
      </c>
      <c r="T17">
        <v>2022</v>
      </c>
      <c r="U17" s="13">
        <v>3.5227528202987131</v>
      </c>
      <c r="V17" s="13">
        <v>2.9260014029329313</v>
      </c>
      <c r="W17" s="13">
        <v>2.6787104408046538</v>
      </c>
      <c r="Y17">
        <v>2022</v>
      </c>
      <c r="Z17" s="13">
        <v>1.5198533390337734</v>
      </c>
      <c r="AA17" s="13">
        <f t="shared" si="14"/>
        <v>2.9260014029329313</v>
      </c>
      <c r="AB17" s="13">
        <v>5.6271657654506102</v>
      </c>
      <c r="AC17" s="13">
        <v>3.0440512999526108</v>
      </c>
      <c r="AD17" s="72">
        <f t="shared" si="15"/>
        <v>2.2565846223029289</v>
      </c>
      <c r="AH17" s="33">
        <f>AE$55+AE$56*'Australia EV uptake'!AK17+AE$57*'Australia EV uptake'!AL17+AE$58*'Australia EV uptake'!AM17+AE$59*AN17</f>
        <v>-3.3252011971296627</v>
      </c>
      <c r="AK17">
        <v>13</v>
      </c>
      <c r="AL17" s="13">
        <v>0</v>
      </c>
      <c r="AM17" s="13">
        <v>0</v>
      </c>
      <c r="AN17" s="13">
        <v>0</v>
      </c>
      <c r="AO17" s="13"/>
      <c r="AP17">
        <v>2022</v>
      </c>
      <c r="AT17" s="20">
        <f>AT16+(AT25-AT16)/9</f>
        <v>3</v>
      </c>
      <c r="AU17" s="13"/>
      <c r="AV17" s="13">
        <v>2.5</v>
      </c>
      <c r="AW17" s="13"/>
      <c r="AX17" s="20">
        <f>AX16+(AX25-AX12)/13</f>
        <v>-4.0006704683915082</v>
      </c>
      <c r="AZ17" s="41"/>
      <c r="BD17" s="13"/>
      <c r="BE17">
        <v>2022</v>
      </c>
      <c r="BH17" s="13">
        <f>'Country Vehicle Prices'!B94</f>
        <v>1.3949828155397503</v>
      </c>
      <c r="BJ17">
        <v>2022</v>
      </c>
      <c r="BK17" s="13">
        <f t="shared" si="1"/>
        <v>2.2565846223029289</v>
      </c>
      <c r="BL17" s="13">
        <f>'Korea EV uptake'!AB17</f>
        <v>19.83429983606014</v>
      </c>
      <c r="BN17">
        <v>2022</v>
      </c>
      <c r="BO17" s="13">
        <f>'Global EV uptake'!E73</f>
        <v>9.7530223471905853</v>
      </c>
      <c r="BP17" s="13">
        <f t="shared" si="2"/>
        <v>2.9260014029329313</v>
      </c>
    </row>
    <row r="18" spans="1:68">
      <c r="A18">
        <v>2023</v>
      </c>
      <c r="B18" s="13"/>
      <c r="C18" s="72">
        <f>65*EXP('Australia EV uptake'!AH18)/(1+EXP('Australia EV uptake'!AH18))</f>
        <v>3.4248861919283669</v>
      </c>
      <c r="D18" s="72">
        <f t="shared" si="3"/>
        <v>3.4248861919283669</v>
      </c>
      <c r="E18" s="13">
        <f t="shared" si="20"/>
        <v>4.1981355639089175</v>
      </c>
      <c r="F18" s="72">
        <f t="shared" si="9"/>
        <v>3.4636442515202992</v>
      </c>
      <c r="G18" s="84">
        <f>L18-SUM(H$7:H18)</f>
        <v>-2.8773068638601891</v>
      </c>
      <c r="H18" s="13">
        <f t="shared" si="10"/>
        <v>0.11500000000000002</v>
      </c>
      <c r="I18" s="13">
        <f t="shared" si="11"/>
        <v>1</v>
      </c>
      <c r="J18" s="13">
        <f t="shared" si="12"/>
        <v>1</v>
      </c>
      <c r="K18" s="20">
        <f>K17+(K35-K15)/20</f>
        <v>0.11500000000000002</v>
      </c>
      <c r="L18" s="13">
        <f t="shared" si="18"/>
        <v>-2.4473068638601889</v>
      </c>
      <c r="M18" s="84">
        <v>-3.2556460951884869</v>
      </c>
      <c r="N18" s="13">
        <f t="shared" si="16"/>
        <v>5.1763215542722154</v>
      </c>
      <c r="O18" s="13">
        <f t="shared" si="5"/>
        <v>3.4248861919283669</v>
      </c>
      <c r="P18" s="13">
        <f t="shared" si="6"/>
        <v>2023.099259526964</v>
      </c>
      <c r="Q18" s="13">
        <f t="shared" si="7"/>
        <v>2021.6431084749361</v>
      </c>
      <c r="R18" s="13">
        <f>1/Australia!R152</f>
        <v>1.2359172769906162</v>
      </c>
      <c r="T18">
        <v>2023</v>
      </c>
      <c r="U18" s="13">
        <v>5.0000206942250687</v>
      </c>
      <c r="V18" s="13">
        <v>4.1981355639089175</v>
      </c>
      <c r="W18" s="13">
        <v>3.8016928516079376</v>
      </c>
      <c r="Y18">
        <v>2023</v>
      </c>
      <c r="Z18" s="13">
        <v>2.0420714243338947</v>
      </c>
      <c r="AA18" s="13">
        <f t="shared" si="14"/>
        <v>4.1981355639089175</v>
      </c>
      <c r="AB18" s="13">
        <v>8.2521010812326629</v>
      </c>
      <c r="AC18" s="13">
        <v>4.4367619865554264</v>
      </c>
      <c r="AD18" s="72">
        <f t="shared" si="15"/>
        <v>3.4248861919283669</v>
      </c>
      <c r="AH18" s="33">
        <f>AE$55+AE$56*'Australia EV uptake'!AK18+AE$57*'Australia EV uptake'!AL18+AE$58*'Australia EV uptake'!AM18+AE$59*AN18</f>
        <v>-2.8891895497605873</v>
      </c>
      <c r="AK18">
        <v>14</v>
      </c>
      <c r="AL18" s="13">
        <v>0</v>
      </c>
      <c r="AM18" s="13">
        <v>0</v>
      </c>
      <c r="AN18" s="13">
        <v>0</v>
      </c>
      <c r="AO18" s="13"/>
      <c r="AP18">
        <v>2023</v>
      </c>
      <c r="AT18" s="20">
        <f>AT17+(AT25-AT16)/9</f>
        <v>4.5</v>
      </c>
      <c r="AU18" s="13"/>
      <c r="AV18" s="13">
        <v>3.5</v>
      </c>
      <c r="AW18" s="13"/>
      <c r="AX18" s="20">
        <f>AX17+(AX25-AX12)/13</f>
        <v>-3.6510832603833117</v>
      </c>
      <c r="AZ18" s="41"/>
      <c r="BD18" s="13"/>
      <c r="BE18">
        <v>2023</v>
      </c>
      <c r="BH18" s="13">
        <f>'Country Vehicle Prices'!B95</f>
        <v>1.3827694075011954</v>
      </c>
      <c r="BJ18">
        <v>2023</v>
      </c>
      <c r="BK18" s="13">
        <f t="shared" si="1"/>
        <v>3.4248861919283669</v>
      </c>
      <c r="BL18" s="13">
        <f>'Korea EV uptake'!AB18</f>
        <v>30.400591171145539</v>
      </c>
      <c r="BN18">
        <v>2023</v>
      </c>
      <c r="BO18" s="13">
        <f>'Global EV uptake'!E74</f>
        <v>12.199724743238342</v>
      </c>
      <c r="BP18" s="13">
        <f t="shared" si="2"/>
        <v>4.1981355639089175</v>
      </c>
    </row>
    <row r="19" spans="1:68">
      <c r="A19">
        <v>2024</v>
      </c>
      <c r="B19" s="13"/>
      <c r="C19" s="72">
        <f>65*EXP('Australia EV uptake'!AH19)/(1+EXP('Australia EV uptake'!AH19))</f>
        <v>5.1484202707284563</v>
      </c>
      <c r="D19" s="72">
        <f t="shared" si="3"/>
        <v>5.1484202707284563</v>
      </c>
      <c r="E19" s="13">
        <f t="shared" si="20"/>
        <v>5.8798767082036187</v>
      </c>
      <c r="F19" s="72">
        <f t="shared" si="9"/>
        <v>4.881179887910208</v>
      </c>
      <c r="G19" s="84">
        <f>L19-SUM(H$7:H19)</f>
        <v>-2.5109359681944055</v>
      </c>
      <c r="H19" s="13">
        <f t="shared" si="10"/>
        <v>0.12000000000000002</v>
      </c>
      <c r="I19" s="13">
        <f t="shared" si="11"/>
        <v>1</v>
      </c>
      <c r="J19" s="13">
        <f t="shared" si="12"/>
        <v>1</v>
      </c>
      <c r="K19" s="20">
        <f>K18+(K35-K15)/20</f>
        <v>0.12000000000000002</v>
      </c>
      <c r="L19" s="13">
        <f t="shared" si="18"/>
        <v>-1.9609359681944056</v>
      </c>
      <c r="M19" s="84">
        <v>-3.0628727667794626</v>
      </c>
      <c r="N19" s="13">
        <f t="shared" si="16"/>
        <v>8.0187763521019058</v>
      </c>
      <c r="O19" s="13">
        <f t="shared" si="5"/>
        <v>7.6318010741069422</v>
      </c>
      <c r="P19" s="13">
        <f t="shared" si="6"/>
        <v>2024.5459994905982</v>
      </c>
      <c r="Q19" s="13">
        <f t="shared" si="7"/>
        <v>2021.1963685113019</v>
      </c>
      <c r="R19" s="13">
        <f>1/Australia!R153</f>
        <v>1.1944907250684624</v>
      </c>
      <c r="T19">
        <v>2024</v>
      </c>
      <c r="U19" s="13">
        <v>6.9053983874780958</v>
      </c>
      <c r="V19" s="13">
        <v>5.8798767082036187</v>
      </c>
      <c r="W19" s="13">
        <v>5.3677154971849825</v>
      </c>
      <c r="Y19">
        <v>2024</v>
      </c>
      <c r="Z19" s="13">
        <v>2.7144373785725913</v>
      </c>
      <c r="AA19" s="13">
        <f t="shared" si="14"/>
        <v>5.8798767082036187</v>
      </c>
      <c r="AB19" s="13">
        <v>11.741222489302331</v>
      </c>
      <c r="AC19" s="13">
        <v>6.2474656167957443</v>
      </c>
      <c r="AD19" s="72">
        <f t="shared" si="15"/>
        <v>5.1484202707284563</v>
      </c>
      <c r="AH19" s="33">
        <f>AE$55+AE$56*'Australia EV uptake'!AK19+AE$57*'Australia EV uptake'!AL19+AE$58*'Australia EV uptake'!AM19+AE$59*AN19</f>
        <v>-2.453177902391511</v>
      </c>
      <c r="AK19">
        <v>15</v>
      </c>
      <c r="AL19" s="13">
        <v>0</v>
      </c>
      <c r="AM19" s="13">
        <v>0</v>
      </c>
      <c r="AN19" s="13">
        <v>0</v>
      </c>
      <c r="AO19" s="13"/>
      <c r="AP19">
        <v>2024</v>
      </c>
      <c r="AT19" s="20">
        <f>AT18+(AT25-AT16)/9</f>
        <v>6</v>
      </c>
      <c r="AU19" s="13"/>
      <c r="AV19" s="13">
        <v>5</v>
      </c>
      <c r="AW19" s="13"/>
      <c r="AX19" s="20">
        <f>AX18+(AX25-AX12)/13</f>
        <v>-3.3014960523751151</v>
      </c>
      <c r="AZ19" s="41"/>
      <c r="BD19" s="13"/>
      <c r="BE19">
        <v>2024</v>
      </c>
      <c r="BH19" s="13">
        <f>'Country Vehicle Prices'!B96</f>
        <v>1.3355561113991878</v>
      </c>
      <c r="BJ19">
        <v>2024</v>
      </c>
      <c r="BK19" s="13">
        <f t="shared" si="1"/>
        <v>5.1484202707284563</v>
      </c>
      <c r="BL19" s="13">
        <f>'Korea EV uptake'!AB19</f>
        <v>41.432186981588991</v>
      </c>
      <c r="BN19">
        <v>2024</v>
      </c>
      <c r="BO19" s="13">
        <f>'Global EV uptake'!E75</f>
        <v>15.077808305061705</v>
      </c>
      <c r="BP19" s="13">
        <f t="shared" si="2"/>
        <v>5.8798767082036187</v>
      </c>
    </row>
    <row r="20" spans="1:68">
      <c r="A20" s="87">
        <v>2025</v>
      </c>
      <c r="B20" s="13"/>
      <c r="C20" s="72">
        <f>65*EXP('Australia EV uptake'!AH20)/(1+EXP('Australia EV uptake'!AH20))</f>
        <v>7.6318010741069422</v>
      </c>
      <c r="D20" s="72">
        <f t="shared" si="3"/>
        <v>7.6318010741069422</v>
      </c>
      <c r="E20" s="89">
        <f t="shared" si="20"/>
        <v>8.0223170470678973</v>
      </c>
      <c r="F20" s="72">
        <f t="shared" si="9"/>
        <v>6.6293815985039517</v>
      </c>
      <c r="G20" s="84">
        <f>L20-SUM(H$7:H20)</f>
        <v>-2.1753011270482796</v>
      </c>
      <c r="H20" s="13">
        <f t="shared" si="10"/>
        <v>0.12500000000000003</v>
      </c>
      <c r="I20" s="13">
        <f t="shared" si="11"/>
        <v>1</v>
      </c>
      <c r="J20" s="13">
        <f t="shared" si="12"/>
        <v>1</v>
      </c>
      <c r="K20" s="20">
        <f>K19+(K35-K15)/20</f>
        <v>0.12500000000000003</v>
      </c>
      <c r="L20" s="13">
        <f t="shared" si="18"/>
        <v>-1.5003011270482793</v>
      </c>
      <c r="M20" s="84">
        <v>-2.2273261099614174</v>
      </c>
      <c r="N20" s="89">
        <f t="shared" si="16"/>
        <v>11.85474004457347</v>
      </c>
      <c r="O20" s="13">
        <f t="shared" si="5"/>
        <v>11.091081532193469</v>
      </c>
      <c r="P20" s="13">
        <f t="shared" si="6"/>
        <v>2025.9500644298628</v>
      </c>
      <c r="Q20" s="13">
        <f t="shared" si="7"/>
        <v>2020.7923035720373</v>
      </c>
      <c r="R20" s="13">
        <f>1/Australia!R154</f>
        <v>1.1570214620766164</v>
      </c>
      <c r="T20" s="87">
        <v>2025</v>
      </c>
      <c r="U20" s="13">
        <v>9.382913934038724</v>
      </c>
      <c r="V20" s="13">
        <v>8.0223170470678973</v>
      </c>
      <c r="W20" s="13">
        <v>7.3760444534492082</v>
      </c>
      <c r="Y20" s="87">
        <v>2025</v>
      </c>
      <c r="Z20" s="13">
        <v>3.5643949435978719</v>
      </c>
      <c r="AA20" s="13">
        <f t="shared" si="14"/>
        <v>8.0223170470678973</v>
      </c>
      <c r="AB20" s="13">
        <v>16.074064679772583</v>
      </c>
      <c r="AC20" s="13">
        <v>8.5364652163704537</v>
      </c>
      <c r="AD20" s="72">
        <f t="shared" si="15"/>
        <v>7.6318010741069422</v>
      </c>
      <c r="AH20" s="33">
        <f>AE$55+AE$56*'Australia EV uptake'!AK20+AE$57*'Australia EV uptake'!AL20+AE$58*'Australia EV uptake'!AM20+AE$59*AN20</f>
        <v>-2.0171662550224347</v>
      </c>
      <c r="AK20">
        <v>16</v>
      </c>
      <c r="AL20" s="13">
        <v>0</v>
      </c>
      <c r="AM20" s="13">
        <v>0</v>
      </c>
      <c r="AN20" s="13">
        <v>0</v>
      </c>
      <c r="AO20" s="13"/>
      <c r="AP20">
        <v>2025</v>
      </c>
      <c r="AT20" s="20">
        <f>AT19+(AT25-AT16)/9</f>
        <v>7.5</v>
      </c>
      <c r="AU20" s="13"/>
      <c r="AV20" s="89">
        <v>7.5</v>
      </c>
      <c r="AW20" s="13"/>
      <c r="AX20" s="20">
        <f>AX19+(AX25-AX12)/13</f>
        <v>-2.9519088443669186</v>
      </c>
      <c r="AZ20" s="41"/>
      <c r="BD20" s="13"/>
      <c r="BE20">
        <v>2025</v>
      </c>
      <c r="BH20" s="13">
        <f>'Country Vehicle Prices'!B97</f>
        <v>1.2950228671153392</v>
      </c>
      <c r="BJ20" s="87">
        <v>2025</v>
      </c>
      <c r="BK20" s="13">
        <f t="shared" si="1"/>
        <v>7.6318010741069422</v>
      </c>
      <c r="BL20" s="13">
        <f>'Korea EV uptake'!AB20</f>
        <v>50.611244860494736</v>
      </c>
      <c r="BN20" s="87">
        <v>2025</v>
      </c>
      <c r="BO20" s="13">
        <f>'Global EV uptake'!E76</f>
        <v>18.328683452914706</v>
      </c>
      <c r="BP20" s="13">
        <f t="shared" si="2"/>
        <v>8.0223170470678973</v>
      </c>
    </row>
    <row r="21" spans="1:68">
      <c r="A21">
        <v>2026</v>
      </c>
      <c r="B21" s="13"/>
      <c r="C21" s="72">
        <f>65*EXP('Australia EV uptake'!AH21)/(1+EXP('Australia EV uptake'!AH21))</f>
        <v>11.091081532193469</v>
      </c>
      <c r="D21" s="72">
        <f t="shared" si="3"/>
        <v>11.091081532193469</v>
      </c>
      <c r="E21" s="72">
        <f t="shared" ref="E21:E50" si="21">AVERAGE(F18:F24)</f>
        <v>10.641364340714375</v>
      </c>
      <c r="F21" s="72">
        <f t="shared" si="9"/>
        <v>9.6262273337071917</v>
      </c>
      <c r="G21" s="84">
        <f>L21-SUM(H$7:H21)</f>
        <v>-1.7496146768449798</v>
      </c>
      <c r="H21" s="13">
        <f t="shared" si="10"/>
        <v>0.13000000000000003</v>
      </c>
      <c r="I21" s="13">
        <f>IF(J21&lt;0,0,J21)</f>
        <v>1</v>
      </c>
      <c r="J21" s="13">
        <f t="shared" si="12"/>
        <v>1</v>
      </c>
      <c r="K21" s="20">
        <f>K20+(K35-K15)/20</f>
        <v>0.13000000000000003</v>
      </c>
      <c r="L21" s="13">
        <f t="shared" si="18"/>
        <v>-0.94461467684497979</v>
      </c>
      <c r="M21" s="84">
        <v>-2.0345527815523932</v>
      </c>
      <c r="N21" s="13">
        <f t="shared" si="16"/>
        <v>18.197994264420885</v>
      </c>
      <c r="O21" s="13">
        <f t="shared" si="5"/>
        <v>15.689528339977821</v>
      </c>
      <c r="P21" s="13">
        <f t="shared" si="6"/>
        <v>2027.2042246885142</v>
      </c>
      <c r="Q21" s="13">
        <f t="shared" si="7"/>
        <v>2020.5381433133859</v>
      </c>
      <c r="R21" s="13">
        <f>1/Australia!R155</f>
        <v>1.1334529792708399</v>
      </c>
      <c r="T21">
        <v>2026</v>
      </c>
      <c r="U21" s="13">
        <v>12.372447596055476</v>
      </c>
      <c r="V21" s="13">
        <v>10.641364340714375</v>
      </c>
      <c r="W21" s="13">
        <v>9.8759470291640099</v>
      </c>
      <c r="Y21">
        <v>2026</v>
      </c>
      <c r="Z21" s="13">
        <v>4.6149753359161725</v>
      </c>
      <c r="AA21" s="13">
        <f t="shared" si="14"/>
        <v>10.641364340714375</v>
      </c>
      <c r="AB21" s="13">
        <v>21.152465749309908</v>
      </c>
      <c r="AC21" s="13">
        <v>11.438174938773399</v>
      </c>
      <c r="AD21" s="72">
        <f t="shared" si="15"/>
        <v>11.091081532193469</v>
      </c>
      <c r="AH21" s="33">
        <f>AE$55+AE$56*'Australia EV uptake'!AK21+AE$57*'Australia EV uptake'!AL21+AE$58*'Australia EV uptake'!AM21+AE$59*AN21</f>
        <v>-1.5811546076533585</v>
      </c>
      <c r="AK21">
        <v>17</v>
      </c>
      <c r="AL21" s="13">
        <v>0</v>
      </c>
      <c r="AM21" s="13">
        <v>0</v>
      </c>
      <c r="AN21" s="13">
        <v>0</v>
      </c>
      <c r="AO21" s="13"/>
      <c r="AP21">
        <v>2026</v>
      </c>
      <c r="AT21" s="20">
        <f>AT20+(AT25-AT16)/9</f>
        <v>9</v>
      </c>
      <c r="AU21" s="13"/>
      <c r="AV21" s="13">
        <v>10</v>
      </c>
      <c r="AW21" s="13"/>
      <c r="AX21" s="20">
        <f>AX20+(AX25-AX12)/13</f>
        <v>-2.602321636358722</v>
      </c>
      <c r="AZ21" s="41"/>
      <c r="BD21" s="13"/>
      <c r="BE21">
        <v>2026</v>
      </c>
      <c r="BH21" s="13">
        <f>'Country Vehicle Prices'!B98</f>
        <v>1.271931329966147</v>
      </c>
      <c r="BJ21">
        <v>2026</v>
      </c>
      <c r="BK21" s="13">
        <f t="shared" si="1"/>
        <v>11.091081532193469</v>
      </c>
      <c r="BL21" s="13">
        <f>'Korea EV uptake'!AB21</f>
        <v>56.913081282143523</v>
      </c>
      <c r="BN21">
        <v>2026</v>
      </c>
      <c r="BO21" s="13">
        <f>'Global EV uptake'!E77</f>
        <v>21.824088999272806</v>
      </c>
      <c r="BP21" s="13">
        <f t="shared" si="2"/>
        <v>10.641364340714375</v>
      </c>
    </row>
    <row r="22" spans="1:68">
      <c r="A22">
        <v>2027</v>
      </c>
      <c r="B22" s="13"/>
      <c r="C22" s="72">
        <f>65*EXP('Australia EV uptake'!AH22)/(1+EXP('Australia EV uptake'!AH22))</f>
        <v>15.689528339977821</v>
      </c>
      <c r="D22" s="72">
        <f t="shared" si="3"/>
        <v>15.689528339977821</v>
      </c>
      <c r="E22" s="72">
        <f t="shared" si="21"/>
        <v>13.915702409395562</v>
      </c>
      <c r="F22" s="72">
        <f t="shared" si="9"/>
        <v>12.796460536087928</v>
      </c>
      <c r="G22" s="84">
        <f>L22-SUM(H$7:H22)</f>
        <v>-1.4059816863433872</v>
      </c>
      <c r="H22" s="13">
        <f t="shared" si="10"/>
        <v>0.13500000000000004</v>
      </c>
      <c r="I22" s="13">
        <f t="shared" si="11"/>
        <v>1</v>
      </c>
      <c r="J22" s="13">
        <f t="shared" si="12"/>
        <v>1</v>
      </c>
      <c r="K22" s="20">
        <f>K21+(K35-K15)/20</f>
        <v>0.13500000000000004</v>
      </c>
      <c r="L22" s="13">
        <f t="shared" si="18"/>
        <v>-0.46598168634338699</v>
      </c>
      <c r="M22" s="84">
        <v>-1.8417794531433704</v>
      </c>
      <c r="N22" s="13">
        <f t="shared" si="16"/>
        <v>25.061904689333801</v>
      </c>
      <c r="O22" s="13">
        <f t="shared" si="5"/>
        <v>21.43640308466075</v>
      </c>
      <c r="P22" s="13">
        <f t="shared" si="6"/>
        <v>2028.4354616706473</v>
      </c>
      <c r="Q22" s="13">
        <f t="shared" si="7"/>
        <v>2020.3069063312528</v>
      </c>
      <c r="R22" s="13">
        <f>1/Australia!R156</f>
        <v>1.112010190117303</v>
      </c>
      <c r="T22">
        <v>2027</v>
      </c>
      <c r="U22" s="13">
        <v>15.912885002157934</v>
      </c>
      <c r="V22" s="13">
        <v>13.915702409395562</v>
      </c>
      <c r="W22" s="13">
        <v>12.873865621547301</v>
      </c>
      <c r="Y22">
        <v>2027</v>
      </c>
      <c r="Z22" s="13">
        <v>5.8926594812794999</v>
      </c>
      <c r="AA22" s="13">
        <f t="shared" si="14"/>
        <v>13.915702409395562</v>
      </c>
      <c r="AB22" s="13">
        <v>26.8647345543956</v>
      </c>
      <c r="AC22" s="13">
        <v>14.845591443351164</v>
      </c>
      <c r="AD22" s="72">
        <f t="shared" si="15"/>
        <v>15.689528339977821</v>
      </c>
      <c r="AH22" s="33">
        <f>AE$55+AE$56*'Australia EV uptake'!AK22+AE$57*'Australia EV uptake'!AL22+AE$58*'Australia EV uptake'!AM22+AE$59*AN22</f>
        <v>-1.1451429602842822</v>
      </c>
      <c r="AK22">
        <v>18</v>
      </c>
      <c r="AL22" s="13">
        <v>0</v>
      </c>
      <c r="AM22" s="13">
        <v>0</v>
      </c>
      <c r="AN22" s="13">
        <v>0</v>
      </c>
      <c r="AO22" s="13"/>
      <c r="AP22">
        <v>2027</v>
      </c>
      <c r="AT22" s="20">
        <f>AT21+(AT25-AT16)/9</f>
        <v>10.5</v>
      </c>
      <c r="AU22" s="13"/>
      <c r="AV22" s="13">
        <v>14</v>
      </c>
      <c r="AW22" s="13"/>
      <c r="AX22" s="20">
        <f>AX21+(AX25-AX12)/13</f>
        <v>-2.2527344283505255</v>
      </c>
      <c r="AZ22" s="41"/>
      <c r="BD22" s="13"/>
      <c r="BE22">
        <v>2027</v>
      </c>
      <c r="BH22" s="13">
        <f>'Country Vehicle Prices'!B99</f>
        <v>1.248839792816955</v>
      </c>
      <c r="BJ22">
        <v>2027</v>
      </c>
      <c r="BK22" s="13">
        <f t="shared" si="1"/>
        <v>15.689528339977821</v>
      </c>
      <c r="BL22" s="13">
        <f>'Korea EV uptake'!AB22</f>
        <v>60.689947897794141</v>
      </c>
      <c r="BN22">
        <v>2027</v>
      </c>
      <c r="BO22" s="13">
        <f>'Global EV uptake'!E78</f>
        <v>25.486321741893295</v>
      </c>
      <c r="BP22" s="13">
        <f t="shared" si="2"/>
        <v>13.915702409395562</v>
      </c>
    </row>
    <row r="23" spans="1:68">
      <c r="A23">
        <v>2028</v>
      </c>
      <c r="B23" s="13"/>
      <c r="C23" s="72">
        <f>65*EXP('Australia EV uptake'!AH23)/(1+EXP('Australia EV uptake'!AH23))</f>
        <v>21.43640308466075</v>
      </c>
      <c r="D23" s="72">
        <f t="shared" si="3"/>
        <v>21.43640308466075</v>
      </c>
      <c r="E23" s="72">
        <f t="shared" si="21"/>
        <v>17.676776875566038</v>
      </c>
      <c r="F23" s="72">
        <f t="shared" si="9"/>
        <v>16.429468775898201</v>
      </c>
      <c r="G23" s="84">
        <f>L23-SUM(H$7:H23)</f>
        <v>-1.0839403946284423</v>
      </c>
      <c r="H23" s="13">
        <f t="shared" si="10"/>
        <v>0.14000000000000004</v>
      </c>
      <c r="I23" s="13">
        <f t="shared" si="11"/>
        <v>1</v>
      </c>
      <c r="J23" s="13">
        <f t="shared" si="12"/>
        <v>1</v>
      </c>
      <c r="K23" s="20">
        <f>K22+(K35-K15)/20</f>
        <v>0.14000000000000004</v>
      </c>
      <c r="L23" s="13">
        <f t="shared" si="18"/>
        <v>-3.9403946284422633E-3</v>
      </c>
      <c r="M23" s="84">
        <v>-1.649006124734345</v>
      </c>
      <c r="N23" s="13">
        <f t="shared" si="16"/>
        <v>32.435968670137449</v>
      </c>
      <c r="O23" s="13">
        <f t="shared" si="5"/>
        <v>35.141157291165442</v>
      </c>
      <c r="P23" s="13">
        <f t="shared" si="6"/>
        <v>2029.6858227247228</v>
      </c>
      <c r="Q23" s="13">
        <f t="shared" si="7"/>
        <v>2020.0565452771773</v>
      </c>
      <c r="R23" s="13">
        <f>1/Australia!R157</f>
        <v>1.0887940105716569</v>
      </c>
      <c r="T23">
        <v>2028</v>
      </c>
      <c r="U23" s="13">
        <v>19.959768472483045</v>
      </c>
      <c r="V23" s="13">
        <v>17.676776875566038</v>
      </c>
      <c r="W23" s="13">
        <v>16.473172923324086</v>
      </c>
      <c r="Y23">
        <v>2028</v>
      </c>
      <c r="Z23" s="13">
        <v>7.4201624765852898</v>
      </c>
      <c r="AA23" s="13">
        <f t="shared" si="14"/>
        <v>17.676776875566038</v>
      </c>
      <c r="AB23" s="13">
        <v>33.016604936132246</v>
      </c>
      <c r="AC23" s="13">
        <v>18.784216461673207</v>
      </c>
      <c r="AD23" s="72">
        <f t="shared" si="15"/>
        <v>21.43640308466075</v>
      </c>
      <c r="AH23" s="33">
        <f>AE$55+AE$56*'Australia EV uptake'!AK23+AE$57*'Australia EV uptake'!AL23+AE$58*'Australia EV uptake'!AM23+AE$59*AN23</f>
        <v>-0.70913131291520592</v>
      </c>
      <c r="AK23">
        <v>19</v>
      </c>
      <c r="AL23" s="13">
        <v>0</v>
      </c>
      <c r="AM23" s="13">
        <v>0</v>
      </c>
      <c r="AN23" s="13">
        <v>0</v>
      </c>
      <c r="AO23" s="13"/>
      <c r="AP23">
        <v>2028</v>
      </c>
      <c r="AT23" s="20">
        <f>AT22+(AT25-AT16)/9</f>
        <v>12</v>
      </c>
      <c r="AU23" s="13"/>
      <c r="AV23" s="13">
        <v>18</v>
      </c>
      <c r="AW23" s="13"/>
      <c r="AX23" s="20">
        <f>AX22+(AX25-AX12)/13</f>
        <v>-1.9031472203423292</v>
      </c>
      <c r="AZ23" s="41"/>
      <c r="BD23" s="13"/>
      <c r="BE23">
        <v>2028</v>
      </c>
      <c r="BH23" s="13">
        <f>'Country Vehicle Prices'!B100</f>
        <v>1.222861813524114</v>
      </c>
      <c r="BJ23">
        <v>2028</v>
      </c>
      <c r="BK23" s="13">
        <f t="shared" si="1"/>
        <v>21.43640308466075</v>
      </c>
      <c r="BL23" s="13">
        <f>'Korea EV uptake'!AB23</f>
        <v>62.771943957993223</v>
      </c>
      <c r="BN23">
        <v>2028</v>
      </c>
      <c r="BO23" s="13">
        <f>'Global EV uptake'!E79</f>
        <v>29.22792182751234</v>
      </c>
      <c r="BP23" s="13">
        <f t="shared" si="2"/>
        <v>17.676776875566038</v>
      </c>
    </row>
    <row r="24" spans="1:68">
      <c r="A24">
        <v>2029</v>
      </c>
      <c r="B24" s="13"/>
      <c r="C24" s="72">
        <f>65*EXP('Australia EV uptake'!AH24)/(1+EXP('Australia EV uptake'!AH24))</f>
        <v>28.089189867793255</v>
      </c>
      <c r="D24" s="72">
        <f t="shared" si="3"/>
        <v>28.089189867793255</v>
      </c>
      <c r="E24" s="72">
        <f t="shared" si="21"/>
        <v>21.927531861590744</v>
      </c>
      <c r="F24" s="72">
        <f t="shared" si="9"/>
        <v>20.663188001372841</v>
      </c>
      <c r="G24" s="84">
        <f>L24-SUM(H$7:H24)</f>
        <v>-0.7634615429148448</v>
      </c>
      <c r="H24" s="13">
        <f t="shared" si="10"/>
        <v>0.14500000000000005</v>
      </c>
      <c r="I24" s="13">
        <f t="shared" si="11"/>
        <v>1</v>
      </c>
      <c r="J24" s="13">
        <f t="shared" si="12"/>
        <v>1</v>
      </c>
      <c r="K24" s="20">
        <f>K23+(K35-K15)/20</f>
        <v>0.14500000000000005</v>
      </c>
      <c r="L24" s="13">
        <f t="shared" si="18"/>
        <v>0.46153845708515523</v>
      </c>
      <c r="M24" s="84">
        <v>-0.81345946791630164</v>
      </c>
      <c r="N24" s="13">
        <f t="shared" si="16"/>
        <v>39.869640031418975</v>
      </c>
      <c r="O24" s="13">
        <f t="shared" si="5"/>
        <v>41.951353198671526</v>
      </c>
      <c r="P24" s="13">
        <f t="shared" si="6"/>
        <v>2030.9130005950749</v>
      </c>
      <c r="Q24" s="13">
        <f t="shared" si="7"/>
        <v>2019.8293674068252</v>
      </c>
      <c r="R24" s="13">
        <f>1/Australia!R158</f>
        <v>1.0677276260799986</v>
      </c>
      <c r="T24">
        <v>2029</v>
      </c>
      <c r="U24" s="13">
        <v>24.55062896158757</v>
      </c>
      <c r="V24" s="13">
        <v>21.927531861590744</v>
      </c>
      <c r="W24" s="13">
        <v>20.410512532319931</v>
      </c>
      <c r="Y24">
        <v>2029</v>
      </c>
      <c r="Z24" s="13">
        <v>9.2181778434848418</v>
      </c>
      <c r="AA24" s="13">
        <f t="shared" si="14"/>
        <v>21.927531861590744</v>
      </c>
      <c r="AB24" s="13">
        <v>39.126054813584986</v>
      </c>
      <c r="AC24" s="13">
        <v>23.162609013040228</v>
      </c>
      <c r="AD24" s="72">
        <f t="shared" si="15"/>
        <v>28.089189867793255</v>
      </c>
      <c r="AH24" s="33">
        <f>AE$55+AE$56*'Australia EV uptake'!AK24+AE$57*'Australia EV uptake'!AL24+AE$58*'Australia EV uptake'!AM24+AE$59*AN24</f>
        <v>-0.27311966554612965</v>
      </c>
      <c r="AK24">
        <v>20</v>
      </c>
      <c r="AL24" s="13">
        <v>0</v>
      </c>
      <c r="AM24" s="13">
        <v>0</v>
      </c>
      <c r="AN24" s="13">
        <v>0</v>
      </c>
      <c r="AO24" s="13"/>
      <c r="AP24">
        <v>2029</v>
      </c>
      <c r="AT24" s="20">
        <f>AT23+(AT25-AT16)/9</f>
        <v>13.5</v>
      </c>
      <c r="AU24" s="13"/>
      <c r="AV24" s="13">
        <v>22</v>
      </c>
      <c r="AW24" s="13"/>
      <c r="AX24" s="20">
        <f>AX23+(AX25-AX12)/13</f>
        <v>-1.5535600123341329</v>
      </c>
      <c r="AZ24" s="41"/>
      <c r="BD24" s="13"/>
      <c r="BE24">
        <v>2029</v>
      </c>
      <c r="BH24" s="13">
        <f>'Country Vehicle Prices'!B101</f>
        <v>1.1997702763749221</v>
      </c>
      <c r="BJ24">
        <v>2029</v>
      </c>
      <c r="BK24" s="13">
        <f t="shared" si="1"/>
        <v>28.089189867793255</v>
      </c>
      <c r="BL24" s="13">
        <f>'Korea EV uptake'!AB24</f>
        <v>63.866995090139973</v>
      </c>
      <c r="BN24">
        <v>2029</v>
      </c>
      <c r="BO24" s="13">
        <f>'Global EV uptake'!E80</f>
        <v>32.93874902571261</v>
      </c>
      <c r="BP24" s="13">
        <f t="shared" si="2"/>
        <v>21.927531861590744</v>
      </c>
    </row>
    <row r="25" spans="1:68">
      <c r="A25" s="87">
        <v>2030</v>
      </c>
      <c r="B25" s="13"/>
      <c r="C25" s="72">
        <f>65*EXP('Australia EV uptake'!AH25)/(1+EXP('Australia EV uptake'!AH25))</f>
        <v>35.141157291165442</v>
      </c>
      <c r="D25" s="72">
        <f t="shared" si="3"/>
        <v>35.141157291165442</v>
      </c>
      <c r="E25" s="89">
        <f t="shared" si="21"/>
        <v>26.53930108875187</v>
      </c>
      <c r="F25" s="72">
        <f t="shared" si="9"/>
        <v>26.384010732288612</v>
      </c>
      <c r="G25" s="84">
        <f>L25-SUM(H$7:H25)</f>
        <v>-0.38090824784501653</v>
      </c>
      <c r="H25" s="13">
        <f t="shared" si="10"/>
        <v>0.15000000000000005</v>
      </c>
      <c r="I25" s="13">
        <f t="shared" si="11"/>
        <v>1</v>
      </c>
      <c r="J25" s="13">
        <f t="shared" si="12"/>
        <v>1</v>
      </c>
      <c r="K25" s="20">
        <f>K24+(K35-K15)/20</f>
        <v>0.15000000000000005</v>
      </c>
      <c r="L25" s="13">
        <f t="shared" si="18"/>
        <v>0.99409175215498369</v>
      </c>
      <c r="M25" s="84">
        <v>-0.62068613950727247</v>
      </c>
      <c r="N25" s="89">
        <f>AVERAGE(O23:O27)</f>
        <v>47.44319853104863</v>
      </c>
      <c r="O25" s="13">
        <f t="shared" si="5"/>
        <v>47.961401436211673</v>
      </c>
      <c r="P25" s="13">
        <f t="shared" si="6"/>
        <v>2032.1633341178192</v>
      </c>
      <c r="Q25" s="13">
        <f t="shared" si="7"/>
        <v>2019.5790338840809</v>
      </c>
      <c r="R25" s="13">
        <f>1/Australia!R159</f>
        <v>1.044513999536562</v>
      </c>
      <c r="T25" s="87">
        <v>2030</v>
      </c>
      <c r="U25" s="13">
        <v>29.284804461556117</v>
      </c>
      <c r="V25" s="13">
        <v>26.53930108875187</v>
      </c>
      <c r="W25" s="13">
        <v>24.628106909941213</v>
      </c>
      <c r="Y25" s="87">
        <v>2030</v>
      </c>
      <c r="Z25" s="13">
        <v>11.304443008063904</v>
      </c>
      <c r="AA25" s="13">
        <f t="shared" si="14"/>
        <v>26.53930108875187</v>
      </c>
      <c r="AB25" s="13">
        <v>45.010068378385974</v>
      </c>
      <c r="AC25" s="13">
        <v>28.00360827951727</v>
      </c>
      <c r="AD25" s="72">
        <f t="shared" si="15"/>
        <v>35.141157291165442</v>
      </c>
      <c r="AH25" s="33">
        <f>AE$55+AE$56*'Australia EV uptake'!AK25+AE$57*'Australia EV uptake'!AL25+AE$58*'Australia EV uptake'!AM25+AE$59*AN25</f>
        <v>0.16289198182294484</v>
      </c>
      <c r="AK25">
        <v>21</v>
      </c>
      <c r="AL25" s="13">
        <v>0</v>
      </c>
      <c r="AM25" s="13">
        <v>0</v>
      </c>
      <c r="AN25" s="13">
        <v>0</v>
      </c>
      <c r="AO25" s="13"/>
      <c r="AP25">
        <v>2030</v>
      </c>
      <c r="AT25" s="87">
        <v>15</v>
      </c>
      <c r="AV25" s="13">
        <v>26</v>
      </c>
      <c r="AW25" s="13"/>
      <c r="AX25">
        <f>LN(AT25/(65-AT25))</f>
        <v>-1.2039728043259361</v>
      </c>
      <c r="AZ25" s="41"/>
      <c r="BD25" s="13"/>
      <c r="BE25">
        <v>2030</v>
      </c>
      <c r="BH25" s="13">
        <f>'Country Vehicle Prices'!B102</f>
        <v>1.1737922970820809</v>
      </c>
      <c r="BJ25" s="87">
        <v>2030</v>
      </c>
      <c r="BK25" s="13">
        <f t="shared" si="1"/>
        <v>35.141157291165442</v>
      </c>
      <c r="BL25" s="13">
        <f>'Korea EV uptake'!AB25</f>
        <v>64.428745335561374</v>
      </c>
      <c r="BN25" s="87">
        <v>2030</v>
      </c>
      <c r="BO25" s="13">
        <f>'Global EV uptake'!E81</f>
        <v>36.492480679189057</v>
      </c>
      <c r="BP25" s="13">
        <f t="shared" si="2"/>
        <v>26.53930108875187</v>
      </c>
    </row>
    <row r="26" spans="1:68">
      <c r="A26">
        <v>2031</v>
      </c>
      <c r="B26" s="13"/>
      <c r="C26" s="72">
        <f>65*EXP('Australia EV uptake'!AH26)/(1+EXP('Australia EV uptake'!AH26))</f>
        <v>41.951353198671526</v>
      </c>
      <c r="D26" s="72">
        <f t="shared" si="3"/>
        <v>41.951353198671526</v>
      </c>
      <c r="E26" s="13">
        <f t="shared" si="21"/>
        <v>31.541346455031022</v>
      </c>
      <c r="F26" s="72">
        <f t="shared" si="9"/>
        <v>31.208701151103519</v>
      </c>
      <c r="G26" s="84">
        <f>L26-SUM(H$7:H26)</f>
        <v>-7.9506399859053722E-2</v>
      </c>
      <c r="H26" s="13">
        <f t="shared" si="10"/>
        <v>0.15500000000000005</v>
      </c>
      <c r="I26" s="13">
        <f t="shared" si="11"/>
        <v>1</v>
      </c>
      <c r="J26" s="13">
        <f t="shared" si="12"/>
        <v>1</v>
      </c>
      <c r="K26" s="20">
        <f>K25+(K35-K15)/20</f>
        <v>0.15500000000000005</v>
      </c>
      <c r="L26" s="13">
        <f t="shared" si="18"/>
        <v>1.4504936001409465</v>
      </c>
      <c r="M26" s="84">
        <v>-0.42791281109825263</v>
      </c>
      <c r="N26" s="13">
        <f>AVERAGE(O24:O28)</f>
        <v>52.654835213628509</v>
      </c>
      <c r="O26" s="13">
        <f t="shared" si="5"/>
        <v>52.857885146385492</v>
      </c>
      <c r="P26" s="13">
        <f t="shared" si="6"/>
        <v>2033.4136676405637</v>
      </c>
      <c r="Q26" s="13">
        <f t="shared" si="7"/>
        <v>2019.3287003613364</v>
      </c>
      <c r="R26" s="20">
        <f>R25+R25-R24</f>
        <v>1.0213003729931254</v>
      </c>
      <c r="T26">
        <v>2031</v>
      </c>
      <c r="U26" s="13">
        <v>34.042994187156786</v>
      </c>
      <c r="V26" s="13">
        <v>31.541346455031022</v>
      </c>
      <c r="W26" s="13">
        <v>28.916792243703892</v>
      </c>
      <c r="Y26">
        <v>2031</v>
      </c>
      <c r="Z26" s="13">
        <v>13.691185835789318</v>
      </c>
      <c r="AA26" s="13">
        <f t="shared" si="14"/>
        <v>31.541346455031022</v>
      </c>
      <c r="AB26" s="13">
        <v>50.161451130740097</v>
      </c>
      <c r="AD26" s="72">
        <f t="shared" si="15"/>
        <v>41.951353198671526</v>
      </c>
      <c r="AH26" s="33">
        <f>AE$55+AE$56*'Australia EV uptake'!AK26+AE$57*'Australia EV uptake'!AL26+AE$58*'Australia EV uptake'!AM26+AE$59*AN26</f>
        <v>0.59890362919202111</v>
      </c>
      <c r="AK26">
        <v>22</v>
      </c>
      <c r="AL26" s="13">
        <v>0</v>
      </c>
      <c r="AM26" s="13">
        <v>0</v>
      </c>
      <c r="AN26" s="13">
        <v>0</v>
      </c>
      <c r="AO26" s="13"/>
      <c r="AP26">
        <v>2031</v>
      </c>
      <c r="AT26">
        <v>17</v>
      </c>
      <c r="AU26" s="13"/>
      <c r="AV26" s="13">
        <v>30</v>
      </c>
      <c r="AW26" s="13"/>
      <c r="AX26" s="20">
        <f>AX25+(AX45-AX25)/20</f>
        <v>-1.0995640432435065</v>
      </c>
      <c r="AZ26" s="41"/>
      <c r="BJ26">
        <v>2031</v>
      </c>
      <c r="BK26" s="13">
        <f t="shared" si="1"/>
        <v>41.951353198671526</v>
      </c>
      <c r="BL26" s="13">
        <f>'Korea EV uptake'!AB26</f>
        <v>64.713227224192906</v>
      </c>
      <c r="BN26">
        <v>2031</v>
      </c>
      <c r="BO26" s="13">
        <f>'Global EV uptake'!E82</f>
        <v>39.786999354761399</v>
      </c>
      <c r="BP26" s="13">
        <f t="shared" si="2"/>
        <v>31.541346455031022</v>
      </c>
    </row>
    <row r="27" spans="1:68">
      <c r="A27">
        <v>2032</v>
      </c>
      <c r="B27" s="13"/>
      <c r="C27" s="72">
        <f>65*EXP('Australia EV uptake'!AH27)/(1+EXP('Australia EV uptake'!AH27))</f>
        <v>47.961401436211673</v>
      </c>
      <c r="D27" s="72">
        <f t="shared" si="3"/>
        <v>47.961401436211673</v>
      </c>
      <c r="E27" s="13">
        <f t="shared" si="21"/>
        <v>36.457651563255034</v>
      </c>
      <c r="F27" s="72">
        <f t="shared" si="9"/>
        <v>36.384666500676914</v>
      </c>
      <c r="G27" s="84">
        <f>L27-SUM(H$7:H27)</f>
        <v>0.24020472541455717</v>
      </c>
      <c r="H27" s="13">
        <f t="shared" si="10"/>
        <v>0.16000000000000006</v>
      </c>
      <c r="I27" s="13">
        <f t="shared" si="11"/>
        <v>1</v>
      </c>
      <c r="J27" s="13">
        <f t="shared" si="12"/>
        <v>1</v>
      </c>
      <c r="K27" s="20">
        <f>K26+(K35-K15)/20</f>
        <v>0.16000000000000006</v>
      </c>
      <c r="L27" s="13">
        <f t="shared" si="18"/>
        <v>1.9302047254145576</v>
      </c>
      <c r="M27" s="84">
        <v>-0.23513948268921947</v>
      </c>
      <c r="N27" s="13">
        <f t="shared" si="16"/>
        <v>56.762685079905324</v>
      </c>
      <c r="O27" s="13">
        <f t="shared" si="5"/>
        <v>59.304195582809022</v>
      </c>
      <c r="P27" s="13">
        <f t="shared" si="6"/>
        <v>2034.6640011633081</v>
      </c>
      <c r="Q27" s="13">
        <f t="shared" si="7"/>
        <v>2019.078366838592</v>
      </c>
      <c r="R27" s="20">
        <f>R26+R26-R25</f>
        <v>0.99808674644968876</v>
      </c>
      <c r="T27">
        <v>2032</v>
      </c>
      <c r="U27" s="13">
        <v>38.565298147869463</v>
      </c>
      <c r="V27" s="13">
        <v>36.457651563255034</v>
      </c>
      <c r="W27" s="13">
        <v>33.22006821338185</v>
      </c>
      <c r="Y27">
        <v>2032</v>
      </c>
      <c r="Z27" s="13">
        <v>16.381012359100843</v>
      </c>
      <c r="AA27" s="13">
        <f t="shared" si="14"/>
        <v>36.457651563255034</v>
      </c>
      <c r="AB27" s="13">
        <v>54.458112328718151</v>
      </c>
      <c r="AD27" s="72">
        <f t="shared" si="15"/>
        <v>47.961401436211673</v>
      </c>
      <c r="AH27" s="33">
        <f>AE$55+AE$56*'Australia EV uptake'!AK27+AE$57*'Australia EV uptake'!AL27+AE$58*'Australia EV uptake'!AM27+AE$59*AN27</f>
        <v>1.0349152765610974</v>
      </c>
      <c r="AK27">
        <v>23</v>
      </c>
      <c r="AL27" s="13">
        <v>0</v>
      </c>
      <c r="AM27" s="13">
        <v>0</v>
      </c>
      <c r="AN27" s="13">
        <v>0</v>
      </c>
      <c r="AO27" s="13"/>
      <c r="AP27">
        <v>2032</v>
      </c>
      <c r="AT27">
        <v>19</v>
      </c>
      <c r="AU27" s="13"/>
      <c r="AV27" s="13">
        <v>35</v>
      </c>
      <c r="AW27" s="13"/>
      <c r="AX27" s="20">
        <f>AX26+(AX45-AX25)/20</f>
        <v>-0.99515528216107696</v>
      </c>
      <c r="AZ27" s="41"/>
      <c r="BJ27">
        <v>2032</v>
      </c>
      <c r="BK27" s="13">
        <f t="shared" si="1"/>
        <v>47.961401436211673</v>
      </c>
      <c r="BL27" s="13">
        <f>'Korea EV uptake'!AB27</f>
        <v>64.856354451606165</v>
      </c>
      <c r="BN27">
        <v>2032</v>
      </c>
      <c r="BO27" s="13">
        <f>'Global EV uptake'!E83</f>
        <v>42.800868583721353</v>
      </c>
      <c r="BP27" s="13">
        <f t="shared" si="2"/>
        <v>36.457651563255034</v>
      </c>
    </row>
    <row r="28" spans="1:68">
      <c r="A28">
        <v>2033</v>
      </c>
      <c r="B28" s="13"/>
      <c r="C28" s="72">
        <f>65*EXP('Australia EV uptake'!AH28)/(1+EXP('Australia EV uptake'!AH28))</f>
        <v>52.857885146385492</v>
      </c>
      <c r="D28" s="72">
        <f t="shared" si="3"/>
        <v>52.857885146385492</v>
      </c>
      <c r="E28" s="13">
        <f t="shared" si="21"/>
        <v>41.140043673785051</v>
      </c>
      <c r="F28" s="72">
        <f t="shared" si="9"/>
        <v>41.908611923835053</v>
      </c>
      <c r="G28" s="84">
        <f>L28-SUM(H$7:H28)</f>
        <v>0.5960316035227069</v>
      </c>
      <c r="H28" s="13">
        <f t="shared" si="10"/>
        <v>0.16500000000000006</v>
      </c>
      <c r="I28" s="13">
        <f t="shared" si="11"/>
        <v>1</v>
      </c>
      <c r="J28" s="13">
        <f t="shared" si="12"/>
        <v>1</v>
      </c>
      <c r="K28" s="20">
        <f>K27+(K35-K15)/20</f>
        <v>0.16500000000000006</v>
      </c>
      <c r="L28" s="13">
        <f t="shared" si="18"/>
        <v>2.4510316035227073</v>
      </c>
      <c r="M28" s="84">
        <v>-4.2366154280215618E-2</v>
      </c>
      <c r="N28" s="13">
        <f t="shared" si="16"/>
        <v>59.841395722200922</v>
      </c>
      <c r="O28" s="13">
        <f t="shared" si="5"/>
        <v>61.199340704064824</v>
      </c>
      <c r="P28" s="13">
        <f t="shared" si="6"/>
        <v>2035.6640011633081</v>
      </c>
      <c r="Q28" s="13">
        <f t="shared" si="7"/>
        <v>2019.078366838592</v>
      </c>
      <c r="R28" s="72">
        <f t="shared" ref="R28:R50" si="22">R27</f>
        <v>0.99808674644968876</v>
      </c>
      <c r="T28">
        <v>2033</v>
      </c>
      <c r="U28" s="13">
        <v>42.823508758923694</v>
      </c>
      <c r="V28" s="13">
        <v>41.140043673785051</v>
      </c>
      <c r="W28" s="13">
        <v>37.411808701877703</v>
      </c>
      <c r="Y28">
        <v>2033</v>
      </c>
      <c r="Z28" s="13">
        <v>19.362177547915511</v>
      </c>
      <c r="AA28" s="13">
        <f t="shared" si="14"/>
        <v>41.140043673785051</v>
      </c>
      <c r="AB28" s="13">
        <v>57.916671457204544</v>
      </c>
      <c r="AD28" s="72">
        <f t="shared" si="15"/>
        <v>52.857885146385492</v>
      </c>
      <c r="AH28" s="33">
        <f>AE$55+AE$56*'Australia EV uptake'!AK28+AE$57*'Australia EV uptake'!AL28+AE$58*'Australia EV uptake'!AM28+AE$59*AN28</f>
        <v>1.4709269239301737</v>
      </c>
      <c r="AK28">
        <v>24</v>
      </c>
      <c r="AL28" s="13">
        <v>0</v>
      </c>
      <c r="AM28" s="13">
        <v>0</v>
      </c>
      <c r="AN28" s="13">
        <v>0</v>
      </c>
      <c r="AO28" s="13"/>
      <c r="AP28">
        <v>2033</v>
      </c>
      <c r="AT28" s="20">
        <f>AT27+(AT30-AT27)/3</f>
        <v>22.666666666666668</v>
      </c>
      <c r="AU28" s="13"/>
      <c r="AV28" s="13">
        <v>39</v>
      </c>
      <c r="AW28" s="13"/>
      <c r="AX28" s="20">
        <f>AX27+(AX45-AX25)/20</f>
        <v>-0.89074652107864738</v>
      </c>
      <c r="AZ28" s="41"/>
      <c r="BJ28">
        <v>2033</v>
      </c>
      <c r="BK28" s="13">
        <f t="shared" si="1"/>
        <v>52.857885146385492</v>
      </c>
      <c r="BL28" s="13">
        <f>'Korea EV uptake'!AB28</f>
        <v>64.928126749273915</v>
      </c>
      <c r="BN28">
        <v>2033</v>
      </c>
      <c r="BO28" s="13">
        <f>'Global EV uptake'!E84</f>
        <v>45.517679485026655</v>
      </c>
      <c r="BP28" s="13">
        <f t="shared" si="2"/>
        <v>41.140043673785051</v>
      </c>
    </row>
    <row r="29" spans="1:68">
      <c r="A29">
        <v>2034</v>
      </c>
      <c r="B29" s="13"/>
      <c r="C29" s="72">
        <f>65*EXP('Australia EV uptake'!AH29)/(1+EXP('Australia EV uptake'!AH29))</f>
        <v>56.593863394225558</v>
      </c>
      <c r="D29" s="72">
        <f t="shared" si="3"/>
        <v>56.593863394225558</v>
      </c>
      <c r="E29" s="13">
        <f t="shared" si="21"/>
        <v>45.31624094050359</v>
      </c>
      <c r="F29" s="72">
        <f t="shared" si="9"/>
        <v>47.810778100041965</v>
      </c>
      <c r="G29" s="84">
        <f>L29-SUM(H$7:H29)</f>
        <v>1.0229685436652889</v>
      </c>
      <c r="H29" s="13">
        <f t="shared" si="10"/>
        <v>0.17000000000000007</v>
      </c>
      <c r="I29" s="13">
        <f t="shared" si="11"/>
        <v>1</v>
      </c>
      <c r="J29" s="13">
        <f t="shared" si="12"/>
        <v>1</v>
      </c>
      <c r="K29" s="20">
        <f>K28+(K35-K15)/20</f>
        <v>0.17000000000000007</v>
      </c>
      <c r="L29" s="13">
        <f t="shared" si="18"/>
        <v>3.0479685436652892</v>
      </c>
      <c r="M29" s="84">
        <v>0.1504071741287607</v>
      </c>
      <c r="N29" s="13">
        <f t="shared" si="16"/>
        <v>62.055158209080808</v>
      </c>
      <c r="O29" s="13">
        <f t="shared" si="5"/>
        <v>62.490602530055654</v>
      </c>
      <c r="P29" s="13">
        <f t="shared" si="6"/>
        <v>2036.6640011633081</v>
      </c>
      <c r="Q29" s="13">
        <f t="shared" si="7"/>
        <v>2019.078366838592</v>
      </c>
      <c r="R29" s="72">
        <f t="shared" si="22"/>
        <v>0.99808674644968876</v>
      </c>
      <c r="T29">
        <v>2034</v>
      </c>
      <c r="U29" s="13">
        <v>46.68425023049484</v>
      </c>
      <c r="V29" s="13">
        <v>45.31624094050359</v>
      </c>
      <c r="W29" s="13">
        <v>41.335770373571123</v>
      </c>
      <c r="Y29">
        <v>2034</v>
      </c>
      <c r="Z29" s="13">
        <v>22.604586124903665</v>
      </c>
      <c r="AA29" s="13">
        <f t="shared" si="14"/>
        <v>45.31624094050359</v>
      </c>
      <c r="AB29" s="13">
        <v>60.452553762122079</v>
      </c>
      <c r="AD29" s="72">
        <f t="shared" si="15"/>
        <v>56.593863394225558</v>
      </c>
      <c r="AH29" s="33">
        <f>AE$55+AE$56*'Australia EV uptake'!AK29+AE$57*'Australia EV uptake'!AL29+AE$58*'Australia EV uptake'!AM29+AE$59*AN29</f>
        <v>1.9069385712992499</v>
      </c>
      <c r="AK29">
        <v>25</v>
      </c>
      <c r="AL29" s="13">
        <v>0</v>
      </c>
      <c r="AM29" s="13">
        <v>0</v>
      </c>
      <c r="AN29" s="13">
        <v>0</v>
      </c>
      <c r="AO29" s="13"/>
      <c r="AP29">
        <v>2034</v>
      </c>
      <c r="AT29" s="20">
        <f>AT28+(AT30-AT27)/3</f>
        <v>26.333333333333336</v>
      </c>
      <c r="AU29" s="13"/>
      <c r="AV29" s="13">
        <v>40.5</v>
      </c>
      <c r="AW29" s="13"/>
      <c r="AX29" s="20">
        <f>AX28+(AX45-AX25)/20</f>
        <v>-0.7863377599962178</v>
      </c>
      <c r="AZ29" s="41"/>
      <c r="BJ29">
        <v>2034</v>
      </c>
      <c r="BK29" s="13">
        <f t="shared" si="1"/>
        <v>56.593863394225558</v>
      </c>
      <c r="BL29" s="13">
        <f>'Korea EV uptake'!AB29</f>
        <v>64.964057991996526</v>
      </c>
      <c r="BN29">
        <v>2034</v>
      </c>
      <c r="BO29" s="13">
        <f>'Global EV uptake'!E85</f>
        <v>47.924957877364768</v>
      </c>
      <c r="BP29" s="13">
        <f t="shared" si="2"/>
        <v>45.31624094050359</v>
      </c>
    </row>
    <row r="30" spans="1:68">
      <c r="A30">
        <v>2035</v>
      </c>
      <c r="B30" s="13"/>
      <c r="C30" s="72">
        <f>65*EXP('Australia EV uptake'!AH30)/(1+EXP('Australia EV uptake'!AH30))</f>
        <v>59.304195582809022</v>
      </c>
      <c r="D30" s="72">
        <f t="shared" si="3"/>
        <v>59.304195582809022</v>
      </c>
      <c r="E30" s="13">
        <f t="shared" si="21"/>
        <v>49.059959713650805</v>
      </c>
      <c r="F30" s="72">
        <f t="shared" si="9"/>
        <v>50.843604533466305</v>
      </c>
      <c r="G30" s="84">
        <f>L30-SUM(H$7:H30)</f>
        <v>1.2785878449526296</v>
      </c>
      <c r="H30" s="13">
        <f t="shared" si="10"/>
        <v>0.17500000000000007</v>
      </c>
      <c r="I30" s="13">
        <f t="shared" si="11"/>
        <v>1</v>
      </c>
      <c r="J30" s="13">
        <f t="shared" si="12"/>
        <v>1</v>
      </c>
      <c r="K30" s="20">
        <f>K29+(K35-K15)/20</f>
        <v>0.17500000000000007</v>
      </c>
      <c r="L30" s="13">
        <f t="shared" si="18"/>
        <v>3.4785878449526302</v>
      </c>
      <c r="M30" s="84">
        <v>0.34318050253769439</v>
      </c>
      <c r="N30" s="13">
        <f t="shared" si="16"/>
        <v>63.054702732735656</v>
      </c>
      <c r="O30" s="13">
        <f t="shared" si="5"/>
        <v>63.35495464768961</v>
      </c>
      <c r="P30" s="13">
        <f t="shared" si="6"/>
        <v>2037.6640011633081</v>
      </c>
      <c r="Q30" s="13">
        <f t="shared" si="7"/>
        <v>2019.078366838592</v>
      </c>
      <c r="R30" s="72">
        <f t="shared" si="22"/>
        <v>0.99808674644968876</v>
      </c>
      <c r="T30">
        <v>2035</v>
      </c>
      <c r="U30" s="13">
        <v>50.003659790534172</v>
      </c>
      <c r="V30" s="13">
        <v>49.059959713650805</v>
      </c>
      <c r="W30" s="13">
        <v>44.796956910141311</v>
      </c>
      <c r="Y30">
        <v>2035</v>
      </c>
      <c r="Z30" s="13">
        <v>26.05778556887007</v>
      </c>
      <c r="AA30" s="13">
        <f t="shared" si="14"/>
        <v>49.059959713650805</v>
      </c>
      <c r="AB30" s="13">
        <v>62.04472550378631</v>
      </c>
      <c r="AD30" s="72">
        <f t="shared" si="15"/>
        <v>59.304195582809022</v>
      </c>
      <c r="AH30" s="33">
        <f>AE$55+AE$56*'Australia EV uptake'!AK30+AE$57*'Australia EV uptake'!AL30+AE$58*'Australia EV uptake'!AM30+AE$59*AN30</f>
        <v>2.3429502186683262</v>
      </c>
      <c r="AK30">
        <v>26</v>
      </c>
      <c r="AL30" s="13">
        <v>0</v>
      </c>
      <c r="AM30" s="13">
        <v>0</v>
      </c>
      <c r="AN30" s="13">
        <v>0</v>
      </c>
      <c r="AO30" s="13"/>
      <c r="AP30">
        <v>2035</v>
      </c>
      <c r="AT30" s="87">
        <v>30</v>
      </c>
      <c r="AU30" s="13"/>
      <c r="AV30" s="13">
        <v>42</v>
      </c>
      <c r="AW30" s="13"/>
      <c r="AX30" s="20">
        <f>AX29+(AX45-AX25)/20</f>
        <v>-0.68192899891378822</v>
      </c>
      <c r="AZ30" s="41"/>
      <c r="BJ30">
        <v>2035</v>
      </c>
      <c r="BK30" s="13">
        <f t="shared" si="1"/>
        <v>59.304195582809022</v>
      </c>
      <c r="BL30" s="13">
        <f>'Korea EV uptake'!AB30</f>
        <v>64.982031275478718</v>
      </c>
      <c r="BN30">
        <v>2035</v>
      </c>
      <c r="BO30" s="13">
        <f>'Global EV uptake'!E86</f>
        <v>50.037190986931051</v>
      </c>
      <c r="BP30" s="13">
        <f t="shared" si="2"/>
        <v>49.059959713650805</v>
      </c>
    </row>
    <row r="31" spans="1:68">
      <c r="A31">
        <v>2036</v>
      </c>
      <c r="B31" s="13"/>
      <c r="C31" s="13">
        <f>65*EXP('Australia EV uptake'!AH31)/(1+EXP('Australia EV uptake'!AH31))</f>
        <v>61.199340704064824</v>
      </c>
      <c r="D31" s="72">
        <f t="shared" si="3"/>
        <v>61.199340704064824</v>
      </c>
      <c r="E31" s="13">
        <f t="shared" si="21"/>
        <v>52.27369741094325</v>
      </c>
      <c r="F31" s="72">
        <f t="shared" si="9"/>
        <v>53.439932775083008</v>
      </c>
      <c r="G31" s="84">
        <f>L31-SUM(H$7:H31)</f>
        <v>1.5310015927447469</v>
      </c>
      <c r="H31" s="13">
        <f t="shared" si="10"/>
        <v>0.18000000000000008</v>
      </c>
      <c r="I31" s="13">
        <f t="shared" si="11"/>
        <v>1</v>
      </c>
      <c r="J31" s="13">
        <f t="shared" si="12"/>
        <v>1</v>
      </c>
      <c r="K31" s="20">
        <f>K30+(K35-K15)/20</f>
        <v>0.18000000000000008</v>
      </c>
      <c r="L31" s="13">
        <f t="shared" si="18"/>
        <v>3.9110015927447477</v>
      </c>
      <c r="M31" s="84">
        <v>0.53595383094716809</v>
      </c>
      <c r="N31" s="13">
        <f t="shared" si="16"/>
        <v>63.724213294661936</v>
      </c>
      <c r="O31" s="13">
        <f t="shared" si="5"/>
        <v>63.926697580784932</v>
      </c>
      <c r="P31" s="13">
        <f t="shared" si="6"/>
        <v>2038.6640011633081</v>
      </c>
      <c r="Q31" s="13">
        <f t="shared" si="7"/>
        <v>2019.078366838592</v>
      </c>
      <c r="R31" s="72">
        <f t="shared" si="22"/>
        <v>0.99808674644968876</v>
      </c>
      <c r="T31">
        <v>2036</v>
      </c>
      <c r="U31" s="13">
        <v>52.623503975885988</v>
      </c>
      <c r="V31" s="13">
        <v>52.27369741094325</v>
      </c>
      <c r="W31" s="13">
        <v>47.957033482719979</v>
      </c>
      <c r="Y31">
        <v>2036</v>
      </c>
      <c r="Z31" s="13">
        <v>29.651912876202385</v>
      </c>
      <c r="AA31" s="13">
        <f t="shared" si="14"/>
        <v>52.27369741094325</v>
      </c>
      <c r="AB31" s="13">
        <v>63.08341245505234</v>
      </c>
      <c r="AD31" s="72">
        <f t="shared" si="15"/>
        <v>61.199340704064824</v>
      </c>
      <c r="AH31" s="33">
        <f>AE$55+AE$56*'Australia EV uptake'!AK31+AE$57*'Australia EV uptake'!AL31+AE$58*'Australia EV uptake'!AM31+AE$59*AN31</f>
        <v>2.7789618660374025</v>
      </c>
      <c r="AK31">
        <v>27</v>
      </c>
      <c r="AL31" s="13">
        <v>0</v>
      </c>
      <c r="AM31" s="13">
        <v>0</v>
      </c>
      <c r="AN31" s="13">
        <v>0</v>
      </c>
      <c r="AO31" s="13"/>
      <c r="AP31">
        <v>2036</v>
      </c>
      <c r="AT31" s="13">
        <v>34</v>
      </c>
      <c r="AU31" s="13"/>
      <c r="AV31" s="13">
        <v>42</v>
      </c>
      <c r="AW31" s="13"/>
      <c r="AX31" s="20">
        <f>AX30+(AX45-AX25)/20</f>
        <v>-0.57752023783135864</v>
      </c>
      <c r="AZ31" s="41"/>
      <c r="BJ31">
        <v>2036</v>
      </c>
      <c r="BK31" s="13">
        <f t="shared" si="1"/>
        <v>61.199340704064824</v>
      </c>
      <c r="BL31" s="13">
        <f>'Korea EV uptake'!AB31</f>
        <v>64.991018019992524</v>
      </c>
      <c r="BN31">
        <v>2036</v>
      </c>
      <c r="BO31" s="13">
        <f>'Global EV uptake'!E87</f>
        <v>51.886109611546019</v>
      </c>
      <c r="BP31" s="13">
        <f t="shared" si="2"/>
        <v>52.27369741094325</v>
      </c>
    </row>
    <row r="32" spans="1:68">
      <c r="A32">
        <v>2037</v>
      </c>
      <c r="B32" s="13"/>
      <c r="C32" s="13">
        <f>65*EXP('Australia EV uptake'!AH32)/(1+EXP('Australia EV uptake'!AH32))</f>
        <v>62.490602530055654</v>
      </c>
      <c r="D32" s="72">
        <f t="shared" si="3"/>
        <v>62.490602530055654</v>
      </c>
      <c r="E32" s="13">
        <f t="shared" si="21"/>
        <v>54.867705368968885</v>
      </c>
      <c r="F32" s="72">
        <f t="shared" si="9"/>
        <v>55.617391599318381</v>
      </c>
      <c r="G32" s="84">
        <f>L32-SUM(H$7:H32)</f>
        <v>1.7796381454372878</v>
      </c>
      <c r="H32" s="13">
        <f t="shared" si="10"/>
        <v>0.18500000000000008</v>
      </c>
      <c r="I32" s="13">
        <f t="shared" si="11"/>
        <v>1</v>
      </c>
      <c r="J32" s="13">
        <f t="shared" si="12"/>
        <v>1</v>
      </c>
      <c r="K32" s="20">
        <f>K31+(K35-K15)/20</f>
        <v>0.18500000000000008</v>
      </c>
      <c r="L32" s="13">
        <f t="shared" si="18"/>
        <v>4.3446381454372887</v>
      </c>
      <c r="M32" s="84">
        <v>0.7287271593565805</v>
      </c>
      <c r="N32" s="13">
        <f t="shared" si="16"/>
        <v>64.167351428529088</v>
      </c>
      <c r="O32" s="13">
        <f t="shared" si="5"/>
        <v>64.301918201083282</v>
      </c>
      <c r="P32" s="13">
        <f t="shared" si="6"/>
        <v>2039.6640011633081</v>
      </c>
      <c r="Q32" s="13">
        <f t="shared" si="7"/>
        <v>2019.078366838592</v>
      </c>
      <c r="R32" s="72">
        <f t="shared" si="22"/>
        <v>0.99808674644968876</v>
      </c>
      <c r="T32">
        <v>2037</v>
      </c>
      <c r="U32" s="13">
        <v>54.867705368968885</v>
      </c>
      <c r="V32" s="13">
        <v>54.867705368968885</v>
      </c>
      <c r="W32" s="13">
        <v>50.771363444938473</v>
      </c>
      <c r="Y32">
        <v>2037</v>
      </c>
      <c r="Z32" s="13">
        <v>33.302101806339081</v>
      </c>
      <c r="AA32" s="13">
        <f t="shared" si="14"/>
        <v>54.867705368968885</v>
      </c>
      <c r="AB32" s="13">
        <v>63.690994894618591</v>
      </c>
      <c r="AD32" s="72">
        <f t="shared" si="15"/>
        <v>62.490602530055654</v>
      </c>
      <c r="AH32" s="33">
        <f>AE$55+AE$56*'Australia EV uptake'!AK32+AE$57*'Australia EV uptake'!AL32+AE$58*'Australia EV uptake'!AM32+AE$59*AN32</f>
        <v>3.214973513406477</v>
      </c>
      <c r="AK32">
        <v>28</v>
      </c>
      <c r="AL32" s="13">
        <v>0</v>
      </c>
      <c r="AM32" s="13">
        <v>0</v>
      </c>
      <c r="AN32" s="13">
        <v>0</v>
      </c>
      <c r="AO32" s="13"/>
      <c r="AP32">
        <v>2037</v>
      </c>
      <c r="AT32" s="13">
        <v>38</v>
      </c>
      <c r="AU32" s="13"/>
      <c r="AV32" s="13">
        <v>42</v>
      </c>
      <c r="AW32" s="13"/>
      <c r="AX32" s="20">
        <f>AX31+(AX45-AX25)/20</f>
        <v>-0.47311147674892912</v>
      </c>
      <c r="AZ32" s="41"/>
      <c r="BJ32">
        <v>2037</v>
      </c>
      <c r="BK32" s="13">
        <f t="shared" si="1"/>
        <v>62.490602530055654</v>
      </c>
      <c r="BL32" s="13">
        <f>'Korea EV uptake'!AB32</f>
        <v>64.995510511328135</v>
      </c>
      <c r="BN32">
        <v>2037</v>
      </c>
      <c r="BO32" s="13">
        <f>'Global EV uptake'!E88</f>
        <v>53.492660432192032</v>
      </c>
      <c r="BP32" s="13">
        <f t="shared" si="2"/>
        <v>54.867705368968885</v>
      </c>
    </row>
    <row r="33" spans="1:68">
      <c r="A33">
        <v>2038</v>
      </c>
      <c r="B33" s="13"/>
      <c r="C33" s="13">
        <f>65*EXP('Australia EV uptake'!AH33)/(1+EXP('Australia EV uptake'!AH33))</f>
        <v>63.35495464768961</v>
      </c>
      <c r="D33" s="72">
        <f t="shared" si="3"/>
        <v>63.35495464768961</v>
      </c>
      <c r="E33" s="13">
        <f t="shared" si="21"/>
        <v>56.757455016019755</v>
      </c>
      <c r="F33" s="72">
        <f t="shared" si="9"/>
        <v>57.414732563134017</v>
      </c>
      <c r="G33" s="84">
        <f>L33-SUM(H$7:H33)</f>
        <v>2.0240930644260127</v>
      </c>
      <c r="H33" s="13">
        <f t="shared" si="10"/>
        <v>0.19000000000000009</v>
      </c>
      <c r="I33" s="13">
        <f t="shared" si="11"/>
        <v>1</v>
      </c>
      <c r="J33" s="13">
        <f t="shared" si="12"/>
        <v>1</v>
      </c>
      <c r="K33" s="20">
        <f>K32+(K35-K15)/20</f>
        <v>0.19000000000000009</v>
      </c>
      <c r="L33" s="13">
        <f t="shared" si="18"/>
        <v>4.7790930644260134</v>
      </c>
      <c r="M33" s="84">
        <v>0.9215004877657833</v>
      </c>
      <c r="N33" s="13">
        <f t="shared" si="16"/>
        <v>64.45831698823585</v>
      </c>
      <c r="O33" s="13">
        <f t="shared" si="5"/>
        <v>64.546893513696162</v>
      </c>
      <c r="P33" s="13">
        <f t="shared" si="6"/>
        <v>2040.6640011633081</v>
      </c>
      <c r="Q33" s="13">
        <f t="shared" si="7"/>
        <v>2019.078366838592</v>
      </c>
      <c r="R33" s="72">
        <f t="shared" si="22"/>
        <v>0.99808674644968876</v>
      </c>
      <c r="T33">
        <v>2038</v>
      </c>
      <c r="U33" s="13">
        <v>56.757455016019755</v>
      </c>
      <c r="V33" s="13">
        <v>56.757455016019755</v>
      </c>
      <c r="W33" s="13">
        <v>53.225941371130148</v>
      </c>
      <c r="Y33">
        <v>2038</v>
      </c>
      <c r="Z33" s="13">
        <v>36.92526645476471</v>
      </c>
      <c r="AA33" s="13">
        <f t="shared" si="14"/>
        <v>56.757455016019755</v>
      </c>
      <c r="AB33" s="13">
        <v>64.109661723799022</v>
      </c>
      <c r="AD33" s="72">
        <f t="shared" si="15"/>
        <v>63.35495464768961</v>
      </c>
      <c r="AH33" s="33">
        <f>AE$55+AE$56*'Australia EV uptake'!AK33+AE$57*'Australia EV uptake'!AL33+AE$58*'Australia EV uptake'!AM33+AE$59*AN33</f>
        <v>3.6509851607755532</v>
      </c>
      <c r="AK33">
        <v>29</v>
      </c>
      <c r="AL33" s="13">
        <v>0</v>
      </c>
      <c r="AM33" s="13">
        <v>0</v>
      </c>
      <c r="AN33" s="13">
        <v>0</v>
      </c>
      <c r="AO33" s="13"/>
      <c r="AP33">
        <v>2038</v>
      </c>
      <c r="AT33" s="13">
        <v>41</v>
      </c>
      <c r="AU33" s="13"/>
      <c r="AV33" s="13">
        <v>42</v>
      </c>
      <c r="AW33" s="13"/>
      <c r="AX33" s="20">
        <f>AX32+(AX45-AX25)/20</f>
        <v>-0.36870271566649959</v>
      </c>
      <c r="AZ33" s="41"/>
      <c r="BJ33">
        <v>2038</v>
      </c>
      <c r="BK33" s="13">
        <f t="shared" si="1"/>
        <v>63.35495464768961</v>
      </c>
      <c r="BL33" s="13">
        <f>'Korea EV uptake'!AB33</f>
        <v>64.997756083660121</v>
      </c>
      <c r="BN33">
        <v>2038</v>
      </c>
      <c r="BO33" s="13">
        <f>'Global EV uptake'!E89</f>
        <v>54.889432580637518</v>
      </c>
      <c r="BP33" s="13">
        <f t="shared" si="2"/>
        <v>56.757455016019755</v>
      </c>
    </row>
    <row r="34" spans="1:68">
      <c r="A34">
        <v>2039</v>
      </c>
      <c r="B34" s="13"/>
      <c r="C34" s="13">
        <f>65*EXP('Australia EV uptake'!AH34)/(1+EXP('Australia EV uptake'!AH34))</f>
        <v>63.926697580784932</v>
      </c>
      <c r="D34" s="72">
        <f t="shared" si="3"/>
        <v>63.926697580784932</v>
      </c>
      <c r="E34" s="13">
        <f t="shared" si="21"/>
        <v>58.326983196037432</v>
      </c>
      <c r="F34" s="72">
        <f t="shared" si="9"/>
        <v>58.880830381723996</v>
      </c>
      <c r="G34" s="84">
        <f>L34-SUM(H$7:H34)</f>
        <v>2.2640891732414605</v>
      </c>
      <c r="H34" s="13">
        <f t="shared" si="10"/>
        <v>0.19500000000000009</v>
      </c>
      <c r="I34" s="13">
        <f t="shared" si="11"/>
        <v>1</v>
      </c>
      <c r="J34" s="13">
        <f t="shared" si="12"/>
        <v>1</v>
      </c>
      <c r="K34" s="20">
        <f>K33+(K35-K15)/20</f>
        <v>0.19500000000000009</v>
      </c>
      <c r="L34" s="13">
        <f t="shared" si="18"/>
        <v>5.2140891732414616</v>
      </c>
      <c r="M34" s="84">
        <v>1.1142738161755563</v>
      </c>
      <c r="N34" s="13">
        <f t="shared" si="16"/>
        <v>64.64835268400968</v>
      </c>
      <c r="O34" s="13">
        <f t="shared" si="5"/>
        <v>64.706293199391482</v>
      </c>
      <c r="P34" s="13">
        <f t="shared" si="6"/>
        <v>2041.6640011633081</v>
      </c>
      <c r="Q34" s="13">
        <f t="shared" si="7"/>
        <v>2019.078366838592</v>
      </c>
      <c r="R34" s="72">
        <f t="shared" si="22"/>
        <v>0.99808674644968876</v>
      </c>
      <c r="T34">
        <v>2039</v>
      </c>
      <c r="U34" s="13">
        <v>58.326983196037432</v>
      </c>
      <c r="V34" s="13">
        <v>58.326983196037432</v>
      </c>
      <c r="W34" s="13">
        <v>55.328413558269268</v>
      </c>
      <c r="Y34">
        <v>2039</v>
      </c>
      <c r="Z34" s="13">
        <v>40.437519307493332</v>
      </c>
      <c r="AA34" s="13">
        <f t="shared" si="14"/>
        <v>58.326983196037432</v>
      </c>
      <c r="AB34" s="13">
        <v>64.395987391877114</v>
      </c>
      <c r="AD34" s="72">
        <f t="shared" si="15"/>
        <v>63.926697580784932</v>
      </c>
      <c r="AH34" s="33">
        <f>AE$55+AE$56*'Australia EV uptake'!AK34+AE$57*'Australia EV uptake'!AL34+AE$58*'Australia EV uptake'!AM34+AE$59*AN34</f>
        <v>4.0869968081446295</v>
      </c>
      <c r="AK34">
        <v>30</v>
      </c>
      <c r="AL34" s="13">
        <v>0</v>
      </c>
      <c r="AM34" s="13">
        <v>0</v>
      </c>
      <c r="AN34" s="13">
        <v>0</v>
      </c>
      <c r="AO34" s="13"/>
      <c r="AP34">
        <v>2039</v>
      </c>
      <c r="AT34" s="13">
        <v>43.5</v>
      </c>
      <c r="AU34" s="13"/>
      <c r="AV34" s="13">
        <v>42</v>
      </c>
      <c r="AW34" s="13"/>
      <c r="AX34" s="20">
        <f>AX33+(AX45-AX25)/20</f>
        <v>-0.26429395458407007</v>
      </c>
      <c r="AZ34" s="41"/>
      <c r="BJ34">
        <v>2039</v>
      </c>
      <c r="BK34" s="13">
        <f t="shared" si="1"/>
        <v>63.926697580784932</v>
      </c>
      <c r="BL34" s="13">
        <f>'Korea EV uptake'!AB34</f>
        <v>64.998878475056671</v>
      </c>
      <c r="BN34">
        <v>2039</v>
      </c>
      <c r="BO34" s="13">
        <f>'Global EV uptake'!E90</f>
        <v>56.10641539859661</v>
      </c>
      <c r="BP34" s="13">
        <f t="shared" si="2"/>
        <v>58.326983196037432</v>
      </c>
    </row>
    <row r="35" spans="1:68">
      <c r="A35" s="87">
        <v>2040</v>
      </c>
      <c r="B35" s="13"/>
      <c r="C35" s="13">
        <f>65*EXP('Australia EV uptake'!AH35)/(1+EXP('Australia EV uptake'!AH35))</f>
        <v>64.301918201083282</v>
      </c>
      <c r="D35" s="72">
        <f t="shared" si="3"/>
        <v>64.301918201083282</v>
      </c>
      <c r="E35" s="89">
        <f t="shared" si="21"/>
        <v>59.617035091051719</v>
      </c>
      <c r="F35" s="72">
        <f t="shared" si="9"/>
        <v>60.066667630014479</v>
      </c>
      <c r="G35" s="84">
        <f>L35-SUM(H$7:H35)</f>
        <v>2.4994403757153689</v>
      </c>
      <c r="H35" s="13">
        <f t="shared" si="10"/>
        <v>0.2</v>
      </c>
      <c r="I35" s="13">
        <f t="shared" si="11"/>
        <v>1</v>
      </c>
      <c r="J35" s="13">
        <f t="shared" si="12"/>
        <v>1</v>
      </c>
      <c r="K35" s="89">
        <v>0.2</v>
      </c>
      <c r="L35" s="13">
        <f t="shared" si="18"/>
        <v>5.6494403757153702</v>
      </c>
      <c r="M35" s="84">
        <v>1.3070471445873313</v>
      </c>
      <c r="N35" s="13">
        <f t="shared" si="16"/>
        <v>64.772035739096282</v>
      </c>
      <c r="O35" s="13">
        <f t="shared" si="5"/>
        <v>64.809782446223437</v>
      </c>
      <c r="P35" s="13">
        <f t="shared" si="6"/>
        <v>2042.6640011633081</v>
      </c>
      <c r="Q35" s="13">
        <f t="shared" si="7"/>
        <v>2019.078366838592</v>
      </c>
      <c r="R35" s="72">
        <f t="shared" si="22"/>
        <v>0.99808674644968876</v>
      </c>
      <c r="T35" s="87">
        <v>2040</v>
      </c>
      <c r="U35" s="13">
        <v>59.617035091051719</v>
      </c>
      <c r="V35" s="13">
        <v>59.617035091051719</v>
      </c>
      <c r="W35" s="13">
        <v>57.102723867965381</v>
      </c>
      <c r="Y35" s="87">
        <v>2040</v>
      </c>
      <c r="Z35" s="13">
        <v>43.763501156080928</v>
      </c>
      <c r="AA35" s="13">
        <f t="shared" si="14"/>
        <v>59.617035091051719</v>
      </c>
      <c r="AB35" s="13">
        <v>64.590858526308267</v>
      </c>
      <c r="AD35" s="72">
        <f t="shared" si="15"/>
        <v>64.301918201083282</v>
      </c>
      <c r="AH35" s="33">
        <f>AE$55+AE$56*'Australia EV uptake'!AK35+AE$57*'Australia EV uptake'!AL35+AE$58*'Australia EV uptake'!AM35+AE$59*AN35</f>
        <v>4.5230084555137058</v>
      </c>
      <c r="AK35">
        <v>31</v>
      </c>
      <c r="AL35" s="13">
        <v>0</v>
      </c>
      <c r="AM35" s="13">
        <v>0</v>
      </c>
      <c r="AN35" s="13">
        <v>0</v>
      </c>
      <c r="AO35" s="13"/>
      <c r="AP35">
        <v>2040</v>
      </c>
      <c r="AT35" s="89">
        <v>45</v>
      </c>
      <c r="AV35" s="13">
        <v>42</v>
      </c>
      <c r="AW35" s="13"/>
      <c r="AX35" s="20">
        <f>AX34+(AX45-AX25)/20</f>
        <v>-0.15988519350164054</v>
      </c>
      <c r="AZ35" s="41"/>
      <c r="BJ35" s="87">
        <v>2040</v>
      </c>
      <c r="BK35" s="13">
        <f t="shared" si="1"/>
        <v>64.301918201083282</v>
      </c>
      <c r="BL35" s="13">
        <f>'Korea EV uptake'!AB35</f>
        <v>64.99943945889963</v>
      </c>
      <c r="BN35" s="87">
        <v>2040</v>
      </c>
      <c r="BO35" s="13">
        <f>'Global EV uptake'!E91</f>
        <v>57.170230632459329</v>
      </c>
      <c r="BP35" s="13">
        <f t="shared" si="2"/>
        <v>59.617035091051719</v>
      </c>
    </row>
    <row r="36" spans="1:68">
      <c r="A36">
        <v>2041</v>
      </c>
      <c r="B36" s="13"/>
      <c r="C36" s="13">
        <f>65*EXP('Australia EV uptake'!AH36)/(1+EXP('Australia EV uptake'!AH36))</f>
        <v>64.546893513696162</v>
      </c>
      <c r="D36" s="72">
        <f t="shared" si="3"/>
        <v>64.546893513696162</v>
      </c>
      <c r="E36" s="13">
        <f t="shared" si="21"/>
        <v>60.669608218606562</v>
      </c>
      <c r="F36" s="72">
        <f t="shared" si="9"/>
        <v>61.039025629398097</v>
      </c>
      <c r="G36" s="84">
        <f>L36-SUM(H$7:H36)</f>
        <v>2.7350233758450937</v>
      </c>
      <c r="H36" s="13">
        <f t="shared" si="10"/>
        <v>0.2</v>
      </c>
      <c r="I36" s="13">
        <f t="shared" si="11"/>
        <v>1</v>
      </c>
      <c r="J36" s="13">
        <f t="shared" si="12"/>
        <v>1</v>
      </c>
      <c r="K36" s="89">
        <f>K35</f>
        <v>0.2</v>
      </c>
      <c r="L36" s="13">
        <f t="shared" si="18"/>
        <v>6.0850233758450951</v>
      </c>
      <c r="M36" s="84">
        <v>1.4998204729890681</v>
      </c>
      <c r="N36" s="13">
        <f t="shared" si="16"/>
        <v>64.852349934809723</v>
      </c>
      <c r="O36" s="13">
        <f t="shared" si="5"/>
        <v>64.876876059654052</v>
      </c>
      <c r="P36" s="13">
        <f t="shared" si="6"/>
        <v>2043.6640011633081</v>
      </c>
      <c r="Q36" s="13">
        <f t="shared" si="7"/>
        <v>2019.078366838592</v>
      </c>
      <c r="R36" s="72">
        <f t="shared" si="22"/>
        <v>0.99808674644968876</v>
      </c>
      <c r="T36">
        <v>2041</v>
      </c>
      <c r="U36" s="13">
        <v>60.669608218606562</v>
      </c>
      <c r="V36" s="13">
        <v>60.669608218606562</v>
      </c>
      <c r="W36" s="13">
        <v>58.582827134152012</v>
      </c>
      <c r="Y36">
        <v>2041</v>
      </c>
      <c r="Z36" s="13">
        <v>46.843915594453279</v>
      </c>
      <c r="AA36" s="13">
        <f t="shared" si="14"/>
        <v>60.669608218606562</v>
      </c>
      <c r="AB36" s="13">
        <v>64.723096237207074</v>
      </c>
      <c r="AD36" s="72">
        <f t="shared" si="15"/>
        <v>64.546893513696162</v>
      </c>
      <c r="AH36" s="33">
        <f>AE$55+AE$56*'Australia EV uptake'!AK36+AE$57*'Australia EV uptake'!AL36+AE$58*'Australia EV uptake'!AM36+AE$59*AN36</f>
        <v>4.9590201028827821</v>
      </c>
      <c r="AK36">
        <v>32</v>
      </c>
      <c r="AL36" s="13">
        <v>0</v>
      </c>
      <c r="AM36" s="13">
        <v>0</v>
      </c>
      <c r="AN36" s="13">
        <v>0</v>
      </c>
      <c r="AO36" s="13"/>
      <c r="AP36">
        <v>2041</v>
      </c>
      <c r="AT36" s="13">
        <f>AT35</f>
        <v>45</v>
      </c>
      <c r="AU36" s="13"/>
      <c r="AV36" s="13">
        <v>42</v>
      </c>
      <c r="AW36" s="13"/>
      <c r="AX36" s="20">
        <f>AX35+(AX45-AX25)/20</f>
        <v>-5.5476432419211005E-2</v>
      </c>
      <c r="BJ36">
        <v>2041</v>
      </c>
      <c r="BK36" s="13">
        <f t="shared" si="1"/>
        <v>64.546893513696162</v>
      </c>
      <c r="BL36" s="13">
        <f>'Korea EV uptake'!AB36</f>
        <v>64.999719841301214</v>
      </c>
      <c r="BN36">
        <v>2041</v>
      </c>
      <c r="BO36" s="13">
        <f>'Global EV uptake'!E92</f>
        <v>58.103923424061897</v>
      </c>
      <c r="BP36" s="13">
        <f t="shared" si="2"/>
        <v>60.669608218606562</v>
      </c>
    </row>
    <row r="37" spans="1:68">
      <c r="A37">
        <v>2042</v>
      </c>
      <c r="B37" s="13"/>
      <c r="C37" s="13">
        <f>65*EXP('Australia EV uptake'!AH37)/(1+EXP('Australia EV uptake'!AH37))</f>
        <v>64.706293199391482</v>
      </c>
      <c r="D37" s="72">
        <f t="shared" si="3"/>
        <v>64.706293199391482</v>
      </c>
      <c r="E37" s="13">
        <f t="shared" si="21"/>
        <v>61.524414476596924</v>
      </c>
      <c r="F37" s="72">
        <f t="shared" ref="F37:F44" si="23">65*EXP(G37)/(1+EXP(G37))</f>
        <v>61.830301793589996</v>
      </c>
      <c r="G37" s="84">
        <f>L37-SUM(H$7:H37)</f>
        <v>2.9707571842487033</v>
      </c>
      <c r="H37" s="13">
        <f t="shared" si="10"/>
        <v>0.2</v>
      </c>
      <c r="I37" s="13">
        <f t="shared" si="11"/>
        <v>1</v>
      </c>
      <c r="J37" s="13">
        <f t="shared" si="12"/>
        <v>1</v>
      </c>
      <c r="K37" s="89">
        <f t="shared" ref="K37:K50" si="24">K36</f>
        <v>0.2</v>
      </c>
      <c r="L37" s="13">
        <f t="shared" si="18"/>
        <v>6.5207571842487049</v>
      </c>
      <c r="M37" s="84">
        <v>1.692593801388826</v>
      </c>
      <c r="N37" s="13">
        <f t="shared" si="16"/>
        <v>64.904424750118366</v>
      </c>
      <c r="O37" s="13">
        <f t="shared" si="5"/>
        <v>64.920333476516277</v>
      </c>
      <c r="P37" s="13">
        <f t="shared" si="6"/>
        <v>2044.6640011633081</v>
      </c>
      <c r="Q37" s="13">
        <f t="shared" si="7"/>
        <v>2019.078366838592</v>
      </c>
      <c r="R37" s="72">
        <f t="shared" si="22"/>
        <v>0.99808674644968876</v>
      </c>
      <c r="T37">
        <v>2042</v>
      </c>
      <c r="U37" s="13">
        <v>61.524414476596924</v>
      </c>
      <c r="V37" s="13">
        <v>61.524414476596924</v>
      </c>
      <c r="W37" s="13">
        <v>59.807027020660712</v>
      </c>
      <c r="Y37">
        <v>2042</v>
      </c>
      <c r="Z37" s="13">
        <v>49.639673904101315</v>
      </c>
      <c r="AA37" s="13">
        <f t="shared" si="14"/>
        <v>61.524414476596924</v>
      </c>
      <c r="AB37" s="13">
        <v>64.812685502750668</v>
      </c>
      <c r="AD37" s="72">
        <f t="shared" si="15"/>
        <v>64.706293199391482</v>
      </c>
      <c r="AH37" s="33">
        <f>AE$55+AE$56*'Australia EV uptake'!AK37+AE$57*'Australia EV uptake'!AL37+AE$58*'Australia EV uptake'!AM37+AE$59*AN37</f>
        <v>5.3950317502518583</v>
      </c>
      <c r="AK37">
        <v>33</v>
      </c>
      <c r="AL37" s="13">
        <v>0</v>
      </c>
      <c r="AM37" s="13">
        <v>0</v>
      </c>
      <c r="AN37" s="13">
        <v>0</v>
      </c>
      <c r="AO37" s="13"/>
      <c r="AP37">
        <v>2042</v>
      </c>
      <c r="AT37" s="13">
        <f t="shared" ref="AT37:AT45" si="25">AT36</f>
        <v>45</v>
      </c>
      <c r="AU37" s="13"/>
      <c r="AV37" s="13">
        <v>42</v>
      </c>
      <c r="AW37" s="13"/>
      <c r="AX37" s="20">
        <f>AX36+(AX45-AX25)/20</f>
        <v>4.8932328663218533E-2</v>
      </c>
      <c r="BJ37">
        <v>2042</v>
      </c>
      <c r="BK37" s="13">
        <f t="shared" si="1"/>
        <v>64.706293199391482</v>
      </c>
      <c r="BL37" s="13">
        <f>'Korea EV uptake'!AB37</f>
        <v>64.999859976856115</v>
      </c>
      <c r="BN37">
        <v>2042</v>
      </c>
      <c r="BO37" s="13">
        <f>'Global EV uptake'!E93</f>
        <v>58.927078001588853</v>
      </c>
      <c r="BP37" s="13">
        <f t="shared" si="2"/>
        <v>61.524414476596924</v>
      </c>
    </row>
    <row r="38" spans="1:68">
      <c r="A38">
        <v>2043</v>
      </c>
      <c r="B38" s="13"/>
      <c r="C38" s="13">
        <f>65*EXP('Australia EV uptake'!AH38)/(1+EXP('Australia EV uptake'!AH38))</f>
        <v>64.809782446223437</v>
      </c>
      <c r="D38" s="72">
        <f t="shared" si="3"/>
        <v>64.809782446223437</v>
      </c>
      <c r="E38" s="13">
        <f t="shared" si="21"/>
        <v>62.216929571757383</v>
      </c>
      <c r="F38" s="72">
        <f t="shared" si="23"/>
        <v>62.470296040183108</v>
      </c>
      <c r="G38" s="84">
        <f>L38-SUM(H$7:H38)</f>
        <v>3.2065888964489453</v>
      </c>
      <c r="H38" s="13">
        <f t="shared" si="10"/>
        <v>0.2</v>
      </c>
      <c r="I38" s="13">
        <f t="shared" si="11"/>
        <v>1</v>
      </c>
      <c r="J38" s="13">
        <f t="shared" si="12"/>
        <v>1</v>
      </c>
      <c r="K38" s="89">
        <f t="shared" si="24"/>
        <v>0.2</v>
      </c>
      <c r="L38" s="13">
        <f t="shared" si="18"/>
        <v>6.9565888964489471</v>
      </c>
      <c r="M38" s="84">
        <v>1.8853671297977144</v>
      </c>
      <c r="N38" s="13">
        <f t="shared" si="16"/>
        <v>64.938156823706692</v>
      </c>
      <c r="O38" s="13">
        <f t="shared" si="5"/>
        <v>64.948464492263298</v>
      </c>
      <c r="P38" s="13">
        <f t="shared" si="6"/>
        <v>2045.6640011633081</v>
      </c>
      <c r="Q38" s="13">
        <f t="shared" si="7"/>
        <v>2019.078366838592</v>
      </c>
      <c r="R38" s="72">
        <f t="shared" si="22"/>
        <v>0.99808674644968876</v>
      </c>
      <c r="T38">
        <v>2043</v>
      </c>
      <c r="U38" s="13">
        <v>62.216929571757383</v>
      </c>
      <c r="V38" s="13">
        <v>62.216929571757383</v>
      </c>
      <c r="W38" s="13">
        <v>60.813726941345656</v>
      </c>
      <c r="Y38">
        <v>2043</v>
      </c>
      <c r="Z38" s="13">
        <v>52.132320822901342</v>
      </c>
      <c r="AA38" s="13">
        <f t="shared" si="14"/>
        <v>62.216929571757383</v>
      </c>
      <c r="AB38" s="13">
        <v>64.873336984947926</v>
      </c>
      <c r="AD38" s="72">
        <f t="shared" si="15"/>
        <v>64.809782446223437</v>
      </c>
      <c r="AH38" s="33">
        <f>AE$55+AE$56*'Australia EV uptake'!AK38+AE$57*'Australia EV uptake'!AL38+AE$58*'Australia EV uptake'!AM38+AE$59*AN38</f>
        <v>5.8310433976209346</v>
      </c>
      <c r="AK38">
        <v>34</v>
      </c>
      <c r="AL38" s="13">
        <v>0</v>
      </c>
      <c r="AM38" s="13">
        <v>0</v>
      </c>
      <c r="AN38" s="13">
        <v>0</v>
      </c>
      <c r="AO38" s="13"/>
      <c r="AP38">
        <v>2043</v>
      </c>
      <c r="AT38" s="13">
        <f t="shared" si="25"/>
        <v>45</v>
      </c>
      <c r="AU38" s="13"/>
      <c r="AV38" s="13">
        <v>42</v>
      </c>
      <c r="AW38" s="13"/>
      <c r="AX38" s="20">
        <f>AX37+(AX45-AX25)/20</f>
        <v>0.15334108974564808</v>
      </c>
      <c r="BJ38">
        <v>2043</v>
      </c>
      <c r="BK38" s="13">
        <f t="shared" si="1"/>
        <v>64.809782446223437</v>
      </c>
      <c r="BL38" s="13">
        <f>'Korea EV uptake'!AB38</f>
        <v>64.999930016595002</v>
      </c>
      <c r="BN38">
        <v>2043</v>
      </c>
      <c r="BO38" s="13">
        <f>'Global EV uptake'!E94</f>
        <v>59.656102184445899</v>
      </c>
      <c r="BP38" s="13">
        <f t="shared" si="2"/>
        <v>62.216929571757383</v>
      </c>
    </row>
    <row r="39" spans="1:68">
      <c r="A39">
        <v>2044</v>
      </c>
      <c r="B39" s="13"/>
      <c r="C39" s="13">
        <f>65*EXP('Australia EV uptake'!AH39)/(1+EXP('Australia EV uptake'!AH39))</f>
        <v>64.876876059654052</v>
      </c>
      <c r="D39" s="72">
        <f t="shared" si="3"/>
        <v>64.876876059654052</v>
      </c>
      <c r="E39" s="13">
        <f t="shared" si="21"/>
        <v>62.777630859933588</v>
      </c>
      <c r="F39" s="72">
        <f t="shared" si="23"/>
        <v>62.985403492202209</v>
      </c>
      <c r="G39" s="84">
        <f>L39-SUM(H$7:H39)</f>
        <v>3.4424840778691532</v>
      </c>
      <c r="H39" s="13">
        <f t="shared" si="10"/>
        <v>0.2</v>
      </c>
      <c r="I39" s="13">
        <f t="shared" si="11"/>
        <v>1</v>
      </c>
      <c r="J39" s="13">
        <f t="shared" si="12"/>
        <v>1</v>
      </c>
      <c r="K39" s="89">
        <f t="shared" si="24"/>
        <v>0.2</v>
      </c>
      <c r="L39" s="13">
        <f t="shared" si="18"/>
        <v>7.3924840778691552</v>
      </c>
      <c r="M39" s="84">
        <v>2.0781404581757279</v>
      </c>
      <c r="N39" s="13">
        <f t="shared" si="16"/>
        <v>64.959993465775796</v>
      </c>
      <c r="O39" s="13">
        <f t="shared" si="5"/>
        <v>64.96666727593481</v>
      </c>
      <c r="P39" s="13">
        <f t="shared" si="6"/>
        <v>2046.6640011633081</v>
      </c>
      <c r="Q39" s="13">
        <f t="shared" si="7"/>
        <v>2019.078366838592</v>
      </c>
      <c r="R39" s="72">
        <f t="shared" si="22"/>
        <v>0.99808674644968876</v>
      </c>
      <c r="T39">
        <v>2044</v>
      </c>
      <c r="U39" s="13">
        <v>62.777630859933588</v>
      </c>
      <c r="V39" s="13">
        <v>62.777630859933588</v>
      </c>
      <c r="W39" s="13">
        <v>61.63872360699083</v>
      </c>
      <c r="Y39">
        <v>2044</v>
      </c>
      <c r="Z39" s="13">
        <v>54.321494924664748</v>
      </c>
      <c r="AA39" s="13">
        <f t="shared" si="14"/>
        <v>62.777630859933588</v>
      </c>
      <c r="AB39" s="13">
        <v>64.914393103399789</v>
      </c>
      <c r="AD39" s="72">
        <f t="shared" si="15"/>
        <v>64.876876059654052</v>
      </c>
      <c r="AH39" s="33">
        <f>AE$55+AE$56*'Australia EV uptake'!AK39+AE$57*'Australia EV uptake'!AL39+AE$58*'Australia EV uptake'!AM39+AE$59*AN39</f>
        <v>6.2670550449900109</v>
      </c>
      <c r="AK39">
        <v>35</v>
      </c>
      <c r="AL39" s="13">
        <v>0</v>
      </c>
      <c r="AM39" s="13">
        <v>0</v>
      </c>
      <c r="AN39" s="13">
        <v>0</v>
      </c>
      <c r="AO39" s="13"/>
      <c r="AP39">
        <v>2044</v>
      </c>
      <c r="AT39" s="13">
        <f t="shared" si="25"/>
        <v>45</v>
      </c>
      <c r="AU39" s="13"/>
      <c r="AV39" s="13">
        <v>42</v>
      </c>
      <c r="AW39" s="13"/>
      <c r="AX39" s="20">
        <f>AX38+(AX45-AX25)/20</f>
        <v>0.25774985082807761</v>
      </c>
      <c r="BJ39">
        <v>2044</v>
      </c>
      <c r="BK39" s="13">
        <f t="shared" si="1"/>
        <v>64.876876059654052</v>
      </c>
      <c r="BL39" s="13">
        <f>'Korea EV uptake'!AB39</f>
        <v>64.999965022394164</v>
      </c>
      <c r="BN39">
        <v>2044</v>
      </c>
      <c r="BO39" s="13">
        <f>'Global EV uptake'!E95</f>
        <v>60.304584039988711</v>
      </c>
      <c r="BP39" s="13">
        <f t="shared" si="2"/>
        <v>62.777630859933588</v>
      </c>
    </row>
    <row r="40" spans="1:68">
      <c r="A40">
        <v>2045</v>
      </c>
      <c r="C40" s="13">
        <f>65*EXP('Australia EV uptake'!AH40)/(1+EXP('Australia EV uptake'!AH40))</f>
        <v>64.920333476516277</v>
      </c>
      <c r="D40" s="72">
        <f t="shared" si="3"/>
        <v>64.920333476516277</v>
      </c>
      <c r="E40" s="13">
        <f t="shared" si="21"/>
        <v>63.229334891316022</v>
      </c>
      <c r="F40" s="72">
        <f t="shared" si="23"/>
        <v>63.398376369066604</v>
      </c>
      <c r="G40" s="84">
        <f>L40-SUM(H$7:H40)</f>
        <v>3.6784203677457725</v>
      </c>
      <c r="H40" s="13">
        <f t="shared" si="10"/>
        <v>0.2</v>
      </c>
      <c r="I40" s="13">
        <f t="shared" si="11"/>
        <v>1</v>
      </c>
      <c r="J40" s="13">
        <f t="shared" si="12"/>
        <v>1</v>
      </c>
      <c r="K40" s="89">
        <f t="shared" si="24"/>
        <v>0.2</v>
      </c>
      <c r="L40" s="13">
        <f t="shared" si="18"/>
        <v>7.8284203677457747</v>
      </c>
      <c r="M40" s="84">
        <v>2.2709137864581415</v>
      </c>
      <c r="N40" s="13">
        <f t="shared" si="16"/>
        <v>64.974123790192564</v>
      </c>
      <c r="O40" s="13">
        <f t="shared" si="5"/>
        <v>64.978442814164936</v>
      </c>
      <c r="P40" s="13">
        <f t="shared" si="6"/>
        <v>2047.6640011633081</v>
      </c>
      <c r="Q40" s="13">
        <f t="shared" si="7"/>
        <v>2019.078366838592</v>
      </c>
      <c r="R40" s="72">
        <f t="shared" si="22"/>
        <v>0.99808674644968876</v>
      </c>
      <c r="T40">
        <v>2045</v>
      </c>
      <c r="U40" s="13">
        <v>63.229334891316022</v>
      </c>
      <c r="V40" s="13">
        <v>63.229334891316022</v>
      </c>
      <c r="W40" s="13">
        <v>62.30994231256112</v>
      </c>
      <c r="Y40">
        <v>2045</v>
      </c>
      <c r="Z40" s="13">
        <v>56.211538627307597</v>
      </c>
      <c r="AA40" s="13">
        <f t="shared" si="14"/>
        <v>63.229334891316022</v>
      </c>
      <c r="AB40" s="13">
        <v>64.942088726910427</v>
      </c>
      <c r="AD40" s="72">
        <f t="shared" si="15"/>
        <v>64.920333476516277</v>
      </c>
      <c r="AH40" s="33">
        <f>AE$55+AE$56*'Australia EV uptake'!AK40+AE$57*'Australia EV uptake'!AL40+AE$58*'Australia EV uptake'!AM40+AE$59*AN40</f>
        <v>6.7030666923590871</v>
      </c>
      <c r="AK40">
        <v>36</v>
      </c>
      <c r="AL40" s="13">
        <v>0</v>
      </c>
      <c r="AM40" s="13">
        <v>0</v>
      </c>
      <c r="AN40" s="13">
        <v>0</v>
      </c>
      <c r="AO40" s="13"/>
      <c r="AP40">
        <v>2045</v>
      </c>
      <c r="AT40" s="13">
        <f t="shared" si="25"/>
        <v>45</v>
      </c>
      <c r="AV40" s="13">
        <v>42</v>
      </c>
      <c r="AX40" s="20">
        <f>AX39+(AX45-AX25)/20</f>
        <v>0.36215861191050713</v>
      </c>
      <c r="BJ40">
        <v>2045</v>
      </c>
      <c r="BK40" s="13">
        <f t="shared" si="1"/>
        <v>64.920333476516277</v>
      </c>
      <c r="BL40" s="13">
        <f>'Korea EV uptake'!AB40</f>
        <v>64.999982518247279</v>
      </c>
      <c r="BN40">
        <v>2045</v>
      </c>
      <c r="BO40" s="13">
        <f>'Global EV uptake'!E96</f>
        <v>60.879807647169329</v>
      </c>
      <c r="BP40" s="13">
        <f t="shared" si="2"/>
        <v>63.229334891316022</v>
      </c>
    </row>
    <row r="41" spans="1:68">
      <c r="A41">
        <v>2046</v>
      </c>
      <c r="C41" s="13">
        <f>65*EXP('Australia EV uptake'!AH41)/(1+EXP('Australia EV uptake'!AH41))</f>
        <v>64.948464492263298</v>
      </c>
      <c r="D41" s="72">
        <f t="shared" si="3"/>
        <v>64.948464492263298</v>
      </c>
      <c r="E41" s="13">
        <f t="shared" si="21"/>
        <v>63.606739664948257</v>
      </c>
      <c r="F41" s="72">
        <f t="shared" si="23"/>
        <v>63.728436047847175</v>
      </c>
      <c r="G41" s="84">
        <f>L41-SUM(H$7:H41)</f>
        <v>3.9143832675077954</v>
      </c>
      <c r="H41" s="13">
        <f t="shared" si="10"/>
        <v>0.2</v>
      </c>
      <c r="I41" s="13">
        <f t="shared" si="11"/>
        <v>1</v>
      </c>
      <c r="J41" s="13">
        <f t="shared" si="12"/>
        <v>1</v>
      </c>
      <c r="K41" s="89">
        <f t="shared" si="24"/>
        <v>0.2</v>
      </c>
      <c r="L41" s="13">
        <f t="shared" si="18"/>
        <v>8.2643832675077977</v>
      </c>
      <c r="M41" s="84">
        <v>2.4636871151367039</v>
      </c>
      <c r="N41" s="13">
        <f t="shared" si="16"/>
        <v>64.983265009168093</v>
      </c>
      <c r="O41" s="13">
        <f t="shared" si="5"/>
        <v>64.986059269999714</v>
      </c>
      <c r="P41" s="13">
        <f t="shared" si="6"/>
        <v>2048.6640011633081</v>
      </c>
      <c r="Q41" s="13">
        <f t="shared" si="7"/>
        <v>2019.078366838592</v>
      </c>
      <c r="R41" s="72">
        <f t="shared" si="22"/>
        <v>0.99808674644968876</v>
      </c>
      <c r="T41">
        <v>2046</v>
      </c>
      <c r="U41" s="13">
        <v>63.606739664948257</v>
      </c>
      <c r="V41" s="13">
        <v>63.606739664948257</v>
      </c>
      <c r="W41" s="13">
        <v>62.875769641601849</v>
      </c>
      <c r="Y41">
        <v>2046</v>
      </c>
      <c r="Z41" s="13">
        <v>57.897820657722846</v>
      </c>
      <c r="AA41" s="13">
        <f t="shared" si="14"/>
        <v>63.606739664948257</v>
      </c>
      <c r="AB41" s="13">
        <v>64.961073452793045</v>
      </c>
      <c r="AD41" s="72">
        <f t="shared" si="15"/>
        <v>64.948464492263298</v>
      </c>
      <c r="AH41" s="33">
        <f>AE$55+AE$56*'Australia EV uptake'!AK41+AE$57*'Australia EV uptake'!AL41+AE$58*'Australia EV uptake'!AM41+AE$59*AN41</f>
        <v>7.1390783397281616</v>
      </c>
      <c r="AK41">
        <v>37</v>
      </c>
      <c r="AL41" s="13">
        <v>0</v>
      </c>
      <c r="AM41" s="13">
        <v>0</v>
      </c>
      <c r="AN41" s="13">
        <v>0</v>
      </c>
      <c r="AO41" s="13"/>
      <c r="AP41">
        <v>2046</v>
      </c>
      <c r="AT41" s="13">
        <f t="shared" si="25"/>
        <v>45</v>
      </c>
      <c r="AV41" s="13">
        <v>42</v>
      </c>
      <c r="AX41" s="20">
        <f>AX40+(AX45-AX25)/20</f>
        <v>0.46656737299293666</v>
      </c>
      <c r="BJ41">
        <v>2046</v>
      </c>
      <c r="BK41" s="13">
        <f t="shared" si="1"/>
        <v>64.948464492263298</v>
      </c>
      <c r="BL41" s="13">
        <f>'Korea EV uptake'!AB41</f>
        <v>64.999991262648493</v>
      </c>
      <c r="BN41">
        <v>2046</v>
      </c>
      <c r="BO41" s="13">
        <f>'Global EV uptake'!E97</f>
        <v>61.388781961479538</v>
      </c>
      <c r="BP41" s="13">
        <f t="shared" si="2"/>
        <v>63.606739664948257</v>
      </c>
    </row>
    <row r="42" spans="1:68">
      <c r="A42">
        <v>2047</v>
      </c>
      <c r="C42" s="13">
        <f>65*EXP('Australia EV uptake'!AH42)/(1+EXP('Australia EV uptake'!AH42))</f>
        <v>64.96666727593481</v>
      </c>
      <c r="D42" s="72">
        <f t="shared" si="3"/>
        <v>64.96666727593481</v>
      </c>
      <c r="E42" s="13">
        <f t="shared" si="21"/>
        <v>63.908468013779789</v>
      </c>
      <c r="F42" s="72">
        <f t="shared" si="23"/>
        <v>63.991576647247854</v>
      </c>
      <c r="G42" s="84">
        <f>L42-SUM(H$7:H42)</f>
        <v>4.1503633855243685</v>
      </c>
      <c r="H42" s="13">
        <f t="shared" si="10"/>
        <v>0.2</v>
      </c>
      <c r="I42" s="13">
        <f t="shared" si="11"/>
        <v>1</v>
      </c>
      <c r="J42" s="13">
        <f t="shared" si="12"/>
        <v>1</v>
      </c>
      <c r="K42" s="89">
        <f t="shared" si="24"/>
        <v>0.2</v>
      </c>
      <c r="L42" s="13">
        <f t="shared" si="18"/>
        <v>8.7003633855243709</v>
      </c>
      <c r="M42" s="84">
        <v>2.656460443503466</v>
      </c>
      <c r="N42" s="13">
        <f t="shared" si="16"/>
        <v>64.98917765853119</v>
      </c>
      <c r="O42" s="13">
        <f t="shared" si="5"/>
        <v>64.990985098600049</v>
      </c>
      <c r="P42" s="13">
        <f t="shared" si="6"/>
        <v>2049.6640011633081</v>
      </c>
      <c r="Q42" s="13">
        <f t="shared" si="7"/>
        <v>2019.078366838592</v>
      </c>
      <c r="R42" s="72">
        <f t="shared" si="22"/>
        <v>0.99808674644968876</v>
      </c>
      <c r="T42">
        <v>2047</v>
      </c>
      <c r="U42" s="13">
        <v>63.908468013779789</v>
      </c>
      <c r="V42" s="13">
        <v>63.908468013779789</v>
      </c>
      <c r="W42" s="13">
        <v>63.330990697472721</v>
      </c>
      <c r="Y42">
        <v>2047</v>
      </c>
      <c r="Z42" s="13">
        <v>59.310849527921228</v>
      </c>
      <c r="AA42" s="13">
        <f t="shared" si="14"/>
        <v>63.908468013779789</v>
      </c>
      <c r="AB42" s="13">
        <v>64.973506251496559</v>
      </c>
      <c r="AD42" s="72">
        <f t="shared" si="15"/>
        <v>64.96666727593481</v>
      </c>
      <c r="AH42" s="33">
        <f>AE$55+AE$56*'Australia EV uptake'!AK42+AE$57*'Australia EV uptake'!AL42+AE$58*'Australia EV uptake'!AM42+AE$59*AN42</f>
        <v>7.5750899870972397</v>
      </c>
      <c r="AK42">
        <v>38</v>
      </c>
      <c r="AL42" s="13">
        <v>0</v>
      </c>
      <c r="AM42" s="13">
        <v>0</v>
      </c>
      <c r="AN42" s="13">
        <v>0</v>
      </c>
      <c r="AO42" s="13"/>
      <c r="AP42">
        <v>2047</v>
      </c>
      <c r="AT42" s="13">
        <f t="shared" si="25"/>
        <v>45</v>
      </c>
      <c r="AV42" s="13">
        <v>42</v>
      </c>
      <c r="AX42" s="20">
        <f>AX41+(AX45-AX25)/20</f>
        <v>0.57097613407536618</v>
      </c>
      <c r="BJ42">
        <v>2047</v>
      </c>
      <c r="BK42" s="13">
        <f t="shared" si="1"/>
        <v>64.96666727593481</v>
      </c>
      <c r="BL42" s="13">
        <f>'Korea EV uptake'!AB42</f>
        <v>64.999995633086257</v>
      </c>
      <c r="BN42">
        <v>2047</v>
      </c>
      <c r="BO42" s="13">
        <f>'Global EV uptake'!E98</f>
        <v>61.838147266588265</v>
      </c>
      <c r="BP42" s="13">
        <f t="shared" si="2"/>
        <v>63.908468013779789</v>
      </c>
    </row>
    <row r="43" spans="1:68">
      <c r="A43">
        <v>2048</v>
      </c>
      <c r="C43" s="13">
        <f>65*EXP('Australia EV uptake'!AH43)/(1+EXP('Australia EV uptake'!AH43))</f>
        <v>64.978442814164936</v>
      </c>
      <c r="D43" s="72">
        <f t="shared" ref="D43:D50" si="26">65*EXP(AH43)/(1+EXP(AH43))</f>
        <v>64.978442814164936</v>
      </c>
      <c r="E43" s="13">
        <f t="shared" si="21"/>
        <v>64.149087658891773</v>
      </c>
      <c r="F43" s="72">
        <f t="shared" si="23"/>
        <v>64.200953849075205</v>
      </c>
      <c r="G43" s="84">
        <f>L43-SUM(H$7:H43)</f>
        <v>4.3863546420746635</v>
      </c>
      <c r="H43" s="13">
        <f t="shared" si="10"/>
        <v>0.2</v>
      </c>
      <c r="I43" s="13">
        <f t="shared" si="11"/>
        <v>1</v>
      </c>
      <c r="J43" s="13">
        <f t="shared" si="12"/>
        <v>1</v>
      </c>
      <c r="K43" s="89">
        <f t="shared" si="24"/>
        <v>0.2</v>
      </c>
      <c r="L43" s="13">
        <f t="shared" si="18"/>
        <v>9.1363546420746662</v>
      </c>
      <c r="M43" s="84">
        <v>2.8492337714743599</v>
      </c>
      <c r="N43" s="13">
        <f>AVERAGE(O41:O45)</f>
        <v>64.993001609224194</v>
      </c>
      <c r="O43" s="13">
        <f t="shared" si="5"/>
        <v>64.994170587140943</v>
      </c>
      <c r="P43" s="13">
        <f t="shared" si="6"/>
        <v>2050.6640011633081</v>
      </c>
      <c r="Q43" s="13">
        <f t="shared" si="7"/>
        <v>2019.078366838592</v>
      </c>
      <c r="R43" s="72">
        <f t="shared" si="22"/>
        <v>0.99808674644968876</v>
      </c>
      <c r="T43">
        <v>2048</v>
      </c>
      <c r="U43" s="13">
        <v>64.149087658891773</v>
      </c>
      <c r="V43" s="13">
        <v>64.149087658891773</v>
      </c>
      <c r="W43" s="13">
        <v>63.695855146886011</v>
      </c>
      <c r="Y43">
        <v>2048</v>
      </c>
      <c r="Z43" s="13">
        <v>60.48228036376203</v>
      </c>
      <c r="AA43" s="13">
        <f t="shared" si="14"/>
        <v>64.149087658891773</v>
      </c>
      <c r="AB43" s="13">
        <v>64.981492501643373</v>
      </c>
      <c r="AD43" s="72">
        <f t="shared" si="15"/>
        <v>64.978442814164936</v>
      </c>
      <c r="AH43" s="33">
        <f>AE$55+AE$56*'Australia EV uptake'!AK43+AE$57*'Australia EV uptake'!AL43+AE$58*'Australia EV uptake'!AM43+AE$59*AN43</f>
        <v>8.0111016344663142</v>
      </c>
      <c r="AK43">
        <v>39</v>
      </c>
      <c r="AL43" s="13">
        <v>0</v>
      </c>
      <c r="AM43" s="13">
        <v>0</v>
      </c>
      <c r="AN43" s="13">
        <v>0</v>
      </c>
      <c r="AO43" s="13"/>
      <c r="AP43">
        <v>2048</v>
      </c>
      <c r="AT43" s="13">
        <f t="shared" si="25"/>
        <v>45</v>
      </c>
      <c r="AV43" s="13">
        <v>42</v>
      </c>
      <c r="AX43" s="20">
        <f>AX42+(AX45-AX25)/20</f>
        <v>0.67538489515779576</v>
      </c>
      <c r="BJ43">
        <v>2048</v>
      </c>
      <c r="BK43" s="13">
        <f t="shared" si="1"/>
        <v>64.978442814164936</v>
      </c>
      <c r="BL43" s="13">
        <f>'Korea EV uptake'!AB43</f>
        <v>64.999997817423861</v>
      </c>
      <c r="BN43">
        <v>2048</v>
      </c>
      <c r="BO43" s="13">
        <f>'Global EV uptake'!E99</f>
        <v>62.234114739923356</v>
      </c>
      <c r="BP43" s="13">
        <f t="shared" si="2"/>
        <v>64.149087658891773</v>
      </c>
    </row>
    <row r="44" spans="1:68">
      <c r="A44">
        <v>2049</v>
      </c>
      <c r="C44" s="13">
        <f>65*EXP('Australia EV uptake'!AH44)/(1+EXP('Australia EV uptake'!AH44))</f>
        <v>64.986059269999714</v>
      </c>
      <c r="D44" s="72">
        <f t="shared" si="26"/>
        <v>64.986059269999714</v>
      </c>
      <c r="E44" s="13">
        <f t="shared" si="21"/>
        <v>64.340589886984404</v>
      </c>
      <c r="F44" s="72">
        <f t="shared" si="23"/>
        <v>64.47213520901569</v>
      </c>
      <c r="G44" s="84">
        <f>L44-SUM(H$7:H44)</f>
        <v>4.8051482239448209</v>
      </c>
      <c r="H44" s="13">
        <f t="shared" si="10"/>
        <v>0.2</v>
      </c>
      <c r="I44" s="13">
        <f t="shared" si="11"/>
        <v>1</v>
      </c>
      <c r="J44" s="13">
        <f t="shared" si="12"/>
        <v>1</v>
      </c>
      <c r="K44" s="89">
        <f t="shared" si="24"/>
        <v>0.2</v>
      </c>
      <c r="L44" s="13">
        <f t="shared" si="18"/>
        <v>9.7551482239448237</v>
      </c>
      <c r="M44" s="84">
        <v>3.0420071013642733</v>
      </c>
      <c r="N44" s="13">
        <f t="shared" ref="N44:N50" si="27">O44</f>
        <v>64.996230522750281</v>
      </c>
      <c r="O44" s="13">
        <f t="shared" si="5"/>
        <v>64.996230522750281</v>
      </c>
      <c r="P44" s="13">
        <f t="shared" si="6"/>
        <v>2051.6640011633081</v>
      </c>
      <c r="Q44" s="13">
        <f t="shared" si="7"/>
        <v>2019.078366838592</v>
      </c>
      <c r="R44" s="72">
        <f t="shared" si="22"/>
        <v>0.99808674644968876</v>
      </c>
      <c r="T44">
        <v>2049</v>
      </c>
      <c r="U44" s="13">
        <v>64.340589886984404</v>
      </c>
      <c r="V44" s="13">
        <v>64.340589886984404</v>
      </c>
      <c r="W44" s="13">
        <v>63.987417673411365</v>
      </c>
      <c r="Y44">
        <v>2049</v>
      </c>
      <c r="Z44" s="13">
        <v>61.444688433829974</v>
      </c>
      <c r="AA44" s="13">
        <f t="shared" si="14"/>
        <v>64.340589886984404</v>
      </c>
      <c r="AB44" s="13">
        <v>64.986455909892811</v>
      </c>
      <c r="AD44" s="72">
        <f t="shared" si="15"/>
        <v>64.986059269999714</v>
      </c>
      <c r="AH44" s="33">
        <f>AE$55+AE$56*'Australia EV uptake'!AK44+AE$57*'Australia EV uptake'!AL44+AE$58*'Australia EV uptake'!AM44+AE$59*AN44</f>
        <v>8.4471132818353922</v>
      </c>
      <c r="AK44">
        <v>40</v>
      </c>
      <c r="AL44" s="13">
        <v>0</v>
      </c>
      <c r="AM44" s="13">
        <v>0</v>
      </c>
      <c r="AN44" s="13">
        <v>0</v>
      </c>
      <c r="AO44" s="13"/>
      <c r="AP44">
        <v>2049</v>
      </c>
      <c r="AT44" s="13">
        <f t="shared" si="25"/>
        <v>45</v>
      </c>
      <c r="AV44" s="13">
        <v>42</v>
      </c>
      <c r="AX44" s="20">
        <f>AX43+(AX45-AX25)/20</f>
        <v>0.77979365624022534</v>
      </c>
      <c r="BJ44">
        <v>2049</v>
      </c>
      <c r="BK44" s="13">
        <f t="shared" si="1"/>
        <v>64.986059269999714</v>
      </c>
      <c r="BL44" s="13">
        <f>'Korea EV uptake'!AB44</f>
        <v>64.999998909152126</v>
      </c>
      <c r="BN44">
        <v>2049</v>
      </c>
      <c r="BO44" s="13">
        <f>'Global EV uptake'!E100</f>
        <v>62.582432772917599</v>
      </c>
      <c r="BP44" s="13">
        <f t="shared" si="2"/>
        <v>64.340589886984404</v>
      </c>
    </row>
    <row r="45" spans="1:68">
      <c r="A45">
        <v>2050</v>
      </c>
      <c r="C45" s="13">
        <f>65*EXP('Australia EV uptake'!AH45)/(1+EXP('Australia EV uptake'!AH45))</f>
        <v>64.990985098600049</v>
      </c>
      <c r="D45" s="72">
        <f t="shared" si="26"/>
        <v>64.990985098600049</v>
      </c>
      <c r="E45" s="13">
        <f t="shared" si="21"/>
        <v>64.47672263953821</v>
      </c>
      <c r="F45" s="72">
        <f t="shared" ref="F45:F50" si="28">65*EXP(G45)/(1+EXP(G45))</f>
        <v>64.582394482003863</v>
      </c>
      <c r="G45" s="84">
        <f>L45-SUM(H$7:H45)</f>
        <v>5.0411598713155668</v>
      </c>
      <c r="H45" s="13">
        <f t="shared" si="10"/>
        <v>0.2</v>
      </c>
      <c r="I45" s="13">
        <f t="shared" si="11"/>
        <v>1</v>
      </c>
      <c r="J45" s="13">
        <f t="shared" si="12"/>
        <v>1</v>
      </c>
      <c r="K45" s="89">
        <f t="shared" si="24"/>
        <v>0.2</v>
      </c>
      <c r="L45" s="13">
        <f t="shared" si="18"/>
        <v>10.19115987131557</v>
      </c>
      <c r="M45" s="84">
        <v>3.2347804303732701</v>
      </c>
      <c r="N45" s="13">
        <f t="shared" si="27"/>
        <v>64.997562567629913</v>
      </c>
      <c r="O45" s="13">
        <f t="shared" si="5"/>
        <v>64.997562567629913</v>
      </c>
      <c r="P45" s="13">
        <f t="shared" si="6"/>
        <v>2052.6640011633081</v>
      </c>
      <c r="Q45" s="13">
        <f t="shared" si="7"/>
        <v>2019.078366838592</v>
      </c>
      <c r="R45" s="72">
        <f t="shared" si="22"/>
        <v>0.99808674644968876</v>
      </c>
      <c r="T45">
        <v>2050</v>
      </c>
      <c r="U45" s="13">
        <v>64.47672263953821</v>
      </c>
      <c r="V45" s="13">
        <v>64.47672263953821</v>
      </c>
      <c r="W45" s="13">
        <v>64.219843194926426</v>
      </c>
      <c r="Y45">
        <v>2050</v>
      </c>
      <c r="Z45" s="13">
        <v>62.229441868284653</v>
      </c>
      <c r="AA45" s="13">
        <f t="shared" si="14"/>
        <v>64.47672263953821</v>
      </c>
      <c r="AB45" s="13">
        <v>64.989358270995879</v>
      </c>
      <c r="AD45" s="72">
        <f t="shared" si="15"/>
        <v>64.990985098600049</v>
      </c>
      <c r="AH45" s="33">
        <f>AE$55+AE$56*'Australia EV uptake'!AK45+AE$57*'Australia EV uptake'!AL45+AE$58*'Australia EV uptake'!AM45+AE$59*AN45</f>
        <v>8.8831249292044667</v>
      </c>
      <c r="AK45">
        <v>41</v>
      </c>
      <c r="AL45" s="13">
        <v>0</v>
      </c>
      <c r="AM45" s="13">
        <v>0</v>
      </c>
      <c r="AN45" s="13">
        <v>0</v>
      </c>
      <c r="AO45" s="13"/>
      <c r="AP45">
        <v>2050</v>
      </c>
      <c r="AT45" s="13">
        <f t="shared" si="25"/>
        <v>45</v>
      </c>
      <c r="AU45">
        <v>46</v>
      </c>
      <c r="AV45" s="13">
        <v>42</v>
      </c>
      <c r="AX45">
        <f>LN(AU45/(65-AU45))</f>
        <v>0.88420241732265448</v>
      </c>
      <c r="BJ45">
        <v>2050</v>
      </c>
      <c r="BK45" s="13">
        <f t="shared" si="1"/>
        <v>64.990985098600049</v>
      </c>
      <c r="BL45" s="13">
        <f>'Korea EV uptake'!AB45</f>
        <v>64.999999454796082</v>
      </c>
      <c r="BN45">
        <v>2050</v>
      </c>
      <c r="BO45" s="13">
        <f>'Global EV uptake'!E101</f>
        <v>62.888374197685202</v>
      </c>
      <c r="BP45" s="13">
        <f t="shared" si="2"/>
        <v>64.47672263953821</v>
      </c>
    </row>
    <row r="46" spans="1:68">
      <c r="A46">
        <v>2051</v>
      </c>
      <c r="C46" s="13">
        <f>65*EXP('Australia EV uptake'!AH46)/(1+EXP('Australia EV uptake'!AH46))</f>
        <v>64.994170587140943</v>
      </c>
      <c r="D46" s="72">
        <f t="shared" si="26"/>
        <v>64.994170587140943</v>
      </c>
      <c r="E46" s="20">
        <f t="shared" si="21"/>
        <v>64.565246068624049</v>
      </c>
      <c r="F46" s="72">
        <f t="shared" si="28"/>
        <v>64.669741007986033</v>
      </c>
      <c r="G46" s="84">
        <f>L46-SUM(H$7:H46)</f>
        <v>5.277171518676143</v>
      </c>
      <c r="H46" s="13">
        <f t="shared" si="10"/>
        <v>0.2</v>
      </c>
      <c r="I46" s="13">
        <f t="shared" si="11"/>
        <v>1</v>
      </c>
      <c r="J46" s="13">
        <f t="shared" si="12"/>
        <v>1</v>
      </c>
      <c r="K46" s="89">
        <f t="shared" si="24"/>
        <v>0.2</v>
      </c>
      <c r="L46" s="13">
        <f t="shared" si="18"/>
        <v>10.627171518676146</v>
      </c>
      <c r="M46" s="84">
        <v>3.4275537526994846</v>
      </c>
      <c r="N46" s="13">
        <f t="shared" si="27"/>
        <v>64.998423910494935</v>
      </c>
      <c r="O46" s="13">
        <f t="shared" si="5"/>
        <v>64.998423910494935</v>
      </c>
      <c r="P46" s="13">
        <f t="shared" si="6"/>
        <v>2053.6640011633081</v>
      </c>
      <c r="Q46" s="13">
        <f t="shared" si="7"/>
        <v>2019.078366838592</v>
      </c>
      <c r="R46" s="72">
        <f t="shared" si="22"/>
        <v>0.99808674644968876</v>
      </c>
      <c r="T46">
        <v>2051</v>
      </c>
      <c r="Y46">
        <v>2051</v>
      </c>
      <c r="Z46" s="12"/>
      <c r="AA46" s="12"/>
      <c r="AD46" s="72">
        <f t="shared" si="15"/>
        <v>64.994170587140943</v>
      </c>
      <c r="AH46" s="33">
        <f>AE$55+AE$56*'Australia EV uptake'!AK46+AE$57*'Australia EV uptake'!AL46+AE$58*'Australia EV uptake'!AM46+AE$59*AN46</f>
        <v>9.3191365765735412</v>
      </c>
      <c r="AK46">
        <v>42</v>
      </c>
      <c r="AL46" s="13">
        <v>0</v>
      </c>
      <c r="AM46" s="13">
        <v>0</v>
      </c>
      <c r="AN46" s="13">
        <v>0</v>
      </c>
      <c r="AO46" s="13"/>
      <c r="BJ46">
        <v>2051</v>
      </c>
      <c r="BL46" s="13"/>
      <c r="BN46">
        <v>2051</v>
      </c>
      <c r="BO46" s="13">
        <f>'Global EV uptake'!E102</f>
        <v>63.156739285960086</v>
      </c>
      <c r="BP46" s="13">
        <f t="shared" si="2"/>
        <v>64.565246068624049</v>
      </c>
    </row>
    <row r="47" spans="1:68">
      <c r="A47">
        <v>2052</v>
      </c>
      <c r="C47" s="13">
        <f>65*EXP('Australia EV uptake'!AH47)/(1+EXP('Australia EV uptake'!AH47))</f>
        <v>64.996230522750281</v>
      </c>
      <c r="D47" s="72">
        <f t="shared" si="26"/>
        <v>64.996230522750281</v>
      </c>
      <c r="E47" s="20">
        <f t="shared" si="21"/>
        <v>64.611652118031927</v>
      </c>
      <c r="F47" s="72">
        <f t="shared" si="28"/>
        <v>64.738891965715055</v>
      </c>
      <c r="G47" s="84">
        <f>L47-SUM(H$7:H47)</f>
        <v>5.5131831660489317</v>
      </c>
      <c r="H47" s="13">
        <f t="shared" si="10"/>
        <v>0.2</v>
      </c>
      <c r="I47" s="13">
        <f t="shared" si="11"/>
        <v>1</v>
      </c>
      <c r="J47" s="13">
        <f t="shared" si="12"/>
        <v>1</v>
      </c>
      <c r="K47" s="89">
        <f t="shared" si="24"/>
        <v>0.2</v>
      </c>
      <c r="L47" s="13">
        <f t="shared" si="18"/>
        <v>11.063183166048935</v>
      </c>
      <c r="M47" s="84">
        <v>3.6203270998947232</v>
      </c>
      <c r="N47" s="13">
        <f t="shared" si="27"/>
        <v>64.998980875725749</v>
      </c>
      <c r="O47" s="13">
        <f t="shared" si="5"/>
        <v>64.998980875725749</v>
      </c>
      <c r="P47" s="13">
        <f t="shared" si="6"/>
        <v>2054.6640011633081</v>
      </c>
      <c r="Q47" s="13">
        <f t="shared" si="7"/>
        <v>2019.078366838592</v>
      </c>
      <c r="R47" s="72">
        <f t="shared" si="22"/>
        <v>0.99808674644968876</v>
      </c>
      <c r="T47">
        <v>2052</v>
      </c>
      <c r="Y47">
        <v>2052</v>
      </c>
      <c r="Z47" s="12"/>
      <c r="AA47" s="12"/>
      <c r="AD47" s="72">
        <f t="shared" si="15"/>
        <v>64.996230522750281</v>
      </c>
      <c r="AH47" s="33">
        <f>AE$55+AE$56*'Australia EV uptake'!AK47+AE$57*'Australia EV uptake'!AL47+AE$58*'Australia EV uptake'!AM47+AE$59*AN47</f>
        <v>9.7551482239426193</v>
      </c>
      <c r="AK47">
        <v>43</v>
      </c>
      <c r="AL47" s="13">
        <v>0</v>
      </c>
      <c r="AM47" s="13">
        <v>0</v>
      </c>
      <c r="AN47" s="13">
        <v>0</v>
      </c>
      <c r="AO47" s="13"/>
      <c r="BJ47">
        <v>2052</v>
      </c>
      <c r="BL47" s="13"/>
      <c r="BN47">
        <v>2052</v>
      </c>
      <c r="BO47" s="13">
        <f>'Global EV uptake'!E103</f>
        <v>63.391870176745392</v>
      </c>
      <c r="BP47" s="13">
        <f t="shared" si="2"/>
        <v>64.611652118031927</v>
      </c>
    </row>
    <row r="48" spans="1:68">
      <c r="A48">
        <v>2053</v>
      </c>
      <c r="C48" s="13">
        <f>65*EXP('Australia EV uptake'!AH48)/(1+EXP('Australia EV uptake'!AH48))</f>
        <v>64.997562567629913</v>
      </c>
      <c r="D48" s="72">
        <f t="shared" si="26"/>
        <v>64.997562567629913</v>
      </c>
      <c r="E48" s="20">
        <f t="shared" si="21"/>
        <v>64.634904936201295</v>
      </c>
      <c r="F48" s="72">
        <f t="shared" si="28"/>
        <v>64.681365315723752</v>
      </c>
      <c r="G48" s="84">
        <f>L48-SUM(H$7:H48)</f>
        <v>5.3131831660489315</v>
      </c>
      <c r="H48" s="13">
        <f t="shared" si="10"/>
        <v>0.2</v>
      </c>
      <c r="I48" s="13">
        <f t="shared" si="11"/>
        <v>1</v>
      </c>
      <c r="J48" s="13">
        <f t="shared" si="12"/>
        <v>1</v>
      </c>
      <c r="K48" s="89">
        <f t="shared" si="24"/>
        <v>0.2</v>
      </c>
      <c r="L48" s="13">
        <f t="shared" si="18"/>
        <v>11.063183166048935</v>
      </c>
      <c r="M48" s="84">
        <v>3.8131004073252264</v>
      </c>
      <c r="N48" s="13">
        <f t="shared" si="27"/>
        <v>64.998980875725749</v>
      </c>
      <c r="O48" s="13">
        <f t="shared" si="5"/>
        <v>64.998980875725749</v>
      </c>
      <c r="P48" s="13">
        <f t="shared" si="6"/>
        <v>2055.6640011633081</v>
      </c>
      <c r="Q48" s="13">
        <f t="shared" si="7"/>
        <v>2019.078366838592</v>
      </c>
      <c r="R48" s="72">
        <f t="shared" si="22"/>
        <v>0.99808674644968876</v>
      </c>
      <c r="T48">
        <v>2053</v>
      </c>
      <c r="Y48">
        <v>2053</v>
      </c>
      <c r="Z48" s="12"/>
      <c r="AA48" s="12"/>
      <c r="AD48" s="72">
        <f t="shared" si="15"/>
        <v>64.997562567629913</v>
      </c>
      <c r="AH48" s="33">
        <f>AE$55+AE$56*'Australia EV uptake'!AK48+AE$57*'Australia EV uptake'!AL48+AE$58*'Australia EV uptake'!AM48+AE$59*AN48</f>
        <v>10.191159871311694</v>
      </c>
      <c r="AK48">
        <v>44</v>
      </c>
      <c r="AL48" s="13">
        <v>0</v>
      </c>
      <c r="AM48" s="13">
        <v>0</v>
      </c>
      <c r="AN48" s="13">
        <v>0</v>
      </c>
      <c r="AO48" s="13"/>
      <c r="BJ48">
        <v>2053</v>
      </c>
      <c r="BL48" s="13"/>
      <c r="BN48">
        <v>2053</v>
      </c>
      <c r="BO48" s="13">
        <f>'Global EV uptake'!E104</f>
        <v>63.498209818976676</v>
      </c>
      <c r="BP48" s="13">
        <f t="shared" si="2"/>
        <v>64.634904936201295</v>
      </c>
    </row>
    <row r="49" spans="1:68">
      <c r="A49">
        <v>2054</v>
      </c>
      <c r="C49" s="13">
        <f>65*EXP('Australia EV uptake'!AH49)/(1+EXP('Australia EV uptake'!AH49))</f>
        <v>64.998423910494935</v>
      </c>
      <c r="D49" s="72">
        <f t="shared" si="26"/>
        <v>64.998423910494935</v>
      </c>
      <c r="E49" s="20">
        <f t="shared" si="21"/>
        <v>64.645407027040775</v>
      </c>
      <c r="F49" s="72">
        <f t="shared" si="28"/>
        <v>64.611240650848742</v>
      </c>
      <c r="G49" s="84">
        <f>L49-SUM(H$7:H49)</f>
        <v>5.1131831660489313</v>
      </c>
      <c r="H49" s="13">
        <f t="shared" si="10"/>
        <v>0.2</v>
      </c>
      <c r="I49" s="13">
        <f t="shared" si="11"/>
        <v>1</v>
      </c>
      <c r="J49" s="13">
        <f t="shared" si="12"/>
        <v>1</v>
      </c>
      <c r="K49" s="89">
        <f t="shared" si="24"/>
        <v>0.2</v>
      </c>
      <c r="L49" s="13">
        <f t="shared" si="18"/>
        <v>11.063183166048935</v>
      </c>
      <c r="M49" s="84">
        <v>4</v>
      </c>
      <c r="N49" s="13">
        <f t="shared" si="27"/>
        <v>64.998980875725749</v>
      </c>
      <c r="O49" s="13">
        <f t="shared" si="5"/>
        <v>64.998980875725749</v>
      </c>
      <c r="P49" s="13">
        <f t="shared" si="6"/>
        <v>2056.6640011633081</v>
      </c>
      <c r="Q49" s="13">
        <f t="shared" si="7"/>
        <v>2019.078366838592</v>
      </c>
      <c r="R49" s="72">
        <f t="shared" si="22"/>
        <v>0.99808674644968876</v>
      </c>
      <c r="T49">
        <v>2054</v>
      </c>
      <c r="Y49">
        <v>2054</v>
      </c>
      <c r="Z49" s="12"/>
      <c r="AA49" s="12"/>
      <c r="AD49" s="72">
        <f t="shared" si="15"/>
        <v>64.998423910494935</v>
      </c>
      <c r="AH49" s="33">
        <f>AE$55+AE$56*'Australia EV uptake'!AK49+AE$57*'Australia EV uptake'!AL49+AE$58*'Australia EV uptake'!AM49+AE$59*AN49</f>
        <v>10.627171518680772</v>
      </c>
      <c r="AK49">
        <v>45</v>
      </c>
      <c r="AL49" s="13">
        <v>0</v>
      </c>
      <c r="AM49" s="13">
        <v>0</v>
      </c>
      <c r="AN49" s="13">
        <v>0</v>
      </c>
      <c r="AO49" s="13"/>
      <c r="BJ49">
        <v>2054</v>
      </c>
      <c r="BL49" s="13"/>
      <c r="BN49">
        <v>2054</v>
      </c>
      <c r="BO49" s="13">
        <f>'Global EV uptake'!E105</f>
        <v>63.59767317165285</v>
      </c>
      <c r="BP49" s="13">
        <f t="shared" si="2"/>
        <v>64.645407027040775</v>
      </c>
    </row>
    <row r="50" spans="1:68">
      <c r="A50">
        <v>2055</v>
      </c>
      <c r="C50" s="13">
        <f>65*EXP('Australia EV uptake'!AH50)/(1+EXP('Australia EV uptake'!AH50))</f>
        <v>64.998980875725749</v>
      </c>
      <c r="D50" s="72">
        <f t="shared" si="26"/>
        <v>64.998980875725749</v>
      </c>
      <c r="E50" s="20">
        <f t="shared" si="21"/>
        <v>64.639323531804479</v>
      </c>
      <c r="F50" s="72">
        <f t="shared" si="28"/>
        <v>64.525796194930336</v>
      </c>
      <c r="G50" s="84">
        <f>L50-SUM(H$7:H50)</f>
        <v>4.9131831660489311</v>
      </c>
      <c r="H50" s="13">
        <f t="shared" si="10"/>
        <v>0.2</v>
      </c>
      <c r="I50" s="13">
        <f t="shared" si="11"/>
        <v>1</v>
      </c>
      <c r="J50" s="13">
        <f t="shared" si="12"/>
        <v>1</v>
      </c>
      <c r="K50" s="89">
        <f t="shared" si="24"/>
        <v>0.2</v>
      </c>
      <c r="L50" s="13">
        <f t="shared" si="18"/>
        <v>11.063183166048935</v>
      </c>
      <c r="M50" s="84">
        <v>4.2</v>
      </c>
      <c r="N50" s="13">
        <f t="shared" si="27"/>
        <v>64.998980875725749</v>
      </c>
      <c r="O50" s="13">
        <f t="shared" si="5"/>
        <v>64.998980875725749</v>
      </c>
      <c r="P50" s="13">
        <f t="shared" si="6"/>
        <v>2057.6640011633081</v>
      </c>
      <c r="Q50" s="13">
        <f t="shared" si="7"/>
        <v>2019.078366838592</v>
      </c>
      <c r="R50" s="72">
        <f t="shared" si="22"/>
        <v>0.99808674644968876</v>
      </c>
      <c r="T50">
        <v>2055</v>
      </c>
      <c r="Y50">
        <v>2055</v>
      </c>
      <c r="Z50" s="12"/>
      <c r="AA50" s="12"/>
      <c r="AD50" s="72">
        <f t="shared" si="15"/>
        <v>64.998980875725749</v>
      </c>
      <c r="AH50" s="33">
        <f>AE$55+AE$56*'Australia EV uptake'!AK50+AE$57*'Australia EV uptake'!AL50+AE$58*'Australia EV uptake'!AM50+AE$59*AN50</f>
        <v>11.063183166049846</v>
      </c>
      <c r="AK50">
        <v>46</v>
      </c>
      <c r="AL50" s="13">
        <v>0</v>
      </c>
      <c r="AM50" s="13">
        <v>0</v>
      </c>
      <c r="AN50" s="13">
        <v>0</v>
      </c>
      <c r="AO50" s="13"/>
      <c r="BJ50">
        <v>2055</v>
      </c>
      <c r="BL50" s="13"/>
      <c r="BN50">
        <v>2055</v>
      </c>
      <c r="BO50" s="13">
        <f>'Global EV uptake'!E106</f>
        <v>63.690684911682133</v>
      </c>
      <c r="BP50" s="13">
        <f t="shared" si="2"/>
        <v>64.639323531804479</v>
      </c>
    </row>
    <row r="51" spans="1:68">
      <c r="O51" s="33"/>
      <c r="V51" s="160"/>
      <c r="AA51" s="160"/>
      <c r="BL51" s="13"/>
      <c r="BP51" s="13"/>
    </row>
    <row r="52" spans="1:68">
      <c r="BL52" s="13"/>
    </row>
    <row r="55" spans="1:68">
      <c r="M55" s="41" t="str">
        <f>' All EV uptake'!D46</f>
        <v>Intercept</v>
      </c>
      <c r="N55" s="41">
        <f>' All EV uptake'!E46</f>
        <v>2006.0956444042549</v>
      </c>
      <c r="AD55" s="41" t="s">
        <v>159</v>
      </c>
      <c r="AE55" s="41">
        <v>-8.9933526129276515</v>
      </c>
      <c r="AF55">
        <v>-8.9701459063416955</v>
      </c>
    </row>
    <row r="56" spans="1:68">
      <c r="M56" s="41" t="str">
        <f>' All EV uptake'!D47</f>
        <v>EV/FFV cost ratio</v>
      </c>
      <c r="N56" s="41">
        <f>' All EV uptake'!E47</f>
        <v>10.783904112355547</v>
      </c>
      <c r="AD56" t="s">
        <v>329</v>
      </c>
      <c r="AE56" s="41">
        <v>0.43601164736907605</v>
      </c>
      <c r="AF56">
        <v>0.42649877430470912</v>
      </c>
    </row>
    <row r="57" spans="1:68">
      <c r="M57" s="41" t="str">
        <f>' All EV uptake'!D48</f>
        <v>dumKorea</v>
      </c>
      <c r="N57" s="41">
        <f>' All EV uptake'!E48</f>
        <v>3.2747008164932261</v>
      </c>
      <c r="AD57" t="s">
        <v>327</v>
      </c>
      <c r="AE57" s="41">
        <v>0.73417179548889999</v>
      </c>
      <c r="AF57">
        <v>0.77063809100152791</v>
      </c>
    </row>
    <row r="58" spans="1:68">
      <c r="M58" s="41" t="str">
        <f>' All EV uptake'!D49</f>
        <v>dumUK</v>
      </c>
      <c r="N58" s="41">
        <f>' All EV uptake'!E49</f>
        <v>2.7276845521810786</v>
      </c>
      <c r="AD58" t="s">
        <v>1096</v>
      </c>
      <c r="AE58" s="41">
        <v>-0.62742725052301562</v>
      </c>
      <c r="AF58">
        <v>-0.61722380616869399</v>
      </c>
    </row>
    <row r="59" spans="1:68" ht="15.75" thickBot="1">
      <c r="M59" s="41" t="str">
        <f>' All EV uptake'!D50</f>
        <v>dumNeth</v>
      </c>
      <c r="N59" s="41">
        <f>' All EV uptake'!E50</f>
        <v>-1.2544269368470402</v>
      </c>
      <c r="AD59" t="s">
        <v>1367</v>
      </c>
      <c r="AE59" s="42">
        <v>-0.2150947966871809</v>
      </c>
    </row>
    <row r="60" spans="1:68">
      <c r="M60" s="41" t="str">
        <f>' All EV uptake'!D51</f>
        <v>dumChina</v>
      </c>
      <c r="N60" s="41">
        <f>' All EV uptake'!E51</f>
        <v>1.6840641661301363</v>
      </c>
    </row>
    <row r="61" spans="1:68">
      <c r="M61" s="41" t="str">
        <f>' All EV uptake'!D52</f>
        <v>dumDenmark</v>
      </c>
      <c r="N61" s="41">
        <f>' All EV uptake'!E52</f>
        <v>3.2654872236791634</v>
      </c>
    </row>
    <row r="62" spans="1:68">
      <c r="M62" s="41" t="str">
        <f>' All EV uptake'!D53</f>
        <v>dumIreland</v>
      </c>
      <c r="N62" s="41">
        <f>' All EV uptake'!E53</f>
        <v>3.5582490934682056</v>
      </c>
    </row>
    <row r="63" spans="1:68">
      <c r="M63" s="41" t="str">
        <f>' All EV uptake'!D54</f>
        <v>dumNZ</v>
      </c>
      <c r="N63" s="41">
        <f>' All EV uptake'!E54</f>
        <v>1.900474768762227</v>
      </c>
    </row>
    <row r="64" spans="1:68">
      <c r="M64" s="41" t="str">
        <f>' All EV uptake'!D55</f>
        <v>dumSwitzerland</v>
      </c>
      <c r="N64" s="41">
        <f>' All EV uptake'!E55</f>
        <v>-2.1041729879229703</v>
      </c>
    </row>
    <row r="65" spans="13:14">
      <c r="M65" s="41" t="str">
        <f>' All EV uptake'!D56</f>
        <v>dumSpain</v>
      </c>
      <c r="N65" s="41">
        <f>' All EV uptake'!E56</f>
        <v>4.4168133039283006</v>
      </c>
    </row>
    <row r="66" spans="13:14">
      <c r="M66" s="41" t="str">
        <f>' All EV uptake'!D57</f>
        <v>dumIndia</v>
      </c>
      <c r="N66" s="41">
        <f>' All EV uptake'!E57</f>
        <v>8.3918907463589623</v>
      </c>
    </row>
    <row r="67" spans="13:14">
      <c r="M67" s="41" t="str">
        <f>' All EV uptake'!D58</f>
        <v>dumUSA</v>
      </c>
      <c r="N67" s="41">
        <f>' All EV uptake'!E58</f>
        <v>2.1386885311349126</v>
      </c>
    </row>
    <row r="68" spans="13:14">
      <c r="M68" s="41" t="str">
        <f>' All EV uptake'!D59</f>
        <v>dumAustria</v>
      </c>
      <c r="N68" s="41">
        <f>' All EV uptake'!E59</f>
        <v>-0.86657486911619475</v>
      </c>
    </row>
    <row r="69" spans="13:14">
      <c r="M69" s="41" t="str">
        <f>' All EV uptake'!D60</f>
        <v>dumItaly</v>
      </c>
      <c r="N69" s="41">
        <f>' All EV uptake'!E60</f>
        <v>2.0513905871244105</v>
      </c>
    </row>
    <row r="70" spans="13:14">
      <c r="M70" s="41" t="str">
        <f>' All EV uptake'!D61</f>
        <v>dumJapan</v>
      </c>
      <c r="N70" s="41">
        <f>' All EV uptake'!E61</f>
        <v>4.0948893434577212</v>
      </c>
    </row>
    <row r="71" spans="13:14">
      <c r="M71" s="41" t="str">
        <f>' All EV uptake'!D62</f>
        <v>dumAustralia</v>
      </c>
      <c r="N71" s="41">
        <f>' All EV uptake'!E62</f>
        <v>2.2194506648107137</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U258"/>
  <sheetViews>
    <sheetView zoomScale="75" zoomScaleNormal="75" workbookViewId="0">
      <selection activeCell="J37" sqref="J37"/>
    </sheetView>
  </sheetViews>
  <sheetFormatPr defaultRowHeight="15"/>
  <cols>
    <col min="2" max="2" width="12.7109375" customWidth="1"/>
    <col min="4" max="5" width="11.5703125" customWidth="1"/>
    <col min="8" max="8" width="9.140625" customWidth="1"/>
    <col min="9" max="9" width="14" customWidth="1"/>
    <col min="10" max="10" width="10.85546875" customWidth="1"/>
    <col min="11" max="11" width="9.140625" customWidth="1"/>
    <col min="13" max="13" width="10.28515625" customWidth="1"/>
    <col min="18" max="19" width="10.42578125" customWidth="1"/>
    <col min="21" max="21" width="12.140625" customWidth="1"/>
    <col min="22" max="22" width="13.5703125" customWidth="1"/>
    <col min="26" max="26" width="9.140625" style="33"/>
    <col min="30" max="30" width="11.85546875" customWidth="1"/>
    <col min="31" max="32" width="12.140625" customWidth="1"/>
    <col min="33" max="33" width="12.7109375" customWidth="1"/>
    <col min="34" max="36" width="10.7109375" customWidth="1"/>
    <col min="44" max="44" width="11" customWidth="1"/>
  </cols>
  <sheetData>
    <row r="1" spans="1:47">
      <c r="A1" t="s">
        <v>5</v>
      </c>
      <c r="B1" t="s">
        <v>1395</v>
      </c>
      <c r="C1" t="s">
        <v>726</v>
      </c>
      <c r="D1" t="s">
        <v>726</v>
      </c>
      <c r="E1" t="s">
        <v>498</v>
      </c>
      <c r="F1" t="s">
        <v>726</v>
      </c>
      <c r="G1" t="s">
        <v>726</v>
      </c>
      <c r="H1" t="s">
        <v>726</v>
      </c>
      <c r="I1" t="s">
        <v>726</v>
      </c>
      <c r="J1" t="s">
        <v>726</v>
      </c>
      <c r="O1" t="s">
        <v>726</v>
      </c>
      <c r="P1" t="s">
        <v>726</v>
      </c>
      <c r="Q1" t="s">
        <v>726</v>
      </c>
      <c r="Y1" t="s">
        <v>730</v>
      </c>
      <c r="Z1" s="33" t="s">
        <v>715</v>
      </c>
      <c r="AA1" t="s">
        <v>1181</v>
      </c>
      <c r="AB1" t="s">
        <v>1181</v>
      </c>
      <c r="AC1" t="s">
        <v>1181</v>
      </c>
      <c r="AF1" t="s">
        <v>408</v>
      </c>
    </row>
    <row r="2" spans="1:47">
      <c r="B2" t="s">
        <v>710</v>
      </c>
      <c r="C2" t="s">
        <v>710</v>
      </c>
      <c r="D2" t="s">
        <v>805</v>
      </c>
      <c r="E2" t="s">
        <v>723</v>
      </c>
      <c r="F2" t="s">
        <v>806</v>
      </c>
      <c r="G2" t="s">
        <v>269</v>
      </c>
      <c r="H2" t="s">
        <v>721</v>
      </c>
      <c r="I2" t="s">
        <v>755</v>
      </c>
      <c r="J2" t="s">
        <v>269</v>
      </c>
      <c r="O2" t="s">
        <v>269</v>
      </c>
      <c r="P2" t="s">
        <v>717</v>
      </c>
      <c r="Q2" t="s">
        <v>725</v>
      </c>
      <c r="W2" t="s">
        <v>722</v>
      </c>
      <c r="Z2" s="33" t="s">
        <v>1181</v>
      </c>
      <c r="AA2" t="s">
        <v>338</v>
      </c>
      <c r="AB2" t="s">
        <v>1182</v>
      </c>
      <c r="AC2" t="s">
        <v>1183</v>
      </c>
      <c r="AR2" t="s">
        <v>531</v>
      </c>
    </row>
    <row r="3" spans="1:47">
      <c r="A3">
        <v>2009</v>
      </c>
      <c r="B3" s="3">
        <f>AB3</f>
        <v>29.592572886961211</v>
      </c>
      <c r="C3" s="3">
        <f t="shared" ref="C3:C24" si="0">B3*W3*1000</f>
        <v>37943.265817272229</v>
      </c>
      <c r="D3" s="3">
        <f>0.03*C3</f>
        <v>1138.2979745181669</v>
      </c>
      <c r="E3">
        <v>10</v>
      </c>
      <c r="F3" s="3">
        <f>E3/100*C3</f>
        <v>3794.3265817272231</v>
      </c>
      <c r="G3" s="3">
        <f>C3+D3+F3</f>
        <v>42875.890373517621</v>
      </c>
      <c r="H3">
        <v>0</v>
      </c>
      <c r="I3" s="3">
        <v>2200</v>
      </c>
      <c r="J3" s="3">
        <f>G3+H3+I3</f>
        <v>45075.890373517621</v>
      </c>
      <c r="N3">
        <v>2009</v>
      </c>
      <c r="O3" s="3">
        <f>J3</f>
        <v>45075.890373517621</v>
      </c>
      <c r="P3" s="3">
        <f t="shared" ref="P3:P24" si="1">J49</f>
        <v>45075.890373517621</v>
      </c>
      <c r="Q3" s="3">
        <f t="shared" ref="Q3:Q24" si="2">G95</f>
        <v>33324.087174096676</v>
      </c>
      <c r="V3">
        <v>2009</v>
      </c>
      <c r="W3">
        <v>1.28218881008452</v>
      </c>
      <c r="Y3" s="3">
        <f>B95</f>
        <v>23</v>
      </c>
      <c r="Z3">
        <v>1</v>
      </c>
      <c r="AA3" s="3">
        <f t="shared" ref="AA3:AA23" si="3">AB3*Z3</f>
        <v>29.592572886961211</v>
      </c>
      <c r="AB3" s="3">
        <f>'Vehicle price'!T5</f>
        <v>29.592572886961211</v>
      </c>
      <c r="AC3" s="3">
        <f>AB3*AD3</f>
        <v>29.592572886961211</v>
      </c>
      <c r="AD3">
        <v>1</v>
      </c>
      <c r="AR3" t="s">
        <v>520</v>
      </c>
    </row>
    <row r="4" spans="1:47">
      <c r="A4">
        <v>2010</v>
      </c>
      <c r="B4" s="3">
        <f t="shared" ref="B4:B24" si="4">AB4</f>
        <v>30</v>
      </c>
      <c r="C4" s="3">
        <f t="shared" si="0"/>
        <v>32610.763363619073</v>
      </c>
      <c r="D4" s="3">
        <f t="shared" ref="D4:D24" si="5">0.03*C4</f>
        <v>978.32290090857214</v>
      </c>
      <c r="E4">
        <v>10</v>
      </c>
      <c r="F4" s="3">
        <f t="shared" ref="F4:F12" si="6">E4/100*C4</f>
        <v>3261.0763363619076</v>
      </c>
      <c r="G4" s="3">
        <f t="shared" ref="G4:G12" si="7">C4+D4+F4</f>
        <v>36850.162600889547</v>
      </c>
      <c r="H4">
        <v>0</v>
      </c>
      <c r="I4" s="3">
        <v>2200</v>
      </c>
      <c r="J4" s="3">
        <f t="shared" ref="J4:J11" si="8">G4+H4+I4</f>
        <v>39050.162600889547</v>
      </c>
      <c r="N4">
        <v>2010</v>
      </c>
      <c r="O4" s="3">
        <f t="shared" ref="O4:O12" si="9">J4</f>
        <v>39050.162600889547</v>
      </c>
      <c r="P4" s="3">
        <f t="shared" si="1"/>
        <v>39050.162600889547</v>
      </c>
      <c r="Q4" s="3">
        <f t="shared" si="2"/>
        <v>28251.791327348656</v>
      </c>
      <c r="V4">
        <v>2010</v>
      </c>
      <c r="W4">
        <v>1.087025445453969</v>
      </c>
      <c r="Y4" s="3">
        <f t="shared" ref="Y4:Y24" si="10">B96</f>
        <v>23</v>
      </c>
      <c r="Z4">
        <v>1</v>
      </c>
      <c r="AA4" s="3">
        <f t="shared" si="3"/>
        <v>30</v>
      </c>
      <c r="AB4" s="3">
        <f>'Vehicle price'!T6</f>
        <v>30</v>
      </c>
      <c r="AC4" s="3">
        <f t="shared" ref="AC4:AC24" si="11">AB4*AD4</f>
        <v>30</v>
      </c>
      <c r="AD4">
        <v>1</v>
      </c>
      <c r="AF4" t="s">
        <v>409</v>
      </c>
      <c r="AG4" s="118">
        <v>4.1666666666666664E-2</v>
      </c>
      <c r="AH4" t="s">
        <v>410</v>
      </c>
      <c r="AI4" t="s">
        <v>411</v>
      </c>
      <c r="AJ4" t="s">
        <v>412</v>
      </c>
      <c r="AK4" t="s">
        <v>413</v>
      </c>
      <c r="AL4" t="s">
        <v>414</v>
      </c>
      <c r="AM4" t="s">
        <v>415</v>
      </c>
      <c r="AR4" t="s">
        <v>517</v>
      </c>
    </row>
    <row r="5" spans="1:47">
      <c r="A5">
        <v>2011</v>
      </c>
      <c r="B5" s="3">
        <f t="shared" si="4"/>
        <v>30</v>
      </c>
      <c r="C5" s="3">
        <f t="shared" si="0"/>
        <v>28827.443726427558</v>
      </c>
      <c r="D5" s="3">
        <f t="shared" si="5"/>
        <v>864.82331179282676</v>
      </c>
      <c r="E5">
        <v>10</v>
      </c>
      <c r="F5" s="3">
        <f t="shared" si="6"/>
        <v>2882.7443726427559</v>
      </c>
      <c r="G5" s="3">
        <f t="shared" si="7"/>
        <v>32575.011410863142</v>
      </c>
      <c r="H5">
        <v>0</v>
      </c>
      <c r="I5" s="3">
        <v>2200</v>
      </c>
      <c r="J5" s="3">
        <f t="shared" si="8"/>
        <v>34775.011410863139</v>
      </c>
      <c r="N5">
        <v>2011</v>
      </c>
      <c r="O5" s="3">
        <f t="shared" si="9"/>
        <v>34775.011410863139</v>
      </c>
      <c r="P5" s="3">
        <f t="shared" si="1"/>
        <v>34775.011410863139</v>
      </c>
      <c r="Q5" s="3">
        <f t="shared" si="2"/>
        <v>24974.175414995072</v>
      </c>
      <c r="V5">
        <v>2011</v>
      </c>
      <c r="W5">
        <v>0.96091479088091858</v>
      </c>
      <c r="Y5" s="3">
        <f t="shared" si="10"/>
        <v>23</v>
      </c>
      <c r="Z5">
        <v>1</v>
      </c>
      <c r="AA5" s="3">
        <f t="shared" si="3"/>
        <v>30</v>
      </c>
      <c r="AB5" s="3">
        <f>'Vehicle price'!T7</f>
        <v>30</v>
      </c>
      <c r="AC5" s="3">
        <f t="shared" si="11"/>
        <v>30</v>
      </c>
      <c r="AD5">
        <v>1</v>
      </c>
      <c r="AR5" t="s">
        <v>518</v>
      </c>
      <c r="AS5" t="s">
        <v>251</v>
      </c>
      <c r="AT5" t="s">
        <v>519</v>
      </c>
      <c r="AU5" t="s">
        <v>532</v>
      </c>
    </row>
    <row r="6" spans="1:47">
      <c r="A6">
        <v>2012</v>
      </c>
      <c r="B6" s="3">
        <f t="shared" si="4"/>
        <v>30.842462459493706</v>
      </c>
      <c r="C6" s="3">
        <f t="shared" si="0"/>
        <v>29677.616030304263</v>
      </c>
      <c r="D6" s="3">
        <f t="shared" si="5"/>
        <v>890.32848090912785</v>
      </c>
      <c r="E6">
        <v>10</v>
      </c>
      <c r="F6" s="3">
        <f t="shared" si="6"/>
        <v>2967.7616030304266</v>
      </c>
      <c r="G6" s="3">
        <f t="shared" si="7"/>
        <v>33535.706114243818</v>
      </c>
      <c r="H6">
        <v>0</v>
      </c>
      <c r="I6" s="3">
        <v>2200</v>
      </c>
      <c r="J6" s="3">
        <f t="shared" si="8"/>
        <v>35735.706114243818</v>
      </c>
      <c r="N6">
        <v>2012</v>
      </c>
      <c r="O6" s="3">
        <f t="shared" si="9"/>
        <v>35735.706114243818</v>
      </c>
      <c r="P6" s="3">
        <f t="shared" si="1"/>
        <v>35735.706114243818</v>
      </c>
      <c r="Q6" s="3">
        <f t="shared" si="2"/>
        <v>25008.419533317297</v>
      </c>
      <c r="V6">
        <v>2012</v>
      </c>
      <c r="W6">
        <v>0.96223237911955739</v>
      </c>
      <c r="Y6" s="3">
        <f t="shared" si="10"/>
        <v>23</v>
      </c>
      <c r="Z6">
        <v>1</v>
      </c>
      <c r="AA6" s="3">
        <f t="shared" si="3"/>
        <v>30.842462459493706</v>
      </c>
      <c r="AB6" s="3">
        <f>'Vehicle price'!T8</f>
        <v>30.842462459493706</v>
      </c>
      <c r="AC6" s="3">
        <f t="shared" si="11"/>
        <v>30.842462459493706</v>
      </c>
      <c r="AD6">
        <v>1</v>
      </c>
      <c r="AG6">
        <v>2013</v>
      </c>
      <c r="AH6">
        <v>2014</v>
      </c>
      <c r="AI6">
        <v>2015</v>
      </c>
      <c r="AJ6">
        <v>2016</v>
      </c>
      <c r="AQ6">
        <v>2013</v>
      </c>
      <c r="AR6">
        <v>899965</v>
      </c>
      <c r="AS6" s="3">
        <f>AR6/1000</f>
        <v>899.96500000000003</v>
      </c>
      <c r="AT6">
        <v>900</v>
      </c>
      <c r="AU6">
        <v>1104531</v>
      </c>
    </row>
    <row r="7" spans="1:47">
      <c r="A7">
        <v>2013</v>
      </c>
      <c r="B7" s="3">
        <f t="shared" si="4"/>
        <v>31.143929334439989</v>
      </c>
      <c r="C7" s="3">
        <f t="shared" si="0"/>
        <v>32440.185062564979</v>
      </c>
      <c r="D7" s="3">
        <f t="shared" si="5"/>
        <v>973.20555187694936</v>
      </c>
      <c r="E7">
        <v>10</v>
      </c>
      <c r="F7" s="3">
        <f t="shared" si="6"/>
        <v>3244.0185062564979</v>
      </c>
      <c r="G7" s="3">
        <f t="shared" si="7"/>
        <v>36657.40912069843</v>
      </c>
      <c r="H7">
        <v>0</v>
      </c>
      <c r="I7" s="3">
        <v>2200</v>
      </c>
      <c r="J7" s="3">
        <f t="shared" si="8"/>
        <v>38857.40912069843</v>
      </c>
      <c r="N7">
        <v>2013</v>
      </c>
      <c r="O7" s="3">
        <f t="shared" si="9"/>
        <v>38857.40912069843</v>
      </c>
      <c r="P7" s="3">
        <f t="shared" si="1"/>
        <v>38857.40912069843</v>
      </c>
      <c r="Q7" s="3">
        <f t="shared" si="2"/>
        <v>27071.741677878563</v>
      </c>
      <c r="V7">
        <v>2013</v>
      </c>
      <c r="W7">
        <v>1.0416214574020224</v>
      </c>
      <c r="Y7" s="3">
        <f t="shared" si="10"/>
        <v>23</v>
      </c>
      <c r="Z7">
        <v>1</v>
      </c>
      <c r="AA7" s="3">
        <f t="shared" si="3"/>
        <v>31.143929334439989</v>
      </c>
      <c r="AB7" s="3">
        <f>'Vehicle price'!T9</f>
        <v>31.143929334439989</v>
      </c>
      <c r="AC7" s="3">
        <f t="shared" si="11"/>
        <v>31.143929334439989</v>
      </c>
      <c r="AD7">
        <v>1</v>
      </c>
      <c r="AF7" t="s">
        <v>416</v>
      </c>
      <c r="AG7" s="92">
        <v>1104531</v>
      </c>
      <c r="AH7" s="92">
        <v>1081899</v>
      </c>
      <c r="AI7" s="92">
        <v>1123224</v>
      </c>
      <c r="AJ7" s="92">
        <v>1145024</v>
      </c>
      <c r="AQ7">
        <v>2014</v>
      </c>
      <c r="AR7">
        <v>883949</v>
      </c>
      <c r="AS7" s="3">
        <f>AR7/1000</f>
        <v>883.94899999999996</v>
      </c>
      <c r="AT7">
        <v>884</v>
      </c>
      <c r="AU7">
        <v>1081899</v>
      </c>
    </row>
    <row r="8" spans="1:47">
      <c r="A8">
        <v>2014</v>
      </c>
      <c r="B8" s="3">
        <f t="shared" si="4"/>
        <v>33.541755956678692</v>
      </c>
      <c r="C8" s="3">
        <f t="shared" si="0"/>
        <v>37310.073366717123</v>
      </c>
      <c r="D8" s="3">
        <f t="shared" si="5"/>
        <v>1119.3022010015136</v>
      </c>
      <c r="E8">
        <v>10</v>
      </c>
      <c r="F8" s="3">
        <f t="shared" si="6"/>
        <v>3731.0073366717124</v>
      </c>
      <c r="G8" s="3">
        <f t="shared" si="7"/>
        <v>42160.382904390346</v>
      </c>
      <c r="H8">
        <v>0</v>
      </c>
      <c r="I8" s="3">
        <v>2200</v>
      </c>
      <c r="J8" s="3">
        <f t="shared" si="8"/>
        <v>44360.382904390346</v>
      </c>
      <c r="N8">
        <v>2014</v>
      </c>
      <c r="O8" s="3">
        <f t="shared" si="9"/>
        <v>44360.382904390346</v>
      </c>
      <c r="P8" s="3">
        <f t="shared" si="1"/>
        <v>44360.382904390346</v>
      </c>
      <c r="Q8" s="3">
        <f t="shared" si="2"/>
        <v>28909.899888765292</v>
      </c>
      <c r="V8">
        <v>2014</v>
      </c>
      <c r="W8">
        <v>1.1123470522803114</v>
      </c>
      <c r="Y8" s="3">
        <f t="shared" si="10"/>
        <v>23</v>
      </c>
      <c r="Z8">
        <v>1</v>
      </c>
      <c r="AA8" s="3">
        <f t="shared" si="3"/>
        <v>33.541755956678692</v>
      </c>
      <c r="AB8" s="3">
        <f>'Vehicle price'!T10</f>
        <v>33.541755956678692</v>
      </c>
      <c r="AC8" s="3">
        <f t="shared" si="11"/>
        <v>33.541755956678692</v>
      </c>
      <c r="AD8">
        <v>1</v>
      </c>
      <c r="AF8" t="s">
        <v>417</v>
      </c>
      <c r="AG8" s="92">
        <v>340552</v>
      </c>
      <c r="AH8" s="92">
        <v>331270</v>
      </c>
      <c r="AI8" s="92">
        <v>334052</v>
      </c>
      <c r="AJ8" s="92">
        <v>363007</v>
      </c>
      <c r="AQ8">
        <v>2015</v>
      </c>
      <c r="AR8">
        <v>924154</v>
      </c>
      <c r="AS8" s="3">
        <f>AR8/1000</f>
        <v>924.154</v>
      </c>
      <c r="AT8">
        <v>924</v>
      </c>
      <c r="AU8">
        <v>1123224</v>
      </c>
    </row>
    <row r="9" spans="1:47">
      <c r="A9">
        <v>2015</v>
      </c>
      <c r="B9" s="3">
        <f t="shared" si="4"/>
        <v>30</v>
      </c>
      <c r="C9" s="3">
        <f t="shared" si="0"/>
        <v>40188.439125678182</v>
      </c>
      <c r="D9" s="3">
        <f t="shared" si="5"/>
        <v>1205.6531737703453</v>
      </c>
      <c r="E9">
        <v>10</v>
      </c>
      <c r="F9" s="3">
        <f t="shared" si="6"/>
        <v>4018.8439125678183</v>
      </c>
      <c r="G9" s="3">
        <f t="shared" si="7"/>
        <v>45412.93621201635</v>
      </c>
      <c r="H9">
        <v>0</v>
      </c>
      <c r="I9" s="3">
        <v>2200</v>
      </c>
      <c r="J9" s="3">
        <f t="shared" si="8"/>
        <v>47612.93621201635</v>
      </c>
      <c r="N9">
        <v>2015</v>
      </c>
      <c r="O9" s="3">
        <f t="shared" si="9"/>
        <v>47612.93621201635</v>
      </c>
      <c r="P9" s="3">
        <f t="shared" si="1"/>
        <v>47612.93621201635</v>
      </c>
      <c r="Q9" s="3">
        <f t="shared" si="2"/>
        <v>34816.584429212533</v>
      </c>
      <c r="V9">
        <v>2015</v>
      </c>
      <c r="W9">
        <v>1.3396146375226059</v>
      </c>
      <c r="Y9" s="3">
        <f t="shared" si="10"/>
        <v>23</v>
      </c>
      <c r="Z9">
        <v>1</v>
      </c>
      <c r="AA9" s="3">
        <f t="shared" si="3"/>
        <v>30</v>
      </c>
      <c r="AB9" s="3">
        <f>'Vehicle price'!T11</f>
        <v>30</v>
      </c>
      <c r="AC9" s="3">
        <f t="shared" si="11"/>
        <v>30</v>
      </c>
      <c r="AD9">
        <v>1</v>
      </c>
      <c r="AF9" s="14" t="s">
        <v>418</v>
      </c>
      <c r="AG9" s="14">
        <v>292</v>
      </c>
      <c r="AH9" s="119">
        <v>1135</v>
      </c>
      <c r="AI9" s="119">
        <v>1108</v>
      </c>
      <c r="AJ9" s="14">
        <v>219</v>
      </c>
      <c r="AQ9">
        <v>2016</v>
      </c>
      <c r="AR9">
        <v>927280</v>
      </c>
      <c r="AS9" s="3">
        <f>AR9/1000</f>
        <v>927.28</v>
      </c>
      <c r="AU9">
        <v>1145024</v>
      </c>
    </row>
    <row r="10" spans="1:47">
      <c r="A10">
        <v>2016</v>
      </c>
      <c r="B10" s="3">
        <f t="shared" si="4"/>
        <v>30</v>
      </c>
      <c r="C10" s="3">
        <f t="shared" si="0"/>
        <v>40354.67273481375</v>
      </c>
      <c r="D10" s="3">
        <f t="shared" si="5"/>
        <v>1210.6401820444125</v>
      </c>
      <c r="E10">
        <v>10</v>
      </c>
      <c r="F10" s="3">
        <f t="shared" si="6"/>
        <v>4035.4672734813753</v>
      </c>
      <c r="G10" s="3">
        <f t="shared" si="7"/>
        <v>45600.780190339538</v>
      </c>
      <c r="H10">
        <v>0</v>
      </c>
      <c r="I10" s="3">
        <v>2200</v>
      </c>
      <c r="J10" s="3">
        <f t="shared" si="8"/>
        <v>47800.780190339538</v>
      </c>
      <c r="N10">
        <v>2016</v>
      </c>
      <c r="O10" s="3">
        <f t="shared" si="9"/>
        <v>47800.780190339538</v>
      </c>
      <c r="P10" s="3">
        <f t="shared" si="1"/>
        <v>47800.780190339538</v>
      </c>
      <c r="Q10" s="3">
        <f t="shared" si="2"/>
        <v>34960.598145926975</v>
      </c>
      <c r="V10">
        <v>2016</v>
      </c>
      <c r="W10">
        <v>1.3451557578271249</v>
      </c>
      <c r="Y10" s="3">
        <f t="shared" si="10"/>
        <v>23</v>
      </c>
      <c r="Z10">
        <v>1</v>
      </c>
      <c r="AA10" s="3">
        <f t="shared" si="3"/>
        <v>30</v>
      </c>
      <c r="AB10" s="3">
        <f>'Vehicle price'!T12</f>
        <v>30</v>
      </c>
      <c r="AC10" s="3">
        <f t="shared" si="11"/>
        <v>30</v>
      </c>
      <c r="AD10">
        <v>1</v>
      </c>
      <c r="AF10" t="s">
        <v>419</v>
      </c>
      <c r="AG10" s="92">
        <v>11949</v>
      </c>
      <c r="AH10" s="92">
        <v>11950</v>
      </c>
      <c r="AI10" s="92">
        <v>12138</v>
      </c>
      <c r="AJ10" s="92">
        <v>12625</v>
      </c>
      <c r="AQ10">
        <v>2017</v>
      </c>
      <c r="AR10">
        <v>892590</v>
      </c>
      <c r="AS10" s="3">
        <f>AR10/1000</f>
        <v>892.59</v>
      </c>
    </row>
    <row r="11" spans="1:47">
      <c r="A11">
        <v>2017</v>
      </c>
      <c r="B11" s="3">
        <f t="shared" si="4"/>
        <v>30</v>
      </c>
      <c r="C11" s="3">
        <f t="shared" si="0"/>
        <v>39004.095430020156</v>
      </c>
      <c r="D11" s="3">
        <f t="shared" si="5"/>
        <v>1170.1228629006046</v>
      </c>
      <c r="E11">
        <v>10</v>
      </c>
      <c r="F11" s="3">
        <f t="shared" si="6"/>
        <v>3900.4095430020157</v>
      </c>
      <c r="G11" s="3">
        <f t="shared" si="7"/>
        <v>44074.62783592278</v>
      </c>
      <c r="H11">
        <v>0</v>
      </c>
      <c r="I11" s="3">
        <v>2200</v>
      </c>
      <c r="J11" s="3">
        <f t="shared" si="8"/>
        <v>46274.62783592278</v>
      </c>
      <c r="N11">
        <v>2017</v>
      </c>
      <c r="O11" s="3">
        <f t="shared" si="9"/>
        <v>46274.62783592278</v>
      </c>
      <c r="P11" s="3">
        <f t="shared" si="1"/>
        <v>46274.62783592278</v>
      </c>
      <c r="Q11" s="3">
        <f t="shared" si="2"/>
        <v>33790.548007540798</v>
      </c>
      <c r="V11">
        <v>2017</v>
      </c>
      <c r="W11">
        <v>1.3001365143340053</v>
      </c>
      <c r="Y11" s="3">
        <f t="shared" si="10"/>
        <v>23</v>
      </c>
      <c r="Z11">
        <v>1</v>
      </c>
      <c r="AA11" s="3">
        <f t="shared" si="3"/>
        <v>30</v>
      </c>
      <c r="AB11" s="3">
        <f>'Vehicle price'!T13</f>
        <v>30</v>
      </c>
      <c r="AC11" s="3">
        <f t="shared" si="11"/>
        <v>30</v>
      </c>
      <c r="AD11">
        <v>1</v>
      </c>
      <c r="AF11" t="s">
        <v>420</v>
      </c>
      <c r="AG11" s="92">
        <v>4704</v>
      </c>
      <c r="AH11" s="92">
        <v>2932</v>
      </c>
      <c r="AI11" s="92">
        <v>2061</v>
      </c>
      <c r="AJ11">
        <v>612</v>
      </c>
    </row>
    <row r="12" spans="1:47">
      <c r="A12">
        <v>2018</v>
      </c>
      <c r="B12" s="3">
        <f t="shared" si="4"/>
        <v>30.592100851060948</v>
      </c>
      <c r="C12" s="3">
        <f t="shared" si="0"/>
        <v>41299.336148932285</v>
      </c>
      <c r="D12" s="3">
        <f t="shared" si="5"/>
        <v>1238.9800844679685</v>
      </c>
      <c r="E12">
        <v>10</v>
      </c>
      <c r="F12" s="3">
        <f t="shared" si="6"/>
        <v>4129.9336148932289</v>
      </c>
      <c r="G12" s="3">
        <f t="shared" si="7"/>
        <v>46668.249848293483</v>
      </c>
      <c r="H12">
        <v>0</v>
      </c>
      <c r="I12" s="3">
        <v>2200</v>
      </c>
      <c r="J12" s="3">
        <f>G12+H12+I12</f>
        <v>48868.249848293483</v>
      </c>
      <c r="N12">
        <v>2018</v>
      </c>
      <c r="O12" s="3">
        <f t="shared" si="9"/>
        <v>48868.249848293483</v>
      </c>
      <c r="P12" s="3">
        <f t="shared" si="1"/>
        <v>48868.249848293483</v>
      </c>
      <c r="Q12" s="3">
        <f t="shared" si="2"/>
        <v>35086.5</v>
      </c>
      <c r="V12">
        <v>2018</v>
      </c>
      <c r="W12" s="14">
        <v>1.35</v>
      </c>
      <c r="Y12" s="3">
        <f t="shared" si="10"/>
        <v>23</v>
      </c>
      <c r="Z12">
        <v>1</v>
      </c>
      <c r="AA12" s="3">
        <f t="shared" si="3"/>
        <v>30.592100851060948</v>
      </c>
      <c r="AB12" s="3">
        <f>'Vehicle price'!T14</f>
        <v>30.592100851060948</v>
      </c>
      <c r="AC12" s="3">
        <f t="shared" si="11"/>
        <v>30.592100851060948</v>
      </c>
      <c r="AD12">
        <v>1</v>
      </c>
      <c r="AF12" t="s">
        <v>421</v>
      </c>
      <c r="AG12" s="92">
        <v>747034</v>
      </c>
      <c r="AH12" s="92">
        <v>734612</v>
      </c>
      <c r="AI12" s="92">
        <v>773865</v>
      </c>
      <c r="AJ12" s="92">
        <v>768561</v>
      </c>
    </row>
    <row r="13" spans="1:47">
      <c r="A13">
        <v>2019</v>
      </c>
      <c r="B13" s="3">
        <f t="shared" si="4"/>
        <v>31.172994053473918</v>
      </c>
      <c r="C13" s="3">
        <f t="shared" si="0"/>
        <v>42083.541972189792</v>
      </c>
      <c r="D13" s="3">
        <f t="shared" si="5"/>
        <v>1262.5062591656938</v>
      </c>
      <c r="E13">
        <v>10</v>
      </c>
      <c r="F13" s="3">
        <f t="shared" ref="F13:F24" si="12">E13/100*C13</f>
        <v>4208.3541972189796</v>
      </c>
      <c r="G13" s="3">
        <f t="shared" ref="G13:G24" si="13">C13+D13+F13</f>
        <v>47554.402428574467</v>
      </c>
      <c r="H13">
        <v>0</v>
      </c>
      <c r="I13" s="3">
        <v>2200</v>
      </c>
      <c r="J13" s="3">
        <f>G13+H13+I13</f>
        <v>49754.402428574467</v>
      </c>
      <c r="N13">
        <v>2019</v>
      </c>
      <c r="O13" s="3">
        <f t="shared" ref="O13:O24" si="14">J13</f>
        <v>49754.402428574467</v>
      </c>
      <c r="P13" s="3">
        <f t="shared" si="1"/>
        <v>49754.402428574467</v>
      </c>
      <c r="Q13" s="3">
        <f t="shared" si="2"/>
        <v>35086.5</v>
      </c>
      <c r="V13">
        <v>2019</v>
      </c>
      <c r="W13" s="14">
        <v>1.35</v>
      </c>
      <c r="Y13" s="3">
        <f t="shared" si="10"/>
        <v>23</v>
      </c>
      <c r="Z13" s="20">
        <f>Z12+(Z24-Z12)/12</f>
        <v>1.0249999999999999</v>
      </c>
      <c r="AA13" s="3">
        <f t="shared" si="3"/>
        <v>31.952318904810763</v>
      </c>
      <c r="AB13" s="3">
        <f>'Vehicle price'!T15</f>
        <v>31.172994053473918</v>
      </c>
      <c r="AC13" s="3">
        <f t="shared" si="11"/>
        <v>30.393669202137069</v>
      </c>
      <c r="AD13" s="20">
        <f>AD12+(AD24-AD12)/12</f>
        <v>0.97499999999999998</v>
      </c>
    </row>
    <row r="14" spans="1:47">
      <c r="A14">
        <v>2020</v>
      </c>
      <c r="B14" s="3">
        <f t="shared" si="4"/>
        <v>30.985903123425071</v>
      </c>
      <c r="C14" s="3">
        <f t="shared" si="0"/>
        <v>41830.969216623846</v>
      </c>
      <c r="D14" s="3">
        <f t="shared" si="5"/>
        <v>1254.9290764987154</v>
      </c>
      <c r="E14">
        <v>10</v>
      </c>
      <c r="F14" s="3">
        <f t="shared" si="12"/>
        <v>4183.0969216623844</v>
      </c>
      <c r="G14" s="3">
        <f t="shared" si="13"/>
        <v>47268.995214784947</v>
      </c>
      <c r="H14">
        <v>0</v>
      </c>
      <c r="I14" s="3">
        <v>2200</v>
      </c>
      <c r="J14" s="3">
        <f t="shared" ref="J14:J24" si="15">G14+H14+I14</f>
        <v>49468.995214784947</v>
      </c>
      <c r="N14">
        <v>2020</v>
      </c>
      <c r="O14" s="3">
        <f t="shared" si="14"/>
        <v>49468.995214784947</v>
      </c>
      <c r="P14" s="3">
        <f t="shared" si="1"/>
        <v>49468.995214784947</v>
      </c>
      <c r="Q14" s="3">
        <f t="shared" si="2"/>
        <v>35086.5</v>
      </c>
      <c r="V14">
        <v>2020</v>
      </c>
      <c r="W14" s="14">
        <v>1.35</v>
      </c>
      <c r="Y14" s="3">
        <f t="shared" si="10"/>
        <v>23</v>
      </c>
      <c r="Z14" s="20">
        <f>Z13+(Z24-Z12)/12</f>
        <v>1.0499999999999998</v>
      </c>
      <c r="AA14" s="3">
        <f t="shared" si="3"/>
        <v>32.535198279596322</v>
      </c>
      <c r="AB14" s="3">
        <f>'Vehicle price'!T16</f>
        <v>30.985903123425071</v>
      </c>
      <c r="AC14" s="3">
        <f t="shared" si="11"/>
        <v>29.436607967253817</v>
      </c>
      <c r="AD14" s="20">
        <f>AD13+(AD24-AD12)/12</f>
        <v>0.95</v>
      </c>
    </row>
    <row r="15" spans="1:47">
      <c r="A15">
        <v>2021</v>
      </c>
      <c r="B15" s="3">
        <f t="shared" si="4"/>
        <v>30.206708843097807</v>
      </c>
      <c r="C15" s="3">
        <f t="shared" si="0"/>
        <v>40779.056938182046</v>
      </c>
      <c r="D15" s="3">
        <f t="shared" si="5"/>
        <v>1223.3717081454613</v>
      </c>
      <c r="E15">
        <v>10</v>
      </c>
      <c r="F15" s="3">
        <f t="shared" si="12"/>
        <v>4077.9056938182048</v>
      </c>
      <c r="G15" s="3">
        <f t="shared" si="13"/>
        <v>46080.33434014571</v>
      </c>
      <c r="H15">
        <v>0</v>
      </c>
      <c r="I15" s="3">
        <v>2200</v>
      </c>
      <c r="J15" s="3">
        <f t="shared" si="15"/>
        <v>48280.33434014571</v>
      </c>
      <c r="N15">
        <v>2021</v>
      </c>
      <c r="O15" s="3">
        <f t="shared" si="14"/>
        <v>48280.33434014571</v>
      </c>
      <c r="P15" s="3">
        <f t="shared" si="1"/>
        <v>48280.33434014571</v>
      </c>
      <c r="Q15" s="3">
        <f t="shared" si="2"/>
        <v>35086.5</v>
      </c>
      <c r="V15">
        <v>2021</v>
      </c>
      <c r="W15" s="14">
        <v>1.35</v>
      </c>
      <c r="Y15" s="3">
        <f t="shared" si="10"/>
        <v>23</v>
      </c>
      <c r="Z15" s="20">
        <f>Z14+(Z24-Z12)/12</f>
        <v>1.0749999999999997</v>
      </c>
      <c r="AA15" s="3">
        <f t="shared" si="3"/>
        <v>32.472212006330132</v>
      </c>
      <c r="AB15" s="3">
        <f>'Vehicle price'!T17</f>
        <v>30.206708843097807</v>
      </c>
      <c r="AC15" s="3">
        <f t="shared" si="11"/>
        <v>27.941205679865469</v>
      </c>
      <c r="AD15" s="20">
        <f>AD14+(AD24-AD12)/12</f>
        <v>0.92499999999999993</v>
      </c>
      <c r="AF15" t="s">
        <v>458</v>
      </c>
    </row>
    <row r="16" spans="1:47">
      <c r="A16">
        <v>2022</v>
      </c>
      <c r="B16" s="3">
        <f t="shared" si="4"/>
        <v>30.642454642697771</v>
      </c>
      <c r="C16" s="3">
        <f t="shared" si="0"/>
        <v>41367.313767641994</v>
      </c>
      <c r="D16" s="3">
        <f t="shared" si="5"/>
        <v>1241.0194130292598</v>
      </c>
      <c r="E16">
        <v>10</v>
      </c>
      <c r="F16" s="3">
        <f t="shared" si="12"/>
        <v>4136.7313767641999</v>
      </c>
      <c r="G16" s="3">
        <f t="shared" si="13"/>
        <v>46745.064557435449</v>
      </c>
      <c r="H16">
        <v>0</v>
      </c>
      <c r="I16" s="3">
        <v>2200</v>
      </c>
      <c r="J16" s="3">
        <f t="shared" si="15"/>
        <v>48945.064557435449</v>
      </c>
      <c r="N16">
        <v>2022</v>
      </c>
      <c r="O16" s="3">
        <f t="shared" si="14"/>
        <v>48945.064557435449</v>
      </c>
      <c r="P16" s="3">
        <f t="shared" si="1"/>
        <v>48945.064557435449</v>
      </c>
      <c r="Q16" s="3">
        <f t="shared" si="2"/>
        <v>35086.5</v>
      </c>
      <c r="V16">
        <v>2022</v>
      </c>
      <c r="W16" s="14">
        <v>1.35</v>
      </c>
      <c r="Y16" s="3">
        <f t="shared" si="10"/>
        <v>23</v>
      </c>
      <c r="Z16" s="20">
        <f>Z15+(Z24-Z12)/12</f>
        <v>1.0999999999999996</v>
      </c>
      <c r="AA16" s="3">
        <f t="shared" si="3"/>
        <v>33.706700106967538</v>
      </c>
      <c r="AB16" s="3">
        <f>'Vehicle price'!T18</f>
        <v>30.642454642697771</v>
      </c>
      <c r="AC16" s="3">
        <f t="shared" si="11"/>
        <v>27.57820917842799</v>
      </c>
      <c r="AD16" s="20">
        <f>AD15+(AD24-AD12)/12</f>
        <v>0.89999999999999991</v>
      </c>
      <c r="AG16" t="s">
        <v>362</v>
      </c>
      <c r="AH16" t="s">
        <v>251</v>
      </c>
      <c r="AI16" t="s">
        <v>251</v>
      </c>
    </row>
    <row r="17" spans="1:35">
      <c r="A17">
        <v>2023</v>
      </c>
      <c r="B17" s="3">
        <f t="shared" si="4"/>
        <v>30.361546257811007</v>
      </c>
      <c r="C17" s="3">
        <f t="shared" si="0"/>
        <v>40988.087448044862</v>
      </c>
      <c r="D17" s="3">
        <f t="shared" si="5"/>
        <v>1229.6426234413459</v>
      </c>
      <c r="E17">
        <v>10</v>
      </c>
      <c r="F17" s="3">
        <f t="shared" si="12"/>
        <v>4098.8087448044862</v>
      </c>
      <c r="G17" s="3">
        <f t="shared" si="13"/>
        <v>46316.538816290689</v>
      </c>
      <c r="H17">
        <v>0</v>
      </c>
      <c r="I17" s="3">
        <v>2200</v>
      </c>
      <c r="J17" s="3">
        <f t="shared" si="15"/>
        <v>48516.538816290689</v>
      </c>
      <c r="N17">
        <v>2023</v>
      </c>
      <c r="O17" s="3">
        <f t="shared" si="14"/>
        <v>48516.538816290689</v>
      </c>
      <c r="P17" s="3">
        <f t="shared" si="1"/>
        <v>48516.538816290689</v>
      </c>
      <c r="Q17" s="3">
        <f t="shared" si="2"/>
        <v>35086.5</v>
      </c>
      <c r="V17">
        <v>2023</v>
      </c>
      <c r="W17" s="14">
        <v>1.35</v>
      </c>
      <c r="Y17" s="3">
        <f t="shared" si="10"/>
        <v>23</v>
      </c>
      <c r="Z17" s="20">
        <f>Z16+(Z24-Z12)/12</f>
        <v>1.1249999999999996</v>
      </c>
      <c r="AA17" s="3">
        <f t="shared" si="3"/>
        <v>34.156739540037371</v>
      </c>
      <c r="AB17" s="3">
        <f>'Vehicle price'!T19</f>
        <v>30.361546257811007</v>
      </c>
      <c r="AC17" s="3">
        <f t="shared" si="11"/>
        <v>26.566352975584628</v>
      </c>
      <c r="AD17" s="20">
        <f>AD16+(AD24-AD12)/12</f>
        <v>0.87499999999999989</v>
      </c>
      <c r="AG17" t="s">
        <v>456</v>
      </c>
      <c r="AH17" t="s">
        <v>456</v>
      </c>
      <c r="AI17" t="s">
        <v>457</v>
      </c>
    </row>
    <row r="18" spans="1:35">
      <c r="A18">
        <v>2024</v>
      </c>
      <c r="B18" s="3">
        <f t="shared" si="4"/>
        <v>29.275640447464834</v>
      </c>
      <c r="C18" s="3">
        <f t="shared" si="0"/>
        <v>39522.114604077527</v>
      </c>
      <c r="D18" s="3">
        <f t="shared" si="5"/>
        <v>1185.6634381223257</v>
      </c>
      <c r="E18">
        <v>10</v>
      </c>
      <c r="F18" s="3">
        <f t="shared" si="12"/>
        <v>3952.2114604077528</v>
      </c>
      <c r="G18" s="3">
        <f t="shared" si="13"/>
        <v>44659.989502607605</v>
      </c>
      <c r="H18">
        <v>0</v>
      </c>
      <c r="I18" s="3">
        <v>2200</v>
      </c>
      <c r="J18" s="3">
        <f t="shared" si="15"/>
        <v>46859.989502607605</v>
      </c>
      <c r="N18">
        <v>2024</v>
      </c>
      <c r="O18" s="3">
        <f t="shared" si="14"/>
        <v>46859.989502607605</v>
      </c>
      <c r="P18" s="3">
        <f t="shared" si="1"/>
        <v>46859.989502607605</v>
      </c>
      <c r="Q18" s="3">
        <f t="shared" si="2"/>
        <v>35086.5</v>
      </c>
      <c r="V18">
        <v>2024</v>
      </c>
      <c r="W18" s="14">
        <v>1.35</v>
      </c>
      <c r="Y18" s="3">
        <f t="shared" si="10"/>
        <v>23</v>
      </c>
      <c r="Z18" s="20">
        <f>Z17+(Z24-Z12)/12</f>
        <v>1.1499999999999995</v>
      </c>
      <c r="AA18" s="3">
        <f t="shared" si="3"/>
        <v>33.666986514584543</v>
      </c>
      <c r="AB18" s="3">
        <f>'Vehicle price'!T20</f>
        <v>29.275640447464834</v>
      </c>
      <c r="AC18" s="3">
        <f t="shared" si="11"/>
        <v>24.884294380345104</v>
      </c>
      <c r="AD18" s="20">
        <f>AD17+(AD24-AD12)/12</f>
        <v>0.84999999999999987</v>
      </c>
      <c r="AF18">
        <v>2011</v>
      </c>
      <c r="AG18">
        <v>49</v>
      </c>
      <c r="AH18" s="13">
        <f t="shared" ref="AH18:AH23" si="16">AG18/1000</f>
        <v>4.9000000000000002E-2</v>
      </c>
      <c r="AI18" s="13">
        <v>0.13900000000000001</v>
      </c>
    </row>
    <row r="19" spans="1:35">
      <c r="A19">
        <v>2025</v>
      </c>
      <c r="B19" s="3">
        <f t="shared" si="4"/>
        <v>28.343375828936317</v>
      </c>
      <c r="C19" s="3">
        <f t="shared" si="0"/>
        <v>38263.55736906403</v>
      </c>
      <c r="D19" s="3">
        <f t="shared" si="5"/>
        <v>1147.9067210719209</v>
      </c>
      <c r="E19">
        <v>10</v>
      </c>
      <c r="F19" s="3">
        <f t="shared" si="12"/>
        <v>3826.3557369064033</v>
      </c>
      <c r="G19" s="3">
        <f t="shared" si="13"/>
        <v>43237.819827042353</v>
      </c>
      <c r="H19">
        <v>0</v>
      </c>
      <c r="I19" s="3">
        <v>2200</v>
      </c>
      <c r="J19" s="3">
        <f t="shared" si="15"/>
        <v>45437.819827042353</v>
      </c>
      <c r="N19">
        <v>2025</v>
      </c>
      <c r="O19" s="3">
        <f t="shared" si="14"/>
        <v>45437.819827042353</v>
      </c>
      <c r="P19" s="3">
        <f t="shared" si="1"/>
        <v>45437.819827042353</v>
      </c>
      <c r="Q19" s="3">
        <f t="shared" si="2"/>
        <v>35086.5</v>
      </c>
      <c r="V19">
        <v>2025</v>
      </c>
      <c r="W19" s="14">
        <v>1.35</v>
      </c>
      <c r="Y19" s="3">
        <f t="shared" si="10"/>
        <v>23</v>
      </c>
      <c r="Z19" s="20">
        <f>Z18+(Z24-Z12)/12</f>
        <v>1.1749999999999994</v>
      </c>
      <c r="AA19" s="3">
        <f t="shared" si="3"/>
        <v>33.303466599000153</v>
      </c>
      <c r="AB19" s="3">
        <f>'Vehicle price'!T21</f>
        <v>28.343375828936317</v>
      </c>
      <c r="AC19" s="3">
        <f t="shared" si="11"/>
        <v>23.383285058872456</v>
      </c>
      <c r="AD19" s="20">
        <f>AD18+(AD24-AD12)/12</f>
        <v>0.82499999999999984</v>
      </c>
      <c r="AF19">
        <v>2012</v>
      </c>
      <c r="AG19">
        <v>253</v>
      </c>
      <c r="AH19" s="13">
        <f t="shared" si="16"/>
        <v>0.253</v>
      </c>
      <c r="AI19" s="13">
        <v>0.121</v>
      </c>
    </row>
    <row r="20" spans="1:35">
      <c r="A20">
        <v>2026</v>
      </c>
      <c r="B20" s="3">
        <f t="shared" si="4"/>
        <v>27.812270474504896</v>
      </c>
      <c r="C20" s="3">
        <f t="shared" si="0"/>
        <v>37546.56514058161</v>
      </c>
      <c r="D20" s="3">
        <f t="shared" si="5"/>
        <v>1126.3969542174482</v>
      </c>
      <c r="E20">
        <v>10</v>
      </c>
      <c r="F20" s="3">
        <f t="shared" si="12"/>
        <v>3754.6565140581611</v>
      </c>
      <c r="G20" s="3">
        <f t="shared" si="13"/>
        <v>42427.618608857214</v>
      </c>
      <c r="H20">
        <v>0</v>
      </c>
      <c r="I20" s="3">
        <v>2200</v>
      </c>
      <c r="J20" s="3">
        <f t="shared" si="15"/>
        <v>44627.618608857214</v>
      </c>
      <c r="N20">
        <v>2026</v>
      </c>
      <c r="O20" s="3">
        <f t="shared" si="14"/>
        <v>44627.618608857214</v>
      </c>
      <c r="P20" s="3">
        <f t="shared" si="1"/>
        <v>44627.618608857214</v>
      </c>
      <c r="Q20" s="3">
        <f t="shared" si="2"/>
        <v>35086.5</v>
      </c>
      <c r="V20">
        <v>2026</v>
      </c>
      <c r="W20" s="14">
        <v>1.35</v>
      </c>
      <c r="Y20" s="3">
        <f t="shared" si="10"/>
        <v>23</v>
      </c>
      <c r="Z20" s="20">
        <f>Z19+(Z24-Z12)/12</f>
        <v>1.1999999999999993</v>
      </c>
      <c r="AA20" s="3">
        <f t="shared" si="3"/>
        <v>33.374724569405856</v>
      </c>
      <c r="AB20" s="3">
        <f>'Vehicle price'!T22</f>
        <v>27.812270474504896</v>
      </c>
      <c r="AC20" s="3">
        <f t="shared" si="11"/>
        <v>22.24981637960391</v>
      </c>
      <c r="AD20" s="20">
        <f>AD19+(AD24-AD12)/12</f>
        <v>0.79999999999999982</v>
      </c>
      <c r="AF20">
        <v>2013</v>
      </c>
      <c r="AG20">
        <v>293</v>
      </c>
      <c r="AH20" s="13">
        <f t="shared" si="16"/>
        <v>0.29299999999999998</v>
      </c>
      <c r="AI20" s="13">
        <v>0.32800000000000001</v>
      </c>
    </row>
    <row r="21" spans="1:35">
      <c r="A21">
        <v>2027</v>
      </c>
      <c r="B21" s="3">
        <f t="shared" si="4"/>
        <v>27.281165120073478</v>
      </c>
      <c r="C21" s="3">
        <f t="shared" si="0"/>
        <v>36829.572912099196</v>
      </c>
      <c r="D21" s="3">
        <f t="shared" si="5"/>
        <v>1104.887187362976</v>
      </c>
      <c r="E21">
        <v>10</v>
      </c>
      <c r="F21" s="3">
        <f t="shared" si="12"/>
        <v>3682.9572912099197</v>
      </c>
      <c r="G21" s="3">
        <f t="shared" si="13"/>
        <v>41617.41739067209</v>
      </c>
      <c r="H21">
        <v>0</v>
      </c>
      <c r="I21" s="3">
        <v>2200</v>
      </c>
      <c r="J21" s="3">
        <f t="shared" si="15"/>
        <v>43817.41739067209</v>
      </c>
      <c r="N21">
        <v>2027</v>
      </c>
      <c r="O21" s="3">
        <f t="shared" si="14"/>
        <v>43817.41739067209</v>
      </c>
      <c r="P21" s="3">
        <f t="shared" si="1"/>
        <v>43817.41739067209</v>
      </c>
      <c r="Q21" s="3">
        <f t="shared" si="2"/>
        <v>35086.5</v>
      </c>
      <c r="V21">
        <v>2027</v>
      </c>
      <c r="W21" s="14">
        <v>1.35</v>
      </c>
      <c r="Y21" s="3">
        <f t="shared" si="10"/>
        <v>23</v>
      </c>
      <c r="Z21" s="20">
        <f>Z20+(Z24-Z12)/12</f>
        <v>1.2249999999999992</v>
      </c>
      <c r="AA21" s="3">
        <f t="shared" si="3"/>
        <v>33.41942727208999</v>
      </c>
      <c r="AB21" s="3">
        <f>'Vehicle price'!T23</f>
        <v>27.281165120073478</v>
      </c>
      <c r="AC21" s="3">
        <f t="shared" si="11"/>
        <v>21.142902968056941</v>
      </c>
      <c r="AD21" s="20">
        <f>AD20+(AD24-AD12)/12</f>
        <v>0.7749999999999998</v>
      </c>
      <c r="AF21">
        <v>2014</v>
      </c>
      <c r="AG21">
        <v>1322</v>
      </c>
      <c r="AH21" s="13">
        <f t="shared" si="16"/>
        <v>1.3220000000000001</v>
      </c>
      <c r="AI21" s="20">
        <v>0.379</v>
      </c>
    </row>
    <row r="22" spans="1:35">
      <c r="A22">
        <v>2028</v>
      </c>
      <c r="B22" s="3">
        <f t="shared" si="4"/>
        <v>26.683671596338133</v>
      </c>
      <c r="C22" s="3">
        <f t="shared" si="0"/>
        <v>36022.956655056485</v>
      </c>
      <c r="D22" s="3">
        <f t="shared" si="5"/>
        <v>1080.6886996516946</v>
      </c>
      <c r="E22">
        <v>10</v>
      </c>
      <c r="F22" s="3">
        <f t="shared" si="12"/>
        <v>3602.2956655056487</v>
      </c>
      <c r="G22" s="3">
        <f t="shared" si="13"/>
        <v>40705.941020213824</v>
      </c>
      <c r="H22">
        <v>0</v>
      </c>
      <c r="I22" s="3">
        <v>2200</v>
      </c>
      <c r="J22" s="3">
        <f t="shared" si="15"/>
        <v>42905.941020213824</v>
      </c>
      <c r="N22">
        <v>2028</v>
      </c>
      <c r="O22" s="3">
        <f t="shared" si="14"/>
        <v>42905.941020213824</v>
      </c>
      <c r="P22" s="3">
        <f t="shared" si="1"/>
        <v>42905.941020213824</v>
      </c>
      <c r="Q22" s="3">
        <f t="shared" si="2"/>
        <v>35086.5</v>
      </c>
      <c r="V22">
        <v>2028</v>
      </c>
      <c r="W22" s="14">
        <v>1.35</v>
      </c>
      <c r="Y22" s="3">
        <f t="shared" si="10"/>
        <v>23</v>
      </c>
      <c r="Z22" s="20">
        <f>Z21+(Z24-Z12)/12</f>
        <v>1.2499999999999991</v>
      </c>
      <c r="AA22" s="3">
        <f t="shared" si="3"/>
        <v>33.354589495422644</v>
      </c>
      <c r="AB22" s="3">
        <f>'Vehicle price'!T24</f>
        <v>26.683671596338133</v>
      </c>
      <c r="AC22" s="3">
        <f t="shared" si="11"/>
        <v>20.012753697253594</v>
      </c>
      <c r="AD22" s="20">
        <f>AD21+(AD24-AD12)/12</f>
        <v>0.74999999999999978</v>
      </c>
      <c r="AF22">
        <v>2015</v>
      </c>
      <c r="AG22">
        <v>1771</v>
      </c>
      <c r="AH22" s="13">
        <f t="shared" si="16"/>
        <v>1.7709999999999999</v>
      </c>
      <c r="AI22" s="13">
        <v>1.81</v>
      </c>
    </row>
    <row r="23" spans="1:35">
      <c r="A23">
        <v>2029</v>
      </c>
      <c r="B23" s="3">
        <f t="shared" si="4"/>
        <v>26.152566241906715</v>
      </c>
      <c r="C23" s="3">
        <f t="shared" si="0"/>
        <v>35305.964426574072</v>
      </c>
      <c r="D23" s="3">
        <f t="shared" si="5"/>
        <v>1059.1789327972222</v>
      </c>
      <c r="E23">
        <v>10</v>
      </c>
      <c r="F23" s="3">
        <f t="shared" si="12"/>
        <v>3530.5964426574074</v>
      </c>
      <c r="G23" s="3">
        <f t="shared" si="13"/>
        <v>39895.7398020287</v>
      </c>
      <c r="H23">
        <v>0</v>
      </c>
      <c r="I23" s="3">
        <v>2200</v>
      </c>
      <c r="J23" s="3">
        <f t="shared" si="15"/>
        <v>42095.7398020287</v>
      </c>
      <c r="N23">
        <v>2029</v>
      </c>
      <c r="O23" s="3">
        <f t="shared" si="14"/>
        <v>42095.7398020287</v>
      </c>
      <c r="P23" s="3">
        <f t="shared" si="1"/>
        <v>42095.7398020287</v>
      </c>
      <c r="Q23" s="3">
        <f t="shared" si="2"/>
        <v>35086.5</v>
      </c>
      <c r="V23">
        <v>2029</v>
      </c>
      <c r="W23" s="14">
        <v>1.35</v>
      </c>
      <c r="Y23" s="3">
        <f t="shared" si="10"/>
        <v>23</v>
      </c>
      <c r="Z23" s="20">
        <f>Z22+(Z24-Z12)/12</f>
        <v>1.274999999999999</v>
      </c>
      <c r="AA23" s="3">
        <f t="shared" si="3"/>
        <v>33.344521958431038</v>
      </c>
      <c r="AB23" s="3">
        <f>'Vehicle price'!T25</f>
        <v>26.152566241906715</v>
      </c>
      <c r="AC23" s="3">
        <f t="shared" si="11"/>
        <v>18.960610525382361</v>
      </c>
      <c r="AD23" s="20">
        <f>AD22+(AD24-AD12)/12</f>
        <v>0.72499999999999976</v>
      </c>
      <c r="AF23">
        <v>2016</v>
      </c>
      <c r="AG23">
        <v>1369</v>
      </c>
      <c r="AH23" s="13">
        <f t="shared" si="16"/>
        <v>1.369</v>
      </c>
      <c r="AI23" s="13">
        <v>1.6639999999999999</v>
      </c>
    </row>
    <row r="24" spans="1:35">
      <c r="A24">
        <v>2030</v>
      </c>
      <c r="B24" s="3">
        <f t="shared" si="4"/>
        <v>25.55507271817137</v>
      </c>
      <c r="C24" s="3">
        <f t="shared" si="0"/>
        <v>34499.348169531353</v>
      </c>
      <c r="D24" s="3">
        <f t="shared" si="5"/>
        <v>1034.9804450859406</v>
      </c>
      <c r="E24">
        <v>10</v>
      </c>
      <c r="F24" s="3">
        <f t="shared" si="12"/>
        <v>3449.9348169531354</v>
      </c>
      <c r="G24" s="3">
        <f t="shared" si="13"/>
        <v>38984.263431570427</v>
      </c>
      <c r="H24">
        <v>0</v>
      </c>
      <c r="I24" s="3">
        <v>2200</v>
      </c>
      <c r="J24" s="3">
        <f t="shared" si="15"/>
        <v>41184.263431570427</v>
      </c>
      <c r="N24">
        <v>2030</v>
      </c>
      <c r="O24" s="3">
        <f t="shared" si="14"/>
        <v>41184.263431570427</v>
      </c>
      <c r="P24" s="3">
        <f t="shared" si="1"/>
        <v>41184.263431570427</v>
      </c>
      <c r="Q24" s="3">
        <f t="shared" si="2"/>
        <v>35086.5</v>
      </c>
      <c r="V24">
        <v>2030</v>
      </c>
      <c r="W24" s="14">
        <v>1.35</v>
      </c>
      <c r="Y24" s="3">
        <f t="shared" si="10"/>
        <v>23</v>
      </c>
      <c r="Z24">
        <v>1.3</v>
      </c>
      <c r="AA24" s="3">
        <f>AB24*Z24</f>
        <v>33.221594533622785</v>
      </c>
      <c r="AB24" s="3">
        <f>'Vehicle price'!T26</f>
        <v>25.55507271817137</v>
      </c>
      <c r="AC24" s="3">
        <f t="shared" si="11"/>
        <v>17.88855090271996</v>
      </c>
      <c r="AD24">
        <v>0.7</v>
      </c>
      <c r="AF24">
        <v>2017</v>
      </c>
      <c r="AI24" s="13">
        <v>1.3140000000000001</v>
      </c>
    </row>
    <row r="25" spans="1:35">
      <c r="A25">
        <v>2031</v>
      </c>
      <c r="B25" s="3"/>
      <c r="C25" s="3"/>
      <c r="D25" s="3"/>
      <c r="F25" s="3"/>
      <c r="G25" s="3"/>
      <c r="I25" s="3"/>
      <c r="J25" s="3"/>
      <c r="N25">
        <v>2031</v>
      </c>
      <c r="O25" s="3"/>
      <c r="P25" s="3"/>
      <c r="Q25" s="3"/>
      <c r="V25">
        <v>2031</v>
      </c>
      <c r="W25" s="14">
        <v>1.35</v>
      </c>
    </row>
    <row r="26" spans="1:35">
      <c r="A26">
        <v>2032</v>
      </c>
      <c r="B26" s="3"/>
      <c r="C26" s="3"/>
      <c r="D26" s="3"/>
      <c r="F26" s="3"/>
      <c r="G26" s="3"/>
      <c r="H26">
        <f>G26*0.2*0.3*0.4</f>
        <v>0</v>
      </c>
      <c r="I26" s="3"/>
      <c r="J26" s="3"/>
      <c r="N26">
        <v>2032</v>
      </c>
      <c r="O26" s="3"/>
      <c r="P26" s="3"/>
      <c r="Q26" s="3"/>
      <c r="V26">
        <v>2032</v>
      </c>
      <c r="W26" s="14">
        <v>1.35</v>
      </c>
    </row>
    <row r="27" spans="1:35">
      <c r="A27">
        <v>2033</v>
      </c>
      <c r="B27" s="3"/>
      <c r="C27" s="3"/>
      <c r="D27" s="3"/>
      <c r="F27" s="3" t="s">
        <v>1418</v>
      </c>
      <c r="G27" s="3" t="s">
        <v>1419</v>
      </c>
      <c r="I27" s="3"/>
      <c r="J27" s="3"/>
      <c r="N27">
        <v>2033</v>
      </c>
      <c r="O27" s="3"/>
      <c r="P27" s="3"/>
      <c r="Q27" s="3"/>
      <c r="V27">
        <v>2033</v>
      </c>
      <c r="W27" s="14">
        <v>1.35</v>
      </c>
    </row>
    <row r="28" spans="1:35">
      <c r="A28">
        <v>2034</v>
      </c>
      <c r="B28" s="3"/>
      <c r="C28" s="3"/>
      <c r="D28" s="3"/>
      <c r="F28" s="3"/>
      <c r="G28" s="3" t="s">
        <v>1420</v>
      </c>
      <c r="I28" s="3"/>
      <c r="J28" s="3"/>
      <c r="N28">
        <v>2034</v>
      </c>
      <c r="O28" s="3"/>
      <c r="P28" s="3"/>
      <c r="Q28" s="3"/>
      <c r="V28">
        <v>2034</v>
      </c>
      <c r="W28" s="14">
        <v>1.35</v>
      </c>
    </row>
    <row r="29" spans="1:35">
      <c r="A29">
        <v>2035</v>
      </c>
      <c r="B29" s="3"/>
      <c r="C29" s="3"/>
      <c r="D29" s="3"/>
      <c r="F29" s="3"/>
      <c r="G29" s="3" t="s">
        <v>1421</v>
      </c>
      <c r="I29" s="3"/>
      <c r="J29" s="3"/>
      <c r="N29">
        <v>2035</v>
      </c>
      <c r="O29" s="3"/>
      <c r="P29" s="3"/>
      <c r="Q29" s="3"/>
      <c r="V29">
        <v>2035</v>
      </c>
      <c r="W29" s="14">
        <v>1.35</v>
      </c>
    </row>
    <row r="30" spans="1:35">
      <c r="A30">
        <v>2036</v>
      </c>
      <c r="B30" s="3"/>
      <c r="C30" s="3"/>
      <c r="D30" s="3"/>
      <c r="F30" s="3"/>
      <c r="G30" s="3"/>
      <c r="I30" s="3"/>
      <c r="J30" s="3"/>
      <c r="N30">
        <v>2036</v>
      </c>
      <c r="O30" s="3"/>
      <c r="P30" s="3"/>
      <c r="Q30" s="3"/>
      <c r="V30">
        <v>2036</v>
      </c>
      <c r="W30" s="14">
        <v>1.35</v>
      </c>
    </row>
    <row r="31" spans="1:35">
      <c r="A31">
        <v>2037</v>
      </c>
      <c r="B31" s="3"/>
      <c r="C31" s="3"/>
      <c r="D31" s="3"/>
      <c r="F31" s="3"/>
      <c r="G31" s="3"/>
      <c r="I31" s="3"/>
      <c r="J31" s="3"/>
      <c r="N31">
        <v>2037</v>
      </c>
      <c r="O31" s="3"/>
      <c r="P31" s="3"/>
      <c r="Q31" s="3"/>
      <c r="V31">
        <v>2037</v>
      </c>
      <c r="W31" s="14">
        <v>1.35</v>
      </c>
      <c r="AG31" t="s">
        <v>382</v>
      </c>
    </row>
    <row r="32" spans="1:35">
      <c r="A32">
        <v>2038</v>
      </c>
      <c r="B32" s="3"/>
      <c r="C32" s="3"/>
      <c r="D32" s="3"/>
      <c r="F32" s="3"/>
      <c r="G32" s="3"/>
      <c r="I32" s="3"/>
      <c r="J32" s="3"/>
      <c r="N32">
        <v>2038</v>
      </c>
      <c r="O32" s="3"/>
      <c r="P32" s="3"/>
      <c r="Q32" s="3"/>
      <c r="V32">
        <v>2038</v>
      </c>
      <c r="W32" s="14">
        <v>1.35</v>
      </c>
      <c r="AG32" t="s">
        <v>383</v>
      </c>
    </row>
    <row r="33" spans="1:33">
      <c r="A33">
        <v>2039</v>
      </c>
      <c r="B33" s="3"/>
      <c r="C33" s="3"/>
      <c r="D33" s="3"/>
      <c r="F33" s="3"/>
      <c r="G33" s="3"/>
      <c r="I33" s="3"/>
      <c r="J33" s="3"/>
      <c r="N33">
        <v>2039</v>
      </c>
      <c r="O33" s="3"/>
      <c r="P33" s="3"/>
      <c r="Q33" s="3"/>
      <c r="V33">
        <v>2039</v>
      </c>
      <c r="W33" s="14">
        <v>1.35</v>
      </c>
      <c r="AG33" t="s">
        <v>381</v>
      </c>
    </row>
    <row r="34" spans="1:33">
      <c r="A34">
        <v>2040</v>
      </c>
      <c r="B34" s="3"/>
      <c r="C34" s="3"/>
      <c r="D34" s="3"/>
      <c r="F34" s="3"/>
      <c r="G34" s="3"/>
      <c r="I34" s="3"/>
      <c r="J34" s="3"/>
      <c r="N34">
        <v>2040</v>
      </c>
      <c r="O34" s="3"/>
      <c r="P34" s="3"/>
      <c r="Q34" s="3"/>
      <c r="V34">
        <v>2040</v>
      </c>
      <c r="W34" s="14">
        <v>1.35</v>
      </c>
    </row>
    <row r="35" spans="1:33">
      <c r="A35">
        <v>2041</v>
      </c>
      <c r="B35" s="3"/>
      <c r="C35" s="3"/>
      <c r="D35" s="3"/>
      <c r="F35" s="3"/>
      <c r="G35" s="3"/>
      <c r="I35" s="3"/>
      <c r="J35" s="3"/>
      <c r="N35">
        <v>2041</v>
      </c>
      <c r="O35" s="3"/>
      <c r="P35" s="3"/>
      <c r="Q35" s="3"/>
      <c r="V35">
        <v>2041</v>
      </c>
      <c r="W35" s="14">
        <v>1.35</v>
      </c>
    </row>
    <row r="36" spans="1:33">
      <c r="A36">
        <v>2042</v>
      </c>
      <c r="B36" s="3"/>
      <c r="C36" s="3"/>
      <c r="D36" s="3"/>
      <c r="F36" s="3"/>
      <c r="G36" s="3"/>
      <c r="I36" s="3"/>
      <c r="J36" s="3"/>
      <c r="N36">
        <v>2042</v>
      </c>
      <c r="O36" s="3"/>
      <c r="P36" s="3"/>
      <c r="Q36" s="3"/>
      <c r="V36">
        <v>2042</v>
      </c>
      <c r="W36" s="14">
        <v>1.35</v>
      </c>
    </row>
    <row r="37" spans="1:33">
      <c r="A37">
        <v>2043</v>
      </c>
      <c r="B37" s="3"/>
      <c r="C37" s="3"/>
      <c r="D37" s="3"/>
      <c r="F37" s="3"/>
      <c r="G37" s="3"/>
      <c r="I37" s="3"/>
      <c r="J37" s="3"/>
      <c r="N37">
        <v>2043</v>
      </c>
      <c r="O37" s="3"/>
      <c r="P37" s="3"/>
      <c r="Q37" s="3"/>
      <c r="V37">
        <v>2043</v>
      </c>
      <c r="W37" s="14">
        <v>1.35</v>
      </c>
    </row>
    <row r="38" spans="1:33">
      <c r="A38">
        <v>2044</v>
      </c>
      <c r="B38" s="3"/>
      <c r="C38" s="3"/>
      <c r="D38" s="3"/>
      <c r="F38" s="3"/>
      <c r="G38" s="3"/>
      <c r="I38" s="3"/>
      <c r="J38" s="3"/>
      <c r="N38">
        <v>2044</v>
      </c>
      <c r="O38" s="3"/>
      <c r="P38" s="3"/>
      <c r="Q38" s="3"/>
      <c r="V38">
        <v>2044</v>
      </c>
      <c r="W38" s="14">
        <v>1.35</v>
      </c>
    </row>
    <row r="39" spans="1:33">
      <c r="A39">
        <v>2045</v>
      </c>
      <c r="B39" s="3"/>
      <c r="C39" s="3"/>
      <c r="D39" s="3"/>
      <c r="F39" s="3"/>
      <c r="G39" s="3"/>
      <c r="I39" s="3"/>
      <c r="J39" s="3"/>
      <c r="N39">
        <v>2045</v>
      </c>
      <c r="O39" s="3"/>
      <c r="P39" s="3"/>
      <c r="Q39" s="3"/>
      <c r="V39">
        <v>2045</v>
      </c>
      <c r="W39" s="14">
        <v>1.35</v>
      </c>
    </row>
    <row r="40" spans="1:33">
      <c r="A40">
        <v>2046</v>
      </c>
      <c r="B40" s="3"/>
      <c r="C40" s="3"/>
      <c r="D40" s="3"/>
      <c r="F40" s="3"/>
      <c r="G40" s="3"/>
      <c r="I40" s="3"/>
      <c r="J40" s="3"/>
      <c r="N40">
        <v>2046</v>
      </c>
      <c r="O40" s="3"/>
      <c r="P40" s="3"/>
      <c r="Q40" s="3"/>
      <c r="V40">
        <v>2046</v>
      </c>
      <c r="W40" s="14">
        <v>1.35</v>
      </c>
    </row>
    <row r="41" spans="1:33">
      <c r="A41">
        <v>2047</v>
      </c>
      <c r="B41" s="3"/>
      <c r="C41" s="3"/>
      <c r="D41" s="3"/>
      <c r="F41" s="3"/>
      <c r="G41" s="3"/>
      <c r="I41" s="3"/>
      <c r="J41" s="3"/>
      <c r="N41">
        <v>2047</v>
      </c>
      <c r="O41" s="3"/>
      <c r="P41" s="3"/>
      <c r="Q41" s="3"/>
      <c r="V41">
        <v>2047</v>
      </c>
      <c r="W41" s="14">
        <v>1.35</v>
      </c>
    </row>
    <row r="42" spans="1:33">
      <c r="A42">
        <v>2048</v>
      </c>
      <c r="B42" s="3"/>
      <c r="C42" s="3"/>
      <c r="D42" s="3"/>
      <c r="F42" s="3"/>
      <c r="G42" s="3"/>
      <c r="I42" s="3"/>
      <c r="J42" s="3"/>
      <c r="N42">
        <v>2048</v>
      </c>
      <c r="O42" s="3"/>
      <c r="P42" s="3"/>
      <c r="Q42" s="3"/>
      <c r="V42">
        <v>2048</v>
      </c>
      <c r="W42" s="14">
        <v>1.35</v>
      </c>
    </row>
    <row r="43" spans="1:33">
      <c r="A43">
        <v>2049</v>
      </c>
      <c r="B43" s="3"/>
      <c r="C43" s="3"/>
      <c r="D43" s="3"/>
      <c r="F43" s="3"/>
      <c r="G43" s="3"/>
      <c r="I43" s="3"/>
      <c r="J43" s="3"/>
      <c r="N43">
        <v>2049</v>
      </c>
      <c r="O43" s="3"/>
      <c r="P43" s="3"/>
      <c r="Q43" s="3"/>
      <c r="V43">
        <v>2049</v>
      </c>
      <c r="W43" s="14">
        <v>1.35</v>
      </c>
    </row>
    <row r="44" spans="1:33">
      <c r="A44">
        <v>2050</v>
      </c>
      <c r="B44" s="3"/>
      <c r="C44" s="3"/>
      <c r="D44" s="3"/>
      <c r="F44" s="3"/>
      <c r="G44" s="3"/>
      <c r="I44" s="3"/>
      <c r="J44" s="3"/>
      <c r="N44">
        <v>2050</v>
      </c>
      <c r="O44" s="3"/>
      <c r="P44" s="3"/>
      <c r="Q44" s="3"/>
      <c r="V44">
        <v>2050</v>
      </c>
      <c r="W44" s="14">
        <v>1.35</v>
      </c>
    </row>
    <row r="47" spans="1:33">
      <c r="A47" t="s">
        <v>324</v>
      </c>
      <c r="B47" t="s">
        <v>1395</v>
      </c>
      <c r="C47" t="s">
        <v>726</v>
      </c>
      <c r="D47" t="s">
        <v>726</v>
      </c>
      <c r="E47" t="s">
        <v>726</v>
      </c>
      <c r="F47" t="s">
        <v>726</v>
      </c>
      <c r="G47" t="s">
        <v>726</v>
      </c>
      <c r="H47" t="s">
        <v>726</v>
      </c>
      <c r="I47" t="s">
        <v>726</v>
      </c>
      <c r="J47" t="s">
        <v>726</v>
      </c>
    </row>
    <row r="48" spans="1:33">
      <c r="B48" t="s">
        <v>711</v>
      </c>
      <c r="C48" t="s">
        <v>711</v>
      </c>
      <c r="D48" t="s">
        <v>805</v>
      </c>
      <c r="E48" t="s">
        <v>723</v>
      </c>
      <c r="F48" t="s">
        <v>806</v>
      </c>
      <c r="G48" t="s">
        <v>717</v>
      </c>
      <c r="H48" t="s">
        <v>721</v>
      </c>
      <c r="I48" t="s">
        <v>755</v>
      </c>
      <c r="J48" t="s">
        <v>717</v>
      </c>
    </row>
    <row r="49" spans="1:10">
      <c r="A49">
        <v>2009</v>
      </c>
      <c r="B49" s="3">
        <f t="shared" ref="B49:B70" si="17">B3</f>
        <v>29.592572886961211</v>
      </c>
      <c r="C49" s="3">
        <f t="shared" ref="C49:C70" si="18">B49*W3*1000</f>
        <v>37943.265817272229</v>
      </c>
      <c r="D49" s="3">
        <f>0.03*C49</f>
        <v>1138.2979745181669</v>
      </c>
      <c r="E49">
        <v>10</v>
      </c>
      <c r="F49" s="3">
        <f>E49/100*C49</f>
        <v>3794.3265817272231</v>
      </c>
      <c r="G49" s="3">
        <f>C49+D49+F49</f>
        <v>42875.890373517621</v>
      </c>
      <c r="H49" s="3">
        <v>0</v>
      </c>
      <c r="I49" s="3">
        <v>2200</v>
      </c>
      <c r="J49" s="3">
        <f>G49+H49+I49</f>
        <v>45075.890373517621</v>
      </c>
    </row>
    <row r="50" spans="1:10">
      <c r="A50">
        <v>2010</v>
      </c>
      <c r="B50" s="3">
        <f t="shared" si="17"/>
        <v>30</v>
      </c>
      <c r="C50" s="3">
        <f t="shared" si="18"/>
        <v>32610.763363619073</v>
      </c>
      <c r="D50" s="3">
        <f t="shared" ref="D50:D58" si="19">0.03*C50</f>
        <v>978.32290090857214</v>
      </c>
      <c r="E50">
        <v>10</v>
      </c>
      <c r="F50" s="3">
        <f t="shared" ref="F50:F58" si="20">E50/100*C50</f>
        <v>3261.0763363619076</v>
      </c>
      <c r="G50" s="3">
        <f t="shared" ref="G50:G58" si="21">C50+D50+F50</f>
        <v>36850.162600889547</v>
      </c>
      <c r="H50" s="3">
        <v>0</v>
      </c>
      <c r="I50" s="3">
        <v>2200</v>
      </c>
      <c r="J50" s="3">
        <f t="shared" ref="J50:J57" si="22">G50+H50+I50</f>
        <v>39050.162600889547</v>
      </c>
    </row>
    <row r="51" spans="1:10">
      <c r="A51">
        <v>2011</v>
      </c>
      <c r="B51" s="3">
        <f t="shared" si="17"/>
        <v>30</v>
      </c>
      <c r="C51" s="3">
        <f t="shared" si="18"/>
        <v>28827.443726427558</v>
      </c>
      <c r="D51" s="3">
        <f t="shared" si="19"/>
        <v>864.82331179282676</v>
      </c>
      <c r="E51">
        <v>10</v>
      </c>
      <c r="F51" s="3">
        <f t="shared" si="20"/>
        <v>2882.7443726427559</v>
      </c>
      <c r="G51" s="3">
        <f t="shared" si="21"/>
        <v>32575.011410863142</v>
      </c>
      <c r="H51" s="3">
        <v>0</v>
      </c>
      <c r="I51" s="3">
        <v>2200</v>
      </c>
      <c r="J51" s="3">
        <f t="shared" si="22"/>
        <v>34775.011410863139</v>
      </c>
    </row>
    <row r="52" spans="1:10">
      <c r="A52">
        <v>2012</v>
      </c>
      <c r="B52" s="3">
        <f t="shared" si="17"/>
        <v>30.842462459493706</v>
      </c>
      <c r="C52" s="3">
        <f t="shared" si="18"/>
        <v>29677.616030304263</v>
      </c>
      <c r="D52" s="3">
        <f t="shared" si="19"/>
        <v>890.32848090912785</v>
      </c>
      <c r="E52">
        <v>10</v>
      </c>
      <c r="F52" s="3">
        <f t="shared" si="20"/>
        <v>2967.7616030304266</v>
      </c>
      <c r="G52" s="3">
        <f t="shared" si="21"/>
        <v>33535.706114243818</v>
      </c>
      <c r="H52" s="3">
        <v>0</v>
      </c>
      <c r="I52" s="3">
        <v>2200</v>
      </c>
      <c r="J52" s="3">
        <f t="shared" si="22"/>
        <v>35735.706114243818</v>
      </c>
    </row>
    <row r="53" spans="1:10">
      <c r="A53">
        <v>2013</v>
      </c>
      <c r="B53" s="3">
        <f t="shared" si="17"/>
        <v>31.143929334439989</v>
      </c>
      <c r="C53" s="3">
        <f t="shared" si="18"/>
        <v>32440.185062564979</v>
      </c>
      <c r="D53" s="3">
        <f t="shared" si="19"/>
        <v>973.20555187694936</v>
      </c>
      <c r="E53">
        <v>10</v>
      </c>
      <c r="F53" s="3">
        <f t="shared" si="20"/>
        <v>3244.0185062564979</v>
      </c>
      <c r="G53" s="3">
        <f t="shared" si="21"/>
        <v>36657.40912069843</v>
      </c>
      <c r="H53" s="3">
        <v>0</v>
      </c>
      <c r="I53" s="3">
        <v>2200</v>
      </c>
      <c r="J53" s="3">
        <f t="shared" si="22"/>
        <v>38857.40912069843</v>
      </c>
    </row>
    <row r="54" spans="1:10">
      <c r="A54">
        <v>2014</v>
      </c>
      <c r="B54" s="3">
        <f t="shared" si="17"/>
        <v>33.541755956678692</v>
      </c>
      <c r="C54" s="3">
        <f t="shared" si="18"/>
        <v>37310.073366717123</v>
      </c>
      <c r="D54" s="3">
        <f t="shared" si="19"/>
        <v>1119.3022010015136</v>
      </c>
      <c r="E54">
        <v>10</v>
      </c>
      <c r="F54" s="3">
        <f t="shared" si="20"/>
        <v>3731.0073366717124</v>
      </c>
      <c r="G54" s="3">
        <f t="shared" si="21"/>
        <v>42160.382904390346</v>
      </c>
      <c r="H54" s="3">
        <v>0</v>
      </c>
      <c r="I54" s="3">
        <v>2200</v>
      </c>
      <c r="J54" s="3">
        <f t="shared" si="22"/>
        <v>44360.382904390346</v>
      </c>
    </row>
    <row r="55" spans="1:10">
      <c r="A55">
        <v>2015</v>
      </c>
      <c r="B55" s="3">
        <f t="shared" si="17"/>
        <v>30</v>
      </c>
      <c r="C55" s="3">
        <f t="shared" si="18"/>
        <v>40188.439125678182</v>
      </c>
      <c r="D55" s="3">
        <f t="shared" si="19"/>
        <v>1205.6531737703453</v>
      </c>
      <c r="E55">
        <v>10</v>
      </c>
      <c r="F55" s="3">
        <f t="shared" si="20"/>
        <v>4018.8439125678183</v>
      </c>
      <c r="G55" s="3">
        <f t="shared" si="21"/>
        <v>45412.93621201635</v>
      </c>
      <c r="H55" s="3">
        <v>0</v>
      </c>
      <c r="I55" s="3">
        <v>2200</v>
      </c>
      <c r="J55" s="3">
        <f t="shared" si="22"/>
        <v>47612.93621201635</v>
      </c>
    </row>
    <row r="56" spans="1:10">
      <c r="A56">
        <v>2016</v>
      </c>
      <c r="B56" s="3">
        <f t="shared" si="17"/>
        <v>30</v>
      </c>
      <c r="C56" s="3">
        <f t="shared" si="18"/>
        <v>40354.67273481375</v>
      </c>
      <c r="D56" s="3">
        <f t="shared" si="19"/>
        <v>1210.6401820444125</v>
      </c>
      <c r="E56">
        <v>10</v>
      </c>
      <c r="F56" s="3">
        <f t="shared" si="20"/>
        <v>4035.4672734813753</v>
      </c>
      <c r="G56" s="3">
        <f t="shared" si="21"/>
        <v>45600.780190339538</v>
      </c>
      <c r="H56" s="3">
        <v>0</v>
      </c>
      <c r="I56" s="3">
        <v>2200</v>
      </c>
      <c r="J56" s="3">
        <f t="shared" si="22"/>
        <v>47800.780190339538</v>
      </c>
    </row>
    <row r="57" spans="1:10">
      <c r="A57">
        <v>2017</v>
      </c>
      <c r="B57" s="3">
        <f t="shared" si="17"/>
        <v>30</v>
      </c>
      <c r="C57" s="3">
        <f t="shared" si="18"/>
        <v>39004.095430020156</v>
      </c>
      <c r="D57" s="3">
        <f t="shared" si="19"/>
        <v>1170.1228629006046</v>
      </c>
      <c r="E57">
        <v>10</v>
      </c>
      <c r="F57" s="3">
        <f t="shared" si="20"/>
        <v>3900.4095430020157</v>
      </c>
      <c r="G57" s="3">
        <f t="shared" si="21"/>
        <v>44074.62783592278</v>
      </c>
      <c r="H57" s="3">
        <v>0</v>
      </c>
      <c r="I57" s="3">
        <v>2200</v>
      </c>
      <c r="J57" s="3">
        <f t="shared" si="22"/>
        <v>46274.62783592278</v>
      </c>
    </row>
    <row r="58" spans="1:10">
      <c r="A58">
        <v>2018</v>
      </c>
      <c r="B58" s="3">
        <f t="shared" si="17"/>
        <v>30.592100851060948</v>
      </c>
      <c r="C58" s="3">
        <f t="shared" si="18"/>
        <v>41299.336148932285</v>
      </c>
      <c r="D58" s="3">
        <f t="shared" si="19"/>
        <v>1238.9800844679685</v>
      </c>
      <c r="E58">
        <v>10</v>
      </c>
      <c r="F58" s="3">
        <f t="shared" si="20"/>
        <v>4129.9336148932289</v>
      </c>
      <c r="G58" s="3">
        <f t="shared" si="21"/>
        <v>46668.249848293483</v>
      </c>
      <c r="H58" s="3">
        <v>0</v>
      </c>
      <c r="I58" s="3">
        <v>2200</v>
      </c>
      <c r="J58" s="3">
        <f>G58+H58+I58</f>
        <v>48868.249848293483</v>
      </c>
    </row>
    <row r="59" spans="1:10">
      <c r="A59">
        <v>2019</v>
      </c>
      <c r="B59" s="3">
        <f t="shared" si="17"/>
        <v>31.172994053473918</v>
      </c>
      <c r="C59" s="3">
        <f t="shared" si="18"/>
        <v>42083.541972189792</v>
      </c>
      <c r="D59" s="3">
        <f t="shared" ref="D59:D70" si="23">0.03*C59</f>
        <v>1262.5062591656938</v>
      </c>
      <c r="E59">
        <v>10</v>
      </c>
      <c r="F59" s="3">
        <f t="shared" ref="F59:F70" si="24">E59/100*C59</f>
        <v>4208.3541972189796</v>
      </c>
      <c r="G59" s="3">
        <f t="shared" ref="G59:G70" si="25">C59+D59+F59</f>
        <v>47554.402428574467</v>
      </c>
      <c r="H59" s="3">
        <v>0</v>
      </c>
      <c r="I59" s="3">
        <v>2200</v>
      </c>
      <c r="J59" s="3">
        <f t="shared" ref="J59:J70" si="26">G59+H59+I59</f>
        <v>49754.402428574467</v>
      </c>
    </row>
    <row r="60" spans="1:10">
      <c r="A60">
        <v>2020</v>
      </c>
      <c r="B60" s="3">
        <f t="shared" si="17"/>
        <v>30.985903123425071</v>
      </c>
      <c r="C60" s="3">
        <f t="shared" si="18"/>
        <v>41830.969216623846</v>
      </c>
      <c r="D60" s="3">
        <f t="shared" si="23"/>
        <v>1254.9290764987154</v>
      </c>
      <c r="E60">
        <v>10</v>
      </c>
      <c r="F60" s="3">
        <f t="shared" si="24"/>
        <v>4183.0969216623844</v>
      </c>
      <c r="G60" s="3">
        <f t="shared" si="25"/>
        <v>47268.995214784947</v>
      </c>
      <c r="H60" s="3">
        <v>0</v>
      </c>
      <c r="I60" s="3">
        <v>2200</v>
      </c>
      <c r="J60" s="3">
        <f t="shared" si="26"/>
        <v>49468.995214784947</v>
      </c>
    </row>
    <row r="61" spans="1:10">
      <c r="A61">
        <v>2021</v>
      </c>
      <c r="B61" s="3">
        <f t="shared" si="17"/>
        <v>30.206708843097807</v>
      </c>
      <c r="C61" s="3">
        <f t="shared" si="18"/>
        <v>40779.056938182046</v>
      </c>
      <c r="D61" s="3">
        <f t="shared" si="23"/>
        <v>1223.3717081454613</v>
      </c>
      <c r="E61">
        <v>10</v>
      </c>
      <c r="F61" s="3">
        <f t="shared" si="24"/>
        <v>4077.9056938182048</v>
      </c>
      <c r="G61" s="3">
        <f t="shared" si="25"/>
        <v>46080.33434014571</v>
      </c>
      <c r="H61" s="3">
        <v>0</v>
      </c>
      <c r="I61" s="3">
        <v>2200</v>
      </c>
      <c r="J61" s="3">
        <f t="shared" si="26"/>
        <v>48280.33434014571</v>
      </c>
    </row>
    <row r="62" spans="1:10">
      <c r="A62">
        <v>2022</v>
      </c>
      <c r="B62" s="3">
        <f t="shared" si="17"/>
        <v>30.642454642697771</v>
      </c>
      <c r="C62" s="3">
        <f t="shared" si="18"/>
        <v>41367.313767641994</v>
      </c>
      <c r="D62" s="3">
        <f t="shared" si="23"/>
        <v>1241.0194130292598</v>
      </c>
      <c r="E62">
        <v>10</v>
      </c>
      <c r="F62" s="3">
        <f t="shared" si="24"/>
        <v>4136.7313767641999</v>
      </c>
      <c r="G62" s="3">
        <f t="shared" si="25"/>
        <v>46745.064557435449</v>
      </c>
      <c r="H62" s="3">
        <v>0</v>
      </c>
      <c r="I62" s="3">
        <v>2200</v>
      </c>
      <c r="J62" s="3">
        <f t="shared" si="26"/>
        <v>48945.064557435449</v>
      </c>
    </row>
    <row r="63" spans="1:10">
      <c r="A63">
        <v>2023</v>
      </c>
      <c r="B63" s="3">
        <f t="shared" si="17"/>
        <v>30.361546257811007</v>
      </c>
      <c r="C63" s="3">
        <f t="shared" si="18"/>
        <v>40988.087448044862</v>
      </c>
      <c r="D63" s="3">
        <f t="shared" si="23"/>
        <v>1229.6426234413459</v>
      </c>
      <c r="E63">
        <v>10</v>
      </c>
      <c r="F63" s="3">
        <f t="shared" si="24"/>
        <v>4098.8087448044862</v>
      </c>
      <c r="G63" s="3">
        <f t="shared" si="25"/>
        <v>46316.538816290689</v>
      </c>
      <c r="H63" s="3">
        <v>0</v>
      </c>
      <c r="I63" s="3">
        <v>2200</v>
      </c>
      <c r="J63" s="3">
        <f t="shared" si="26"/>
        <v>48516.538816290689</v>
      </c>
    </row>
    <row r="64" spans="1:10">
      <c r="A64">
        <v>2024</v>
      </c>
      <c r="B64" s="3">
        <f t="shared" si="17"/>
        <v>29.275640447464834</v>
      </c>
      <c r="C64" s="3">
        <f t="shared" si="18"/>
        <v>39522.114604077527</v>
      </c>
      <c r="D64" s="3">
        <f t="shared" si="23"/>
        <v>1185.6634381223257</v>
      </c>
      <c r="E64">
        <v>10</v>
      </c>
      <c r="F64" s="3">
        <f t="shared" si="24"/>
        <v>3952.2114604077528</v>
      </c>
      <c r="G64" s="3">
        <f t="shared" si="25"/>
        <v>44659.989502607605</v>
      </c>
      <c r="H64" s="3">
        <v>0</v>
      </c>
      <c r="I64" s="3">
        <v>2200</v>
      </c>
      <c r="J64" s="3">
        <f t="shared" si="26"/>
        <v>46859.989502607605</v>
      </c>
    </row>
    <row r="65" spans="1:29">
      <c r="A65">
        <v>2025</v>
      </c>
      <c r="B65" s="3">
        <f t="shared" si="17"/>
        <v>28.343375828936317</v>
      </c>
      <c r="C65" s="3">
        <f t="shared" si="18"/>
        <v>38263.55736906403</v>
      </c>
      <c r="D65" s="3">
        <f t="shared" si="23"/>
        <v>1147.9067210719209</v>
      </c>
      <c r="E65">
        <v>10</v>
      </c>
      <c r="F65" s="3">
        <f t="shared" si="24"/>
        <v>3826.3557369064033</v>
      </c>
      <c r="G65" s="3">
        <f t="shared" si="25"/>
        <v>43237.819827042353</v>
      </c>
      <c r="H65" s="3">
        <v>0</v>
      </c>
      <c r="I65" s="3">
        <v>2200</v>
      </c>
      <c r="J65" s="3">
        <f t="shared" si="26"/>
        <v>45437.819827042353</v>
      </c>
    </row>
    <row r="66" spans="1:29">
      <c r="A66">
        <v>2026</v>
      </c>
      <c r="B66" s="3">
        <f t="shared" si="17"/>
        <v>27.812270474504896</v>
      </c>
      <c r="C66" s="3">
        <f t="shared" si="18"/>
        <v>37546.56514058161</v>
      </c>
      <c r="D66" s="3">
        <f t="shared" si="23"/>
        <v>1126.3969542174482</v>
      </c>
      <c r="E66">
        <v>10</v>
      </c>
      <c r="F66" s="3">
        <f t="shared" si="24"/>
        <v>3754.6565140581611</v>
      </c>
      <c r="G66" s="3">
        <f t="shared" si="25"/>
        <v>42427.618608857214</v>
      </c>
      <c r="H66" s="3">
        <v>0</v>
      </c>
      <c r="I66" s="3">
        <v>2200</v>
      </c>
      <c r="J66" s="3">
        <f t="shared" si="26"/>
        <v>44627.618608857214</v>
      </c>
    </row>
    <row r="67" spans="1:29">
      <c r="A67">
        <v>2027</v>
      </c>
      <c r="B67" s="3">
        <f t="shared" si="17"/>
        <v>27.281165120073478</v>
      </c>
      <c r="C67" s="3">
        <f t="shared" si="18"/>
        <v>36829.572912099196</v>
      </c>
      <c r="D67" s="3">
        <f t="shared" si="23"/>
        <v>1104.887187362976</v>
      </c>
      <c r="E67">
        <v>10</v>
      </c>
      <c r="F67" s="3">
        <f t="shared" si="24"/>
        <v>3682.9572912099197</v>
      </c>
      <c r="G67" s="3">
        <f t="shared" si="25"/>
        <v>41617.41739067209</v>
      </c>
      <c r="H67" s="3">
        <v>0</v>
      </c>
      <c r="I67" s="3">
        <v>2200</v>
      </c>
      <c r="J67" s="3">
        <f t="shared" si="26"/>
        <v>43817.41739067209</v>
      </c>
    </row>
    <row r="68" spans="1:29">
      <c r="A68">
        <v>2028</v>
      </c>
      <c r="B68" s="3">
        <f t="shared" si="17"/>
        <v>26.683671596338133</v>
      </c>
      <c r="C68" s="3">
        <f t="shared" si="18"/>
        <v>36022.956655056485</v>
      </c>
      <c r="D68" s="3">
        <f t="shared" si="23"/>
        <v>1080.6886996516946</v>
      </c>
      <c r="E68">
        <v>10</v>
      </c>
      <c r="F68" s="3">
        <f t="shared" si="24"/>
        <v>3602.2956655056487</v>
      </c>
      <c r="G68" s="3">
        <f t="shared" si="25"/>
        <v>40705.941020213824</v>
      </c>
      <c r="H68" s="3">
        <v>0</v>
      </c>
      <c r="I68" s="3">
        <v>2200</v>
      </c>
      <c r="J68" s="3">
        <f t="shared" si="26"/>
        <v>42905.941020213824</v>
      </c>
    </row>
    <row r="69" spans="1:29">
      <c r="A69">
        <v>2029</v>
      </c>
      <c r="B69" s="3">
        <f t="shared" si="17"/>
        <v>26.152566241906715</v>
      </c>
      <c r="C69" s="3">
        <f t="shared" si="18"/>
        <v>35305.964426574072</v>
      </c>
      <c r="D69" s="3">
        <f t="shared" si="23"/>
        <v>1059.1789327972222</v>
      </c>
      <c r="E69">
        <v>10</v>
      </c>
      <c r="F69" s="3">
        <f t="shared" si="24"/>
        <v>3530.5964426574074</v>
      </c>
      <c r="G69" s="3">
        <f t="shared" si="25"/>
        <v>39895.7398020287</v>
      </c>
      <c r="H69" s="3">
        <v>0</v>
      </c>
      <c r="I69" s="3">
        <v>2200</v>
      </c>
      <c r="J69" s="3">
        <f t="shared" si="26"/>
        <v>42095.7398020287</v>
      </c>
    </row>
    <row r="70" spans="1:29">
      <c r="A70">
        <v>2030</v>
      </c>
      <c r="B70" s="3">
        <f t="shared" si="17"/>
        <v>25.55507271817137</v>
      </c>
      <c r="C70" s="3">
        <f t="shared" si="18"/>
        <v>34499.348169531353</v>
      </c>
      <c r="D70" s="3">
        <f t="shared" si="23"/>
        <v>1034.9804450859406</v>
      </c>
      <c r="E70">
        <v>10</v>
      </c>
      <c r="F70" s="3">
        <f t="shared" si="24"/>
        <v>3449.9348169531354</v>
      </c>
      <c r="G70" s="3">
        <f t="shared" si="25"/>
        <v>38984.263431570427</v>
      </c>
      <c r="H70" s="3">
        <f>AA45</f>
        <v>0</v>
      </c>
      <c r="I70" s="3">
        <v>2200</v>
      </c>
      <c r="J70" s="3">
        <f t="shared" si="26"/>
        <v>41184.263431570427</v>
      </c>
    </row>
    <row r="71" spans="1:29">
      <c r="A71">
        <v>2031</v>
      </c>
      <c r="B71" s="3"/>
      <c r="C71" s="3"/>
      <c r="D71" s="3"/>
      <c r="F71" s="3"/>
      <c r="G71" s="3"/>
      <c r="H71" s="3"/>
      <c r="I71" s="3"/>
      <c r="J71" s="3"/>
    </row>
    <row r="72" spans="1:29">
      <c r="A72">
        <v>2032</v>
      </c>
      <c r="B72" s="3"/>
      <c r="C72" s="3"/>
      <c r="D72" s="3"/>
      <c r="F72" s="3"/>
      <c r="G72" s="3"/>
      <c r="H72" s="3"/>
      <c r="I72" s="3"/>
      <c r="J72" s="3"/>
    </row>
    <row r="73" spans="1:29">
      <c r="A73">
        <v>2033</v>
      </c>
      <c r="B73" s="3"/>
      <c r="C73" s="3"/>
      <c r="D73" s="3"/>
      <c r="F73" s="3"/>
      <c r="G73" s="3"/>
      <c r="H73" s="3"/>
      <c r="I73" s="3"/>
      <c r="J73" s="3"/>
    </row>
    <row r="74" spans="1:29">
      <c r="A74">
        <v>2034</v>
      </c>
      <c r="B74" s="3"/>
      <c r="C74" s="3"/>
      <c r="D74" s="3"/>
      <c r="F74" s="3"/>
      <c r="G74" s="3"/>
      <c r="H74" s="3"/>
      <c r="I74" s="3"/>
      <c r="J74" s="3"/>
    </row>
    <row r="75" spans="1:29">
      <c r="A75">
        <v>2035</v>
      </c>
      <c r="B75" s="3"/>
      <c r="C75" s="3"/>
      <c r="D75" s="3"/>
      <c r="F75" s="3"/>
      <c r="G75" s="3"/>
      <c r="H75" s="3"/>
      <c r="I75" s="3"/>
      <c r="J75" s="3"/>
    </row>
    <row r="76" spans="1:29">
      <c r="A76">
        <v>2036</v>
      </c>
      <c r="B76" s="3"/>
      <c r="C76" s="3"/>
      <c r="D76" s="3"/>
      <c r="F76" s="3"/>
      <c r="G76" s="3"/>
      <c r="H76" s="3"/>
      <c r="I76" s="3"/>
      <c r="J76" s="3"/>
    </row>
    <row r="77" spans="1:29">
      <c r="A77">
        <v>2037</v>
      </c>
      <c r="B77" s="3"/>
      <c r="C77" s="3"/>
      <c r="D77" s="3"/>
      <c r="F77" s="3"/>
      <c r="G77" s="3"/>
      <c r="H77" s="3"/>
      <c r="I77" s="3"/>
      <c r="J77" s="3"/>
    </row>
    <row r="78" spans="1:29">
      <c r="A78">
        <v>2038</v>
      </c>
      <c r="B78" s="3"/>
      <c r="C78" s="3"/>
      <c r="D78" s="3"/>
      <c r="F78" s="3"/>
      <c r="G78" s="3"/>
      <c r="H78" s="3"/>
      <c r="I78" s="3"/>
      <c r="J78" s="3"/>
    </row>
    <row r="79" spans="1:29">
      <c r="A79">
        <v>2039</v>
      </c>
      <c r="B79" s="3"/>
      <c r="C79" s="3"/>
      <c r="D79" s="3"/>
      <c r="F79" s="3"/>
      <c r="G79" s="3"/>
      <c r="H79" s="3"/>
      <c r="I79" s="3"/>
      <c r="J79" s="3"/>
    </row>
    <row r="80" spans="1:29" s="3" customFormat="1">
      <c r="A80">
        <v>2040</v>
      </c>
      <c r="E80"/>
      <c r="K80"/>
      <c r="L80"/>
      <c r="M80"/>
      <c r="N80"/>
      <c r="O80"/>
      <c r="P80"/>
      <c r="Q80"/>
      <c r="R80"/>
      <c r="S80"/>
      <c r="T80"/>
      <c r="U80"/>
      <c r="V80"/>
      <c r="W80"/>
      <c r="X80"/>
      <c r="Y80"/>
      <c r="Z80" s="33"/>
      <c r="AA80"/>
      <c r="AB80"/>
      <c r="AC80"/>
    </row>
    <row r="81" spans="1:29" s="3" customFormat="1">
      <c r="A81">
        <v>2041</v>
      </c>
      <c r="E81"/>
      <c r="K81"/>
      <c r="L81"/>
      <c r="M81"/>
      <c r="N81"/>
      <c r="O81"/>
      <c r="P81"/>
      <c r="Q81"/>
      <c r="R81"/>
      <c r="S81"/>
      <c r="T81"/>
      <c r="U81"/>
      <c r="V81"/>
      <c r="W81"/>
      <c r="X81"/>
      <c r="Y81"/>
      <c r="Z81" s="33"/>
      <c r="AA81"/>
      <c r="AB81"/>
      <c r="AC81"/>
    </row>
    <row r="82" spans="1:29" s="3" customFormat="1">
      <c r="A82">
        <v>2042</v>
      </c>
      <c r="E82"/>
      <c r="K82"/>
      <c r="L82"/>
      <c r="M82"/>
      <c r="N82"/>
      <c r="O82"/>
      <c r="P82"/>
      <c r="Q82"/>
      <c r="R82"/>
      <c r="S82"/>
      <c r="T82"/>
      <c r="U82"/>
      <c r="V82"/>
      <c r="W82"/>
      <c r="X82"/>
      <c r="Y82"/>
      <c r="Z82" s="33"/>
      <c r="AA82"/>
      <c r="AB82"/>
      <c r="AC82"/>
    </row>
    <row r="83" spans="1:29" s="3" customFormat="1">
      <c r="A83">
        <v>2043</v>
      </c>
      <c r="E83"/>
      <c r="K83"/>
      <c r="L83"/>
      <c r="M83"/>
      <c r="N83"/>
      <c r="O83"/>
      <c r="P83"/>
      <c r="Q83"/>
      <c r="R83"/>
      <c r="S83"/>
      <c r="T83"/>
      <c r="U83"/>
      <c r="V83"/>
      <c r="W83"/>
      <c r="X83"/>
      <c r="Y83"/>
      <c r="Z83" s="33"/>
      <c r="AA83"/>
      <c r="AB83"/>
      <c r="AC83"/>
    </row>
    <row r="84" spans="1:29" s="3" customFormat="1">
      <c r="A84">
        <v>2044</v>
      </c>
      <c r="E84"/>
      <c r="K84"/>
      <c r="L84"/>
      <c r="M84"/>
      <c r="N84"/>
      <c r="O84"/>
      <c r="P84"/>
      <c r="Q84"/>
      <c r="R84"/>
      <c r="S84"/>
      <c r="T84"/>
      <c r="U84"/>
      <c r="V84"/>
      <c r="W84"/>
      <c r="X84"/>
      <c r="Y84"/>
      <c r="Z84" s="33"/>
      <c r="AA84"/>
      <c r="AB84"/>
      <c r="AC84"/>
    </row>
    <row r="85" spans="1:29" s="3" customFormat="1">
      <c r="A85">
        <v>2045</v>
      </c>
      <c r="E85"/>
      <c r="K85"/>
      <c r="L85"/>
      <c r="M85"/>
      <c r="N85"/>
      <c r="O85"/>
      <c r="P85"/>
      <c r="Q85"/>
      <c r="R85"/>
      <c r="S85"/>
      <c r="T85"/>
      <c r="U85"/>
      <c r="V85"/>
      <c r="W85"/>
      <c r="X85"/>
      <c r="Y85"/>
      <c r="Z85" s="33"/>
      <c r="AA85"/>
      <c r="AB85"/>
      <c r="AC85"/>
    </row>
    <row r="86" spans="1:29" s="3" customFormat="1">
      <c r="A86">
        <v>2046</v>
      </c>
      <c r="E86"/>
      <c r="K86"/>
      <c r="L86"/>
      <c r="M86"/>
      <c r="N86"/>
      <c r="O86"/>
      <c r="P86"/>
      <c r="Q86"/>
      <c r="R86"/>
      <c r="S86"/>
      <c r="T86"/>
      <c r="U86"/>
      <c r="V86"/>
      <c r="W86"/>
      <c r="X86"/>
      <c r="Y86"/>
      <c r="Z86" s="33"/>
      <c r="AA86"/>
      <c r="AB86"/>
      <c r="AC86"/>
    </row>
    <row r="87" spans="1:29" s="3" customFormat="1">
      <c r="A87">
        <v>2047</v>
      </c>
      <c r="E87"/>
      <c r="K87"/>
      <c r="L87"/>
      <c r="M87"/>
      <c r="N87"/>
      <c r="O87"/>
      <c r="P87"/>
      <c r="Q87"/>
      <c r="R87"/>
      <c r="S87"/>
      <c r="T87"/>
      <c r="U87"/>
      <c r="V87"/>
      <c r="W87"/>
      <c r="X87"/>
      <c r="Y87"/>
      <c r="Z87" s="33"/>
      <c r="AA87"/>
      <c r="AB87"/>
      <c r="AC87"/>
    </row>
    <row r="88" spans="1:29" s="3" customFormat="1">
      <c r="A88">
        <v>2048</v>
      </c>
      <c r="E88"/>
      <c r="K88"/>
      <c r="L88"/>
      <c r="M88"/>
      <c r="N88"/>
      <c r="O88"/>
      <c r="P88"/>
      <c r="Q88"/>
      <c r="R88"/>
      <c r="S88"/>
      <c r="T88"/>
      <c r="U88"/>
      <c r="V88"/>
      <c r="W88"/>
      <c r="X88"/>
      <c r="Y88"/>
      <c r="Z88" s="33"/>
      <c r="AA88"/>
      <c r="AB88"/>
      <c r="AC88"/>
    </row>
    <row r="89" spans="1:29" s="3" customFormat="1">
      <c r="A89">
        <v>2049</v>
      </c>
      <c r="E89"/>
      <c r="K89"/>
      <c r="L89"/>
      <c r="M89"/>
      <c r="N89"/>
      <c r="O89"/>
      <c r="P89"/>
      <c r="Q89"/>
      <c r="R89"/>
      <c r="S89"/>
      <c r="T89"/>
      <c r="U89"/>
      <c r="V89"/>
      <c r="W89"/>
      <c r="X89"/>
      <c r="Y89"/>
      <c r="Z89" s="33"/>
      <c r="AA89"/>
      <c r="AB89"/>
      <c r="AC89"/>
    </row>
    <row r="90" spans="1:29" s="3" customFormat="1">
      <c r="A90">
        <v>2050</v>
      </c>
      <c r="E90"/>
      <c r="K90"/>
      <c r="L90"/>
      <c r="M90"/>
      <c r="N90"/>
      <c r="O90"/>
      <c r="P90"/>
      <c r="Q90"/>
      <c r="R90"/>
      <c r="S90"/>
      <c r="T90"/>
      <c r="U90"/>
      <c r="V90"/>
      <c r="W90"/>
      <c r="X90"/>
      <c r="Y90"/>
      <c r="Z90" s="33"/>
      <c r="AA90"/>
      <c r="AB90"/>
      <c r="AC90"/>
    </row>
    <row r="91" spans="1:29" s="3" customFormat="1">
      <c r="A91"/>
      <c r="E91"/>
      <c r="K91"/>
      <c r="L91"/>
      <c r="M91"/>
      <c r="N91"/>
      <c r="O91"/>
      <c r="P91"/>
      <c r="Q91"/>
      <c r="R91"/>
      <c r="S91"/>
      <c r="T91"/>
      <c r="U91"/>
      <c r="V91"/>
      <c r="W91"/>
      <c r="X91"/>
      <c r="Y91"/>
      <c r="Z91" s="33"/>
      <c r="AA91"/>
      <c r="AB91"/>
      <c r="AC91"/>
    </row>
    <row r="92" spans="1:29" s="3" customFormat="1">
      <c r="A92"/>
      <c r="B92"/>
      <c r="C92"/>
      <c r="D92"/>
      <c r="E92"/>
      <c r="F92"/>
      <c r="G92"/>
      <c r="H92"/>
      <c r="I92"/>
      <c r="J92"/>
      <c r="K92"/>
      <c r="L92"/>
      <c r="M92"/>
      <c r="N92"/>
      <c r="O92"/>
      <c r="P92"/>
      <c r="Q92"/>
      <c r="R92"/>
      <c r="S92"/>
      <c r="T92"/>
      <c r="U92"/>
      <c r="V92"/>
      <c r="W92"/>
      <c r="X92"/>
      <c r="Y92"/>
      <c r="Z92" s="33"/>
      <c r="AA92"/>
      <c r="AB92"/>
      <c r="AC92"/>
    </row>
    <row r="93" spans="1:29" s="3" customFormat="1">
      <c r="A93" t="s">
        <v>716</v>
      </c>
      <c r="B93" t="s">
        <v>1395</v>
      </c>
      <c r="C93" t="s">
        <v>726</v>
      </c>
      <c r="D93" t="s">
        <v>726</v>
      </c>
      <c r="E93" t="s">
        <v>726</v>
      </c>
      <c r="F93" t="s">
        <v>726</v>
      </c>
      <c r="G93" t="s">
        <v>726</v>
      </c>
      <c r="H93"/>
      <c r="I93"/>
      <c r="J93"/>
      <c r="K93"/>
      <c r="L93"/>
      <c r="M93"/>
      <c r="N93"/>
      <c r="O93"/>
      <c r="P93"/>
      <c r="Q93"/>
      <c r="R93"/>
      <c r="S93"/>
      <c r="T93"/>
      <c r="U93"/>
      <c r="V93"/>
      <c r="W93"/>
      <c r="X93"/>
      <c r="Y93"/>
      <c r="Z93" s="33"/>
      <c r="AA93"/>
      <c r="AB93"/>
      <c r="AC93"/>
    </row>
    <row r="94" spans="1:29" s="3" customFormat="1">
      <c r="A94"/>
      <c r="B94" t="s">
        <v>724</v>
      </c>
      <c r="C94" t="s">
        <v>724</v>
      </c>
      <c r="D94" t="s">
        <v>805</v>
      </c>
      <c r="E94" t="s">
        <v>723</v>
      </c>
      <c r="F94" t="s">
        <v>806</v>
      </c>
      <c r="G94" t="s">
        <v>725</v>
      </c>
      <c r="H94"/>
      <c r="I94"/>
      <c r="J94"/>
      <c r="K94"/>
      <c r="L94"/>
      <c r="M94"/>
      <c r="N94"/>
      <c r="O94"/>
      <c r="P94"/>
      <c r="Q94"/>
      <c r="R94"/>
      <c r="S94"/>
      <c r="T94"/>
      <c r="U94"/>
      <c r="V94"/>
      <c r="W94"/>
      <c r="X94"/>
      <c r="Y94"/>
      <c r="Z94" s="33"/>
      <c r="AA94"/>
      <c r="AB94"/>
      <c r="AC94"/>
    </row>
    <row r="95" spans="1:29" s="3" customFormat="1">
      <c r="A95">
        <v>2009</v>
      </c>
      <c r="B95" s="3">
        <f>'Vehicle price'!X5</f>
        <v>23</v>
      </c>
      <c r="C95" s="3">
        <f t="shared" ref="C95:C116" si="27">B95*W3*1000</f>
        <v>29490.34263194396</v>
      </c>
      <c r="D95" s="3">
        <f>0.03*C95</f>
        <v>884.71027895831878</v>
      </c>
      <c r="E95">
        <v>10</v>
      </c>
      <c r="F95" s="3">
        <f>E95/100*C95</f>
        <v>2949.0342631943963</v>
      </c>
      <c r="G95" s="3">
        <f>C95+D95+F95</f>
        <v>33324.087174096676</v>
      </c>
      <c r="H95"/>
      <c r="I95"/>
      <c r="J95"/>
      <c r="K95"/>
      <c r="L95"/>
      <c r="M95"/>
      <c r="N95"/>
      <c r="O95"/>
      <c r="P95"/>
      <c r="Q95"/>
      <c r="R95"/>
      <c r="S95"/>
      <c r="T95"/>
      <c r="U95"/>
      <c r="V95"/>
      <c r="W95"/>
      <c r="X95"/>
      <c r="Y95"/>
      <c r="Z95" s="33"/>
      <c r="AA95"/>
      <c r="AB95"/>
      <c r="AC95"/>
    </row>
    <row r="96" spans="1:29" s="3" customFormat="1">
      <c r="A96">
        <v>2010</v>
      </c>
      <c r="B96" s="3">
        <f>'Vehicle price'!X6</f>
        <v>23</v>
      </c>
      <c r="C96" s="3">
        <f t="shared" si="27"/>
        <v>25001.585245441289</v>
      </c>
      <c r="D96" s="3">
        <f t="shared" ref="D96:D116" si="28">0.03*C96</f>
        <v>750.04755736323864</v>
      </c>
      <c r="E96">
        <v>10</v>
      </c>
      <c r="F96" s="3">
        <f t="shared" ref="F96:F104" si="29">E96/100*C96</f>
        <v>2500.1585245441292</v>
      </c>
      <c r="G96" s="3">
        <f t="shared" ref="G96:G104" si="30">C96+D96+F96</f>
        <v>28251.791327348656</v>
      </c>
      <c r="H96"/>
      <c r="I96"/>
      <c r="J96"/>
      <c r="K96"/>
      <c r="L96"/>
      <c r="M96"/>
      <c r="N96"/>
      <c r="O96"/>
      <c r="P96"/>
      <c r="Q96"/>
      <c r="R96"/>
      <c r="S96"/>
      <c r="T96"/>
      <c r="U96"/>
      <c r="V96"/>
      <c r="W96"/>
      <c r="X96"/>
      <c r="Y96"/>
      <c r="Z96" s="33"/>
      <c r="AA96"/>
      <c r="AB96"/>
      <c r="AC96"/>
    </row>
    <row r="97" spans="1:29" s="3" customFormat="1">
      <c r="A97">
        <v>2011</v>
      </c>
      <c r="B97" s="3">
        <f>'Vehicle price'!X7</f>
        <v>23</v>
      </c>
      <c r="C97" s="3">
        <f t="shared" si="27"/>
        <v>22101.040190261127</v>
      </c>
      <c r="D97" s="3">
        <f t="shared" si="28"/>
        <v>663.03120570783381</v>
      </c>
      <c r="E97">
        <v>10</v>
      </c>
      <c r="F97" s="3">
        <f t="shared" si="29"/>
        <v>2210.1040190261128</v>
      </c>
      <c r="G97" s="3">
        <f t="shared" si="30"/>
        <v>24974.175414995072</v>
      </c>
      <c r="H97"/>
      <c r="I97"/>
      <c r="J97"/>
      <c r="K97"/>
      <c r="L97"/>
      <c r="M97"/>
      <c r="N97"/>
      <c r="O97"/>
      <c r="P97"/>
      <c r="Q97"/>
      <c r="R97"/>
      <c r="S97"/>
      <c r="T97"/>
      <c r="U97"/>
      <c r="V97"/>
      <c r="W97"/>
      <c r="X97"/>
      <c r="Y97"/>
      <c r="Z97" s="33"/>
      <c r="AA97"/>
      <c r="AB97"/>
      <c r="AC97"/>
    </row>
    <row r="98" spans="1:29" s="3" customFormat="1">
      <c r="A98">
        <v>2012</v>
      </c>
      <c r="B98" s="3">
        <f>'Vehicle price'!X8</f>
        <v>23</v>
      </c>
      <c r="C98" s="3">
        <f t="shared" si="27"/>
        <v>22131.344719749821</v>
      </c>
      <c r="D98" s="3">
        <f t="shared" si="28"/>
        <v>663.94034159249463</v>
      </c>
      <c r="E98">
        <v>10</v>
      </c>
      <c r="F98" s="3">
        <f t="shared" si="29"/>
        <v>2213.1344719749823</v>
      </c>
      <c r="G98" s="3">
        <f t="shared" si="30"/>
        <v>25008.419533317297</v>
      </c>
      <c r="H98"/>
      <c r="I98"/>
      <c r="J98"/>
      <c r="K98"/>
      <c r="L98"/>
      <c r="M98"/>
      <c r="N98"/>
      <c r="O98"/>
      <c r="P98"/>
      <c r="Q98"/>
      <c r="R98"/>
      <c r="S98"/>
      <c r="T98"/>
      <c r="U98"/>
      <c r="V98"/>
      <c r="W98"/>
      <c r="X98"/>
      <c r="Y98"/>
      <c r="Z98" s="33"/>
      <c r="AA98"/>
      <c r="AB98"/>
      <c r="AC98"/>
    </row>
    <row r="99" spans="1:29" s="3" customFormat="1">
      <c r="A99">
        <v>2013</v>
      </c>
      <c r="B99" s="3">
        <f>'Vehicle price'!X9</f>
        <v>23</v>
      </c>
      <c r="C99" s="3">
        <f t="shared" si="27"/>
        <v>23957.293520246516</v>
      </c>
      <c r="D99" s="3">
        <f t="shared" si="28"/>
        <v>718.71880560739544</v>
      </c>
      <c r="E99">
        <v>10</v>
      </c>
      <c r="F99" s="3">
        <f t="shared" si="29"/>
        <v>2395.7293520246517</v>
      </c>
      <c r="G99" s="3">
        <f t="shared" si="30"/>
        <v>27071.741677878563</v>
      </c>
      <c r="H99"/>
      <c r="I99"/>
      <c r="J99"/>
      <c r="K99"/>
      <c r="L99"/>
      <c r="M99"/>
      <c r="N99"/>
      <c r="O99"/>
      <c r="P99"/>
      <c r="Q99"/>
      <c r="R99"/>
      <c r="S99"/>
      <c r="T99"/>
      <c r="U99"/>
      <c r="V99"/>
      <c r="W99"/>
      <c r="X99"/>
      <c r="Y99"/>
      <c r="Z99" s="33"/>
      <c r="AA99"/>
      <c r="AB99"/>
      <c r="AC99"/>
    </row>
    <row r="100" spans="1:29" s="3" customFormat="1">
      <c r="A100">
        <v>2014</v>
      </c>
      <c r="B100" s="3">
        <f>'Vehicle price'!X10</f>
        <v>23</v>
      </c>
      <c r="C100" s="3">
        <f t="shared" si="27"/>
        <v>25583.982202447161</v>
      </c>
      <c r="D100" s="3">
        <f t="shared" si="28"/>
        <v>767.51946607341483</v>
      </c>
      <c r="E100">
        <v>10</v>
      </c>
      <c r="F100" s="3">
        <f t="shared" si="29"/>
        <v>2558.3982202447164</v>
      </c>
      <c r="G100" s="3">
        <f t="shared" si="30"/>
        <v>28909.899888765292</v>
      </c>
      <c r="H100"/>
      <c r="I100"/>
      <c r="J100"/>
      <c r="K100"/>
      <c r="L100"/>
      <c r="M100"/>
      <c r="N100"/>
      <c r="O100"/>
      <c r="P100"/>
      <c r="Q100"/>
      <c r="R100"/>
      <c r="S100"/>
      <c r="T100"/>
      <c r="U100"/>
      <c r="V100"/>
      <c r="W100"/>
      <c r="X100"/>
      <c r="Y100"/>
      <c r="Z100" s="33"/>
      <c r="AA100"/>
      <c r="AB100"/>
    </row>
    <row r="101" spans="1:29" s="3" customFormat="1">
      <c r="A101">
        <v>2015</v>
      </c>
      <c r="B101" s="3">
        <f>'Vehicle price'!X11</f>
        <v>23</v>
      </c>
      <c r="C101" s="3">
        <f t="shared" si="27"/>
        <v>30811.136663019937</v>
      </c>
      <c r="D101" s="3">
        <f t="shared" si="28"/>
        <v>924.33409989059805</v>
      </c>
      <c r="E101">
        <v>10</v>
      </c>
      <c r="F101" s="3">
        <f t="shared" si="29"/>
        <v>3081.1136663019938</v>
      </c>
      <c r="G101" s="3">
        <f t="shared" si="30"/>
        <v>34816.584429212533</v>
      </c>
      <c r="H101"/>
      <c r="I101"/>
      <c r="J101"/>
      <c r="K101"/>
      <c r="L101"/>
      <c r="M101"/>
      <c r="N101"/>
      <c r="O101"/>
      <c r="P101"/>
      <c r="Q101"/>
      <c r="R101"/>
      <c r="S101"/>
      <c r="T101"/>
      <c r="U101"/>
      <c r="V101"/>
      <c r="W101"/>
      <c r="X101"/>
      <c r="Y101"/>
      <c r="Z101" s="33"/>
      <c r="AA101"/>
      <c r="AB101"/>
    </row>
    <row r="102" spans="1:29" s="3" customFormat="1">
      <c r="A102">
        <v>2016</v>
      </c>
      <c r="B102" s="3">
        <f>'Vehicle price'!X12</f>
        <v>23</v>
      </c>
      <c r="C102" s="3">
        <f t="shared" si="27"/>
        <v>30938.582430023875</v>
      </c>
      <c r="D102" s="3">
        <f t="shared" si="28"/>
        <v>928.15747290071624</v>
      </c>
      <c r="E102">
        <v>10</v>
      </c>
      <c r="F102" s="3">
        <f t="shared" si="29"/>
        <v>3093.8582430023876</v>
      </c>
      <c r="G102" s="3">
        <f t="shared" si="30"/>
        <v>34960.598145926975</v>
      </c>
      <c r="H102"/>
      <c r="I102"/>
      <c r="J102"/>
      <c r="K102"/>
      <c r="L102"/>
      <c r="M102"/>
      <c r="N102"/>
      <c r="O102"/>
      <c r="P102"/>
      <c r="Q102"/>
      <c r="R102"/>
      <c r="S102"/>
      <c r="T102"/>
      <c r="U102"/>
      <c r="V102"/>
      <c r="W102"/>
      <c r="X102"/>
      <c r="Y102"/>
      <c r="Z102" s="33"/>
      <c r="AA102"/>
      <c r="AB102"/>
    </row>
    <row r="103" spans="1:29" s="3" customFormat="1">
      <c r="A103">
        <v>2017</v>
      </c>
      <c r="B103" s="3">
        <f>'Vehicle price'!X13</f>
        <v>23</v>
      </c>
      <c r="C103" s="3">
        <f t="shared" si="27"/>
        <v>29903.139829682121</v>
      </c>
      <c r="D103" s="3">
        <f t="shared" si="28"/>
        <v>897.09419489046354</v>
      </c>
      <c r="E103">
        <v>10</v>
      </c>
      <c r="F103" s="3">
        <f t="shared" si="29"/>
        <v>2990.3139829682123</v>
      </c>
      <c r="G103" s="3">
        <f t="shared" si="30"/>
        <v>33790.548007540798</v>
      </c>
      <c r="H103"/>
      <c r="I103"/>
      <c r="J103"/>
      <c r="K103"/>
      <c r="L103"/>
      <c r="M103"/>
      <c r="N103"/>
      <c r="O103"/>
      <c r="P103"/>
      <c r="Q103"/>
      <c r="R103"/>
      <c r="S103"/>
      <c r="T103"/>
      <c r="U103"/>
      <c r="V103"/>
      <c r="W103"/>
      <c r="X103"/>
      <c r="Y103"/>
      <c r="Z103" s="33"/>
      <c r="AA103"/>
      <c r="AB103"/>
    </row>
    <row r="104" spans="1:29" s="3" customFormat="1">
      <c r="A104">
        <v>2018</v>
      </c>
      <c r="B104" s="3">
        <f>'Vehicle price'!X14</f>
        <v>23</v>
      </c>
      <c r="C104" s="3">
        <f t="shared" si="27"/>
        <v>31050</v>
      </c>
      <c r="D104" s="3">
        <f t="shared" si="28"/>
        <v>931.5</v>
      </c>
      <c r="E104">
        <v>10</v>
      </c>
      <c r="F104" s="3">
        <f t="shared" si="29"/>
        <v>3105</v>
      </c>
      <c r="G104" s="3">
        <f t="shared" si="30"/>
        <v>35086.5</v>
      </c>
      <c r="H104"/>
      <c r="I104"/>
      <c r="J104"/>
      <c r="K104"/>
      <c r="L104"/>
      <c r="M104"/>
      <c r="N104"/>
      <c r="O104"/>
      <c r="P104"/>
      <c r="Q104"/>
      <c r="R104"/>
      <c r="S104"/>
      <c r="T104"/>
      <c r="U104"/>
      <c r="V104"/>
      <c r="W104"/>
      <c r="X104"/>
      <c r="Y104"/>
      <c r="Z104" s="33"/>
      <c r="AA104"/>
      <c r="AB104"/>
    </row>
    <row r="105" spans="1:29" s="3" customFormat="1">
      <c r="A105">
        <v>2019</v>
      </c>
      <c r="B105" s="3">
        <f>'Vehicle price'!X15</f>
        <v>23</v>
      </c>
      <c r="C105" s="3">
        <f t="shared" si="27"/>
        <v>31050</v>
      </c>
      <c r="D105" s="3">
        <f t="shared" si="28"/>
        <v>931.5</v>
      </c>
      <c r="E105">
        <v>10</v>
      </c>
      <c r="F105" s="3">
        <f t="shared" ref="F105:F116" si="31">E105/100*C105</f>
        <v>3105</v>
      </c>
      <c r="G105" s="3">
        <f t="shared" ref="G105:G116" si="32">C105+D105+F105</f>
        <v>35086.5</v>
      </c>
      <c r="H105"/>
      <c r="I105"/>
      <c r="J105"/>
      <c r="K105"/>
      <c r="L105"/>
      <c r="M105"/>
      <c r="N105"/>
      <c r="O105"/>
      <c r="P105"/>
      <c r="Q105"/>
      <c r="R105"/>
      <c r="S105"/>
      <c r="T105"/>
      <c r="U105"/>
      <c r="V105"/>
      <c r="W105"/>
      <c r="X105"/>
      <c r="Y105"/>
      <c r="Z105" s="33"/>
      <c r="AA105"/>
      <c r="AB105"/>
    </row>
    <row r="106" spans="1:29" s="3" customFormat="1">
      <c r="A106">
        <v>2020</v>
      </c>
      <c r="B106" s="3">
        <f>'Vehicle price'!X16</f>
        <v>23</v>
      </c>
      <c r="C106" s="3">
        <f t="shared" si="27"/>
        <v>31050</v>
      </c>
      <c r="D106" s="3">
        <f t="shared" si="28"/>
        <v>931.5</v>
      </c>
      <c r="E106">
        <v>10</v>
      </c>
      <c r="F106" s="3">
        <f t="shared" si="31"/>
        <v>3105</v>
      </c>
      <c r="G106" s="3">
        <f t="shared" si="32"/>
        <v>35086.5</v>
      </c>
      <c r="H106"/>
      <c r="I106"/>
      <c r="J106"/>
      <c r="K106"/>
      <c r="L106"/>
      <c r="M106"/>
      <c r="N106"/>
      <c r="O106"/>
      <c r="P106"/>
      <c r="Q106"/>
      <c r="R106"/>
      <c r="S106"/>
      <c r="T106"/>
      <c r="U106"/>
      <c r="V106"/>
      <c r="W106"/>
      <c r="X106"/>
      <c r="Y106"/>
      <c r="Z106" s="33"/>
      <c r="AA106"/>
      <c r="AB106"/>
    </row>
    <row r="107" spans="1:29" s="3" customFormat="1">
      <c r="A107">
        <v>2021</v>
      </c>
      <c r="B107" s="3">
        <f>'Vehicle price'!X17</f>
        <v>23</v>
      </c>
      <c r="C107" s="3">
        <f t="shared" si="27"/>
        <v>31050</v>
      </c>
      <c r="D107" s="3">
        <f t="shared" si="28"/>
        <v>931.5</v>
      </c>
      <c r="E107">
        <v>10</v>
      </c>
      <c r="F107" s="3">
        <f t="shared" si="31"/>
        <v>3105</v>
      </c>
      <c r="G107" s="3">
        <f t="shared" si="32"/>
        <v>35086.5</v>
      </c>
      <c r="H107"/>
      <c r="I107"/>
      <c r="J107"/>
      <c r="K107"/>
      <c r="L107"/>
      <c r="M107"/>
      <c r="N107"/>
      <c r="O107"/>
      <c r="P107"/>
      <c r="Q107"/>
      <c r="R107"/>
      <c r="S107"/>
      <c r="T107"/>
      <c r="U107"/>
      <c r="V107"/>
      <c r="W107"/>
      <c r="X107"/>
      <c r="Y107"/>
      <c r="Z107" s="33"/>
      <c r="AA107"/>
      <c r="AB107"/>
    </row>
    <row r="108" spans="1:29" s="3" customFormat="1">
      <c r="A108">
        <v>2022</v>
      </c>
      <c r="B108" s="3">
        <f>'Vehicle price'!X18</f>
        <v>23</v>
      </c>
      <c r="C108" s="3">
        <f t="shared" si="27"/>
        <v>31050</v>
      </c>
      <c r="D108" s="3">
        <f t="shared" si="28"/>
        <v>931.5</v>
      </c>
      <c r="E108">
        <v>10</v>
      </c>
      <c r="F108" s="3">
        <f t="shared" si="31"/>
        <v>3105</v>
      </c>
      <c r="G108" s="3">
        <f t="shared" si="32"/>
        <v>35086.5</v>
      </c>
      <c r="H108"/>
      <c r="I108"/>
      <c r="J108"/>
      <c r="K108"/>
      <c r="L108"/>
      <c r="M108"/>
      <c r="N108"/>
      <c r="O108"/>
      <c r="P108"/>
      <c r="Q108"/>
      <c r="R108"/>
      <c r="S108"/>
      <c r="T108"/>
      <c r="U108"/>
      <c r="V108"/>
      <c r="W108"/>
      <c r="X108"/>
      <c r="Y108"/>
      <c r="Z108" s="33"/>
      <c r="AA108"/>
      <c r="AB108"/>
    </row>
    <row r="109" spans="1:29">
      <c r="A109">
        <v>2023</v>
      </c>
      <c r="B109" s="3">
        <f>'Vehicle price'!X19</f>
        <v>23</v>
      </c>
      <c r="C109" s="3">
        <f t="shared" si="27"/>
        <v>31050</v>
      </c>
      <c r="D109" s="3">
        <f t="shared" si="28"/>
        <v>931.5</v>
      </c>
      <c r="E109">
        <v>10</v>
      </c>
      <c r="F109" s="3">
        <f t="shared" si="31"/>
        <v>3105</v>
      </c>
      <c r="G109" s="3">
        <f t="shared" si="32"/>
        <v>35086.5</v>
      </c>
      <c r="AC109" s="3"/>
    </row>
    <row r="110" spans="1:29">
      <c r="A110">
        <v>2024</v>
      </c>
      <c r="B110" s="3">
        <f>'Vehicle price'!X20</f>
        <v>23</v>
      </c>
      <c r="C110" s="3">
        <f t="shared" si="27"/>
        <v>31050</v>
      </c>
      <c r="D110" s="3">
        <f t="shared" si="28"/>
        <v>931.5</v>
      </c>
      <c r="E110">
        <v>10</v>
      </c>
      <c r="F110" s="3">
        <f t="shared" si="31"/>
        <v>3105</v>
      </c>
      <c r="G110" s="3">
        <f t="shared" si="32"/>
        <v>35086.5</v>
      </c>
      <c r="AC110" s="3"/>
    </row>
    <row r="111" spans="1:29">
      <c r="A111">
        <v>2025</v>
      </c>
      <c r="B111" s="3">
        <f>'Vehicle price'!X21</f>
        <v>23</v>
      </c>
      <c r="C111" s="3">
        <f t="shared" si="27"/>
        <v>31050</v>
      </c>
      <c r="D111" s="3">
        <f t="shared" si="28"/>
        <v>931.5</v>
      </c>
      <c r="E111">
        <v>10</v>
      </c>
      <c r="F111" s="3">
        <f t="shared" si="31"/>
        <v>3105</v>
      </c>
      <c r="G111" s="3">
        <f t="shared" si="32"/>
        <v>35086.5</v>
      </c>
      <c r="AC111" s="3"/>
    </row>
    <row r="112" spans="1:29">
      <c r="A112">
        <v>2026</v>
      </c>
      <c r="B112" s="3">
        <f>'Vehicle price'!X22</f>
        <v>23</v>
      </c>
      <c r="C112" s="3">
        <f t="shared" si="27"/>
        <v>31050</v>
      </c>
      <c r="D112" s="3">
        <f t="shared" si="28"/>
        <v>931.5</v>
      </c>
      <c r="E112">
        <v>10</v>
      </c>
      <c r="F112" s="3">
        <f t="shared" si="31"/>
        <v>3105</v>
      </c>
      <c r="G112" s="3">
        <f t="shared" si="32"/>
        <v>35086.5</v>
      </c>
      <c r="AC112" s="3"/>
    </row>
    <row r="113" spans="1:29">
      <c r="A113">
        <v>2027</v>
      </c>
      <c r="B113" s="3">
        <f>'Vehicle price'!X23</f>
        <v>23</v>
      </c>
      <c r="C113" s="3">
        <f t="shared" si="27"/>
        <v>31050</v>
      </c>
      <c r="D113" s="3">
        <f t="shared" si="28"/>
        <v>931.5</v>
      </c>
      <c r="E113">
        <v>10</v>
      </c>
      <c r="F113" s="3">
        <f t="shared" si="31"/>
        <v>3105</v>
      </c>
      <c r="G113" s="3">
        <f t="shared" si="32"/>
        <v>35086.5</v>
      </c>
      <c r="AC113" s="3"/>
    </row>
    <row r="114" spans="1:29">
      <c r="A114">
        <v>2028</v>
      </c>
      <c r="B114" s="3">
        <f>'Vehicle price'!X24</f>
        <v>23</v>
      </c>
      <c r="C114" s="3">
        <f t="shared" si="27"/>
        <v>31050</v>
      </c>
      <c r="D114" s="3">
        <f t="shared" si="28"/>
        <v>931.5</v>
      </c>
      <c r="E114">
        <v>10</v>
      </c>
      <c r="F114" s="3">
        <f t="shared" si="31"/>
        <v>3105</v>
      </c>
      <c r="G114" s="3">
        <f t="shared" si="32"/>
        <v>35086.5</v>
      </c>
      <c r="AC114" s="3"/>
    </row>
    <row r="115" spans="1:29">
      <c r="A115">
        <v>2029</v>
      </c>
      <c r="B115" s="3">
        <f>'Vehicle price'!X25</f>
        <v>23</v>
      </c>
      <c r="C115" s="3">
        <f t="shared" si="27"/>
        <v>31050</v>
      </c>
      <c r="D115" s="3">
        <f t="shared" si="28"/>
        <v>931.5</v>
      </c>
      <c r="E115">
        <v>10</v>
      </c>
      <c r="F115" s="3">
        <f t="shared" si="31"/>
        <v>3105</v>
      </c>
      <c r="G115" s="3">
        <f t="shared" si="32"/>
        <v>35086.5</v>
      </c>
      <c r="AC115" s="3"/>
    </row>
    <row r="116" spans="1:29">
      <c r="A116">
        <v>2030</v>
      </c>
      <c r="B116" s="3">
        <f>'Vehicle price'!X26</f>
        <v>23</v>
      </c>
      <c r="C116" s="3">
        <f t="shared" si="27"/>
        <v>31050</v>
      </c>
      <c r="D116" s="3">
        <f t="shared" si="28"/>
        <v>931.5</v>
      </c>
      <c r="E116">
        <v>10</v>
      </c>
      <c r="F116" s="3">
        <f t="shared" si="31"/>
        <v>3105</v>
      </c>
      <c r="G116" s="3">
        <f t="shared" si="32"/>
        <v>35086.5</v>
      </c>
      <c r="AC116" s="3"/>
    </row>
    <row r="117" spans="1:29">
      <c r="A117">
        <v>2031</v>
      </c>
      <c r="B117" s="3"/>
      <c r="C117" s="3"/>
      <c r="D117" s="3"/>
      <c r="F117" s="3"/>
      <c r="G117" s="3"/>
      <c r="AC117" s="3"/>
    </row>
    <row r="118" spans="1:29">
      <c r="A118">
        <v>2032</v>
      </c>
      <c r="B118" s="3"/>
      <c r="C118" s="3"/>
      <c r="D118" s="3"/>
      <c r="F118" s="3"/>
      <c r="G118" s="3"/>
      <c r="AC118" s="3"/>
    </row>
    <row r="119" spans="1:29">
      <c r="A119">
        <v>2033</v>
      </c>
      <c r="B119" s="3"/>
      <c r="C119" s="3"/>
      <c r="D119" s="3"/>
      <c r="F119" s="3"/>
      <c r="G119" s="3"/>
      <c r="AC119" s="3"/>
    </row>
    <row r="120" spans="1:29">
      <c r="A120">
        <v>2034</v>
      </c>
      <c r="B120" s="3"/>
      <c r="C120" s="3"/>
      <c r="D120" s="3"/>
      <c r="F120" s="3"/>
      <c r="G120" s="3"/>
      <c r="AC120" s="3"/>
    </row>
    <row r="121" spans="1:29">
      <c r="A121">
        <v>2035</v>
      </c>
      <c r="B121" s="3"/>
      <c r="C121" s="3"/>
      <c r="D121" s="3"/>
      <c r="F121" s="3"/>
      <c r="G121" s="3"/>
      <c r="AC121" s="3"/>
    </row>
    <row r="122" spans="1:29">
      <c r="A122">
        <v>2036</v>
      </c>
      <c r="B122" s="3"/>
      <c r="C122" s="3"/>
      <c r="D122" s="3"/>
      <c r="F122" s="3"/>
      <c r="G122" s="3"/>
      <c r="AC122" s="3"/>
    </row>
    <row r="123" spans="1:29">
      <c r="A123">
        <v>2037</v>
      </c>
      <c r="B123" s="3"/>
      <c r="C123" s="3"/>
      <c r="D123" s="3"/>
      <c r="F123" s="3"/>
      <c r="G123" s="3"/>
      <c r="AC123" s="3"/>
    </row>
    <row r="124" spans="1:29">
      <c r="A124">
        <v>2038</v>
      </c>
      <c r="B124" s="3"/>
      <c r="C124" s="3"/>
      <c r="D124" s="3"/>
      <c r="F124" s="3"/>
      <c r="G124" s="3"/>
      <c r="AC124" s="3"/>
    </row>
    <row r="125" spans="1:29">
      <c r="A125">
        <v>2039</v>
      </c>
      <c r="B125" s="3"/>
      <c r="C125" s="3"/>
      <c r="D125" s="3"/>
      <c r="F125" s="3"/>
      <c r="G125" s="3"/>
      <c r="AC125" s="3"/>
    </row>
    <row r="126" spans="1:29">
      <c r="A126">
        <v>2040</v>
      </c>
      <c r="B126" s="3"/>
      <c r="C126" s="3"/>
      <c r="D126" s="3"/>
      <c r="F126" s="3"/>
      <c r="G126" s="3"/>
      <c r="AC126" s="3"/>
    </row>
    <row r="127" spans="1:29">
      <c r="A127">
        <v>2041</v>
      </c>
      <c r="B127" s="3"/>
      <c r="C127" s="3"/>
      <c r="D127" s="3"/>
      <c r="F127" s="3"/>
      <c r="G127" s="3"/>
      <c r="AC127" s="3"/>
    </row>
    <row r="128" spans="1:29">
      <c r="A128">
        <v>2042</v>
      </c>
      <c r="B128" s="3"/>
      <c r="C128" s="3"/>
      <c r="D128" s="3"/>
      <c r="F128" s="3"/>
      <c r="G128" s="3"/>
      <c r="AC128" s="3"/>
    </row>
    <row r="129" spans="1:33">
      <c r="A129">
        <v>2043</v>
      </c>
      <c r="B129" s="3"/>
      <c r="C129" s="3"/>
      <c r="D129" s="3"/>
      <c r="F129" s="3"/>
      <c r="G129" s="3"/>
    </row>
    <row r="130" spans="1:33">
      <c r="A130">
        <v>2044</v>
      </c>
      <c r="B130" s="3"/>
      <c r="C130" s="3"/>
      <c r="D130" s="3"/>
      <c r="F130" s="3"/>
      <c r="G130" s="3"/>
    </row>
    <row r="131" spans="1:33">
      <c r="A131">
        <v>2045</v>
      </c>
      <c r="B131" s="3"/>
      <c r="C131" s="3"/>
      <c r="D131" s="3"/>
      <c r="F131" s="3"/>
      <c r="G131" s="3"/>
    </row>
    <row r="132" spans="1:33">
      <c r="A132">
        <v>2046</v>
      </c>
      <c r="B132" s="3"/>
      <c r="C132" s="3"/>
      <c r="D132" s="3"/>
      <c r="F132" s="3"/>
      <c r="G132" s="3"/>
    </row>
    <row r="133" spans="1:33">
      <c r="A133">
        <v>2047</v>
      </c>
      <c r="B133" s="3"/>
      <c r="C133" s="3"/>
      <c r="D133" s="3"/>
      <c r="F133" s="3"/>
      <c r="G133" s="3"/>
    </row>
    <row r="134" spans="1:33">
      <c r="A134">
        <v>2048</v>
      </c>
      <c r="B134" s="3"/>
      <c r="C134" s="3"/>
      <c r="D134" s="3"/>
      <c r="F134" s="3"/>
      <c r="G134" s="3"/>
    </row>
    <row r="135" spans="1:33">
      <c r="A135">
        <v>2049</v>
      </c>
      <c r="B135" s="3"/>
      <c r="C135" s="3"/>
      <c r="D135" s="3"/>
      <c r="F135" s="3"/>
      <c r="G135" s="3"/>
    </row>
    <row r="136" spans="1:33">
      <c r="A136">
        <v>2050</v>
      </c>
      <c r="B136" s="3"/>
      <c r="C136" s="3"/>
      <c r="D136" s="3"/>
      <c r="F136" s="3"/>
      <c r="G136" s="3"/>
    </row>
    <row r="137" spans="1:33">
      <c r="B137" s="3"/>
      <c r="C137" s="3"/>
      <c r="D137" s="3"/>
      <c r="F137" s="3"/>
      <c r="G137" s="3"/>
      <c r="AD137" s="87" t="s">
        <v>1166</v>
      </c>
      <c r="AE137" s="87"/>
      <c r="AF137" s="87"/>
      <c r="AG137" s="234"/>
    </row>
    <row r="138" spans="1:33">
      <c r="AD138" s="235" t="s">
        <v>1167</v>
      </c>
      <c r="AE138" s="235" t="s">
        <v>1168</v>
      </c>
      <c r="AF138" s="235" t="s">
        <v>1169</v>
      </c>
      <c r="AG138" s="235" t="s">
        <v>1170</v>
      </c>
    </row>
    <row r="139" spans="1:33">
      <c r="B139" t="s">
        <v>980</v>
      </c>
      <c r="C139" t="s">
        <v>980</v>
      </c>
      <c r="D139" t="s">
        <v>980</v>
      </c>
      <c r="E139" t="s">
        <v>980</v>
      </c>
      <c r="F139" t="s">
        <v>980</v>
      </c>
      <c r="J139" t="s">
        <v>812</v>
      </c>
      <c r="K139" t="s">
        <v>812</v>
      </c>
      <c r="L139" t="s">
        <v>812</v>
      </c>
      <c r="M139" t="s">
        <v>812</v>
      </c>
      <c r="N139" t="s">
        <v>812</v>
      </c>
      <c r="U139" t="s">
        <v>989</v>
      </c>
      <c r="AC139">
        <v>2010</v>
      </c>
      <c r="AD139" s="13">
        <v>1.4576299374953985</v>
      </c>
      <c r="AE139" s="13">
        <v>1.4576299374953985</v>
      </c>
      <c r="AF139" s="13">
        <v>1.4576299374953985</v>
      </c>
      <c r="AG139" s="13">
        <v>1.4576299374953985</v>
      </c>
    </row>
    <row r="140" spans="1:33">
      <c r="B140" t="s">
        <v>978</v>
      </c>
      <c r="C140" t="s">
        <v>979</v>
      </c>
      <c r="D140" t="s">
        <v>916</v>
      </c>
      <c r="E140" t="s">
        <v>981</v>
      </c>
      <c r="F140" t="s">
        <v>983</v>
      </c>
      <c r="J140" t="s">
        <v>725</v>
      </c>
      <c r="K140" t="s">
        <v>979</v>
      </c>
      <c r="L140" t="s">
        <v>916</v>
      </c>
      <c r="M140" t="s">
        <v>985</v>
      </c>
      <c r="N140" t="s">
        <v>983</v>
      </c>
      <c r="R140" t="s">
        <v>997</v>
      </c>
      <c r="S140" t="s">
        <v>1346</v>
      </c>
      <c r="U140" t="s">
        <v>934</v>
      </c>
      <c r="W140" t="s">
        <v>986</v>
      </c>
      <c r="AC140">
        <v>2011</v>
      </c>
      <c r="AD140" s="13">
        <v>1.580935509025881</v>
      </c>
      <c r="AE140" s="13">
        <v>1.580935509025881</v>
      </c>
      <c r="AF140" s="13">
        <v>1.580935509025881</v>
      </c>
      <c r="AG140" s="13">
        <v>1.580935509025881</v>
      </c>
    </row>
    <row r="141" spans="1:33">
      <c r="A141" s="3">
        <v>2012</v>
      </c>
      <c r="B141" s="3">
        <f t="shared" ref="B141:B159" si="33">MIN(J6,J52)</f>
        <v>35735.706114243818</v>
      </c>
      <c r="C141" s="3">
        <f>B141/5</f>
        <v>7147.1412228487634</v>
      </c>
      <c r="D141" s="3">
        <f>B141*0.13</f>
        <v>4645.6417948516964</v>
      </c>
      <c r="E141" s="3">
        <v>0</v>
      </c>
      <c r="F141" s="3">
        <f>C141+D141-E141</f>
        <v>11792.78301770046</v>
      </c>
      <c r="G141" s="3"/>
      <c r="H141" s="3"/>
      <c r="I141" s="3">
        <v>2012</v>
      </c>
      <c r="J141" s="3">
        <f t="shared" ref="J141:J159" si="34">G98</f>
        <v>25008.419533317297</v>
      </c>
      <c r="K141" s="3">
        <f>J141/5</f>
        <v>5001.6839066634593</v>
      </c>
      <c r="L141" s="3">
        <f>J141*0.13</f>
        <v>3251.0945393312486</v>
      </c>
      <c r="M141" s="3">
        <f t="shared" ref="M141:M159" si="35">Y142/100*W141*U141</f>
        <v>1642.708713735122</v>
      </c>
      <c r="N141" s="3">
        <f>SUM(K141:M141)</f>
        <v>9895.4871597298297</v>
      </c>
      <c r="O141" s="3"/>
      <c r="P141" s="3"/>
      <c r="Q141" s="3">
        <v>2012</v>
      </c>
      <c r="R141" s="13">
        <f>N141/F141</f>
        <v>0.83911381604131352</v>
      </c>
      <c r="S141" s="13">
        <f>F141/N141</f>
        <v>1.1917334465039546</v>
      </c>
      <c r="T141" s="3"/>
      <c r="U141" s="13">
        <f>AF141</f>
        <v>1.5781501817765069</v>
      </c>
      <c r="W141" s="12">
        <f>'Country L per 100 km'!B7</f>
        <v>8.06280188947742</v>
      </c>
      <c r="X141" s="12"/>
      <c r="Y141" t="s">
        <v>987</v>
      </c>
      <c r="AA141" s="3"/>
      <c r="AB141" s="3"/>
      <c r="AC141">
        <v>2012</v>
      </c>
      <c r="AD141" s="13">
        <v>1.5781501817765069</v>
      </c>
      <c r="AE141" s="13">
        <v>1.5781501817765069</v>
      </c>
      <c r="AF141" s="13">
        <v>1.5781501817765069</v>
      </c>
      <c r="AG141" s="13">
        <v>1.5781501817765069</v>
      </c>
    </row>
    <row r="142" spans="1:33">
      <c r="A142" s="3">
        <v>2013</v>
      </c>
      <c r="B142" s="3">
        <f t="shared" si="33"/>
        <v>38857.40912069843</v>
      </c>
      <c r="C142" s="3">
        <f t="shared" ref="C142:C159" si="36">B142/5</f>
        <v>7771.4818241396861</v>
      </c>
      <c r="D142" s="3">
        <f t="shared" ref="D142:D159" si="37">B142*0.13</f>
        <v>5051.4631856907963</v>
      </c>
      <c r="E142" s="3">
        <v>0</v>
      </c>
      <c r="F142" s="3">
        <f t="shared" ref="F142:F159" si="38">C142+D142-E142</f>
        <v>12822.945009830482</v>
      </c>
      <c r="G142" s="3"/>
      <c r="H142" s="3"/>
      <c r="I142" s="3">
        <v>2013</v>
      </c>
      <c r="J142" s="3">
        <f t="shared" si="34"/>
        <v>27071.741677878563</v>
      </c>
      <c r="K142" s="3">
        <f t="shared" ref="K142:K159" si="39">J142/5</f>
        <v>5414.3483355757126</v>
      </c>
      <c r="L142" s="3">
        <f t="shared" ref="L142:L159" si="40">J142*0.13</f>
        <v>3519.3264181242134</v>
      </c>
      <c r="M142" s="3">
        <f t="shared" si="35"/>
        <v>1615.9239497096769</v>
      </c>
      <c r="N142" s="3">
        <f t="shared" ref="N142:N158" si="41">SUM(K142:M142)</f>
        <v>10549.598703409603</v>
      </c>
      <c r="O142" s="3"/>
      <c r="P142" s="3"/>
      <c r="Q142" s="3">
        <v>2013</v>
      </c>
      <c r="R142" s="13">
        <f t="shared" ref="R142:R159" si="42">N142/F142</f>
        <v>0.82271262142370116</v>
      </c>
      <c r="S142" s="13">
        <f t="shared" ref="S142:S159" si="43">F142/N142</f>
        <v>1.2154912589884712</v>
      </c>
      <c r="T142" s="3"/>
      <c r="U142" s="13">
        <f t="shared" ref="U142:U159" si="44">AF142</f>
        <v>1.5694677056232293</v>
      </c>
      <c r="W142" s="12">
        <f>'Country L per 100 km'!B8</f>
        <v>8</v>
      </c>
      <c r="X142" s="12"/>
      <c r="Y142" s="3">
        <f>'Country distance travelled'!B7</f>
        <v>12910</v>
      </c>
      <c r="Z142" s="61"/>
      <c r="AA142" s="3"/>
      <c r="AB142" s="3"/>
      <c r="AC142">
        <v>2013</v>
      </c>
      <c r="AD142" s="13">
        <v>1.5694677056232293</v>
      </c>
      <c r="AE142" s="13">
        <v>1.5694677056232293</v>
      </c>
      <c r="AF142" s="13">
        <v>1.5694677056232293</v>
      </c>
      <c r="AG142" s="13">
        <v>1.5694677056232293</v>
      </c>
    </row>
    <row r="143" spans="1:33">
      <c r="A143" s="3">
        <v>2014</v>
      </c>
      <c r="B143" s="3">
        <f t="shared" si="33"/>
        <v>44360.382904390346</v>
      </c>
      <c r="C143" s="3">
        <f t="shared" si="36"/>
        <v>8872.0765808780689</v>
      </c>
      <c r="D143" s="3">
        <f t="shared" si="37"/>
        <v>5766.8497775707456</v>
      </c>
      <c r="E143" s="3">
        <v>0</v>
      </c>
      <c r="F143" s="3">
        <f t="shared" si="38"/>
        <v>14638.926358448814</v>
      </c>
      <c r="G143" s="3"/>
      <c r="H143" s="3"/>
      <c r="I143" s="3">
        <v>2014</v>
      </c>
      <c r="J143" s="3">
        <f t="shared" si="34"/>
        <v>28909.899888765292</v>
      </c>
      <c r="K143" s="3">
        <f t="shared" si="39"/>
        <v>5781.9799777530588</v>
      </c>
      <c r="L143" s="3">
        <f t="shared" si="40"/>
        <v>3758.2869855394883</v>
      </c>
      <c r="M143" s="3">
        <f t="shared" si="35"/>
        <v>1548.5301677620728</v>
      </c>
      <c r="N143" s="3">
        <f t="shared" si="41"/>
        <v>11088.79713105462</v>
      </c>
      <c r="O143" s="3"/>
      <c r="P143" s="3"/>
      <c r="Q143" s="3">
        <v>2014</v>
      </c>
      <c r="R143" s="13">
        <f t="shared" si="42"/>
        <v>0.75748704922302945</v>
      </c>
      <c r="S143" s="13">
        <f t="shared" si="43"/>
        <v>1.3201545835347566</v>
      </c>
      <c r="T143" s="3"/>
      <c r="U143" s="13">
        <f t="shared" si="44"/>
        <v>1.5412200332171693</v>
      </c>
      <c r="W143" s="12">
        <f>'Country L per 100 km'!B9</f>
        <v>7.9051383399209483</v>
      </c>
      <c r="X143" s="12"/>
      <c r="Y143" s="3">
        <f>'Country distance travelled'!B8</f>
        <v>12870</v>
      </c>
      <c r="Z143" s="61"/>
      <c r="AA143" s="3"/>
      <c r="AB143" s="3"/>
      <c r="AC143">
        <v>2014</v>
      </c>
      <c r="AD143" s="13">
        <v>1.5412200332171693</v>
      </c>
      <c r="AE143" s="13">
        <v>1.5412200332171693</v>
      </c>
      <c r="AF143" s="13">
        <v>1.5412200332171693</v>
      </c>
      <c r="AG143" s="13">
        <v>1.5412200332171693</v>
      </c>
    </row>
    <row r="144" spans="1:33">
      <c r="A144" s="3">
        <v>2015</v>
      </c>
      <c r="B144" s="3">
        <f t="shared" si="33"/>
        <v>47612.93621201635</v>
      </c>
      <c r="C144" s="3">
        <f t="shared" si="36"/>
        <v>9522.5872424032696</v>
      </c>
      <c r="D144" s="3">
        <f t="shared" si="37"/>
        <v>6189.6817075621257</v>
      </c>
      <c r="E144" s="3">
        <v>0</v>
      </c>
      <c r="F144" s="3">
        <f t="shared" si="38"/>
        <v>15712.268949965395</v>
      </c>
      <c r="G144" s="3"/>
      <c r="H144" s="3"/>
      <c r="I144" s="3">
        <v>2015</v>
      </c>
      <c r="J144" s="3">
        <f t="shared" si="34"/>
        <v>34816.584429212533</v>
      </c>
      <c r="K144" s="3">
        <f t="shared" si="39"/>
        <v>6963.316885842507</v>
      </c>
      <c r="L144" s="3">
        <f t="shared" si="40"/>
        <v>4526.1559757976293</v>
      </c>
      <c r="M144" s="3">
        <f t="shared" si="35"/>
        <v>1306.0415846725296</v>
      </c>
      <c r="N144" s="3">
        <f t="shared" si="41"/>
        <v>12795.514446312667</v>
      </c>
      <c r="O144" s="3"/>
      <c r="P144" s="3"/>
      <c r="Q144" s="3">
        <v>2015</v>
      </c>
      <c r="R144" s="13">
        <f t="shared" si="42"/>
        <v>0.81436452539471382</v>
      </c>
      <c r="S144" s="13">
        <f t="shared" si="43"/>
        <v>1.2279513274664202</v>
      </c>
      <c r="T144" s="3"/>
      <c r="U144" s="13">
        <f t="shared" si="44"/>
        <v>1.3224989495340207</v>
      </c>
      <c r="W144" s="12">
        <f>'Country L per 100 km'!B10</f>
        <v>7.8191279326616705</v>
      </c>
      <c r="X144" s="12"/>
      <c r="Y144" s="3">
        <f>'Country distance travelled'!B9</f>
        <v>12710</v>
      </c>
      <c r="Z144" s="61"/>
      <c r="AA144" s="3"/>
      <c r="AB144" s="3"/>
      <c r="AC144">
        <v>2015</v>
      </c>
      <c r="AD144" s="13">
        <v>1.3224989495340207</v>
      </c>
      <c r="AE144" s="13">
        <v>1.3224989495340207</v>
      </c>
      <c r="AF144" s="13">
        <v>1.3224989495340207</v>
      </c>
      <c r="AG144" s="13">
        <v>1.3224989495340207</v>
      </c>
    </row>
    <row r="145" spans="1:33">
      <c r="A145" s="3">
        <v>2016</v>
      </c>
      <c r="B145" s="3">
        <f t="shared" si="33"/>
        <v>47800.780190339538</v>
      </c>
      <c r="C145" s="3">
        <f t="shared" si="36"/>
        <v>9560.1560380679075</v>
      </c>
      <c r="D145" s="3">
        <f t="shared" si="37"/>
        <v>6214.1014247441399</v>
      </c>
      <c r="E145" s="3">
        <v>0</v>
      </c>
      <c r="F145" s="3">
        <f t="shared" si="38"/>
        <v>15774.257462812047</v>
      </c>
      <c r="G145" s="3"/>
      <c r="H145" s="3"/>
      <c r="I145" s="3">
        <v>2016</v>
      </c>
      <c r="J145" s="3">
        <f t="shared" si="34"/>
        <v>34960.598145926975</v>
      </c>
      <c r="K145" s="3">
        <f t="shared" si="39"/>
        <v>6992.1196291853948</v>
      </c>
      <c r="L145" s="3">
        <f t="shared" si="40"/>
        <v>4544.8777589705069</v>
      </c>
      <c r="M145" s="3">
        <f t="shared" si="35"/>
        <v>1131.8506179494898</v>
      </c>
      <c r="N145" s="3">
        <f t="shared" si="41"/>
        <v>12668.848006105392</v>
      </c>
      <c r="O145" s="3"/>
      <c r="P145" s="3"/>
      <c r="Q145" s="3">
        <v>2016</v>
      </c>
      <c r="R145" s="13">
        <f t="shared" si="42"/>
        <v>0.8031343494913985</v>
      </c>
      <c r="S145" s="13">
        <f t="shared" si="43"/>
        <v>1.2451216918231311</v>
      </c>
      <c r="T145" s="3"/>
      <c r="U145" s="13">
        <f t="shared" si="44"/>
        <v>1.1895981614201958</v>
      </c>
      <c r="W145" s="12">
        <f>'Country L per 100 km'!B11</f>
        <v>7.7417108244174946</v>
      </c>
      <c r="X145" s="12"/>
      <c r="Y145" s="3">
        <f>'Country distance travelled'!B10</f>
        <v>12630</v>
      </c>
      <c r="Z145" s="61"/>
      <c r="AA145" s="3"/>
      <c r="AB145" s="3"/>
      <c r="AC145">
        <v>2016</v>
      </c>
      <c r="AD145" s="13">
        <v>1.1895981614201958</v>
      </c>
      <c r="AE145" s="13">
        <v>1.1895981614201958</v>
      </c>
      <c r="AF145" s="13">
        <v>1.1895981614201958</v>
      </c>
      <c r="AG145" s="13">
        <v>1.1895981614201958</v>
      </c>
    </row>
    <row r="146" spans="1:33">
      <c r="A146" s="3">
        <v>2017</v>
      </c>
      <c r="B146" s="3">
        <f t="shared" si="33"/>
        <v>46274.62783592278</v>
      </c>
      <c r="C146" s="3">
        <f t="shared" si="36"/>
        <v>9254.9255671845567</v>
      </c>
      <c r="D146" s="3">
        <f t="shared" si="37"/>
        <v>6015.701618669962</v>
      </c>
      <c r="E146" s="3">
        <v>0</v>
      </c>
      <c r="F146" s="3">
        <f t="shared" si="38"/>
        <v>15270.627185854519</v>
      </c>
      <c r="G146" s="3"/>
      <c r="H146" s="3"/>
      <c r="I146" s="3">
        <v>2017</v>
      </c>
      <c r="J146" s="3">
        <f t="shared" si="34"/>
        <v>33790.548007540798</v>
      </c>
      <c r="K146" s="3">
        <f t="shared" si="39"/>
        <v>6758.1096015081594</v>
      </c>
      <c r="L146" s="3">
        <f t="shared" si="40"/>
        <v>4392.7712409803034</v>
      </c>
      <c r="M146" s="3">
        <f t="shared" si="35"/>
        <v>1227.5904264058811</v>
      </c>
      <c r="N146" s="3">
        <f t="shared" si="41"/>
        <v>12378.471268894344</v>
      </c>
      <c r="O146" s="3"/>
      <c r="P146" s="3"/>
      <c r="Q146" s="3">
        <v>2017</v>
      </c>
      <c r="R146" s="13">
        <f t="shared" si="42"/>
        <v>0.81060660562525977</v>
      </c>
      <c r="S146" s="13">
        <f t="shared" si="43"/>
        <v>1.2336440303600191</v>
      </c>
      <c r="T146" s="3"/>
      <c r="U146" s="13">
        <f t="shared" si="44"/>
        <v>1.2802082212403147</v>
      </c>
      <c r="W146" s="12">
        <f>'Country L per 100 km'!B12</f>
        <v>7.6650602221955397</v>
      </c>
      <c r="X146" s="12"/>
      <c r="Y146" s="3">
        <f>'Country distance travelled'!B11</f>
        <v>12290</v>
      </c>
      <c r="Z146" s="61"/>
      <c r="AA146" s="3"/>
      <c r="AB146" s="3"/>
      <c r="AC146">
        <v>2017</v>
      </c>
      <c r="AD146" s="13">
        <v>1.2802082212403147</v>
      </c>
      <c r="AE146" s="13">
        <v>1.2802082212403147</v>
      </c>
      <c r="AF146" s="13">
        <v>1.2802082212403147</v>
      </c>
      <c r="AG146" s="13">
        <v>1.2802082212403147</v>
      </c>
    </row>
    <row r="147" spans="1:33">
      <c r="A147" s="3">
        <v>2018</v>
      </c>
      <c r="B147" s="3">
        <f t="shared" si="33"/>
        <v>48868.249848293483</v>
      </c>
      <c r="C147" s="3">
        <f t="shared" si="36"/>
        <v>9773.6499696586961</v>
      </c>
      <c r="D147" s="3">
        <f t="shared" si="37"/>
        <v>6352.8724802781526</v>
      </c>
      <c r="E147" s="3">
        <v>0</v>
      </c>
      <c r="F147" s="3">
        <f t="shared" si="38"/>
        <v>16126.522449936849</v>
      </c>
      <c r="G147" s="3"/>
      <c r="H147" s="3"/>
      <c r="I147" s="3">
        <v>2018</v>
      </c>
      <c r="J147" s="3">
        <f t="shared" si="34"/>
        <v>35086.5</v>
      </c>
      <c r="K147" s="3">
        <f t="shared" si="39"/>
        <v>7017.3</v>
      </c>
      <c r="L147" s="3">
        <f t="shared" si="40"/>
        <v>4561.2449999999999</v>
      </c>
      <c r="M147" s="3">
        <f t="shared" si="35"/>
        <v>1338.9784801294347</v>
      </c>
      <c r="N147" s="3">
        <f t="shared" si="41"/>
        <v>12917.523480129435</v>
      </c>
      <c r="O147" s="3"/>
      <c r="P147" s="3"/>
      <c r="Q147" s="3">
        <v>2018</v>
      </c>
      <c r="R147" s="13">
        <f t="shared" si="42"/>
        <v>0.80101109958644678</v>
      </c>
      <c r="S147" s="13">
        <f t="shared" si="43"/>
        <v>1.2484221510991407</v>
      </c>
      <c r="T147" s="3"/>
      <c r="U147" s="13">
        <f t="shared" si="44"/>
        <v>1.4114626377125723</v>
      </c>
      <c r="W147" s="12">
        <f>'Country L per 100 km'!B13</f>
        <v>7.589168536827267</v>
      </c>
      <c r="X147" s="12"/>
      <c r="Y147" s="3">
        <f>'Country distance travelled'!B12</f>
        <v>12510</v>
      </c>
      <c r="Z147" s="61"/>
      <c r="AA147" s="3"/>
      <c r="AB147" s="3"/>
      <c r="AC147">
        <v>2018</v>
      </c>
      <c r="AD147" s="13">
        <v>1.4088472427814824</v>
      </c>
      <c r="AE147" s="13">
        <v>1.4114626377125723</v>
      </c>
      <c r="AF147" s="13">
        <v>1.4114626377125723</v>
      </c>
      <c r="AG147" s="13">
        <v>1.4114626377125723</v>
      </c>
    </row>
    <row r="148" spans="1:33">
      <c r="A148" s="3">
        <v>2019</v>
      </c>
      <c r="B148" s="3">
        <f t="shared" si="33"/>
        <v>49754.402428574467</v>
      </c>
      <c r="C148" s="3">
        <f t="shared" si="36"/>
        <v>9950.8804857148934</v>
      </c>
      <c r="D148" s="3">
        <f t="shared" si="37"/>
        <v>6468.0723157146813</v>
      </c>
      <c r="E148" s="3">
        <v>0</v>
      </c>
      <c r="F148" s="3">
        <f t="shared" si="38"/>
        <v>16418.952801429576</v>
      </c>
      <c r="G148" s="3"/>
      <c r="H148" s="3"/>
      <c r="I148" s="3">
        <v>2019</v>
      </c>
      <c r="J148" s="3">
        <f t="shared" si="34"/>
        <v>35086.5</v>
      </c>
      <c r="K148" s="3">
        <f t="shared" si="39"/>
        <v>7017.3</v>
      </c>
      <c r="L148" s="3">
        <f t="shared" si="40"/>
        <v>4561.2449999999999</v>
      </c>
      <c r="M148" s="3">
        <f t="shared" si="35"/>
        <v>1302.6141085636157</v>
      </c>
      <c r="N148" s="3">
        <f t="shared" si="41"/>
        <v>12881.159108563616</v>
      </c>
      <c r="O148" s="3"/>
      <c r="P148" s="3"/>
      <c r="Q148" s="3">
        <v>2019</v>
      </c>
      <c r="R148" s="13">
        <f t="shared" si="42"/>
        <v>0.78452988228591969</v>
      </c>
      <c r="S148" s="13">
        <f t="shared" si="43"/>
        <v>1.2746487069252932</v>
      </c>
      <c r="T148" s="3"/>
      <c r="U148" s="13">
        <f t="shared" si="44"/>
        <v>1.3868610172668738</v>
      </c>
      <c r="W148" s="12">
        <f>'Country L per 100 km'!B14</f>
        <v>7.5140282542844226</v>
      </c>
      <c r="X148" s="12"/>
      <c r="Y148" s="3">
        <f>'Country distance travelled'!B13</f>
        <v>12500</v>
      </c>
      <c r="Z148" s="61"/>
      <c r="AA148" s="3"/>
      <c r="AB148" s="3"/>
      <c r="AC148">
        <v>2019</v>
      </c>
      <c r="AD148" s="13"/>
      <c r="AE148" s="13">
        <v>1.7148048928318038</v>
      </c>
      <c r="AF148" s="13">
        <v>1.3868610172668738</v>
      </c>
      <c r="AG148" s="13">
        <v>1.10121145502539</v>
      </c>
    </row>
    <row r="149" spans="1:33">
      <c r="A149" s="3">
        <v>2020</v>
      </c>
      <c r="B149" s="3">
        <f t="shared" si="33"/>
        <v>49468.995214784947</v>
      </c>
      <c r="C149" s="3">
        <f t="shared" si="36"/>
        <v>9893.7990429569891</v>
      </c>
      <c r="D149" s="3">
        <f t="shared" si="37"/>
        <v>6430.9693779220433</v>
      </c>
      <c r="E149" s="3">
        <v>0</v>
      </c>
      <c r="F149" s="3">
        <f t="shared" si="38"/>
        <v>16324.768420879032</v>
      </c>
      <c r="G149" s="3"/>
      <c r="H149" s="3"/>
      <c r="I149" s="3">
        <v>2020</v>
      </c>
      <c r="J149" s="3">
        <f t="shared" si="34"/>
        <v>35086.5</v>
      </c>
      <c r="K149" s="3">
        <f t="shared" si="39"/>
        <v>7017.3</v>
      </c>
      <c r="L149" s="3">
        <f t="shared" si="40"/>
        <v>4561.2449999999999</v>
      </c>
      <c r="M149" s="3">
        <f t="shared" si="35"/>
        <v>1291.7609430669629</v>
      </c>
      <c r="N149" s="3">
        <f t="shared" si="41"/>
        <v>12870.305943066964</v>
      </c>
      <c r="O149" s="3"/>
      <c r="P149" s="3"/>
      <c r="Q149" s="3">
        <v>2020</v>
      </c>
      <c r="R149" s="13">
        <f t="shared" si="42"/>
        <v>0.78839133341739265</v>
      </c>
      <c r="S149" s="13">
        <f t="shared" si="43"/>
        <v>1.2684056224532048</v>
      </c>
      <c r="T149" s="3"/>
      <c r="U149" s="13">
        <f t="shared" si="44"/>
        <v>1.3890589796531234</v>
      </c>
      <c r="W149" s="12">
        <f>'Country L per 100 km'!B15</f>
        <v>7.4396319349350719</v>
      </c>
      <c r="X149" s="12"/>
      <c r="Y149" s="3">
        <f>'Country distance travelled'!B14</f>
        <v>12500</v>
      </c>
      <c r="Z149" s="61"/>
      <c r="AA149" s="3"/>
      <c r="AB149" s="3"/>
      <c r="AC149">
        <v>2020</v>
      </c>
      <c r="AD149" s="13"/>
      <c r="AE149" s="13">
        <v>1.8538860720679247</v>
      </c>
      <c r="AF149" s="13">
        <v>1.3890589796531234</v>
      </c>
      <c r="AG149" s="13">
        <v>1.1093927008628088</v>
      </c>
    </row>
    <row r="150" spans="1:33">
      <c r="A150" s="3">
        <v>2021</v>
      </c>
      <c r="B150" s="3">
        <f t="shared" si="33"/>
        <v>48280.33434014571</v>
      </c>
      <c r="C150" s="3">
        <f t="shared" si="36"/>
        <v>9656.0668680291419</v>
      </c>
      <c r="D150" s="3">
        <f t="shared" si="37"/>
        <v>6276.4434642189426</v>
      </c>
      <c r="E150" s="3">
        <v>0</v>
      </c>
      <c r="F150" s="3">
        <f t="shared" si="38"/>
        <v>15932.510332248085</v>
      </c>
      <c r="G150" s="3"/>
      <c r="H150" s="3"/>
      <c r="I150" s="3">
        <v>2021</v>
      </c>
      <c r="J150" s="3">
        <f t="shared" si="34"/>
        <v>35086.5</v>
      </c>
      <c r="K150" s="3">
        <f t="shared" si="39"/>
        <v>7017.3</v>
      </c>
      <c r="L150" s="3">
        <f t="shared" si="40"/>
        <v>4561.2449999999999</v>
      </c>
      <c r="M150" s="3">
        <f t="shared" si="35"/>
        <v>1338.5960222511424</v>
      </c>
      <c r="N150" s="3">
        <f t="shared" si="41"/>
        <v>12917.141022251142</v>
      </c>
      <c r="O150" s="3"/>
      <c r="P150" s="3"/>
      <c r="Q150" s="3">
        <v>2021</v>
      </c>
      <c r="R150" s="13">
        <f t="shared" si="42"/>
        <v>0.81074110437614433</v>
      </c>
      <c r="S150" s="13">
        <f t="shared" si="43"/>
        <v>1.2334393736820439</v>
      </c>
      <c r="T150" s="3"/>
      <c r="U150" s="13">
        <f t="shared" si="44"/>
        <v>1.4538159890679625</v>
      </c>
      <c r="W150" s="12">
        <f>'Country L per 100 km'!B16</f>
        <v>7.3659722128070015</v>
      </c>
      <c r="X150" s="12"/>
      <c r="Y150" s="3">
        <f>'Country distance travelled'!B15</f>
        <v>12500</v>
      </c>
      <c r="Z150" s="61"/>
      <c r="AA150" s="3"/>
      <c r="AB150" s="3"/>
      <c r="AC150">
        <v>2021</v>
      </c>
      <c r="AD150" s="13"/>
      <c r="AE150" s="13">
        <v>2.0011484971414633</v>
      </c>
      <c r="AF150" s="13">
        <v>1.4538159890679625</v>
      </c>
      <c r="AG150" s="13">
        <v>1.1257551925376466</v>
      </c>
    </row>
    <row r="151" spans="1:33">
      <c r="A151" s="3">
        <v>2022</v>
      </c>
      <c r="B151" s="3">
        <f t="shared" si="33"/>
        <v>48945.064557435449</v>
      </c>
      <c r="C151" s="3">
        <f t="shared" si="36"/>
        <v>9789.0129114870906</v>
      </c>
      <c r="D151" s="3">
        <f t="shared" si="37"/>
        <v>6362.8583924666091</v>
      </c>
      <c r="E151" s="3">
        <v>0</v>
      </c>
      <c r="F151" s="3">
        <f t="shared" si="38"/>
        <v>16151.8713039537</v>
      </c>
      <c r="G151" s="3"/>
      <c r="H151" s="3"/>
      <c r="I151" s="3">
        <v>2022</v>
      </c>
      <c r="J151" s="3">
        <f t="shared" si="34"/>
        <v>35086.5</v>
      </c>
      <c r="K151" s="3">
        <f t="shared" si="39"/>
        <v>7017.3</v>
      </c>
      <c r="L151" s="3">
        <f t="shared" si="40"/>
        <v>4561.2449999999999</v>
      </c>
      <c r="M151" s="3">
        <f t="shared" si="35"/>
        <v>1369.2978013195209</v>
      </c>
      <c r="N151" s="3">
        <f t="shared" si="41"/>
        <v>12947.842801319521</v>
      </c>
      <c r="O151" s="3"/>
      <c r="P151" s="3"/>
      <c r="Q151" s="3">
        <v>2022</v>
      </c>
      <c r="R151" s="13">
        <f t="shared" si="42"/>
        <v>0.80163112729545538</v>
      </c>
      <c r="S151" s="13">
        <f t="shared" si="43"/>
        <v>1.2474565494653407</v>
      </c>
      <c r="T151" s="3"/>
      <c r="U151" s="13">
        <f t="shared" si="44"/>
        <v>1.5020320352858789</v>
      </c>
      <c r="W151" s="12">
        <f>'Country L per 100 km'!B17</f>
        <v>7.293041794858417</v>
      </c>
      <c r="X151" s="12"/>
      <c r="Y151" s="3">
        <f>'Country distance travelled'!B16</f>
        <v>12500</v>
      </c>
      <c r="Z151" s="61"/>
      <c r="AA151" s="3"/>
      <c r="AB151" s="3"/>
      <c r="AC151">
        <v>2022</v>
      </c>
      <c r="AD151" s="13"/>
      <c r="AE151" s="13">
        <v>2.0665984638408146</v>
      </c>
      <c r="AF151" s="13">
        <v>1.5020320352858789</v>
      </c>
      <c r="AG151" s="13">
        <v>1.1339364383750652</v>
      </c>
    </row>
    <row r="152" spans="1:33">
      <c r="A152" s="3">
        <v>2023</v>
      </c>
      <c r="B152" s="3">
        <f t="shared" si="33"/>
        <v>48516.538816290689</v>
      </c>
      <c r="C152" s="3">
        <f t="shared" si="36"/>
        <v>9703.3077632581371</v>
      </c>
      <c r="D152" s="3">
        <f t="shared" si="37"/>
        <v>6307.1500461177902</v>
      </c>
      <c r="E152" s="3">
        <v>0</v>
      </c>
      <c r="F152" s="3">
        <f t="shared" si="38"/>
        <v>16010.457809375926</v>
      </c>
      <c r="G152" s="3"/>
      <c r="H152" s="3"/>
      <c r="I152" s="3">
        <v>2023</v>
      </c>
      <c r="J152" s="3">
        <f t="shared" si="34"/>
        <v>35086.5</v>
      </c>
      <c r="K152" s="3">
        <f t="shared" si="39"/>
        <v>7017.3</v>
      </c>
      <c r="L152" s="3">
        <f t="shared" si="40"/>
        <v>4561.2449999999999</v>
      </c>
      <c r="M152" s="3">
        <f t="shared" si="35"/>
        <v>1375.7668357892244</v>
      </c>
      <c r="N152" s="3">
        <f t="shared" si="41"/>
        <v>12954.311835789224</v>
      </c>
      <c r="O152" s="3"/>
      <c r="P152" s="3"/>
      <c r="Q152" s="3">
        <v>2023</v>
      </c>
      <c r="R152" s="13">
        <f t="shared" si="42"/>
        <v>0.80911564116567702</v>
      </c>
      <c r="S152" s="13">
        <f t="shared" si="43"/>
        <v>1.2359172769906162</v>
      </c>
      <c r="T152" s="3"/>
      <c r="U152" s="13">
        <f t="shared" si="44"/>
        <v>1.5242194335172785</v>
      </c>
      <c r="W152" s="12">
        <f>'Country L per 100 km'!B18</f>
        <v>7.220833460255859</v>
      </c>
      <c r="X152" s="12"/>
      <c r="Y152" s="3">
        <f>'Country distance travelled'!B17</f>
        <v>12500</v>
      </c>
      <c r="Z152" s="61"/>
      <c r="AA152" s="3"/>
      <c r="AB152" s="3"/>
      <c r="AC152">
        <v>2023</v>
      </c>
      <c r="AD152" s="13"/>
      <c r="AE152" s="13">
        <v>2.1156859388653277</v>
      </c>
      <c r="AF152" s="13">
        <v>1.5242194335172785</v>
      </c>
      <c r="AG152" s="13">
        <v>1.1339364383750652</v>
      </c>
    </row>
    <row r="153" spans="1:33">
      <c r="A153" s="3">
        <v>2024</v>
      </c>
      <c r="B153" s="3">
        <f t="shared" si="33"/>
        <v>46859.989502607605</v>
      </c>
      <c r="C153" s="3">
        <f t="shared" si="36"/>
        <v>9371.9979005215209</v>
      </c>
      <c r="D153" s="3">
        <f t="shared" si="37"/>
        <v>6091.7986353389888</v>
      </c>
      <c r="E153" s="3">
        <v>0</v>
      </c>
      <c r="F153" s="3">
        <f t="shared" si="38"/>
        <v>15463.796535860511</v>
      </c>
      <c r="G153" s="3"/>
      <c r="H153" s="3"/>
      <c r="I153" s="3">
        <v>2024</v>
      </c>
      <c r="J153" s="3">
        <f t="shared" si="34"/>
        <v>35086.5</v>
      </c>
      <c r="K153" s="3">
        <f t="shared" si="39"/>
        <v>7017.3</v>
      </c>
      <c r="L153" s="3">
        <f t="shared" si="40"/>
        <v>4561.2449999999999</v>
      </c>
      <c r="M153" s="3">
        <f t="shared" si="35"/>
        <v>1367.3876986186524</v>
      </c>
      <c r="N153" s="3">
        <f t="shared" si="41"/>
        <v>12945.932698618653</v>
      </c>
      <c r="O153" s="3"/>
      <c r="P153" s="3"/>
      <c r="Q153" s="3">
        <v>2024</v>
      </c>
      <c r="R153" s="13">
        <f t="shared" si="42"/>
        <v>0.83717686459447804</v>
      </c>
      <c r="S153" s="13">
        <f t="shared" si="43"/>
        <v>1.1944907250684624</v>
      </c>
      <c r="T153" s="3"/>
      <c r="U153" s="13">
        <f t="shared" si="44"/>
        <v>1.5300855040696681</v>
      </c>
      <c r="W153" s="12">
        <f>'Country L per 100 km'!B19</f>
        <v>7.1493400596592664</v>
      </c>
      <c r="X153" s="12"/>
      <c r="Y153" s="3">
        <f>'Country distance travelled'!B18</f>
        <v>12500</v>
      </c>
      <c r="Z153" s="61"/>
      <c r="AA153" s="3"/>
      <c r="AB153" s="3"/>
      <c r="AC153">
        <v>2024</v>
      </c>
      <c r="AD153" s="13"/>
      <c r="AE153" s="13">
        <v>2.1565921680524216</v>
      </c>
      <c r="AF153" s="13">
        <v>1.5300855040696681</v>
      </c>
      <c r="AG153" s="13">
        <v>1.1339364383750652</v>
      </c>
    </row>
    <row r="154" spans="1:33">
      <c r="A154" s="3">
        <v>2025</v>
      </c>
      <c r="B154" s="3">
        <f t="shared" si="33"/>
        <v>45437.819827042353</v>
      </c>
      <c r="C154" s="3">
        <f t="shared" si="36"/>
        <v>9087.5639654084698</v>
      </c>
      <c r="D154" s="3">
        <f t="shared" si="37"/>
        <v>5906.9165775155061</v>
      </c>
      <c r="E154" s="3">
        <v>0</v>
      </c>
      <c r="F154" s="3">
        <f t="shared" si="38"/>
        <v>14994.480542923975</v>
      </c>
      <c r="G154" s="3"/>
      <c r="H154" s="3"/>
      <c r="I154" s="3">
        <v>2025</v>
      </c>
      <c r="J154" s="3">
        <f t="shared" si="34"/>
        <v>35086.5</v>
      </c>
      <c r="K154" s="3">
        <f t="shared" si="39"/>
        <v>7017.3</v>
      </c>
      <c r="L154" s="3">
        <f t="shared" si="40"/>
        <v>4561.2449999999999</v>
      </c>
      <c r="M154" s="3">
        <f t="shared" si="35"/>
        <v>1381.0076395957733</v>
      </c>
      <c r="N154" s="3">
        <f t="shared" si="41"/>
        <v>12959.552639595773</v>
      </c>
      <c r="O154" s="3"/>
      <c r="P154" s="3"/>
      <c r="Q154" s="3">
        <v>2025</v>
      </c>
      <c r="R154" s="13">
        <f t="shared" si="42"/>
        <v>0.86428820274881069</v>
      </c>
      <c r="S154" s="13">
        <f t="shared" si="43"/>
        <v>1.1570214620766164</v>
      </c>
      <c r="T154" s="3"/>
      <c r="U154" s="13">
        <f t="shared" si="44"/>
        <v>1.5607792656131758</v>
      </c>
      <c r="W154" s="12">
        <f>'Country L per 100 km'!B20</f>
        <v>7.0785545145141251</v>
      </c>
      <c r="X154" s="12"/>
      <c r="Y154" s="3">
        <f>'Country distance travelled'!B19</f>
        <v>12500</v>
      </c>
      <c r="Z154" s="61"/>
      <c r="AA154" s="3"/>
      <c r="AB154" s="3"/>
      <c r="AC154">
        <v>2025</v>
      </c>
      <c r="AD154" s="13"/>
      <c r="AE154" s="13">
        <v>2.1974983972395163</v>
      </c>
      <c r="AF154" s="13">
        <v>1.5607792656131758</v>
      </c>
      <c r="AG154" s="13">
        <v>1.1421176842124843</v>
      </c>
    </row>
    <row r="155" spans="1:33">
      <c r="A155" s="3">
        <v>2026</v>
      </c>
      <c r="B155" s="3">
        <f t="shared" si="33"/>
        <v>44627.618608857214</v>
      </c>
      <c r="C155" s="3">
        <f t="shared" si="36"/>
        <v>8925.5237217714421</v>
      </c>
      <c r="D155" s="3">
        <f t="shared" si="37"/>
        <v>5801.5904191514383</v>
      </c>
      <c r="E155" s="3">
        <v>0</v>
      </c>
      <c r="F155" s="3">
        <f t="shared" si="38"/>
        <v>14727.11414092288</v>
      </c>
      <c r="G155" s="3"/>
      <c r="H155" s="3"/>
      <c r="I155" s="3">
        <v>2026</v>
      </c>
      <c r="J155" s="3">
        <f t="shared" si="34"/>
        <v>35086.5</v>
      </c>
      <c r="K155" s="3">
        <f t="shared" si="39"/>
        <v>7017.3</v>
      </c>
      <c r="L155" s="3">
        <f t="shared" si="40"/>
        <v>4561.2449999999999</v>
      </c>
      <c r="M155" s="3">
        <f t="shared" si="35"/>
        <v>1414.5957921279282</v>
      </c>
      <c r="N155" s="3">
        <f t="shared" si="41"/>
        <v>12993.140792127928</v>
      </c>
      <c r="O155" s="3"/>
      <c r="P155" s="3"/>
      <c r="Q155" s="3">
        <v>2026</v>
      </c>
      <c r="R155" s="13">
        <f t="shared" si="42"/>
        <v>0.88225980105792179</v>
      </c>
      <c r="S155" s="13">
        <f t="shared" si="43"/>
        <v>1.1334529792708399</v>
      </c>
      <c r="T155" s="3"/>
      <c r="U155" s="13">
        <f t="shared" si="44"/>
        <v>1.6147271278277657</v>
      </c>
      <c r="W155" s="12">
        <f>'Country L per 100 km'!B21</f>
        <v>7.0084698163506198</v>
      </c>
      <c r="X155" s="12"/>
      <c r="Y155" s="3">
        <f>'Country distance travelled'!B20</f>
        <v>12500</v>
      </c>
      <c r="Z155" s="61"/>
      <c r="AA155" s="3"/>
      <c r="AB155" s="3"/>
      <c r="AC155">
        <v>2026</v>
      </c>
      <c r="AD155" s="13"/>
      <c r="AE155" s="13">
        <v>2.2384046264266111</v>
      </c>
      <c r="AF155" s="13">
        <v>1.6147271278277657</v>
      </c>
      <c r="AG155" s="13">
        <v>1.1502989300499034</v>
      </c>
    </row>
    <row r="156" spans="1:33">
      <c r="A156" s="3">
        <v>2027</v>
      </c>
      <c r="B156" s="3">
        <f t="shared" si="33"/>
        <v>43817.41739067209</v>
      </c>
      <c r="C156" s="3">
        <f t="shared" si="36"/>
        <v>8763.483478134418</v>
      </c>
      <c r="D156" s="3">
        <f t="shared" si="37"/>
        <v>5696.2642607873722</v>
      </c>
      <c r="E156" s="3">
        <v>0</v>
      </c>
      <c r="F156" s="3">
        <f t="shared" si="38"/>
        <v>14459.747738921789</v>
      </c>
      <c r="G156" s="3"/>
      <c r="H156" s="3"/>
      <c r="I156" s="3">
        <v>2027</v>
      </c>
      <c r="J156" s="3">
        <f t="shared" si="34"/>
        <v>35086.5</v>
      </c>
      <c r="K156" s="3">
        <f t="shared" si="39"/>
        <v>7017.3</v>
      </c>
      <c r="L156" s="3">
        <f t="shared" si="40"/>
        <v>4561.2449999999999</v>
      </c>
      <c r="M156" s="3">
        <f t="shared" si="35"/>
        <v>1424.7061099529317</v>
      </c>
      <c r="N156" s="3">
        <f t="shared" si="41"/>
        <v>13003.251109952931</v>
      </c>
      <c r="O156" s="3"/>
      <c r="P156" s="3"/>
      <c r="Q156" s="3">
        <v>2027</v>
      </c>
      <c r="R156" s="13">
        <f t="shared" si="42"/>
        <v>0.8992723348106304</v>
      </c>
      <c r="S156" s="13">
        <f t="shared" si="43"/>
        <v>1.112010190117303</v>
      </c>
      <c r="T156" s="3"/>
      <c r="U156" s="13">
        <f t="shared" si="44"/>
        <v>1.642530490972979</v>
      </c>
      <c r="W156" s="12">
        <f>'Country L per 100 km'!B22</f>
        <v>6.9390790260897228</v>
      </c>
      <c r="X156" s="12"/>
      <c r="Y156" s="3">
        <f>'Country distance travelled'!B21</f>
        <v>12500</v>
      </c>
      <c r="Z156" s="61"/>
      <c r="AA156" s="3"/>
      <c r="AB156" s="3"/>
      <c r="AC156">
        <v>2027</v>
      </c>
      <c r="AD156" s="13"/>
      <c r="AE156" s="13">
        <v>2.2793108556137049</v>
      </c>
      <c r="AF156" s="13">
        <v>1.642530490972979</v>
      </c>
      <c r="AG156" s="13">
        <v>1.1584801758873222</v>
      </c>
    </row>
    <row r="157" spans="1:33">
      <c r="A157" s="3">
        <v>2028</v>
      </c>
      <c r="B157" s="3">
        <f t="shared" si="33"/>
        <v>42905.941020213824</v>
      </c>
      <c r="C157" s="3">
        <f t="shared" si="36"/>
        <v>8581.1882040427645</v>
      </c>
      <c r="D157" s="3">
        <f t="shared" si="37"/>
        <v>5577.7723326277974</v>
      </c>
      <c r="E157" s="3">
        <v>0</v>
      </c>
      <c r="F157" s="3">
        <f t="shared" si="38"/>
        <v>14158.960536670562</v>
      </c>
      <c r="G157" s="3"/>
      <c r="H157" s="3"/>
      <c r="I157" s="3">
        <v>2028</v>
      </c>
      <c r="J157" s="3">
        <f t="shared" si="34"/>
        <v>35086.5</v>
      </c>
      <c r="K157" s="3">
        <f t="shared" si="39"/>
        <v>7017.3</v>
      </c>
      <c r="L157" s="3">
        <f t="shared" si="40"/>
        <v>4561.2449999999999</v>
      </c>
      <c r="M157" s="3">
        <f t="shared" si="35"/>
        <v>1425.7151256013383</v>
      </c>
      <c r="N157" s="3">
        <f t="shared" si="41"/>
        <v>13004.260125601339</v>
      </c>
      <c r="O157" s="3"/>
      <c r="P157" s="3"/>
      <c r="Q157" s="3">
        <v>2028</v>
      </c>
      <c r="R157" s="13">
        <f t="shared" si="42"/>
        <v>0.91844737415019684</v>
      </c>
      <c r="S157" s="13">
        <f t="shared" si="43"/>
        <v>1.0887940105716569</v>
      </c>
      <c r="T157" s="3"/>
      <c r="U157" s="13">
        <f t="shared" si="44"/>
        <v>1.6601307135351053</v>
      </c>
      <c r="W157" s="12">
        <f>'Country L per 100 km'!B23</f>
        <v>6.8703752733561609</v>
      </c>
      <c r="X157" s="12"/>
      <c r="Y157" s="3">
        <f>'Country distance travelled'!B22</f>
        <v>12500</v>
      </c>
      <c r="Z157" s="61"/>
      <c r="AA157" s="3"/>
      <c r="AB157" s="3"/>
      <c r="AC157">
        <v>2028</v>
      </c>
      <c r="AD157" s="13"/>
      <c r="AE157" s="13">
        <v>2.3120358389633804</v>
      </c>
      <c r="AF157" s="13">
        <v>1.6601307135351053</v>
      </c>
      <c r="AG157" s="13">
        <v>1.1584801758873222</v>
      </c>
    </row>
    <row r="158" spans="1:33">
      <c r="A158" s="3">
        <v>2029</v>
      </c>
      <c r="B158" s="3">
        <f t="shared" si="33"/>
        <v>42095.7398020287</v>
      </c>
      <c r="C158" s="3">
        <f t="shared" si="36"/>
        <v>8419.1479604057404</v>
      </c>
      <c r="D158" s="3">
        <f t="shared" si="37"/>
        <v>5472.4461742637313</v>
      </c>
      <c r="E158" s="3">
        <v>0</v>
      </c>
      <c r="F158" s="3">
        <f t="shared" si="38"/>
        <v>13891.594134669471</v>
      </c>
      <c r="G158" s="3"/>
      <c r="H158" s="3"/>
      <c r="I158" s="3">
        <v>2029</v>
      </c>
      <c r="J158" s="3">
        <f t="shared" si="34"/>
        <v>35086.5</v>
      </c>
      <c r="K158" s="3">
        <f t="shared" si="39"/>
        <v>7017.3</v>
      </c>
      <c r="L158" s="3">
        <f t="shared" si="40"/>
        <v>4561.2449999999999</v>
      </c>
      <c r="M158" s="3">
        <f t="shared" si="35"/>
        <v>1431.8836855163313</v>
      </c>
      <c r="N158" s="3">
        <f t="shared" si="41"/>
        <v>13010.428685516332</v>
      </c>
      <c r="O158" s="3"/>
      <c r="P158" s="3"/>
      <c r="Q158" s="3">
        <v>2029</v>
      </c>
      <c r="R158" s="13">
        <f t="shared" si="42"/>
        <v>0.93656844271356876</v>
      </c>
      <c r="S158" s="13">
        <f t="shared" si="43"/>
        <v>1.0677276260799986</v>
      </c>
      <c r="T158" s="3"/>
      <c r="U158" s="13">
        <f t="shared" si="44"/>
        <v>1.6839866409975923</v>
      </c>
      <c r="W158" s="12">
        <f>'Country L per 100 km'!B24</f>
        <v>6.8023517557981794</v>
      </c>
      <c r="X158" s="12"/>
      <c r="Y158" s="3">
        <f>'Country distance travelled'!B23</f>
        <v>12500</v>
      </c>
      <c r="Z158" s="61"/>
      <c r="AA158" s="3"/>
      <c r="AB158" s="3"/>
      <c r="AC158">
        <v>2029</v>
      </c>
      <c r="AD158" s="13"/>
      <c r="AE158" s="13">
        <v>2.3529420681504742</v>
      </c>
      <c r="AF158" s="13">
        <v>1.6839866409975923</v>
      </c>
      <c r="AG158" s="13">
        <v>1.1584801758873222</v>
      </c>
    </row>
    <row r="159" spans="1:33">
      <c r="A159" s="3">
        <v>2030</v>
      </c>
      <c r="B159" s="3">
        <f t="shared" si="33"/>
        <v>41184.263431570427</v>
      </c>
      <c r="C159" s="3">
        <f t="shared" si="36"/>
        <v>8236.8526863140851</v>
      </c>
      <c r="D159" s="3">
        <f t="shared" si="37"/>
        <v>5353.9542461041556</v>
      </c>
      <c r="E159" s="3">
        <v>0</v>
      </c>
      <c r="F159" s="3">
        <f t="shared" si="38"/>
        <v>13590.80693241824</v>
      </c>
      <c r="G159" s="3"/>
      <c r="H159" s="3"/>
      <c r="I159" s="3">
        <v>2030</v>
      </c>
      <c r="J159" s="3">
        <f t="shared" si="34"/>
        <v>35086.5</v>
      </c>
      <c r="K159" s="3">
        <f t="shared" si="39"/>
        <v>7017.3</v>
      </c>
      <c r="L159" s="3">
        <f t="shared" si="40"/>
        <v>4561.2449999999999</v>
      </c>
      <c r="M159" s="3">
        <f t="shared" si="35"/>
        <v>1433.0632105632969</v>
      </c>
      <c r="N159" s="3">
        <f>SUM(K159:M159)</f>
        <v>13011.608210563298</v>
      </c>
      <c r="O159" s="3"/>
      <c r="P159" s="3"/>
      <c r="Q159" s="3">
        <v>2030</v>
      </c>
      <c r="R159" s="13">
        <f t="shared" si="42"/>
        <v>0.95738305129819956</v>
      </c>
      <c r="S159" s="13">
        <f t="shared" si="43"/>
        <v>1.044513999536562</v>
      </c>
      <c r="T159" s="3"/>
      <c r="U159" s="13">
        <f t="shared" si="44"/>
        <v>1.7022275761440326</v>
      </c>
      <c r="W159" s="12">
        <f>'Country L per 100 km'!B25</f>
        <v>6.7350017384140388</v>
      </c>
      <c r="X159" s="12"/>
      <c r="Y159" s="3">
        <f>'Country distance travelled'!B24</f>
        <v>12500</v>
      </c>
      <c r="Z159" s="61"/>
      <c r="AA159" s="3"/>
      <c r="AB159" s="3"/>
      <c r="AC159">
        <v>2030</v>
      </c>
      <c r="AD159" s="13"/>
      <c r="AE159" s="13">
        <v>2.3774858056627308</v>
      </c>
      <c r="AF159" s="13">
        <v>1.7022275761440326</v>
      </c>
      <c r="AG159" s="13">
        <v>1.1666614217247409</v>
      </c>
    </row>
    <row r="160" spans="1:33">
      <c r="A160" s="3">
        <v>2031</v>
      </c>
      <c r="B160" s="3"/>
      <c r="C160" s="3"/>
      <c r="D160" s="3"/>
      <c r="E160" s="3"/>
      <c r="F160" s="3"/>
      <c r="G160" s="3"/>
      <c r="H160" s="3"/>
      <c r="I160" s="3">
        <v>2031</v>
      </c>
      <c r="J160" s="3"/>
      <c r="K160" s="3"/>
      <c r="L160" s="3"/>
      <c r="M160" s="3"/>
      <c r="N160" s="3"/>
      <c r="O160" s="3"/>
      <c r="P160" s="3"/>
      <c r="Q160" s="3">
        <v>2031</v>
      </c>
      <c r="R160" s="3"/>
      <c r="S160" s="3"/>
      <c r="T160" s="3"/>
      <c r="U160" s="3"/>
      <c r="W160" s="12">
        <f>'Country L per 100 km'!B26</f>
        <v>6.6683185528851867</v>
      </c>
      <c r="X160" s="12"/>
      <c r="Y160" s="3">
        <f>'Country distance travelled'!B25</f>
        <v>12500</v>
      </c>
      <c r="Z160" s="61"/>
      <c r="AA160" s="3"/>
      <c r="AB160" s="3"/>
    </row>
    <row r="161" spans="1:28">
      <c r="A161" s="3">
        <v>2032</v>
      </c>
      <c r="B161" s="3"/>
      <c r="C161" s="3"/>
      <c r="D161" s="3"/>
      <c r="E161" s="3"/>
      <c r="F161" s="3"/>
      <c r="G161" s="3"/>
      <c r="H161" s="3"/>
      <c r="I161" s="3">
        <v>2032</v>
      </c>
      <c r="J161" s="3"/>
      <c r="K161" s="3"/>
      <c r="L161" s="3"/>
      <c r="M161" s="3"/>
      <c r="N161" s="3"/>
      <c r="O161" s="3"/>
      <c r="P161" s="3"/>
      <c r="Q161" s="3">
        <v>2032</v>
      </c>
      <c r="R161" s="3"/>
      <c r="S161" s="3"/>
      <c r="T161" s="3"/>
      <c r="U161" s="3"/>
      <c r="V161" s="3"/>
      <c r="W161" s="3"/>
      <c r="X161" s="3"/>
      <c r="Y161" s="3"/>
      <c r="Z161" s="61"/>
      <c r="AA161" s="3"/>
      <c r="AB161" s="3"/>
    </row>
    <row r="162" spans="1:28">
      <c r="A162" s="3">
        <v>2033</v>
      </c>
      <c r="B162" s="3"/>
      <c r="C162" s="3"/>
      <c r="D162" s="3"/>
      <c r="E162" s="3"/>
      <c r="F162" s="3"/>
      <c r="G162" s="3"/>
      <c r="H162" s="3"/>
      <c r="I162" s="3">
        <v>2033</v>
      </c>
      <c r="J162" s="3"/>
      <c r="K162" s="3"/>
      <c r="L162" s="3"/>
      <c r="M162" s="3"/>
      <c r="N162" s="3"/>
      <c r="O162" s="3"/>
      <c r="P162" s="3"/>
      <c r="Q162" s="3">
        <v>2033</v>
      </c>
      <c r="R162" s="3"/>
      <c r="S162" s="3"/>
      <c r="T162" s="3"/>
      <c r="U162" s="3"/>
      <c r="V162" s="3"/>
      <c r="W162" s="3"/>
      <c r="X162" s="3"/>
      <c r="Y162" s="3"/>
      <c r="Z162" s="61"/>
      <c r="AA162" s="3"/>
      <c r="AB162" s="3"/>
    </row>
    <row r="163" spans="1:28">
      <c r="A163" s="3">
        <v>2034</v>
      </c>
      <c r="B163" s="3"/>
      <c r="C163" s="3"/>
      <c r="D163" s="3"/>
      <c r="E163" s="3"/>
      <c r="F163" s="3"/>
      <c r="G163" s="3"/>
      <c r="H163" s="3"/>
      <c r="I163" s="3">
        <v>2034</v>
      </c>
      <c r="J163" s="3"/>
      <c r="K163" s="3"/>
      <c r="L163" s="3"/>
      <c r="M163" s="3"/>
      <c r="N163" s="3"/>
      <c r="O163" s="3"/>
      <c r="P163" s="3"/>
      <c r="Q163" s="3">
        <v>2034</v>
      </c>
      <c r="R163" s="3"/>
      <c r="S163" s="3"/>
      <c r="T163" s="3"/>
      <c r="U163" s="3"/>
      <c r="V163" s="3"/>
      <c r="W163" s="3"/>
      <c r="X163" s="3"/>
      <c r="Y163" s="3"/>
      <c r="Z163" s="61"/>
      <c r="AA163" s="3"/>
      <c r="AB163" s="3"/>
    </row>
    <row r="164" spans="1:28">
      <c r="A164" s="3">
        <v>2035</v>
      </c>
      <c r="B164" s="3"/>
      <c r="C164" s="3"/>
      <c r="D164" s="3"/>
      <c r="E164" s="3"/>
      <c r="F164" s="3"/>
      <c r="G164" s="3"/>
      <c r="H164" s="3"/>
      <c r="I164" s="3">
        <v>2035</v>
      </c>
      <c r="J164" s="3"/>
      <c r="K164" s="3"/>
      <c r="L164" s="3"/>
      <c r="M164" s="3"/>
      <c r="N164" s="3"/>
      <c r="O164" s="3"/>
      <c r="P164" s="3"/>
      <c r="Q164" s="3">
        <v>2035</v>
      </c>
      <c r="R164" s="3"/>
      <c r="S164" s="3"/>
      <c r="T164" s="3"/>
      <c r="U164" s="3"/>
      <c r="V164" s="3"/>
      <c r="W164" s="3"/>
      <c r="X164" s="3"/>
      <c r="Y164" s="3"/>
      <c r="Z164" s="61"/>
      <c r="AA164" s="3"/>
      <c r="AB164" s="3"/>
    </row>
    <row r="165" spans="1:28">
      <c r="A165" s="3">
        <v>2036</v>
      </c>
      <c r="B165" s="3"/>
      <c r="C165" s="3"/>
      <c r="D165" s="3"/>
      <c r="E165" s="3"/>
      <c r="F165" s="3"/>
      <c r="G165" s="3"/>
      <c r="H165" s="3"/>
      <c r="I165" s="3">
        <v>2036</v>
      </c>
      <c r="J165" s="3"/>
      <c r="K165" s="3"/>
      <c r="L165" s="3"/>
      <c r="M165" s="3"/>
      <c r="N165" s="3"/>
      <c r="O165" s="3"/>
      <c r="P165" s="3"/>
      <c r="Q165" s="3">
        <v>2036</v>
      </c>
      <c r="R165" s="3"/>
      <c r="S165" s="3"/>
      <c r="T165" s="3"/>
      <c r="U165" s="3"/>
      <c r="V165" s="3"/>
      <c r="W165" s="3"/>
      <c r="X165" s="3"/>
      <c r="Y165" s="3"/>
      <c r="Z165" s="61"/>
      <c r="AA165" s="3"/>
      <c r="AB165" s="3"/>
    </row>
    <row r="166" spans="1:28">
      <c r="A166" s="3">
        <v>2037</v>
      </c>
      <c r="B166" s="3"/>
      <c r="C166" s="3"/>
      <c r="D166" s="3"/>
      <c r="E166" s="3"/>
      <c r="F166" s="3"/>
      <c r="G166" s="3"/>
      <c r="H166" s="3"/>
      <c r="I166" s="3">
        <v>2037</v>
      </c>
      <c r="J166" s="3"/>
      <c r="K166" s="3"/>
      <c r="L166" s="3"/>
      <c r="M166" s="3"/>
      <c r="N166" s="3"/>
      <c r="O166" s="3"/>
      <c r="P166" s="3"/>
      <c r="Q166" s="3">
        <v>2037</v>
      </c>
      <c r="R166" s="3"/>
      <c r="S166" s="3"/>
      <c r="T166" s="3"/>
      <c r="U166" s="3"/>
      <c r="V166" s="3"/>
      <c r="W166" s="3"/>
      <c r="X166" s="3"/>
      <c r="Y166" s="3"/>
      <c r="Z166" s="61"/>
      <c r="AA166" s="3"/>
      <c r="AB166" s="3"/>
    </row>
    <row r="167" spans="1:28">
      <c r="A167" s="3">
        <v>2038</v>
      </c>
      <c r="B167" s="3"/>
      <c r="C167" s="3"/>
      <c r="D167" s="3"/>
      <c r="E167" s="3"/>
      <c r="F167" s="3"/>
      <c r="G167" s="3"/>
      <c r="H167" s="3"/>
      <c r="I167" s="3">
        <v>2038</v>
      </c>
      <c r="J167" s="3"/>
      <c r="K167" s="3"/>
      <c r="L167" s="3"/>
      <c r="M167" s="3"/>
      <c r="N167" s="3"/>
      <c r="O167" s="3"/>
      <c r="P167" s="3"/>
      <c r="Q167" s="3">
        <v>2038</v>
      </c>
      <c r="R167" s="3"/>
      <c r="S167" s="3"/>
      <c r="T167" s="3"/>
      <c r="U167" s="3"/>
      <c r="V167" s="3"/>
      <c r="W167" s="3"/>
      <c r="X167" s="3"/>
      <c r="Y167" s="3"/>
      <c r="Z167" s="61"/>
      <c r="AA167" s="3"/>
      <c r="AB167" s="3"/>
    </row>
    <row r="168" spans="1:28">
      <c r="A168" s="3">
        <v>2039</v>
      </c>
      <c r="B168" s="3"/>
      <c r="C168" s="3"/>
      <c r="D168" s="3"/>
      <c r="E168" s="3"/>
      <c r="F168" s="3"/>
      <c r="G168" s="3"/>
      <c r="H168" s="3"/>
      <c r="I168" s="3">
        <v>2039</v>
      </c>
      <c r="J168" s="3"/>
      <c r="K168" s="3"/>
      <c r="L168" s="3"/>
      <c r="M168" s="3"/>
      <c r="N168" s="3"/>
      <c r="O168" s="3"/>
      <c r="P168" s="3"/>
      <c r="Q168" s="3">
        <v>2039</v>
      </c>
      <c r="R168" s="3"/>
      <c r="S168" s="3"/>
      <c r="T168" s="3"/>
      <c r="U168" s="3"/>
      <c r="V168" s="3"/>
      <c r="W168" s="3"/>
      <c r="X168" s="3"/>
      <c r="Y168" s="3"/>
      <c r="Z168" s="61"/>
      <c r="AA168" s="3"/>
      <c r="AB168" s="3"/>
    </row>
    <row r="169" spans="1:28">
      <c r="A169" s="3">
        <v>2040</v>
      </c>
      <c r="B169" s="3"/>
      <c r="C169" s="3"/>
      <c r="D169" s="3"/>
      <c r="E169" s="3"/>
      <c r="F169" s="3"/>
      <c r="G169" s="3"/>
      <c r="H169" s="3"/>
      <c r="I169" s="3">
        <v>2040</v>
      </c>
      <c r="J169" s="3"/>
      <c r="K169" s="3"/>
      <c r="L169" s="3"/>
      <c r="M169" s="3"/>
      <c r="N169" s="3"/>
      <c r="O169" s="3"/>
      <c r="P169" s="3"/>
      <c r="Q169" s="3">
        <v>2040</v>
      </c>
      <c r="R169" s="3"/>
      <c r="S169" s="3"/>
      <c r="T169" s="3"/>
      <c r="U169" s="3"/>
      <c r="V169" s="3"/>
      <c r="W169" s="3"/>
      <c r="X169" s="3"/>
      <c r="Y169" s="3"/>
      <c r="Z169" s="61"/>
      <c r="AA169" s="3"/>
      <c r="AB169" s="3"/>
    </row>
    <row r="170" spans="1:28">
      <c r="A170" s="3">
        <v>2041</v>
      </c>
      <c r="I170" s="3">
        <v>2041</v>
      </c>
      <c r="Q170" s="3">
        <v>2041</v>
      </c>
      <c r="Y170" s="3"/>
      <c r="Z170" s="61"/>
    </row>
    <row r="171" spans="1:28">
      <c r="A171" s="3">
        <v>2042</v>
      </c>
      <c r="I171" s="3">
        <v>2042</v>
      </c>
      <c r="Q171" s="3">
        <v>2042</v>
      </c>
    </row>
    <row r="172" spans="1:28">
      <c r="A172" s="3">
        <v>2043</v>
      </c>
      <c r="I172" s="3">
        <v>2043</v>
      </c>
      <c r="Q172" s="3">
        <v>2043</v>
      </c>
    </row>
    <row r="173" spans="1:28">
      <c r="A173" s="3">
        <v>2044</v>
      </c>
      <c r="I173" s="3">
        <v>2044</v>
      </c>
      <c r="Q173" s="3">
        <v>2044</v>
      </c>
    </row>
    <row r="174" spans="1:28">
      <c r="A174" s="3">
        <v>2045</v>
      </c>
      <c r="I174" s="3">
        <v>2045</v>
      </c>
      <c r="Q174" s="3">
        <v>2045</v>
      </c>
    </row>
    <row r="175" spans="1:28">
      <c r="A175" s="3">
        <v>2046</v>
      </c>
      <c r="I175" s="3">
        <v>2046</v>
      </c>
      <c r="Q175" s="3">
        <v>2046</v>
      </c>
    </row>
    <row r="176" spans="1:28">
      <c r="A176" s="3">
        <v>2047</v>
      </c>
      <c r="I176" s="3">
        <v>2047</v>
      </c>
      <c r="Q176" s="3">
        <v>2047</v>
      </c>
    </row>
    <row r="177" spans="1:30">
      <c r="A177" s="3">
        <v>2048</v>
      </c>
      <c r="I177" s="3">
        <v>2048</v>
      </c>
      <c r="Q177" s="3">
        <v>2048</v>
      </c>
    </row>
    <row r="178" spans="1:30">
      <c r="A178" s="3">
        <v>2049</v>
      </c>
      <c r="I178" s="3">
        <v>2049</v>
      </c>
      <c r="Q178" s="3">
        <v>2049</v>
      </c>
    </row>
    <row r="179" spans="1:30">
      <c r="A179" s="3">
        <v>2050</v>
      </c>
      <c r="I179" s="3">
        <v>2050</v>
      </c>
      <c r="Q179" s="3">
        <v>2050</v>
      </c>
    </row>
    <row r="185" spans="1:30">
      <c r="A185" t="str">
        <f>A1</f>
        <v>BEV</v>
      </c>
      <c r="B185" t="str">
        <f t="shared" ref="B185:J185" si="45">B1</f>
        <v>2017US$000</v>
      </c>
      <c r="C185" t="str">
        <f t="shared" si="45"/>
        <v xml:space="preserve">$A </v>
      </c>
      <c r="D185" t="str">
        <f t="shared" si="45"/>
        <v xml:space="preserve">$A </v>
      </c>
      <c r="E185" t="str">
        <f t="shared" si="45"/>
        <v>%</v>
      </c>
      <c r="F185" t="str">
        <f t="shared" si="45"/>
        <v xml:space="preserve">$A </v>
      </c>
      <c r="G185" t="str">
        <f t="shared" si="45"/>
        <v xml:space="preserve">$A </v>
      </c>
      <c r="H185" t="str">
        <f t="shared" si="45"/>
        <v xml:space="preserve">$A </v>
      </c>
      <c r="I185" t="str">
        <f t="shared" si="45"/>
        <v xml:space="preserve">$A </v>
      </c>
      <c r="J185" t="str">
        <f t="shared" si="45"/>
        <v xml:space="preserve">$A </v>
      </c>
    </row>
    <row r="186" spans="1:30">
      <c r="B186" t="str">
        <f t="shared" ref="B186:J186" si="46">B2</f>
        <v>BEV base</v>
      </c>
      <c r="C186" t="str">
        <f t="shared" si="46"/>
        <v>BEV base</v>
      </c>
      <c r="D186" t="str">
        <f t="shared" si="46"/>
        <v>stamp duty</v>
      </c>
      <c r="E186" t="str">
        <f t="shared" si="46"/>
        <v xml:space="preserve">GST% </v>
      </c>
      <c r="F186" t="str">
        <f t="shared" si="46"/>
        <v>GST</v>
      </c>
      <c r="G186" t="str">
        <f t="shared" si="46"/>
        <v>BEV price</v>
      </c>
      <c r="H186" t="str">
        <f t="shared" si="46"/>
        <v>subsidies</v>
      </c>
      <c r="I186" t="str">
        <f t="shared" si="46"/>
        <v>home charging</v>
      </c>
      <c r="J186" t="str">
        <f t="shared" si="46"/>
        <v>BEV price</v>
      </c>
    </row>
    <row r="187" spans="1:30">
      <c r="A187">
        <f t="shared" ref="A187:J187" si="47">A3</f>
        <v>2009</v>
      </c>
      <c r="B187" s="12">
        <f t="shared" si="47"/>
        <v>29.592572886961211</v>
      </c>
      <c r="C187" s="3">
        <f t="shared" si="47"/>
        <v>37943.265817272229</v>
      </c>
      <c r="D187" s="3">
        <f t="shared" si="47"/>
        <v>1138.2979745181669</v>
      </c>
      <c r="E187" s="3">
        <f t="shared" si="47"/>
        <v>10</v>
      </c>
      <c r="F187" s="3">
        <f t="shared" si="47"/>
        <v>3794.3265817272231</v>
      </c>
      <c r="G187" s="3">
        <f t="shared" si="47"/>
        <v>42875.890373517621</v>
      </c>
      <c r="H187" s="3">
        <f t="shared" si="47"/>
        <v>0</v>
      </c>
      <c r="I187" s="3">
        <f t="shared" si="47"/>
        <v>2200</v>
      </c>
      <c r="J187" s="3">
        <f t="shared" si="47"/>
        <v>45075.890373517621</v>
      </c>
      <c r="R187" s="87" t="s">
        <v>980</v>
      </c>
      <c r="S187" s="87" t="s">
        <v>980</v>
      </c>
      <c r="T187" s="87" t="s">
        <v>980</v>
      </c>
      <c r="U187" s="87" t="s">
        <v>980</v>
      </c>
      <c r="V187" s="87" t="s">
        <v>980</v>
      </c>
      <c r="X187" s="14" t="s">
        <v>812</v>
      </c>
      <c r="Y187" s="14" t="s">
        <v>812</v>
      </c>
      <c r="Z187" s="14" t="s">
        <v>812</v>
      </c>
      <c r="AA187" s="14" t="s">
        <v>812</v>
      </c>
      <c r="AB187" s="14" t="s">
        <v>812</v>
      </c>
      <c r="AD187" s="248" t="s">
        <v>952</v>
      </c>
    </row>
    <row r="188" spans="1:30">
      <c r="A188">
        <f t="shared" ref="A188:J188" si="48">A4</f>
        <v>2010</v>
      </c>
      <c r="B188" s="12">
        <f t="shared" si="48"/>
        <v>30</v>
      </c>
      <c r="C188" s="3">
        <f t="shared" si="48"/>
        <v>32610.763363619073</v>
      </c>
      <c r="D188" s="3">
        <f t="shared" si="48"/>
        <v>978.32290090857214</v>
      </c>
      <c r="E188" s="3">
        <f t="shared" si="48"/>
        <v>10</v>
      </c>
      <c r="F188" s="3">
        <f t="shared" si="48"/>
        <v>3261.0763363619076</v>
      </c>
      <c r="G188" s="3">
        <f t="shared" si="48"/>
        <v>36850.162600889547</v>
      </c>
      <c r="H188" s="3">
        <f t="shared" si="48"/>
        <v>0</v>
      </c>
      <c r="I188" s="3">
        <f t="shared" si="48"/>
        <v>2200</v>
      </c>
      <c r="J188" s="3">
        <f t="shared" si="48"/>
        <v>39050.162600889547</v>
      </c>
      <c r="R188" s="87" t="s">
        <v>978</v>
      </c>
      <c r="S188" s="87" t="s">
        <v>979</v>
      </c>
      <c r="T188" s="87" t="s">
        <v>916</v>
      </c>
      <c r="U188" s="87" t="s">
        <v>981</v>
      </c>
      <c r="V188" s="87" t="s">
        <v>983</v>
      </c>
      <c r="X188" s="14" t="s">
        <v>725</v>
      </c>
      <c r="Y188" s="14" t="s">
        <v>979</v>
      </c>
      <c r="Z188" s="14" t="s">
        <v>916</v>
      </c>
      <c r="AA188" s="14" t="s">
        <v>985</v>
      </c>
      <c r="AB188" s="14" t="s">
        <v>983</v>
      </c>
      <c r="AD188" s="248" t="s">
        <v>1204</v>
      </c>
    </row>
    <row r="189" spans="1:30">
      <c r="A189">
        <f t="shared" ref="A189:J189" si="49">A5</f>
        <v>2011</v>
      </c>
      <c r="B189" s="12">
        <f t="shared" si="49"/>
        <v>30</v>
      </c>
      <c r="C189" s="3">
        <f t="shared" si="49"/>
        <v>28827.443726427558</v>
      </c>
      <c r="D189" s="3">
        <f t="shared" si="49"/>
        <v>864.82331179282676</v>
      </c>
      <c r="E189" s="3">
        <f t="shared" si="49"/>
        <v>10</v>
      </c>
      <c r="F189" s="3">
        <f t="shared" si="49"/>
        <v>2882.7443726427559</v>
      </c>
      <c r="G189" s="3">
        <f t="shared" si="49"/>
        <v>32575.011410863142</v>
      </c>
      <c r="H189" s="3">
        <f t="shared" si="49"/>
        <v>0</v>
      </c>
      <c r="I189" s="3">
        <f t="shared" si="49"/>
        <v>2200</v>
      </c>
      <c r="J189" s="3">
        <f t="shared" si="49"/>
        <v>34775.011410863139</v>
      </c>
      <c r="Q189">
        <v>2012</v>
      </c>
      <c r="R189" s="3">
        <f>B141</f>
        <v>35735.706114243818</v>
      </c>
      <c r="S189" s="3">
        <f t="shared" ref="S189:V189" si="50">C141</f>
        <v>7147.1412228487634</v>
      </c>
      <c r="T189" s="3">
        <f t="shared" si="50"/>
        <v>4645.6417948516964</v>
      </c>
      <c r="U189" s="3">
        <f t="shared" si="50"/>
        <v>0</v>
      </c>
      <c r="V189" s="3">
        <f t="shared" si="50"/>
        <v>11792.78301770046</v>
      </c>
      <c r="W189" s="3"/>
      <c r="X189" s="3">
        <f>J141</f>
        <v>25008.419533317297</v>
      </c>
      <c r="Y189" s="3">
        <f t="shared" ref="Y189:AB189" si="51">K141</f>
        <v>5001.6839066634593</v>
      </c>
      <c r="Z189" s="3">
        <f t="shared" si="51"/>
        <v>3251.0945393312486</v>
      </c>
      <c r="AA189" s="3">
        <f t="shared" si="51"/>
        <v>1642.708713735122</v>
      </c>
      <c r="AB189" s="3">
        <f t="shared" si="51"/>
        <v>9895.4871597298297</v>
      </c>
      <c r="AD189" s="13">
        <f>V189/AB189</f>
        <v>1.1917334465039546</v>
      </c>
    </row>
    <row r="190" spans="1:30">
      <c r="A190">
        <f t="shared" ref="A190:J190" si="52">A6</f>
        <v>2012</v>
      </c>
      <c r="B190" s="12">
        <f t="shared" si="52"/>
        <v>30.842462459493706</v>
      </c>
      <c r="C190" s="3">
        <f t="shared" si="52"/>
        <v>29677.616030304263</v>
      </c>
      <c r="D190" s="3">
        <f t="shared" si="52"/>
        <v>890.32848090912785</v>
      </c>
      <c r="E190" s="3">
        <f t="shared" si="52"/>
        <v>10</v>
      </c>
      <c r="F190" s="3">
        <f t="shared" si="52"/>
        <v>2967.7616030304266</v>
      </c>
      <c r="G190" s="3">
        <f t="shared" si="52"/>
        <v>33535.706114243818</v>
      </c>
      <c r="H190" s="3">
        <f t="shared" si="52"/>
        <v>0</v>
      </c>
      <c r="I190" s="3">
        <f t="shared" si="52"/>
        <v>2200</v>
      </c>
      <c r="J190" s="3">
        <f t="shared" si="52"/>
        <v>35735.706114243818</v>
      </c>
      <c r="Q190">
        <v>2013</v>
      </c>
      <c r="R190" s="3">
        <f t="shared" ref="R190:R205" si="53">B142</f>
        <v>38857.40912069843</v>
      </c>
      <c r="S190" s="3">
        <f t="shared" ref="S190:S205" si="54">C142</f>
        <v>7771.4818241396861</v>
      </c>
      <c r="T190" s="3">
        <f t="shared" ref="T190:T205" si="55">D142</f>
        <v>5051.4631856907963</v>
      </c>
      <c r="U190" s="3">
        <f t="shared" ref="U190:U205" si="56">E142</f>
        <v>0</v>
      </c>
      <c r="V190" s="3">
        <f t="shared" ref="V190:V205" si="57">F142</f>
        <v>12822.945009830482</v>
      </c>
      <c r="W190" s="3"/>
      <c r="X190" s="3">
        <f t="shared" ref="X190:X207" si="58">J142</f>
        <v>27071.741677878563</v>
      </c>
      <c r="Y190" s="3">
        <f t="shared" ref="Y190:Y207" si="59">K142</f>
        <v>5414.3483355757126</v>
      </c>
      <c r="Z190" s="3">
        <f t="shared" ref="Z190:Z207" si="60">L142</f>
        <v>3519.3264181242134</v>
      </c>
      <c r="AA190" s="3">
        <f t="shared" ref="AA190:AA207" si="61">M142</f>
        <v>1615.9239497096769</v>
      </c>
      <c r="AB190" s="3">
        <f t="shared" ref="AB190:AB207" si="62">N142</f>
        <v>10549.598703409603</v>
      </c>
      <c r="AD190" s="13">
        <f t="shared" ref="AD190:AD207" si="63">V190/AB190</f>
        <v>1.2154912589884712</v>
      </c>
    </row>
    <row r="191" spans="1:30">
      <c r="A191">
        <f t="shared" ref="A191:J191" si="64">A7</f>
        <v>2013</v>
      </c>
      <c r="B191" s="12">
        <f t="shared" si="64"/>
        <v>31.143929334439989</v>
      </c>
      <c r="C191" s="3">
        <f t="shared" si="64"/>
        <v>32440.185062564979</v>
      </c>
      <c r="D191" s="3">
        <f t="shared" si="64"/>
        <v>973.20555187694936</v>
      </c>
      <c r="E191" s="3">
        <f t="shared" si="64"/>
        <v>10</v>
      </c>
      <c r="F191" s="3">
        <f t="shared" si="64"/>
        <v>3244.0185062564979</v>
      </c>
      <c r="G191" s="3">
        <f t="shared" si="64"/>
        <v>36657.40912069843</v>
      </c>
      <c r="H191" s="3">
        <f t="shared" si="64"/>
        <v>0</v>
      </c>
      <c r="I191" s="3">
        <f t="shared" si="64"/>
        <v>2200</v>
      </c>
      <c r="J191" s="3">
        <f t="shared" si="64"/>
        <v>38857.40912069843</v>
      </c>
      <c r="Q191">
        <v>2014</v>
      </c>
      <c r="R191" s="3">
        <f t="shared" si="53"/>
        <v>44360.382904390346</v>
      </c>
      <c r="S191" s="3">
        <f t="shared" si="54"/>
        <v>8872.0765808780689</v>
      </c>
      <c r="T191" s="3">
        <f t="shared" si="55"/>
        <v>5766.8497775707456</v>
      </c>
      <c r="U191" s="3">
        <f t="shared" si="56"/>
        <v>0</v>
      </c>
      <c r="V191" s="3">
        <f t="shared" si="57"/>
        <v>14638.926358448814</v>
      </c>
      <c r="W191" s="3"/>
      <c r="X191" s="3">
        <f t="shared" si="58"/>
        <v>28909.899888765292</v>
      </c>
      <c r="Y191" s="3">
        <f t="shared" si="59"/>
        <v>5781.9799777530588</v>
      </c>
      <c r="Z191" s="3">
        <f t="shared" si="60"/>
        <v>3758.2869855394883</v>
      </c>
      <c r="AA191" s="3">
        <f t="shared" si="61"/>
        <v>1548.5301677620728</v>
      </c>
      <c r="AB191" s="3">
        <f t="shared" si="62"/>
        <v>11088.79713105462</v>
      </c>
      <c r="AD191" s="13">
        <f t="shared" si="63"/>
        <v>1.3201545835347566</v>
      </c>
    </row>
    <row r="192" spans="1:30">
      <c r="A192">
        <f t="shared" ref="A192:J192" si="65">A8</f>
        <v>2014</v>
      </c>
      <c r="B192" s="12">
        <f t="shared" si="65"/>
        <v>33.541755956678692</v>
      </c>
      <c r="C192" s="3">
        <f t="shared" si="65"/>
        <v>37310.073366717123</v>
      </c>
      <c r="D192" s="3">
        <f t="shared" si="65"/>
        <v>1119.3022010015136</v>
      </c>
      <c r="E192" s="3">
        <f t="shared" si="65"/>
        <v>10</v>
      </c>
      <c r="F192" s="3">
        <f t="shared" si="65"/>
        <v>3731.0073366717124</v>
      </c>
      <c r="G192" s="3">
        <f t="shared" si="65"/>
        <v>42160.382904390346</v>
      </c>
      <c r="H192" s="3">
        <f t="shared" si="65"/>
        <v>0</v>
      </c>
      <c r="I192" s="3">
        <f t="shared" si="65"/>
        <v>2200</v>
      </c>
      <c r="J192" s="3">
        <f t="shared" si="65"/>
        <v>44360.382904390346</v>
      </c>
      <c r="Q192">
        <v>2015</v>
      </c>
      <c r="R192" s="3">
        <f t="shared" si="53"/>
        <v>47612.93621201635</v>
      </c>
      <c r="S192" s="3">
        <f t="shared" si="54"/>
        <v>9522.5872424032696</v>
      </c>
      <c r="T192" s="3">
        <f t="shared" si="55"/>
        <v>6189.6817075621257</v>
      </c>
      <c r="U192" s="3">
        <f t="shared" si="56"/>
        <v>0</v>
      </c>
      <c r="V192" s="3">
        <f t="shared" si="57"/>
        <v>15712.268949965395</v>
      </c>
      <c r="W192" s="3"/>
      <c r="X192" s="3">
        <f t="shared" si="58"/>
        <v>34816.584429212533</v>
      </c>
      <c r="Y192" s="3">
        <f t="shared" si="59"/>
        <v>6963.316885842507</v>
      </c>
      <c r="Z192" s="3">
        <f t="shared" si="60"/>
        <v>4526.1559757976293</v>
      </c>
      <c r="AA192" s="3">
        <f t="shared" si="61"/>
        <v>1306.0415846725296</v>
      </c>
      <c r="AB192" s="3">
        <f t="shared" si="62"/>
        <v>12795.514446312667</v>
      </c>
      <c r="AD192" s="13">
        <f t="shared" si="63"/>
        <v>1.2279513274664202</v>
      </c>
    </row>
    <row r="193" spans="1:30">
      <c r="A193">
        <f t="shared" ref="A193:J193" si="66">A9</f>
        <v>2015</v>
      </c>
      <c r="B193" s="12">
        <f t="shared" si="66"/>
        <v>30</v>
      </c>
      <c r="C193" s="3">
        <f t="shared" si="66"/>
        <v>40188.439125678182</v>
      </c>
      <c r="D193" s="3">
        <f t="shared" si="66"/>
        <v>1205.6531737703453</v>
      </c>
      <c r="E193" s="3">
        <f t="shared" si="66"/>
        <v>10</v>
      </c>
      <c r="F193" s="3">
        <f t="shared" si="66"/>
        <v>4018.8439125678183</v>
      </c>
      <c r="G193" s="3">
        <f t="shared" si="66"/>
        <v>45412.93621201635</v>
      </c>
      <c r="H193" s="3">
        <f t="shared" si="66"/>
        <v>0</v>
      </c>
      <c r="I193" s="3">
        <f t="shared" si="66"/>
        <v>2200</v>
      </c>
      <c r="J193" s="3">
        <f t="shared" si="66"/>
        <v>47612.93621201635</v>
      </c>
      <c r="Q193">
        <v>2016</v>
      </c>
      <c r="R193" s="3">
        <f t="shared" si="53"/>
        <v>47800.780190339538</v>
      </c>
      <c r="S193" s="3">
        <f t="shared" si="54"/>
        <v>9560.1560380679075</v>
      </c>
      <c r="T193" s="3">
        <f t="shared" si="55"/>
        <v>6214.1014247441399</v>
      </c>
      <c r="U193" s="3">
        <f t="shared" si="56"/>
        <v>0</v>
      </c>
      <c r="V193" s="3">
        <f t="shared" si="57"/>
        <v>15774.257462812047</v>
      </c>
      <c r="W193" s="3"/>
      <c r="X193" s="3">
        <f t="shared" si="58"/>
        <v>34960.598145926975</v>
      </c>
      <c r="Y193" s="3">
        <f t="shared" si="59"/>
        <v>6992.1196291853948</v>
      </c>
      <c r="Z193" s="3">
        <f t="shared" si="60"/>
        <v>4544.8777589705069</v>
      </c>
      <c r="AA193" s="3">
        <f t="shared" si="61"/>
        <v>1131.8506179494898</v>
      </c>
      <c r="AB193" s="3">
        <f t="shared" si="62"/>
        <v>12668.848006105392</v>
      </c>
      <c r="AD193" s="13">
        <f t="shared" si="63"/>
        <v>1.2451216918231311</v>
      </c>
    </row>
    <row r="194" spans="1:30">
      <c r="A194">
        <f t="shared" ref="A194:J194" si="67">A10</f>
        <v>2016</v>
      </c>
      <c r="B194" s="12">
        <f t="shared" si="67"/>
        <v>30</v>
      </c>
      <c r="C194" s="3">
        <f t="shared" si="67"/>
        <v>40354.67273481375</v>
      </c>
      <c r="D194" s="3">
        <f t="shared" si="67"/>
        <v>1210.6401820444125</v>
      </c>
      <c r="E194" s="3">
        <f t="shared" si="67"/>
        <v>10</v>
      </c>
      <c r="F194" s="3">
        <f t="shared" si="67"/>
        <v>4035.4672734813753</v>
      </c>
      <c r="G194" s="3">
        <f t="shared" si="67"/>
        <v>45600.780190339538</v>
      </c>
      <c r="H194" s="3">
        <f t="shared" si="67"/>
        <v>0</v>
      </c>
      <c r="I194" s="3">
        <f t="shared" si="67"/>
        <v>2200</v>
      </c>
      <c r="J194" s="3">
        <f t="shared" si="67"/>
        <v>47800.780190339538</v>
      </c>
      <c r="Q194">
        <v>2017</v>
      </c>
      <c r="R194" s="3">
        <f t="shared" si="53"/>
        <v>46274.62783592278</v>
      </c>
      <c r="S194" s="3">
        <f t="shared" si="54"/>
        <v>9254.9255671845567</v>
      </c>
      <c r="T194" s="3">
        <f t="shared" si="55"/>
        <v>6015.701618669962</v>
      </c>
      <c r="U194" s="3">
        <f t="shared" si="56"/>
        <v>0</v>
      </c>
      <c r="V194" s="3">
        <f t="shared" si="57"/>
        <v>15270.627185854519</v>
      </c>
      <c r="W194" s="3"/>
      <c r="X194" s="3">
        <f t="shared" si="58"/>
        <v>33790.548007540798</v>
      </c>
      <c r="Y194" s="3">
        <f t="shared" si="59"/>
        <v>6758.1096015081594</v>
      </c>
      <c r="Z194" s="3">
        <f t="shared" si="60"/>
        <v>4392.7712409803034</v>
      </c>
      <c r="AA194" s="3">
        <f t="shared" si="61"/>
        <v>1227.5904264058811</v>
      </c>
      <c r="AB194" s="3">
        <f t="shared" si="62"/>
        <v>12378.471268894344</v>
      </c>
      <c r="AD194" s="13">
        <f t="shared" si="63"/>
        <v>1.2336440303600191</v>
      </c>
    </row>
    <row r="195" spans="1:30">
      <c r="A195">
        <f t="shared" ref="A195:J195" si="68">A11</f>
        <v>2017</v>
      </c>
      <c r="B195" s="12">
        <f t="shared" si="68"/>
        <v>30</v>
      </c>
      <c r="C195" s="3">
        <f t="shared" si="68"/>
        <v>39004.095430020156</v>
      </c>
      <c r="D195" s="3">
        <f t="shared" si="68"/>
        <v>1170.1228629006046</v>
      </c>
      <c r="E195" s="3">
        <f t="shared" si="68"/>
        <v>10</v>
      </c>
      <c r="F195" s="3">
        <f t="shared" si="68"/>
        <v>3900.4095430020157</v>
      </c>
      <c r="G195" s="3">
        <f t="shared" si="68"/>
        <v>44074.62783592278</v>
      </c>
      <c r="H195" s="3">
        <f t="shared" si="68"/>
        <v>0</v>
      </c>
      <c r="I195" s="3">
        <f t="shared" si="68"/>
        <v>2200</v>
      </c>
      <c r="J195" s="3">
        <f t="shared" si="68"/>
        <v>46274.62783592278</v>
      </c>
      <c r="Q195">
        <v>2018</v>
      </c>
      <c r="R195" s="3">
        <f t="shared" si="53"/>
        <v>48868.249848293483</v>
      </c>
      <c r="S195" s="3">
        <f t="shared" si="54"/>
        <v>9773.6499696586961</v>
      </c>
      <c r="T195" s="3">
        <f t="shared" si="55"/>
        <v>6352.8724802781526</v>
      </c>
      <c r="U195" s="3">
        <f t="shared" si="56"/>
        <v>0</v>
      </c>
      <c r="V195" s="3">
        <f t="shared" si="57"/>
        <v>16126.522449936849</v>
      </c>
      <c r="W195" s="3"/>
      <c r="X195" s="3">
        <f t="shared" si="58"/>
        <v>35086.5</v>
      </c>
      <c r="Y195" s="3">
        <f t="shared" si="59"/>
        <v>7017.3</v>
      </c>
      <c r="Z195" s="3">
        <f t="shared" si="60"/>
        <v>4561.2449999999999</v>
      </c>
      <c r="AA195" s="3">
        <f t="shared" si="61"/>
        <v>1338.9784801294347</v>
      </c>
      <c r="AB195" s="3">
        <f t="shared" si="62"/>
        <v>12917.523480129435</v>
      </c>
      <c r="AD195" s="13">
        <f t="shared" si="63"/>
        <v>1.2484221510991407</v>
      </c>
    </row>
    <row r="196" spans="1:30">
      <c r="A196">
        <f t="shared" ref="A196:J196" si="69">A12</f>
        <v>2018</v>
      </c>
      <c r="B196" s="12">
        <f t="shared" si="69"/>
        <v>30.592100851060948</v>
      </c>
      <c r="C196" s="3">
        <f t="shared" si="69"/>
        <v>41299.336148932285</v>
      </c>
      <c r="D196" s="3">
        <f t="shared" si="69"/>
        <v>1238.9800844679685</v>
      </c>
      <c r="E196" s="3">
        <f t="shared" si="69"/>
        <v>10</v>
      </c>
      <c r="F196" s="3">
        <f t="shared" si="69"/>
        <v>4129.9336148932289</v>
      </c>
      <c r="G196" s="3">
        <f t="shared" si="69"/>
        <v>46668.249848293483</v>
      </c>
      <c r="H196" s="3">
        <f t="shared" si="69"/>
        <v>0</v>
      </c>
      <c r="I196" s="3">
        <f t="shared" si="69"/>
        <v>2200</v>
      </c>
      <c r="J196" s="3">
        <f t="shared" si="69"/>
        <v>48868.249848293483</v>
      </c>
      <c r="Q196">
        <v>2019</v>
      </c>
      <c r="R196" s="3">
        <f t="shared" si="53"/>
        <v>49754.402428574467</v>
      </c>
      <c r="S196" s="3">
        <f t="shared" si="54"/>
        <v>9950.8804857148934</v>
      </c>
      <c r="T196" s="3">
        <f t="shared" si="55"/>
        <v>6468.0723157146813</v>
      </c>
      <c r="U196" s="3">
        <f t="shared" si="56"/>
        <v>0</v>
      </c>
      <c r="V196" s="3">
        <f t="shared" si="57"/>
        <v>16418.952801429576</v>
      </c>
      <c r="W196" s="3"/>
      <c r="X196" s="3">
        <f t="shared" si="58"/>
        <v>35086.5</v>
      </c>
      <c r="Y196" s="3">
        <f t="shared" si="59"/>
        <v>7017.3</v>
      </c>
      <c r="Z196" s="3">
        <f t="shared" si="60"/>
        <v>4561.2449999999999</v>
      </c>
      <c r="AA196" s="3">
        <f t="shared" si="61"/>
        <v>1302.6141085636157</v>
      </c>
      <c r="AB196" s="3">
        <f t="shared" si="62"/>
        <v>12881.159108563616</v>
      </c>
      <c r="AD196" s="13">
        <f t="shared" si="63"/>
        <v>1.2746487069252932</v>
      </c>
    </row>
    <row r="197" spans="1:30">
      <c r="A197">
        <f t="shared" ref="A197:J197" si="70">A13</f>
        <v>2019</v>
      </c>
      <c r="B197" s="12">
        <f t="shared" si="70"/>
        <v>31.172994053473918</v>
      </c>
      <c r="C197" s="3">
        <f t="shared" si="70"/>
        <v>42083.541972189792</v>
      </c>
      <c r="D197" s="3">
        <f t="shared" si="70"/>
        <v>1262.5062591656938</v>
      </c>
      <c r="E197" s="3">
        <f t="shared" si="70"/>
        <v>10</v>
      </c>
      <c r="F197" s="3">
        <f t="shared" si="70"/>
        <v>4208.3541972189796</v>
      </c>
      <c r="G197" s="3">
        <f t="shared" si="70"/>
        <v>47554.402428574467</v>
      </c>
      <c r="H197" s="3">
        <f t="shared" si="70"/>
        <v>0</v>
      </c>
      <c r="I197" s="3">
        <f t="shared" si="70"/>
        <v>2200</v>
      </c>
      <c r="J197" s="3">
        <f t="shared" si="70"/>
        <v>49754.402428574467</v>
      </c>
      <c r="Q197">
        <v>2020</v>
      </c>
      <c r="R197" s="3">
        <f t="shared" si="53"/>
        <v>49468.995214784947</v>
      </c>
      <c r="S197" s="3">
        <f t="shared" si="54"/>
        <v>9893.7990429569891</v>
      </c>
      <c r="T197" s="3">
        <f t="shared" si="55"/>
        <v>6430.9693779220433</v>
      </c>
      <c r="U197" s="3">
        <f t="shared" si="56"/>
        <v>0</v>
      </c>
      <c r="V197" s="3">
        <f t="shared" si="57"/>
        <v>16324.768420879032</v>
      </c>
      <c r="W197" s="3"/>
      <c r="X197" s="3">
        <f t="shared" si="58"/>
        <v>35086.5</v>
      </c>
      <c r="Y197" s="3">
        <f t="shared" si="59"/>
        <v>7017.3</v>
      </c>
      <c r="Z197" s="3">
        <f t="shared" si="60"/>
        <v>4561.2449999999999</v>
      </c>
      <c r="AA197" s="3">
        <f t="shared" si="61"/>
        <v>1291.7609430669629</v>
      </c>
      <c r="AB197" s="3">
        <f t="shared" si="62"/>
        <v>12870.305943066964</v>
      </c>
      <c r="AD197" s="13">
        <f t="shared" si="63"/>
        <v>1.2684056224532048</v>
      </c>
    </row>
    <row r="198" spans="1:30">
      <c r="A198">
        <f t="shared" ref="A198:J198" si="71">A14</f>
        <v>2020</v>
      </c>
      <c r="B198" s="12">
        <f t="shared" si="71"/>
        <v>30.985903123425071</v>
      </c>
      <c r="C198" s="3">
        <f t="shared" si="71"/>
        <v>41830.969216623846</v>
      </c>
      <c r="D198" s="3">
        <f t="shared" si="71"/>
        <v>1254.9290764987154</v>
      </c>
      <c r="E198" s="3">
        <f t="shared" si="71"/>
        <v>10</v>
      </c>
      <c r="F198" s="3">
        <f t="shared" si="71"/>
        <v>4183.0969216623844</v>
      </c>
      <c r="G198" s="3">
        <f t="shared" si="71"/>
        <v>47268.995214784947</v>
      </c>
      <c r="H198" s="3">
        <f t="shared" si="71"/>
        <v>0</v>
      </c>
      <c r="I198" s="3">
        <f t="shared" si="71"/>
        <v>2200</v>
      </c>
      <c r="J198" s="3">
        <f t="shared" si="71"/>
        <v>49468.995214784947</v>
      </c>
      <c r="Q198">
        <v>2021</v>
      </c>
      <c r="R198" s="3">
        <f t="shared" si="53"/>
        <v>48280.33434014571</v>
      </c>
      <c r="S198" s="3">
        <f t="shared" si="54"/>
        <v>9656.0668680291419</v>
      </c>
      <c r="T198" s="3">
        <f t="shared" si="55"/>
        <v>6276.4434642189426</v>
      </c>
      <c r="U198" s="3">
        <f t="shared" si="56"/>
        <v>0</v>
      </c>
      <c r="V198" s="3">
        <f t="shared" si="57"/>
        <v>15932.510332248085</v>
      </c>
      <c r="W198" s="3"/>
      <c r="X198" s="3">
        <f t="shared" si="58"/>
        <v>35086.5</v>
      </c>
      <c r="Y198" s="3">
        <f t="shared" si="59"/>
        <v>7017.3</v>
      </c>
      <c r="Z198" s="3">
        <f t="shared" si="60"/>
        <v>4561.2449999999999</v>
      </c>
      <c r="AA198" s="3">
        <f t="shared" si="61"/>
        <v>1338.5960222511424</v>
      </c>
      <c r="AB198" s="3">
        <f t="shared" si="62"/>
        <v>12917.141022251142</v>
      </c>
      <c r="AD198" s="13">
        <f t="shared" si="63"/>
        <v>1.2334393736820439</v>
      </c>
    </row>
    <row r="199" spans="1:30">
      <c r="A199">
        <f t="shared" ref="A199:J199" si="72">A15</f>
        <v>2021</v>
      </c>
      <c r="B199" s="12">
        <f t="shared" si="72"/>
        <v>30.206708843097807</v>
      </c>
      <c r="C199" s="3">
        <f t="shared" si="72"/>
        <v>40779.056938182046</v>
      </c>
      <c r="D199" s="3">
        <f t="shared" si="72"/>
        <v>1223.3717081454613</v>
      </c>
      <c r="E199" s="3">
        <f t="shared" si="72"/>
        <v>10</v>
      </c>
      <c r="F199" s="3">
        <f t="shared" si="72"/>
        <v>4077.9056938182048</v>
      </c>
      <c r="G199" s="3">
        <f t="shared" si="72"/>
        <v>46080.33434014571</v>
      </c>
      <c r="H199" s="3">
        <f t="shared" si="72"/>
        <v>0</v>
      </c>
      <c r="I199" s="3">
        <f t="shared" si="72"/>
        <v>2200</v>
      </c>
      <c r="J199" s="3">
        <f t="shared" si="72"/>
        <v>48280.33434014571</v>
      </c>
      <c r="Q199">
        <v>2022</v>
      </c>
      <c r="R199" s="3">
        <f t="shared" si="53"/>
        <v>48945.064557435449</v>
      </c>
      <c r="S199" s="3">
        <f t="shared" si="54"/>
        <v>9789.0129114870906</v>
      </c>
      <c r="T199" s="3">
        <f t="shared" si="55"/>
        <v>6362.8583924666091</v>
      </c>
      <c r="U199" s="3">
        <f t="shared" si="56"/>
        <v>0</v>
      </c>
      <c r="V199" s="3">
        <f t="shared" si="57"/>
        <v>16151.8713039537</v>
      </c>
      <c r="W199" s="3"/>
      <c r="X199" s="3">
        <f t="shared" si="58"/>
        <v>35086.5</v>
      </c>
      <c r="Y199" s="3">
        <f t="shared" si="59"/>
        <v>7017.3</v>
      </c>
      <c r="Z199" s="3">
        <f t="shared" si="60"/>
        <v>4561.2449999999999</v>
      </c>
      <c r="AA199" s="3">
        <f t="shared" si="61"/>
        <v>1369.2978013195209</v>
      </c>
      <c r="AB199" s="3">
        <f t="shared" si="62"/>
        <v>12947.842801319521</v>
      </c>
      <c r="AD199" s="13">
        <f t="shared" si="63"/>
        <v>1.2474565494653407</v>
      </c>
    </row>
    <row r="200" spans="1:30">
      <c r="A200">
        <f t="shared" ref="A200:J200" si="73">A16</f>
        <v>2022</v>
      </c>
      <c r="B200" s="12">
        <f t="shared" si="73"/>
        <v>30.642454642697771</v>
      </c>
      <c r="C200" s="3">
        <f t="shared" si="73"/>
        <v>41367.313767641994</v>
      </c>
      <c r="D200" s="3">
        <f t="shared" si="73"/>
        <v>1241.0194130292598</v>
      </c>
      <c r="E200" s="3">
        <f t="shared" si="73"/>
        <v>10</v>
      </c>
      <c r="F200" s="3">
        <f t="shared" si="73"/>
        <v>4136.7313767641999</v>
      </c>
      <c r="G200" s="3">
        <f t="shared" si="73"/>
        <v>46745.064557435449</v>
      </c>
      <c r="H200" s="3">
        <f t="shared" si="73"/>
        <v>0</v>
      </c>
      <c r="I200" s="3">
        <f t="shared" si="73"/>
        <v>2200</v>
      </c>
      <c r="J200" s="3">
        <f t="shared" si="73"/>
        <v>48945.064557435449</v>
      </c>
      <c r="Q200">
        <v>2023</v>
      </c>
      <c r="R200" s="3">
        <f t="shared" si="53"/>
        <v>48516.538816290689</v>
      </c>
      <c r="S200" s="3">
        <f t="shared" si="54"/>
        <v>9703.3077632581371</v>
      </c>
      <c r="T200" s="3">
        <f t="shared" si="55"/>
        <v>6307.1500461177902</v>
      </c>
      <c r="U200" s="3">
        <f t="shared" si="56"/>
        <v>0</v>
      </c>
      <c r="V200" s="3">
        <f t="shared" si="57"/>
        <v>16010.457809375926</v>
      </c>
      <c r="W200" s="3"/>
      <c r="X200" s="3">
        <f t="shared" si="58"/>
        <v>35086.5</v>
      </c>
      <c r="Y200" s="3">
        <f t="shared" si="59"/>
        <v>7017.3</v>
      </c>
      <c r="Z200" s="3">
        <f t="shared" si="60"/>
        <v>4561.2449999999999</v>
      </c>
      <c r="AA200" s="3">
        <f t="shared" si="61"/>
        <v>1375.7668357892244</v>
      </c>
      <c r="AB200" s="3">
        <f t="shared" si="62"/>
        <v>12954.311835789224</v>
      </c>
      <c r="AD200" s="13">
        <f t="shared" si="63"/>
        <v>1.2359172769906162</v>
      </c>
    </row>
    <row r="201" spans="1:30">
      <c r="A201">
        <f t="shared" ref="A201:J201" si="74">A17</f>
        <v>2023</v>
      </c>
      <c r="B201" s="12">
        <f t="shared" si="74"/>
        <v>30.361546257811007</v>
      </c>
      <c r="C201" s="3">
        <f t="shared" si="74"/>
        <v>40988.087448044862</v>
      </c>
      <c r="D201" s="3">
        <f t="shared" si="74"/>
        <v>1229.6426234413459</v>
      </c>
      <c r="E201" s="3">
        <f t="shared" si="74"/>
        <v>10</v>
      </c>
      <c r="F201" s="3">
        <f t="shared" si="74"/>
        <v>4098.8087448044862</v>
      </c>
      <c r="G201" s="3">
        <f t="shared" si="74"/>
        <v>46316.538816290689</v>
      </c>
      <c r="H201" s="3">
        <f t="shared" si="74"/>
        <v>0</v>
      </c>
      <c r="I201" s="3">
        <f t="shared" si="74"/>
        <v>2200</v>
      </c>
      <c r="J201" s="3">
        <f t="shared" si="74"/>
        <v>48516.538816290689</v>
      </c>
      <c r="Q201">
        <v>2024</v>
      </c>
      <c r="R201" s="3">
        <f t="shared" si="53"/>
        <v>46859.989502607605</v>
      </c>
      <c r="S201" s="3">
        <f t="shared" si="54"/>
        <v>9371.9979005215209</v>
      </c>
      <c r="T201" s="3">
        <f t="shared" si="55"/>
        <v>6091.7986353389888</v>
      </c>
      <c r="U201" s="3">
        <f t="shared" si="56"/>
        <v>0</v>
      </c>
      <c r="V201" s="3">
        <f t="shared" si="57"/>
        <v>15463.796535860511</v>
      </c>
      <c r="W201" s="3"/>
      <c r="X201" s="3">
        <f t="shared" si="58"/>
        <v>35086.5</v>
      </c>
      <c r="Y201" s="3">
        <f t="shared" si="59"/>
        <v>7017.3</v>
      </c>
      <c r="Z201" s="3">
        <f t="shared" si="60"/>
        <v>4561.2449999999999</v>
      </c>
      <c r="AA201" s="3">
        <f t="shared" si="61"/>
        <v>1367.3876986186524</v>
      </c>
      <c r="AB201" s="3">
        <f t="shared" si="62"/>
        <v>12945.932698618653</v>
      </c>
      <c r="AD201" s="13">
        <f t="shared" si="63"/>
        <v>1.1944907250684624</v>
      </c>
    </row>
    <row r="202" spans="1:30">
      <c r="A202">
        <f t="shared" ref="A202:J202" si="75">A18</f>
        <v>2024</v>
      </c>
      <c r="B202" s="12">
        <f t="shared" si="75"/>
        <v>29.275640447464834</v>
      </c>
      <c r="C202" s="3">
        <f t="shared" si="75"/>
        <v>39522.114604077527</v>
      </c>
      <c r="D202" s="3">
        <f t="shared" si="75"/>
        <v>1185.6634381223257</v>
      </c>
      <c r="E202" s="3">
        <f t="shared" si="75"/>
        <v>10</v>
      </c>
      <c r="F202" s="3">
        <f t="shared" si="75"/>
        <v>3952.2114604077528</v>
      </c>
      <c r="G202" s="3">
        <f t="shared" si="75"/>
        <v>44659.989502607605</v>
      </c>
      <c r="H202" s="3">
        <f t="shared" si="75"/>
        <v>0</v>
      </c>
      <c r="I202" s="3">
        <f t="shared" si="75"/>
        <v>2200</v>
      </c>
      <c r="J202" s="3">
        <f t="shared" si="75"/>
        <v>46859.989502607605</v>
      </c>
      <c r="Q202">
        <v>2025</v>
      </c>
      <c r="R202" s="3">
        <f t="shared" si="53"/>
        <v>45437.819827042353</v>
      </c>
      <c r="S202" s="3">
        <f t="shared" si="54"/>
        <v>9087.5639654084698</v>
      </c>
      <c r="T202" s="3">
        <f t="shared" si="55"/>
        <v>5906.9165775155061</v>
      </c>
      <c r="U202" s="3">
        <f t="shared" si="56"/>
        <v>0</v>
      </c>
      <c r="V202" s="3">
        <f t="shared" si="57"/>
        <v>14994.480542923975</v>
      </c>
      <c r="W202" s="3"/>
      <c r="X202" s="3">
        <f t="shared" si="58"/>
        <v>35086.5</v>
      </c>
      <c r="Y202" s="3">
        <f t="shared" si="59"/>
        <v>7017.3</v>
      </c>
      <c r="Z202" s="3">
        <f t="shared" si="60"/>
        <v>4561.2449999999999</v>
      </c>
      <c r="AA202" s="3">
        <f t="shared" si="61"/>
        <v>1381.0076395957733</v>
      </c>
      <c r="AB202" s="3">
        <f t="shared" si="62"/>
        <v>12959.552639595773</v>
      </c>
      <c r="AD202" s="13">
        <f t="shared" si="63"/>
        <v>1.1570214620766164</v>
      </c>
    </row>
    <row r="203" spans="1:30">
      <c r="A203">
        <f t="shared" ref="A203:J203" si="76">A19</f>
        <v>2025</v>
      </c>
      <c r="B203" s="12">
        <f t="shared" si="76"/>
        <v>28.343375828936317</v>
      </c>
      <c r="C203" s="3">
        <f t="shared" si="76"/>
        <v>38263.55736906403</v>
      </c>
      <c r="D203" s="3">
        <f t="shared" si="76"/>
        <v>1147.9067210719209</v>
      </c>
      <c r="E203" s="3">
        <f t="shared" si="76"/>
        <v>10</v>
      </c>
      <c r="F203" s="3">
        <f t="shared" si="76"/>
        <v>3826.3557369064033</v>
      </c>
      <c r="G203" s="3">
        <f t="shared" si="76"/>
        <v>43237.819827042353</v>
      </c>
      <c r="H203" s="3">
        <f t="shared" si="76"/>
        <v>0</v>
      </c>
      <c r="I203" s="3">
        <f t="shared" si="76"/>
        <v>2200</v>
      </c>
      <c r="J203" s="3">
        <f t="shared" si="76"/>
        <v>45437.819827042353</v>
      </c>
      <c r="Q203">
        <v>2026</v>
      </c>
      <c r="R203" s="3">
        <f t="shared" si="53"/>
        <v>44627.618608857214</v>
      </c>
      <c r="S203" s="3">
        <f t="shared" si="54"/>
        <v>8925.5237217714421</v>
      </c>
      <c r="T203" s="3">
        <f t="shared" si="55"/>
        <v>5801.5904191514383</v>
      </c>
      <c r="U203" s="3">
        <f t="shared" si="56"/>
        <v>0</v>
      </c>
      <c r="V203" s="3">
        <f t="shared" si="57"/>
        <v>14727.11414092288</v>
      </c>
      <c r="W203" s="3"/>
      <c r="X203" s="3">
        <f t="shared" si="58"/>
        <v>35086.5</v>
      </c>
      <c r="Y203" s="3">
        <f t="shared" si="59"/>
        <v>7017.3</v>
      </c>
      <c r="Z203" s="3">
        <f t="shared" si="60"/>
        <v>4561.2449999999999</v>
      </c>
      <c r="AA203" s="3">
        <f t="shared" si="61"/>
        <v>1414.5957921279282</v>
      </c>
      <c r="AB203" s="3">
        <f t="shared" si="62"/>
        <v>12993.140792127928</v>
      </c>
      <c r="AD203" s="13">
        <f t="shared" si="63"/>
        <v>1.1334529792708399</v>
      </c>
    </row>
    <row r="204" spans="1:30">
      <c r="A204">
        <f t="shared" ref="A204:J204" si="77">A20</f>
        <v>2026</v>
      </c>
      <c r="B204" s="12">
        <f t="shared" si="77"/>
        <v>27.812270474504896</v>
      </c>
      <c r="C204" s="3">
        <f t="shared" si="77"/>
        <v>37546.56514058161</v>
      </c>
      <c r="D204" s="3">
        <f t="shared" si="77"/>
        <v>1126.3969542174482</v>
      </c>
      <c r="E204" s="3">
        <f t="shared" si="77"/>
        <v>10</v>
      </c>
      <c r="F204" s="3">
        <f t="shared" si="77"/>
        <v>3754.6565140581611</v>
      </c>
      <c r="G204" s="3">
        <f t="shared" si="77"/>
        <v>42427.618608857214</v>
      </c>
      <c r="H204" s="3">
        <f t="shared" si="77"/>
        <v>0</v>
      </c>
      <c r="I204" s="3">
        <f t="shared" si="77"/>
        <v>2200</v>
      </c>
      <c r="J204" s="3">
        <f t="shared" si="77"/>
        <v>44627.618608857214</v>
      </c>
      <c r="Q204">
        <v>2027</v>
      </c>
      <c r="R204" s="3">
        <f t="shared" si="53"/>
        <v>43817.41739067209</v>
      </c>
      <c r="S204" s="3">
        <f t="shared" si="54"/>
        <v>8763.483478134418</v>
      </c>
      <c r="T204" s="3">
        <f t="shared" si="55"/>
        <v>5696.2642607873722</v>
      </c>
      <c r="U204" s="3">
        <f t="shared" si="56"/>
        <v>0</v>
      </c>
      <c r="V204" s="3">
        <f t="shared" si="57"/>
        <v>14459.747738921789</v>
      </c>
      <c r="W204" s="3"/>
      <c r="X204" s="3">
        <f t="shared" si="58"/>
        <v>35086.5</v>
      </c>
      <c r="Y204" s="3">
        <f t="shared" si="59"/>
        <v>7017.3</v>
      </c>
      <c r="Z204" s="3">
        <f t="shared" si="60"/>
        <v>4561.2449999999999</v>
      </c>
      <c r="AA204" s="3">
        <f t="shared" si="61"/>
        <v>1424.7061099529317</v>
      </c>
      <c r="AB204" s="3">
        <f t="shared" si="62"/>
        <v>13003.251109952931</v>
      </c>
      <c r="AD204" s="13">
        <f t="shared" si="63"/>
        <v>1.112010190117303</v>
      </c>
    </row>
    <row r="205" spans="1:30">
      <c r="A205">
        <f t="shared" ref="A205:J205" si="78">A21</f>
        <v>2027</v>
      </c>
      <c r="B205" s="12">
        <f t="shared" si="78"/>
        <v>27.281165120073478</v>
      </c>
      <c r="C205" s="3">
        <f t="shared" si="78"/>
        <v>36829.572912099196</v>
      </c>
      <c r="D205" s="3">
        <f t="shared" si="78"/>
        <v>1104.887187362976</v>
      </c>
      <c r="E205" s="3">
        <f t="shared" si="78"/>
        <v>10</v>
      </c>
      <c r="F205" s="3">
        <f t="shared" si="78"/>
        <v>3682.9572912099197</v>
      </c>
      <c r="G205" s="3">
        <f t="shared" si="78"/>
        <v>41617.41739067209</v>
      </c>
      <c r="H205" s="3">
        <f t="shared" si="78"/>
        <v>0</v>
      </c>
      <c r="I205" s="3">
        <f t="shared" si="78"/>
        <v>2200</v>
      </c>
      <c r="J205" s="3">
        <f t="shared" si="78"/>
        <v>43817.41739067209</v>
      </c>
      <c r="Q205">
        <v>2028</v>
      </c>
      <c r="R205" s="3">
        <f t="shared" si="53"/>
        <v>42905.941020213824</v>
      </c>
      <c r="S205" s="3">
        <f t="shared" si="54"/>
        <v>8581.1882040427645</v>
      </c>
      <c r="T205" s="3">
        <f t="shared" si="55"/>
        <v>5577.7723326277974</v>
      </c>
      <c r="U205" s="3">
        <f t="shared" si="56"/>
        <v>0</v>
      </c>
      <c r="V205" s="3">
        <f t="shared" si="57"/>
        <v>14158.960536670562</v>
      </c>
      <c r="W205" s="3"/>
      <c r="X205" s="3">
        <f t="shared" si="58"/>
        <v>35086.5</v>
      </c>
      <c r="Y205" s="3">
        <f t="shared" si="59"/>
        <v>7017.3</v>
      </c>
      <c r="Z205" s="3">
        <f t="shared" si="60"/>
        <v>4561.2449999999999</v>
      </c>
      <c r="AA205" s="3">
        <f t="shared" si="61"/>
        <v>1425.7151256013383</v>
      </c>
      <c r="AB205" s="3">
        <f t="shared" si="62"/>
        <v>13004.260125601339</v>
      </c>
      <c r="AD205" s="13">
        <f t="shared" si="63"/>
        <v>1.0887940105716569</v>
      </c>
    </row>
    <row r="206" spans="1:30">
      <c r="A206">
        <f t="shared" ref="A206:J206" si="79">A22</f>
        <v>2028</v>
      </c>
      <c r="B206" s="12">
        <f t="shared" si="79"/>
        <v>26.683671596338133</v>
      </c>
      <c r="C206" s="3">
        <f t="shared" si="79"/>
        <v>36022.956655056485</v>
      </c>
      <c r="D206" s="3">
        <f t="shared" si="79"/>
        <v>1080.6886996516946</v>
      </c>
      <c r="E206" s="3">
        <f t="shared" si="79"/>
        <v>10</v>
      </c>
      <c r="F206" s="3">
        <f t="shared" si="79"/>
        <v>3602.2956655056487</v>
      </c>
      <c r="G206" s="3">
        <f t="shared" si="79"/>
        <v>40705.941020213824</v>
      </c>
      <c r="H206" s="3">
        <f t="shared" si="79"/>
        <v>0</v>
      </c>
      <c r="I206" s="3">
        <f t="shared" si="79"/>
        <v>2200</v>
      </c>
      <c r="J206" s="3">
        <f t="shared" si="79"/>
        <v>42905.941020213824</v>
      </c>
      <c r="Q206">
        <v>2029</v>
      </c>
      <c r="R206" s="3">
        <f t="shared" ref="R206:R207" si="80">B158</f>
        <v>42095.7398020287</v>
      </c>
      <c r="S206" s="3">
        <f t="shared" ref="S206:S207" si="81">C158</f>
        <v>8419.1479604057404</v>
      </c>
      <c r="T206" s="3">
        <f t="shared" ref="T206:T207" si="82">D158</f>
        <v>5472.4461742637313</v>
      </c>
      <c r="U206" s="3">
        <f t="shared" ref="U206:U207" si="83">E158</f>
        <v>0</v>
      </c>
      <c r="V206" s="3">
        <f t="shared" ref="V206:V207" si="84">F158</f>
        <v>13891.594134669471</v>
      </c>
      <c r="W206" s="3"/>
      <c r="X206" s="3">
        <f t="shared" si="58"/>
        <v>35086.5</v>
      </c>
      <c r="Y206" s="3">
        <f t="shared" si="59"/>
        <v>7017.3</v>
      </c>
      <c r="Z206" s="3">
        <f t="shared" si="60"/>
        <v>4561.2449999999999</v>
      </c>
      <c r="AA206" s="3">
        <f t="shared" si="61"/>
        <v>1431.8836855163313</v>
      </c>
      <c r="AB206" s="3">
        <f t="shared" si="62"/>
        <v>13010.428685516332</v>
      </c>
      <c r="AD206" s="13">
        <f t="shared" si="63"/>
        <v>1.0677276260799986</v>
      </c>
    </row>
    <row r="207" spans="1:30">
      <c r="A207">
        <f t="shared" ref="A207:J207" si="85">A23</f>
        <v>2029</v>
      </c>
      <c r="B207" s="12">
        <f t="shared" si="85"/>
        <v>26.152566241906715</v>
      </c>
      <c r="C207" s="3">
        <f t="shared" si="85"/>
        <v>35305.964426574072</v>
      </c>
      <c r="D207" s="3">
        <f t="shared" si="85"/>
        <v>1059.1789327972222</v>
      </c>
      <c r="E207" s="3">
        <f t="shared" si="85"/>
        <v>10</v>
      </c>
      <c r="F207" s="3">
        <f t="shared" si="85"/>
        <v>3530.5964426574074</v>
      </c>
      <c r="G207" s="3">
        <f t="shared" si="85"/>
        <v>39895.7398020287</v>
      </c>
      <c r="H207" s="3">
        <f t="shared" si="85"/>
        <v>0</v>
      </c>
      <c r="I207" s="3">
        <f t="shared" si="85"/>
        <v>2200</v>
      </c>
      <c r="J207" s="3">
        <f t="shared" si="85"/>
        <v>42095.7398020287</v>
      </c>
      <c r="Q207">
        <v>2030</v>
      </c>
      <c r="R207" s="3">
        <f t="shared" si="80"/>
        <v>41184.263431570427</v>
      </c>
      <c r="S207" s="3">
        <f t="shared" si="81"/>
        <v>8236.8526863140851</v>
      </c>
      <c r="T207" s="3">
        <f t="shared" si="82"/>
        <v>5353.9542461041556</v>
      </c>
      <c r="U207" s="3">
        <f t="shared" si="83"/>
        <v>0</v>
      </c>
      <c r="V207" s="3">
        <f t="shared" si="84"/>
        <v>13590.80693241824</v>
      </c>
      <c r="W207" s="3"/>
      <c r="X207" s="3">
        <f t="shared" si="58"/>
        <v>35086.5</v>
      </c>
      <c r="Y207" s="3">
        <f t="shared" si="59"/>
        <v>7017.3</v>
      </c>
      <c r="Z207" s="3">
        <f t="shared" si="60"/>
        <v>4561.2449999999999</v>
      </c>
      <c r="AA207" s="3">
        <f t="shared" si="61"/>
        <v>1433.0632105632969</v>
      </c>
      <c r="AB207" s="3">
        <f t="shared" si="62"/>
        <v>13011.608210563298</v>
      </c>
      <c r="AD207" s="13">
        <f t="shared" si="63"/>
        <v>1.044513999536562</v>
      </c>
    </row>
    <row r="208" spans="1:30">
      <c r="A208">
        <f t="shared" ref="A208:J208" si="86">A24</f>
        <v>2030</v>
      </c>
      <c r="B208" s="12">
        <f t="shared" si="86"/>
        <v>25.55507271817137</v>
      </c>
      <c r="C208" s="3">
        <f t="shared" si="86"/>
        <v>34499.348169531353</v>
      </c>
      <c r="D208" s="3">
        <f t="shared" si="86"/>
        <v>1034.9804450859406</v>
      </c>
      <c r="E208" s="3">
        <f t="shared" si="86"/>
        <v>10</v>
      </c>
      <c r="F208" s="3">
        <f t="shared" si="86"/>
        <v>3449.9348169531354</v>
      </c>
      <c r="G208" s="3">
        <f t="shared" si="86"/>
        <v>38984.263431570427</v>
      </c>
      <c r="H208" s="3">
        <f t="shared" si="86"/>
        <v>0</v>
      </c>
      <c r="I208" s="3">
        <f t="shared" si="86"/>
        <v>2200</v>
      </c>
      <c r="J208" s="3">
        <f t="shared" si="86"/>
        <v>41184.263431570427</v>
      </c>
    </row>
    <row r="210" spans="1:10">
      <c r="A210" t="str">
        <f>A47</f>
        <v>PHEV</v>
      </c>
      <c r="B210" t="str">
        <f t="shared" ref="B210:J210" si="87">B47</f>
        <v>2017US$000</v>
      </c>
      <c r="C210" t="str">
        <f t="shared" si="87"/>
        <v xml:space="preserve">$A </v>
      </c>
      <c r="D210" t="str">
        <f t="shared" si="87"/>
        <v xml:space="preserve">$A </v>
      </c>
      <c r="E210" t="str">
        <f t="shared" si="87"/>
        <v xml:space="preserve">$A </v>
      </c>
      <c r="F210" t="str">
        <f t="shared" si="87"/>
        <v xml:space="preserve">$A </v>
      </c>
      <c r="G210" t="str">
        <f t="shared" si="87"/>
        <v xml:space="preserve">$A </v>
      </c>
      <c r="H210" t="str">
        <f t="shared" si="87"/>
        <v xml:space="preserve">$A </v>
      </c>
      <c r="I210" t="str">
        <f t="shared" si="87"/>
        <v xml:space="preserve">$A </v>
      </c>
      <c r="J210" t="str">
        <f t="shared" si="87"/>
        <v xml:space="preserve">$A </v>
      </c>
    </row>
    <row r="211" spans="1:10">
      <c r="B211" t="str">
        <f t="shared" ref="B211:J211" si="88">B48</f>
        <v>PHEV base</v>
      </c>
      <c r="C211" t="str">
        <f t="shared" si="88"/>
        <v>PHEV base</v>
      </c>
      <c r="D211" t="str">
        <f t="shared" si="88"/>
        <v>stamp duty</v>
      </c>
      <c r="E211" t="str">
        <f t="shared" si="88"/>
        <v xml:space="preserve">GST% </v>
      </c>
      <c r="F211" t="str">
        <f t="shared" si="88"/>
        <v>GST</v>
      </c>
      <c r="G211" t="str">
        <f t="shared" si="88"/>
        <v>PHEV price</v>
      </c>
      <c r="H211" t="str">
        <f t="shared" si="88"/>
        <v>subsidies</v>
      </c>
      <c r="I211" t="str">
        <f t="shared" si="88"/>
        <v>home charging</v>
      </c>
      <c r="J211" t="str">
        <f t="shared" si="88"/>
        <v>PHEV price</v>
      </c>
    </row>
    <row r="212" spans="1:10">
      <c r="A212">
        <f t="shared" ref="A212:J212" si="89">A49</f>
        <v>2009</v>
      </c>
      <c r="B212" s="12">
        <f t="shared" si="89"/>
        <v>29.592572886961211</v>
      </c>
      <c r="C212" s="3">
        <f t="shared" si="89"/>
        <v>37943.265817272229</v>
      </c>
      <c r="D212" s="3">
        <f t="shared" si="89"/>
        <v>1138.2979745181669</v>
      </c>
      <c r="E212" s="3">
        <f t="shared" si="89"/>
        <v>10</v>
      </c>
      <c r="F212" s="3">
        <f t="shared" si="89"/>
        <v>3794.3265817272231</v>
      </c>
      <c r="G212" s="3">
        <f t="shared" si="89"/>
        <v>42875.890373517621</v>
      </c>
      <c r="H212" s="3">
        <f t="shared" si="89"/>
        <v>0</v>
      </c>
      <c r="I212" s="3">
        <f t="shared" si="89"/>
        <v>2200</v>
      </c>
      <c r="J212" s="3">
        <f t="shared" si="89"/>
        <v>45075.890373517621</v>
      </c>
    </row>
    <row r="213" spans="1:10">
      <c r="A213">
        <f t="shared" ref="A213:J213" si="90">A50</f>
        <v>2010</v>
      </c>
      <c r="B213" s="12">
        <f t="shared" si="90"/>
        <v>30</v>
      </c>
      <c r="C213" s="3">
        <f t="shared" si="90"/>
        <v>32610.763363619073</v>
      </c>
      <c r="D213" s="3">
        <f t="shared" si="90"/>
        <v>978.32290090857214</v>
      </c>
      <c r="E213" s="3">
        <f t="shared" si="90"/>
        <v>10</v>
      </c>
      <c r="F213" s="3">
        <f t="shared" si="90"/>
        <v>3261.0763363619076</v>
      </c>
      <c r="G213" s="3">
        <f t="shared" si="90"/>
        <v>36850.162600889547</v>
      </c>
      <c r="H213" s="3">
        <f t="shared" si="90"/>
        <v>0</v>
      </c>
      <c r="I213" s="3">
        <f t="shared" si="90"/>
        <v>2200</v>
      </c>
      <c r="J213" s="3">
        <f t="shared" si="90"/>
        <v>39050.162600889547</v>
      </c>
    </row>
    <row r="214" spans="1:10">
      <c r="A214">
        <f t="shared" ref="A214:J214" si="91">A51</f>
        <v>2011</v>
      </c>
      <c r="B214" s="12">
        <f t="shared" si="91"/>
        <v>30</v>
      </c>
      <c r="C214" s="3">
        <f t="shared" si="91"/>
        <v>28827.443726427558</v>
      </c>
      <c r="D214" s="3">
        <f t="shared" si="91"/>
        <v>864.82331179282676</v>
      </c>
      <c r="E214" s="3">
        <f t="shared" si="91"/>
        <v>10</v>
      </c>
      <c r="F214" s="3">
        <f t="shared" si="91"/>
        <v>2882.7443726427559</v>
      </c>
      <c r="G214" s="3">
        <f t="shared" si="91"/>
        <v>32575.011410863142</v>
      </c>
      <c r="H214" s="3">
        <f t="shared" si="91"/>
        <v>0</v>
      </c>
      <c r="I214" s="3">
        <f t="shared" si="91"/>
        <v>2200</v>
      </c>
      <c r="J214" s="3">
        <f t="shared" si="91"/>
        <v>34775.011410863139</v>
      </c>
    </row>
    <row r="215" spans="1:10">
      <c r="A215">
        <f t="shared" ref="A215:J215" si="92">A52</f>
        <v>2012</v>
      </c>
      <c r="B215" s="12">
        <f t="shared" si="92"/>
        <v>30.842462459493706</v>
      </c>
      <c r="C215" s="3">
        <f t="shared" si="92"/>
        <v>29677.616030304263</v>
      </c>
      <c r="D215" s="3">
        <f t="shared" si="92"/>
        <v>890.32848090912785</v>
      </c>
      <c r="E215" s="3">
        <f t="shared" si="92"/>
        <v>10</v>
      </c>
      <c r="F215" s="3">
        <f t="shared" si="92"/>
        <v>2967.7616030304266</v>
      </c>
      <c r="G215" s="3">
        <f t="shared" si="92"/>
        <v>33535.706114243818</v>
      </c>
      <c r="H215" s="3">
        <f t="shared" si="92"/>
        <v>0</v>
      </c>
      <c r="I215" s="3">
        <f t="shared" si="92"/>
        <v>2200</v>
      </c>
      <c r="J215" s="3">
        <f t="shared" si="92"/>
        <v>35735.706114243818</v>
      </c>
    </row>
    <row r="216" spans="1:10">
      <c r="A216">
        <f t="shared" ref="A216:J216" si="93">A53</f>
        <v>2013</v>
      </c>
      <c r="B216" s="12">
        <f t="shared" si="93"/>
        <v>31.143929334439989</v>
      </c>
      <c r="C216" s="3">
        <f t="shared" si="93"/>
        <v>32440.185062564979</v>
      </c>
      <c r="D216" s="3">
        <f t="shared" si="93"/>
        <v>973.20555187694936</v>
      </c>
      <c r="E216" s="3">
        <f t="shared" si="93"/>
        <v>10</v>
      </c>
      <c r="F216" s="3">
        <f t="shared" si="93"/>
        <v>3244.0185062564979</v>
      </c>
      <c r="G216" s="3">
        <f t="shared" si="93"/>
        <v>36657.40912069843</v>
      </c>
      <c r="H216" s="3">
        <f t="shared" si="93"/>
        <v>0</v>
      </c>
      <c r="I216" s="3">
        <f t="shared" si="93"/>
        <v>2200</v>
      </c>
      <c r="J216" s="3">
        <f t="shared" si="93"/>
        <v>38857.40912069843</v>
      </c>
    </row>
    <row r="217" spans="1:10">
      <c r="A217">
        <f t="shared" ref="A217:J217" si="94">A54</f>
        <v>2014</v>
      </c>
      <c r="B217" s="12">
        <f t="shared" si="94"/>
        <v>33.541755956678692</v>
      </c>
      <c r="C217" s="3">
        <f t="shared" si="94"/>
        <v>37310.073366717123</v>
      </c>
      <c r="D217" s="3">
        <f t="shared" si="94"/>
        <v>1119.3022010015136</v>
      </c>
      <c r="E217" s="3">
        <f t="shared" si="94"/>
        <v>10</v>
      </c>
      <c r="F217" s="3">
        <f t="shared" si="94"/>
        <v>3731.0073366717124</v>
      </c>
      <c r="G217" s="3">
        <f t="shared" si="94"/>
        <v>42160.382904390346</v>
      </c>
      <c r="H217" s="3">
        <f t="shared" si="94"/>
        <v>0</v>
      </c>
      <c r="I217" s="3">
        <f t="shared" si="94"/>
        <v>2200</v>
      </c>
      <c r="J217" s="3">
        <f t="shared" si="94"/>
        <v>44360.382904390346</v>
      </c>
    </row>
    <row r="218" spans="1:10">
      <c r="A218">
        <f t="shared" ref="A218:J218" si="95">A55</f>
        <v>2015</v>
      </c>
      <c r="B218" s="12">
        <f t="shared" si="95"/>
        <v>30</v>
      </c>
      <c r="C218" s="3">
        <f t="shared" si="95"/>
        <v>40188.439125678182</v>
      </c>
      <c r="D218" s="3">
        <f t="shared" si="95"/>
        <v>1205.6531737703453</v>
      </c>
      <c r="E218" s="3">
        <f t="shared" si="95"/>
        <v>10</v>
      </c>
      <c r="F218" s="3">
        <f t="shared" si="95"/>
        <v>4018.8439125678183</v>
      </c>
      <c r="G218" s="3">
        <f t="shared" si="95"/>
        <v>45412.93621201635</v>
      </c>
      <c r="H218" s="3">
        <f t="shared" si="95"/>
        <v>0</v>
      </c>
      <c r="I218" s="3">
        <f t="shared" si="95"/>
        <v>2200</v>
      </c>
      <c r="J218" s="3">
        <f t="shared" si="95"/>
        <v>47612.93621201635</v>
      </c>
    </row>
    <row r="219" spans="1:10">
      <c r="A219">
        <f t="shared" ref="A219:J219" si="96">A56</f>
        <v>2016</v>
      </c>
      <c r="B219" s="12">
        <f t="shared" si="96"/>
        <v>30</v>
      </c>
      <c r="C219" s="3">
        <f t="shared" si="96"/>
        <v>40354.67273481375</v>
      </c>
      <c r="D219" s="3">
        <f t="shared" si="96"/>
        <v>1210.6401820444125</v>
      </c>
      <c r="E219" s="3">
        <f t="shared" si="96"/>
        <v>10</v>
      </c>
      <c r="F219" s="3">
        <f t="shared" si="96"/>
        <v>4035.4672734813753</v>
      </c>
      <c r="G219" s="3">
        <f t="shared" si="96"/>
        <v>45600.780190339538</v>
      </c>
      <c r="H219" s="3">
        <f t="shared" si="96"/>
        <v>0</v>
      </c>
      <c r="I219" s="3">
        <f t="shared" si="96"/>
        <v>2200</v>
      </c>
      <c r="J219" s="3">
        <f t="shared" si="96"/>
        <v>47800.780190339538</v>
      </c>
    </row>
    <row r="220" spans="1:10">
      <c r="A220">
        <f t="shared" ref="A220:J220" si="97">A57</f>
        <v>2017</v>
      </c>
      <c r="B220" s="12">
        <f t="shared" si="97"/>
        <v>30</v>
      </c>
      <c r="C220" s="3">
        <f t="shared" si="97"/>
        <v>39004.095430020156</v>
      </c>
      <c r="D220" s="3">
        <f t="shared" si="97"/>
        <v>1170.1228629006046</v>
      </c>
      <c r="E220" s="3">
        <f t="shared" si="97"/>
        <v>10</v>
      </c>
      <c r="F220" s="3">
        <f t="shared" si="97"/>
        <v>3900.4095430020157</v>
      </c>
      <c r="G220" s="3">
        <f t="shared" si="97"/>
        <v>44074.62783592278</v>
      </c>
      <c r="H220" s="3">
        <f t="shared" si="97"/>
        <v>0</v>
      </c>
      <c r="I220" s="3">
        <f t="shared" si="97"/>
        <v>2200</v>
      </c>
      <c r="J220" s="3">
        <f t="shared" si="97"/>
        <v>46274.62783592278</v>
      </c>
    </row>
    <row r="221" spans="1:10">
      <c r="A221">
        <f t="shared" ref="A221:J221" si="98">A58</f>
        <v>2018</v>
      </c>
      <c r="B221" s="12">
        <f t="shared" si="98"/>
        <v>30.592100851060948</v>
      </c>
      <c r="C221" s="3">
        <f t="shared" si="98"/>
        <v>41299.336148932285</v>
      </c>
      <c r="D221" s="3">
        <f t="shared" si="98"/>
        <v>1238.9800844679685</v>
      </c>
      <c r="E221" s="3">
        <f t="shared" si="98"/>
        <v>10</v>
      </c>
      <c r="F221" s="3">
        <f t="shared" si="98"/>
        <v>4129.9336148932289</v>
      </c>
      <c r="G221" s="3">
        <f t="shared" si="98"/>
        <v>46668.249848293483</v>
      </c>
      <c r="H221" s="3">
        <f t="shared" si="98"/>
        <v>0</v>
      </c>
      <c r="I221" s="3">
        <f t="shared" si="98"/>
        <v>2200</v>
      </c>
      <c r="J221" s="3">
        <f t="shared" si="98"/>
        <v>48868.249848293483</v>
      </c>
    </row>
    <row r="222" spans="1:10">
      <c r="A222">
        <f t="shared" ref="A222:J222" si="99">A59</f>
        <v>2019</v>
      </c>
      <c r="B222" s="12">
        <f t="shared" si="99"/>
        <v>31.172994053473918</v>
      </c>
      <c r="C222" s="3">
        <f t="shared" si="99"/>
        <v>42083.541972189792</v>
      </c>
      <c r="D222" s="3">
        <f t="shared" si="99"/>
        <v>1262.5062591656938</v>
      </c>
      <c r="E222" s="3">
        <f t="shared" si="99"/>
        <v>10</v>
      </c>
      <c r="F222" s="3">
        <f t="shared" si="99"/>
        <v>4208.3541972189796</v>
      </c>
      <c r="G222" s="3">
        <f t="shared" si="99"/>
        <v>47554.402428574467</v>
      </c>
      <c r="H222" s="3">
        <f t="shared" si="99"/>
        <v>0</v>
      </c>
      <c r="I222" s="3">
        <f t="shared" si="99"/>
        <v>2200</v>
      </c>
      <c r="J222" s="3">
        <f t="shared" si="99"/>
        <v>49754.402428574467</v>
      </c>
    </row>
    <row r="223" spans="1:10">
      <c r="A223">
        <f t="shared" ref="A223:J223" si="100">A60</f>
        <v>2020</v>
      </c>
      <c r="B223" s="12">
        <f t="shared" si="100"/>
        <v>30.985903123425071</v>
      </c>
      <c r="C223" s="3">
        <f t="shared" si="100"/>
        <v>41830.969216623846</v>
      </c>
      <c r="D223" s="3">
        <f t="shared" si="100"/>
        <v>1254.9290764987154</v>
      </c>
      <c r="E223" s="3">
        <f t="shared" si="100"/>
        <v>10</v>
      </c>
      <c r="F223" s="3">
        <f t="shared" si="100"/>
        <v>4183.0969216623844</v>
      </c>
      <c r="G223" s="3">
        <f t="shared" si="100"/>
        <v>47268.995214784947</v>
      </c>
      <c r="H223" s="3">
        <f t="shared" si="100"/>
        <v>0</v>
      </c>
      <c r="I223" s="3">
        <f t="shared" si="100"/>
        <v>2200</v>
      </c>
      <c r="J223" s="3">
        <f t="shared" si="100"/>
        <v>49468.995214784947</v>
      </c>
    </row>
    <row r="224" spans="1:10">
      <c r="A224">
        <f t="shared" ref="A224:J224" si="101">A61</f>
        <v>2021</v>
      </c>
      <c r="B224" s="12">
        <f t="shared" si="101"/>
        <v>30.206708843097807</v>
      </c>
      <c r="C224" s="3">
        <f t="shared" si="101"/>
        <v>40779.056938182046</v>
      </c>
      <c r="D224" s="3">
        <f t="shared" si="101"/>
        <v>1223.3717081454613</v>
      </c>
      <c r="E224" s="3">
        <f t="shared" si="101"/>
        <v>10</v>
      </c>
      <c r="F224" s="3">
        <f t="shared" si="101"/>
        <v>4077.9056938182048</v>
      </c>
      <c r="G224" s="3">
        <f t="shared" si="101"/>
        <v>46080.33434014571</v>
      </c>
      <c r="H224" s="3">
        <f t="shared" si="101"/>
        <v>0</v>
      </c>
      <c r="I224" s="3">
        <f t="shared" si="101"/>
        <v>2200</v>
      </c>
      <c r="J224" s="3">
        <f t="shared" si="101"/>
        <v>48280.33434014571</v>
      </c>
    </row>
    <row r="225" spans="1:10">
      <c r="A225">
        <f t="shared" ref="A225:J225" si="102">A62</f>
        <v>2022</v>
      </c>
      <c r="B225" s="12">
        <f t="shared" si="102"/>
        <v>30.642454642697771</v>
      </c>
      <c r="C225" s="3">
        <f t="shared" si="102"/>
        <v>41367.313767641994</v>
      </c>
      <c r="D225" s="3">
        <f t="shared" si="102"/>
        <v>1241.0194130292598</v>
      </c>
      <c r="E225" s="3">
        <f t="shared" si="102"/>
        <v>10</v>
      </c>
      <c r="F225" s="3">
        <f t="shared" si="102"/>
        <v>4136.7313767641999</v>
      </c>
      <c r="G225" s="3">
        <f t="shared" si="102"/>
        <v>46745.064557435449</v>
      </c>
      <c r="H225" s="3">
        <f t="shared" si="102"/>
        <v>0</v>
      </c>
      <c r="I225" s="3">
        <f t="shared" si="102"/>
        <v>2200</v>
      </c>
      <c r="J225" s="3">
        <f t="shared" si="102"/>
        <v>48945.064557435449</v>
      </c>
    </row>
    <row r="226" spans="1:10">
      <c r="A226">
        <f t="shared" ref="A226:J226" si="103">A63</f>
        <v>2023</v>
      </c>
      <c r="B226" s="12">
        <f t="shared" si="103"/>
        <v>30.361546257811007</v>
      </c>
      <c r="C226" s="3">
        <f t="shared" si="103"/>
        <v>40988.087448044862</v>
      </c>
      <c r="D226" s="3">
        <f t="shared" si="103"/>
        <v>1229.6426234413459</v>
      </c>
      <c r="E226" s="3">
        <f t="shared" si="103"/>
        <v>10</v>
      </c>
      <c r="F226" s="3">
        <f t="shared" si="103"/>
        <v>4098.8087448044862</v>
      </c>
      <c r="G226" s="3">
        <f t="shared" si="103"/>
        <v>46316.538816290689</v>
      </c>
      <c r="H226" s="3">
        <f t="shared" si="103"/>
        <v>0</v>
      </c>
      <c r="I226" s="3">
        <f t="shared" si="103"/>
        <v>2200</v>
      </c>
      <c r="J226" s="3">
        <f t="shared" si="103"/>
        <v>48516.538816290689</v>
      </c>
    </row>
    <row r="227" spans="1:10">
      <c r="A227">
        <f t="shared" ref="A227:J227" si="104">A64</f>
        <v>2024</v>
      </c>
      <c r="B227" s="12">
        <f t="shared" si="104"/>
        <v>29.275640447464834</v>
      </c>
      <c r="C227" s="3">
        <f t="shared" si="104"/>
        <v>39522.114604077527</v>
      </c>
      <c r="D227" s="3">
        <f t="shared" si="104"/>
        <v>1185.6634381223257</v>
      </c>
      <c r="E227" s="3">
        <f t="shared" si="104"/>
        <v>10</v>
      </c>
      <c r="F227" s="3">
        <f t="shared" si="104"/>
        <v>3952.2114604077528</v>
      </c>
      <c r="G227" s="3">
        <f t="shared" si="104"/>
        <v>44659.989502607605</v>
      </c>
      <c r="H227" s="3">
        <f t="shared" si="104"/>
        <v>0</v>
      </c>
      <c r="I227" s="3">
        <f t="shared" si="104"/>
        <v>2200</v>
      </c>
      <c r="J227" s="3">
        <f t="shared" si="104"/>
        <v>46859.989502607605</v>
      </c>
    </row>
    <row r="228" spans="1:10">
      <c r="A228">
        <f t="shared" ref="A228:J228" si="105">A65</f>
        <v>2025</v>
      </c>
      <c r="B228" s="12">
        <f t="shared" si="105"/>
        <v>28.343375828936317</v>
      </c>
      <c r="C228" s="3">
        <f t="shared" si="105"/>
        <v>38263.55736906403</v>
      </c>
      <c r="D228" s="3">
        <f t="shared" si="105"/>
        <v>1147.9067210719209</v>
      </c>
      <c r="E228" s="3">
        <f t="shared" si="105"/>
        <v>10</v>
      </c>
      <c r="F228" s="3">
        <f t="shared" si="105"/>
        <v>3826.3557369064033</v>
      </c>
      <c r="G228" s="3">
        <f t="shared" si="105"/>
        <v>43237.819827042353</v>
      </c>
      <c r="H228" s="3">
        <f t="shared" si="105"/>
        <v>0</v>
      </c>
      <c r="I228" s="3">
        <f t="shared" si="105"/>
        <v>2200</v>
      </c>
      <c r="J228" s="3">
        <f t="shared" si="105"/>
        <v>45437.819827042353</v>
      </c>
    </row>
    <row r="229" spans="1:10">
      <c r="A229">
        <f t="shared" ref="A229:J229" si="106">A66</f>
        <v>2026</v>
      </c>
      <c r="B229" s="12">
        <f t="shared" si="106"/>
        <v>27.812270474504896</v>
      </c>
      <c r="C229" s="3">
        <f t="shared" si="106"/>
        <v>37546.56514058161</v>
      </c>
      <c r="D229" s="3">
        <f t="shared" si="106"/>
        <v>1126.3969542174482</v>
      </c>
      <c r="E229" s="3">
        <f t="shared" si="106"/>
        <v>10</v>
      </c>
      <c r="F229" s="3">
        <f t="shared" si="106"/>
        <v>3754.6565140581611</v>
      </c>
      <c r="G229" s="3">
        <f t="shared" si="106"/>
        <v>42427.618608857214</v>
      </c>
      <c r="H229" s="3">
        <f t="shared" si="106"/>
        <v>0</v>
      </c>
      <c r="I229" s="3">
        <f t="shared" si="106"/>
        <v>2200</v>
      </c>
      <c r="J229" s="3">
        <f t="shared" si="106"/>
        <v>44627.618608857214</v>
      </c>
    </row>
    <row r="230" spans="1:10">
      <c r="A230">
        <f t="shared" ref="A230:J230" si="107">A67</f>
        <v>2027</v>
      </c>
      <c r="B230" s="12">
        <f t="shared" si="107"/>
        <v>27.281165120073478</v>
      </c>
      <c r="C230" s="3">
        <f t="shared" si="107"/>
        <v>36829.572912099196</v>
      </c>
      <c r="D230" s="3">
        <f t="shared" si="107"/>
        <v>1104.887187362976</v>
      </c>
      <c r="E230" s="3">
        <f t="shared" si="107"/>
        <v>10</v>
      </c>
      <c r="F230" s="3">
        <f t="shared" si="107"/>
        <v>3682.9572912099197</v>
      </c>
      <c r="G230" s="3">
        <f t="shared" si="107"/>
        <v>41617.41739067209</v>
      </c>
      <c r="H230" s="3">
        <f t="shared" si="107"/>
        <v>0</v>
      </c>
      <c r="I230" s="3">
        <f t="shared" si="107"/>
        <v>2200</v>
      </c>
      <c r="J230" s="3">
        <f t="shared" si="107"/>
        <v>43817.41739067209</v>
      </c>
    </row>
    <row r="231" spans="1:10">
      <c r="A231">
        <f t="shared" ref="A231:J231" si="108">A68</f>
        <v>2028</v>
      </c>
      <c r="B231" s="12">
        <f t="shared" si="108"/>
        <v>26.683671596338133</v>
      </c>
      <c r="C231" s="3">
        <f t="shared" si="108"/>
        <v>36022.956655056485</v>
      </c>
      <c r="D231" s="3">
        <f t="shared" si="108"/>
        <v>1080.6886996516946</v>
      </c>
      <c r="E231" s="3">
        <f t="shared" si="108"/>
        <v>10</v>
      </c>
      <c r="F231" s="3">
        <f t="shared" si="108"/>
        <v>3602.2956655056487</v>
      </c>
      <c r="G231" s="3">
        <f t="shared" si="108"/>
        <v>40705.941020213824</v>
      </c>
      <c r="H231" s="3">
        <f t="shared" si="108"/>
        <v>0</v>
      </c>
      <c r="I231" s="3">
        <f t="shared" si="108"/>
        <v>2200</v>
      </c>
      <c r="J231" s="3">
        <f t="shared" si="108"/>
        <v>42905.941020213824</v>
      </c>
    </row>
    <row r="232" spans="1:10">
      <c r="A232">
        <f t="shared" ref="A232:J232" si="109">A69</f>
        <v>2029</v>
      </c>
      <c r="B232" s="12">
        <f t="shared" si="109"/>
        <v>26.152566241906715</v>
      </c>
      <c r="C232" s="3">
        <f t="shared" si="109"/>
        <v>35305.964426574072</v>
      </c>
      <c r="D232" s="3">
        <f t="shared" si="109"/>
        <v>1059.1789327972222</v>
      </c>
      <c r="E232" s="3">
        <f t="shared" si="109"/>
        <v>10</v>
      </c>
      <c r="F232" s="3">
        <f t="shared" si="109"/>
        <v>3530.5964426574074</v>
      </c>
      <c r="G232" s="3">
        <f t="shared" si="109"/>
        <v>39895.7398020287</v>
      </c>
      <c r="H232" s="3">
        <f t="shared" si="109"/>
        <v>0</v>
      </c>
      <c r="I232" s="3">
        <f t="shared" si="109"/>
        <v>2200</v>
      </c>
      <c r="J232" s="3">
        <f t="shared" si="109"/>
        <v>42095.7398020287</v>
      </c>
    </row>
    <row r="233" spans="1:10">
      <c r="A233">
        <f t="shared" ref="A233:J233" si="110">A70</f>
        <v>2030</v>
      </c>
      <c r="B233" s="12">
        <f t="shared" si="110"/>
        <v>25.55507271817137</v>
      </c>
      <c r="C233" s="3">
        <f t="shared" si="110"/>
        <v>34499.348169531353</v>
      </c>
      <c r="D233" s="3">
        <f t="shared" si="110"/>
        <v>1034.9804450859406</v>
      </c>
      <c r="E233" s="3">
        <f t="shared" si="110"/>
        <v>10</v>
      </c>
      <c r="F233" s="3">
        <f t="shared" si="110"/>
        <v>3449.9348169531354</v>
      </c>
      <c r="G233" s="3">
        <f t="shared" si="110"/>
        <v>38984.263431570427</v>
      </c>
      <c r="H233" s="3">
        <f t="shared" si="110"/>
        <v>0</v>
      </c>
      <c r="I233" s="3">
        <f t="shared" si="110"/>
        <v>2200</v>
      </c>
      <c r="J233" s="3">
        <f t="shared" si="110"/>
        <v>41184.263431570427</v>
      </c>
    </row>
    <row r="235" spans="1:10">
      <c r="A235" t="str">
        <f t="shared" ref="A235:G235" si="111">A93</f>
        <v>FFV</v>
      </c>
      <c r="B235" t="str">
        <f t="shared" si="111"/>
        <v>2017US$000</v>
      </c>
      <c r="C235" t="str">
        <f t="shared" si="111"/>
        <v xml:space="preserve">$A </v>
      </c>
      <c r="D235" t="str">
        <f t="shared" si="111"/>
        <v xml:space="preserve">$A </v>
      </c>
      <c r="E235" t="str">
        <f t="shared" si="111"/>
        <v xml:space="preserve">$A </v>
      </c>
      <c r="F235" t="str">
        <f t="shared" si="111"/>
        <v xml:space="preserve">$A </v>
      </c>
      <c r="G235" t="str">
        <f t="shared" si="111"/>
        <v xml:space="preserve">$A </v>
      </c>
    </row>
    <row r="236" spans="1:10">
      <c r="B236" t="str">
        <f t="shared" ref="B236:G236" si="112">B94</f>
        <v>FFV base</v>
      </c>
      <c r="C236" t="str">
        <f t="shared" si="112"/>
        <v>FFV base</v>
      </c>
      <c r="D236" t="str">
        <f t="shared" si="112"/>
        <v>stamp duty</v>
      </c>
      <c r="E236" t="str">
        <f t="shared" si="112"/>
        <v xml:space="preserve">GST% </v>
      </c>
      <c r="F236" t="str">
        <f t="shared" si="112"/>
        <v>GST</v>
      </c>
      <c r="G236" t="str">
        <f t="shared" si="112"/>
        <v>FFV price</v>
      </c>
    </row>
    <row r="237" spans="1:10">
      <c r="A237">
        <f t="shared" ref="A237:G237" si="113">A95</f>
        <v>2009</v>
      </c>
      <c r="B237">
        <f t="shared" si="113"/>
        <v>23</v>
      </c>
      <c r="C237" s="3">
        <f t="shared" si="113"/>
        <v>29490.34263194396</v>
      </c>
      <c r="D237" s="3">
        <f t="shared" si="113"/>
        <v>884.71027895831878</v>
      </c>
      <c r="E237" s="3">
        <f t="shared" si="113"/>
        <v>10</v>
      </c>
      <c r="F237" s="3">
        <f t="shared" si="113"/>
        <v>2949.0342631943963</v>
      </c>
      <c r="G237" s="3">
        <f t="shared" si="113"/>
        <v>33324.087174096676</v>
      </c>
    </row>
    <row r="238" spans="1:10">
      <c r="A238">
        <f t="shared" ref="A238:G238" si="114">A96</f>
        <v>2010</v>
      </c>
      <c r="B238">
        <f t="shared" si="114"/>
        <v>23</v>
      </c>
      <c r="C238" s="3">
        <f t="shared" si="114"/>
        <v>25001.585245441289</v>
      </c>
      <c r="D238" s="3">
        <f t="shared" si="114"/>
        <v>750.04755736323864</v>
      </c>
      <c r="E238" s="3">
        <f t="shared" si="114"/>
        <v>10</v>
      </c>
      <c r="F238" s="3">
        <f t="shared" si="114"/>
        <v>2500.1585245441292</v>
      </c>
      <c r="G238" s="3">
        <f t="shared" si="114"/>
        <v>28251.791327348656</v>
      </c>
    </row>
    <row r="239" spans="1:10">
      <c r="A239">
        <f t="shared" ref="A239:G239" si="115">A97</f>
        <v>2011</v>
      </c>
      <c r="B239">
        <f t="shared" si="115"/>
        <v>23</v>
      </c>
      <c r="C239" s="3">
        <f t="shared" si="115"/>
        <v>22101.040190261127</v>
      </c>
      <c r="D239" s="3">
        <f t="shared" si="115"/>
        <v>663.03120570783381</v>
      </c>
      <c r="E239" s="3">
        <f t="shared" si="115"/>
        <v>10</v>
      </c>
      <c r="F239" s="3">
        <f t="shared" si="115"/>
        <v>2210.1040190261128</v>
      </c>
      <c r="G239" s="3">
        <f t="shared" si="115"/>
        <v>24974.175414995072</v>
      </c>
    </row>
    <row r="240" spans="1:10">
      <c r="A240">
        <f t="shared" ref="A240:G240" si="116">A98</f>
        <v>2012</v>
      </c>
      <c r="B240">
        <f t="shared" si="116"/>
        <v>23</v>
      </c>
      <c r="C240" s="3">
        <f t="shared" si="116"/>
        <v>22131.344719749821</v>
      </c>
      <c r="D240" s="3">
        <f t="shared" si="116"/>
        <v>663.94034159249463</v>
      </c>
      <c r="E240" s="3">
        <f t="shared" si="116"/>
        <v>10</v>
      </c>
      <c r="F240" s="3">
        <f t="shared" si="116"/>
        <v>2213.1344719749823</v>
      </c>
      <c r="G240" s="3">
        <f t="shared" si="116"/>
        <v>25008.419533317297</v>
      </c>
    </row>
    <row r="241" spans="1:7">
      <c r="A241">
        <f t="shared" ref="A241:G241" si="117">A99</f>
        <v>2013</v>
      </c>
      <c r="B241">
        <f t="shared" si="117"/>
        <v>23</v>
      </c>
      <c r="C241" s="3">
        <f t="shared" si="117"/>
        <v>23957.293520246516</v>
      </c>
      <c r="D241" s="3">
        <f t="shared" si="117"/>
        <v>718.71880560739544</v>
      </c>
      <c r="E241" s="3">
        <f t="shared" si="117"/>
        <v>10</v>
      </c>
      <c r="F241" s="3">
        <f t="shared" si="117"/>
        <v>2395.7293520246517</v>
      </c>
      <c r="G241" s="3">
        <f t="shared" si="117"/>
        <v>27071.741677878563</v>
      </c>
    </row>
    <row r="242" spans="1:7">
      <c r="A242">
        <f t="shared" ref="A242:G242" si="118">A100</f>
        <v>2014</v>
      </c>
      <c r="B242">
        <f t="shared" si="118"/>
        <v>23</v>
      </c>
      <c r="C242" s="3">
        <f t="shared" si="118"/>
        <v>25583.982202447161</v>
      </c>
      <c r="D242" s="3">
        <f t="shared" si="118"/>
        <v>767.51946607341483</v>
      </c>
      <c r="E242" s="3">
        <f t="shared" si="118"/>
        <v>10</v>
      </c>
      <c r="F242" s="3">
        <f t="shared" si="118"/>
        <v>2558.3982202447164</v>
      </c>
      <c r="G242" s="3">
        <f t="shared" si="118"/>
        <v>28909.899888765292</v>
      </c>
    </row>
    <row r="243" spans="1:7">
      <c r="A243">
        <f t="shared" ref="A243:G243" si="119">A101</f>
        <v>2015</v>
      </c>
      <c r="B243">
        <f t="shared" si="119"/>
        <v>23</v>
      </c>
      <c r="C243" s="3">
        <f t="shared" si="119"/>
        <v>30811.136663019937</v>
      </c>
      <c r="D243" s="3">
        <f t="shared" si="119"/>
        <v>924.33409989059805</v>
      </c>
      <c r="E243" s="3">
        <f t="shared" si="119"/>
        <v>10</v>
      </c>
      <c r="F243" s="3">
        <f t="shared" si="119"/>
        <v>3081.1136663019938</v>
      </c>
      <c r="G243" s="3">
        <f t="shared" si="119"/>
        <v>34816.584429212533</v>
      </c>
    </row>
    <row r="244" spans="1:7">
      <c r="A244">
        <f t="shared" ref="A244:G244" si="120">A102</f>
        <v>2016</v>
      </c>
      <c r="B244">
        <f t="shared" si="120"/>
        <v>23</v>
      </c>
      <c r="C244" s="3">
        <f t="shared" si="120"/>
        <v>30938.582430023875</v>
      </c>
      <c r="D244" s="3">
        <f t="shared" si="120"/>
        <v>928.15747290071624</v>
      </c>
      <c r="E244" s="3">
        <f t="shared" si="120"/>
        <v>10</v>
      </c>
      <c r="F244" s="3">
        <f t="shared" si="120"/>
        <v>3093.8582430023876</v>
      </c>
      <c r="G244" s="3">
        <f t="shared" si="120"/>
        <v>34960.598145926975</v>
      </c>
    </row>
    <row r="245" spans="1:7">
      <c r="A245">
        <f t="shared" ref="A245:G245" si="121">A103</f>
        <v>2017</v>
      </c>
      <c r="B245">
        <f t="shared" si="121"/>
        <v>23</v>
      </c>
      <c r="C245" s="3">
        <f t="shared" si="121"/>
        <v>29903.139829682121</v>
      </c>
      <c r="D245" s="3">
        <f t="shared" si="121"/>
        <v>897.09419489046354</v>
      </c>
      <c r="E245" s="3">
        <f t="shared" si="121"/>
        <v>10</v>
      </c>
      <c r="F245" s="3">
        <f t="shared" si="121"/>
        <v>2990.3139829682123</v>
      </c>
      <c r="G245" s="3">
        <f t="shared" si="121"/>
        <v>33790.548007540798</v>
      </c>
    </row>
    <row r="246" spans="1:7">
      <c r="A246">
        <f t="shared" ref="A246:G246" si="122">A104</f>
        <v>2018</v>
      </c>
      <c r="B246">
        <f t="shared" si="122"/>
        <v>23</v>
      </c>
      <c r="C246" s="3">
        <f t="shared" si="122"/>
        <v>31050</v>
      </c>
      <c r="D246" s="3">
        <f t="shared" si="122"/>
        <v>931.5</v>
      </c>
      <c r="E246" s="3">
        <f t="shared" si="122"/>
        <v>10</v>
      </c>
      <c r="F246" s="3">
        <f t="shared" si="122"/>
        <v>3105</v>
      </c>
      <c r="G246" s="3">
        <f t="shared" si="122"/>
        <v>35086.5</v>
      </c>
    </row>
    <row r="247" spans="1:7">
      <c r="A247">
        <f t="shared" ref="A247:G247" si="123">A105</f>
        <v>2019</v>
      </c>
      <c r="B247">
        <f t="shared" si="123"/>
        <v>23</v>
      </c>
      <c r="C247" s="3">
        <f t="shared" si="123"/>
        <v>31050</v>
      </c>
      <c r="D247" s="3">
        <f t="shared" si="123"/>
        <v>931.5</v>
      </c>
      <c r="E247" s="3">
        <f t="shared" si="123"/>
        <v>10</v>
      </c>
      <c r="F247" s="3">
        <f t="shared" si="123"/>
        <v>3105</v>
      </c>
      <c r="G247" s="3">
        <f t="shared" si="123"/>
        <v>35086.5</v>
      </c>
    </row>
    <row r="248" spans="1:7">
      <c r="A248">
        <f t="shared" ref="A248:G248" si="124">A106</f>
        <v>2020</v>
      </c>
      <c r="B248">
        <f t="shared" si="124"/>
        <v>23</v>
      </c>
      <c r="C248" s="3">
        <f t="shared" si="124"/>
        <v>31050</v>
      </c>
      <c r="D248" s="3">
        <f t="shared" si="124"/>
        <v>931.5</v>
      </c>
      <c r="E248" s="3">
        <f t="shared" si="124"/>
        <v>10</v>
      </c>
      <c r="F248" s="3">
        <f t="shared" si="124"/>
        <v>3105</v>
      </c>
      <c r="G248" s="3">
        <f t="shared" si="124"/>
        <v>35086.5</v>
      </c>
    </row>
    <row r="249" spans="1:7">
      <c r="A249">
        <f t="shared" ref="A249:G249" si="125">A107</f>
        <v>2021</v>
      </c>
      <c r="B249">
        <f t="shared" si="125"/>
        <v>23</v>
      </c>
      <c r="C249" s="3">
        <f t="shared" si="125"/>
        <v>31050</v>
      </c>
      <c r="D249" s="3">
        <f t="shared" si="125"/>
        <v>931.5</v>
      </c>
      <c r="E249" s="3">
        <f t="shared" si="125"/>
        <v>10</v>
      </c>
      <c r="F249" s="3">
        <f t="shared" si="125"/>
        <v>3105</v>
      </c>
      <c r="G249" s="3">
        <f t="shared" si="125"/>
        <v>35086.5</v>
      </c>
    </row>
    <row r="250" spans="1:7">
      <c r="A250">
        <f t="shared" ref="A250:G250" si="126">A108</f>
        <v>2022</v>
      </c>
      <c r="B250">
        <f t="shared" si="126"/>
        <v>23</v>
      </c>
      <c r="C250" s="3">
        <f t="shared" si="126"/>
        <v>31050</v>
      </c>
      <c r="D250" s="3">
        <f t="shared" si="126"/>
        <v>931.5</v>
      </c>
      <c r="E250" s="3">
        <f t="shared" si="126"/>
        <v>10</v>
      </c>
      <c r="F250" s="3">
        <f t="shared" si="126"/>
        <v>3105</v>
      </c>
      <c r="G250" s="3">
        <f t="shared" si="126"/>
        <v>35086.5</v>
      </c>
    </row>
    <row r="251" spans="1:7">
      <c r="A251">
        <f t="shared" ref="A251:G251" si="127">A109</f>
        <v>2023</v>
      </c>
      <c r="B251">
        <f t="shared" si="127"/>
        <v>23</v>
      </c>
      <c r="C251" s="3">
        <f t="shared" si="127"/>
        <v>31050</v>
      </c>
      <c r="D251" s="3">
        <f t="shared" si="127"/>
        <v>931.5</v>
      </c>
      <c r="E251" s="3">
        <f t="shared" si="127"/>
        <v>10</v>
      </c>
      <c r="F251" s="3">
        <f t="shared" si="127"/>
        <v>3105</v>
      </c>
      <c r="G251" s="3">
        <f t="shared" si="127"/>
        <v>35086.5</v>
      </c>
    </row>
    <row r="252" spans="1:7">
      <c r="A252">
        <f t="shared" ref="A252:G252" si="128">A110</f>
        <v>2024</v>
      </c>
      <c r="B252">
        <f t="shared" si="128"/>
        <v>23</v>
      </c>
      <c r="C252" s="3">
        <f t="shared" si="128"/>
        <v>31050</v>
      </c>
      <c r="D252" s="3">
        <f t="shared" si="128"/>
        <v>931.5</v>
      </c>
      <c r="E252" s="3">
        <f t="shared" si="128"/>
        <v>10</v>
      </c>
      <c r="F252" s="3">
        <f t="shared" si="128"/>
        <v>3105</v>
      </c>
      <c r="G252" s="3">
        <f t="shared" si="128"/>
        <v>35086.5</v>
      </c>
    </row>
    <row r="253" spans="1:7">
      <c r="A253">
        <f t="shared" ref="A253:G253" si="129">A111</f>
        <v>2025</v>
      </c>
      <c r="B253">
        <f t="shared" si="129"/>
        <v>23</v>
      </c>
      <c r="C253" s="3">
        <f t="shared" si="129"/>
        <v>31050</v>
      </c>
      <c r="D253" s="3">
        <f t="shared" si="129"/>
        <v>931.5</v>
      </c>
      <c r="E253" s="3">
        <f t="shared" si="129"/>
        <v>10</v>
      </c>
      <c r="F253" s="3">
        <f t="shared" si="129"/>
        <v>3105</v>
      </c>
      <c r="G253" s="3">
        <f t="shared" si="129"/>
        <v>35086.5</v>
      </c>
    </row>
    <row r="254" spans="1:7">
      <c r="A254">
        <f t="shared" ref="A254:G254" si="130">A112</f>
        <v>2026</v>
      </c>
      <c r="B254">
        <f t="shared" si="130"/>
        <v>23</v>
      </c>
      <c r="C254" s="3">
        <f t="shared" si="130"/>
        <v>31050</v>
      </c>
      <c r="D254" s="3">
        <f t="shared" si="130"/>
        <v>931.5</v>
      </c>
      <c r="E254" s="3">
        <f t="shared" si="130"/>
        <v>10</v>
      </c>
      <c r="F254" s="3">
        <f t="shared" si="130"/>
        <v>3105</v>
      </c>
      <c r="G254" s="3">
        <f t="shared" si="130"/>
        <v>35086.5</v>
      </c>
    </row>
    <row r="255" spans="1:7">
      <c r="A255">
        <f t="shared" ref="A255:G255" si="131">A113</f>
        <v>2027</v>
      </c>
      <c r="B255">
        <f t="shared" si="131"/>
        <v>23</v>
      </c>
      <c r="C255" s="3">
        <f t="shared" si="131"/>
        <v>31050</v>
      </c>
      <c r="D255" s="3">
        <f t="shared" si="131"/>
        <v>931.5</v>
      </c>
      <c r="E255" s="3">
        <f t="shared" si="131"/>
        <v>10</v>
      </c>
      <c r="F255" s="3">
        <f t="shared" si="131"/>
        <v>3105</v>
      </c>
      <c r="G255" s="3">
        <f t="shared" si="131"/>
        <v>35086.5</v>
      </c>
    </row>
    <row r="256" spans="1:7">
      <c r="A256">
        <f t="shared" ref="A256:G256" si="132">A114</f>
        <v>2028</v>
      </c>
      <c r="B256">
        <f t="shared" si="132"/>
        <v>23</v>
      </c>
      <c r="C256" s="3">
        <f t="shared" si="132"/>
        <v>31050</v>
      </c>
      <c r="D256" s="3">
        <f t="shared" si="132"/>
        <v>931.5</v>
      </c>
      <c r="E256" s="3">
        <f t="shared" si="132"/>
        <v>10</v>
      </c>
      <c r="F256" s="3">
        <f t="shared" si="132"/>
        <v>3105</v>
      </c>
      <c r="G256" s="3">
        <f t="shared" si="132"/>
        <v>35086.5</v>
      </c>
    </row>
    <row r="257" spans="1:7">
      <c r="A257">
        <f t="shared" ref="A257:G257" si="133">A115</f>
        <v>2029</v>
      </c>
      <c r="B257">
        <f t="shared" si="133"/>
        <v>23</v>
      </c>
      <c r="C257" s="3">
        <f t="shared" si="133"/>
        <v>31050</v>
      </c>
      <c r="D257" s="3">
        <f t="shared" si="133"/>
        <v>931.5</v>
      </c>
      <c r="E257" s="3">
        <f t="shared" si="133"/>
        <v>10</v>
      </c>
      <c r="F257" s="3">
        <f t="shared" si="133"/>
        <v>3105</v>
      </c>
      <c r="G257" s="3">
        <f t="shared" si="133"/>
        <v>35086.5</v>
      </c>
    </row>
    <row r="258" spans="1:7">
      <c r="A258">
        <f t="shared" ref="A258:G258" si="134">A116</f>
        <v>2030</v>
      </c>
      <c r="B258">
        <f t="shared" si="134"/>
        <v>23</v>
      </c>
      <c r="C258" s="3">
        <f t="shared" si="134"/>
        <v>31050</v>
      </c>
      <c r="D258" s="3">
        <f t="shared" si="134"/>
        <v>931.5</v>
      </c>
      <c r="E258" s="3">
        <f t="shared" si="134"/>
        <v>10</v>
      </c>
      <c r="F258" s="3">
        <f t="shared" si="134"/>
        <v>3105</v>
      </c>
      <c r="G258" s="3">
        <f t="shared" si="134"/>
        <v>35086.5</v>
      </c>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workbookViewId="0">
      <selection activeCell="K21" sqref="K21"/>
    </sheetView>
  </sheetViews>
  <sheetFormatPr defaultRowHeight="15"/>
  <cols>
    <col min="1" max="1" width="18.140625" customWidth="1"/>
    <col min="2" max="7" width="13.42578125" customWidth="1"/>
  </cols>
  <sheetData>
    <row r="1" spans="1:7">
      <c r="A1" t="s">
        <v>148</v>
      </c>
    </row>
    <row r="2" spans="1:7" ht="15.75" thickBot="1"/>
    <row r="3" spans="1:7">
      <c r="A3" s="44" t="s">
        <v>149</v>
      </c>
      <c r="B3" s="44"/>
    </row>
    <row r="4" spans="1:7">
      <c r="A4" s="41" t="s">
        <v>150</v>
      </c>
      <c r="B4" s="41">
        <v>0.99956731738917859</v>
      </c>
    </row>
    <row r="5" spans="1:7">
      <c r="A5" s="41" t="s">
        <v>151</v>
      </c>
      <c r="B5" s="41">
        <v>0.99913482199259895</v>
      </c>
    </row>
    <row r="6" spans="1:7">
      <c r="A6" s="41" t="s">
        <v>152</v>
      </c>
      <c r="B6" s="41">
        <v>0.99878875078963847</v>
      </c>
    </row>
    <row r="7" spans="1:7">
      <c r="A7" s="41" t="s">
        <v>153</v>
      </c>
      <c r="B7" s="41">
        <v>3.4713307711140701E-2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2</v>
      </c>
      <c r="C12" s="41">
        <v>6.9579391210206811</v>
      </c>
      <c r="D12" s="41">
        <v>3.4789695605103406</v>
      </c>
      <c r="E12" s="41">
        <v>2887.0787671599433</v>
      </c>
      <c r="F12" s="41">
        <v>2.2017280640661312E-8</v>
      </c>
    </row>
    <row r="13" spans="1:7">
      <c r="A13" s="41" t="s">
        <v>157</v>
      </c>
      <c r="B13" s="41">
        <v>5</v>
      </c>
      <c r="C13" s="41">
        <v>6.0250686612417018E-3</v>
      </c>
      <c r="D13" s="41">
        <v>1.2050137322483403E-3</v>
      </c>
      <c r="E13" s="41"/>
      <c r="F13" s="41"/>
    </row>
    <row r="14" spans="1:7" ht="15.75" thickBot="1">
      <c r="A14" s="42" t="s">
        <v>158</v>
      </c>
      <c r="B14" s="42">
        <v>7</v>
      </c>
      <c r="C14" s="42">
        <v>6.9639641896819224</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-6.6811276947537319</v>
      </c>
      <c r="C17" s="41">
        <v>3.2619777155637346E-2</v>
      </c>
      <c r="D17" s="41">
        <v>-204.81831199754535</v>
      </c>
      <c r="E17" s="41">
        <v>5.2644018750232987E-11</v>
      </c>
      <c r="F17" s="41">
        <v>-6.764979501392518</v>
      </c>
      <c r="G17" s="41">
        <v>-6.5972758881149458</v>
      </c>
    </row>
    <row r="18" spans="1:7">
      <c r="A18" s="41" t="s">
        <v>329</v>
      </c>
      <c r="B18" s="41">
        <v>0.39126053676570616</v>
      </c>
      <c r="C18" s="41">
        <v>5.9364103329558552E-3</v>
      </c>
      <c r="D18" s="41">
        <v>65.908607192065489</v>
      </c>
      <c r="E18" s="41">
        <v>1.5223783739148189E-8</v>
      </c>
      <c r="F18" s="41">
        <v>0.37600050819492609</v>
      </c>
      <c r="G18" s="41">
        <v>0.40652056533648623</v>
      </c>
    </row>
    <row r="19" spans="1:7" ht="15.75" thickBot="1">
      <c r="A19" s="42" t="s">
        <v>1234</v>
      </c>
      <c r="B19" s="42">
        <v>0.22312429143160778</v>
      </c>
      <c r="C19" s="42">
        <v>3.9087932511943792E-2</v>
      </c>
      <c r="D19" s="42">
        <v>5.7082653671546701</v>
      </c>
      <c r="E19" s="42">
        <v>2.3047631828410024E-3</v>
      </c>
      <c r="F19" s="42">
        <v>0.12264556212382691</v>
      </c>
      <c r="G19" s="42">
        <v>0.32360302073938862</v>
      </c>
    </row>
    <row r="41" spans="11:11">
      <c r="K41" t="s">
        <v>1292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D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2" width="9.7109375" customWidth="1"/>
    <col min="3" max="4" width="15.5703125" style="33" customWidth="1"/>
    <col min="5" max="6" width="9.7109375" style="33" customWidth="1"/>
    <col min="7" max="14" width="9.7109375" customWidth="1"/>
    <col min="19" max="19" width="13" customWidth="1"/>
    <col min="29" max="29" width="18.85546875" customWidth="1"/>
    <col min="30" max="30" width="12.140625" customWidth="1"/>
    <col min="31" max="31" width="12" customWidth="1"/>
    <col min="34" max="34" width="17.7109375" customWidth="1"/>
    <col min="41" max="41" width="11.140625" customWidth="1"/>
  </cols>
  <sheetData>
    <row r="1" spans="1:56">
      <c r="G1" s="33"/>
      <c r="H1" s="33"/>
      <c r="I1" s="33"/>
      <c r="R1" s="236" t="s">
        <v>1302</v>
      </c>
      <c r="S1" s="236"/>
      <c r="T1" s="236"/>
      <c r="U1" s="236"/>
      <c r="W1" s="236" t="s">
        <v>1302</v>
      </c>
      <c r="X1" s="236"/>
      <c r="Y1" s="236"/>
      <c r="Z1" s="236"/>
      <c r="BD1" t="s">
        <v>833</v>
      </c>
    </row>
    <row r="2" spans="1:56">
      <c r="B2" t="s">
        <v>539</v>
      </c>
      <c r="C2" s="33" t="s">
        <v>282</v>
      </c>
      <c r="D2"/>
      <c r="E2"/>
      <c r="F2"/>
      <c r="L2" t="s">
        <v>282</v>
      </c>
      <c r="S2" t="s">
        <v>1172</v>
      </c>
      <c r="X2" t="s">
        <v>1184</v>
      </c>
      <c r="AB2" t="s">
        <v>170</v>
      </c>
      <c r="AD2" t="s">
        <v>937</v>
      </c>
      <c r="AE2" t="s">
        <v>170</v>
      </c>
      <c r="AG2" t="s">
        <v>329</v>
      </c>
      <c r="BB2" t="s">
        <v>934</v>
      </c>
      <c r="BC2" t="s">
        <v>850</v>
      </c>
      <c r="BD2" t="s">
        <v>935</v>
      </c>
    </row>
    <row r="3" spans="1:56">
      <c r="B3" s="14" t="s">
        <v>1299</v>
      </c>
      <c r="C3" t="s">
        <v>1301</v>
      </c>
      <c r="D3" t="s">
        <v>1300</v>
      </c>
      <c r="E3" s="87" t="s">
        <v>1137</v>
      </c>
      <c r="F3" s="87" t="s">
        <v>1384</v>
      </c>
      <c r="G3" s="87" t="s">
        <v>1383</v>
      </c>
      <c r="H3" s="87" t="s">
        <v>1382</v>
      </c>
      <c r="I3" s="87" t="s">
        <v>1136</v>
      </c>
      <c r="J3" t="s">
        <v>1163</v>
      </c>
      <c r="L3" s="14" t="s">
        <v>1195</v>
      </c>
      <c r="M3" s="14" t="s">
        <v>1195</v>
      </c>
      <c r="N3" s="14" t="s">
        <v>944</v>
      </c>
      <c r="O3" s="14" t="s">
        <v>1153</v>
      </c>
      <c r="P3" s="14" t="s">
        <v>1152</v>
      </c>
      <c r="S3" s="236" t="s">
        <v>1173</v>
      </c>
      <c r="T3" s="236" t="s">
        <v>1147</v>
      </c>
      <c r="U3" s="236" t="s">
        <v>1174</v>
      </c>
      <c r="X3" s="236" t="s">
        <v>1173</v>
      </c>
      <c r="Y3" s="236" t="s">
        <v>1147</v>
      </c>
      <c r="Z3" s="236" t="s">
        <v>1174</v>
      </c>
      <c r="AB3" t="s">
        <v>1298</v>
      </c>
      <c r="AD3" t="s">
        <v>937</v>
      </c>
      <c r="AE3" t="s">
        <v>1296</v>
      </c>
      <c r="AG3" t="s">
        <v>329</v>
      </c>
      <c r="AH3" t="s">
        <v>1234</v>
      </c>
      <c r="AL3" t="s">
        <v>941</v>
      </c>
      <c r="AM3" t="s">
        <v>942</v>
      </c>
      <c r="AP3" t="s">
        <v>829</v>
      </c>
      <c r="AQ3" t="s">
        <v>896</v>
      </c>
      <c r="BA3">
        <v>2008</v>
      </c>
      <c r="BB3" s="13">
        <f>'Country Petrol Prices'!C11</f>
        <v>120.6</v>
      </c>
      <c r="BC3" s="13">
        <f>CPIs!C47</f>
        <v>97.723985430804774</v>
      </c>
      <c r="BD3" s="13">
        <f>BD4</f>
        <v>1.2980554310690098</v>
      </c>
    </row>
    <row r="4" spans="1:56">
      <c r="A4">
        <v>2009</v>
      </c>
      <c r="B4" s="72">
        <f>'EV %sales'!C67</f>
        <v>1.2530229177891664E-2</v>
      </c>
      <c r="C4" s="20"/>
      <c r="D4"/>
      <c r="E4"/>
      <c r="F4" s="84"/>
      <c r="G4" s="84"/>
      <c r="H4" s="84"/>
      <c r="R4">
        <v>2009</v>
      </c>
      <c r="W4">
        <v>2009</v>
      </c>
      <c r="AB4" s="13">
        <v>0</v>
      </c>
      <c r="AK4">
        <v>2009</v>
      </c>
      <c r="AL4" s="3">
        <f>'EV %sales'!AF50</f>
        <v>319.22800000000001</v>
      </c>
      <c r="AM4" s="12">
        <f t="shared" ref="AM4:AM12" si="0">AB4/100*AL4</f>
        <v>0</v>
      </c>
      <c r="AP4" s="13">
        <f>BD3</f>
        <v>1.2980554310690098</v>
      </c>
      <c r="AQ4" s="13">
        <f>'Global EV uptake'!B60</f>
        <v>9.0944063654437145E-3</v>
      </c>
      <c r="AS4" s="13"/>
      <c r="AZ4" s="13"/>
      <c r="BA4">
        <v>2009</v>
      </c>
      <c r="BB4" s="13">
        <f>'Country Petrol Prices'!C12</f>
        <v>104.3</v>
      </c>
      <c r="BC4" s="13">
        <f>CPIs!C48</f>
        <v>98.218771155095567</v>
      </c>
      <c r="BD4" s="13">
        <f>'Country Vehicle Prices'!C81</f>
        <v>1.2980554310690098</v>
      </c>
    </row>
    <row r="5" spans="1:56">
      <c r="A5">
        <v>2010</v>
      </c>
      <c r="B5" s="72">
        <f>'EV %sales'!C68</f>
        <v>3.4144988155957234E-2</v>
      </c>
      <c r="C5" s="20"/>
      <c r="D5"/>
      <c r="E5"/>
      <c r="F5" s="230"/>
      <c r="G5" s="230"/>
      <c r="H5" s="230"/>
      <c r="R5">
        <v>2010</v>
      </c>
      <c r="W5">
        <v>2010</v>
      </c>
      <c r="AB5" s="13">
        <f>65*EXP(AE5)/(1+EXP(AE5))</f>
        <v>0.1203521589427423</v>
      </c>
      <c r="AD5">
        <f>LN(B5/(65-B5))</f>
        <v>-7.5510012878072414</v>
      </c>
      <c r="AE5" s="33">
        <f t="shared" ref="AE5:AE50" si="1">T$56+T$57*AG5+T$58*AH5</f>
        <v>-6.2898671579880254</v>
      </c>
      <c r="AG5">
        <v>1</v>
      </c>
      <c r="AH5">
        <v>0</v>
      </c>
      <c r="AK5">
        <v>2010</v>
      </c>
      <c r="AL5" s="3">
        <f>'EV %sales'!AF51</f>
        <v>328.01299999999998</v>
      </c>
      <c r="AM5" s="12">
        <f t="shared" si="0"/>
        <v>0.39477072711285727</v>
      </c>
      <c r="AP5" s="13">
        <f t="shared" ref="AP5:AP25" si="2">BD4</f>
        <v>1.2980554310690098</v>
      </c>
      <c r="AQ5" s="13">
        <f>'Global EV uptake'!B61</f>
        <v>1.6964627629336562E-2</v>
      </c>
      <c r="AS5" s="13"/>
      <c r="AZ5" s="13"/>
      <c r="BA5">
        <v>2010</v>
      </c>
      <c r="BB5" s="13">
        <f>'Country Petrol Prices'!C13</f>
        <v>118.7</v>
      </c>
      <c r="BC5" s="13">
        <f>CPIs!C49</f>
        <v>100</v>
      </c>
      <c r="BD5" s="13">
        <f>'Country Vehicle Prices'!C82</f>
        <v>1.3114016058662419</v>
      </c>
    </row>
    <row r="6" spans="1:56">
      <c r="A6">
        <v>2011</v>
      </c>
      <c r="B6" s="72">
        <f>'EV %sales'!C69</f>
        <v>0.17717552450694102</v>
      </c>
      <c r="C6" s="20"/>
      <c r="D6"/>
      <c r="E6"/>
      <c r="F6" s="230"/>
      <c r="G6" s="230"/>
      <c r="H6" s="230"/>
      <c r="R6">
        <v>2011</v>
      </c>
      <c r="W6">
        <v>2011</v>
      </c>
      <c r="AB6" s="13">
        <f t="shared" ref="AB6:AB50" si="3">65*EXP(AE6)/(1+EXP(AE6))</f>
        <v>0.17782437732109599</v>
      </c>
      <c r="AD6">
        <f>LN(B6/(65-B6))</f>
        <v>-5.9022721448011248</v>
      </c>
      <c r="AE6" s="33">
        <f t="shared" si="1"/>
        <v>-5.8986066212223198</v>
      </c>
      <c r="AG6">
        <v>2</v>
      </c>
      <c r="AH6">
        <v>0</v>
      </c>
      <c r="AK6">
        <v>2011</v>
      </c>
      <c r="AL6" s="3">
        <f>'EV %sales'!AF52</f>
        <v>356.14400000000001</v>
      </c>
      <c r="AM6" s="12">
        <f t="shared" si="0"/>
        <v>0.63331085036644419</v>
      </c>
      <c r="AP6" s="13">
        <f t="shared" si="2"/>
        <v>1.3114016058662419</v>
      </c>
      <c r="AQ6" s="13">
        <f>'Global EV uptake'!B62</f>
        <v>0.10234351891729328</v>
      </c>
      <c r="AS6" s="13"/>
      <c r="AZ6" s="13"/>
      <c r="BA6">
        <v>2011</v>
      </c>
      <c r="BB6" s="13">
        <f>'Country Petrol Prices'!C14</f>
        <v>135.74081632653059</v>
      </c>
      <c r="BC6" s="13">
        <f>CPIs!C50</f>
        <v>103.26694488525391</v>
      </c>
      <c r="BD6" s="13">
        <f>'Country Vehicle Prices'!C83</f>
        <v>1.3153964091869899</v>
      </c>
    </row>
    <row r="7" spans="1:56">
      <c r="A7">
        <v>2012</v>
      </c>
      <c r="B7" s="72">
        <f>'EV %sales'!C70</f>
        <v>0.20654147198000058</v>
      </c>
      <c r="C7" s="13">
        <f t="shared" ref="C7:C12" si="4">AB7</f>
        <v>0.26263042390584534</v>
      </c>
      <c r="D7" s="84">
        <f>65*EXP(E7)/(1+EXP(E7))</f>
        <v>0.26263042390584534</v>
      </c>
      <c r="E7" s="84">
        <f t="shared" ref="E7:E14" si="5">J7</f>
        <v>-5.5073460844566133</v>
      </c>
      <c r="F7" s="13">
        <f>I7*G7</f>
        <v>0</v>
      </c>
      <c r="G7" s="13">
        <f>IF(H7&lt;0,0,H7)</f>
        <v>1</v>
      </c>
      <c r="H7" s="13">
        <f>IF((P7-0.6)/0.3&gt;1,1,(P7-0.6)/0.3)</f>
        <v>1</v>
      </c>
      <c r="I7" s="13">
        <v>0</v>
      </c>
      <c r="J7" s="13">
        <f>LN(L7/(65-L7))</f>
        <v>-5.5073460844566133</v>
      </c>
      <c r="K7" s="13"/>
      <c r="L7" s="84">
        <f t="shared" ref="L7:L12" si="6">M7</f>
        <v>0.26263042390584534</v>
      </c>
      <c r="M7" s="13">
        <f t="shared" ref="M7:M50" si="7">LOOKUP(ROUND(N7,0),A$4:A$50,AB$4:AB$50)</f>
        <v>0.26263042390584534</v>
      </c>
      <c r="N7" s="13">
        <f t="shared" ref="N7:N50" si="8">A7-(O7-O$7)</f>
        <v>2012</v>
      </c>
      <c r="O7" s="13">
        <f t="shared" ref="O7:O50" si="9">P$56+P$57*P7+P$69</f>
        <v>2016.624927859019</v>
      </c>
      <c r="P7" s="13">
        <f>1/Austria!R79</f>
        <v>1.0567470004507533</v>
      </c>
      <c r="Q7" s="13"/>
      <c r="R7">
        <v>2012</v>
      </c>
      <c r="S7" s="13">
        <v>0.26263042390584534</v>
      </c>
      <c r="T7" s="13">
        <v>0.26263042390584534</v>
      </c>
      <c r="U7" s="13">
        <v>0.26263042390584534</v>
      </c>
      <c r="W7">
        <v>2012</v>
      </c>
      <c r="X7" s="13">
        <v>0.26263042390584534</v>
      </c>
      <c r="Y7" s="13">
        <f>T7</f>
        <v>0.26263042390584534</v>
      </c>
      <c r="Z7" s="13">
        <v>0.26263042390584534</v>
      </c>
      <c r="AA7" s="13"/>
      <c r="AB7" s="13">
        <f t="shared" si="3"/>
        <v>0.26263042390584534</v>
      </c>
      <c r="AD7" s="20">
        <f>AD6+(AD9-AD6)/3</f>
        <v>-5.5154308229815339</v>
      </c>
      <c r="AE7" s="33">
        <f t="shared" si="1"/>
        <v>-5.5073460844566133</v>
      </c>
      <c r="AG7">
        <v>3</v>
      </c>
      <c r="AH7">
        <v>0</v>
      </c>
      <c r="AK7">
        <v>2012</v>
      </c>
      <c r="AL7" s="3">
        <f>'EV %sales'!AF53</f>
        <v>336.01</v>
      </c>
      <c r="AM7" s="12">
        <f t="shared" si="0"/>
        <v>0.88246448736603089</v>
      </c>
      <c r="AP7" s="13">
        <f t="shared" si="2"/>
        <v>1.3153964091869899</v>
      </c>
      <c r="AQ7" s="13">
        <f>'Global EV uptake'!B63</f>
        <v>0.23522435592921317</v>
      </c>
      <c r="AS7" s="13"/>
      <c r="AZ7" s="13"/>
      <c r="BA7">
        <v>2012</v>
      </c>
      <c r="BB7" s="13">
        <f>'Country Petrol Prices'!C15</f>
        <v>144.97755102040816</v>
      </c>
      <c r="BC7" s="13">
        <f>CPIs!C51</f>
        <v>105.83381652832031</v>
      </c>
      <c r="BD7" s="13">
        <f>'Country Vehicle Prices'!C84</f>
        <v>1.3450710200945637</v>
      </c>
    </row>
    <row r="8" spans="1:56">
      <c r="A8">
        <v>2013</v>
      </c>
      <c r="B8" s="72">
        <f>'EV %sales'!C71</f>
        <v>0.26266710548999328</v>
      </c>
      <c r="C8" s="13">
        <f t="shared" si="4"/>
        <v>0.38763937622394484</v>
      </c>
      <c r="D8" s="84">
        <f t="shared" ref="D8:D50" si="10">65*EXP(E8)/(1+EXP(E8))</f>
        <v>0.38763937622394484</v>
      </c>
      <c r="E8" s="84">
        <f t="shared" si="5"/>
        <v>-5.1160855476909077</v>
      </c>
      <c r="F8" s="13">
        <f t="shared" ref="F8:F50" si="11">I8*G8</f>
        <v>0</v>
      </c>
      <c r="G8" s="13">
        <f t="shared" ref="G8:G50" si="12">IF(H8&lt;0,0,H8)</f>
        <v>1</v>
      </c>
      <c r="H8" s="13">
        <f t="shared" ref="H8:H50" si="13">IF((P8-0.6)/0.3&gt;1,1,(P8-0.6)/0.3)</f>
        <v>1</v>
      </c>
      <c r="I8" s="13">
        <v>0</v>
      </c>
      <c r="J8" s="13">
        <f t="shared" ref="J8:J50" si="14">LN(L8/(65-L8))</f>
        <v>-5.1160855476909077</v>
      </c>
      <c r="K8" s="13"/>
      <c r="L8" s="84">
        <f t="shared" si="6"/>
        <v>0.38763937622394484</v>
      </c>
      <c r="M8" s="13">
        <f t="shared" si="7"/>
        <v>0.38763937622394484</v>
      </c>
      <c r="N8" s="13">
        <f t="shared" si="8"/>
        <v>2012.7990086851139</v>
      </c>
      <c r="O8" s="13">
        <f t="shared" si="9"/>
        <v>2016.825919173905</v>
      </c>
      <c r="P8" s="13">
        <f>1/Austria!R80</f>
        <v>1.0753850848394806</v>
      </c>
      <c r="Q8" s="13"/>
      <c r="R8">
        <v>2013</v>
      </c>
      <c r="S8" s="13">
        <v>0.38763937622394484</v>
      </c>
      <c r="T8" s="13">
        <v>0.38763937622394484</v>
      </c>
      <c r="U8" s="13">
        <v>0.38763937622394484</v>
      </c>
      <c r="W8">
        <v>2013</v>
      </c>
      <c r="X8" s="13">
        <v>0.38763937622394484</v>
      </c>
      <c r="Y8" s="13">
        <f t="shared" ref="Y8:Y45" si="15">T8</f>
        <v>0.38763937622394484</v>
      </c>
      <c r="Z8" s="13">
        <v>0.38763937622394484</v>
      </c>
      <c r="AA8" s="13"/>
      <c r="AB8" s="13">
        <f t="shared" si="3"/>
        <v>0.38763937622394484</v>
      </c>
      <c r="AD8" s="20">
        <f>AD7+(AD9-AD6)/3</f>
        <v>-5.1285895011619429</v>
      </c>
      <c r="AE8" s="33">
        <f t="shared" si="1"/>
        <v>-5.1160855476909077</v>
      </c>
      <c r="AG8">
        <v>4</v>
      </c>
      <c r="AH8">
        <v>0</v>
      </c>
      <c r="AK8">
        <v>2013</v>
      </c>
      <c r="AL8" s="3">
        <f>'EV %sales'!AF54</f>
        <v>319.03500000000003</v>
      </c>
      <c r="AM8" s="12">
        <f t="shared" si="0"/>
        <v>1.2367052839360624</v>
      </c>
      <c r="AP8" s="13">
        <f t="shared" si="2"/>
        <v>1.3450710200945637</v>
      </c>
      <c r="AQ8" s="13">
        <f>'Global EV uptake'!B64</f>
        <v>0.38403986642724675</v>
      </c>
      <c r="AS8" s="13"/>
      <c r="AU8" s="41" t="s">
        <v>159</v>
      </c>
      <c r="AV8" s="41">
        <v>0.18518373137294919</v>
      </c>
      <c r="AZ8" s="13"/>
      <c r="BA8">
        <v>2013</v>
      </c>
      <c r="BB8" s="13">
        <f>'Country Petrol Prices'!C16</f>
        <v>139.2979591836735</v>
      </c>
      <c r="BC8" s="13">
        <f>CPIs!C52</f>
        <v>107.95066070556641</v>
      </c>
      <c r="BD8" s="13">
        <f>'Country Vehicle Prices'!C85</f>
        <v>1.3604872743374117</v>
      </c>
    </row>
    <row r="9" spans="1:56">
      <c r="A9">
        <v>2014</v>
      </c>
      <c r="B9" s="72">
        <f>'EV %sales'!C72</f>
        <v>0.56211632675937462</v>
      </c>
      <c r="C9" s="13">
        <f t="shared" si="4"/>
        <v>0.57162569563598153</v>
      </c>
      <c r="D9" s="84">
        <f t="shared" si="10"/>
        <v>0.38763937622394484</v>
      </c>
      <c r="E9" s="84">
        <f t="shared" si="5"/>
        <v>-5.1160855476909077</v>
      </c>
      <c r="F9" s="13">
        <f t="shared" si="11"/>
        <v>0</v>
      </c>
      <c r="G9" s="13">
        <f t="shared" si="12"/>
        <v>1</v>
      </c>
      <c r="H9" s="13">
        <f t="shared" si="13"/>
        <v>1</v>
      </c>
      <c r="I9" s="13">
        <v>0</v>
      </c>
      <c r="J9" s="13">
        <f t="shared" si="14"/>
        <v>-5.1160855476909077</v>
      </c>
      <c r="K9" s="13"/>
      <c r="L9" s="84">
        <f t="shared" si="6"/>
        <v>0.38763937622394484</v>
      </c>
      <c r="M9" s="13">
        <f t="shared" si="7"/>
        <v>0.38763937622394484</v>
      </c>
      <c r="N9" s="13">
        <f t="shared" si="8"/>
        <v>2012.7578409848841</v>
      </c>
      <c r="O9" s="13">
        <f t="shared" si="9"/>
        <v>2017.8670868741349</v>
      </c>
      <c r="P9" s="13">
        <f>1/Austria!R81</f>
        <v>1.1719333932611951</v>
      </c>
      <c r="Q9" s="13"/>
      <c r="R9">
        <v>2014</v>
      </c>
      <c r="S9" s="13">
        <v>0.57162569563598153</v>
      </c>
      <c r="T9" s="13">
        <v>0.57162569563598153</v>
      </c>
      <c r="U9" s="13">
        <v>0.57162569563598153</v>
      </c>
      <c r="W9">
        <v>2014</v>
      </c>
      <c r="X9" s="13">
        <v>0.57162569563598153</v>
      </c>
      <c r="Y9" s="13">
        <f t="shared" si="15"/>
        <v>0.57162569563598153</v>
      </c>
      <c r="Z9" s="13">
        <v>0.57162569563598153</v>
      </c>
      <c r="AA9" s="13"/>
      <c r="AB9" s="13">
        <f t="shared" si="3"/>
        <v>0.57162569563598153</v>
      </c>
      <c r="AD9">
        <f>LN(B9/(65-B9))</f>
        <v>-4.7417481793423519</v>
      </c>
      <c r="AE9" s="33">
        <f t="shared" si="1"/>
        <v>-4.7248250109252012</v>
      </c>
      <c r="AG9">
        <v>5</v>
      </c>
      <c r="AH9">
        <v>0</v>
      </c>
      <c r="AK9">
        <v>2014</v>
      </c>
      <c r="AL9" s="3">
        <f>'EV %sales'!AF55</f>
        <v>303.31799999999998</v>
      </c>
      <c r="AM9" s="12">
        <f t="shared" si="0"/>
        <v>1.7338436274891464</v>
      </c>
      <c r="AP9" s="13">
        <f t="shared" si="2"/>
        <v>1.3604872743374117</v>
      </c>
      <c r="AQ9" s="13">
        <f>'Global EV uptake'!B65</f>
        <v>0.57247293705754376</v>
      </c>
      <c r="AS9" s="13"/>
      <c r="AU9" t="s">
        <v>829</v>
      </c>
      <c r="AV9" s="41">
        <v>-0.25420100846810906</v>
      </c>
      <c r="AZ9" s="13"/>
      <c r="BA9">
        <v>2014</v>
      </c>
      <c r="BB9" s="13">
        <f>'Country Petrol Prices'!C17</f>
        <v>134.96938775510205</v>
      </c>
      <c r="BC9" s="13">
        <f>CPIs!C53</f>
        <v>109.68414306640625</v>
      </c>
      <c r="BD9" s="13">
        <f>'Country Vehicle Prices'!C86</f>
        <v>1.46118833860523</v>
      </c>
    </row>
    <row r="10" spans="1:56" ht="15.75" thickBot="1">
      <c r="A10">
        <v>2015</v>
      </c>
      <c r="B10" s="72">
        <f>'EV %sales'!C73</f>
        <v>0.90032571178558107</v>
      </c>
      <c r="C10" s="13">
        <f t="shared" si="4"/>
        <v>0.84180021336470912</v>
      </c>
      <c r="D10" s="84">
        <f t="shared" si="10"/>
        <v>0.84180021336470912</v>
      </c>
      <c r="E10" s="84">
        <f t="shared" si="5"/>
        <v>-4.3335644741594948</v>
      </c>
      <c r="F10" s="13">
        <f t="shared" si="11"/>
        <v>0</v>
      </c>
      <c r="G10" s="13">
        <f t="shared" si="12"/>
        <v>1</v>
      </c>
      <c r="H10" s="13">
        <f t="shared" si="13"/>
        <v>1</v>
      </c>
      <c r="I10" s="13">
        <v>0</v>
      </c>
      <c r="J10" s="13">
        <f t="shared" si="14"/>
        <v>-4.3335644741594948</v>
      </c>
      <c r="K10" s="13"/>
      <c r="L10" s="84">
        <f t="shared" si="6"/>
        <v>0.84180021336470912</v>
      </c>
      <c r="M10" s="13">
        <f t="shared" si="7"/>
        <v>0.84180021336470912</v>
      </c>
      <c r="N10" s="13">
        <f t="shared" si="8"/>
        <v>2014.8135712139729</v>
      </c>
      <c r="O10" s="13">
        <f t="shared" si="9"/>
        <v>2016.8113566450461</v>
      </c>
      <c r="P10" s="13">
        <f>1/Austria!R82</f>
        <v>1.0740346899632636</v>
      </c>
      <c r="Q10" s="13"/>
      <c r="R10">
        <v>2015</v>
      </c>
      <c r="S10" s="13">
        <v>0.84180021336470912</v>
      </c>
      <c r="T10" s="13">
        <v>0.84180021336470912</v>
      </c>
      <c r="U10" s="13">
        <v>0.84180021336470912</v>
      </c>
      <c r="W10">
        <v>2015</v>
      </c>
      <c r="X10" s="13">
        <v>0.84180021336470912</v>
      </c>
      <c r="Y10" s="13">
        <f t="shared" si="15"/>
        <v>0.84180021336470912</v>
      </c>
      <c r="Z10" s="13">
        <v>0.84180021336470912</v>
      </c>
      <c r="AA10" s="13"/>
      <c r="AB10" s="13">
        <f>65*EXP(AE10)/(1+EXP(AE10))</f>
        <v>0.84180021336470912</v>
      </c>
      <c r="AD10">
        <f>LN(B10/(65-B10))</f>
        <v>-4.2654379617511822</v>
      </c>
      <c r="AE10" s="33">
        <f t="shared" si="1"/>
        <v>-4.3335644741594948</v>
      </c>
      <c r="AG10">
        <v>6</v>
      </c>
      <c r="AH10">
        <v>0</v>
      </c>
      <c r="AK10">
        <v>2015</v>
      </c>
      <c r="AL10" s="3">
        <f>'EV %sales'!AF56</f>
        <v>308.55500000000001</v>
      </c>
      <c r="AM10" s="12">
        <f t="shared" si="0"/>
        <v>2.5974166483474783</v>
      </c>
      <c r="AP10" s="13">
        <f t="shared" si="2"/>
        <v>1.46118833860523</v>
      </c>
      <c r="AQ10" s="13">
        <f>'Global EV uptake'!B66</f>
        <v>0.90247796151091464</v>
      </c>
      <c r="AS10" s="13"/>
      <c r="AU10" t="s">
        <v>896</v>
      </c>
      <c r="AV10" s="42">
        <v>1.3208853740489046</v>
      </c>
      <c r="AZ10" s="13"/>
      <c r="BA10">
        <v>2015</v>
      </c>
      <c r="BB10" s="13">
        <f>'Country Petrol Prices'!C18</f>
        <v>120.20816326530613</v>
      </c>
      <c r="BC10" s="13">
        <f>CPIs!C54</f>
        <v>110.66753387451172</v>
      </c>
      <c r="BD10" s="13">
        <f>'Country Vehicle Prices'!C87</f>
        <v>1.3043218911226606</v>
      </c>
    </row>
    <row r="11" spans="1:56" ht="15.75" thickBot="1">
      <c r="A11">
        <v>2016</v>
      </c>
      <c r="B11" s="72">
        <f>'EV %sales'!C74</f>
        <v>1.5360857271149624</v>
      </c>
      <c r="C11" s="13">
        <f t="shared" si="4"/>
        <v>1.5391698634286424</v>
      </c>
      <c r="D11" s="84">
        <f t="shared" si="10"/>
        <v>0.84180021336470912</v>
      </c>
      <c r="E11" s="84">
        <f t="shared" si="5"/>
        <v>-4.3335644741594948</v>
      </c>
      <c r="F11" s="13">
        <f t="shared" si="11"/>
        <v>0</v>
      </c>
      <c r="G11" s="13">
        <f t="shared" si="12"/>
        <v>1</v>
      </c>
      <c r="H11" s="13">
        <f t="shared" si="13"/>
        <v>1</v>
      </c>
      <c r="I11" s="13">
        <v>0</v>
      </c>
      <c r="J11" s="13">
        <f t="shared" si="14"/>
        <v>-4.3335644741594948</v>
      </c>
      <c r="K11" s="13"/>
      <c r="L11" s="84">
        <f t="shared" si="6"/>
        <v>0.84180021336470912</v>
      </c>
      <c r="M11" s="13">
        <f t="shared" si="7"/>
        <v>0.84180021336470912</v>
      </c>
      <c r="N11" s="13">
        <f t="shared" si="8"/>
        <v>2014.663415838821</v>
      </c>
      <c r="O11" s="13">
        <f t="shared" si="9"/>
        <v>2017.9615120201979</v>
      </c>
      <c r="P11" s="13">
        <f>1/Austria!R83</f>
        <v>1.1806895121101073</v>
      </c>
      <c r="Q11" s="13"/>
      <c r="R11">
        <v>2016</v>
      </c>
      <c r="S11" s="13">
        <v>1.5391698634286424</v>
      </c>
      <c r="T11" s="13">
        <v>1.5391698634286424</v>
      </c>
      <c r="U11" s="13">
        <v>1.5391698634286424</v>
      </c>
      <c r="W11">
        <v>2016</v>
      </c>
      <c r="X11" s="13">
        <v>1.5391698634286424</v>
      </c>
      <c r="Y11" s="13">
        <f t="shared" si="15"/>
        <v>1.5391698634286424</v>
      </c>
      <c r="Z11" s="13">
        <v>1.5391698634286424</v>
      </c>
      <c r="AA11" s="13"/>
      <c r="AB11" s="13">
        <f t="shared" si="3"/>
        <v>1.5391698634286424</v>
      </c>
      <c r="AD11">
        <f>LN(B11/(65-B11))</f>
        <v>-3.7212340201078189</v>
      </c>
      <c r="AE11" s="33">
        <f t="shared" si="1"/>
        <v>-3.7191796459621811</v>
      </c>
      <c r="AG11">
        <v>7</v>
      </c>
      <c r="AH11">
        <v>1</v>
      </c>
      <c r="AK11">
        <v>2016</v>
      </c>
      <c r="AL11" s="3">
        <f>'EV %sales'!AF57</f>
        <v>329.60399999999998</v>
      </c>
      <c r="AM11" s="12">
        <f t="shared" si="0"/>
        <v>5.0731654366553425</v>
      </c>
      <c r="AP11" s="13">
        <f t="shared" si="2"/>
        <v>1.3043218911226606</v>
      </c>
      <c r="AQ11" s="13">
        <f>'Global EV uptake'!B67</f>
        <v>1.1362386310898671</v>
      </c>
      <c r="AS11" s="13"/>
      <c r="AV11" s="42"/>
      <c r="AZ11" s="13"/>
      <c r="BA11">
        <v>2016</v>
      </c>
      <c r="BB11" s="13">
        <f>'Country Petrol Prices'!C19</f>
        <v>111.14200000000001</v>
      </c>
      <c r="BC11" s="13">
        <f>CPIs!C55</f>
        <v>111.65423583984375</v>
      </c>
      <c r="BD11" s="13">
        <f>'Country Vehicle Prices'!C88</f>
        <v>1.3054407650045763</v>
      </c>
    </row>
    <row r="12" spans="1:56" ht="15.75" thickBot="1">
      <c r="A12">
        <v>2017</v>
      </c>
      <c r="B12" s="72">
        <f>'EV %sales'!C75</f>
        <v>2.0212750928842866</v>
      </c>
      <c r="C12" s="13">
        <f t="shared" si="4"/>
        <v>2.020466751119709</v>
      </c>
      <c r="D12" s="84">
        <f>65*EXP(E12)/(1+EXP(E12))</f>
        <v>2.020466751119709</v>
      </c>
      <c r="E12" s="84">
        <f t="shared" si="5"/>
        <v>-3.4394812549122786</v>
      </c>
      <c r="F12" s="13">
        <f t="shared" si="11"/>
        <v>0</v>
      </c>
      <c r="G12" s="13">
        <f t="shared" si="12"/>
        <v>1</v>
      </c>
      <c r="H12" s="13">
        <f t="shared" si="13"/>
        <v>1</v>
      </c>
      <c r="I12" s="13">
        <v>0</v>
      </c>
      <c r="J12" s="13">
        <f t="shared" si="14"/>
        <v>-3.4394812549122786</v>
      </c>
      <c r="K12" s="13"/>
      <c r="L12" s="84">
        <f t="shared" si="6"/>
        <v>2.020466751119709</v>
      </c>
      <c r="M12" s="13">
        <f t="shared" si="7"/>
        <v>2.020466751119709</v>
      </c>
      <c r="N12" s="13">
        <f t="shared" si="8"/>
        <v>2017.2349927746732</v>
      </c>
      <c r="O12" s="13">
        <f t="shared" si="9"/>
        <v>2016.3899350843458</v>
      </c>
      <c r="P12" s="13">
        <f>1/Austria!R84</f>
        <v>1.0349559336696741</v>
      </c>
      <c r="Q12" s="13"/>
      <c r="R12">
        <v>2017</v>
      </c>
      <c r="S12" s="13">
        <v>2.020466751119709</v>
      </c>
      <c r="T12" s="13">
        <v>2.020466751119709</v>
      </c>
      <c r="U12" s="13">
        <v>2.020466751119709</v>
      </c>
      <c r="W12">
        <v>2017</v>
      </c>
      <c r="X12" s="13">
        <v>2.020466751119709</v>
      </c>
      <c r="Y12" s="13">
        <f t="shared" si="15"/>
        <v>2.020466751119709</v>
      </c>
      <c r="Z12" s="13">
        <v>2.020466751119709</v>
      </c>
      <c r="AA12" s="13"/>
      <c r="AB12" s="13">
        <f t="shared" si="3"/>
        <v>2.020466751119709</v>
      </c>
      <c r="AD12">
        <f>LN(B12/(65-B12))</f>
        <v>-3.439068423101233</v>
      </c>
      <c r="AE12" s="33">
        <f t="shared" si="1"/>
        <v>-3.4394812549122786</v>
      </c>
      <c r="AG12">
        <v>8</v>
      </c>
      <c r="AH12">
        <v>0.5</v>
      </c>
      <c r="AK12">
        <v>2017</v>
      </c>
      <c r="AL12" s="3">
        <f>'EV %sales'!AF58</f>
        <v>353.935</v>
      </c>
      <c r="AM12" s="12">
        <f t="shared" si="0"/>
        <v>7.1511389955755424</v>
      </c>
      <c r="AP12" s="13">
        <f t="shared" si="2"/>
        <v>1.3054407650045763</v>
      </c>
      <c r="AQ12" s="13">
        <f>'Global EV uptake'!B68</f>
        <v>1.6633518305579627</v>
      </c>
      <c r="AS12" s="13"/>
      <c r="AV12" s="42"/>
      <c r="AZ12" s="13"/>
      <c r="BA12">
        <v>2017</v>
      </c>
      <c r="BB12" s="13">
        <f>'Country Petrol Prices'!C20</f>
        <v>117.74400000000003</v>
      </c>
      <c r="BC12" s="13">
        <f>CPIs!C56</f>
        <v>113.97664394531249</v>
      </c>
      <c r="BD12" s="13">
        <f>'Country Vehicle Prices'!C89</f>
        <v>1.1505671408207065</v>
      </c>
    </row>
    <row r="13" spans="1:56">
      <c r="A13">
        <v>2018</v>
      </c>
      <c r="B13" s="72">
        <f>'EV %sales'!C76</f>
        <v>2.6402362896921945</v>
      </c>
      <c r="C13" s="13">
        <f>D13</f>
        <v>2.9732896015560768</v>
      </c>
      <c r="D13" s="84">
        <f>65*EXP(E13)/(1+EXP(E13))</f>
        <v>2.9732896015560768</v>
      </c>
      <c r="E13" s="84">
        <f t="shared" si="5"/>
        <v>-3.0378961553311861</v>
      </c>
      <c r="F13" s="13">
        <f t="shared" si="11"/>
        <v>0</v>
      </c>
      <c r="G13" s="13">
        <f t="shared" si="12"/>
        <v>1</v>
      </c>
      <c r="H13" s="13">
        <f t="shared" si="13"/>
        <v>1</v>
      </c>
      <c r="I13" s="13">
        <v>0</v>
      </c>
      <c r="J13" s="13">
        <f t="shared" si="14"/>
        <v>-3.0378961553311861</v>
      </c>
      <c r="K13" s="13"/>
      <c r="L13" s="84">
        <f>AVERAGE(M11:M15)</f>
        <v>2.9732896015560764</v>
      </c>
      <c r="M13" s="13">
        <f t="shared" si="7"/>
        <v>2.6459895790365104</v>
      </c>
      <c r="N13" s="13">
        <f t="shared" si="8"/>
        <v>2018.0845902271826</v>
      </c>
      <c r="O13" s="13">
        <f t="shared" si="9"/>
        <v>2016.5403376318363</v>
      </c>
      <c r="P13" s="13">
        <f>1/Austria!R85</f>
        <v>1.0489028814469772</v>
      </c>
      <c r="Q13" s="13"/>
      <c r="R13">
        <v>2018</v>
      </c>
      <c r="S13" s="13">
        <v>2.9732896015560768</v>
      </c>
      <c r="T13" s="13">
        <v>2.9732896015560768</v>
      </c>
      <c r="U13" s="13">
        <v>2.9732896015560768</v>
      </c>
      <c r="W13">
        <v>2018</v>
      </c>
      <c r="X13" s="13">
        <v>2.3984870415662267</v>
      </c>
      <c r="Y13" s="13">
        <f t="shared" si="15"/>
        <v>2.9732896015560768</v>
      </c>
      <c r="Z13" s="13">
        <v>2.9732896015560768</v>
      </c>
      <c r="AA13" s="13"/>
      <c r="AB13" s="13">
        <f t="shared" si="3"/>
        <v>2.6459895790365104</v>
      </c>
      <c r="AD13">
        <f>LN(B13/(65-B13))</f>
        <v>-3.1620518382353913</v>
      </c>
      <c r="AE13" s="33">
        <f t="shared" si="1"/>
        <v>-3.1597828638623766</v>
      </c>
      <c r="AG13">
        <v>9</v>
      </c>
      <c r="AH13">
        <v>0</v>
      </c>
      <c r="AK13">
        <v>2018</v>
      </c>
      <c r="AP13" s="13">
        <f t="shared" si="2"/>
        <v>1.1505671408207065</v>
      </c>
      <c r="AQ13" s="13">
        <f>'Global EV uptake'!C69</f>
        <v>2.8311667018084488</v>
      </c>
      <c r="AS13" s="13"/>
      <c r="AV13" s="41"/>
      <c r="AZ13" s="13"/>
      <c r="BA13">
        <v>2018</v>
      </c>
      <c r="BB13" s="13"/>
      <c r="BD13" s="13">
        <f>'Country Vehicle Prices'!C90</f>
        <v>1.1758346965568536</v>
      </c>
    </row>
    <row r="14" spans="1:56">
      <c r="A14">
        <v>2019</v>
      </c>
      <c r="B14" s="13"/>
      <c r="C14" s="13">
        <f>D14</f>
        <v>4.3737767511725316</v>
      </c>
      <c r="D14" s="84">
        <f>65*EXP(E14)/(1+EXP(E14))</f>
        <v>4.3737767511725316</v>
      </c>
      <c r="E14" s="84">
        <f t="shared" si="5"/>
        <v>-2.6291006453720427</v>
      </c>
      <c r="F14" s="13">
        <f t="shared" si="11"/>
        <v>0</v>
      </c>
      <c r="G14" s="13">
        <f t="shared" si="12"/>
        <v>1</v>
      </c>
      <c r="H14" s="13">
        <f t="shared" si="13"/>
        <v>1</v>
      </c>
      <c r="I14" s="13">
        <v>0</v>
      </c>
      <c r="J14" s="13">
        <f>LN(L14/(65-L14))</f>
        <v>-2.6291006453720427</v>
      </c>
      <c r="K14" s="13"/>
      <c r="L14" s="84">
        <f>AVERAGE(M12:M16)</f>
        <v>4.3737767511725325</v>
      </c>
      <c r="M14" s="13">
        <f t="shared" si="7"/>
        <v>3.8381890852736973</v>
      </c>
      <c r="N14" s="13">
        <f t="shared" si="8"/>
        <v>2018.7860433160035</v>
      </c>
      <c r="O14" s="13">
        <f t="shared" si="9"/>
        <v>2016.8388845430154</v>
      </c>
      <c r="P14" s="13">
        <f>1/Austria!R86</f>
        <v>1.0765873738227099</v>
      </c>
      <c r="Q14" s="13"/>
      <c r="R14">
        <v>2019</v>
      </c>
      <c r="S14" s="13">
        <v>4.3737767511725316</v>
      </c>
      <c r="T14" s="13">
        <v>4.3737767511725316</v>
      </c>
      <c r="U14" s="13">
        <v>4.3737767511725316</v>
      </c>
      <c r="W14">
        <v>2019</v>
      </c>
      <c r="X14" s="13">
        <v>3.3341274746904364</v>
      </c>
      <c r="Y14" s="13">
        <f t="shared" si="15"/>
        <v>4.3737767511725316</v>
      </c>
      <c r="Z14" s="13">
        <v>4.9982629909848439</v>
      </c>
      <c r="AA14" s="13"/>
      <c r="AB14" s="13">
        <f t="shared" si="3"/>
        <v>3.8381890852736973</v>
      </c>
      <c r="AE14" s="33">
        <f t="shared" si="1"/>
        <v>-2.7685223270966706</v>
      </c>
      <c r="AG14">
        <v>10</v>
      </c>
      <c r="AH14">
        <v>0</v>
      </c>
      <c r="AK14">
        <v>2019</v>
      </c>
      <c r="AP14" s="13">
        <f t="shared" si="2"/>
        <v>1.1758346965568536</v>
      </c>
      <c r="AQ14" s="13">
        <f>'Global EV uptake'!C70</f>
        <v>4.6657433283108087</v>
      </c>
      <c r="AS14" s="13"/>
      <c r="AV14" s="41"/>
      <c r="AZ14" s="13"/>
      <c r="BA14">
        <v>2019</v>
      </c>
      <c r="BD14" s="13">
        <f>'Country Vehicle Prices'!C91</f>
        <v>1.2043967490428082</v>
      </c>
    </row>
    <row r="15" spans="1:56">
      <c r="A15">
        <v>2020</v>
      </c>
      <c r="B15" s="13"/>
      <c r="C15" s="13">
        <f>D15</f>
        <v>5.1340918730190337</v>
      </c>
      <c r="D15" s="84">
        <f>65*EXP(E15)/(1+EXP(E15))</f>
        <v>5.1340918730190337</v>
      </c>
      <c r="E15" s="84">
        <f>J15-SUM(F$7:F15)</f>
        <v>-2.4562042193288138</v>
      </c>
      <c r="F15" s="13">
        <f t="shared" si="11"/>
        <v>0.2</v>
      </c>
      <c r="G15" s="13">
        <f t="shared" si="12"/>
        <v>1</v>
      </c>
      <c r="H15" s="13">
        <f t="shared" si="13"/>
        <v>1</v>
      </c>
      <c r="I15" s="231">
        <v>0.2</v>
      </c>
      <c r="J15" s="13">
        <f t="shared" si="14"/>
        <v>-2.2562042193288137</v>
      </c>
      <c r="K15" s="13"/>
      <c r="L15" s="84">
        <f t="shared" ref="L15:L48" si="16">AVERAGE(M13:M17)</f>
        <v>6.1630168330503015</v>
      </c>
      <c r="M15" s="13">
        <f t="shared" si="7"/>
        <v>5.5200023789857555</v>
      </c>
      <c r="N15" s="13">
        <f t="shared" si="8"/>
        <v>2019.8108974438469</v>
      </c>
      <c r="O15" s="13">
        <f t="shared" si="9"/>
        <v>2016.8140304151721</v>
      </c>
      <c r="P15" s="13">
        <f>1/Austria!R87</f>
        <v>1.0742826307923024</v>
      </c>
      <c r="Q15" s="13"/>
      <c r="R15">
        <v>2020</v>
      </c>
      <c r="S15" s="13">
        <v>5.1340918730190337</v>
      </c>
      <c r="T15" s="13">
        <v>5.1340918730190337</v>
      </c>
      <c r="U15" s="13">
        <v>5.1340918730190337</v>
      </c>
      <c r="W15">
        <v>2020</v>
      </c>
      <c r="X15" s="13">
        <v>3.7301723107907065</v>
      </c>
      <c r="Y15" s="13">
        <f t="shared" si="15"/>
        <v>5.1340918730190337</v>
      </c>
      <c r="Z15" s="13">
        <v>6.3530786471696663</v>
      </c>
      <c r="AA15" s="13"/>
      <c r="AB15" s="13">
        <f t="shared" si="3"/>
        <v>5.5200023789857555</v>
      </c>
      <c r="AE15" s="33">
        <f t="shared" si="1"/>
        <v>-2.3772617903309641</v>
      </c>
      <c r="AG15">
        <v>11</v>
      </c>
      <c r="AH15">
        <v>0</v>
      </c>
      <c r="AK15">
        <v>2020</v>
      </c>
      <c r="AP15" s="13">
        <f t="shared" si="2"/>
        <v>1.2043967490428082</v>
      </c>
      <c r="AQ15" s="13">
        <f>'Global EV uptake'!C71</f>
        <v>7.1311545047818807</v>
      </c>
      <c r="AS15" s="13"/>
      <c r="AV15" s="41"/>
      <c r="AZ15" s="13"/>
      <c r="BA15">
        <v>2020</v>
      </c>
      <c r="BD15" s="13">
        <f>'Country Vehicle Prices'!C92</f>
        <v>1.2008217460236046</v>
      </c>
    </row>
    <row r="16" spans="1:56">
      <c r="A16">
        <v>2021</v>
      </c>
      <c r="B16" s="13"/>
      <c r="C16" s="13">
        <f>AVERAGE(D13:D19)</f>
        <v>6.5300184054192467</v>
      </c>
      <c r="D16" s="84">
        <f t="shared" si="10"/>
        <v>6.053297203413698</v>
      </c>
      <c r="E16" s="84">
        <f>J16-SUM(F$7:F16)</f>
        <v>-2.2760305773271545</v>
      </c>
      <c r="F16" s="13">
        <f t="shared" si="11"/>
        <v>0.2</v>
      </c>
      <c r="G16" s="13">
        <f t="shared" si="12"/>
        <v>1</v>
      </c>
      <c r="H16" s="13">
        <f t="shared" si="13"/>
        <v>1</v>
      </c>
      <c r="I16" s="20">
        <f>I15+(I35-I15)/20</f>
        <v>0.2</v>
      </c>
      <c r="J16" s="13">
        <f t="shared" si="14"/>
        <v>-1.8760305773271544</v>
      </c>
      <c r="K16" s="13"/>
      <c r="L16" s="84">
        <f t="shared" si="16"/>
        <v>8.6349558933061452</v>
      </c>
      <c r="M16" s="13">
        <f t="shared" si="7"/>
        <v>7.8442359614469916</v>
      </c>
      <c r="N16" s="13">
        <f t="shared" si="8"/>
        <v>2021.1174864698392</v>
      </c>
      <c r="O16" s="13">
        <f t="shared" si="9"/>
        <v>2016.5074413891798</v>
      </c>
      <c r="P16" s="13">
        <f>1/Austria!R88</f>
        <v>1.0458523867176248</v>
      </c>
      <c r="Q16" s="13"/>
      <c r="R16">
        <v>2021</v>
      </c>
      <c r="S16" s="13">
        <v>6.8441366574509468</v>
      </c>
      <c r="T16" s="13">
        <v>6.5300184054192467</v>
      </c>
      <c r="U16" s="13">
        <v>6.3131912868352416</v>
      </c>
      <c r="W16">
        <v>2021</v>
      </c>
      <c r="X16" s="13">
        <v>4.3035966666426875</v>
      </c>
      <c r="Y16" s="13">
        <f t="shared" si="15"/>
        <v>6.5300184054192467</v>
      </c>
      <c r="Z16" s="13">
        <v>9.626103892111411</v>
      </c>
      <c r="AA16" s="13"/>
      <c r="AB16" s="13">
        <f t="shared" si="3"/>
        <v>7.8442359614469916</v>
      </c>
      <c r="AE16" s="33">
        <f t="shared" si="1"/>
        <v>-1.9860012535652576</v>
      </c>
      <c r="AG16">
        <v>12</v>
      </c>
      <c r="AH16">
        <v>0</v>
      </c>
      <c r="AK16">
        <v>2021</v>
      </c>
      <c r="AP16" s="13">
        <f t="shared" si="2"/>
        <v>1.2008217460236046</v>
      </c>
      <c r="AQ16" s="13">
        <f>'Global EV uptake'!C72</f>
        <v>10.80906767568065</v>
      </c>
      <c r="AS16" s="13"/>
      <c r="AV16" s="41"/>
      <c r="AZ16" s="13"/>
      <c r="BA16">
        <v>2021</v>
      </c>
      <c r="BD16" s="13">
        <f>'Country Vehicle Prices'!C93</f>
        <v>1.1723877378720866</v>
      </c>
    </row>
    <row r="17" spans="1:56">
      <c r="A17">
        <v>2022</v>
      </c>
      <c r="B17" s="13"/>
      <c r="C17" s="13">
        <f t="shared" ref="C17:C49" si="17">AVERAGE(D14:D20)</f>
        <v>8.0013383234854825</v>
      </c>
      <c r="D17" s="84">
        <f t="shared" si="10"/>
        <v>7.0952617230124311</v>
      </c>
      <c r="E17" s="84">
        <f>J17-SUM(F$7:F17)</f>
        <v>-2.0993720184516693</v>
      </c>
      <c r="F17" s="13">
        <f t="shared" si="11"/>
        <v>0.2</v>
      </c>
      <c r="G17" s="13">
        <f t="shared" si="12"/>
        <v>1</v>
      </c>
      <c r="H17" s="13">
        <f t="shared" si="13"/>
        <v>1</v>
      </c>
      <c r="I17" s="20">
        <f>I16+(I35-I15)/20</f>
        <v>0.2</v>
      </c>
      <c r="J17" s="13">
        <f t="shared" si="14"/>
        <v>-1.499372018451669</v>
      </c>
      <c r="K17" s="13"/>
      <c r="L17" s="84">
        <f t="shared" si="16"/>
        <v>11.8637482408799</v>
      </c>
      <c r="M17" s="13">
        <f t="shared" si="7"/>
        <v>10.96666716050855</v>
      </c>
      <c r="N17" s="13">
        <f t="shared" si="8"/>
        <v>2021.9236842025689</v>
      </c>
      <c r="O17" s="13">
        <f t="shared" si="9"/>
        <v>2016.7012436564501</v>
      </c>
      <c r="P17" s="13">
        <f>1/Austria!R89</f>
        <v>1.0638238250066905</v>
      </c>
      <c r="Q17" s="13"/>
      <c r="R17">
        <v>2022</v>
      </c>
      <c r="S17" s="13">
        <v>8.4254372923876453</v>
      </c>
      <c r="T17" s="13">
        <v>8.0013383234854825</v>
      </c>
      <c r="U17" s="13">
        <v>7.6698051811372281</v>
      </c>
      <c r="W17">
        <v>2022</v>
      </c>
      <c r="X17" s="13">
        <v>5.0657356155108877</v>
      </c>
      <c r="Y17" s="13">
        <f t="shared" si="15"/>
        <v>8.0013383234854825</v>
      </c>
      <c r="Z17" s="13">
        <v>12.640576890315684</v>
      </c>
      <c r="AA17" s="13"/>
      <c r="AB17" s="13">
        <f t="shared" si="3"/>
        <v>10.96666716050855</v>
      </c>
      <c r="AE17" s="33">
        <f t="shared" si="1"/>
        <v>-1.594740716799552</v>
      </c>
      <c r="AG17">
        <v>13</v>
      </c>
      <c r="AH17">
        <v>0</v>
      </c>
      <c r="AK17">
        <v>2022</v>
      </c>
      <c r="AP17" s="13">
        <f t="shared" si="2"/>
        <v>1.1723877378720866</v>
      </c>
      <c r="AQ17" s="13">
        <f>'Global EV uptake'!C73</f>
        <v>16.220950988507798</v>
      </c>
      <c r="AS17" s="13"/>
      <c r="AV17" s="41"/>
      <c r="AZ17" s="13"/>
      <c r="BA17">
        <v>2022</v>
      </c>
      <c r="BD17" s="13">
        <f>'Country Vehicle Prices'!C94</f>
        <v>1.1947147380455168</v>
      </c>
    </row>
    <row r="18" spans="1:56">
      <c r="A18">
        <v>2023</v>
      </c>
      <c r="B18" s="13"/>
      <c r="C18" s="13">
        <f>AVERAGE(D15:D21)</f>
        <v>9.6328139322572195</v>
      </c>
      <c r="D18" s="84">
        <f t="shared" si="10"/>
        <v>9.0240808490788673</v>
      </c>
      <c r="E18" s="84">
        <f>J18-SUM(F$7:F18)</f>
        <v>-1.8250249290350111</v>
      </c>
      <c r="F18" s="13">
        <f t="shared" si="11"/>
        <v>0.2</v>
      </c>
      <c r="G18" s="13">
        <f t="shared" si="12"/>
        <v>1</v>
      </c>
      <c r="H18" s="13">
        <f t="shared" si="13"/>
        <v>1</v>
      </c>
      <c r="I18" s="20">
        <f>I17+(I35-I15)/20</f>
        <v>0.2</v>
      </c>
      <c r="J18" s="13">
        <f t="shared" si="14"/>
        <v>-1.0250249290350111</v>
      </c>
      <c r="K18" s="13"/>
      <c r="L18" s="84">
        <f t="shared" si="16"/>
        <v>17.163234507099141</v>
      </c>
      <c r="M18" s="13">
        <f t="shared" si="7"/>
        <v>15.005684880315728</v>
      </c>
      <c r="N18" s="13">
        <f t="shared" si="8"/>
        <v>2023.0013214413054</v>
      </c>
      <c r="O18" s="13">
        <f t="shared" si="9"/>
        <v>2016.6236064177135</v>
      </c>
      <c r="P18" s="13">
        <f>1/Austria!R90</f>
        <v>1.0566244621481384</v>
      </c>
      <c r="Q18" s="13"/>
      <c r="R18">
        <v>2023</v>
      </c>
      <c r="S18" s="13">
        <v>10.278877932873652</v>
      </c>
      <c r="T18" s="13">
        <v>9.6328139322572195</v>
      </c>
      <c r="U18" s="13">
        <v>9.1707096378205311</v>
      </c>
      <c r="W18">
        <v>2023</v>
      </c>
      <c r="X18" s="13">
        <v>5.9160444928309674</v>
      </c>
      <c r="Y18" s="13">
        <f t="shared" si="15"/>
        <v>9.6328139322572195</v>
      </c>
      <c r="Z18" s="13">
        <v>16.21418269022579</v>
      </c>
      <c r="AA18" s="13"/>
      <c r="AB18" s="13">
        <f t="shared" si="3"/>
        <v>15.005684880315728</v>
      </c>
      <c r="AE18" s="33">
        <f t="shared" si="1"/>
        <v>-1.2034801800338455</v>
      </c>
      <c r="AG18">
        <v>14</v>
      </c>
      <c r="AH18">
        <v>0</v>
      </c>
      <c r="AK18">
        <v>2023</v>
      </c>
      <c r="AP18" s="13">
        <f t="shared" si="2"/>
        <v>1.1947147380455168</v>
      </c>
      <c r="AQ18" s="13">
        <f>'Global EV uptake'!C74</f>
        <v>23.06565896987421</v>
      </c>
      <c r="AS18" s="13"/>
      <c r="AV18" s="41"/>
      <c r="AZ18" s="13"/>
      <c r="BA18">
        <v>2023</v>
      </c>
      <c r="BD18" s="13">
        <f>'Country Vehicle Prices'!C95</f>
        <v>1.1869667434909617</v>
      </c>
    </row>
    <row r="19" spans="1:56">
      <c r="A19">
        <v>2024</v>
      </c>
      <c r="B19" s="13"/>
      <c r="C19" s="13">
        <f t="shared" si="17"/>
        <v>11.674811535506359</v>
      </c>
      <c r="D19" s="84">
        <f t="shared" si="10"/>
        <v>11.056330836682088</v>
      </c>
      <c r="E19" s="84">
        <f>J19-SUM(F$7:F19)</f>
        <v>-1.5849371481474754</v>
      </c>
      <c r="F19" s="13">
        <f t="shared" si="11"/>
        <v>0.2</v>
      </c>
      <c r="G19" s="13">
        <f t="shared" si="12"/>
        <v>1</v>
      </c>
      <c r="H19" s="13">
        <f t="shared" si="13"/>
        <v>1</v>
      </c>
      <c r="I19" s="20">
        <f>I18+(I35-I15)/20</f>
        <v>0.2</v>
      </c>
      <c r="J19" s="13">
        <f t="shared" si="14"/>
        <v>-0.58493714814747544</v>
      </c>
      <c r="K19" s="13"/>
      <c r="L19" s="84">
        <f t="shared" si="16"/>
        <v>23.256827679277997</v>
      </c>
      <c r="M19" s="13">
        <f t="shared" si="7"/>
        <v>19.982150823142476</v>
      </c>
      <c r="N19" s="13">
        <f t="shared" si="8"/>
        <v>2024.3934197858614</v>
      </c>
      <c r="O19" s="13">
        <f t="shared" si="9"/>
        <v>2016.2315080731576</v>
      </c>
      <c r="P19" s="13">
        <f>1/Austria!R91</f>
        <v>1.0202648709953666</v>
      </c>
      <c r="Q19" s="13"/>
      <c r="R19">
        <v>2024</v>
      </c>
      <c r="S19" s="13">
        <v>12.43835091411635</v>
      </c>
      <c r="T19" s="13">
        <v>11.674811535506359</v>
      </c>
      <c r="U19" s="13">
        <v>10.964179498140396</v>
      </c>
      <c r="W19">
        <v>2024</v>
      </c>
      <c r="X19" s="13">
        <v>6.9074904316499914</v>
      </c>
      <c r="Y19" s="13">
        <f t="shared" si="15"/>
        <v>11.674811535506359</v>
      </c>
      <c r="Z19" s="13">
        <v>20.645951937363659</v>
      </c>
      <c r="AA19" s="13"/>
      <c r="AB19" s="13">
        <f t="shared" si="3"/>
        <v>19.982150823142476</v>
      </c>
      <c r="AE19" s="33">
        <f t="shared" si="1"/>
        <v>-0.81221964326813989</v>
      </c>
      <c r="AG19">
        <v>15</v>
      </c>
      <c r="AH19">
        <v>0</v>
      </c>
      <c r="AK19">
        <v>2024</v>
      </c>
      <c r="AP19" s="13">
        <f t="shared" si="2"/>
        <v>1.1869667434909617</v>
      </c>
      <c r="AQ19" s="13">
        <f>'Global EV uptake'!C75</f>
        <v>30.766875783016317</v>
      </c>
      <c r="AS19" s="13"/>
      <c r="AV19" s="41"/>
      <c r="AZ19" s="13"/>
      <c r="BA19">
        <v>2024</v>
      </c>
      <c r="BD19" s="13">
        <f>'Country Vehicle Prices'!C96</f>
        <v>1.1453632170248815</v>
      </c>
    </row>
    <row r="20" spans="1:56">
      <c r="A20" s="87">
        <v>2025</v>
      </c>
      <c r="B20" s="13"/>
      <c r="C20" s="89">
        <f t="shared" si="17"/>
        <v>14.025627871187837</v>
      </c>
      <c r="D20" s="84">
        <f t="shared" si="10"/>
        <v>13.272529028019733</v>
      </c>
      <c r="E20" s="84">
        <f>J20-SUM(F$7:F20)</f>
        <v>-1.3602925812660258</v>
      </c>
      <c r="F20" s="13">
        <f t="shared" si="11"/>
        <v>0.2</v>
      </c>
      <c r="G20" s="13">
        <f t="shared" si="12"/>
        <v>1</v>
      </c>
      <c r="H20" s="13">
        <f t="shared" si="13"/>
        <v>1</v>
      </c>
      <c r="I20" s="20">
        <f>I19+(I35-I15)/20</f>
        <v>0.2</v>
      </c>
      <c r="J20" s="13">
        <f t="shared" si="14"/>
        <v>-0.16029258126602583</v>
      </c>
      <c r="K20" s="13"/>
      <c r="L20" s="84">
        <f t="shared" si="16"/>
        <v>29.900808412611475</v>
      </c>
      <c r="M20" s="13">
        <f t="shared" si="7"/>
        <v>32.017433710081967</v>
      </c>
      <c r="N20" s="13">
        <f t="shared" si="8"/>
        <v>2025.7403622387155</v>
      </c>
      <c r="O20" s="13">
        <f t="shared" si="9"/>
        <v>2015.8845656203034</v>
      </c>
      <c r="P20" s="13">
        <f>1/Austria!R92</f>
        <v>0.98809262157257538</v>
      </c>
      <c r="Q20" s="13"/>
      <c r="R20" s="87">
        <v>2025</v>
      </c>
      <c r="S20" s="13">
        <v>14.942975209249195</v>
      </c>
      <c r="T20" s="13">
        <v>14.025627871187837</v>
      </c>
      <c r="U20" s="13">
        <v>13.119764668519309</v>
      </c>
      <c r="W20" s="87">
        <v>2025</v>
      </c>
      <c r="X20" s="13">
        <v>8.1066500714882217</v>
      </c>
      <c r="Y20" s="13">
        <f t="shared" si="15"/>
        <v>14.025627871187837</v>
      </c>
      <c r="Z20" s="13">
        <v>25.680610510057814</v>
      </c>
      <c r="AA20" s="13"/>
      <c r="AB20" s="13">
        <f t="shared" si="3"/>
        <v>25.758672365867149</v>
      </c>
      <c r="AE20" s="33">
        <f t="shared" si="1"/>
        <v>-0.4209591065024334</v>
      </c>
      <c r="AG20">
        <v>16</v>
      </c>
      <c r="AH20">
        <v>0</v>
      </c>
      <c r="AK20">
        <v>2025</v>
      </c>
      <c r="AP20" s="13">
        <f t="shared" si="2"/>
        <v>1.1453632170248815</v>
      </c>
      <c r="AQ20" s="13">
        <f>'Global EV uptake'!C76</f>
        <v>38.544427268869043</v>
      </c>
      <c r="AS20" s="13"/>
      <c r="AV20" s="41"/>
      <c r="AZ20" s="13"/>
      <c r="BA20">
        <v>2025</v>
      </c>
      <c r="BD20" s="13">
        <f>'Country Vehicle Prices'!C97</f>
        <v>1.1100715782125121</v>
      </c>
    </row>
    <row r="21" spans="1:56">
      <c r="A21">
        <v>2026</v>
      </c>
      <c r="B21" s="13"/>
      <c r="C21" s="13">
        <f t="shared" si="17"/>
        <v>16.735019057864029</v>
      </c>
      <c r="D21" s="84">
        <f t="shared" si="10"/>
        <v>15.794106012574684</v>
      </c>
      <c r="E21" s="84">
        <f>J21-SUM(F$7:F21)</f>
        <v>-1.1363765795571932</v>
      </c>
      <c r="F21" s="13">
        <f t="shared" si="11"/>
        <v>0.2</v>
      </c>
      <c r="G21" s="13">
        <f>IF(H21&lt;0,0,H21)</f>
        <v>1</v>
      </c>
      <c r="H21" s="13">
        <f t="shared" si="13"/>
        <v>1</v>
      </c>
      <c r="I21" s="20">
        <f>I20+(I35-I15)/20</f>
        <v>0.2</v>
      </c>
      <c r="J21" s="13">
        <f t="shared" si="14"/>
        <v>0.26362342044280668</v>
      </c>
      <c r="K21" s="13"/>
      <c r="L21" s="84">
        <f t="shared" si="16"/>
        <v>36.759241952596803</v>
      </c>
      <c r="M21" s="13">
        <f t="shared" si="7"/>
        <v>38.312201822341244</v>
      </c>
      <c r="N21" s="13">
        <f t="shared" si="8"/>
        <v>2026.9396766737896</v>
      </c>
      <c r="O21" s="13">
        <f t="shared" si="9"/>
        <v>2015.6852511852294</v>
      </c>
      <c r="P21" s="13">
        <f>1/Austria!R93</f>
        <v>0.96961003558169712</v>
      </c>
      <c r="Q21" s="13"/>
      <c r="R21">
        <v>2026</v>
      </c>
      <c r="S21" s="13">
        <v>17.781235962638764</v>
      </c>
      <c r="T21" s="13">
        <v>16.735019057864029</v>
      </c>
      <c r="U21" s="13">
        <v>15.487382814412513</v>
      </c>
      <c r="W21">
        <v>2026</v>
      </c>
      <c r="X21" s="13">
        <v>9.4332265709490315</v>
      </c>
      <c r="Y21" s="13">
        <f>T21</f>
        <v>16.735019057864029</v>
      </c>
      <c r="Z21" s="13">
        <v>31.331489944715166</v>
      </c>
      <c r="AA21" s="13"/>
      <c r="AB21" s="13">
        <f t="shared" si="3"/>
        <v>32.017433710081967</v>
      </c>
      <c r="AE21" s="33">
        <f t="shared" si="1"/>
        <v>-2.969856973672691E-2</v>
      </c>
      <c r="AG21">
        <v>17</v>
      </c>
      <c r="AH21">
        <v>0</v>
      </c>
      <c r="AK21">
        <v>2026</v>
      </c>
      <c r="AP21" s="13">
        <f t="shared" si="2"/>
        <v>1.1100715782125121</v>
      </c>
      <c r="AQ21" s="13">
        <f>'Global EV uptake'!C77</f>
        <v>45.825790417369525</v>
      </c>
      <c r="AS21" s="13"/>
      <c r="AV21" s="41"/>
      <c r="AZ21" s="13"/>
      <c r="BA21">
        <v>2026</v>
      </c>
      <c r="BD21" s="13">
        <f>'Country Vehicle Prices'!C98</f>
        <v>1.0915105693617837</v>
      </c>
    </row>
    <row r="22" spans="1:56">
      <c r="A22">
        <v>2027</v>
      </c>
      <c r="B22" s="13"/>
      <c r="C22" s="13">
        <f t="shared" si="17"/>
        <v>19.774774485245235</v>
      </c>
      <c r="D22" s="84">
        <f t="shared" si="10"/>
        <v>19.428075095763006</v>
      </c>
      <c r="E22" s="84">
        <f>J22-SUM(F$7:F22)</f>
        <v>-0.85257265517295633</v>
      </c>
      <c r="F22" s="13">
        <f t="shared" si="11"/>
        <v>0.2</v>
      </c>
      <c r="G22" s="13">
        <f t="shared" si="12"/>
        <v>1</v>
      </c>
      <c r="H22" s="13">
        <f t="shared" si="13"/>
        <v>1</v>
      </c>
      <c r="I22" s="20">
        <f>I21+(I35-I15)/20</f>
        <v>0.2</v>
      </c>
      <c r="J22" s="13">
        <f t="shared" si="14"/>
        <v>0.74742734482704354</v>
      </c>
      <c r="K22" s="13"/>
      <c r="L22" s="84">
        <f t="shared" si="16"/>
        <v>44.1101616982181</v>
      </c>
      <c r="M22" s="13">
        <f t="shared" si="7"/>
        <v>44.186570827175956</v>
      </c>
      <c r="N22" s="13">
        <f t="shared" si="8"/>
        <v>2028.1237949205231</v>
      </c>
      <c r="O22" s="13">
        <f t="shared" si="9"/>
        <v>2015.5011329384959</v>
      </c>
      <c r="P22" s="13">
        <f>1/Austria!R94</f>
        <v>0.95253660421442843</v>
      </c>
      <c r="Q22" s="13"/>
      <c r="R22">
        <v>2027</v>
      </c>
      <c r="S22" s="13">
        <v>21.105542724767218</v>
      </c>
      <c r="T22" s="13">
        <v>19.774774485245235</v>
      </c>
      <c r="U22" s="13">
        <v>18.074966826744376</v>
      </c>
      <c r="W22">
        <v>2027</v>
      </c>
      <c r="X22" s="13">
        <v>10.903635665233789</v>
      </c>
      <c r="Y22" s="13">
        <f t="shared" si="15"/>
        <v>19.774774485245235</v>
      </c>
      <c r="Z22" s="13">
        <v>37.096907173550726</v>
      </c>
      <c r="AA22" s="13"/>
      <c r="AB22" s="13">
        <f t="shared" si="3"/>
        <v>38.312201822341244</v>
      </c>
      <c r="AE22" s="33">
        <f t="shared" si="1"/>
        <v>0.36156196702897869</v>
      </c>
      <c r="AG22">
        <v>18</v>
      </c>
      <c r="AH22">
        <v>0</v>
      </c>
      <c r="AK22">
        <v>2027</v>
      </c>
      <c r="AP22" s="13">
        <f t="shared" si="2"/>
        <v>1.0915105693617837</v>
      </c>
      <c r="AQ22" s="13">
        <f>'Global EV uptake'!C78</f>
        <v>51.906454915807629</v>
      </c>
      <c r="AS22" s="13"/>
      <c r="AV22" s="41"/>
      <c r="AZ22" s="13"/>
      <c r="BA22">
        <v>2027</v>
      </c>
      <c r="BD22" s="13">
        <f>'Country Vehicle Prices'!C99</f>
        <v>1.072852374985332</v>
      </c>
    </row>
    <row r="23" spans="1:56">
      <c r="A23">
        <v>2028</v>
      </c>
      <c r="B23" s="13"/>
      <c r="C23" s="13">
        <f t="shared" si="17"/>
        <v>23.265738855400819</v>
      </c>
      <c r="D23" s="84">
        <f t="shared" si="10"/>
        <v>22.509011553184056</v>
      </c>
      <c r="E23" s="84">
        <f>J23-SUM(F$7:F23)</f>
        <v>-0.63537627440082844</v>
      </c>
      <c r="F23" s="13">
        <f t="shared" si="11"/>
        <v>0.2</v>
      </c>
      <c r="G23" s="13">
        <f t="shared" si="12"/>
        <v>1</v>
      </c>
      <c r="H23" s="13">
        <f t="shared" si="13"/>
        <v>1</v>
      </c>
      <c r="I23" s="20">
        <f>I22+(I35-I15)/20</f>
        <v>0.2</v>
      </c>
      <c r="J23" s="13">
        <f t="shared" si="14"/>
        <v>1.1646237255991714</v>
      </c>
      <c r="K23" s="13"/>
      <c r="L23" s="84">
        <f t="shared" si="16"/>
        <v>49.541170537994219</v>
      </c>
      <c r="M23" s="13">
        <f t="shared" si="7"/>
        <v>49.297852580242349</v>
      </c>
      <c r="N23" s="13">
        <f t="shared" si="8"/>
        <v>2029.329547189385</v>
      </c>
      <c r="O23" s="13">
        <f t="shared" si="9"/>
        <v>2015.2953806696339</v>
      </c>
      <c r="P23" s="13">
        <f>1/Austria!R95</f>
        <v>0.93345703277924041</v>
      </c>
      <c r="Q23" s="13"/>
      <c r="R23">
        <v>2028</v>
      </c>
      <c r="S23" s="13">
        <v>24.613969768977856</v>
      </c>
      <c r="T23" s="13">
        <v>23.265738855400819</v>
      </c>
      <c r="U23" s="13">
        <v>20.779821704341277</v>
      </c>
      <c r="W23">
        <v>2028</v>
      </c>
      <c r="X23" s="13">
        <v>12.535656861868675</v>
      </c>
      <c r="Y23" s="13">
        <f t="shared" si="15"/>
        <v>23.265738855400819</v>
      </c>
      <c r="Z23" s="13">
        <v>42.806212203604936</v>
      </c>
      <c r="AA23" s="13"/>
      <c r="AB23" s="13">
        <f t="shared" si="3"/>
        <v>44.186570827175956</v>
      </c>
      <c r="AE23" s="33">
        <f t="shared" si="1"/>
        <v>0.75282250379468518</v>
      </c>
      <c r="AG23">
        <v>19</v>
      </c>
      <c r="AH23">
        <v>0</v>
      </c>
      <c r="AK23">
        <v>2028</v>
      </c>
      <c r="AP23" s="13">
        <f t="shared" si="2"/>
        <v>1.072852374985332</v>
      </c>
      <c r="AQ23" s="13">
        <f>'Global EV uptake'!C79</f>
        <v>56.326745165258494</v>
      </c>
      <c r="AS23" s="13"/>
      <c r="AV23" s="41"/>
      <c r="AZ23" s="13"/>
      <c r="BA23">
        <v>2028</v>
      </c>
      <c r="BD23" s="13">
        <f>'Country Vehicle Prices'!C100</f>
        <v>1.0513042953963345</v>
      </c>
    </row>
    <row r="24" spans="1:56">
      <c r="A24">
        <v>2029</v>
      </c>
      <c r="B24" s="13"/>
      <c r="C24" s="13">
        <f t="shared" si="17"/>
        <v>26.865534497160706</v>
      </c>
      <c r="D24" s="84">
        <f t="shared" si="10"/>
        <v>26.061000029745781</v>
      </c>
      <c r="E24" s="84">
        <f>J24-SUM(F$7:F24)</f>
        <v>-0.4015563732289571</v>
      </c>
      <c r="F24" s="13">
        <f t="shared" si="11"/>
        <v>0.2</v>
      </c>
      <c r="G24" s="13">
        <f t="shared" si="12"/>
        <v>1</v>
      </c>
      <c r="H24" s="13">
        <f t="shared" si="13"/>
        <v>1</v>
      </c>
      <c r="I24" s="20">
        <f>I23+(I35-I15)/20</f>
        <v>0.2</v>
      </c>
      <c r="J24" s="13">
        <f t="shared" si="14"/>
        <v>1.5984436267710427</v>
      </c>
      <c r="K24" s="13"/>
      <c r="L24" s="84">
        <f t="shared" si="16"/>
        <v>54.067048625912626</v>
      </c>
      <c r="M24" s="13">
        <f t="shared" si="7"/>
        <v>56.73674955124897</v>
      </c>
      <c r="N24" s="13">
        <f t="shared" si="8"/>
        <v>2030.5127608534524</v>
      </c>
      <c r="O24" s="13">
        <f t="shared" si="9"/>
        <v>2015.1121670055666</v>
      </c>
      <c r="P24" s="13">
        <f>1/Austria!R96</f>
        <v>0.91646748408160694</v>
      </c>
      <c r="Q24" s="13"/>
      <c r="R24">
        <v>2029</v>
      </c>
      <c r="S24" s="13">
        <v>28.267275107877712</v>
      </c>
      <c r="T24" s="13">
        <v>26.865534497160706</v>
      </c>
      <c r="U24" s="13">
        <v>23.597175492581421</v>
      </c>
      <c r="W24">
        <v>2029</v>
      </c>
      <c r="X24" s="13">
        <v>14.346783392323848</v>
      </c>
      <c r="Y24" s="13">
        <f t="shared" si="15"/>
        <v>26.865534497160706</v>
      </c>
      <c r="Z24" s="13">
        <v>48.081920838588211</v>
      </c>
      <c r="AA24" s="13"/>
      <c r="AB24" s="13">
        <f t="shared" si="3"/>
        <v>49.297852580242349</v>
      </c>
      <c r="AE24" s="33">
        <f t="shared" si="1"/>
        <v>1.1440830405603908</v>
      </c>
      <c r="AG24">
        <v>20</v>
      </c>
      <c r="AH24">
        <v>0</v>
      </c>
      <c r="AK24">
        <v>2029</v>
      </c>
      <c r="AP24" s="13">
        <f t="shared" si="2"/>
        <v>1.0513042953963345</v>
      </c>
      <c r="AQ24" s="13">
        <f>'Global EV uptake'!C80</f>
        <v>59.39095758619905</v>
      </c>
      <c r="AS24" s="13"/>
      <c r="AV24" s="41"/>
      <c r="AZ24" s="13"/>
      <c r="BA24">
        <v>2029</v>
      </c>
      <c r="BD24" s="13">
        <f>'Country Vehicle Prices'!C101</f>
        <v>1.0324539434762452</v>
      </c>
    </row>
    <row r="25" spans="1:56">
      <c r="A25" s="87">
        <v>2030</v>
      </c>
      <c r="B25" s="13"/>
      <c r="C25" s="89">
        <f t="shared" si="17"/>
        <v>30.520093276262724</v>
      </c>
      <c r="D25" s="84">
        <f t="shared" si="10"/>
        <v>30.302368840747285</v>
      </c>
      <c r="E25" s="84">
        <f>J25-SUM(F$7:F25)</f>
        <v>-0.13544552929652998</v>
      </c>
      <c r="F25" s="13">
        <f t="shared" si="11"/>
        <v>0.19813745929602999</v>
      </c>
      <c r="G25" s="13">
        <f t="shared" si="12"/>
        <v>0.99068729648014986</v>
      </c>
      <c r="H25" s="13">
        <f t="shared" si="13"/>
        <v>0.99068729648014986</v>
      </c>
      <c r="I25" s="20">
        <f>I24+(I35-I15)/20</f>
        <v>0.2</v>
      </c>
      <c r="J25" s="13">
        <f t="shared" si="14"/>
        <v>2.0626919299994997</v>
      </c>
      <c r="K25" s="13"/>
      <c r="L25" s="84">
        <f t="shared" si="16"/>
        <v>57.669546949581822</v>
      </c>
      <c r="M25" s="13">
        <f t="shared" si="7"/>
        <v>59.172477908962534</v>
      </c>
      <c r="N25" s="13">
        <f t="shared" si="8"/>
        <v>2031.7204728132958</v>
      </c>
      <c r="O25" s="13">
        <f t="shared" si="9"/>
        <v>2014.9044550457231</v>
      </c>
      <c r="P25" s="13">
        <f>1/Austria!R97</f>
        <v>0.89720618894404491</v>
      </c>
      <c r="Q25" s="13"/>
      <c r="R25" s="87">
        <v>2030</v>
      </c>
      <c r="S25" s="13">
        <v>31.899933056768184</v>
      </c>
      <c r="T25" s="13">
        <v>30.520093276262724</v>
      </c>
      <c r="U25" s="13">
        <v>26.498973306184212</v>
      </c>
      <c r="W25" s="87">
        <v>2030</v>
      </c>
      <c r="X25" s="13">
        <v>16.306863854320778</v>
      </c>
      <c r="Y25" s="13">
        <f t="shared" si="15"/>
        <v>30.520093276262724</v>
      </c>
      <c r="Z25" s="13">
        <v>52.683043995482365</v>
      </c>
      <c r="AA25" s="13"/>
      <c r="AB25" s="13">
        <f t="shared" si="3"/>
        <v>53.481141904775455</v>
      </c>
      <c r="AE25" s="33">
        <f t="shared" si="1"/>
        <v>1.5353435773260973</v>
      </c>
      <c r="AG25">
        <v>21</v>
      </c>
      <c r="AH25">
        <v>0</v>
      </c>
      <c r="AK25">
        <v>2030</v>
      </c>
      <c r="AP25" s="13">
        <f t="shared" si="2"/>
        <v>1.0324539434762452</v>
      </c>
      <c r="AQ25" s="13">
        <f>'Global EV uptake'!C81</f>
        <v>61.451030793898077</v>
      </c>
      <c r="AS25" s="13"/>
      <c r="AV25" s="41"/>
      <c r="AZ25" s="13"/>
      <c r="BA25">
        <v>2030</v>
      </c>
      <c r="BD25" s="13">
        <f>'Country Vehicle Prices'!C102</f>
        <v>1.0107122023265356</v>
      </c>
    </row>
    <row r="26" spans="1:56">
      <c r="A26">
        <v>2031</v>
      </c>
      <c r="C26" s="13">
        <f t="shared" si="17"/>
        <v>34.052373674056277</v>
      </c>
      <c r="D26" s="84">
        <f>65*EXP(E26)/(1+EXP(E26))</f>
        <v>35.493081427771187</v>
      </c>
      <c r="E26" s="84">
        <f>J26-SUM(F$7:F26)</f>
        <v>0.18471302440883886</v>
      </c>
      <c r="F26" s="13">
        <f t="shared" si="11"/>
        <v>0.19813745929602999</v>
      </c>
      <c r="G26" s="13">
        <f t="shared" si="12"/>
        <v>0.99068729648014986</v>
      </c>
      <c r="H26" s="13">
        <f t="shared" si="13"/>
        <v>0.99068729648014986</v>
      </c>
      <c r="I26" s="20">
        <f>I25+(I35-I15)/20</f>
        <v>0.2</v>
      </c>
      <c r="J26" s="13">
        <f t="shared" si="14"/>
        <v>2.5809879430008986</v>
      </c>
      <c r="K26" s="13"/>
      <c r="L26" s="84">
        <f t="shared" si="16"/>
        <v>60.425815295488746</v>
      </c>
      <c r="M26" s="13">
        <f t="shared" si="7"/>
        <v>60.941592261933344</v>
      </c>
      <c r="N26" s="13">
        <f t="shared" si="8"/>
        <v>2032.7204728132958</v>
      </c>
      <c r="O26" s="13">
        <f t="shared" si="9"/>
        <v>2014.9044550457231</v>
      </c>
      <c r="P26" s="13">
        <f>P25</f>
        <v>0.89720618894404491</v>
      </c>
      <c r="R26">
        <v>2031</v>
      </c>
      <c r="S26" s="13">
        <v>35.543171611763171</v>
      </c>
      <c r="T26" s="13">
        <v>34.052373674056277</v>
      </c>
      <c r="U26" s="13">
        <v>29.425953428378669</v>
      </c>
      <c r="W26">
        <v>2031</v>
      </c>
      <c r="X26" s="13">
        <v>18.466672831687482</v>
      </c>
      <c r="Y26" s="13">
        <f t="shared" si="15"/>
        <v>34.052373674056277</v>
      </c>
      <c r="Z26" s="13">
        <v>56.355136753747793</v>
      </c>
      <c r="AB26" s="13">
        <f t="shared" si="3"/>
        <v>56.73674955124897</v>
      </c>
      <c r="AE26" s="33">
        <f t="shared" si="1"/>
        <v>1.9266041140918038</v>
      </c>
      <c r="AG26">
        <v>22</v>
      </c>
      <c r="AH26">
        <v>0</v>
      </c>
      <c r="AK26">
        <v>2031</v>
      </c>
    </row>
    <row r="27" spans="1:56">
      <c r="A27">
        <v>2032</v>
      </c>
      <c r="C27" s="13">
        <f t="shared" si="17"/>
        <v>37.517058750001787</v>
      </c>
      <c r="D27" s="84">
        <f t="shared" si="10"/>
        <v>38.471098520338948</v>
      </c>
      <c r="E27" s="84">
        <f>J27-SUM(F$7:F27)</f>
        <v>0.37167251103296373</v>
      </c>
      <c r="F27" s="13">
        <f t="shared" si="11"/>
        <v>0.19813745929602999</v>
      </c>
      <c r="G27" s="13">
        <f t="shared" si="12"/>
        <v>0.99068729648014986</v>
      </c>
      <c r="H27" s="13">
        <f t="shared" si="13"/>
        <v>0.99068729648014986</v>
      </c>
      <c r="I27" s="20">
        <f>I26+(I35-I15)/20</f>
        <v>0.2</v>
      </c>
      <c r="J27" s="13">
        <f t="shared" si="14"/>
        <v>2.9660848889210536</v>
      </c>
      <c r="K27" s="13"/>
      <c r="L27" s="84">
        <f t="shared" si="16"/>
        <v>61.816184481691593</v>
      </c>
      <c r="M27" s="13">
        <f t="shared" si="7"/>
        <v>62.199062445521918</v>
      </c>
      <c r="N27" s="13">
        <f t="shared" si="8"/>
        <v>2033.7204728132958</v>
      </c>
      <c r="O27" s="13">
        <f t="shared" si="9"/>
        <v>2014.9044550457231</v>
      </c>
      <c r="P27" s="13">
        <f t="shared" ref="P27:P50" si="18">P26</f>
        <v>0.89720618894404491</v>
      </c>
      <c r="R27">
        <v>2032</v>
      </c>
      <c r="S27" s="13">
        <v>39.101860628156388</v>
      </c>
      <c r="T27" s="13">
        <v>37.517058750001787</v>
      </c>
      <c r="U27" s="13">
        <v>32.275057452083892</v>
      </c>
      <c r="W27">
        <v>2032</v>
      </c>
      <c r="X27" s="13">
        <v>20.824116436590657</v>
      </c>
      <c r="Y27" s="13">
        <f t="shared" si="15"/>
        <v>37.517058750001787</v>
      </c>
      <c r="Z27" s="13">
        <v>59.170276905003718</v>
      </c>
      <c r="AB27" s="13">
        <f t="shared" si="3"/>
        <v>59.172477908962534</v>
      </c>
      <c r="AE27" s="33">
        <f t="shared" si="1"/>
        <v>2.3178646508575103</v>
      </c>
      <c r="AG27">
        <v>23</v>
      </c>
      <c r="AH27">
        <v>0</v>
      </c>
      <c r="AK27">
        <v>2032</v>
      </c>
    </row>
    <row r="28" spans="1:56">
      <c r="A28">
        <v>2033</v>
      </c>
      <c r="C28" s="13">
        <f t="shared" si="17"/>
        <v>40.818097245629644</v>
      </c>
      <c r="D28" s="84">
        <f t="shared" si="10"/>
        <v>41.376017466288808</v>
      </c>
      <c r="E28" s="84">
        <f>J28-SUM(F$7:F28)</f>
        <v>0.56043901962886666</v>
      </c>
      <c r="F28" s="13">
        <f t="shared" si="11"/>
        <v>0.19813745929602999</v>
      </c>
      <c r="G28" s="13">
        <f t="shared" si="12"/>
        <v>0.99068729648014986</v>
      </c>
      <c r="H28" s="13">
        <f t="shared" si="13"/>
        <v>0.99068729648014986</v>
      </c>
      <c r="I28" s="20">
        <f>I27+(I35-I15)/20</f>
        <v>0.2</v>
      </c>
      <c r="J28" s="13">
        <f t="shared" si="14"/>
        <v>3.3529888568129866</v>
      </c>
      <c r="K28" s="13"/>
      <c r="L28" s="84">
        <f t="shared" si="16"/>
        <v>62.803167281121134</v>
      </c>
      <c r="M28" s="13">
        <f t="shared" si="7"/>
        <v>63.079194309776966</v>
      </c>
      <c r="N28" s="13">
        <f t="shared" si="8"/>
        <v>2034.7204728132958</v>
      </c>
      <c r="O28" s="13">
        <f t="shared" si="9"/>
        <v>2014.9044550457231</v>
      </c>
      <c r="P28" s="13">
        <f t="shared" si="18"/>
        <v>0.89720618894404491</v>
      </c>
      <c r="R28">
        <v>2033</v>
      </c>
      <c r="S28" s="13">
        <v>42.423769075033533</v>
      </c>
      <c r="T28" s="13">
        <v>40.818097245629644</v>
      </c>
      <c r="U28" s="13">
        <v>35.160640740210532</v>
      </c>
      <c r="W28">
        <v>2033</v>
      </c>
      <c r="X28" s="13">
        <v>23.366273048806416</v>
      </c>
      <c r="Y28" s="13">
        <f t="shared" si="15"/>
        <v>40.818097245629644</v>
      </c>
      <c r="Z28" s="13">
        <v>61.078005539389743</v>
      </c>
      <c r="AB28" s="13">
        <f t="shared" si="3"/>
        <v>60.941592261933344</v>
      </c>
      <c r="AE28" s="33">
        <f t="shared" si="1"/>
        <v>2.7091251876232167</v>
      </c>
      <c r="AG28">
        <v>24</v>
      </c>
      <c r="AH28">
        <v>0</v>
      </c>
      <c r="AK28">
        <v>2033</v>
      </c>
    </row>
    <row r="29" spans="1:56">
      <c r="A29">
        <v>2034</v>
      </c>
      <c r="C29" s="13">
        <f t="shared" si="17"/>
        <v>43.825589856797954</v>
      </c>
      <c r="D29" s="84">
        <f t="shared" si="10"/>
        <v>44.154037880317873</v>
      </c>
      <c r="E29" s="84">
        <f>J29-SUM(F$7:F29)</f>
        <v>0.75052411492071736</v>
      </c>
      <c r="F29" s="13">
        <f t="shared" si="11"/>
        <v>0.19813745929602999</v>
      </c>
      <c r="G29" s="13">
        <f t="shared" si="12"/>
        <v>0.99068729648014986</v>
      </c>
      <c r="H29" s="13">
        <f t="shared" si="13"/>
        <v>0.99068729648014986</v>
      </c>
      <c r="I29" s="20">
        <f>I28+(I35-I15)/20</f>
        <v>0.2</v>
      </c>
      <c r="J29" s="13">
        <f t="shared" si="14"/>
        <v>3.7412114114008674</v>
      </c>
      <c r="K29" s="13"/>
      <c r="L29" s="84">
        <f t="shared" si="16"/>
        <v>63.493592637159658</v>
      </c>
      <c r="M29" s="13">
        <f t="shared" si="7"/>
        <v>63.688595482263246</v>
      </c>
      <c r="N29" s="13">
        <f t="shared" si="8"/>
        <v>2035.7204728132958</v>
      </c>
      <c r="O29" s="13">
        <f t="shared" si="9"/>
        <v>2014.9044550457231</v>
      </c>
      <c r="P29" s="13">
        <f t="shared" si="18"/>
        <v>0.89720618894404491</v>
      </c>
      <c r="R29">
        <v>2034</v>
      </c>
      <c r="S29" s="13">
        <v>45.304490822006088</v>
      </c>
      <c r="T29" s="13">
        <v>43.825589856797954</v>
      </c>
      <c r="U29" s="13">
        <v>38.032616518406222</v>
      </c>
      <c r="W29">
        <v>2034</v>
      </c>
      <c r="X29" s="13">
        <v>26.068619515813765</v>
      </c>
      <c r="Y29" s="13">
        <f t="shared" si="15"/>
        <v>43.825589856797954</v>
      </c>
      <c r="Z29" s="13">
        <v>62.412830716126578</v>
      </c>
      <c r="AB29" s="13">
        <f t="shared" si="3"/>
        <v>62.199062445521918</v>
      </c>
      <c r="AE29" s="33">
        <f t="shared" si="1"/>
        <v>3.1003857243889215</v>
      </c>
      <c r="AG29">
        <v>25</v>
      </c>
      <c r="AH29">
        <v>0</v>
      </c>
      <c r="AK29">
        <v>2034</v>
      </c>
    </row>
    <row r="30" spans="1:56">
      <c r="A30">
        <v>2035</v>
      </c>
      <c r="C30" s="13">
        <f t="shared" si="17"/>
        <v>46.371460709969426</v>
      </c>
      <c r="D30" s="84">
        <f t="shared" si="10"/>
        <v>46.761807084802641</v>
      </c>
      <c r="E30" s="84">
        <f>J30-SUM(F$7:F30)</f>
        <v>0.94154887470455106</v>
      </c>
      <c r="F30" s="13">
        <f t="shared" si="11"/>
        <v>0.19813745929602999</v>
      </c>
      <c r="G30" s="13">
        <f t="shared" si="12"/>
        <v>0.99068729648014986</v>
      </c>
      <c r="H30" s="13">
        <f t="shared" si="13"/>
        <v>0.99068729648014986</v>
      </c>
      <c r="I30" s="20">
        <f>I29+(I35-I15)/20</f>
        <v>0.2</v>
      </c>
      <c r="J30" s="13">
        <f t="shared" si="14"/>
        <v>4.1303736304807313</v>
      </c>
      <c r="K30" s="13"/>
      <c r="L30" s="84">
        <f t="shared" si="16"/>
        <v>63.971537845343434</v>
      </c>
      <c r="M30" s="13">
        <f t="shared" si="7"/>
        <v>64.107391906110223</v>
      </c>
      <c r="N30" s="13">
        <f t="shared" si="8"/>
        <v>2036.7204728132958</v>
      </c>
      <c r="O30" s="13">
        <f t="shared" si="9"/>
        <v>2014.9044550457231</v>
      </c>
      <c r="P30" s="13">
        <f t="shared" si="18"/>
        <v>0.89720618894404491</v>
      </c>
      <c r="R30">
        <v>2035</v>
      </c>
      <c r="S30" s="13">
        <v>47.985774038254284</v>
      </c>
      <c r="T30" s="13">
        <v>46.371460709969426</v>
      </c>
      <c r="U30" s="13">
        <v>40.841316231627424</v>
      </c>
      <c r="W30">
        <v>2035</v>
      </c>
      <c r="X30" s="13">
        <v>28.895804283295544</v>
      </c>
      <c r="Y30" s="13">
        <f t="shared" si="15"/>
        <v>46.371460709969426</v>
      </c>
      <c r="Z30" s="13">
        <v>63.29110219862342</v>
      </c>
      <c r="AB30" s="13">
        <f t="shared" si="3"/>
        <v>63.079194309776966</v>
      </c>
      <c r="AE30" s="33">
        <f t="shared" si="1"/>
        <v>3.491646261154628</v>
      </c>
      <c r="AG30">
        <v>26</v>
      </c>
      <c r="AH30">
        <v>0</v>
      </c>
      <c r="AK30">
        <v>2035</v>
      </c>
    </row>
    <row r="31" spans="1:56">
      <c r="A31">
        <v>2036</v>
      </c>
      <c r="C31" s="13">
        <f t="shared" si="17"/>
        <v>48.739664528034844</v>
      </c>
      <c r="D31" s="84">
        <f t="shared" si="10"/>
        <v>49.168269499140777</v>
      </c>
      <c r="E31" s="84">
        <f>J31-SUM(F$7:F31)</f>
        <v>1.1332323008393725</v>
      </c>
      <c r="F31" s="13">
        <f t="shared" si="11"/>
        <v>0.19813745929602999</v>
      </c>
      <c r="G31" s="13">
        <f t="shared" si="12"/>
        <v>0.99068729648014986</v>
      </c>
      <c r="H31" s="13">
        <f t="shared" si="13"/>
        <v>0.99068729648014986</v>
      </c>
      <c r="I31" s="20">
        <f>I30+(I35-I15)/20</f>
        <v>0.2</v>
      </c>
      <c r="J31" s="13">
        <f t="shared" si="14"/>
        <v>4.5201945159115828</v>
      </c>
      <c r="K31" s="13"/>
      <c r="L31" s="84">
        <f t="shared" si="16"/>
        <v>64.299972259952114</v>
      </c>
      <c r="M31" s="13">
        <f t="shared" si="7"/>
        <v>64.393719042125909</v>
      </c>
      <c r="N31" s="13">
        <f t="shared" si="8"/>
        <v>2037.7204728132958</v>
      </c>
      <c r="O31" s="13">
        <f t="shared" si="9"/>
        <v>2014.9044550457231</v>
      </c>
      <c r="P31" s="13">
        <f t="shared" si="18"/>
        <v>0.89720618894404491</v>
      </c>
      <c r="R31">
        <v>2036</v>
      </c>
      <c r="S31" s="13">
        <v>50.435987400717558</v>
      </c>
      <c r="T31" s="13">
        <v>48.739664528034844</v>
      </c>
      <c r="U31" s="13">
        <v>43.541292831635083</v>
      </c>
      <c r="W31">
        <v>2036</v>
      </c>
      <c r="X31" s="13">
        <v>31.803835114949514</v>
      </c>
      <c r="Y31" s="13">
        <f t="shared" si="15"/>
        <v>48.739664528034844</v>
      </c>
      <c r="Z31" s="13">
        <v>63.820635099431662</v>
      </c>
      <c r="AB31" s="13">
        <f t="shared" si="3"/>
        <v>63.688595482263246</v>
      </c>
      <c r="AE31" s="33">
        <f t="shared" si="1"/>
        <v>3.8829067979203344</v>
      </c>
      <c r="AG31">
        <v>27</v>
      </c>
      <c r="AH31">
        <v>0</v>
      </c>
      <c r="AK31">
        <v>2036</v>
      </c>
    </row>
    <row r="32" spans="1:56">
      <c r="A32">
        <v>2037</v>
      </c>
      <c r="C32" s="13">
        <f t="shared" si="17"/>
        <v>50.909842404491577</v>
      </c>
      <c r="D32" s="84">
        <f t="shared" si="10"/>
        <v>51.354817118925482</v>
      </c>
      <c r="E32" s="84">
        <f>J32-SUM(F$7:F32)</f>
        <v>1.3253721846353108</v>
      </c>
      <c r="F32" s="13">
        <f t="shared" si="11"/>
        <v>0.19813745929602999</v>
      </c>
      <c r="G32" s="13">
        <f t="shared" si="12"/>
        <v>0.99068729648014986</v>
      </c>
      <c r="H32" s="13">
        <f t="shared" si="13"/>
        <v>0.99068729648014986</v>
      </c>
      <c r="I32" s="20">
        <f>I31+(I35-I15)/20</f>
        <v>0.2</v>
      </c>
      <c r="J32" s="13">
        <f t="shared" si="14"/>
        <v>4.9104718590035512</v>
      </c>
      <c r="K32" s="13"/>
      <c r="L32" s="84">
        <f t="shared" si="16"/>
        <v>64.524518156137347</v>
      </c>
      <c r="M32" s="13">
        <f t="shared" si="7"/>
        <v>64.588788486440805</v>
      </c>
      <c r="N32" s="13">
        <f t="shared" si="8"/>
        <v>2038.7204728132958</v>
      </c>
      <c r="O32" s="13">
        <f t="shared" si="9"/>
        <v>2014.9044550457231</v>
      </c>
      <c r="P32" s="13">
        <f t="shared" si="18"/>
        <v>0.89720618894404491</v>
      </c>
      <c r="R32">
        <v>2037</v>
      </c>
      <c r="S32" s="13">
        <v>52.637300013705264</v>
      </c>
      <c r="T32" s="13">
        <v>50.909842404491577</v>
      </c>
      <c r="U32" s="13">
        <v>46.094238211435197</v>
      </c>
      <c r="W32">
        <v>2037</v>
      </c>
      <c r="X32" s="13">
        <v>34.743263561531364</v>
      </c>
      <c r="Y32" s="13">
        <f t="shared" si="15"/>
        <v>50.909842404491577</v>
      </c>
      <c r="Z32" s="13">
        <v>64.189458429413122</v>
      </c>
      <c r="AB32" s="13">
        <f t="shared" si="3"/>
        <v>64.107391906110223</v>
      </c>
      <c r="AE32" s="33">
        <f t="shared" si="1"/>
        <v>4.2741673346860409</v>
      </c>
      <c r="AG32">
        <v>28</v>
      </c>
      <c r="AH32">
        <v>0</v>
      </c>
      <c r="AK32">
        <v>2037</v>
      </c>
    </row>
    <row r="33" spans="1:37">
      <c r="A33">
        <v>2038</v>
      </c>
      <c r="C33" s="13">
        <f t="shared" si="17"/>
        <v>52.871381277329633</v>
      </c>
      <c r="D33" s="84">
        <f t="shared" si="10"/>
        <v>53.314177399971456</v>
      </c>
      <c r="E33" s="84">
        <f>J33-SUM(F$7:F33)</f>
        <v>1.5178259248353116</v>
      </c>
      <c r="F33" s="13">
        <f t="shared" si="11"/>
        <v>0.19813745929602999</v>
      </c>
      <c r="G33" s="13">
        <f t="shared" si="12"/>
        <v>0.99068729648014986</v>
      </c>
      <c r="H33" s="13">
        <f t="shared" si="13"/>
        <v>0.99068729648014986</v>
      </c>
      <c r="I33" s="20">
        <f>I32+(I35-I15)/20</f>
        <v>0.2</v>
      </c>
      <c r="J33" s="13">
        <f t="shared" si="14"/>
        <v>5.3010630584995821</v>
      </c>
      <c r="K33" s="13"/>
      <c r="L33" s="84">
        <f t="shared" si="16"/>
        <v>64.67749920853656</v>
      </c>
      <c r="M33" s="13">
        <f t="shared" si="7"/>
        <v>64.721366382820392</v>
      </c>
      <c r="N33" s="13">
        <f t="shared" si="8"/>
        <v>2039.7204728132958</v>
      </c>
      <c r="O33" s="13">
        <f t="shared" si="9"/>
        <v>2014.9044550457231</v>
      </c>
      <c r="P33" s="13">
        <f t="shared" si="18"/>
        <v>0.89720618894404491</v>
      </c>
      <c r="R33">
        <v>2038</v>
      </c>
      <c r="S33" s="13">
        <v>54.584651533171744</v>
      </c>
      <c r="T33" s="13">
        <v>52.871381277329633</v>
      </c>
      <c r="U33" s="13">
        <v>48.470782511634226</v>
      </c>
      <c r="W33">
        <v>2038</v>
      </c>
      <c r="X33" s="13">
        <v>37.662828931063146</v>
      </c>
      <c r="Y33" s="13">
        <f t="shared" si="15"/>
        <v>52.871381277329633</v>
      </c>
      <c r="Z33" s="13">
        <v>64.444559189135177</v>
      </c>
      <c r="AB33" s="13">
        <f t="shared" si="3"/>
        <v>64.393719042125909</v>
      </c>
      <c r="AE33" s="33">
        <f t="shared" si="1"/>
        <v>4.6654278714517474</v>
      </c>
      <c r="AG33">
        <v>29</v>
      </c>
      <c r="AH33">
        <v>0</v>
      </c>
      <c r="AK33">
        <v>2038</v>
      </c>
    </row>
    <row r="34" spans="1:37">
      <c r="A34">
        <v>2039</v>
      </c>
      <c r="C34" s="13">
        <f t="shared" si="17"/>
        <v>54.622356834219126</v>
      </c>
      <c r="D34" s="84">
        <f t="shared" si="10"/>
        <v>55.048525246796892</v>
      </c>
      <c r="E34" s="84">
        <f>J34-SUM(F$7:F34)</f>
        <v>1.7104943168793345</v>
      </c>
      <c r="F34" s="13">
        <f t="shared" si="11"/>
        <v>0.19813745929602999</v>
      </c>
      <c r="G34" s="13">
        <f t="shared" si="12"/>
        <v>0.99068729648014986</v>
      </c>
      <c r="H34" s="13">
        <f t="shared" si="13"/>
        <v>0.99068729648014986</v>
      </c>
      <c r="I34" s="20">
        <f>I33+(I35-I15)/20</f>
        <v>0.2</v>
      </c>
      <c r="J34" s="13">
        <f t="shared" si="14"/>
        <v>5.6918689098396351</v>
      </c>
      <c r="K34" s="13"/>
      <c r="L34" s="84">
        <f t="shared" si="16"/>
        <v>64.781473774374234</v>
      </c>
      <c r="M34" s="13">
        <f t="shared" si="7"/>
        <v>64.811324963189335</v>
      </c>
      <c r="N34" s="13">
        <f t="shared" si="8"/>
        <v>2040.7204728132958</v>
      </c>
      <c r="O34" s="13">
        <f t="shared" si="9"/>
        <v>2014.9044550457231</v>
      </c>
      <c r="P34" s="13">
        <f t="shared" si="18"/>
        <v>0.89720618894404491</v>
      </c>
      <c r="R34">
        <v>2039</v>
      </c>
      <c r="S34" s="13">
        <v>56.283651566511573</v>
      </c>
      <c r="T34" s="13">
        <v>54.622356834219126</v>
      </c>
      <c r="U34" s="13">
        <v>50.651175506860397</v>
      </c>
      <c r="W34">
        <v>2039</v>
      </c>
      <c r="X34" s="13">
        <v>40.513051721580318</v>
      </c>
      <c r="Y34" s="13">
        <f t="shared" si="15"/>
        <v>54.622356834219126</v>
      </c>
      <c r="Z34" s="13">
        <v>64.62014120903082</v>
      </c>
      <c r="AB34" s="13">
        <f t="shared" si="3"/>
        <v>64.588788486440805</v>
      </c>
      <c r="AE34" s="33">
        <f t="shared" si="1"/>
        <v>5.0566884082174521</v>
      </c>
      <c r="AG34">
        <v>30</v>
      </c>
      <c r="AH34">
        <v>0</v>
      </c>
      <c r="AK34">
        <v>2039</v>
      </c>
    </row>
    <row r="35" spans="1:37">
      <c r="A35">
        <v>2040</v>
      </c>
      <c r="C35" s="13">
        <f t="shared" si="17"/>
        <v>56.167981342237518</v>
      </c>
      <c r="D35" s="84">
        <f>65*EXP(E35)/(1+EXP(E35))</f>
        <v>56.567262601485851</v>
      </c>
      <c r="E35" s="84">
        <f>J35-SUM(F$7:F35)</f>
        <v>1.9033089782439951</v>
      </c>
      <c r="F35" s="13">
        <f t="shared" si="11"/>
        <v>0.19813745929602999</v>
      </c>
      <c r="G35" s="13">
        <f t="shared" si="12"/>
        <v>0.99068729648014986</v>
      </c>
      <c r="H35" s="13">
        <f t="shared" si="13"/>
        <v>0.99068729648014986</v>
      </c>
      <c r="I35" s="89">
        <v>0.2</v>
      </c>
      <c r="J35" s="13">
        <f t="shared" si="14"/>
        <v>6.0828210305003259</v>
      </c>
      <c r="K35" s="13"/>
      <c r="L35" s="84">
        <f t="shared" si="16"/>
        <v>64.852025141129303</v>
      </c>
      <c r="M35" s="13">
        <f t="shared" si="7"/>
        <v>64.872297168106343</v>
      </c>
      <c r="N35" s="13">
        <f t="shared" si="8"/>
        <v>2041.7204728132958</v>
      </c>
      <c r="O35" s="13">
        <f t="shared" si="9"/>
        <v>2014.9044550457231</v>
      </c>
      <c r="P35" s="13">
        <f t="shared" si="18"/>
        <v>0.89720618894404491</v>
      </c>
      <c r="R35" s="87">
        <v>2040</v>
      </c>
      <c r="S35" s="13">
        <v>57.747959647690564</v>
      </c>
      <c r="T35" s="13">
        <v>56.167981342237518</v>
      </c>
      <c r="U35" s="13">
        <v>52.625006692313995</v>
      </c>
      <c r="W35" s="87">
        <v>2040</v>
      </c>
      <c r="X35" s="13">
        <v>43.249368025501504</v>
      </c>
      <c r="Y35" s="13">
        <f t="shared" si="15"/>
        <v>56.167981342237518</v>
      </c>
      <c r="Z35" s="13">
        <v>64.740581669515848</v>
      </c>
      <c r="AB35" s="13">
        <f t="shared" si="3"/>
        <v>64.721366382820392</v>
      </c>
      <c r="AE35" s="33">
        <f t="shared" si="1"/>
        <v>5.4479489449831586</v>
      </c>
      <c r="AG35">
        <v>31</v>
      </c>
      <c r="AH35">
        <v>0</v>
      </c>
      <c r="AK35">
        <v>2040</v>
      </c>
    </row>
    <row r="36" spans="1:37">
      <c r="A36">
        <v>2041</v>
      </c>
      <c r="C36" s="13">
        <f t="shared" si="17"/>
        <v>57.51885426289887</v>
      </c>
      <c r="D36" s="84">
        <f t="shared" si="10"/>
        <v>57.884809990184316</v>
      </c>
      <c r="E36" s="84">
        <f>J36-SUM(F$7:F36)</f>
        <v>2.0962230644015385</v>
      </c>
      <c r="F36" s="13">
        <f t="shared" si="11"/>
        <v>0.19813745929602999</v>
      </c>
      <c r="G36" s="13">
        <f t="shared" si="12"/>
        <v>0.99068729648014986</v>
      </c>
      <c r="H36" s="13">
        <f t="shared" si="13"/>
        <v>0.99068729648014986</v>
      </c>
      <c r="I36" s="89">
        <f>I35</f>
        <v>0.2</v>
      </c>
      <c r="J36" s="13">
        <f t="shared" si="14"/>
        <v>6.4738725759538989</v>
      </c>
      <c r="K36" s="13"/>
      <c r="L36" s="84">
        <f t="shared" si="16"/>
        <v>64.899844104743167</v>
      </c>
      <c r="M36" s="13">
        <f t="shared" si="7"/>
        <v>64.913591871314367</v>
      </c>
      <c r="N36" s="13">
        <f t="shared" si="8"/>
        <v>2042.7204728132958</v>
      </c>
      <c r="O36" s="13">
        <f t="shared" si="9"/>
        <v>2014.9044550457231</v>
      </c>
      <c r="P36" s="13">
        <f t="shared" si="18"/>
        <v>0.89720618894404491</v>
      </c>
      <c r="R36">
        <v>2041</v>
      </c>
      <c r="S36" s="13">
        <v>58.996614612954438</v>
      </c>
      <c r="T36" s="13">
        <v>57.51885426289887</v>
      </c>
      <c r="U36" s="13">
        <v>54.390207131357336</v>
      </c>
      <c r="W36">
        <v>2041</v>
      </c>
      <c r="X36" s="13">
        <v>45.834519972982513</v>
      </c>
      <c r="Y36" s="13">
        <f t="shared" si="15"/>
        <v>57.51885426289887</v>
      </c>
      <c r="Z36" s="13">
        <v>64.823004246831388</v>
      </c>
      <c r="AB36" s="13">
        <f t="shared" si="3"/>
        <v>64.811324963189335</v>
      </c>
      <c r="AE36" s="33">
        <f t="shared" si="1"/>
        <v>5.8392094817488651</v>
      </c>
      <c r="AG36">
        <v>32</v>
      </c>
      <c r="AH36">
        <v>0</v>
      </c>
    </row>
    <row r="37" spans="1:37">
      <c r="A37">
        <v>2042</v>
      </c>
      <c r="C37" s="13">
        <f t="shared" si="17"/>
        <v>58.689247752253131</v>
      </c>
      <c r="D37" s="84">
        <f t="shared" si="10"/>
        <v>59.018635983029064</v>
      </c>
      <c r="E37" s="84">
        <f>J37-SUM(F$7:F37)</f>
        <v>2.2892046197143596</v>
      </c>
      <c r="F37" s="13">
        <f t="shared" si="11"/>
        <v>0.19813745929602999</v>
      </c>
      <c r="G37" s="13">
        <f t="shared" si="12"/>
        <v>0.99068729648014986</v>
      </c>
      <c r="H37" s="13">
        <f t="shared" si="13"/>
        <v>0.99068729648014986</v>
      </c>
      <c r="I37" s="89">
        <f t="shared" ref="I37:I50" si="19">I36</f>
        <v>0.2</v>
      </c>
      <c r="J37" s="13">
        <f t="shared" si="14"/>
        <v>6.8649915905627497</v>
      </c>
      <c r="K37" s="13"/>
      <c r="L37" s="84">
        <f t="shared" si="16"/>
        <v>64.932230800209567</v>
      </c>
      <c r="M37" s="13">
        <f t="shared" si="7"/>
        <v>64.941545320216093</v>
      </c>
      <c r="N37" s="13">
        <f t="shared" si="8"/>
        <v>2043.7204728132958</v>
      </c>
      <c r="O37" s="13">
        <f t="shared" si="9"/>
        <v>2014.9044550457231</v>
      </c>
      <c r="P37" s="13">
        <f t="shared" si="18"/>
        <v>0.89720618894404491</v>
      </c>
      <c r="R37">
        <v>2042</v>
      </c>
      <c r="S37" s="13">
        <v>60.051640398747118</v>
      </c>
      <c r="T37" s="13">
        <v>58.689247752253131</v>
      </c>
      <c r="U37" s="13">
        <v>55.951604873686662</v>
      </c>
      <c r="W37">
        <v>2042</v>
      </c>
      <c r="X37" s="13">
        <v>48.240045944982342</v>
      </c>
      <c r="Y37" s="13">
        <f t="shared" si="15"/>
        <v>58.689247752253131</v>
      </c>
      <c r="Z37" s="13">
        <v>64.879318729272683</v>
      </c>
      <c r="AB37" s="13">
        <f t="shared" si="3"/>
        <v>64.872297168106343</v>
      </c>
      <c r="AE37" s="33">
        <f t="shared" si="1"/>
        <v>6.2304700185145716</v>
      </c>
      <c r="AG37">
        <v>33</v>
      </c>
      <c r="AH37">
        <v>0</v>
      </c>
    </row>
    <row r="38" spans="1:37">
      <c r="A38">
        <v>2043</v>
      </c>
      <c r="C38" s="13">
        <f t="shared" si="17"/>
        <v>59.695581919169555</v>
      </c>
      <c r="D38" s="84">
        <f t="shared" si="10"/>
        <v>59.987641055269563</v>
      </c>
      <c r="E38" s="84">
        <f>J38-SUM(F$7:F38)</f>
        <v>2.4822319070580612</v>
      </c>
      <c r="F38" s="13">
        <f t="shared" si="11"/>
        <v>0.19813745929602999</v>
      </c>
      <c r="G38" s="13">
        <f t="shared" si="12"/>
        <v>0.99068729648014986</v>
      </c>
      <c r="H38" s="13">
        <f t="shared" si="13"/>
        <v>0.99068729648014986</v>
      </c>
      <c r="I38" s="89">
        <f t="shared" si="19"/>
        <v>0.2</v>
      </c>
      <c r="J38" s="13">
        <f t="shared" si="14"/>
        <v>7.2561563372024809</v>
      </c>
      <c r="K38" s="13"/>
      <c r="L38" s="84">
        <f t="shared" si="16"/>
        <v>64.954154335086898</v>
      </c>
      <c r="M38" s="13">
        <f t="shared" si="7"/>
        <v>64.960461200889711</v>
      </c>
      <c r="N38" s="13">
        <f t="shared" si="8"/>
        <v>2044.7204728132958</v>
      </c>
      <c r="O38" s="13">
        <f t="shared" si="9"/>
        <v>2014.9044550457231</v>
      </c>
      <c r="P38" s="13">
        <f t="shared" si="18"/>
        <v>0.89720618894404491</v>
      </c>
      <c r="R38">
        <v>2043</v>
      </c>
      <c r="S38" s="13">
        <v>60.936105295038352</v>
      </c>
      <c r="T38" s="13">
        <v>59.695581919169555</v>
      </c>
      <c r="U38" s="13">
        <v>57.319289248310483</v>
      </c>
      <c r="W38">
        <v>2043</v>
      </c>
      <c r="X38" s="13">
        <v>50.446842921186125</v>
      </c>
      <c r="Y38" s="13">
        <f t="shared" si="15"/>
        <v>59.695581919169555</v>
      </c>
      <c r="Z38" s="13">
        <v>64.917752638908496</v>
      </c>
      <c r="AB38" s="13">
        <f t="shared" si="3"/>
        <v>64.913591871314367</v>
      </c>
      <c r="AE38" s="33">
        <f t="shared" si="1"/>
        <v>6.6217305552802781</v>
      </c>
      <c r="AG38">
        <v>34</v>
      </c>
      <c r="AH38">
        <v>0</v>
      </c>
    </row>
    <row r="39" spans="1:37">
      <c r="A39">
        <v>2044</v>
      </c>
      <c r="C39" s="13">
        <f t="shared" si="17"/>
        <v>60.555172142719421</v>
      </c>
      <c r="D39" s="84">
        <f t="shared" si="10"/>
        <v>60.810927563554891</v>
      </c>
      <c r="E39" s="84">
        <f>J39-SUM(F$7:F39)</f>
        <v>2.6752901686096431</v>
      </c>
      <c r="F39" s="13">
        <f t="shared" si="11"/>
        <v>0.19813745929602999</v>
      </c>
      <c r="G39" s="13">
        <f t="shared" si="12"/>
        <v>0.99068729648014986</v>
      </c>
      <c r="H39" s="13">
        <f t="shared" si="13"/>
        <v>0.99068729648014986</v>
      </c>
      <c r="I39" s="89">
        <f t="shared" si="19"/>
        <v>0.2</v>
      </c>
      <c r="J39" s="13">
        <f t="shared" si="14"/>
        <v>7.6473520580500924</v>
      </c>
      <c r="K39" s="13"/>
      <c r="L39" s="84">
        <f t="shared" si="16"/>
        <v>64.968989889441303</v>
      </c>
      <c r="M39" s="13">
        <f t="shared" si="7"/>
        <v>64.973258440521377</v>
      </c>
      <c r="N39" s="13">
        <f t="shared" si="8"/>
        <v>2045.7204728132958</v>
      </c>
      <c r="O39" s="13">
        <f t="shared" si="9"/>
        <v>2014.9044550457231</v>
      </c>
      <c r="P39" s="13">
        <f t="shared" si="18"/>
        <v>0.89720618894404491</v>
      </c>
      <c r="R39">
        <v>2044</v>
      </c>
      <c r="S39" s="13">
        <v>61.672687171584379</v>
      </c>
      <c r="T39" s="13">
        <v>60.555172142719421</v>
      </c>
      <c r="U39" s="13">
        <v>58.506991882244009</v>
      </c>
      <c r="W39">
        <v>2044</v>
      </c>
      <c r="X39" s="13">
        <v>52.444890645817544</v>
      </c>
      <c r="Y39" s="13">
        <f t="shared" si="15"/>
        <v>60.555172142719421</v>
      </c>
      <c r="Z39" s="13">
        <v>64.943963499538071</v>
      </c>
      <c r="AB39" s="13">
        <f t="shared" si="3"/>
        <v>64.941545320216093</v>
      </c>
      <c r="AE39" s="33">
        <f t="shared" si="1"/>
        <v>7.0129910920459828</v>
      </c>
      <c r="AG39">
        <v>35</v>
      </c>
      <c r="AH39">
        <v>0</v>
      </c>
    </row>
    <row r="40" spans="1:37">
      <c r="A40">
        <v>2045</v>
      </c>
      <c r="C40" s="13">
        <f t="shared" si="17"/>
        <v>61.285272575842328</v>
      </c>
      <c r="D40" s="84">
        <f t="shared" si="10"/>
        <v>61.506931825451289</v>
      </c>
      <c r="E40" s="84">
        <f>J40-SUM(F$7:F40)</f>
        <v>2.8683693979581717</v>
      </c>
      <c r="F40" s="13">
        <f t="shared" si="11"/>
        <v>0.19813745929602999</v>
      </c>
      <c r="G40" s="13">
        <f t="shared" si="12"/>
        <v>0.99068729648014986</v>
      </c>
      <c r="H40" s="13">
        <f t="shared" si="13"/>
        <v>0.99068729648014986</v>
      </c>
      <c r="I40" s="89">
        <f t="shared" si="19"/>
        <v>0.2</v>
      </c>
      <c r="J40" s="13">
        <f t="shared" si="14"/>
        <v>8.0385687466946507</v>
      </c>
      <c r="K40" s="13"/>
      <c r="L40" s="84">
        <f t="shared" si="16"/>
        <v>64.9790266814706</v>
      </c>
      <c r="M40" s="13">
        <f t="shared" si="7"/>
        <v>64.981914842492998</v>
      </c>
      <c r="N40" s="13">
        <f t="shared" si="8"/>
        <v>2046.7204728132958</v>
      </c>
      <c r="O40" s="13">
        <f t="shared" si="9"/>
        <v>2014.9044550457231</v>
      </c>
      <c r="P40" s="13">
        <f t="shared" si="18"/>
        <v>0.89720618894404491</v>
      </c>
      <c r="R40">
        <v>2045</v>
      </c>
      <c r="S40" s="13">
        <v>62.282712475752746</v>
      </c>
      <c r="T40" s="13">
        <v>61.285272575842328</v>
      </c>
      <c r="U40" s="13">
        <v>59.53062977983172</v>
      </c>
      <c r="W40">
        <v>2045</v>
      </c>
      <c r="X40" s="13">
        <v>54.232316497380147</v>
      </c>
      <c r="Y40" s="13">
        <f t="shared" si="15"/>
        <v>61.285272575842328</v>
      </c>
      <c r="Z40" s="13">
        <v>64.961829373250282</v>
      </c>
      <c r="AB40" s="13">
        <f t="shared" si="3"/>
        <v>64.960461200889711</v>
      </c>
      <c r="AE40" s="33">
        <f t="shared" si="1"/>
        <v>7.4042516288116893</v>
      </c>
      <c r="AG40">
        <v>36</v>
      </c>
      <c r="AH40">
        <v>0</v>
      </c>
    </row>
    <row r="41" spans="1:37">
      <c r="A41">
        <v>2046</v>
      </c>
      <c r="C41" s="13">
        <f t="shared" si="17"/>
        <v>61.902399868900893</v>
      </c>
      <c r="D41" s="84">
        <f t="shared" si="10"/>
        <v>62.092864415211864</v>
      </c>
      <c r="E41" s="84">
        <f>J41-SUM(F$7:F41)</f>
        <v>3.0614628163073023</v>
      </c>
      <c r="F41" s="13">
        <f t="shared" si="11"/>
        <v>0.19813745929602999</v>
      </c>
      <c r="G41" s="13">
        <f t="shared" si="12"/>
        <v>0.99068729648014986</v>
      </c>
      <c r="H41" s="13">
        <f t="shared" si="13"/>
        <v>0.99068729648014986</v>
      </c>
      <c r="I41" s="89">
        <f t="shared" si="19"/>
        <v>0.2</v>
      </c>
      <c r="J41" s="13">
        <f t="shared" si="14"/>
        <v>8.429799624339811</v>
      </c>
      <c r="K41" s="13"/>
      <c r="L41" s="84">
        <f t="shared" si="16"/>
        <v>64.985815856537172</v>
      </c>
      <c r="M41" s="13">
        <f t="shared" si="7"/>
        <v>64.987769643086352</v>
      </c>
      <c r="N41" s="13">
        <f t="shared" si="8"/>
        <v>2047.7204728132958</v>
      </c>
      <c r="O41" s="13">
        <f t="shared" si="9"/>
        <v>2014.9044550457231</v>
      </c>
      <c r="P41" s="13">
        <f t="shared" si="18"/>
        <v>0.89720618894404491</v>
      </c>
      <c r="R41">
        <v>2046</v>
      </c>
      <c r="S41" s="13">
        <v>62.785591221592348</v>
      </c>
      <c r="T41" s="13">
        <v>61.902399868900893</v>
      </c>
      <c r="U41" s="13">
        <v>60.407092761248812</v>
      </c>
      <c r="W41">
        <v>2046</v>
      </c>
      <c r="X41" s="13">
        <v>55.814027836173182</v>
      </c>
      <c r="Y41" s="13">
        <f t="shared" si="15"/>
        <v>61.902399868900893</v>
      </c>
      <c r="Z41" s="13">
        <v>64.973969356515695</v>
      </c>
      <c r="AB41" s="13">
        <f t="shared" si="3"/>
        <v>64.973258440521377</v>
      </c>
      <c r="AE41" s="33">
        <f t="shared" si="1"/>
        <v>7.7955121655773958</v>
      </c>
      <c r="AG41">
        <v>37</v>
      </c>
      <c r="AH41">
        <v>0</v>
      </c>
    </row>
    <row r="42" spans="1:37">
      <c r="A42">
        <v>2047</v>
      </c>
      <c r="C42" s="13">
        <f t="shared" si="17"/>
        <v>62.421898208592047</v>
      </c>
      <c r="D42" s="84">
        <f t="shared" si="10"/>
        <v>62.58439416633496</v>
      </c>
      <c r="E42" s="84">
        <f>J42-SUM(F$7:F42)</f>
        <v>3.2545658341145485</v>
      </c>
      <c r="F42" s="13">
        <f t="shared" si="11"/>
        <v>0.19813745929602999</v>
      </c>
      <c r="G42" s="13">
        <f t="shared" si="12"/>
        <v>0.99068729648014986</v>
      </c>
      <c r="H42" s="13">
        <f t="shared" si="13"/>
        <v>0.99068729648014986</v>
      </c>
      <c r="I42" s="89">
        <f t="shared" si="19"/>
        <v>0.2</v>
      </c>
      <c r="J42" s="13">
        <f t="shared" si="14"/>
        <v>8.8210401014430868</v>
      </c>
      <c r="K42" s="13"/>
      <c r="L42" s="84">
        <f t="shared" si="16"/>
        <v>64.990407755920458</v>
      </c>
      <c r="M42" s="13">
        <f t="shared" si="7"/>
        <v>64.991729280362648</v>
      </c>
      <c r="N42" s="13">
        <f t="shared" si="8"/>
        <v>2048.7204728132956</v>
      </c>
      <c r="O42" s="13">
        <f t="shared" si="9"/>
        <v>2014.9044550457231</v>
      </c>
      <c r="P42" s="13">
        <f t="shared" si="18"/>
        <v>0.89720618894404491</v>
      </c>
      <c r="R42">
        <v>2047</v>
      </c>
      <c r="S42" s="13">
        <v>63.198554944153564</v>
      </c>
      <c r="T42" s="13">
        <v>62.421898208592047</v>
      </c>
      <c r="U42" s="13">
        <v>61.153304313234926</v>
      </c>
      <c r="W42">
        <v>2047</v>
      </c>
      <c r="X42" s="13">
        <v>57.200142389463387</v>
      </c>
      <c r="Y42" s="13">
        <f t="shared" si="15"/>
        <v>62.421898208592047</v>
      </c>
      <c r="Z42" s="13">
        <v>64.982171894247756</v>
      </c>
      <c r="AB42" s="13">
        <f t="shared" si="3"/>
        <v>64.981914842492998</v>
      </c>
      <c r="AE42" s="33">
        <f t="shared" si="1"/>
        <v>8.1867727023431023</v>
      </c>
      <c r="AG42">
        <v>38</v>
      </c>
      <c r="AH42">
        <v>0</v>
      </c>
    </row>
    <row r="43" spans="1:37">
      <c r="A43">
        <v>2048</v>
      </c>
      <c r="C43" s="13">
        <f t="shared" si="17"/>
        <v>62.857697456295725</v>
      </c>
      <c r="D43" s="84">
        <f t="shared" si="10"/>
        <v>62.995513022044641</v>
      </c>
      <c r="E43" s="84">
        <f>J43-SUM(F$7:F43)</f>
        <v>3.4476753453089168</v>
      </c>
      <c r="F43" s="13">
        <f t="shared" si="11"/>
        <v>0.19813745929602999</v>
      </c>
      <c r="G43" s="13">
        <f t="shared" si="12"/>
        <v>0.99068729648014986</v>
      </c>
      <c r="H43" s="13">
        <f t="shared" si="13"/>
        <v>0.99068729648014986</v>
      </c>
      <c r="I43" s="89">
        <f t="shared" si="19"/>
        <v>0.2</v>
      </c>
      <c r="J43" s="13">
        <f t="shared" si="14"/>
        <v>9.2122870719334848</v>
      </c>
      <c r="K43" s="13"/>
      <c r="L43" s="84">
        <f t="shared" si="16"/>
        <v>64.993513288650973</v>
      </c>
      <c r="M43" s="13">
        <f t="shared" si="7"/>
        <v>64.994407076222487</v>
      </c>
      <c r="N43" s="13">
        <f t="shared" si="8"/>
        <v>2049.7204728132956</v>
      </c>
      <c r="O43" s="13">
        <f t="shared" si="9"/>
        <v>2014.9044550457231</v>
      </c>
      <c r="P43" s="13">
        <f t="shared" si="18"/>
        <v>0.89720618894404491</v>
      </c>
      <c r="R43">
        <v>2048</v>
      </c>
      <c r="S43" s="13">
        <v>63.536608699310349</v>
      </c>
      <c r="T43" s="13">
        <v>62.857697456295725</v>
      </c>
      <c r="U43" s="13">
        <v>61.785546439594164</v>
      </c>
      <c r="W43">
        <v>2048</v>
      </c>
      <c r="X43" s="13">
        <v>58.404415116716059</v>
      </c>
      <c r="Y43" s="13">
        <f t="shared" si="15"/>
        <v>62.857697456295725</v>
      </c>
      <c r="Z43" s="13">
        <v>64.987656841338904</v>
      </c>
      <c r="AB43" s="13">
        <f t="shared" si="3"/>
        <v>64.987769643086352</v>
      </c>
      <c r="AE43" s="33">
        <f t="shared" si="1"/>
        <v>8.5780332391088088</v>
      </c>
      <c r="AG43">
        <v>39</v>
      </c>
      <c r="AH43">
        <v>0</v>
      </c>
    </row>
    <row r="44" spans="1:37">
      <c r="A44">
        <v>2049</v>
      </c>
      <c r="C44" s="13">
        <f t="shared" si="17"/>
        <v>63.21721457351078</v>
      </c>
      <c r="D44" s="84">
        <f t="shared" si="10"/>
        <v>63.338527034439053</v>
      </c>
      <c r="E44" s="84">
        <f>J44-SUM(F$7:F44)</f>
        <v>3.64078924836073</v>
      </c>
      <c r="F44" s="13">
        <f t="shared" si="11"/>
        <v>0.19813745929602999</v>
      </c>
      <c r="G44" s="13">
        <f t="shared" si="12"/>
        <v>0.99068729648014986</v>
      </c>
      <c r="H44" s="13">
        <f t="shared" si="13"/>
        <v>0.99068729648014986</v>
      </c>
      <c r="I44" s="89">
        <f t="shared" si="19"/>
        <v>0.2</v>
      </c>
      <c r="J44" s="13">
        <f t="shared" si="14"/>
        <v>9.6035384342813277</v>
      </c>
      <c r="K44" s="13"/>
      <c r="L44" s="84">
        <f t="shared" si="16"/>
        <v>64.995613478134203</v>
      </c>
      <c r="M44" s="13">
        <f t="shared" si="7"/>
        <v>64.996217937437763</v>
      </c>
      <c r="N44" s="13">
        <f t="shared" si="8"/>
        <v>2050.7204728132956</v>
      </c>
      <c r="O44" s="13">
        <f t="shared" si="9"/>
        <v>2014.9044550457231</v>
      </c>
      <c r="P44" s="13">
        <f t="shared" si="18"/>
        <v>0.89720618894404491</v>
      </c>
      <c r="R44">
        <v>2049</v>
      </c>
      <c r="S44" s="13">
        <v>63.809532211151058</v>
      </c>
      <c r="T44" s="13">
        <v>63.21721457351078</v>
      </c>
      <c r="U44" s="13">
        <v>62.319015824281045</v>
      </c>
      <c r="W44">
        <v>2049</v>
      </c>
      <c r="X44" s="13">
        <v>59.442806816715361</v>
      </c>
      <c r="Y44" s="13">
        <f t="shared" si="15"/>
        <v>63.21721457351078</v>
      </c>
      <c r="Z44" s="13">
        <v>64.991255507407601</v>
      </c>
      <c r="AB44" s="13">
        <f t="shared" si="3"/>
        <v>64.991729280362648</v>
      </c>
      <c r="AE44" s="33">
        <f t="shared" si="1"/>
        <v>8.9692937758745135</v>
      </c>
      <c r="AG44">
        <v>40</v>
      </c>
      <c r="AH44">
        <v>0</v>
      </c>
    </row>
    <row r="45" spans="1:37">
      <c r="A45">
        <v>2050</v>
      </c>
      <c r="C45" s="13">
        <f t="shared" si="17"/>
        <v>63.50498373390424</v>
      </c>
      <c r="D45" s="84">
        <f t="shared" si="10"/>
        <v>63.624129433107669</v>
      </c>
      <c r="E45" s="84">
        <f>J45-SUM(F$7:F45)</f>
        <v>3.8339061216685399</v>
      </c>
      <c r="F45" s="13">
        <f t="shared" si="11"/>
        <v>0.19813745929602999</v>
      </c>
      <c r="G45" s="13">
        <f t="shared" si="12"/>
        <v>0.99068729648014986</v>
      </c>
      <c r="H45" s="13">
        <f t="shared" si="13"/>
        <v>0.99068729648014986</v>
      </c>
      <c r="I45" s="89">
        <f t="shared" si="19"/>
        <v>0.2</v>
      </c>
      <c r="J45" s="13">
        <f t="shared" si="14"/>
        <v>9.9947927668851673</v>
      </c>
      <c r="K45" s="13"/>
      <c r="L45" s="84">
        <f t="shared" si="16"/>
        <v>64.997033733337602</v>
      </c>
      <c r="M45" s="13">
        <f t="shared" si="7"/>
        <v>64.997442506145589</v>
      </c>
      <c r="N45" s="13">
        <f t="shared" si="8"/>
        <v>2051.7204728132956</v>
      </c>
      <c r="O45" s="13">
        <f t="shared" si="9"/>
        <v>2014.9044550457231</v>
      </c>
      <c r="P45" s="13">
        <f t="shared" si="18"/>
        <v>0.89720618894404491</v>
      </c>
      <c r="R45">
        <v>2050</v>
      </c>
      <c r="S45" s="13">
        <v>64.024513241681191</v>
      </c>
      <c r="T45" s="13">
        <v>63.50498373390424</v>
      </c>
      <c r="U45" s="13">
        <v>62.761243131943807</v>
      </c>
      <c r="W45">
        <v>2050</v>
      </c>
      <c r="X45" s="13">
        <v>60.332281120433677</v>
      </c>
      <c r="Y45" s="13">
        <f t="shared" si="15"/>
        <v>63.50498373390424</v>
      </c>
      <c r="Z45" s="13">
        <v>64.993533995754362</v>
      </c>
      <c r="AB45" s="13">
        <f t="shared" si="3"/>
        <v>64.994407076222487</v>
      </c>
      <c r="AE45" s="33">
        <f t="shared" si="1"/>
        <v>9.36055431264022</v>
      </c>
      <c r="AG45">
        <v>41</v>
      </c>
      <c r="AH45">
        <v>0</v>
      </c>
    </row>
    <row r="46" spans="1:37">
      <c r="A46">
        <v>2051</v>
      </c>
      <c r="C46" s="20">
        <f t="shared" si="17"/>
        <v>63.658971618332544</v>
      </c>
      <c r="D46" s="84">
        <f t="shared" si="10"/>
        <v>63.861522297480576</v>
      </c>
      <c r="E46" s="84">
        <f>J46-SUM(F$7:F46)</f>
        <v>4.0270250036796762</v>
      </c>
      <c r="F46" s="13">
        <f t="shared" si="11"/>
        <v>0.19813745929602999</v>
      </c>
      <c r="G46" s="13">
        <f t="shared" si="12"/>
        <v>0.99068729648014986</v>
      </c>
      <c r="H46" s="13">
        <f t="shared" si="13"/>
        <v>0.99068729648014986</v>
      </c>
      <c r="I46" s="89">
        <f t="shared" si="19"/>
        <v>0.2</v>
      </c>
      <c r="J46" s="13">
        <f t="shared" si="14"/>
        <v>10.386049108192333</v>
      </c>
      <c r="K46" s="13"/>
      <c r="L46" s="84">
        <f t="shared" si="16"/>
        <v>64.997994160691007</v>
      </c>
      <c r="M46" s="13">
        <f t="shared" si="7"/>
        <v>64.998270590502557</v>
      </c>
      <c r="N46" s="13">
        <f t="shared" si="8"/>
        <v>2052.7204728132956</v>
      </c>
      <c r="O46" s="13">
        <f t="shared" si="9"/>
        <v>2014.9044550457231</v>
      </c>
      <c r="P46" s="13">
        <f t="shared" si="18"/>
        <v>0.89720618894404491</v>
      </c>
      <c r="R46">
        <v>2051</v>
      </c>
      <c r="T46" s="13"/>
      <c r="W46">
        <v>2051</v>
      </c>
      <c r="X46" s="12"/>
      <c r="Y46" s="12"/>
      <c r="AB46" s="13">
        <f t="shared" si="3"/>
        <v>64.996217937437763</v>
      </c>
      <c r="AE46" s="33">
        <f t="shared" si="1"/>
        <v>9.7518148494059265</v>
      </c>
      <c r="AG46">
        <v>42</v>
      </c>
      <c r="AH46">
        <v>0</v>
      </c>
    </row>
    <row r="47" spans="1:37">
      <c r="A47">
        <v>2052</v>
      </c>
      <c r="C47" s="20">
        <f t="shared" si="17"/>
        <v>63.713398712636042</v>
      </c>
      <c r="D47" s="84">
        <f t="shared" si="10"/>
        <v>64.023551645956729</v>
      </c>
      <c r="E47" s="84">
        <f>J47-SUM(F$7:F47)</f>
        <v>4.1830844290430234</v>
      </c>
      <c r="F47" s="13">
        <f t="shared" si="11"/>
        <v>0.19813745929602999</v>
      </c>
      <c r="G47" s="13">
        <f t="shared" si="12"/>
        <v>0.99068729648014986</v>
      </c>
      <c r="H47" s="13">
        <f t="shared" si="13"/>
        <v>0.99068729648014986</v>
      </c>
      <c r="I47" s="89">
        <f t="shared" si="19"/>
        <v>0.2</v>
      </c>
      <c r="J47" s="13">
        <f t="shared" si="14"/>
        <v>10.74024599285171</v>
      </c>
      <c r="K47" s="13"/>
      <c r="L47" s="84">
        <f t="shared" si="16"/>
        <v>64.998592415801369</v>
      </c>
      <c r="M47" s="13">
        <f t="shared" si="7"/>
        <v>64.998830556379616</v>
      </c>
      <c r="N47" s="13">
        <f t="shared" si="8"/>
        <v>2053.7204728132956</v>
      </c>
      <c r="O47" s="13">
        <f t="shared" si="9"/>
        <v>2014.9044550457231</v>
      </c>
      <c r="P47" s="13">
        <f t="shared" si="18"/>
        <v>0.89720618894404491</v>
      </c>
      <c r="R47">
        <v>2052</v>
      </c>
      <c r="T47" s="13"/>
      <c r="W47">
        <v>2052</v>
      </c>
      <c r="X47" s="12"/>
      <c r="Y47" s="12"/>
      <c r="AB47" s="13">
        <f t="shared" si="3"/>
        <v>64.997442506145589</v>
      </c>
      <c r="AE47" s="33">
        <f t="shared" si="1"/>
        <v>10.143075386171633</v>
      </c>
      <c r="AG47">
        <v>43</v>
      </c>
      <c r="AH47">
        <v>0</v>
      </c>
    </row>
    <row r="48" spans="1:37">
      <c r="A48">
        <v>2053</v>
      </c>
      <c r="C48" s="20">
        <f t="shared" si="17"/>
        <v>63.77587732566888</v>
      </c>
      <c r="D48" s="84">
        <f t="shared" si="10"/>
        <v>64.107248537966086</v>
      </c>
      <c r="E48" s="84">
        <f>J48-SUM(F$7:F48)</f>
        <v>4.2740044940833348</v>
      </c>
      <c r="F48" s="13">
        <f t="shared" si="11"/>
        <v>0.19813745929602999</v>
      </c>
      <c r="G48" s="13">
        <f t="shared" si="12"/>
        <v>0.99068729648014986</v>
      </c>
      <c r="H48" s="13">
        <f t="shared" si="13"/>
        <v>0.99068729648014986</v>
      </c>
      <c r="I48" s="89">
        <f t="shared" si="19"/>
        <v>0.2</v>
      </c>
      <c r="J48" s="13">
        <f t="shared" si="14"/>
        <v>11.029303517188051</v>
      </c>
      <c r="K48" s="13"/>
      <c r="L48" s="84">
        <f t="shared" si="16"/>
        <v>64.998945757170148</v>
      </c>
      <c r="M48" s="13">
        <f t="shared" si="7"/>
        <v>64.999209212989527</v>
      </c>
      <c r="N48" s="13">
        <f t="shared" si="8"/>
        <v>2054.7204728132956</v>
      </c>
      <c r="O48" s="13">
        <f t="shared" si="9"/>
        <v>2014.9044550457231</v>
      </c>
      <c r="P48" s="13">
        <f t="shared" si="18"/>
        <v>0.89720618894404491</v>
      </c>
      <c r="R48">
        <v>2053</v>
      </c>
      <c r="T48" s="13"/>
      <c r="W48">
        <v>2053</v>
      </c>
      <c r="X48" s="12"/>
      <c r="Y48" s="12"/>
      <c r="AB48" s="13">
        <f t="shared" si="3"/>
        <v>64.998270590502557</v>
      </c>
      <c r="AE48" s="33">
        <f t="shared" si="1"/>
        <v>10.534335922937339</v>
      </c>
      <c r="AG48">
        <v>44</v>
      </c>
      <c r="AH48">
        <v>0</v>
      </c>
    </row>
    <row r="49" spans="1:34">
      <c r="A49">
        <v>2054</v>
      </c>
      <c r="C49" s="20">
        <f t="shared" si="17"/>
        <v>63.806226904181109</v>
      </c>
      <c r="D49" s="84">
        <f t="shared" si="10"/>
        <v>63.662309357333051</v>
      </c>
      <c r="E49" s="84">
        <f>J49-SUM(F$7:F49)</f>
        <v>3.862647971418748</v>
      </c>
      <c r="F49" s="13">
        <f t="shared" si="11"/>
        <v>0.19813745929602999</v>
      </c>
      <c r="G49" s="13">
        <f t="shared" si="12"/>
        <v>0.99068729648014986</v>
      </c>
      <c r="H49" s="13">
        <f t="shared" si="13"/>
        <v>0.99068729648014986</v>
      </c>
      <c r="I49" s="89">
        <f t="shared" si="19"/>
        <v>0.2</v>
      </c>
      <c r="J49" s="13">
        <f t="shared" si="14"/>
        <v>10.816084453819494</v>
      </c>
      <c r="K49" s="13"/>
      <c r="L49" s="84">
        <f>AVERAGE(M45:M50)</f>
        <v>64.998695215332717</v>
      </c>
      <c r="M49" s="13">
        <f t="shared" si="7"/>
        <v>64.999209212989527</v>
      </c>
      <c r="N49" s="13">
        <f t="shared" si="8"/>
        <v>2055.7204728132956</v>
      </c>
      <c r="O49" s="13">
        <f t="shared" si="9"/>
        <v>2014.9044550457231</v>
      </c>
      <c r="P49" s="13">
        <f t="shared" si="18"/>
        <v>0.89720618894404491</v>
      </c>
      <c r="R49">
        <v>2054</v>
      </c>
      <c r="T49" s="13"/>
      <c r="W49">
        <v>2054</v>
      </c>
      <c r="X49" s="12"/>
      <c r="Y49" s="12"/>
      <c r="AB49" s="13">
        <f t="shared" si="3"/>
        <v>64.998830556379616</v>
      </c>
      <c r="AE49" s="33">
        <f t="shared" si="1"/>
        <v>10.925596459703046</v>
      </c>
      <c r="AG49">
        <v>45</v>
      </c>
      <c r="AH49">
        <v>0</v>
      </c>
    </row>
    <row r="50" spans="1:34">
      <c r="A50">
        <v>2055</v>
      </c>
      <c r="C50" s="20">
        <f>AVERAGE(D47:D53)</f>
        <v>63.792403055856241</v>
      </c>
      <c r="D50" s="84">
        <f t="shared" si="10"/>
        <v>63.376502682169118</v>
      </c>
      <c r="E50" s="84">
        <f>J50-SUM(F$7:F50)</f>
        <v>3.6645105121227184</v>
      </c>
      <c r="F50" s="13">
        <f t="shared" si="11"/>
        <v>0.19813745929602999</v>
      </c>
      <c r="G50" s="13">
        <f t="shared" si="12"/>
        <v>0.99068729648014986</v>
      </c>
      <c r="H50" s="13">
        <f t="shared" si="13"/>
        <v>0.99068729648014986</v>
      </c>
      <c r="I50" s="89">
        <f t="shared" si="19"/>
        <v>0.2</v>
      </c>
      <c r="J50" s="13">
        <f t="shared" si="14"/>
        <v>10.816084453819494</v>
      </c>
      <c r="K50" s="13"/>
      <c r="L50" s="84">
        <f>AVERAGE(M45:M50)</f>
        <v>64.998695215332717</v>
      </c>
      <c r="M50" s="13">
        <f t="shared" si="7"/>
        <v>64.999209212989527</v>
      </c>
      <c r="N50" s="13">
        <f t="shared" si="8"/>
        <v>2056.7204728132956</v>
      </c>
      <c r="O50" s="13">
        <f t="shared" si="9"/>
        <v>2014.9044550457231</v>
      </c>
      <c r="P50" s="13">
        <f t="shared" si="18"/>
        <v>0.89720618894404491</v>
      </c>
      <c r="R50">
        <v>2055</v>
      </c>
      <c r="T50" s="13"/>
      <c r="W50">
        <v>2055</v>
      </c>
      <c r="X50" s="12"/>
      <c r="Y50" s="12"/>
      <c r="AB50" s="13">
        <f t="shared" si="3"/>
        <v>64.999209212989527</v>
      </c>
      <c r="AE50" s="33">
        <f t="shared" si="1"/>
        <v>11.316856996468752</v>
      </c>
      <c r="AG50">
        <v>46</v>
      </c>
      <c r="AH50">
        <v>0</v>
      </c>
    </row>
    <row r="51" spans="1:34">
      <c r="G51" s="33"/>
      <c r="H51" s="33"/>
      <c r="I51" s="33"/>
    </row>
    <row r="52" spans="1:34">
      <c r="G52" s="33"/>
      <c r="H52" s="33"/>
      <c r="I52" s="33"/>
    </row>
    <row r="53" spans="1:34">
      <c r="G53" s="33"/>
      <c r="H53" s="33"/>
      <c r="I53" s="33"/>
    </row>
    <row r="56" spans="1:34">
      <c r="O56" s="41" t="str">
        <f>' All EV uptake'!D46</f>
        <v>Intercept</v>
      </c>
      <c r="P56" s="41">
        <f>' All EV uptake'!E46</f>
        <v>2006.0956444042549</v>
      </c>
      <c r="S56" s="41" t="s">
        <v>159</v>
      </c>
      <c r="T56" s="41">
        <v>-6.6811276947537319</v>
      </c>
    </row>
    <row r="57" spans="1:34">
      <c r="O57" s="41" t="str">
        <f>' All EV uptake'!D47</f>
        <v>EV/FFV cost ratio</v>
      </c>
      <c r="P57" s="41">
        <f>' All EV uptake'!E47</f>
        <v>10.783904112355547</v>
      </c>
      <c r="S57" t="s">
        <v>329</v>
      </c>
      <c r="T57" s="41">
        <v>0.39126053676570616</v>
      </c>
    </row>
    <row r="58" spans="1:34" ht="15.75" thickBot="1">
      <c r="C58" s="33" t="s">
        <v>1218</v>
      </c>
      <c r="D58" s="250">
        <f>K69/100</f>
        <v>2.5641453489602884E-2</v>
      </c>
      <c r="O58" s="41" t="str">
        <f>' All EV uptake'!D48</f>
        <v>dumKorea</v>
      </c>
      <c r="P58" s="41">
        <f>' All EV uptake'!E48</f>
        <v>3.2747008164932261</v>
      </c>
      <c r="S58" t="s">
        <v>1234</v>
      </c>
      <c r="T58" s="42">
        <v>0.22312429143160778</v>
      </c>
    </row>
    <row r="59" spans="1:34">
      <c r="O59" s="41" t="str">
        <f>' All EV uptake'!D49</f>
        <v>dumUK</v>
      </c>
      <c r="P59" s="41">
        <f>' All EV uptake'!E49</f>
        <v>2.7276845521810786</v>
      </c>
    </row>
    <row r="60" spans="1:34">
      <c r="O60" s="41" t="str">
        <f>' All EV uptake'!D50</f>
        <v>dumNeth</v>
      </c>
      <c r="P60" s="41">
        <f>' All EV uptake'!E50</f>
        <v>-1.2544269368470402</v>
      </c>
    </row>
    <row r="61" spans="1:34">
      <c r="E61"/>
      <c r="F61" s="242">
        <v>2016</v>
      </c>
      <c r="G61" s="242"/>
      <c r="H61" s="242">
        <v>2017</v>
      </c>
      <c r="I61" s="242"/>
      <c r="J61" s="242">
        <v>2018</v>
      </c>
      <c r="K61" s="242"/>
      <c r="O61" s="41" t="str">
        <f>' All EV uptake'!D51</f>
        <v>dumChina</v>
      </c>
      <c r="P61" s="41">
        <f>' All EV uptake'!E51</f>
        <v>1.6840641661301363</v>
      </c>
    </row>
    <row r="62" spans="1:34">
      <c r="E62" t="s">
        <v>1235</v>
      </c>
      <c r="F62">
        <v>1216</v>
      </c>
      <c r="H62">
        <v>1486</v>
      </c>
      <c r="J62">
        <v>2252</v>
      </c>
      <c r="O62" s="41" t="str">
        <f>' All EV uptake'!D52</f>
        <v>dumDenmark</v>
      </c>
      <c r="P62" s="41">
        <f>' All EV uptake'!E52</f>
        <v>3.2654872236791634</v>
      </c>
    </row>
    <row r="63" spans="1:34">
      <c r="E63" t="s">
        <v>1236</v>
      </c>
      <c r="F63">
        <v>1299</v>
      </c>
      <c r="G63">
        <f>F62+F63</f>
        <v>2515</v>
      </c>
      <c r="H63">
        <v>1932</v>
      </c>
      <c r="I63">
        <f>H62+H63</f>
        <v>3418</v>
      </c>
      <c r="J63">
        <v>2084</v>
      </c>
      <c r="K63">
        <f>J62+J63</f>
        <v>4336</v>
      </c>
      <c r="O63" s="41" t="str">
        <f>' All EV uptake'!D53</f>
        <v>dumIreland</v>
      </c>
      <c r="P63" s="41">
        <f>' All EV uptake'!E53</f>
        <v>3.5582490934682056</v>
      </c>
    </row>
    <row r="64" spans="1:34">
      <c r="E64" t="s">
        <v>1237</v>
      </c>
      <c r="F64">
        <v>1189</v>
      </c>
      <c r="H64">
        <v>1986</v>
      </c>
      <c r="O64" s="41" t="str">
        <f>' All EV uptake'!D54</f>
        <v>dumNZ</v>
      </c>
      <c r="P64" s="41">
        <f>' All EV uptake'!E54</f>
        <v>1.900474768762227</v>
      </c>
    </row>
    <row r="65" spans="5:16">
      <c r="E65" t="s">
        <v>1238</v>
      </c>
      <c r="F65" s="18">
        <v>1359</v>
      </c>
      <c r="G65" s="18">
        <f>F64+F65</f>
        <v>2548</v>
      </c>
      <c r="H65" s="18">
        <v>1861</v>
      </c>
      <c r="I65" s="18">
        <f>H64+H65</f>
        <v>3847</v>
      </c>
      <c r="J65" s="18"/>
      <c r="K65" s="16">
        <f>K63*I65/I63</f>
        <v>4880.2200117027505</v>
      </c>
      <c r="O65" s="41" t="str">
        <f>' All EV uptake'!D55</f>
        <v>dumSwitzerland</v>
      </c>
      <c r="P65" s="41">
        <f>' All EV uptake'!E55</f>
        <v>-2.1041729879229703</v>
      </c>
    </row>
    <row r="66" spans="5:16">
      <c r="E66"/>
      <c r="F66">
        <f>SUM(F62:F65)</f>
        <v>5063</v>
      </c>
      <c r="G66">
        <f t="shared" ref="G66:I66" si="20">SUM(G62:G65)</f>
        <v>5063</v>
      </c>
      <c r="H66">
        <f t="shared" si="20"/>
        <v>7265</v>
      </c>
      <c r="I66">
        <f t="shared" si="20"/>
        <v>7265</v>
      </c>
      <c r="K66" s="3">
        <f t="shared" ref="K66" si="21">SUM(K62:K65)</f>
        <v>9216.2200117027496</v>
      </c>
      <c r="O66" s="41" t="str">
        <f>' All EV uptake'!D56</f>
        <v>dumSpain</v>
      </c>
      <c r="P66" s="41">
        <f>' All EV uptake'!E56</f>
        <v>4.4168133039283006</v>
      </c>
    </row>
    <row r="67" spans="5:16">
      <c r="E67"/>
      <c r="F67"/>
      <c r="O67" s="41" t="str">
        <f>' All EV uptake'!D57</f>
        <v>dumIndia</v>
      </c>
      <c r="P67" s="41">
        <f>' All EV uptake'!E57</f>
        <v>8.3918907463589623</v>
      </c>
    </row>
    <row r="68" spans="5:16">
      <c r="E68"/>
      <c r="F68" s="13"/>
      <c r="H68" s="13"/>
      <c r="O68" s="41" t="str">
        <f>' All EV uptake'!D58</f>
        <v>dumUSA</v>
      </c>
      <c r="P68" s="41">
        <f>' All EV uptake'!E58</f>
        <v>2.1386885311349126</v>
      </c>
    </row>
    <row r="69" spans="5:16">
      <c r="F69" s="13">
        <f>B11</f>
        <v>1.5360857271149624</v>
      </c>
      <c r="H69" s="13">
        <f>B12</f>
        <v>2.0212750928842866</v>
      </c>
      <c r="I69" s="13">
        <f>F69*H66/F66</f>
        <v>2.2041601436875768</v>
      </c>
      <c r="K69" s="13">
        <f>H69*K66/H66</f>
        <v>2.5641453489602886</v>
      </c>
      <c r="O69" s="41" t="str">
        <f>' All EV uptake'!D59</f>
        <v>dumAustria</v>
      </c>
      <c r="P69" s="41">
        <f>' All EV uptake'!E59</f>
        <v>-0.86657486911619475</v>
      </c>
    </row>
    <row r="70" spans="5:16">
      <c r="O70" s="41" t="str">
        <f>' All EV uptake'!D60</f>
        <v>dumItaly</v>
      </c>
      <c r="P70" s="41">
        <f>' All EV uptake'!E60</f>
        <v>2.0513905871244105</v>
      </c>
    </row>
    <row r="71" spans="5:16">
      <c r="O71" s="41" t="str">
        <f>' All EV uptake'!D61</f>
        <v>dumJapan</v>
      </c>
      <c r="P71" s="41">
        <f>' All EV uptake'!E61</f>
        <v>4.0948893434577212</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133"/>
  <sheetViews>
    <sheetView topLeftCell="A61" zoomScale="75" zoomScaleNormal="75" workbookViewId="0">
      <selection activeCell="AA76" sqref="AA76:AE97"/>
    </sheetView>
  </sheetViews>
  <sheetFormatPr defaultRowHeight="15"/>
  <cols>
    <col min="2" max="2" width="12.5703125" customWidth="1"/>
    <col min="3" max="3" width="10.42578125" customWidth="1"/>
    <col min="4" max="4" width="13.140625" customWidth="1"/>
    <col min="5" max="5" width="11.28515625" customWidth="1"/>
    <col min="7" max="7" width="10.140625" customWidth="1"/>
    <col min="8" max="8" width="15.28515625" customWidth="1"/>
    <col min="18" max="18" width="12.42578125" customWidth="1"/>
    <col min="21" max="21" width="13.140625" customWidth="1"/>
    <col min="22" max="22" width="13.5703125" customWidth="1"/>
    <col min="24" max="24" width="11" customWidth="1"/>
    <col min="26" max="26" width="10.85546875" customWidth="1"/>
    <col min="30" max="30" width="10.85546875" customWidth="1"/>
    <col min="31" max="31" width="10.42578125" customWidth="1"/>
    <col min="32" max="33" width="15.42578125" customWidth="1"/>
  </cols>
  <sheetData>
    <row r="1" spans="1:43">
      <c r="A1" t="s">
        <v>5</v>
      </c>
      <c r="B1" t="s">
        <v>1395</v>
      </c>
      <c r="C1" t="s">
        <v>709</v>
      </c>
      <c r="D1" t="s">
        <v>793</v>
      </c>
      <c r="H1" t="s">
        <v>709</v>
      </c>
      <c r="L1" t="s">
        <v>904</v>
      </c>
      <c r="V1" t="s">
        <v>730</v>
      </c>
      <c r="W1" s="33" t="s">
        <v>715</v>
      </c>
      <c r="X1" s="87" t="s">
        <v>1181</v>
      </c>
      <c r="Y1" s="87" t="s">
        <v>1181</v>
      </c>
      <c r="Z1" s="87" t="s">
        <v>1181</v>
      </c>
      <c r="AE1" t="s">
        <v>720</v>
      </c>
      <c r="AG1" t="s">
        <v>712</v>
      </c>
      <c r="AH1" t="s">
        <v>705</v>
      </c>
      <c r="AI1" t="s">
        <v>709</v>
      </c>
      <c r="AJ1" t="s">
        <v>819</v>
      </c>
      <c r="AN1" t="s">
        <v>863</v>
      </c>
      <c r="AO1" t="s">
        <v>864</v>
      </c>
      <c r="AP1" t="s">
        <v>865</v>
      </c>
      <c r="AQ1" t="s">
        <v>867</v>
      </c>
    </row>
    <row r="2" spans="1:43">
      <c r="B2" t="s">
        <v>710</v>
      </c>
      <c r="C2" t="s">
        <v>710</v>
      </c>
      <c r="D2" t="s">
        <v>749</v>
      </c>
      <c r="E2" t="s">
        <v>714</v>
      </c>
      <c r="F2" t="s">
        <v>728</v>
      </c>
      <c r="G2" t="s">
        <v>269</v>
      </c>
      <c r="H2" t="s">
        <v>713</v>
      </c>
      <c r="I2" t="s">
        <v>755</v>
      </c>
      <c r="J2" t="s">
        <v>269</v>
      </c>
      <c r="L2" t="s">
        <v>721</v>
      </c>
      <c r="O2" t="s">
        <v>269</v>
      </c>
      <c r="P2" t="s">
        <v>717</v>
      </c>
      <c r="Q2" t="s">
        <v>725</v>
      </c>
      <c r="W2" s="33"/>
      <c r="X2" s="87" t="s">
        <v>338</v>
      </c>
      <c r="Y2" s="87" t="s">
        <v>1182</v>
      </c>
      <c r="Z2" s="87" t="s">
        <v>1183</v>
      </c>
      <c r="AG2" t="s">
        <v>708</v>
      </c>
      <c r="AH2" t="s">
        <v>1215</v>
      </c>
      <c r="AI2" t="s">
        <v>905</v>
      </c>
      <c r="AJ2" t="s">
        <v>905</v>
      </c>
      <c r="AK2" t="s">
        <v>850</v>
      </c>
      <c r="AN2" t="s">
        <v>713</v>
      </c>
      <c r="AO2" t="s">
        <v>713</v>
      </c>
      <c r="AP2" t="s">
        <v>713</v>
      </c>
      <c r="AQ2" t="s">
        <v>713</v>
      </c>
    </row>
    <row r="3" spans="1:43">
      <c r="A3">
        <v>2009</v>
      </c>
      <c r="B3" s="3">
        <f>Y3</f>
        <v>29.592572886961211</v>
      </c>
      <c r="C3" s="3">
        <f t="shared" ref="C3:C24" si="0">B3*AG3*1000</f>
        <v>21302.040969337188</v>
      </c>
      <c r="D3">
        <v>0</v>
      </c>
      <c r="E3">
        <v>20</v>
      </c>
      <c r="F3" s="3">
        <f>C3*E3/100</f>
        <v>4260.4081938674381</v>
      </c>
      <c r="G3" s="3">
        <f>C3+D3+F3</f>
        <v>25562.449163204627</v>
      </c>
      <c r="H3">
        <v>0</v>
      </c>
      <c r="I3" s="3">
        <f>650+800</f>
        <v>1450</v>
      </c>
      <c r="J3" s="3">
        <f>G3+H3+I3</f>
        <v>27012.449163204627</v>
      </c>
      <c r="L3" s="3">
        <f t="shared" ref="L3:L24" si="1">AI3</f>
        <v>719.84416666666675</v>
      </c>
      <c r="N3">
        <v>2009</v>
      </c>
      <c r="O3" s="3">
        <f>J3</f>
        <v>27012.449163204627</v>
      </c>
      <c r="P3" s="3">
        <f>J28</f>
        <v>27012.449163204627</v>
      </c>
      <c r="Q3" s="3">
        <f t="shared" ref="Q3:Q24" si="2">G53</f>
        <v>20809.935012527625</v>
      </c>
      <c r="U3">
        <v>2009</v>
      </c>
      <c r="V3" s="3">
        <f>B53</f>
        <v>23</v>
      </c>
      <c r="W3">
        <v>1</v>
      </c>
      <c r="X3" s="3">
        <f t="shared" ref="X3:X24" si="3">Y3*W3</f>
        <v>29.592572886961211</v>
      </c>
      <c r="Y3" s="3">
        <f>'Vehicle price'!T5</f>
        <v>29.592572886961211</v>
      </c>
      <c r="Z3" s="3">
        <f>Y3*AA3</f>
        <v>29.592572886961211</v>
      </c>
      <c r="AA3">
        <v>1</v>
      </c>
      <c r="AF3">
        <v>2009</v>
      </c>
      <c r="AG3">
        <v>0.71984416666666673</v>
      </c>
      <c r="AH3">
        <v>1000</v>
      </c>
      <c r="AI3" s="3">
        <f>AH3*AG3</f>
        <v>719.84416666666675</v>
      </c>
      <c r="AJ3" s="3">
        <f>AI3*AK$11/AK3</f>
        <v>835.33342267864816</v>
      </c>
      <c r="AK3" s="13">
        <f>CPIs!C48</f>
        <v>98.218771155095567</v>
      </c>
      <c r="AM3">
        <v>2009</v>
      </c>
      <c r="AN3">
        <v>0</v>
      </c>
      <c r="AO3">
        <v>0</v>
      </c>
      <c r="AP3">
        <f>AN3*AK$11/AK3</f>
        <v>0</v>
      </c>
      <c r="AQ3">
        <f>AO3*AK$11/AK3</f>
        <v>0</v>
      </c>
    </row>
    <row r="4" spans="1:43">
      <c r="A4">
        <v>2010</v>
      </c>
      <c r="B4" s="3">
        <f t="shared" ref="B4:B24" si="4">Y4</f>
        <v>30</v>
      </c>
      <c r="C4" s="3">
        <f t="shared" si="0"/>
        <v>22760.138776915202</v>
      </c>
      <c r="D4">
        <v>0</v>
      </c>
      <c r="E4">
        <v>20</v>
      </c>
      <c r="F4" s="3">
        <f t="shared" ref="F4:F24" si="5">C4*E4/100</f>
        <v>4552.027755383041</v>
      </c>
      <c r="G4" s="3">
        <f t="shared" ref="G4:G24" si="6">C4+D4+F4</f>
        <v>27312.166532298244</v>
      </c>
      <c r="H4">
        <v>0</v>
      </c>
      <c r="I4" s="3">
        <f t="shared" ref="I4:I24" si="7">650+800</f>
        <v>1450</v>
      </c>
      <c r="J4" s="3">
        <f t="shared" ref="J4:J24" si="8">G4+H4+I4</f>
        <v>28762.166532298244</v>
      </c>
      <c r="L4" s="3">
        <f t="shared" si="1"/>
        <v>758.67129256383998</v>
      </c>
      <c r="N4">
        <v>2010</v>
      </c>
      <c r="O4" s="3">
        <f t="shared" ref="O4:O24" si="9">J4</f>
        <v>28762.166532298244</v>
      </c>
      <c r="P4" s="3">
        <f t="shared" ref="P4:P24" si="10">J29</f>
        <v>28762.166532298244</v>
      </c>
      <c r="Q4" s="3">
        <f t="shared" si="2"/>
        <v>21932.386237471084</v>
      </c>
      <c r="U4">
        <v>2010</v>
      </c>
      <c r="V4" s="3">
        <f t="shared" ref="V4:V24" si="11">B54</f>
        <v>23</v>
      </c>
      <c r="W4">
        <v>1</v>
      </c>
      <c r="X4" s="3">
        <f t="shared" si="3"/>
        <v>30</v>
      </c>
      <c r="Y4" s="3">
        <f>'Vehicle price'!T6</f>
        <v>30</v>
      </c>
      <c r="Z4" s="3">
        <f t="shared" ref="Z4:Z24" si="12">Y4*AA4</f>
        <v>30</v>
      </c>
      <c r="AA4">
        <v>1</v>
      </c>
      <c r="AF4">
        <v>2010</v>
      </c>
      <c r="AG4">
        <v>0.75867129256384003</v>
      </c>
      <c r="AH4">
        <v>1000</v>
      </c>
      <c r="AI4" s="3">
        <f t="shared" ref="AI4:AI11" si="13">AH4*AG4</f>
        <v>758.67129256383998</v>
      </c>
      <c r="AJ4" s="3">
        <f t="shared" ref="AJ4:AJ24" si="14">AI4*AK$11/AK4</f>
        <v>864.70807784078784</v>
      </c>
      <c r="AK4" s="13">
        <f>CPIs!C49</f>
        <v>100</v>
      </c>
      <c r="AM4">
        <v>2010</v>
      </c>
      <c r="AN4">
        <v>0</v>
      </c>
      <c r="AO4">
        <v>0</v>
      </c>
      <c r="AP4">
        <f t="shared" ref="AP4:AP24" si="15">AN4*AK$11/AK4</f>
        <v>0</v>
      </c>
      <c r="AQ4">
        <f t="shared" ref="AQ4:AQ24" si="16">AO4*AK$11/AK4</f>
        <v>0</v>
      </c>
    </row>
    <row r="5" spans="1:43">
      <c r="A5">
        <v>2011</v>
      </c>
      <c r="B5" s="3">
        <f t="shared" si="4"/>
        <v>30</v>
      </c>
      <c r="C5" s="3">
        <f t="shared" si="0"/>
        <v>21463.232997813917</v>
      </c>
      <c r="D5">
        <v>0</v>
      </c>
      <c r="E5">
        <v>20</v>
      </c>
      <c r="F5" s="3">
        <f t="shared" si="5"/>
        <v>4292.6465995627832</v>
      </c>
      <c r="G5" s="3">
        <f t="shared" si="6"/>
        <v>25755.879597376701</v>
      </c>
      <c r="H5">
        <v>0</v>
      </c>
      <c r="I5" s="3">
        <f t="shared" si="7"/>
        <v>1450</v>
      </c>
      <c r="J5" s="3">
        <f t="shared" si="8"/>
        <v>27205.879597376701</v>
      </c>
      <c r="L5" s="3">
        <f t="shared" si="1"/>
        <v>715.44109992713061</v>
      </c>
      <c r="N5">
        <v>2011</v>
      </c>
      <c r="O5" s="3">
        <f t="shared" si="9"/>
        <v>27205.879597376701</v>
      </c>
      <c r="P5" s="3">
        <f t="shared" si="10"/>
        <v>27205.879597376701</v>
      </c>
      <c r="Q5" s="3">
        <f t="shared" si="2"/>
        <v>20682.64700083217</v>
      </c>
      <c r="U5">
        <v>2011</v>
      </c>
      <c r="V5" s="3">
        <f t="shared" si="11"/>
        <v>23</v>
      </c>
      <c r="W5">
        <v>1</v>
      </c>
      <c r="X5" s="3">
        <f t="shared" si="3"/>
        <v>30</v>
      </c>
      <c r="Y5" s="3">
        <f>'Vehicle price'!T7</f>
        <v>30</v>
      </c>
      <c r="Z5" s="3">
        <f t="shared" si="12"/>
        <v>30</v>
      </c>
      <c r="AA5">
        <v>1</v>
      </c>
      <c r="AF5">
        <v>2011</v>
      </c>
      <c r="AG5">
        <v>0.71544109992713056</v>
      </c>
      <c r="AH5">
        <v>1000</v>
      </c>
      <c r="AI5" s="3">
        <f t="shared" si="13"/>
        <v>715.44109992713061</v>
      </c>
      <c r="AJ5" s="3">
        <f t="shared" si="14"/>
        <v>789.63869417116246</v>
      </c>
      <c r="AK5" s="13">
        <f>CPIs!C50</f>
        <v>103.26694488525391</v>
      </c>
      <c r="AM5">
        <v>2011</v>
      </c>
      <c r="AN5">
        <v>0</v>
      </c>
      <c r="AO5">
        <v>0</v>
      </c>
      <c r="AP5">
        <f t="shared" si="15"/>
        <v>0</v>
      </c>
      <c r="AQ5">
        <f t="shared" si="16"/>
        <v>0</v>
      </c>
    </row>
    <row r="6" spans="1:43">
      <c r="A6">
        <v>2012</v>
      </c>
      <c r="B6" s="3">
        <f t="shared" si="4"/>
        <v>30.842462459493706</v>
      </c>
      <c r="C6" s="3">
        <f t="shared" si="0"/>
        <v>23868.964632772961</v>
      </c>
      <c r="D6">
        <v>0</v>
      </c>
      <c r="E6">
        <v>20</v>
      </c>
      <c r="F6" s="3">
        <f t="shared" si="5"/>
        <v>4773.7929265545918</v>
      </c>
      <c r="G6" s="3">
        <f t="shared" si="6"/>
        <v>28642.757559327554</v>
      </c>
      <c r="H6">
        <v>0</v>
      </c>
      <c r="I6" s="3">
        <f t="shared" si="7"/>
        <v>1450</v>
      </c>
      <c r="J6" s="3">
        <f t="shared" si="8"/>
        <v>30092.757559327554</v>
      </c>
      <c r="L6" s="3">
        <f t="shared" si="1"/>
        <v>773.89944671638204</v>
      </c>
      <c r="N6">
        <v>2012</v>
      </c>
      <c r="O6" s="3">
        <f t="shared" si="9"/>
        <v>30092.757559327554</v>
      </c>
      <c r="P6" s="3">
        <f t="shared" si="10"/>
        <v>30092.757559327554</v>
      </c>
      <c r="Q6" s="3">
        <f t="shared" si="2"/>
        <v>22372.616099640534</v>
      </c>
      <c r="U6">
        <v>2012</v>
      </c>
      <c r="V6" s="3">
        <f t="shared" si="11"/>
        <v>23</v>
      </c>
      <c r="W6">
        <v>1</v>
      </c>
      <c r="X6" s="3">
        <f t="shared" si="3"/>
        <v>30.842462459493706</v>
      </c>
      <c r="Y6" s="3">
        <f>'Vehicle price'!T8</f>
        <v>30.842462459493706</v>
      </c>
      <c r="Z6" s="3">
        <f t="shared" si="12"/>
        <v>30.842462459493706</v>
      </c>
      <c r="AA6">
        <v>1</v>
      </c>
      <c r="AF6">
        <v>2012</v>
      </c>
      <c r="AG6">
        <v>0.773899446716382</v>
      </c>
      <c r="AH6">
        <v>1000</v>
      </c>
      <c r="AI6" s="3">
        <f t="shared" si="13"/>
        <v>773.89944671638204</v>
      </c>
      <c r="AJ6" s="3">
        <f t="shared" si="14"/>
        <v>833.4430769041013</v>
      </c>
      <c r="AK6" s="13">
        <f>CPIs!C51</f>
        <v>105.83381652832031</v>
      </c>
      <c r="AM6">
        <v>2012</v>
      </c>
      <c r="AN6">
        <v>0</v>
      </c>
      <c r="AO6">
        <v>0</v>
      </c>
      <c r="AP6">
        <f t="shared" si="15"/>
        <v>0</v>
      </c>
      <c r="AQ6">
        <f t="shared" si="16"/>
        <v>0</v>
      </c>
    </row>
    <row r="7" spans="1:43">
      <c r="A7">
        <v>2013</v>
      </c>
      <c r="B7" s="3">
        <f t="shared" si="4"/>
        <v>31.143929334439989</v>
      </c>
      <c r="C7" s="3">
        <f t="shared" si="0"/>
        <v>23409.918880648976</v>
      </c>
      <c r="D7">
        <v>0</v>
      </c>
      <c r="E7">
        <v>20</v>
      </c>
      <c r="F7" s="3">
        <f t="shared" si="5"/>
        <v>4681.9837761297949</v>
      </c>
      <c r="G7" s="3">
        <f t="shared" si="6"/>
        <v>28091.902656778773</v>
      </c>
      <c r="H7">
        <v>0</v>
      </c>
      <c r="I7" s="3">
        <f t="shared" si="7"/>
        <v>1450</v>
      </c>
      <c r="J7" s="3">
        <f t="shared" si="8"/>
        <v>29541.902656778773</v>
      </c>
      <c r="L7" s="3">
        <f t="shared" si="1"/>
        <v>751.66876437654616</v>
      </c>
      <c r="N7">
        <v>2013</v>
      </c>
      <c r="O7" s="3">
        <f t="shared" si="9"/>
        <v>29541.902656778773</v>
      </c>
      <c r="P7" s="3">
        <f t="shared" si="10"/>
        <v>29541.902656778773</v>
      </c>
      <c r="Q7" s="3">
        <f t="shared" si="2"/>
        <v>21714.207265309669</v>
      </c>
      <c r="U7">
        <v>2013</v>
      </c>
      <c r="V7" s="3">
        <f t="shared" si="11"/>
        <v>23</v>
      </c>
      <c r="W7">
        <v>1</v>
      </c>
      <c r="X7" s="3">
        <f t="shared" si="3"/>
        <v>31.143929334439989</v>
      </c>
      <c r="Y7" s="3">
        <f>'Vehicle price'!T9</f>
        <v>31.143929334439989</v>
      </c>
      <c r="Z7" s="3">
        <f t="shared" si="12"/>
        <v>31.143929334439989</v>
      </c>
      <c r="AA7">
        <v>1</v>
      </c>
      <c r="AF7">
        <v>2013</v>
      </c>
      <c r="AG7">
        <v>0.75166876437654617</v>
      </c>
      <c r="AH7">
        <v>1000</v>
      </c>
      <c r="AI7" s="3">
        <f t="shared" si="13"/>
        <v>751.66876437654616</v>
      </c>
      <c r="AJ7" s="3">
        <f t="shared" si="14"/>
        <v>793.62814976954496</v>
      </c>
      <c r="AK7" s="13">
        <f>CPIs!C52</f>
        <v>107.95066070556641</v>
      </c>
      <c r="AM7">
        <v>2013</v>
      </c>
      <c r="AN7">
        <v>0</v>
      </c>
      <c r="AO7">
        <v>0</v>
      </c>
      <c r="AP7">
        <f t="shared" si="15"/>
        <v>0</v>
      </c>
      <c r="AQ7">
        <f t="shared" si="16"/>
        <v>0</v>
      </c>
    </row>
    <row r="8" spans="1:43">
      <c r="A8">
        <v>2014</v>
      </c>
      <c r="B8" s="3">
        <f t="shared" si="4"/>
        <v>33.541755956678692</v>
      </c>
      <c r="C8" s="3">
        <f t="shared" si="0"/>
        <v>25404.118038119632</v>
      </c>
      <c r="D8">
        <v>0</v>
      </c>
      <c r="E8">
        <v>20</v>
      </c>
      <c r="F8" s="3">
        <f t="shared" si="5"/>
        <v>5080.8236076239264</v>
      </c>
      <c r="G8" s="3">
        <f t="shared" si="6"/>
        <v>30484.941645743558</v>
      </c>
      <c r="H8">
        <v>0</v>
      </c>
      <c r="I8" s="3">
        <f t="shared" si="7"/>
        <v>1450</v>
      </c>
      <c r="J8" s="3">
        <f t="shared" si="8"/>
        <v>31934.941645743558</v>
      </c>
      <c r="L8" s="3">
        <f t="shared" si="1"/>
        <v>757.38783833889499</v>
      </c>
      <c r="N8">
        <v>2014</v>
      </c>
      <c r="O8" s="3">
        <f t="shared" si="9"/>
        <v>31934.941645743558</v>
      </c>
      <c r="P8" s="3">
        <f t="shared" si="10"/>
        <v>31934.941645743558</v>
      </c>
      <c r="Q8" s="3">
        <f t="shared" si="2"/>
        <v>21855.458876866549</v>
      </c>
      <c r="U8">
        <v>2014</v>
      </c>
      <c r="V8" s="3">
        <f t="shared" si="11"/>
        <v>23</v>
      </c>
      <c r="W8">
        <v>1</v>
      </c>
      <c r="X8" s="3">
        <f t="shared" si="3"/>
        <v>33.541755956678692</v>
      </c>
      <c r="Y8" s="3">
        <f>'Vehicle price'!T10</f>
        <v>33.541755956678692</v>
      </c>
      <c r="Z8" s="3">
        <f t="shared" si="12"/>
        <v>33.541755956678692</v>
      </c>
      <c r="AA8">
        <v>1</v>
      </c>
      <c r="AF8">
        <v>2014</v>
      </c>
      <c r="AG8">
        <v>0.757387838338895</v>
      </c>
      <c r="AH8">
        <v>1000</v>
      </c>
      <c r="AI8" s="3">
        <f t="shared" si="13"/>
        <v>757.38783833889499</v>
      </c>
      <c r="AJ8" s="3">
        <f t="shared" si="14"/>
        <v>787.02829384005429</v>
      </c>
      <c r="AK8" s="13">
        <f>CPIs!C53</f>
        <v>109.68414306640625</v>
      </c>
      <c r="AM8">
        <v>2014</v>
      </c>
      <c r="AN8">
        <v>0</v>
      </c>
      <c r="AO8">
        <v>0</v>
      </c>
      <c r="AP8">
        <f t="shared" si="15"/>
        <v>0</v>
      </c>
      <c r="AQ8">
        <f t="shared" si="16"/>
        <v>0</v>
      </c>
    </row>
    <row r="9" spans="1:43">
      <c r="A9">
        <v>2015</v>
      </c>
      <c r="B9" s="3">
        <f t="shared" si="4"/>
        <v>30</v>
      </c>
      <c r="C9" s="3">
        <f t="shared" si="0"/>
        <v>27177.76686239925</v>
      </c>
      <c r="D9">
        <v>0</v>
      </c>
      <c r="E9">
        <v>20</v>
      </c>
      <c r="F9" s="3">
        <f>C9*E9/100</f>
        <v>5435.5533724798497</v>
      </c>
      <c r="G9" s="3">
        <f t="shared" si="6"/>
        <v>32613.320234879102</v>
      </c>
      <c r="H9">
        <v>0</v>
      </c>
      <c r="I9" s="3">
        <f t="shared" si="7"/>
        <v>1450</v>
      </c>
      <c r="J9" s="3">
        <f t="shared" si="8"/>
        <v>34063.320234879102</v>
      </c>
      <c r="L9" s="3">
        <f t="shared" si="1"/>
        <v>905.92556207997495</v>
      </c>
      <c r="N9">
        <v>2015</v>
      </c>
      <c r="O9" s="3">
        <f t="shared" si="9"/>
        <v>34063.320234879102</v>
      </c>
      <c r="P9" s="3">
        <f t="shared" si="10"/>
        <v>34063.320234879102</v>
      </c>
      <c r="Q9" s="3">
        <f t="shared" si="2"/>
        <v>26115.731451505424</v>
      </c>
      <c r="U9">
        <v>2015</v>
      </c>
      <c r="V9" s="3">
        <f t="shared" si="11"/>
        <v>23</v>
      </c>
      <c r="W9">
        <v>1</v>
      </c>
      <c r="X9" s="3">
        <f t="shared" si="3"/>
        <v>30</v>
      </c>
      <c r="Y9" s="3">
        <f>'Vehicle price'!T11</f>
        <v>30</v>
      </c>
      <c r="Z9" s="3">
        <f t="shared" si="12"/>
        <v>30</v>
      </c>
      <c r="AA9">
        <v>1</v>
      </c>
      <c r="AF9">
        <v>2015</v>
      </c>
      <c r="AG9">
        <v>0.90592556207997499</v>
      </c>
      <c r="AH9">
        <v>1000</v>
      </c>
      <c r="AI9" s="3">
        <f>AH9*AG9</f>
        <v>905.92556207997495</v>
      </c>
      <c r="AJ9" s="3">
        <f>AI9*AK$11/AK9</f>
        <v>933.01397090160799</v>
      </c>
      <c r="AK9" s="13">
        <f>CPIs!C54</f>
        <v>110.66753387451172</v>
      </c>
      <c r="AM9">
        <v>2015</v>
      </c>
      <c r="AN9">
        <v>0</v>
      </c>
      <c r="AO9">
        <v>0</v>
      </c>
      <c r="AP9">
        <f t="shared" si="15"/>
        <v>0</v>
      </c>
      <c r="AQ9">
        <f t="shared" si="16"/>
        <v>0</v>
      </c>
    </row>
    <row r="10" spans="1:43">
      <c r="A10">
        <v>2016</v>
      </c>
      <c r="B10" s="3">
        <f t="shared" si="4"/>
        <v>30</v>
      </c>
      <c r="C10" s="3">
        <f t="shared" si="0"/>
        <v>27202.412312659035</v>
      </c>
      <c r="D10">
        <v>0</v>
      </c>
      <c r="E10">
        <v>20</v>
      </c>
      <c r="F10" s="3">
        <f t="shared" si="5"/>
        <v>5440.482462531807</v>
      </c>
      <c r="G10" s="3">
        <f t="shared" si="6"/>
        <v>32642.894775190842</v>
      </c>
      <c r="H10">
        <v>0</v>
      </c>
      <c r="I10" s="3">
        <f t="shared" si="7"/>
        <v>1450</v>
      </c>
      <c r="J10" s="3">
        <f t="shared" si="8"/>
        <v>34092.894775190842</v>
      </c>
      <c r="L10" s="3">
        <f t="shared" si="1"/>
        <v>0</v>
      </c>
      <c r="N10">
        <v>2016</v>
      </c>
      <c r="O10" s="3">
        <f t="shared" si="9"/>
        <v>34092.894775190842</v>
      </c>
      <c r="P10" s="3">
        <f t="shared" si="10"/>
        <v>34092.894775190842</v>
      </c>
      <c r="Q10" s="3">
        <f t="shared" si="2"/>
        <v>26116.002877442952</v>
      </c>
      <c r="U10">
        <v>2016</v>
      </c>
      <c r="V10" s="3">
        <f t="shared" si="11"/>
        <v>23</v>
      </c>
      <c r="W10">
        <v>1</v>
      </c>
      <c r="X10" s="3">
        <f t="shared" si="3"/>
        <v>30</v>
      </c>
      <c r="Y10" s="3">
        <f>'Vehicle price'!T12</f>
        <v>30</v>
      </c>
      <c r="Z10" s="3">
        <f t="shared" si="12"/>
        <v>30</v>
      </c>
      <c r="AA10">
        <v>1</v>
      </c>
      <c r="AF10">
        <v>2016</v>
      </c>
      <c r="AG10">
        <v>0.90674707708863456</v>
      </c>
      <c r="AH10">
        <v>0</v>
      </c>
      <c r="AI10" s="3">
        <f t="shared" si="13"/>
        <v>0</v>
      </c>
      <c r="AJ10" s="3">
        <f>AI10*AK$11/AK10</f>
        <v>0</v>
      </c>
      <c r="AK10" s="13">
        <f>CPIs!C55</f>
        <v>111.65423583984375</v>
      </c>
      <c r="AM10">
        <v>2016</v>
      </c>
      <c r="AN10">
        <v>0</v>
      </c>
      <c r="AO10">
        <v>0</v>
      </c>
      <c r="AP10">
        <f t="shared" si="15"/>
        <v>0</v>
      </c>
      <c r="AQ10">
        <f t="shared" si="16"/>
        <v>0</v>
      </c>
    </row>
    <row r="11" spans="1:43">
      <c r="A11">
        <v>2017</v>
      </c>
      <c r="B11" s="3">
        <f t="shared" si="4"/>
        <v>30</v>
      </c>
      <c r="C11" s="3">
        <f t="shared" si="0"/>
        <v>26462.003510368591</v>
      </c>
      <c r="D11">
        <v>0</v>
      </c>
      <c r="E11">
        <v>20</v>
      </c>
      <c r="F11" s="3">
        <f t="shared" si="5"/>
        <v>5292.4007020737181</v>
      </c>
      <c r="G11" s="3">
        <f t="shared" si="6"/>
        <v>31754.40421244231</v>
      </c>
      <c r="H11" s="3">
        <f t="shared" ref="H11:H24" si="17">AP11</f>
        <v>-4000</v>
      </c>
      <c r="I11" s="3">
        <f t="shared" si="7"/>
        <v>1450</v>
      </c>
      <c r="J11" s="3">
        <f t="shared" si="8"/>
        <v>29204.40421244231</v>
      </c>
      <c r="L11" s="3">
        <f t="shared" si="1"/>
        <v>0</v>
      </c>
      <c r="N11">
        <v>2017</v>
      </c>
      <c r="O11" s="3">
        <f t="shared" si="9"/>
        <v>29204.40421244231</v>
      </c>
      <c r="P11" s="3">
        <f t="shared" si="10"/>
        <v>31704.40421244231</v>
      </c>
      <c r="Q11" s="3">
        <f t="shared" si="2"/>
        <v>25382.616256197471</v>
      </c>
      <c r="U11">
        <v>2017</v>
      </c>
      <c r="V11" s="3">
        <f t="shared" si="11"/>
        <v>23</v>
      </c>
      <c r="W11">
        <v>1</v>
      </c>
      <c r="X11" s="3">
        <f t="shared" si="3"/>
        <v>30</v>
      </c>
      <c r="Y11" s="3">
        <f>'Vehicle price'!T13</f>
        <v>30</v>
      </c>
      <c r="Z11" s="3">
        <f t="shared" si="12"/>
        <v>30</v>
      </c>
      <c r="AA11">
        <v>1</v>
      </c>
      <c r="AF11">
        <v>2017</v>
      </c>
      <c r="AG11">
        <v>0.88206678367895308</v>
      </c>
      <c r="AH11">
        <v>0</v>
      </c>
      <c r="AI11" s="3">
        <f t="shared" si="13"/>
        <v>0</v>
      </c>
      <c r="AJ11" s="3">
        <f t="shared" si="14"/>
        <v>0</v>
      </c>
      <c r="AK11" s="13">
        <f>CPIs!C56</f>
        <v>113.97664394531249</v>
      </c>
      <c r="AM11">
        <v>2017</v>
      </c>
      <c r="AN11">
        <v>-4000</v>
      </c>
      <c r="AO11">
        <v>-1500</v>
      </c>
      <c r="AP11">
        <f t="shared" si="15"/>
        <v>-4000</v>
      </c>
      <c r="AQ11">
        <f t="shared" si="16"/>
        <v>-1500</v>
      </c>
    </row>
    <row r="12" spans="1:43">
      <c r="A12">
        <v>2018</v>
      </c>
      <c r="B12" s="3">
        <f t="shared" si="4"/>
        <v>30.592100851060948</v>
      </c>
      <c r="C12" s="3">
        <f t="shared" si="0"/>
        <v>26003.285723401805</v>
      </c>
      <c r="D12">
        <v>0</v>
      </c>
      <c r="E12">
        <v>20</v>
      </c>
      <c r="F12" s="3">
        <f t="shared" si="5"/>
        <v>5200.6571446803609</v>
      </c>
      <c r="G12" s="3">
        <f t="shared" si="6"/>
        <v>31203.942868082166</v>
      </c>
      <c r="H12" s="3">
        <f t="shared" si="17"/>
        <v>-3918.4952978056431</v>
      </c>
      <c r="I12" s="3">
        <f t="shared" si="7"/>
        <v>1450</v>
      </c>
      <c r="J12" s="3">
        <f t="shared" si="8"/>
        <v>28735.447570276523</v>
      </c>
      <c r="L12" s="3">
        <f t="shared" si="1"/>
        <v>0</v>
      </c>
      <c r="N12">
        <v>2018</v>
      </c>
      <c r="O12" s="3">
        <f t="shared" si="9"/>
        <v>28735.447570276523</v>
      </c>
      <c r="P12" s="3">
        <f t="shared" si="10"/>
        <v>31184.507131405051</v>
      </c>
      <c r="Q12" s="3">
        <f t="shared" si="2"/>
        <v>24438.339550977111</v>
      </c>
      <c r="U12">
        <v>2018</v>
      </c>
      <c r="V12" s="3">
        <f t="shared" si="11"/>
        <v>23</v>
      </c>
      <c r="W12">
        <v>1</v>
      </c>
      <c r="X12" s="3">
        <f t="shared" si="3"/>
        <v>30.592100851060948</v>
      </c>
      <c r="Y12" s="3">
        <f>'Vehicle price'!T14</f>
        <v>30.592100851060948</v>
      </c>
      <c r="Z12" s="3">
        <f t="shared" si="12"/>
        <v>30.592100851060948</v>
      </c>
      <c r="AA12">
        <v>1</v>
      </c>
      <c r="AF12">
        <v>2018</v>
      </c>
      <c r="AG12" s="14">
        <v>0.85</v>
      </c>
      <c r="AH12">
        <v>0</v>
      </c>
      <c r="AI12" s="3">
        <f t="shared" ref="AI12:AI24" si="18">AH12*AG12</f>
        <v>0</v>
      </c>
      <c r="AJ12" s="3">
        <f t="shared" si="14"/>
        <v>0</v>
      </c>
      <c r="AK12" s="14">
        <f>AK11*AK11/AK10</f>
        <v>116.34735813937498</v>
      </c>
      <c r="AM12">
        <v>2018</v>
      </c>
      <c r="AN12">
        <v>-4000</v>
      </c>
      <c r="AO12">
        <v>-1500</v>
      </c>
      <c r="AP12" s="3">
        <f>AN12*AK$11/AK12</f>
        <v>-3918.4952978056431</v>
      </c>
      <c r="AQ12" s="3">
        <f>AO12*AK$11/AK12</f>
        <v>-1469.4357366771162</v>
      </c>
    </row>
    <row r="13" spans="1:43">
      <c r="A13">
        <v>2019</v>
      </c>
      <c r="B13" s="3">
        <f t="shared" si="4"/>
        <v>31.172994053473918</v>
      </c>
      <c r="C13" s="3">
        <f t="shared" si="0"/>
        <v>26497.044945452828</v>
      </c>
      <c r="D13">
        <v>0</v>
      </c>
      <c r="E13">
        <v>20</v>
      </c>
      <c r="F13" s="3">
        <f t="shared" si="5"/>
        <v>5299.4089890905652</v>
      </c>
      <c r="G13" s="3">
        <f t="shared" si="6"/>
        <v>31796.453934543395</v>
      </c>
      <c r="H13" s="3">
        <f t="shared" si="17"/>
        <v>-3838.6513497312339</v>
      </c>
      <c r="I13" s="3">
        <f t="shared" si="7"/>
        <v>1450</v>
      </c>
      <c r="J13" s="3">
        <f t="shared" si="8"/>
        <v>29407.802584812162</v>
      </c>
      <c r="L13" s="3">
        <f t="shared" si="1"/>
        <v>0</v>
      </c>
      <c r="N13">
        <v>2019</v>
      </c>
      <c r="O13" s="3">
        <f t="shared" si="9"/>
        <v>29407.802584812162</v>
      </c>
      <c r="P13" s="3">
        <f t="shared" si="10"/>
        <v>31806.959678394182</v>
      </c>
      <c r="Q13" s="3">
        <f t="shared" si="2"/>
        <v>24417.039159383276</v>
      </c>
      <c r="U13">
        <v>2019</v>
      </c>
      <c r="V13" s="3">
        <f t="shared" si="11"/>
        <v>23</v>
      </c>
      <c r="W13" s="20">
        <f>W12+(W24-W12)/12</f>
        <v>1.0249999999999999</v>
      </c>
      <c r="X13" s="3">
        <f t="shared" si="3"/>
        <v>31.952318904810763</v>
      </c>
      <c r="Y13" s="3">
        <f>'Vehicle price'!T15</f>
        <v>31.172994053473918</v>
      </c>
      <c r="Z13" s="3">
        <f t="shared" si="12"/>
        <v>30.393669202137069</v>
      </c>
      <c r="AA13" s="20">
        <f>AA12+(AA24-AA12)/12</f>
        <v>0.97499999999999998</v>
      </c>
      <c r="AF13">
        <v>2019</v>
      </c>
      <c r="AG13" s="14">
        <v>0.85</v>
      </c>
      <c r="AH13">
        <v>0</v>
      </c>
      <c r="AI13" s="3">
        <f t="shared" si="18"/>
        <v>0</v>
      </c>
      <c r="AJ13" s="3">
        <f t="shared" si="14"/>
        <v>0</v>
      </c>
      <c r="AK13" s="14">
        <f t="shared" ref="AK13:AK24" si="19">AK12*AK12/AK11</f>
        <v>118.76738318867396</v>
      </c>
      <c r="AM13">
        <v>2019</v>
      </c>
      <c r="AN13">
        <v>-4000</v>
      </c>
      <c r="AO13">
        <v>-1500</v>
      </c>
      <c r="AP13" s="3">
        <f t="shared" si="15"/>
        <v>-3838.6513497312339</v>
      </c>
      <c r="AQ13" s="3">
        <f t="shared" si="16"/>
        <v>-1439.4942561492128</v>
      </c>
    </row>
    <row r="14" spans="1:43">
      <c r="A14">
        <v>2020</v>
      </c>
      <c r="B14" s="3">
        <f t="shared" si="4"/>
        <v>30.985903123425071</v>
      </c>
      <c r="C14" s="3">
        <f t="shared" si="0"/>
        <v>26338.017654911313</v>
      </c>
      <c r="D14">
        <v>0</v>
      </c>
      <c r="E14">
        <v>20</v>
      </c>
      <c r="F14" s="3">
        <f t="shared" si="5"/>
        <v>5267.6035309822628</v>
      </c>
      <c r="G14" s="3">
        <f t="shared" si="6"/>
        <v>31605.621185893575</v>
      </c>
      <c r="H14" s="3">
        <f t="shared" si="17"/>
        <v>-3760.4343159592813</v>
      </c>
      <c r="I14" s="3">
        <f t="shared" si="7"/>
        <v>1450</v>
      </c>
      <c r="J14" s="3">
        <f t="shared" si="8"/>
        <v>29295.186869934292</v>
      </c>
      <c r="L14" s="3">
        <f t="shared" si="1"/>
        <v>0</v>
      </c>
      <c r="N14">
        <v>2020</v>
      </c>
      <c r="O14" s="3">
        <f t="shared" si="9"/>
        <v>29295.186869934292</v>
      </c>
      <c r="P14" s="3">
        <f t="shared" si="10"/>
        <v>31645.458317408844</v>
      </c>
      <c r="Q14" s="3">
        <f t="shared" si="2"/>
        <v>24395.94966275572</v>
      </c>
      <c r="U14">
        <v>2020</v>
      </c>
      <c r="V14" s="3">
        <f t="shared" si="11"/>
        <v>23</v>
      </c>
      <c r="W14" s="20">
        <f>W13+(W24-W12)/12</f>
        <v>1.0499999999999998</v>
      </c>
      <c r="X14" s="3">
        <f t="shared" si="3"/>
        <v>32.535198279596322</v>
      </c>
      <c r="Y14" s="3">
        <f>'Vehicle price'!T16</f>
        <v>30.985903123425071</v>
      </c>
      <c r="Z14" s="3">
        <f t="shared" si="12"/>
        <v>29.436607967253817</v>
      </c>
      <c r="AA14" s="20">
        <f>AA13+(AA24-AA12)/12</f>
        <v>0.95</v>
      </c>
      <c r="AF14">
        <v>2020</v>
      </c>
      <c r="AG14" s="14">
        <v>0.85</v>
      </c>
      <c r="AH14">
        <v>0</v>
      </c>
      <c r="AI14" s="3">
        <f t="shared" si="18"/>
        <v>0</v>
      </c>
      <c r="AJ14" s="3">
        <f t="shared" si="14"/>
        <v>0</v>
      </c>
      <c r="AK14" s="14">
        <f t="shared" si="19"/>
        <v>121.23774475899836</v>
      </c>
      <c r="AM14">
        <v>2020</v>
      </c>
      <c r="AN14">
        <v>-4000</v>
      </c>
      <c r="AO14">
        <v>-1500</v>
      </c>
      <c r="AP14" s="3">
        <f t="shared" si="15"/>
        <v>-3760.4343159592813</v>
      </c>
      <c r="AQ14" s="3">
        <f t="shared" si="16"/>
        <v>-1410.1628684847306</v>
      </c>
    </row>
    <row r="15" spans="1:43">
      <c r="A15">
        <v>2021</v>
      </c>
      <c r="B15" s="3">
        <f t="shared" si="4"/>
        <v>30.206708843097807</v>
      </c>
      <c r="C15" s="3">
        <f t="shared" si="0"/>
        <v>25675.702516633137</v>
      </c>
      <c r="D15">
        <v>0</v>
      </c>
      <c r="E15">
        <v>20</v>
      </c>
      <c r="F15" s="3">
        <f t="shared" si="5"/>
        <v>5135.1405033266274</v>
      </c>
      <c r="G15" s="3">
        <f t="shared" si="6"/>
        <v>30810.843019959764</v>
      </c>
      <c r="H15" s="3">
        <f t="shared" si="17"/>
        <v>-3683.8110461983561</v>
      </c>
      <c r="I15" s="3">
        <f t="shared" si="7"/>
        <v>1450</v>
      </c>
      <c r="J15" s="3">
        <f t="shared" si="8"/>
        <v>28577.031973761408</v>
      </c>
      <c r="L15" s="3">
        <f t="shared" si="1"/>
        <v>0</v>
      </c>
      <c r="N15">
        <v>2021</v>
      </c>
      <c r="O15" s="3">
        <f t="shared" si="9"/>
        <v>28577.031973761408</v>
      </c>
      <c r="P15" s="3">
        <f t="shared" si="10"/>
        <v>30879.413877635379</v>
      </c>
      <c r="Q15" s="3">
        <f t="shared" si="2"/>
        <v>24375.068973025463</v>
      </c>
      <c r="U15">
        <v>2021</v>
      </c>
      <c r="V15" s="3">
        <f t="shared" si="11"/>
        <v>23</v>
      </c>
      <c r="W15" s="20">
        <f>W14+(W24-W12)/12</f>
        <v>1.0749999999999997</v>
      </c>
      <c r="X15" s="3">
        <f t="shared" si="3"/>
        <v>32.472212006330132</v>
      </c>
      <c r="Y15" s="3">
        <f>'Vehicle price'!T17</f>
        <v>30.206708843097807</v>
      </c>
      <c r="Z15" s="3">
        <f t="shared" si="12"/>
        <v>27.941205679865469</v>
      </c>
      <c r="AA15" s="20">
        <f>AA14+(AA24-AA12)/12</f>
        <v>0.92499999999999993</v>
      </c>
      <c r="AF15">
        <v>2021</v>
      </c>
      <c r="AG15" s="14">
        <v>0.85</v>
      </c>
      <c r="AH15">
        <v>0</v>
      </c>
      <c r="AI15" s="3">
        <f t="shared" si="18"/>
        <v>0</v>
      </c>
      <c r="AJ15" s="3">
        <f t="shared" si="14"/>
        <v>0</v>
      </c>
      <c r="AK15" s="14">
        <f t="shared" si="19"/>
        <v>123.75948984998551</v>
      </c>
      <c r="AM15">
        <v>2021</v>
      </c>
      <c r="AN15">
        <v>-4000</v>
      </c>
      <c r="AO15">
        <v>-1500</v>
      </c>
      <c r="AP15" s="3">
        <f t="shared" si="15"/>
        <v>-3683.8110461983561</v>
      </c>
      <c r="AQ15" s="3">
        <f t="shared" si="16"/>
        <v>-1381.4291423243835</v>
      </c>
    </row>
    <row r="16" spans="1:43">
      <c r="A16">
        <v>2022</v>
      </c>
      <c r="B16" s="3">
        <f t="shared" si="4"/>
        <v>30.642454642697771</v>
      </c>
      <c r="C16" s="3">
        <f t="shared" si="0"/>
        <v>26046.086446293106</v>
      </c>
      <c r="D16">
        <v>0</v>
      </c>
      <c r="E16">
        <v>20</v>
      </c>
      <c r="F16" s="3">
        <f t="shared" si="5"/>
        <v>5209.2172892586213</v>
      </c>
      <c r="G16" s="3">
        <f t="shared" si="6"/>
        <v>31255.303735551726</v>
      </c>
      <c r="H16" s="3">
        <f t="shared" si="17"/>
        <v>-3608.7490656331861</v>
      </c>
      <c r="I16" s="3">
        <f t="shared" si="7"/>
        <v>1450</v>
      </c>
      <c r="J16" s="3">
        <f t="shared" si="8"/>
        <v>29096.55466991854</v>
      </c>
      <c r="L16" s="3">
        <f t="shared" si="1"/>
        <v>0</v>
      </c>
      <c r="N16">
        <v>2022</v>
      </c>
      <c r="O16" s="3">
        <f t="shared" si="9"/>
        <v>29096.55466991854</v>
      </c>
      <c r="P16" s="3">
        <f t="shared" si="10"/>
        <v>31352.022835939282</v>
      </c>
      <c r="Q16" s="3">
        <f t="shared" si="2"/>
        <v>24354.395022797489</v>
      </c>
      <c r="U16">
        <v>2022</v>
      </c>
      <c r="V16" s="3">
        <f t="shared" si="11"/>
        <v>23</v>
      </c>
      <c r="W16" s="20">
        <f>W15+(W24-W12)/12</f>
        <v>1.0999999999999996</v>
      </c>
      <c r="X16" s="3">
        <f t="shared" si="3"/>
        <v>33.706700106967538</v>
      </c>
      <c r="Y16" s="3">
        <f>'Vehicle price'!T18</f>
        <v>30.642454642697771</v>
      </c>
      <c r="Z16" s="3">
        <f t="shared" si="12"/>
        <v>27.57820917842799</v>
      </c>
      <c r="AA16" s="20">
        <f>AA15+(AA24-AA12)/12</f>
        <v>0.89999999999999991</v>
      </c>
      <c r="AF16">
        <v>2022</v>
      </c>
      <c r="AG16" s="14">
        <v>0.85</v>
      </c>
      <c r="AH16">
        <v>0</v>
      </c>
      <c r="AI16" s="3">
        <f t="shared" si="18"/>
        <v>0</v>
      </c>
      <c r="AJ16" s="3">
        <f t="shared" si="14"/>
        <v>0</v>
      </c>
      <c r="AK16" s="14">
        <f t="shared" si="19"/>
        <v>126.3336872388652</v>
      </c>
      <c r="AM16">
        <v>2022</v>
      </c>
      <c r="AN16">
        <v>-4000</v>
      </c>
      <c r="AO16">
        <v>-1500</v>
      </c>
      <c r="AP16" s="3">
        <f t="shared" si="15"/>
        <v>-3608.7490656331861</v>
      </c>
      <c r="AQ16" s="3">
        <f t="shared" si="16"/>
        <v>-1353.280899612445</v>
      </c>
    </row>
    <row r="17" spans="1:43">
      <c r="A17">
        <v>2023</v>
      </c>
      <c r="B17" s="3">
        <f t="shared" si="4"/>
        <v>30.361546257811007</v>
      </c>
      <c r="C17" s="3">
        <f t="shared" si="0"/>
        <v>25807.314319139354</v>
      </c>
      <c r="D17">
        <v>0</v>
      </c>
      <c r="E17">
        <v>20</v>
      </c>
      <c r="F17" s="3">
        <f t="shared" si="5"/>
        <v>5161.46286382787</v>
      </c>
      <c r="G17" s="3">
        <f t="shared" si="6"/>
        <v>30968.777182967224</v>
      </c>
      <c r="H17" s="3">
        <f t="shared" si="17"/>
        <v>-3535.2165611610371</v>
      </c>
      <c r="I17" s="3">
        <f t="shared" si="7"/>
        <v>1450</v>
      </c>
      <c r="J17" s="3">
        <f t="shared" si="8"/>
        <v>28883.560621806188</v>
      </c>
      <c r="L17" s="3">
        <f t="shared" si="1"/>
        <v>0</v>
      </c>
      <c r="N17">
        <v>2023</v>
      </c>
      <c r="O17" s="3">
        <f t="shared" si="9"/>
        <v>28883.560621806188</v>
      </c>
      <c r="P17" s="3">
        <f t="shared" si="10"/>
        <v>31093.070972531834</v>
      </c>
      <c r="Q17" s="3">
        <f t="shared" si="2"/>
        <v>24333.925765146028</v>
      </c>
      <c r="U17">
        <v>2023</v>
      </c>
      <c r="V17" s="3">
        <f t="shared" si="11"/>
        <v>23</v>
      </c>
      <c r="W17" s="20">
        <f>W16+(W24-W12)/12</f>
        <v>1.1249999999999996</v>
      </c>
      <c r="X17" s="3">
        <f t="shared" si="3"/>
        <v>34.156739540037371</v>
      </c>
      <c r="Y17" s="3">
        <f>'Vehicle price'!T19</f>
        <v>30.361546257811007</v>
      </c>
      <c r="Z17" s="3">
        <f t="shared" si="12"/>
        <v>26.566352975584628</v>
      </c>
      <c r="AA17" s="20">
        <f>AA16+(AA24-AA12)/12</f>
        <v>0.87499999999999989</v>
      </c>
      <c r="AF17">
        <v>2023</v>
      </c>
      <c r="AG17" s="14">
        <v>0.85</v>
      </c>
      <c r="AH17">
        <v>0</v>
      </c>
      <c r="AI17" s="3">
        <f t="shared" si="18"/>
        <v>0</v>
      </c>
      <c r="AJ17" s="3">
        <f t="shared" si="14"/>
        <v>0</v>
      </c>
      <c r="AK17" s="14">
        <f t="shared" si="19"/>
        <v>128.96142793343358</v>
      </c>
      <c r="AM17">
        <v>2023</v>
      </c>
      <c r="AN17">
        <v>-4000</v>
      </c>
      <c r="AO17">
        <v>-1500</v>
      </c>
      <c r="AP17" s="3">
        <f t="shared" si="15"/>
        <v>-3535.2165611610371</v>
      </c>
      <c r="AQ17" s="3">
        <f t="shared" si="16"/>
        <v>-1325.7062104353888</v>
      </c>
    </row>
    <row r="18" spans="1:43">
      <c r="A18">
        <v>2024</v>
      </c>
      <c r="B18" s="3">
        <f t="shared" si="4"/>
        <v>29.275640447464834</v>
      </c>
      <c r="C18" s="3">
        <f t="shared" si="0"/>
        <v>24884.294380345105</v>
      </c>
      <c r="D18">
        <v>0</v>
      </c>
      <c r="E18">
        <v>20</v>
      </c>
      <c r="F18" s="3">
        <f t="shared" si="5"/>
        <v>4976.8588760690209</v>
      </c>
      <c r="G18" s="3">
        <f t="shared" si="6"/>
        <v>29861.153256414127</v>
      </c>
      <c r="H18" s="3">
        <f t="shared" si="17"/>
        <v>-3463.1823679085392</v>
      </c>
      <c r="I18" s="3">
        <f t="shared" si="7"/>
        <v>1450</v>
      </c>
      <c r="J18" s="3">
        <f t="shared" si="8"/>
        <v>27847.970888505588</v>
      </c>
      <c r="L18" s="3">
        <f t="shared" si="1"/>
        <v>0</v>
      </c>
      <c r="N18">
        <v>2024</v>
      </c>
      <c r="O18" s="3">
        <f t="shared" si="9"/>
        <v>27847.970888505588</v>
      </c>
      <c r="P18" s="3">
        <f t="shared" si="10"/>
        <v>30012.459868448426</v>
      </c>
      <c r="Q18" s="3">
        <f t="shared" si="2"/>
        <v>24313.65917341191</v>
      </c>
      <c r="U18">
        <v>2024</v>
      </c>
      <c r="V18" s="3">
        <f t="shared" si="11"/>
        <v>23</v>
      </c>
      <c r="W18" s="20">
        <f>W17+(W24-W12)/12</f>
        <v>1.1499999999999995</v>
      </c>
      <c r="X18" s="3">
        <f t="shared" si="3"/>
        <v>33.666986514584543</v>
      </c>
      <c r="Y18" s="3">
        <f>'Vehicle price'!T20</f>
        <v>29.275640447464834</v>
      </c>
      <c r="Z18" s="3">
        <f t="shared" si="12"/>
        <v>24.884294380345104</v>
      </c>
      <c r="AA18" s="20">
        <f>AA17+(AA24-AA12)/12</f>
        <v>0.84999999999999987</v>
      </c>
      <c r="AF18">
        <v>2024</v>
      </c>
      <c r="AG18" s="14">
        <v>0.85</v>
      </c>
      <c r="AH18">
        <v>0</v>
      </c>
      <c r="AI18" s="3">
        <f t="shared" si="18"/>
        <v>0</v>
      </c>
      <c r="AJ18" s="3">
        <f t="shared" si="14"/>
        <v>0</v>
      </c>
      <c r="AK18" s="14">
        <f t="shared" si="19"/>
        <v>131.643825634449</v>
      </c>
      <c r="AM18">
        <v>2024</v>
      </c>
      <c r="AN18">
        <v>-4000</v>
      </c>
      <c r="AO18">
        <v>-1500</v>
      </c>
      <c r="AP18" s="3">
        <f t="shared" si="15"/>
        <v>-3463.1823679085392</v>
      </c>
      <c r="AQ18" s="3">
        <f t="shared" si="16"/>
        <v>-1298.6933879657024</v>
      </c>
    </row>
    <row r="19" spans="1:43">
      <c r="A19">
        <v>2025</v>
      </c>
      <c r="B19" s="3">
        <f t="shared" si="4"/>
        <v>28.343375828936317</v>
      </c>
      <c r="C19" s="3">
        <f t="shared" si="0"/>
        <v>24091.869454595868</v>
      </c>
      <c r="D19">
        <v>0</v>
      </c>
      <c r="E19">
        <v>20</v>
      </c>
      <c r="F19" s="3">
        <f t="shared" si="5"/>
        <v>4818.3738909191734</v>
      </c>
      <c r="G19" s="3">
        <f t="shared" si="6"/>
        <v>28910.243345515042</v>
      </c>
      <c r="H19" s="3">
        <f t="shared" si="17"/>
        <v>-3392.6159560232559</v>
      </c>
      <c r="I19" s="3">
        <f t="shared" si="7"/>
        <v>1450</v>
      </c>
      <c r="J19" s="3">
        <f t="shared" si="8"/>
        <v>26967.627389491787</v>
      </c>
      <c r="L19" s="3">
        <f t="shared" si="1"/>
        <v>0</v>
      </c>
      <c r="N19">
        <v>2025</v>
      </c>
      <c r="O19" s="3">
        <f t="shared" si="9"/>
        <v>26967.627389491787</v>
      </c>
      <c r="P19" s="3">
        <f t="shared" si="10"/>
        <v>29088.01236200632</v>
      </c>
      <c r="Q19" s="3">
        <f t="shared" si="2"/>
        <v>24293.59324100189</v>
      </c>
      <c r="U19">
        <v>2025</v>
      </c>
      <c r="V19" s="3">
        <f t="shared" si="11"/>
        <v>23</v>
      </c>
      <c r="W19" s="20">
        <f>W18+(W24-W12)/12</f>
        <v>1.1749999999999994</v>
      </c>
      <c r="X19" s="3">
        <f t="shared" si="3"/>
        <v>33.303466599000153</v>
      </c>
      <c r="Y19" s="3">
        <f>'Vehicle price'!T21</f>
        <v>28.343375828936317</v>
      </c>
      <c r="Z19" s="3">
        <f t="shared" si="12"/>
        <v>23.383285058872456</v>
      </c>
      <c r="AA19" s="20">
        <f>AA18+(AA24-AA12)/12</f>
        <v>0.82499999999999984</v>
      </c>
      <c r="AF19">
        <v>2025</v>
      </c>
      <c r="AG19" s="14">
        <v>0.85</v>
      </c>
      <c r="AH19">
        <v>0</v>
      </c>
      <c r="AI19" s="3">
        <f t="shared" si="18"/>
        <v>0</v>
      </c>
      <c r="AJ19" s="3">
        <f t="shared" si="14"/>
        <v>0</v>
      </c>
      <c r="AK19" s="14">
        <f t="shared" si="19"/>
        <v>134.38201720764553</v>
      </c>
      <c r="AM19">
        <v>2025</v>
      </c>
      <c r="AN19">
        <v>-4000</v>
      </c>
      <c r="AO19">
        <v>-1500</v>
      </c>
      <c r="AP19" s="3">
        <f t="shared" si="15"/>
        <v>-3392.6159560232559</v>
      </c>
      <c r="AQ19" s="3">
        <f t="shared" si="16"/>
        <v>-1272.230983508721</v>
      </c>
    </row>
    <row r="20" spans="1:43">
      <c r="A20">
        <v>2026</v>
      </c>
      <c r="B20" s="3">
        <f t="shared" si="4"/>
        <v>27.812270474504896</v>
      </c>
      <c r="C20" s="3">
        <f t="shared" si="0"/>
        <v>23640.429903329161</v>
      </c>
      <c r="D20">
        <v>0</v>
      </c>
      <c r="E20">
        <v>20</v>
      </c>
      <c r="F20" s="3">
        <f t="shared" si="5"/>
        <v>4728.0859806658318</v>
      </c>
      <c r="G20" s="3">
        <f t="shared" si="6"/>
        <v>28368.515883994995</v>
      </c>
      <c r="H20" s="3">
        <f t="shared" si="17"/>
        <v>-3323.4874177343804</v>
      </c>
      <c r="I20" s="3">
        <f t="shared" si="7"/>
        <v>1450</v>
      </c>
      <c r="J20" s="3">
        <f t="shared" si="8"/>
        <v>26495.028466260614</v>
      </c>
      <c r="L20" s="3">
        <f t="shared" si="1"/>
        <v>0</v>
      </c>
      <c r="N20">
        <v>2026</v>
      </c>
      <c r="O20" s="3">
        <f t="shared" si="9"/>
        <v>26495.028466260614</v>
      </c>
      <c r="P20" s="3">
        <f t="shared" si="10"/>
        <v>28572.208102344601</v>
      </c>
      <c r="Q20" s="3">
        <f t="shared" si="2"/>
        <v>24273.725981189993</v>
      </c>
      <c r="U20">
        <v>2026</v>
      </c>
      <c r="V20" s="3">
        <f t="shared" si="11"/>
        <v>23</v>
      </c>
      <c r="W20" s="20">
        <f>W19+(W24-W12)/12</f>
        <v>1.1999999999999993</v>
      </c>
      <c r="X20" s="3">
        <f t="shared" si="3"/>
        <v>33.374724569405856</v>
      </c>
      <c r="Y20" s="3">
        <f>'Vehicle price'!T22</f>
        <v>27.812270474504896</v>
      </c>
      <c r="Z20" s="3">
        <f t="shared" si="12"/>
        <v>22.24981637960391</v>
      </c>
      <c r="AA20" s="20">
        <f>AA19+(AA24-AA12)/12</f>
        <v>0.79999999999999982</v>
      </c>
      <c r="AF20">
        <v>2026</v>
      </c>
      <c r="AG20" s="14">
        <v>0.85</v>
      </c>
      <c r="AH20">
        <v>0</v>
      </c>
      <c r="AI20" s="3">
        <f t="shared" si="18"/>
        <v>0</v>
      </c>
      <c r="AJ20" s="3">
        <f t="shared" si="14"/>
        <v>0</v>
      </c>
      <c r="AK20" s="14">
        <f t="shared" si="19"/>
        <v>137.17716316556456</v>
      </c>
      <c r="AM20">
        <v>2026</v>
      </c>
      <c r="AN20">
        <v>-4000</v>
      </c>
      <c r="AO20">
        <v>-1500</v>
      </c>
      <c r="AP20" s="3">
        <f t="shared" si="15"/>
        <v>-3323.4874177343804</v>
      </c>
      <c r="AQ20" s="3">
        <f t="shared" si="16"/>
        <v>-1246.3077816503928</v>
      </c>
    </row>
    <row r="21" spans="1:43">
      <c r="A21">
        <v>2027</v>
      </c>
      <c r="B21" s="3">
        <f t="shared" si="4"/>
        <v>27.281165120073478</v>
      </c>
      <c r="C21" s="3">
        <f t="shared" si="0"/>
        <v>23188.990352062454</v>
      </c>
      <c r="D21">
        <v>0</v>
      </c>
      <c r="E21">
        <v>20</v>
      </c>
      <c r="F21" s="3">
        <f t="shared" si="5"/>
        <v>4637.7980704124902</v>
      </c>
      <c r="G21" s="3">
        <f t="shared" si="6"/>
        <v>27826.788422474943</v>
      </c>
      <c r="H21" s="3">
        <f t="shared" si="17"/>
        <v>-3255.7674546770963</v>
      </c>
      <c r="I21" s="3">
        <f t="shared" si="7"/>
        <v>1450</v>
      </c>
      <c r="J21" s="3">
        <f t="shared" si="8"/>
        <v>26021.020967797846</v>
      </c>
      <c r="L21" s="3">
        <f t="shared" si="1"/>
        <v>0</v>
      </c>
      <c r="N21">
        <v>2027</v>
      </c>
      <c r="O21" s="3">
        <f t="shared" si="9"/>
        <v>26021.020967797846</v>
      </c>
      <c r="P21" s="3">
        <f t="shared" si="10"/>
        <v>28055.875626971032</v>
      </c>
      <c r="Q21" s="3">
        <f t="shared" si="2"/>
        <v>24254.055426920786</v>
      </c>
      <c r="U21">
        <v>2027</v>
      </c>
      <c r="V21" s="3">
        <f t="shared" si="11"/>
        <v>23</v>
      </c>
      <c r="W21" s="20">
        <f>W20+(W24-W12)/12</f>
        <v>1.2249999999999992</v>
      </c>
      <c r="X21" s="3">
        <f t="shared" si="3"/>
        <v>33.41942727208999</v>
      </c>
      <c r="Y21" s="3">
        <f>'Vehicle price'!T23</f>
        <v>27.281165120073478</v>
      </c>
      <c r="Z21" s="3">
        <f t="shared" si="12"/>
        <v>21.142902968056941</v>
      </c>
      <c r="AA21" s="20">
        <f>AA20+(AA24-AA12)/12</f>
        <v>0.7749999999999998</v>
      </c>
      <c r="AF21">
        <v>2027</v>
      </c>
      <c r="AG21" s="14">
        <v>0.85</v>
      </c>
      <c r="AH21">
        <v>0</v>
      </c>
      <c r="AI21" s="3">
        <f t="shared" si="18"/>
        <v>0</v>
      </c>
      <c r="AJ21" s="3">
        <f t="shared" si="14"/>
        <v>0</v>
      </c>
      <c r="AK21" s="14">
        <f t="shared" si="19"/>
        <v>140.03044815940834</v>
      </c>
      <c r="AM21">
        <v>2027</v>
      </c>
      <c r="AN21">
        <v>-4000</v>
      </c>
      <c r="AO21">
        <v>-1500</v>
      </c>
      <c r="AP21" s="3">
        <f t="shared" si="15"/>
        <v>-3255.7674546770963</v>
      </c>
      <c r="AQ21" s="3">
        <f t="shared" si="16"/>
        <v>-1220.9127955039112</v>
      </c>
    </row>
    <row r="22" spans="1:43">
      <c r="A22">
        <v>2028</v>
      </c>
      <c r="B22" s="3">
        <f t="shared" si="4"/>
        <v>26.683671596338133</v>
      </c>
      <c r="C22" s="3">
        <f t="shared" si="0"/>
        <v>22681.12085688741</v>
      </c>
      <c r="D22">
        <v>0</v>
      </c>
      <c r="E22">
        <v>20</v>
      </c>
      <c r="F22" s="3">
        <f t="shared" si="5"/>
        <v>4536.224171377482</v>
      </c>
      <c r="G22" s="3">
        <f t="shared" si="6"/>
        <v>27217.345028264892</v>
      </c>
      <c r="H22" s="3">
        <f t="shared" si="17"/>
        <v>-3189.427365475211</v>
      </c>
      <c r="I22" s="3">
        <f t="shared" si="7"/>
        <v>1450</v>
      </c>
      <c r="J22" s="3">
        <f t="shared" si="8"/>
        <v>25477.917662789681</v>
      </c>
      <c r="L22" s="3">
        <f t="shared" si="1"/>
        <v>0</v>
      </c>
      <c r="N22">
        <v>2028</v>
      </c>
      <c r="O22" s="3">
        <f t="shared" si="9"/>
        <v>25477.917662789681</v>
      </c>
      <c r="P22" s="3">
        <f t="shared" si="10"/>
        <v>27471.309766211689</v>
      </c>
      <c r="Q22" s="3">
        <f t="shared" si="2"/>
        <v>24234.579630614637</v>
      </c>
      <c r="U22">
        <v>2028</v>
      </c>
      <c r="V22" s="3">
        <f t="shared" si="11"/>
        <v>23</v>
      </c>
      <c r="W22" s="20">
        <f>W21+(W24-W12)/12</f>
        <v>1.2499999999999991</v>
      </c>
      <c r="X22" s="3">
        <f t="shared" si="3"/>
        <v>33.354589495422644</v>
      </c>
      <c r="Y22" s="3">
        <f>'Vehicle price'!T24</f>
        <v>26.683671596338133</v>
      </c>
      <c r="Z22" s="3">
        <f t="shared" si="12"/>
        <v>20.012753697253594</v>
      </c>
      <c r="AA22" s="20">
        <f>AA21+(AA24-AA12)/12</f>
        <v>0.74999999999999978</v>
      </c>
      <c r="AF22">
        <v>2028</v>
      </c>
      <c r="AG22" s="14">
        <v>0.85</v>
      </c>
      <c r="AH22">
        <v>0</v>
      </c>
      <c r="AI22" s="3">
        <f t="shared" si="18"/>
        <v>0</v>
      </c>
      <c r="AJ22" s="3">
        <f t="shared" si="14"/>
        <v>0</v>
      </c>
      <c r="AK22" s="14">
        <f t="shared" si="19"/>
        <v>142.94308148112407</v>
      </c>
      <c r="AM22">
        <v>2028</v>
      </c>
      <c r="AN22">
        <v>-4000</v>
      </c>
      <c r="AO22">
        <v>-1500</v>
      </c>
      <c r="AP22" s="3">
        <f t="shared" si="15"/>
        <v>-3189.427365475211</v>
      </c>
      <c r="AQ22" s="3">
        <f t="shared" si="16"/>
        <v>-1196.0352620532042</v>
      </c>
    </row>
    <row r="23" spans="1:43">
      <c r="A23">
        <v>2029</v>
      </c>
      <c r="B23" s="3">
        <f t="shared" si="4"/>
        <v>26.152566241906715</v>
      </c>
      <c r="C23" s="3">
        <f t="shared" si="0"/>
        <v>22229.68130562071</v>
      </c>
      <c r="D23">
        <v>0</v>
      </c>
      <c r="E23">
        <v>20</v>
      </c>
      <c r="F23" s="3">
        <f t="shared" si="5"/>
        <v>4445.9362611241413</v>
      </c>
      <c r="G23" s="3">
        <f t="shared" si="6"/>
        <v>26675.617566744852</v>
      </c>
      <c r="H23" s="3">
        <f t="shared" si="17"/>
        <v>-3124.4390335768126</v>
      </c>
      <c r="I23" s="3">
        <f t="shared" si="7"/>
        <v>1450</v>
      </c>
      <c r="J23" s="3">
        <f t="shared" si="8"/>
        <v>25001.17853316804</v>
      </c>
      <c r="L23" s="3">
        <f t="shared" si="1"/>
        <v>0</v>
      </c>
      <c r="N23">
        <v>2029</v>
      </c>
      <c r="O23" s="3">
        <f t="shared" si="9"/>
        <v>25001.17853316804</v>
      </c>
      <c r="P23" s="3">
        <f t="shared" si="10"/>
        <v>26953.952929153547</v>
      </c>
      <c r="Q23" s="3">
        <f t="shared" si="2"/>
        <v>24215.296663974888</v>
      </c>
      <c r="U23">
        <v>2029</v>
      </c>
      <c r="V23" s="3">
        <f t="shared" si="11"/>
        <v>23</v>
      </c>
      <c r="W23" s="20">
        <f>W22+(W24-W12)/12</f>
        <v>1.274999999999999</v>
      </c>
      <c r="X23" s="3">
        <f t="shared" si="3"/>
        <v>33.344521958431038</v>
      </c>
      <c r="Y23" s="3">
        <f>'Vehicle price'!T25</f>
        <v>26.152566241906715</v>
      </c>
      <c r="Z23" s="3">
        <f t="shared" si="12"/>
        <v>18.960610525382361</v>
      </c>
      <c r="AA23" s="20">
        <f>AA22+(AA24-AA12)/12</f>
        <v>0.72499999999999976</v>
      </c>
      <c r="AF23">
        <v>2029</v>
      </c>
      <c r="AG23" s="14">
        <v>0.85</v>
      </c>
      <c r="AH23">
        <v>0</v>
      </c>
      <c r="AI23" s="3">
        <f t="shared" si="18"/>
        <v>0</v>
      </c>
      <c r="AJ23" s="3">
        <f t="shared" si="14"/>
        <v>0</v>
      </c>
      <c r="AK23" s="14">
        <f t="shared" si="19"/>
        <v>145.91629757593148</v>
      </c>
      <c r="AM23">
        <v>2029</v>
      </c>
      <c r="AN23">
        <v>-4000</v>
      </c>
      <c r="AO23">
        <v>-1500</v>
      </c>
      <c r="AP23" s="3">
        <f t="shared" si="15"/>
        <v>-3124.4390335768126</v>
      </c>
      <c r="AQ23" s="3">
        <f t="shared" si="16"/>
        <v>-1171.6646375913049</v>
      </c>
    </row>
    <row r="24" spans="1:43">
      <c r="A24">
        <v>2030</v>
      </c>
      <c r="B24" s="3">
        <f t="shared" si="4"/>
        <v>25.55507271817137</v>
      </c>
      <c r="C24" s="3">
        <f t="shared" si="0"/>
        <v>21721.811810445666</v>
      </c>
      <c r="D24">
        <v>0</v>
      </c>
      <c r="E24">
        <v>20</v>
      </c>
      <c r="F24" s="3">
        <f t="shared" si="5"/>
        <v>4344.3623620891331</v>
      </c>
      <c r="G24" s="3">
        <f t="shared" si="6"/>
        <v>26066.1741725348</v>
      </c>
      <c r="H24" s="3">
        <f t="shared" si="17"/>
        <v>-3060.7749153377858</v>
      </c>
      <c r="I24" s="3">
        <f t="shared" si="7"/>
        <v>1450</v>
      </c>
      <c r="J24" s="3">
        <f t="shared" si="8"/>
        <v>24455.399257197016</v>
      </c>
      <c r="L24" s="3">
        <f t="shared" si="1"/>
        <v>0</v>
      </c>
      <c r="N24">
        <v>2030</v>
      </c>
      <c r="O24" s="3">
        <f t="shared" si="9"/>
        <v>24455.399257197016</v>
      </c>
      <c r="P24" s="3">
        <f t="shared" si="10"/>
        <v>26368.383579283131</v>
      </c>
      <c r="Q24" s="3">
        <f t="shared" si="2"/>
        <v>24196.204617796921</v>
      </c>
      <c r="U24">
        <v>2030</v>
      </c>
      <c r="V24" s="3">
        <f t="shared" si="11"/>
        <v>23</v>
      </c>
      <c r="W24">
        <v>1.3</v>
      </c>
      <c r="X24" s="3">
        <f t="shared" si="3"/>
        <v>33.221594533622785</v>
      </c>
      <c r="Y24" s="3">
        <f>'Vehicle price'!T26</f>
        <v>25.55507271817137</v>
      </c>
      <c r="Z24" s="3">
        <f t="shared" si="12"/>
        <v>17.88855090271996</v>
      </c>
      <c r="AA24">
        <v>0.7</v>
      </c>
      <c r="AF24">
        <v>2030</v>
      </c>
      <c r="AG24" s="14">
        <v>0.85</v>
      </c>
      <c r="AH24">
        <v>0</v>
      </c>
      <c r="AI24" s="3">
        <f t="shared" si="18"/>
        <v>0</v>
      </c>
      <c r="AJ24" s="3">
        <f t="shared" si="14"/>
        <v>0</v>
      </c>
      <c r="AK24" s="14">
        <f t="shared" si="19"/>
        <v>148.95135656551091</v>
      </c>
      <c r="AM24">
        <v>2030</v>
      </c>
      <c r="AN24">
        <v>-4000</v>
      </c>
      <c r="AO24">
        <v>-1500</v>
      </c>
      <c r="AP24" s="3">
        <f t="shared" si="15"/>
        <v>-3060.7749153377858</v>
      </c>
      <c r="AQ24" s="3">
        <f t="shared" si="16"/>
        <v>-1147.7905932516696</v>
      </c>
    </row>
    <row r="26" spans="1:43">
      <c r="A26" t="s">
        <v>324</v>
      </c>
      <c r="B26" t="s">
        <v>1395</v>
      </c>
      <c r="C26" t="s">
        <v>709</v>
      </c>
      <c r="D26" t="s">
        <v>709</v>
      </c>
      <c r="H26" t="s">
        <v>709</v>
      </c>
      <c r="L26" t="s">
        <v>904</v>
      </c>
    </row>
    <row r="27" spans="1:43">
      <c r="B27" t="s">
        <v>711</v>
      </c>
      <c r="C27" t="s">
        <v>710</v>
      </c>
      <c r="D27" t="s">
        <v>749</v>
      </c>
      <c r="E27" t="s">
        <v>714</v>
      </c>
      <c r="F27" t="s">
        <v>728</v>
      </c>
      <c r="G27" t="s">
        <v>717</v>
      </c>
      <c r="H27" t="s">
        <v>713</v>
      </c>
      <c r="I27" t="s">
        <v>755</v>
      </c>
      <c r="J27" t="s">
        <v>717</v>
      </c>
      <c r="L27" t="s">
        <v>721</v>
      </c>
    </row>
    <row r="28" spans="1:43">
      <c r="A28">
        <v>2009</v>
      </c>
      <c r="B28" s="3">
        <f t="shared" ref="B28:B49" si="20">B3</f>
        <v>29.592572886961211</v>
      </c>
      <c r="C28" s="3">
        <f t="shared" ref="C28:C49" si="21">B28*AG3*1000</f>
        <v>21302.040969337188</v>
      </c>
      <c r="D28">
        <v>0</v>
      </c>
      <c r="E28">
        <v>20</v>
      </c>
      <c r="F28" s="3">
        <f>C28*E28/100</f>
        <v>4260.4081938674381</v>
      </c>
      <c r="G28" s="3">
        <f>C28+D28+F28</f>
        <v>25562.449163204627</v>
      </c>
      <c r="H28">
        <v>0</v>
      </c>
      <c r="I28" s="3">
        <f>650+800</f>
        <v>1450</v>
      </c>
      <c r="J28" s="3">
        <f>G28+H28+I28</f>
        <v>27012.449163204627</v>
      </c>
      <c r="L28" s="3">
        <f t="shared" ref="L28:L49" si="22">AI3</f>
        <v>719.84416666666675</v>
      </c>
    </row>
    <row r="29" spans="1:43">
      <c r="A29">
        <v>2010</v>
      </c>
      <c r="B29" s="3">
        <f t="shared" si="20"/>
        <v>30</v>
      </c>
      <c r="C29" s="3">
        <f t="shared" si="21"/>
        <v>22760.138776915202</v>
      </c>
      <c r="D29">
        <v>0</v>
      </c>
      <c r="E29">
        <v>20</v>
      </c>
      <c r="F29" s="3">
        <f t="shared" ref="F29:F37" si="23">C29*E29/100</f>
        <v>4552.027755383041</v>
      </c>
      <c r="G29" s="3">
        <f t="shared" ref="G29:G49" si="24">C29+D29+F29</f>
        <v>27312.166532298244</v>
      </c>
      <c r="H29">
        <v>0</v>
      </c>
      <c r="I29" s="3">
        <f t="shared" ref="I29:I49" si="25">650+800</f>
        <v>1450</v>
      </c>
      <c r="J29" s="3">
        <f t="shared" ref="J29:J49" si="26">G29+H29+I29</f>
        <v>28762.166532298244</v>
      </c>
      <c r="L29" s="3">
        <f t="shared" si="22"/>
        <v>758.67129256383998</v>
      </c>
    </row>
    <row r="30" spans="1:43">
      <c r="A30">
        <v>2011</v>
      </c>
      <c r="B30" s="3">
        <f t="shared" si="20"/>
        <v>30</v>
      </c>
      <c r="C30" s="3">
        <f t="shared" si="21"/>
        <v>21463.232997813917</v>
      </c>
      <c r="D30">
        <v>0</v>
      </c>
      <c r="E30">
        <v>20</v>
      </c>
      <c r="F30" s="3">
        <f t="shared" si="23"/>
        <v>4292.6465995627832</v>
      </c>
      <c r="G30" s="3">
        <f t="shared" si="24"/>
        <v>25755.879597376701</v>
      </c>
      <c r="H30">
        <v>0</v>
      </c>
      <c r="I30" s="3">
        <f t="shared" si="25"/>
        <v>1450</v>
      </c>
      <c r="J30" s="3">
        <f t="shared" si="26"/>
        <v>27205.879597376701</v>
      </c>
      <c r="L30" s="3">
        <f t="shared" si="22"/>
        <v>715.44109992713061</v>
      </c>
    </row>
    <row r="31" spans="1:43">
      <c r="A31">
        <v>2012</v>
      </c>
      <c r="B31" s="3">
        <f t="shared" si="20"/>
        <v>30.842462459493706</v>
      </c>
      <c r="C31" s="3">
        <f t="shared" si="21"/>
        <v>23868.964632772961</v>
      </c>
      <c r="D31">
        <v>0</v>
      </c>
      <c r="E31">
        <v>20</v>
      </c>
      <c r="F31" s="3">
        <f t="shared" si="23"/>
        <v>4773.7929265545918</v>
      </c>
      <c r="G31" s="3">
        <f t="shared" si="24"/>
        <v>28642.757559327554</v>
      </c>
      <c r="H31">
        <v>0</v>
      </c>
      <c r="I31" s="3">
        <f t="shared" si="25"/>
        <v>1450</v>
      </c>
      <c r="J31" s="3">
        <f t="shared" si="26"/>
        <v>30092.757559327554</v>
      </c>
      <c r="L31" s="3">
        <f t="shared" si="22"/>
        <v>773.89944671638204</v>
      </c>
    </row>
    <row r="32" spans="1:43">
      <c r="A32">
        <v>2013</v>
      </c>
      <c r="B32" s="3">
        <f t="shared" si="20"/>
        <v>31.143929334439989</v>
      </c>
      <c r="C32" s="3">
        <f t="shared" si="21"/>
        <v>23409.918880648976</v>
      </c>
      <c r="D32">
        <v>0</v>
      </c>
      <c r="E32">
        <v>20</v>
      </c>
      <c r="F32" s="3">
        <f t="shared" si="23"/>
        <v>4681.9837761297949</v>
      </c>
      <c r="G32" s="3">
        <f t="shared" si="24"/>
        <v>28091.902656778773</v>
      </c>
      <c r="H32">
        <v>0</v>
      </c>
      <c r="I32" s="3">
        <f t="shared" si="25"/>
        <v>1450</v>
      </c>
      <c r="J32" s="3">
        <f t="shared" si="26"/>
        <v>29541.902656778773</v>
      </c>
      <c r="L32" s="3">
        <f t="shared" si="22"/>
        <v>751.66876437654616</v>
      </c>
    </row>
    <row r="33" spans="1:12">
      <c r="A33">
        <v>2014</v>
      </c>
      <c r="B33" s="3">
        <f t="shared" si="20"/>
        <v>33.541755956678692</v>
      </c>
      <c r="C33" s="3">
        <f t="shared" si="21"/>
        <v>25404.118038119632</v>
      </c>
      <c r="D33">
        <v>0</v>
      </c>
      <c r="E33">
        <v>20</v>
      </c>
      <c r="F33" s="3">
        <f t="shared" si="23"/>
        <v>5080.8236076239264</v>
      </c>
      <c r="G33" s="3">
        <f t="shared" si="24"/>
        <v>30484.941645743558</v>
      </c>
      <c r="H33">
        <v>0</v>
      </c>
      <c r="I33" s="3">
        <f t="shared" si="25"/>
        <v>1450</v>
      </c>
      <c r="J33" s="3">
        <f t="shared" si="26"/>
        <v>31934.941645743558</v>
      </c>
      <c r="L33" s="3">
        <f t="shared" si="22"/>
        <v>757.38783833889499</v>
      </c>
    </row>
    <row r="34" spans="1:12">
      <c r="A34">
        <v>2015</v>
      </c>
      <c r="B34" s="3">
        <f t="shared" si="20"/>
        <v>30</v>
      </c>
      <c r="C34" s="3">
        <f t="shared" si="21"/>
        <v>27177.76686239925</v>
      </c>
      <c r="D34">
        <v>0</v>
      </c>
      <c r="E34">
        <v>20</v>
      </c>
      <c r="F34" s="3">
        <f t="shared" si="23"/>
        <v>5435.5533724798497</v>
      </c>
      <c r="G34" s="3">
        <f t="shared" si="24"/>
        <v>32613.320234879102</v>
      </c>
      <c r="H34">
        <v>0</v>
      </c>
      <c r="I34" s="3">
        <f t="shared" si="25"/>
        <v>1450</v>
      </c>
      <c r="J34" s="3">
        <f t="shared" si="26"/>
        <v>34063.320234879102</v>
      </c>
      <c r="L34" s="3">
        <f t="shared" si="22"/>
        <v>905.92556207997495</v>
      </c>
    </row>
    <row r="35" spans="1:12">
      <c r="A35">
        <v>2016</v>
      </c>
      <c r="B35" s="3">
        <f t="shared" si="20"/>
        <v>30</v>
      </c>
      <c r="C35" s="3">
        <f t="shared" si="21"/>
        <v>27202.412312659035</v>
      </c>
      <c r="D35">
        <v>0</v>
      </c>
      <c r="E35">
        <v>20</v>
      </c>
      <c r="F35" s="3">
        <f t="shared" si="23"/>
        <v>5440.482462531807</v>
      </c>
      <c r="G35" s="3">
        <f t="shared" si="24"/>
        <v>32642.894775190842</v>
      </c>
      <c r="H35">
        <v>0</v>
      </c>
      <c r="I35" s="3">
        <f t="shared" si="25"/>
        <v>1450</v>
      </c>
      <c r="J35" s="3">
        <f t="shared" si="26"/>
        <v>34092.894775190842</v>
      </c>
      <c r="L35" s="3">
        <f t="shared" si="22"/>
        <v>0</v>
      </c>
    </row>
    <row r="36" spans="1:12">
      <c r="A36">
        <v>2017</v>
      </c>
      <c r="B36" s="3">
        <f t="shared" si="20"/>
        <v>30</v>
      </c>
      <c r="C36" s="3">
        <f t="shared" si="21"/>
        <v>26462.003510368591</v>
      </c>
      <c r="D36">
        <v>0</v>
      </c>
      <c r="E36">
        <v>20</v>
      </c>
      <c r="F36" s="3">
        <f t="shared" si="23"/>
        <v>5292.4007020737181</v>
      </c>
      <c r="G36" s="3">
        <f t="shared" si="24"/>
        <v>31754.40421244231</v>
      </c>
      <c r="H36" s="3">
        <f t="shared" ref="H36:H49" si="27">AQ11</f>
        <v>-1500</v>
      </c>
      <c r="I36" s="3">
        <f t="shared" si="25"/>
        <v>1450</v>
      </c>
      <c r="J36" s="3">
        <f t="shared" si="26"/>
        <v>31704.40421244231</v>
      </c>
      <c r="L36" s="3">
        <f t="shared" si="22"/>
        <v>0</v>
      </c>
    </row>
    <row r="37" spans="1:12">
      <c r="A37">
        <v>2018</v>
      </c>
      <c r="B37" s="3">
        <f t="shared" si="20"/>
        <v>30.592100851060948</v>
      </c>
      <c r="C37" s="3">
        <f t="shared" si="21"/>
        <v>26003.285723401805</v>
      </c>
      <c r="D37">
        <v>0</v>
      </c>
      <c r="E37">
        <v>20</v>
      </c>
      <c r="F37" s="3">
        <f t="shared" si="23"/>
        <v>5200.6571446803609</v>
      </c>
      <c r="G37" s="3">
        <f t="shared" si="24"/>
        <v>31203.942868082166</v>
      </c>
      <c r="H37" s="3">
        <f t="shared" si="27"/>
        <v>-1469.4357366771162</v>
      </c>
      <c r="I37" s="3">
        <f t="shared" si="25"/>
        <v>1450</v>
      </c>
      <c r="J37" s="3">
        <f t="shared" si="26"/>
        <v>31184.507131405051</v>
      </c>
      <c r="L37" s="3">
        <f t="shared" si="22"/>
        <v>0</v>
      </c>
    </row>
    <row r="38" spans="1:12">
      <c r="A38">
        <v>2019</v>
      </c>
      <c r="B38" s="3">
        <f t="shared" si="20"/>
        <v>31.172994053473918</v>
      </c>
      <c r="C38" s="3">
        <f t="shared" si="21"/>
        <v>26497.044945452828</v>
      </c>
      <c r="D38">
        <v>0</v>
      </c>
      <c r="E38">
        <v>20</v>
      </c>
      <c r="F38" s="3">
        <f t="shared" ref="F38:F49" si="28">C38*E38/100</f>
        <v>5299.4089890905652</v>
      </c>
      <c r="G38" s="3">
        <f t="shared" si="24"/>
        <v>31796.453934543395</v>
      </c>
      <c r="H38" s="3">
        <f t="shared" si="27"/>
        <v>-1439.4942561492128</v>
      </c>
      <c r="I38" s="3">
        <f t="shared" si="25"/>
        <v>1450</v>
      </c>
      <c r="J38" s="3">
        <f t="shared" si="26"/>
        <v>31806.959678394182</v>
      </c>
      <c r="L38" s="3">
        <f t="shared" si="22"/>
        <v>0</v>
      </c>
    </row>
    <row r="39" spans="1:12">
      <c r="A39">
        <v>2020</v>
      </c>
      <c r="B39" s="3">
        <f t="shared" si="20"/>
        <v>30.985903123425071</v>
      </c>
      <c r="C39" s="3">
        <f t="shared" si="21"/>
        <v>26338.017654911313</v>
      </c>
      <c r="D39">
        <v>0</v>
      </c>
      <c r="E39">
        <v>20</v>
      </c>
      <c r="F39" s="3">
        <f t="shared" si="28"/>
        <v>5267.6035309822628</v>
      </c>
      <c r="G39" s="3">
        <f t="shared" si="24"/>
        <v>31605.621185893575</v>
      </c>
      <c r="H39" s="3">
        <f t="shared" si="27"/>
        <v>-1410.1628684847306</v>
      </c>
      <c r="I39" s="3">
        <f t="shared" si="25"/>
        <v>1450</v>
      </c>
      <c r="J39" s="3">
        <f t="shared" si="26"/>
        <v>31645.458317408844</v>
      </c>
      <c r="L39" s="3">
        <f t="shared" si="22"/>
        <v>0</v>
      </c>
    </row>
    <row r="40" spans="1:12">
      <c r="A40">
        <v>2021</v>
      </c>
      <c r="B40" s="3">
        <f t="shared" si="20"/>
        <v>30.206708843097807</v>
      </c>
      <c r="C40" s="3">
        <f t="shared" si="21"/>
        <v>25675.702516633137</v>
      </c>
      <c r="D40">
        <v>0</v>
      </c>
      <c r="E40">
        <v>20</v>
      </c>
      <c r="F40" s="3">
        <f t="shared" si="28"/>
        <v>5135.1405033266274</v>
      </c>
      <c r="G40" s="3">
        <f t="shared" si="24"/>
        <v>30810.843019959764</v>
      </c>
      <c r="H40" s="3">
        <f t="shared" si="27"/>
        <v>-1381.4291423243835</v>
      </c>
      <c r="I40" s="3">
        <f t="shared" si="25"/>
        <v>1450</v>
      </c>
      <c r="J40" s="3">
        <f t="shared" si="26"/>
        <v>30879.413877635379</v>
      </c>
      <c r="L40" s="3">
        <f t="shared" si="22"/>
        <v>0</v>
      </c>
    </row>
    <row r="41" spans="1:12">
      <c r="A41">
        <v>2022</v>
      </c>
      <c r="B41" s="3">
        <f t="shared" si="20"/>
        <v>30.642454642697771</v>
      </c>
      <c r="C41" s="3">
        <f t="shared" si="21"/>
        <v>26046.086446293106</v>
      </c>
      <c r="D41">
        <v>0</v>
      </c>
      <c r="E41">
        <v>20</v>
      </c>
      <c r="F41" s="3">
        <f t="shared" si="28"/>
        <v>5209.2172892586213</v>
      </c>
      <c r="G41" s="3">
        <f t="shared" si="24"/>
        <v>31255.303735551726</v>
      </c>
      <c r="H41" s="3">
        <f t="shared" si="27"/>
        <v>-1353.280899612445</v>
      </c>
      <c r="I41" s="3">
        <f t="shared" si="25"/>
        <v>1450</v>
      </c>
      <c r="J41" s="3">
        <f t="shared" si="26"/>
        <v>31352.022835939282</v>
      </c>
      <c r="L41" s="3">
        <f t="shared" si="22"/>
        <v>0</v>
      </c>
    </row>
    <row r="42" spans="1:12">
      <c r="A42">
        <v>2023</v>
      </c>
      <c r="B42" s="3">
        <f t="shared" si="20"/>
        <v>30.361546257811007</v>
      </c>
      <c r="C42" s="3">
        <f t="shared" si="21"/>
        <v>25807.314319139354</v>
      </c>
      <c r="D42">
        <v>0</v>
      </c>
      <c r="E42">
        <v>20</v>
      </c>
      <c r="F42" s="3">
        <f t="shared" si="28"/>
        <v>5161.46286382787</v>
      </c>
      <c r="G42" s="3">
        <f t="shared" si="24"/>
        <v>30968.777182967224</v>
      </c>
      <c r="H42" s="3">
        <f t="shared" si="27"/>
        <v>-1325.7062104353888</v>
      </c>
      <c r="I42" s="3">
        <f t="shared" si="25"/>
        <v>1450</v>
      </c>
      <c r="J42" s="3">
        <f t="shared" si="26"/>
        <v>31093.070972531834</v>
      </c>
      <c r="L42" s="3">
        <f t="shared" si="22"/>
        <v>0</v>
      </c>
    </row>
    <row r="43" spans="1:12">
      <c r="A43">
        <v>2024</v>
      </c>
      <c r="B43" s="3">
        <f t="shared" si="20"/>
        <v>29.275640447464834</v>
      </c>
      <c r="C43" s="3">
        <f t="shared" si="21"/>
        <v>24884.294380345105</v>
      </c>
      <c r="D43">
        <v>0</v>
      </c>
      <c r="E43">
        <v>20</v>
      </c>
      <c r="F43" s="3">
        <f t="shared" si="28"/>
        <v>4976.8588760690209</v>
      </c>
      <c r="G43" s="3">
        <f t="shared" si="24"/>
        <v>29861.153256414127</v>
      </c>
      <c r="H43" s="3">
        <f t="shared" si="27"/>
        <v>-1298.6933879657024</v>
      </c>
      <c r="I43" s="3">
        <f t="shared" si="25"/>
        <v>1450</v>
      </c>
      <c r="J43" s="3">
        <f t="shared" si="26"/>
        <v>30012.459868448426</v>
      </c>
      <c r="L43" s="3">
        <f t="shared" si="22"/>
        <v>0</v>
      </c>
    </row>
    <row r="44" spans="1:12">
      <c r="A44">
        <v>2025</v>
      </c>
      <c r="B44" s="3">
        <f t="shared" si="20"/>
        <v>28.343375828936317</v>
      </c>
      <c r="C44" s="3">
        <f t="shared" si="21"/>
        <v>24091.869454595868</v>
      </c>
      <c r="D44">
        <v>0</v>
      </c>
      <c r="E44">
        <v>20</v>
      </c>
      <c r="F44" s="3">
        <f t="shared" si="28"/>
        <v>4818.3738909191734</v>
      </c>
      <c r="G44" s="3">
        <f t="shared" si="24"/>
        <v>28910.243345515042</v>
      </c>
      <c r="H44" s="3">
        <f t="shared" si="27"/>
        <v>-1272.230983508721</v>
      </c>
      <c r="I44" s="3">
        <f t="shared" si="25"/>
        <v>1450</v>
      </c>
      <c r="J44" s="3">
        <f t="shared" si="26"/>
        <v>29088.01236200632</v>
      </c>
      <c r="L44" s="3">
        <f t="shared" si="22"/>
        <v>0</v>
      </c>
    </row>
    <row r="45" spans="1:12">
      <c r="A45">
        <v>2026</v>
      </c>
      <c r="B45" s="3">
        <f t="shared" si="20"/>
        <v>27.812270474504896</v>
      </c>
      <c r="C45" s="3">
        <f t="shared" si="21"/>
        <v>23640.429903329161</v>
      </c>
      <c r="D45">
        <v>0</v>
      </c>
      <c r="E45">
        <v>20</v>
      </c>
      <c r="F45" s="3">
        <f t="shared" si="28"/>
        <v>4728.0859806658318</v>
      </c>
      <c r="G45" s="3">
        <f t="shared" si="24"/>
        <v>28368.515883994995</v>
      </c>
      <c r="H45" s="3">
        <f t="shared" si="27"/>
        <v>-1246.3077816503928</v>
      </c>
      <c r="I45" s="3">
        <f t="shared" si="25"/>
        <v>1450</v>
      </c>
      <c r="J45" s="3">
        <f t="shared" si="26"/>
        <v>28572.208102344601</v>
      </c>
      <c r="L45" s="3">
        <f t="shared" si="22"/>
        <v>0</v>
      </c>
    </row>
    <row r="46" spans="1:12">
      <c r="A46">
        <v>2027</v>
      </c>
      <c r="B46" s="3">
        <f t="shared" si="20"/>
        <v>27.281165120073478</v>
      </c>
      <c r="C46" s="3">
        <f t="shared" si="21"/>
        <v>23188.990352062454</v>
      </c>
      <c r="D46">
        <v>0</v>
      </c>
      <c r="E46">
        <v>20</v>
      </c>
      <c r="F46" s="3">
        <f t="shared" si="28"/>
        <v>4637.7980704124902</v>
      </c>
      <c r="G46" s="3">
        <f t="shared" si="24"/>
        <v>27826.788422474943</v>
      </c>
      <c r="H46" s="3">
        <f t="shared" si="27"/>
        <v>-1220.9127955039112</v>
      </c>
      <c r="I46" s="3">
        <f t="shared" si="25"/>
        <v>1450</v>
      </c>
      <c r="J46" s="3">
        <f t="shared" si="26"/>
        <v>28055.875626971032</v>
      </c>
      <c r="L46" s="3">
        <f t="shared" si="22"/>
        <v>0</v>
      </c>
    </row>
    <row r="47" spans="1:12">
      <c r="A47">
        <v>2028</v>
      </c>
      <c r="B47" s="3">
        <f t="shared" si="20"/>
        <v>26.683671596338133</v>
      </c>
      <c r="C47" s="3">
        <f t="shared" si="21"/>
        <v>22681.12085688741</v>
      </c>
      <c r="D47">
        <v>0</v>
      </c>
      <c r="E47">
        <v>20</v>
      </c>
      <c r="F47" s="3">
        <f t="shared" si="28"/>
        <v>4536.224171377482</v>
      </c>
      <c r="G47" s="3">
        <f t="shared" si="24"/>
        <v>27217.345028264892</v>
      </c>
      <c r="H47" s="3">
        <f t="shared" si="27"/>
        <v>-1196.0352620532042</v>
      </c>
      <c r="I47" s="3">
        <f t="shared" si="25"/>
        <v>1450</v>
      </c>
      <c r="J47" s="3">
        <f t="shared" si="26"/>
        <v>27471.309766211689</v>
      </c>
      <c r="L47" s="3">
        <f t="shared" si="22"/>
        <v>0</v>
      </c>
    </row>
    <row r="48" spans="1:12">
      <c r="A48">
        <v>2029</v>
      </c>
      <c r="B48" s="3">
        <f t="shared" si="20"/>
        <v>26.152566241906715</v>
      </c>
      <c r="C48" s="3">
        <f t="shared" si="21"/>
        <v>22229.68130562071</v>
      </c>
      <c r="D48">
        <v>0</v>
      </c>
      <c r="E48">
        <v>20</v>
      </c>
      <c r="F48" s="3">
        <f t="shared" si="28"/>
        <v>4445.9362611241413</v>
      </c>
      <c r="G48" s="3">
        <f t="shared" si="24"/>
        <v>26675.617566744852</v>
      </c>
      <c r="H48" s="3">
        <f t="shared" si="27"/>
        <v>-1171.6646375913049</v>
      </c>
      <c r="I48" s="3">
        <f t="shared" si="25"/>
        <v>1450</v>
      </c>
      <c r="J48" s="3">
        <f t="shared" si="26"/>
        <v>26953.952929153547</v>
      </c>
      <c r="L48" s="3">
        <f t="shared" si="22"/>
        <v>0</v>
      </c>
    </row>
    <row r="49" spans="1:12">
      <c r="A49">
        <v>2030</v>
      </c>
      <c r="B49" s="3">
        <f t="shared" si="20"/>
        <v>25.55507271817137</v>
      </c>
      <c r="C49" s="3">
        <f t="shared" si="21"/>
        <v>21721.811810445666</v>
      </c>
      <c r="D49">
        <v>0</v>
      </c>
      <c r="E49">
        <v>20</v>
      </c>
      <c r="F49" s="3">
        <f t="shared" si="28"/>
        <v>4344.3623620891331</v>
      </c>
      <c r="G49" s="3">
        <f t="shared" si="24"/>
        <v>26066.1741725348</v>
      </c>
      <c r="H49" s="3">
        <f t="shared" si="27"/>
        <v>-1147.7905932516696</v>
      </c>
      <c r="I49" s="3">
        <f t="shared" si="25"/>
        <v>1450</v>
      </c>
      <c r="J49" s="3">
        <f t="shared" si="26"/>
        <v>26368.383579283131</v>
      </c>
      <c r="L49" s="3">
        <f t="shared" si="22"/>
        <v>0</v>
      </c>
    </row>
    <row r="51" spans="1:12">
      <c r="A51" t="s">
        <v>716</v>
      </c>
      <c r="B51" t="s">
        <v>1395</v>
      </c>
      <c r="C51" t="s">
        <v>709</v>
      </c>
      <c r="D51" t="s">
        <v>709</v>
      </c>
    </row>
    <row r="52" spans="1:12">
      <c r="B52" t="s">
        <v>724</v>
      </c>
      <c r="C52" t="s">
        <v>710</v>
      </c>
      <c r="D52" t="s">
        <v>749</v>
      </c>
      <c r="E52" t="s">
        <v>714</v>
      </c>
      <c r="F52" t="s">
        <v>728</v>
      </c>
      <c r="G52" t="s">
        <v>725</v>
      </c>
    </row>
    <row r="53" spans="1:12">
      <c r="A53">
        <v>2009</v>
      </c>
      <c r="B53" s="3">
        <f>'Vehicle price'!X5</f>
        <v>23</v>
      </c>
      <c r="C53" s="3">
        <f t="shared" ref="C53:C74" si="29">B53*AG3*1000</f>
        <v>16556.415833333336</v>
      </c>
      <c r="D53" s="3">
        <f>C53*0.02*(W$79-3)</f>
        <v>942.23601252762103</v>
      </c>
      <c r="E53">
        <v>20</v>
      </c>
      <c r="F53" s="3">
        <f t="shared" ref="F53:F62" si="30">E53/100*C53</f>
        <v>3311.2831666666675</v>
      </c>
      <c r="G53" s="3">
        <f>C53+D53+F53</f>
        <v>20809.935012527625</v>
      </c>
    </row>
    <row r="54" spans="1:12">
      <c r="A54">
        <v>2010</v>
      </c>
      <c r="B54" s="3">
        <f>'Vehicle price'!X6</f>
        <v>23</v>
      </c>
      <c r="C54" s="3">
        <f t="shared" si="29"/>
        <v>17449.439728968322</v>
      </c>
      <c r="D54" s="3">
        <f>C54*0.02*(W$79-3)</f>
        <v>993.05856270909862</v>
      </c>
      <c r="E54">
        <v>20</v>
      </c>
      <c r="F54" s="3">
        <f t="shared" si="30"/>
        <v>3489.8879457936646</v>
      </c>
      <c r="G54" s="3">
        <f t="shared" ref="G54:G62" si="31">C54+D54+F54</f>
        <v>21932.386237471084</v>
      </c>
    </row>
    <row r="55" spans="1:12">
      <c r="A55">
        <v>2011</v>
      </c>
      <c r="B55" s="3">
        <f>'Vehicle price'!X7</f>
        <v>23</v>
      </c>
      <c r="C55" s="3">
        <f t="shared" si="29"/>
        <v>16455.145298324001</v>
      </c>
      <c r="D55" s="3">
        <f>C55*0.02*(W$79-3)</f>
        <v>936.47264284336711</v>
      </c>
      <c r="E55">
        <v>20</v>
      </c>
      <c r="F55" s="3">
        <f t="shared" si="30"/>
        <v>3291.0290596648006</v>
      </c>
      <c r="G55" s="3">
        <f t="shared" si="31"/>
        <v>20682.64700083217</v>
      </c>
    </row>
    <row r="56" spans="1:12">
      <c r="A56">
        <v>2012</v>
      </c>
      <c r="B56" s="3">
        <f>'Vehicle price'!X8</f>
        <v>23</v>
      </c>
      <c r="C56" s="3">
        <f t="shared" si="29"/>
        <v>17799.687274476786</v>
      </c>
      <c r="D56" s="3">
        <f t="shared" ref="D56:D74" si="32">C56*0.02*(W79-3)</f>
        <v>1012.9913702683925</v>
      </c>
      <c r="E56">
        <v>20</v>
      </c>
      <c r="F56" s="3">
        <f t="shared" si="30"/>
        <v>3559.9374548953574</v>
      </c>
      <c r="G56" s="3">
        <f t="shared" si="31"/>
        <v>22372.616099640534</v>
      </c>
      <c r="I56" s="13"/>
    </row>
    <row r="57" spans="1:12">
      <c r="A57">
        <v>2013</v>
      </c>
      <c r="B57" s="3">
        <f>'Vehicle price'!X9</f>
        <v>23</v>
      </c>
      <c r="C57" s="3">
        <f t="shared" si="29"/>
        <v>17288.381580660563</v>
      </c>
      <c r="D57" s="3">
        <f t="shared" si="32"/>
        <v>968.14936851699156</v>
      </c>
      <c r="E57">
        <v>20</v>
      </c>
      <c r="F57" s="3">
        <f t="shared" si="30"/>
        <v>3457.6763161321128</v>
      </c>
      <c r="G57" s="3">
        <f t="shared" si="31"/>
        <v>21714.207265309669</v>
      </c>
    </row>
    <row r="58" spans="1:12">
      <c r="A58">
        <v>2014</v>
      </c>
      <c r="B58" s="3">
        <f>'Vehicle price'!X10</f>
        <v>23</v>
      </c>
      <c r="C58" s="3">
        <f t="shared" si="29"/>
        <v>17419.920281794584</v>
      </c>
      <c r="D58" s="3">
        <f t="shared" si="32"/>
        <v>951.55453871304803</v>
      </c>
      <c r="E58">
        <v>20</v>
      </c>
      <c r="F58" s="3">
        <f t="shared" si="30"/>
        <v>3483.9840563589169</v>
      </c>
      <c r="G58" s="3">
        <f t="shared" si="31"/>
        <v>21855.458876866549</v>
      </c>
    </row>
    <row r="59" spans="1:12">
      <c r="A59">
        <v>2015</v>
      </c>
      <c r="B59" s="3">
        <f>'Vehicle price'!X11</f>
        <v>23</v>
      </c>
      <c r="C59" s="3">
        <f t="shared" si="29"/>
        <v>20836.287927839425</v>
      </c>
      <c r="D59" s="3">
        <f t="shared" si="32"/>
        <v>1112.1859380981152</v>
      </c>
      <c r="E59">
        <v>20</v>
      </c>
      <c r="F59" s="3">
        <f t="shared" si="30"/>
        <v>4167.2575855678851</v>
      </c>
      <c r="G59" s="3">
        <f t="shared" si="31"/>
        <v>26115.731451505424</v>
      </c>
    </row>
    <row r="60" spans="1:12">
      <c r="A60">
        <v>2016</v>
      </c>
      <c r="B60" s="3">
        <f>'Vehicle price'!X12</f>
        <v>23</v>
      </c>
      <c r="C60" s="3">
        <f t="shared" si="29"/>
        <v>20855.182773038596</v>
      </c>
      <c r="D60" s="3">
        <f t="shared" si="32"/>
        <v>1089.7835497966378</v>
      </c>
      <c r="E60">
        <v>20</v>
      </c>
      <c r="F60" s="3">
        <f t="shared" si="30"/>
        <v>4171.0365546077192</v>
      </c>
      <c r="G60" s="3">
        <f t="shared" si="31"/>
        <v>26116.002877442952</v>
      </c>
    </row>
    <row r="61" spans="1:12">
      <c r="A61">
        <v>2017</v>
      </c>
      <c r="B61" s="3">
        <f>'Vehicle price'!X13</f>
        <v>23</v>
      </c>
      <c r="C61" s="3">
        <f t="shared" si="29"/>
        <v>20287.536024615922</v>
      </c>
      <c r="D61" s="3">
        <f t="shared" si="32"/>
        <v>1037.5730266583619</v>
      </c>
      <c r="E61">
        <v>20</v>
      </c>
      <c r="F61" s="3">
        <f t="shared" si="30"/>
        <v>4057.5072049231844</v>
      </c>
      <c r="G61" s="3">
        <f t="shared" si="31"/>
        <v>25382.616256197471</v>
      </c>
    </row>
    <row r="62" spans="1:12">
      <c r="A62">
        <v>2018</v>
      </c>
      <c r="B62" s="3">
        <f>'Vehicle price'!X14</f>
        <v>23</v>
      </c>
      <c r="C62" s="3">
        <f t="shared" si="29"/>
        <v>19550</v>
      </c>
      <c r="D62" s="3">
        <f t="shared" si="32"/>
        <v>978.33955097710952</v>
      </c>
      <c r="E62">
        <v>20</v>
      </c>
      <c r="F62" s="3">
        <f t="shared" si="30"/>
        <v>3910</v>
      </c>
      <c r="G62" s="3">
        <f t="shared" si="31"/>
        <v>24438.339550977111</v>
      </c>
    </row>
    <row r="63" spans="1:12">
      <c r="A63">
        <v>2019</v>
      </c>
      <c r="B63" s="3">
        <f>'Vehicle price'!X15</f>
        <v>23</v>
      </c>
      <c r="C63" s="3">
        <f t="shared" si="29"/>
        <v>19550</v>
      </c>
      <c r="D63" s="3">
        <f t="shared" si="32"/>
        <v>957.03915938327668</v>
      </c>
      <c r="E63">
        <v>20</v>
      </c>
      <c r="F63" s="3">
        <f t="shared" ref="F63:F74" si="33">E63/100*C63</f>
        <v>3910</v>
      </c>
      <c r="G63" s="3">
        <f t="shared" ref="G63:G74" si="34">C63+D63+F63</f>
        <v>24417.039159383276</v>
      </c>
    </row>
    <row r="64" spans="1:12">
      <c r="A64">
        <v>2020</v>
      </c>
      <c r="B64" s="3">
        <f>'Vehicle price'!X16</f>
        <v>23</v>
      </c>
      <c r="C64" s="3">
        <f t="shared" si="29"/>
        <v>19550</v>
      </c>
      <c r="D64" s="3">
        <f t="shared" si="32"/>
        <v>935.9496627557196</v>
      </c>
      <c r="E64">
        <v>20</v>
      </c>
      <c r="F64" s="3">
        <f t="shared" si="33"/>
        <v>3910</v>
      </c>
      <c r="G64" s="3">
        <f t="shared" si="34"/>
        <v>24395.94966275572</v>
      </c>
    </row>
    <row r="65" spans="1:31">
      <c r="A65">
        <v>2021</v>
      </c>
      <c r="B65" s="3">
        <f>'Vehicle price'!X17</f>
        <v>23</v>
      </c>
      <c r="C65" s="3">
        <f t="shared" si="29"/>
        <v>19550</v>
      </c>
      <c r="D65" s="3">
        <f t="shared" si="32"/>
        <v>915.06897302546474</v>
      </c>
      <c r="E65">
        <v>20</v>
      </c>
      <c r="F65" s="3">
        <f t="shared" si="33"/>
        <v>3910</v>
      </c>
      <c r="G65" s="3">
        <f t="shared" si="34"/>
        <v>24375.068973025463</v>
      </c>
    </row>
    <row r="66" spans="1:31">
      <c r="A66">
        <v>2022</v>
      </c>
      <c r="B66" s="3">
        <f>'Vehicle price'!X18</f>
        <v>23</v>
      </c>
      <c r="C66" s="3">
        <f t="shared" si="29"/>
        <v>19550</v>
      </c>
      <c r="D66" s="3">
        <f t="shared" si="32"/>
        <v>894.39502279748979</v>
      </c>
      <c r="E66">
        <v>20</v>
      </c>
      <c r="F66" s="3">
        <f t="shared" si="33"/>
        <v>3910</v>
      </c>
      <c r="G66" s="3">
        <f t="shared" si="34"/>
        <v>24354.395022797489</v>
      </c>
    </row>
    <row r="67" spans="1:31">
      <c r="A67">
        <v>2023</v>
      </c>
      <c r="B67" s="3">
        <f>'Vehicle price'!X19</f>
        <v>23</v>
      </c>
      <c r="C67" s="3">
        <f t="shared" si="29"/>
        <v>19550</v>
      </c>
      <c r="D67" s="3">
        <f t="shared" si="32"/>
        <v>873.92576514602922</v>
      </c>
      <c r="E67">
        <v>20</v>
      </c>
      <c r="F67" s="3">
        <f t="shared" si="33"/>
        <v>3910</v>
      </c>
      <c r="G67" s="3">
        <f t="shared" si="34"/>
        <v>24333.925765146028</v>
      </c>
    </row>
    <row r="68" spans="1:31">
      <c r="A68">
        <v>2024</v>
      </c>
      <c r="B68" s="3">
        <f>'Vehicle price'!X20</f>
        <v>23</v>
      </c>
      <c r="C68" s="3">
        <f t="shared" si="29"/>
        <v>19550</v>
      </c>
      <c r="D68" s="3">
        <f t="shared" si="32"/>
        <v>853.65917341191027</v>
      </c>
      <c r="E68">
        <v>20</v>
      </c>
      <c r="F68" s="3">
        <f t="shared" si="33"/>
        <v>3910</v>
      </c>
      <c r="G68" s="3">
        <f t="shared" si="34"/>
        <v>24313.65917341191</v>
      </c>
    </row>
    <row r="69" spans="1:31">
      <c r="A69">
        <v>2025</v>
      </c>
      <c r="B69" s="3">
        <f>'Vehicle price'!X21</f>
        <v>23</v>
      </c>
      <c r="C69" s="3">
        <f t="shared" si="29"/>
        <v>19550</v>
      </c>
      <c r="D69" s="3">
        <f t="shared" si="32"/>
        <v>833.59324100189144</v>
      </c>
      <c r="E69">
        <v>20</v>
      </c>
      <c r="F69" s="3">
        <f t="shared" si="33"/>
        <v>3910</v>
      </c>
      <c r="G69" s="3">
        <f t="shared" si="34"/>
        <v>24293.59324100189</v>
      </c>
    </row>
    <row r="70" spans="1:31">
      <c r="A70">
        <v>2026</v>
      </c>
      <c r="B70" s="3">
        <f>'Vehicle price'!X22</f>
        <v>23</v>
      </c>
      <c r="C70" s="3">
        <f t="shared" si="29"/>
        <v>19550</v>
      </c>
      <c r="D70" s="3">
        <f t="shared" si="32"/>
        <v>813.72598118999156</v>
      </c>
      <c r="E70">
        <v>20</v>
      </c>
      <c r="F70" s="3">
        <f t="shared" si="33"/>
        <v>3910</v>
      </c>
      <c r="G70" s="3">
        <f t="shared" si="34"/>
        <v>24273.725981189993</v>
      </c>
    </row>
    <row r="71" spans="1:31">
      <c r="A71">
        <v>2027</v>
      </c>
      <c r="B71" s="3">
        <f>'Vehicle price'!X23</f>
        <v>23</v>
      </c>
      <c r="C71" s="3">
        <f t="shared" si="29"/>
        <v>19550</v>
      </c>
      <c r="D71" s="3">
        <f t="shared" si="32"/>
        <v>794.05542692078416</v>
      </c>
      <c r="E71">
        <v>20</v>
      </c>
      <c r="F71" s="3">
        <f t="shared" si="33"/>
        <v>3910</v>
      </c>
      <c r="G71" s="3">
        <f t="shared" si="34"/>
        <v>24254.055426920786</v>
      </c>
    </row>
    <row r="72" spans="1:31">
      <c r="A72">
        <v>2028</v>
      </c>
      <c r="B72" s="3">
        <f>'Vehicle price'!X24</f>
        <v>23</v>
      </c>
      <c r="C72" s="3">
        <f t="shared" si="29"/>
        <v>19550</v>
      </c>
      <c r="D72" s="3">
        <f t="shared" si="32"/>
        <v>774.57963061463784</v>
      </c>
      <c r="E72">
        <v>20</v>
      </c>
      <c r="F72" s="3">
        <f t="shared" si="33"/>
        <v>3910</v>
      </c>
      <c r="G72" s="3">
        <f t="shared" si="34"/>
        <v>24234.579630614637</v>
      </c>
    </row>
    <row r="73" spans="1:31">
      <c r="A73">
        <v>2029</v>
      </c>
      <c r="B73" s="3">
        <f>'Vehicle price'!X25</f>
        <v>23</v>
      </c>
      <c r="C73" s="3">
        <f t="shared" si="29"/>
        <v>19550</v>
      </c>
      <c r="D73" s="3">
        <f t="shared" si="32"/>
        <v>755.29666397488882</v>
      </c>
      <c r="E73">
        <v>20</v>
      </c>
      <c r="F73" s="3">
        <f t="shared" si="33"/>
        <v>3910</v>
      </c>
      <c r="G73" s="3">
        <f t="shared" si="34"/>
        <v>24215.296663974888</v>
      </c>
    </row>
    <row r="74" spans="1:31">
      <c r="A74">
        <v>2030</v>
      </c>
      <c r="B74" s="3">
        <f>'Vehicle price'!X26</f>
        <v>23</v>
      </c>
      <c r="C74" s="3">
        <f t="shared" si="29"/>
        <v>19550</v>
      </c>
      <c r="D74" s="3">
        <f t="shared" si="32"/>
        <v>736.20461779691971</v>
      </c>
      <c r="E74">
        <v>20</v>
      </c>
      <c r="F74" s="3">
        <f t="shared" si="33"/>
        <v>3910</v>
      </c>
      <c r="G74" s="3">
        <f t="shared" si="34"/>
        <v>24196.204617796921</v>
      </c>
    </row>
    <row r="75" spans="1:31">
      <c r="AB75" s="87" t="s">
        <v>1221</v>
      </c>
      <c r="AC75" s="87"/>
      <c r="AD75" s="87"/>
      <c r="AE75" s="234"/>
    </row>
    <row r="76" spans="1:31">
      <c r="AB76" s="235" t="s">
        <v>1167</v>
      </c>
      <c r="AC76" s="235" t="s">
        <v>1168</v>
      </c>
      <c r="AD76" s="235" t="s">
        <v>1169</v>
      </c>
      <c r="AE76" s="235" t="s">
        <v>1170</v>
      </c>
    </row>
    <row r="77" spans="1:31">
      <c r="B77" t="s">
        <v>980</v>
      </c>
      <c r="C77" t="s">
        <v>980</v>
      </c>
      <c r="D77" t="s">
        <v>980</v>
      </c>
      <c r="E77" t="s">
        <v>980</v>
      </c>
      <c r="F77" t="s">
        <v>980</v>
      </c>
      <c r="J77" t="s">
        <v>812</v>
      </c>
      <c r="K77" t="s">
        <v>812</v>
      </c>
      <c r="L77" t="s">
        <v>812</v>
      </c>
      <c r="M77" t="s">
        <v>812</v>
      </c>
      <c r="N77" t="s">
        <v>812</v>
      </c>
      <c r="V77" t="s">
        <v>1042</v>
      </c>
      <c r="AA77">
        <v>2010</v>
      </c>
      <c r="AB77" s="13">
        <v>1.3529027636308593</v>
      </c>
      <c r="AC77" s="13">
        <f t="shared" ref="AC77:AE77" si="35">AB77</f>
        <v>1.3529027636308593</v>
      </c>
      <c r="AD77" s="13">
        <f t="shared" si="35"/>
        <v>1.3529027636308593</v>
      </c>
      <c r="AE77" s="13">
        <f t="shared" si="35"/>
        <v>1.3529027636308593</v>
      </c>
    </row>
    <row r="78" spans="1:31">
      <c r="B78" t="s">
        <v>978</v>
      </c>
      <c r="C78" t="s">
        <v>979</v>
      </c>
      <c r="D78" t="s">
        <v>916</v>
      </c>
      <c r="E78" t="s">
        <v>981</v>
      </c>
      <c r="F78" t="s">
        <v>983</v>
      </c>
      <c r="J78" t="s">
        <v>725</v>
      </c>
      <c r="K78" t="s">
        <v>979</v>
      </c>
      <c r="L78" t="s">
        <v>916</v>
      </c>
      <c r="M78" t="s">
        <v>985</v>
      </c>
      <c r="N78" t="s">
        <v>983</v>
      </c>
      <c r="R78" t="s">
        <v>997</v>
      </c>
      <c r="S78" t="s">
        <v>1087</v>
      </c>
      <c r="T78" t="s">
        <v>982</v>
      </c>
      <c r="V78" t="s">
        <v>934</v>
      </c>
      <c r="W78" t="s">
        <v>986</v>
      </c>
      <c r="X78" t="s">
        <v>987</v>
      </c>
      <c r="AA78">
        <v>2011</v>
      </c>
      <c r="AB78" s="13">
        <v>1.4981834418057109</v>
      </c>
      <c r="AC78" s="13">
        <f t="shared" ref="AC78:AE78" si="36">AB78</f>
        <v>1.4981834418057109</v>
      </c>
      <c r="AD78" s="13">
        <f t="shared" si="36"/>
        <v>1.4981834418057109</v>
      </c>
      <c r="AE78" s="13">
        <f t="shared" si="36"/>
        <v>1.4981834418057109</v>
      </c>
    </row>
    <row r="79" spans="1:31">
      <c r="A79" s="3">
        <v>2012</v>
      </c>
      <c r="B79" s="3">
        <f t="shared" ref="B79:B97" si="37">MIN(J6,J31)</f>
        <v>30092.757559327554</v>
      </c>
      <c r="C79" s="3">
        <f>B79/5</f>
        <v>6018.5515118655112</v>
      </c>
      <c r="D79" s="3">
        <f>B79*0.13</f>
        <v>3912.0584827125822</v>
      </c>
      <c r="E79" s="3">
        <f t="shared" ref="E79:E85" si="38">L6</f>
        <v>773.89944671638204</v>
      </c>
      <c r="F79" s="3">
        <f>C79+D79-E79</f>
        <v>9156.7105478617123</v>
      </c>
      <c r="G79" s="3"/>
      <c r="H79" s="3"/>
      <c r="I79" s="3">
        <v>2012</v>
      </c>
      <c r="J79" s="3">
        <f>G56</f>
        <v>22372.616099640534</v>
      </c>
      <c r="K79" s="3">
        <f>J79/5</f>
        <v>4474.5232199281072</v>
      </c>
      <c r="L79" s="3">
        <f>J79*0.13</f>
        <v>2908.4400929532694</v>
      </c>
      <c r="M79" s="3">
        <f>X79/100*W79*V79</f>
        <v>1282.0345948069682</v>
      </c>
      <c r="N79" s="3">
        <f>SUM(K79:M79)</f>
        <v>8664.9979076883446</v>
      </c>
      <c r="O79" s="3"/>
      <c r="P79" s="3"/>
      <c r="Q79" s="3">
        <v>2012</v>
      </c>
      <c r="R79" s="13">
        <f>N79/F79</f>
        <v>0.94630029664002069</v>
      </c>
      <c r="S79" s="13">
        <f>J79/B79</f>
        <v>0.74345516709570925</v>
      </c>
      <c r="T79" s="13">
        <f>F79/N79</f>
        <v>1.0567470004507533</v>
      </c>
      <c r="U79" s="3"/>
      <c r="V79" s="13">
        <f>AD79</f>
        <v>1.5613208759503372</v>
      </c>
      <c r="W79" s="12">
        <f>'Country L per 100 km'!C7</f>
        <v>5.8455313698711286</v>
      </c>
      <c r="X79" s="3">
        <f>'Country distance travelled'!C7</f>
        <v>14047</v>
      </c>
      <c r="AA79">
        <v>2012</v>
      </c>
      <c r="AB79" s="13">
        <v>1.5613208759503372</v>
      </c>
      <c r="AC79" s="13">
        <f t="shared" ref="AC79:AE79" si="39">AB79</f>
        <v>1.5613208759503372</v>
      </c>
      <c r="AD79" s="13">
        <f t="shared" si="39"/>
        <v>1.5613208759503372</v>
      </c>
      <c r="AE79" s="13">
        <f t="shared" si="39"/>
        <v>1.5613208759503372</v>
      </c>
    </row>
    <row r="80" spans="1:31">
      <c r="A80" s="3">
        <v>2013</v>
      </c>
      <c r="B80" s="3">
        <f t="shared" si="37"/>
        <v>29541.902656778773</v>
      </c>
      <c r="C80" s="3">
        <f t="shared" ref="C80:C97" si="40">B80/5</f>
        <v>5908.380531355755</v>
      </c>
      <c r="D80" s="3">
        <f t="shared" ref="D80:D97" si="41">B80*0.13</f>
        <v>3840.4473453812407</v>
      </c>
      <c r="E80" s="3">
        <f t="shared" si="38"/>
        <v>751.66876437654616</v>
      </c>
      <c r="F80" s="3">
        <f t="shared" ref="F80:F97" si="42">C80+D80-E80</f>
        <v>8997.1591123604503</v>
      </c>
      <c r="G80" s="3"/>
      <c r="H80" s="3"/>
      <c r="I80" s="3">
        <v>2013</v>
      </c>
      <c r="J80" s="3">
        <f t="shared" ref="J80:J97" si="43">G57</f>
        <v>21714.207265309669</v>
      </c>
      <c r="K80" s="3">
        <f t="shared" ref="K80:K97" si="44">J80/5</f>
        <v>4342.8414530619339</v>
      </c>
      <c r="L80" s="3">
        <f t="shared" ref="L80:L97" si="45">J80*0.13</f>
        <v>2822.8469444902571</v>
      </c>
      <c r="M80" s="3">
        <f t="shared" ref="M80:M97" si="46">X80/100*W80*V80</f>
        <v>1200.7649215427357</v>
      </c>
      <c r="N80" s="3">
        <f t="shared" ref="N80:N96" si="47">SUM(K80:M80)</f>
        <v>8366.453319094926</v>
      </c>
      <c r="O80" s="3"/>
      <c r="P80" s="3"/>
      <c r="Q80" s="3">
        <v>2013</v>
      </c>
      <c r="R80" s="13">
        <f t="shared" ref="R80:R97" si="48">N80/F80</f>
        <v>0.92989945099458671</v>
      </c>
      <c r="S80" s="13">
        <f t="shared" ref="S80:S85" si="49">J80/B80</f>
        <v>0.73503076350862806</v>
      </c>
      <c r="T80" s="13">
        <f t="shared" ref="T80:T97" si="50">F80/N80</f>
        <v>1.0753850848394806</v>
      </c>
      <c r="U80" s="3"/>
      <c r="V80" s="13">
        <f t="shared" ref="V80:V97" si="51">AD80</f>
        <v>1.4707380012698295</v>
      </c>
      <c r="W80" s="12">
        <f>'Country L per 100 km'!C8</f>
        <v>5.8</v>
      </c>
      <c r="X80" s="3">
        <f>'Country distance travelled'!C8</f>
        <v>14076.5</v>
      </c>
      <c r="AA80">
        <v>2013</v>
      </c>
      <c r="AB80" s="13">
        <v>1.4707380012698295</v>
      </c>
      <c r="AC80" s="13">
        <f t="shared" ref="AC80:AE80" si="52">AB80</f>
        <v>1.4707380012698295</v>
      </c>
      <c r="AD80" s="13">
        <f t="shared" si="52"/>
        <v>1.4707380012698295</v>
      </c>
      <c r="AE80" s="13">
        <f t="shared" si="52"/>
        <v>1.4707380012698295</v>
      </c>
    </row>
    <row r="81" spans="1:31">
      <c r="A81" s="3">
        <v>2014</v>
      </c>
      <c r="B81" s="3">
        <f t="shared" si="37"/>
        <v>31934.941645743558</v>
      </c>
      <c r="C81" s="3">
        <f t="shared" si="40"/>
        <v>6386.9883291487113</v>
      </c>
      <c r="D81" s="3">
        <f t="shared" si="41"/>
        <v>4151.5424139466631</v>
      </c>
      <c r="E81" s="3">
        <f t="shared" si="38"/>
        <v>757.38783833889499</v>
      </c>
      <c r="F81" s="3">
        <f t="shared" si="42"/>
        <v>9781.1429047564798</v>
      </c>
      <c r="G81" s="3"/>
      <c r="H81" s="3"/>
      <c r="I81" s="3">
        <v>2014</v>
      </c>
      <c r="J81" s="3">
        <f t="shared" si="43"/>
        <v>21855.458876866549</v>
      </c>
      <c r="K81" s="3">
        <f t="shared" si="44"/>
        <v>4371.0917753733102</v>
      </c>
      <c r="L81" s="3">
        <f t="shared" si="45"/>
        <v>2841.2096539926515</v>
      </c>
      <c r="M81" s="3">
        <f t="shared" si="46"/>
        <v>1133.8579692821377</v>
      </c>
      <c r="N81" s="3">
        <f t="shared" si="47"/>
        <v>8346.1593986480984</v>
      </c>
      <c r="O81" s="3"/>
      <c r="P81" s="3"/>
      <c r="Q81" s="3">
        <v>2014</v>
      </c>
      <c r="R81" s="13">
        <f t="shared" si="48"/>
        <v>0.85329081477681279</v>
      </c>
      <c r="S81" s="13">
        <f t="shared" si="49"/>
        <v>0.68437447355660186</v>
      </c>
      <c r="T81" s="13">
        <f t="shared" si="50"/>
        <v>1.1719333932611948</v>
      </c>
      <c r="U81" s="3"/>
      <c r="V81" s="13">
        <f t="shared" si="51"/>
        <v>1.4025142943740294</v>
      </c>
      <c r="W81" s="12">
        <f>'Country L per 100 km'!C9</f>
        <v>5.7312252964426875</v>
      </c>
      <c r="X81" s="3">
        <f>'Country distance travelled'!C9</f>
        <v>14106</v>
      </c>
      <c r="AA81">
        <v>2014</v>
      </c>
      <c r="AB81" s="13">
        <v>1.4025142943740294</v>
      </c>
      <c r="AC81" s="13">
        <f t="shared" ref="AC81:AE81" si="53">AB81</f>
        <v>1.4025142943740294</v>
      </c>
      <c r="AD81" s="13">
        <f t="shared" si="53"/>
        <v>1.4025142943740294</v>
      </c>
      <c r="AE81" s="13">
        <f t="shared" si="53"/>
        <v>1.4025142943740294</v>
      </c>
    </row>
    <row r="82" spans="1:31">
      <c r="A82" s="3">
        <v>2015</v>
      </c>
      <c r="B82" s="3">
        <f t="shared" si="37"/>
        <v>34063.320234879102</v>
      </c>
      <c r="C82" s="3">
        <f t="shared" si="40"/>
        <v>6812.6640469758204</v>
      </c>
      <c r="D82" s="3">
        <f t="shared" si="41"/>
        <v>4428.2316305342838</v>
      </c>
      <c r="E82" s="3">
        <f t="shared" si="38"/>
        <v>905.92556207997495</v>
      </c>
      <c r="F82" s="3">
        <f t="shared" si="42"/>
        <v>10334.970115430129</v>
      </c>
      <c r="G82" s="3"/>
      <c r="H82" s="3"/>
      <c r="I82" s="3">
        <v>2015</v>
      </c>
      <c r="J82" s="3">
        <f t="shared" si="43"/>
        <v>26115.731451505424</v>
      </c>
      <c r="K82" s="3">
        <f t="shared" si="44"/>
        <v>5223.1462903010852</v>
      </c>
      <c r="L82" s="3">
        <f t="shared" si="45"/>
        <v>3395.0450886957051</v>
      </c>
      <c r="M82" s="3">
        <f t="shared" si="46"/>
        <v>1004.3750166785943</v>
      </c>
      <c r="N82" s="3">
        <f t="shared" si="47"/>
        <v>9622.5663956753851</v>
      </c>
      <c r="O82" s="3"/>
      <c r="P82" s="3"/>
      <c r="Q82" s="3">
        <v>2015</v>
      </c>
      <c r="R82" s="13">
        <f t="shared" si="48"/>
        <v>0.93106862315052807</v>
      </c>
      <c r="S82" s="13">
        <f t="shared" si="49"/>
        <v>0.76668191096545679</v>
      </c>
      <c r="T82" s="13">
        <f t="shared" si="50"/>
        <v>1.0740346899632633</v>
      </c>
      <c r="U82" s="3"/>
      <c r="V82" s="13">
        <f t="shared" si="51"/>
        <v>1.2380255115601977</v>
      </c>
      <c r="W82" s="12">
        <f>'Country L per 100 km'!C10</f>
        <v>5.668867751179711</v>
      </c>
      <c r="X82" s="3">
        <f>'Country distance travelled'!C10</f>
        <v>14311</v>
      </c>
      <c r="AA82">
        <v>2015</v>
      </c>
      <c r="AB82" s="13">
        <v>1.2380255115601977</v>
      </c>
      <c r="AC82" s="13">
        <f t="shared" ref="AC82:AE82" si="54">AB82</f>
        <v>1.2380255115601977</v>
      </c>
      <c r="AD82" s="13">
        <f t="shared" si="54"/>
        <v>1.2380255115601977</v>
      </c>
      <c r="AE82" s="13">
        <f t="shared" si="54"/>
        <v>1.2380255115601977</v>
      </c>
    </row>
    <row r="83" spans="1:31">
      <c r="A83" s="3">
        <v>2016</v>
      </c>
      <c r="B83" s="3">
        <f t="shared" si="37"/>
        <v>34092.894775190842</v>
      </c>
      <c r="C83" s="3">
        <f t="shared" si="40"/>
        <v>6818.5789550381687</v>
      </c>
      <c r="D83" s="3">
        <f t="shared" si="41"/>
        <v>4432.0763207748096</v>
      </c>
      <c r="E83" s="3">
        <f t="shared" si="38"/>
        <v>0</v>
      </c>
      <c r="F83" s="3">
        <f t="shared" si="42"/>
        <v>11250.655275812978</v>
      </c>
      <c r="G83" s="3"/>
      <c r="H83" s="3"/>
      <c r="I83" s="3">
        <v>2016</v>
      </c>
      <c r="J83" s="3">
        <f t="shared" si="43"/>
        <v>26116.002877442952</v>
      </c>
      <c r="K83" s="3">
        <f t="shared" si="44"/>
        <v>5223.2005754885904</v>
      </c>
      <c r="L83" s="3">
        <f t="shared" si="45"/>
        <v>3395.0803740675838</v>
      </c>
      <c r="M83" s="3">
        <f t="shared" si="46"/>
        <v>910.60463841352532</v>
      </c>
      <c r="N83" s="3">
        <f t="shared" si="47"/>
        <v>9528.8855879697003</v>
      </c>
      <c r="O83" s="3"/>
      <c r="P83" s="3"/>
      <c r="Q83" s="3">
        <v>2016</v>
      </c>
      <c r="R83" s="13">
        <f t="shared" si="48"/>
        <v>0.84696271944756907</v>
      </c>
      <c r="S83" s="13">
        <f t="shared" si="49"/>
        <v>0.76602479929182732</v>
      </c>
      <c r="T83" s="13">
        <f t="shared" si="50"/>
        <v>1.1806895121101073</v>
      </c>
      <c r="U83" s="3"/>
      <c r="V83" s="13">
        <f t="shared" si="51"/>
        <v>1.1345375360000001</v>
      </c>
      <c r="W83" s="12">
        <f>'Country L per 100 km'!C11</f>
        <v>5.612740347702684</v>
      </c>
      <c r="X83" s="3">
        <f>'Country distance travelled'!C11</f>
        <v>14300</v>
      </c>
      <c r="AA83">
        <v>2016</v>
      </c>
      <c r="AB83" s="13">
        <v>1.1345375360000001</v>
      </c>
      <c r="AC83" s="13">
        <f t="shared" ref="AC83:AE83" si="55">AB83</f>
        <v>1.1345375360000001</v>
      </c>
      <c r="AD83" s="13">
        <f t="shared" si="55"/>
        <v>1.1345375360000001</v>
      </c>
      <c r="AE83" s="13">
        <f t="shared" si="55"/>
        <v>1.1345375360000001</v>
      </c>
    </row>
    <row r="84" spans="1:31">
      <c r="A84" s="3">
        <v>2017</v>
      </c>
      <c r="B84" s="3">
        <f t="shared" si="37"/>
        <v>29204.40421244231</v>
      </c>
      <c r="C84" s="3">
        <f t="shared" si="40"/>
        <v>5840.8808424884619</v>
      </c>
      <c r="D84" s="3">
        <f t="shared" si="41"/>
        <v>3796.5725476175003</v>
      </c>
      <c r="E84" s="3">
        <f t="shared" si="38"/>
        <v>0</v>
      </c>
      <c r="F84" s="3">
        <f t="shared" si="42"/>
        <v>9637.4533901059622</v>
      </c>
      <c r="G84" s="3"/>
      <c r="H84" s="3"/>
      <c r="I84" s="3">
        <v>2017</v>
      </c>
      <c r="J84" s="3">
        <f t="shared" si="43"/>
        <v>25382.616256197471</v>
      </c>
      <c r="K84" s="3">
        <f t="shared" si="44"/>
        <v>5076.5232512394941</v>
      </c>
      <c r="L84" s="3">
        <f t="shared" si="45"/>
        <v>3299.7401133056715</v>
      </c>
      <c r="M84" s="3">
        <f t="shared" si="46"/>
        <v>935.68227156917271</v>
      </c>
      <c r="N84" s="3">
        <f t="shared" si="47"/>
        <v>9311.9456361143384</v>
      </c>
      <c r="O84" s="3"/>
      <c r="P84" s="3"/>
      <c r="Q84" s="3">
        <v>2017</v>
      </c>
      <c r="R84" s="13">
        <f t="shared" si="48"/>
        <v>0.9662247130216165</v>
      </c>
      <c r="S84" s="13">
        <f t="shared" si="49"/>
        <v>0.86913658883626199</v>
      </c>
      <c r="T84" s="13">
        <f t="shared" si="50"/>
        <v>1.0349559336696741</v>
      </c>
      <c r="U84" s="3"/>
      <c r="V84" s="13">
        <f t="shared" si="51"/>
        <v>1.1774400000000005</v>
      </c>
      <c r="W84" s="12">
        <f>'Country L per 100 km'!C12</f>
        <v>5.557168661091767</v>
      </c>
      <c r="X84" s="3">
        <f>'Country distance travelled'!C12</f>
        <v>14300</v>
      </c>
      <c r="AA84">
        <v>2017</v>
      </c>
      <c r="AB84" s="13">
        <v>1.1774400000000005</v>
      </c>
      <c r="AC84" s="13">
        <f t="shared" ref="AC84:AE84" si="56">AB84</f>
        <v>1.1774400000000005</v>
      </c>
      <c r="AD84" s="13">
        <f t="shared" si="56"/>
        <v>1.1774400000000005</v>
      </c>
      <c r="AE84" s="13">
        <f t="shared" si="56"/>
        <v>1.1774400000000005</v>
      </c>
    </row>
    <row r="85" spans="1:31">
      <c r="A85" s="3">
        <v>2018</v>
      </c>
      <c r="B85" s="3">
        <f t="shared" si="37"/>
        <v>28735.447570276523</v>
      </c>
      <c r="C85" s="3">
        <f t="shared" si="40"/>
        <v>5747.0895140553048</v>
      </c>
      <c r="D85" s="3">
        <f t="shared" si="41"/>
        <v>3735.6081841359482</v>
      </c>
      <c r="E85" s="3">
        <f t="shared" si="38"/>
        <v>0</v>
      </c>
      <c r="F85" s="3">
        <f t="shared" si="42"/>
        <v>9482.6976981912521</v>
      </c>
      <c r="G85" s="3"/>
      <c r="H85" s="3"/>
      <c r="I85" s="3">
        <v>2018</v>
      </c>
      <c r="J85" s="3">
        <f t="shared" si="43"/>
        <v>24438.339550977111</v>
      </c>
      <c r="K85" s="3">
        <f t="shared" si="44"/>
        <v>4887.6679101954223</v>
      </c>
      <c r="L85" s="3">
        <f t="shared" si="45"/>
        <v>3176.9841416270247</v>
      </c>
      <c r="M85" s="3">
        <f t="shared" si="46"/>
        <v>975.9348947113732</v>
      </c>
      <c r="N85" s="3">
        <f t="shared" si="47"/>
        <v>9040.5869465338201</v>
      </c>
      <c r="O85" s="3"/>
      <c r="P85" s="3"/>
      <c r="Q85" s="3">
        <v>2018</v>
      </c>
      <c r="R85" s="13">
        <f t="shared" si="48"/>
        <v>0.95337711211211962</v>
      </c>
      <c r="S85" s="13">
        <f t="shared" si="49"/>
        <v>0.8504596801984643</v>
      </c>
      <c r="T85" s="13">
        <f t="shared" si="50"/>
        <v>1.0489028814469772</v>
      </c>
      <c r="U85" s="3"/>
      <c r="V85" s="13">
        <f t="shared" si="51"/>
        <v>1.240373859287607</v>
      </c>
      <c r="W85" s="12">
        <f>'Country L per 100 km'!C13</f>
        <v>5.5021471891997686</v>
      </c>
      <c r="X85" s="3">
        <f>'Country distance travelled'!C13</f>
        <v>14300</v>
      </c>
      <c r="AA85">
        <v>2018</v>
      </c>
      <c r="AB85" s="13">
        <v>1.240373859287607</v>
      </c>
      <c r="AC85" s="13">
        <f>AB85</f>
        <v>1.240373859287607</v>
      </c>
      <c r="AD85" s="13">
        <f t="shared" ref="AD85:AE85" si="57">AC85</f>
        <v>1.240373859287607</v>
      </c>
      <c r="AE85" s="13">
        <f t="shared" si="57"/>
        <v>1.240373859287607</v>
      </c>
    </row>
    <row r="86" spans="1:31">
      <c r="A86" s="3">
        <v>2019</v>
      </c>
      <c r="B86" s="3">
        <f t="shared" si="37"/>
        <v>29407.802584812162</v>
      </c>
      <c r="C86" s="3">
        <f t="shared" si="40"/>
        <v>5881.5605169624323</v>
      </c>
      <c r="D86" s="3">
        <f t="shared" si="41"/>
        <v>3823.0143360255811</v>
      </c>
      <c r="E86" s="3">
        <f t="shared" ref="E86:E97" si="58">L10</f>
        <v>0</v>
      </c>
      <c r="F86" s="3">
        <f t="shared" si="42"/>
        <v>9704.5748529880129</v>
      </c>
      <c r="G86" s="3"/>
      <c r="H86" s="3"/>
      <c r="I86" s="3">
        <v>2019</v>
      </c>
      <c r="J86" s="3">
        <f t="shared" si="43"/>
        <v>24417.039159383276</v>
      </c>
      <c r="K86" s="3">
        <f t="shared" si="44"/>
        <v>4883.4078318766551</v>
      </c>
      <c r="L86" s="3">
        <f t="shared" si="45"/>
        <v>3174.2150907198261</v>
      </c>
      <c r="M86" s="3">
        <f t="shared" si="46"/>
        <v>956.57795784793359</v>
      </c>
      <c r="N86" s="3">
        <f t="shared" si="47"/>
        <v>9014.2008804444158</v>
      </c>
      <c r="O86" s="3"/>
      <c r="P86" s="3"/>
      <c r="Q86" s="3">
        <v>2019</v>
      </c>
      <c r="R86" s="13">
        <f t="shared" si="48"/>
        <v>0.92886097711626869</v>
      </c>
      <c r="S86" s="13"/>
      <c r="T86" s="13">
        <f>F86/N86</f>
        <v>1.0765873738227099</v>
      </c>
      <c r="U86" s="3"/>
      <c r="V86" s="13">
        <f t="shared" si="51"/>
        <v>1.2279296935812154</v>
      </c>
      <c r="W86" s="12">
        <f>'Country L per 100 km'!C14</f>
        <v>5.4476704843562063</v>
      </c>
      <c r="X86" s="3">
        <f>'Country distance travelled'!C14</f>
        <v>14300</v>
      </c>
      <c r="AA86">
        <v>2019</v>
      </c>
      <c r="AB86" s="13"/>
      <c r="AC86" s="13">
        <v>1.45541645496822</v>
      </c>
      <c r="AD86" s="13">
        <v>1.2279296935812154</v>
      </c>
      <c r="AE86" s="13">
        <v>1.0297814778415832</v>
      </c>
    </row>
    <row r="87" spans="1:31">
      <c r="A87" s="3">
        <v>2020</v>
      </c>
      <c r="B87" s="3">
        <f t="shared" si="37"/>
        <v>29295.186869934292</v>
      </c>
      <c r="C87" s="3">
        <f t="shared" si="40"/>
        <v>5859.0373739868583</v>
      </c>
      <c r="D87" s="3">
        <f t="shared" si="41"/>
        <v>3808.3742930914582</v>
      </c>
      <c r="E87" s="3">
        <f t="shared" si="58"/>
        <v>0</v>
      </c>
      <c r="F87" s="3">
        <f t="shared" si="42"/>
        <v>9667.4116670783169</v>
      </c>
      <c r="G87" s="3"/>
      <c r="H87" s="3"/>
      <c r="I87" s="3">
        <v>2020</v>
      </c>
      <c r="J87" s="3">
        <f t="shared" si="43"/>
        <v>24395.94966275572</v>
      </c>
      <c r="K87" s="3">
        <f t="shared" si="44"/>
        <v>4879.189932551144</v>
      </c>
      <c r="L87" s="3">
        <f t="shared" si="45"/>
        <v>3171.4734561582436</v>
      </c>
      <c r="M87" s="3">
        <f t="shared" si="46"/>
        <v>948.28287550455752</v>
      </c>
      <c r="N87" s="3">
        <f t="shared" si="47"/>
        <v>8998.9462642139442</v>
      </c>
      <c r="O87" s="3"/>
      <c r="P87" s="3"/>
      <c r="Q87" s="3">
        <v>2020</v>
      </c>
      <c r="R87" s="13">
        <f t="shared" si="48"/>
        <v>0.93085373563424589</v>
      </c>
      <c r="S87" s="13"/>
      <c r="T87" s="13">
        <f t="shared" si="50"/>
        <v>1.0742826307923024</v>
      </c>
      <c r="U87" s="3"/>
      <c r="V87" s="13">
        <f t="shared" si="51"/>
        <v>1.229454367106638</v>
      </c>
      <c r="W87" s="12">
        <f>'Country L per 100 km'!C15</f>
        <v>5.3937331528279273</v>
      </c>
      <c r="X87" s="3">
        <f>'Country distance travelled'!C15</f>
        <v>14300</v>
      </c>
      <c r="AA87">
        <v>2020</v>
      </c>
      <c r="AB87" s="13"/>
      <c r="AC87" s="13">
        <v>1.5518937164502578</v>
      </c>
      <c r="AD87" s="13">
        <v>1.229454367106638</v>
      </c>
      <c r="AE87" s="13">
        <v>1.0354566108699386</v>
      </c>
    </row>
    <row r="88" spans="1:31">
      <c r="A88" s="3">
        <v>2021</v>
      </c>
      <c r="B88" s="3">
        <f t="shared" si="37"/>
        <v>28577.031973761408</v>
      </c>
      <c r="C88" s="3">
        <f t="shared" si="40"/>
        <v>5715.4063947522818</v>
      </c>
      <c r="D88" s="3">
        <f t="shared" si="41"/>
        <v>3715.014156588983</v>
      </c>
      <c r="E88" s="3">
        <f t="shared" si="58"/>
        <v>0</v>
      </c>
      <c r="F88" s="3">
        <f t="shared" si="42"/>
        <v>9430.4205513412653</v>
      </c>
      <c r="G88" s="3"/>
      <c r="H88" s="3"/>
      <c r="I88" s="3">
        <v>2021</v>
      </c>
      <c r="J88" s="3">
        <f t="shared" si="43"/>
        <v>24375.068973025463</v>
      </c>
      <c r="K88" s="3">
        <f t="shared" si="44"/>
        <v>4875.0137946050927</v>
      </c>
      <c r="L88" s="3">
        <f t="shared" si="45"/>
        <v>3168.7589664933103</v>
      </c>
      <c r="M88" s="3">
        <f t="shared" si="46"/>
        <v>973.1981528738329</v>
      </c>
      <c r="N88" s="3">
        <f t="shared" si="47"/>
        <v>9016.9709139722363</v>
      </c>
      <c r="O88" s="3"/>
      <c r="P88" s="3"/>
      <c r="Q88" s="3">
        <v>2021</v>
      </c>
      <c r="R88" s="13">
        <f t="shared" si="48"/>
        <v>0.95615787916157935</v>
      </c>
      <c r="S88" s="13"/>
      <c r="T88" s="13">
        <f t="shared" si="50"/>
        <v>1.0458523867176248</v>
      </c>
      <c r="U88" s="3"/>
      <c r="V88" s="13">
        <f t="shared" si="51"/>
        <v>1.2743747435689594</v>
      </c>
      <c r="W88" s="12">
        <f>'Country L per 100 km'!C16</f>
        <v>5.3403298542850761</v>
      </c>
      <c r="X88" s="3">
        <f>'Country distance travelled'!C16</f>
        <v>14300</v>
      </c>
      <c r="AA88">
        <v>2021</v>
      </c>
      <c r="AB88" s="13"/>
      <c r="AC88" s="13">
        <v>1.6540461109606504</v>
      </c>
      <c r="AD88" s="13">
        <v>1.2743747435689594</v>
      </c>
      <c r="AE88" s="13">
        <v>1.046806876926649</v>
      </c>
    </row>
    <row r="89" spans="1:31">
      <c r="A89" s="3">
        <v>2022</v>
      </c>
      <c r="B89" s="3">
        <f t="shared" si="37"/>
        <v>29096.55466991854</v>
      </c>
      <c r="C89" s="3">
        <f t="shared" si="40"/>
        <v>5819.3109339837083</v>
      </c>
      <c r="D89" s="3">
        <f t="shared" si="41"/>
        <v>3782.5521070894101</v>
      </c>
      <c r="E89" s="3">
        <f t="shared" si="58"/>
        <v>0</v>
      </c>
      <c r="F89" s="3">
        <f t="shared" si="42"/>
        <v>9601.8630410731184</v>
      </c>
      <c r="G89" s="3"/>
      <c r="H89" s="3"/>
      <c r="I89" s="3">
        <v>2022</v>
      </c>
      <c r="J89" s="3">
        <f t="shared" si="43"/>
        <v>24354.395022797489</v>
      </c>
      <c r="K89" s="3">
        <f t="shared" si="44"/>
        <v>4870.8790045594978</v>
      </c>
      <c r="L89" s="3">
        <f t="shared" si="45"/>
        <v>3166.0713529636737</v>
      </c>
      <c r="M89" s="3">
        <f t="shared" si="46"/>
        <v>988.85148613522915</v>
      </c>
      <c r="N89" s="3">
        <f t="shared" si="47"/>
        <v>9025.8018436584007</v>
      </c>
      <c r="O89" s="3"/>
      <c r="P89" s="3"/>
      <c r="Q89" s="3">
        <v>2022</v>
      </c>
      <c r="R89" s="13">
        <f t="shared" si="48"/>
        <v>0.94000526825361419</v>
      </c>
      <c r="S89" s="13"/>
      <c r="T89" s="13">
        <f t="shared" si="50"/>
        <v>1.0638238250066905</v>
      </c>
      <c r="U89" s="3"/>
      <c r="V89" s="13">
        <f t="shared" si="51"/>
        <v>1.30782105258176</v>
      </c>
      <c r="W89" s="12">
        <f>'Country L per 100 km'!C17</f>
        <v>5.2874553012723524</v>
      </c>
      <c r="X89" s="3">
        <f>'Country distance travelled'!C17</f>
        <v>14300</v>
      </c>
      <c r="AA89">
        <v>2022</v>
      </c>
      <c r="AB89" s="13"/>
      <c r="AC89" s="13">
        <v>1.699447175187492</v>
      </c>
      <c r="AD89" s="13">
        <v>1.30782105258176</v>
      </c>
      <c r="AE89" s="13">
        <v>1.0524820099550038</v>
      </c>
    </row>
    <row r="90" spans="1:31">
      <c r="A90" s="3">
        <v>2023</v>
      </c>
      <c r="B90" s="3">
        <f t="shared" si="37"/>
        <v>28883.560621806188</v>
      </c>
      <c r="C90" s="3">
        <f t="shared" si="40"/>
        <v>5776.7121243612373</v>
      </c>
      <c r="D90" s="3">
        <f t="shared" si="41"/>
        <v>3754.8628808348044</v>
      </c>
      <c r="E90" s="3">
        <f t="shared" si="58"/>
        <v>0</v>
      </c>
      <c r="F90" s="3">
        <f t="shared" si="42"/>
        <v>9531.5750051960422</v>
      </c>
      <c r="G90" s="3"/>
      <c r="H90" s="3"/>
      <c r="I90" s="3">
        <v>2023</v>
      </c>
      <c r="J90" s="3">
        <f t="shared" si="43"/>
        <v>24333.925765146028</v>
      </c>
      <c r="K90" s="3">
        <f t="shared" si="44"/>
        <v>4866.7851530292055</v>
      </c>
      <c r="L90" s="3">
        <f t="shared" si="45"/>
        <v>3163.4103494689839</v>
      </c>
      <c r="M90" s="3">
        <f t="shared" si="46"/>
        <v>990.58278406368061</v>
      </c>
      <c r="N90" s="3">
        <f t="shared" si="47"/>
        <v>9020.7782865618701</v>
      </c>
      <c r="O90" s="3"/>
      <c r="P90" s="3"/>
      <c r="Q90" s="3">
        <v>2023</v>
      </c>
      <c r="R90" s="13">
        <f t="shared" si="48"/>
        <v>0.94641004048588862</v>
      </c>
      <c r="S90" s="13"/>
      <c r="T90" s="13">
        <f t="shared" si="50"/>
        <v>1.0566244621481384</v>
      </c>
      <c r="U90" s="3"/>
      <c r="V90" s="13">
        <f t="shared" si="51"/>
        <v>1.323211915907291</v>
      </c>
      <c r="W90" s="12">
        <f>'Country L per 100 km'!C18</f>
        <v>5.2351042586854968</v>
      </c>
      <c r="X90" s="3">
        <f>'Country distance travelled'!C18</f>
        <v>14300</v>
      </c>
      <c r="AA90">
        <v>2023</v>
      </c>
      <c r="AB90" s="13"/>
      <c r="AC90" s="13">
        <v>1.7334979733576226</v>
      </c>
      <c r="AD90" s="13">
        <v>1.323211915907291</v>
      </c>
      <c r="AE90" s="13">
        <v>1.0524820099550038</v>
      </c>
    </row>
    <row r="91" spans="1:31">
      <c r="A91" s="3">
        <v>2024</v>
      </c>
      <c r="B91" s="3">
        <f t="shared" si="37"/>
        <v>27847.970888505588</v>
      </c>
      <c r="C91" s="3">
        <f t="shared" si="40"/>
        <v>5569.5941777011176</v>
      </c>
      <c r="D91" s="3">
        <f t="shared" si="41"/>
        <v>3620.2362155057267</v>
      </c>
      <c r="E91" s="3">
        <f t="shared" si="58"/>
        <v>0</v>
      </c>
      <c r="F91" s="3">
        <f t="shared" si="42"/>
        <v>9189.8303932068447</v>
      </c>
      <c r="G91" s="3"/>
      <c r="H91" s="3"/>
      <c r="I91" s="3">
        <v>2024</v>
      </c>
      <c r="J91" s="3">
        <f t="shared" si="43"/>
        <v>24313.65917341191</v>
      </c>
      <c r="K91" s="3">
        <f t="shared" si="44"/>
        <v>4862.7318346823822</v>
      </c>
      <c r="L91" s="3">
        <f t="shared" si="45"/>
        <v>3160.7756925435483</v>
      </c>
      <c r="M91" s="3">
        <f t="shared" si="46"/>
        <v>983.79112086069767</v>
      </c>
      <c r="N91" s="3">
        <f t="shared" si="47"/>
        <v>9007.2986480866293</v>
      </c>
      <c r="O91" s="3"/>
      <c r="P91" s="3"/>
      <c r="Q91" s="3">
        <v>2024</v>
      </c>
      <c r="R91" s="13">
        <f t="shared" si="48"/>
        <v>0.9801376372239532</v>
      </c>
      <c r="S91" s="13"/>
      <c r="T91" s="13">
        <f t="shared" si="50"/>
        <v>1.0202648709953666</v>
      </c>
      <c r="U91" s="3"/>
      <c r="V91" s="13">
        <f t="shared" si="51"/>
        <v>1.3272810676477591</v>
      </c>
      <c r="W91" s="12">
        <f>'Country L per 100 km'!C19</f>
        <v>5.1832715432529675</v>
      </c>
      <c r="X91" s="3">
        <f>'Country distance travelled'!C19</f>
        <v>14300</v>
      </c>
      <c r="AA91">
        <v>2024</v>
      </c>
      <c r="AB91" s="13"/>
      <c r="AC91" s="13">
        <v>1.7618736384993985</v>
      </c>
      <c r="AD91" s="13">
        <v>1.3272810676477591</v>
      </c>
      <c r="AE91" s="13">
        <v>1.0524820099550038</v>
      </c>
    </row>
    <row r="92" spans="1:31">
      <c r="A92" s="3">
        <v>2025</v>
      </c>
      <c r="B92" s="3">
        <f t="shared" si="37"/>
        <v>26967.627389491787</v>
      </c>
      <c r="C92" s="3">
        <f t="shared" si="40"/>
        <v>5393.5254778983572</v>
      </c>
      <c r="D92" s="3">
        <f t="shared" si="41"/>
        <v>3505.7915606339325</v>
      </c>
      <c r="E92" s="3">
        <f t="shared" si="58"/>
        <v>0</v>
      </c>
      <c r="F92" s="3">
        <f t="shared" si="42"/>
        <v>8899.3170385322901</v>
      </c>
      <c r="G92" s="3"/>
      <c r="H92" s="3"/>
      <c r="I92" s="3">
        <v>2025</v>
      </c>
      <c r="J92" s="3">
        <f t="shared" si="43"/>
        <v>24293.59324100189</v>
      </c>
      <c r="K92" s="3">
        <f t="shared" si="44"/>
        <v>4858.7186482003781</v>
      </c>
      <c r="L92" s="3">
        <f t="shared" si="45"/>
        <v>3158.1671213302457</v>
      </c>
      <c r="M92" s="3">
        <f t="shared" si="46"/>
        <v>989.67580601154873</v>
      </c>
      <c r="N92" s="3">
        <f t="shared" si="47"/>
        <v>9006.5615755421713</v>
      </c>
      <c r="O92" s="3"/>
      <c r="P92" s="3"/>
      <c r="Q92" s="3">
        <v>2025</v>
      </c>
      <c r="R92" s="13">
        <f t="shared" si="48"/>
        <v>1.0120508727293942</v>
      </c>
      <c r="S92" s="13"/>
      <c r="T92" s="13">
        <f t="shared" si="50"/>
        <v>0.98809262157257549</v>
      </c>
      <c r="U92" s="3"/>
      <c r="V92" s="13">
        <f t="shared" si="51"/>
        <v>1.3485725901568753</v>
      </c>
      <c r="W92" s="12">
        <f>'Country L per 100 km'!C20</f>
        <v>5.1319520230227402</v>
      </c>
      <c r="X92" s="3">
        <f>'Country distance travelled'!C20</f>
        <v>14300</v>
      </c>
      <c r="AA92">
        <v>2025</v>
      </c>
      <c r="AB92" s="13"/>
      <c r="AC92" s="13">
        <v>1.7902493036411742</v>
      </c>
      <c r="AD92" s="13">
        <v>1.3485725901568753</v>
      </c>
      <c r="AE92" s="13">
        <v>1.0581571429833589</v>
      </c>
    </row>
    <row r="93" spans="1:31">
      <c r="A93" s="3">
        <v>2026</v>
      </c>
      <c r="B93" s="3">
        <f t="shared" si="37"/>
        <v>26495.028466260614</v>
      </c>
      <c r="C93" s="3">
        <f t="shared" si="40"/>
        <v>5299.0056932521229</v>
      </c>
      <c r="D93" s="3">
        <f t="shared" si="41"/>
        <v>3444.3537006138799</v>
      </c>
      <c r="E93" s="3">
        <f t="shared" si="58"/>
        <v>0</v>
      </c>
      <c r="F93" s="3">
        <f t="shared" si="42"/>
        <v>8743.3593938660033</v>
      </c>
      <c r="G93" s="3"/>
      <c r="H93" s="3"/>
      <c r="I93" s="3">
        <v>2026</v>
      </c>
      <c r="J93" s="3">
        <f t="shared" si="43"/>
        <v>24273.725981189993</v>
      </c>
      <c r="K93" s="3">
        <f t="shared" si="44"/>
        <v>4854.7451962379982</v>
      </c>
      <c r="L93" s="3">
        <f t="shared" si="45"/>
        <v>3155.5843775546991</v>
      </c>
      <c r="M93" s="3">
        <f t="shared" si="46"/>
        <v>1007.0682181150642</v>
      </c>
      <c r="N93" s="3">
        <f t="shared" si="47"/>
        <v>9017.3977919077624</v>
      </c>
      <c r="O93" s="3"/>
      <c r="P93" s="3"/>
      <c r="Q93" s="3">
        <v>2026</v>
      </c>
      <c r="R93" s="13">
        <f t="shared" si="48"/>
        <v>1.0313424606832489</v>
      </c>
      <c r="S93" s="13"/>
      <c r="T93" s="13">
        <f t="shared" si="50"/>
        <v>0.96961003558169723</v>
      </c>
      <c r="U93" s="3"/>
      <c r="V93" s="13">
        <f t="shared" si="51"/>
        <v>1.3859949217610514</v>
      </c>
      <c r="W93" s="12">
        <f>'Country L per 100 km'!C21</f>
        <v>5.0811406168541984</v>
      </c>
      <c r="X93" s="3">
        <f>'Country distance travelled'!C21</f>
        <v>14300</v>
      </c>
      <c r="AA93">
        <v>2026</v>
      </c>
      <c r="AB93" s="13"/>
      <c r="AC93" s="13">
        <v>1.8186249687829499</v>
      </c>
      <c r="AD93" s="13">
        <v>1.3859949217610514</v>
      </c>
      <c r="AE93" s="13">
        <v>1.063832276011714</v>
      </c>
    </row>
    <row r="94" spans="1:31">
      <c r="A94" s="3">
        <v>2027</v>
      </c>
      <c r="B94" s="3">
        <f t="shared" si="37"/>
        <v>26021.020967797846</v>
      </c>
      <c r="C94" s="3">
        <f t="shared" si="40"/>
        <v>5204.2041935595689</v>
      </c>
      <c r="D94" s="3">
        <f t="shared" si="41"/>
        <v>3382.7327258137202</v>
      </c>
      <c r="E94" s="3">
        <f t="shared" si="58"/>
        <v>0</v>
      </c>
      <c r="F94" s="3">
        <f t="shared" si="42"/>
        <v>8586.9369193732891</v>
      </c>
      <c r="G94" s="3"/>
      <c r="H94" s="3"/>
      <c r="I94" s="3">
        <v>2027</v>
      </c>
      <c r="J94" s="3">
        <f t="shared" si="43"/>
        <v>24254.055426920786</v>
      </c>
      <c r="K94" s="3">
        <f t="shared" si="44"/>
        <v>4850.8110853841572</v>
      </c>
      <c r="L94" s="3">
        <f t="shared" si="45"/>
        <v>3153.0272054997022</v>
      </c>
      <c r="M94" s="3">
        <f t="shared" si="46"/>
        <v>1010.9721440968196</v>
      </c>
      <c r="N94" s="3">
        <f t="shared" si="47"/>
        <v>9014.8104349806781</v>
      </c>
      <c r="O94" s="3"/>
      <c r="P94" s="3"/>
      <c r="Q94" s="3">
        <v>2027</v>
      </c>
      <c r="R94" s="13">
        <f t="shared" si="48"/>
        <v>1.0498284218953615</v>
      </c>
      <c r="S94" s="13"/>
      <c r="T94" s="13">
        <f t="shared" si="50"/>
        <v>0.95253660421442843</v>
      </c>
      <c r="U94" s="3"/>
      <c r="V94" s="13">
        <f t="shared" si="51"/>
        <v>1.4052814445743704</v>
      </c>
      <c r="W94" s="12">
        <f>'Country L per 100 km'!C22</f>
        <v>5.0308322939150489</v>
      </c>
      <c r="X94" s="3">
        <f>'Country distance travelled'!C22</f>
        <v>14300</v>
      </c>
      <c r="AA94">
        <v>2027</v>
      </c>
      <c r="AB94" s="13"/>
      <c r="AC94" s="13">
        <v>1.8470006339247258</v>
      </c>
      <c r="AD94" s="13">
        <v>1.4052814445743704</v>
      </c>
      <c r="AE94" s="13">
        <v>1.0695074090400696</v>
      </c>
    </row>
    <row r="95" spans="1:31">
      <c r="A95" s="3">
        <v>2028</v>
      </c>
      <c r="B95" s="3">
        <f t="shared" si="37"/>
        <v>25477.917662789681</v>
      </c>
      <c r="C95" s="3">
        <f t="shared" si="40"/>
        <v>5095.5835325579365</v>
      </c>
      <c r="D95" s="3">
        <f t="shared" si="41"/>
        <v>3312.1292961626586</v>
      </c>
      <c r="E95" s="3">
        <f t="shared" si="58"/>
        <v>0</v>
      </c>
      <c r="F95" s="3">
        <f t="shared" si="42"/>
        <v>8407.712828720596</v>
      </c>
      <c r="G95" s="3"/>
      <c r="H95" s="3"/>
      <c r="I95" s="3">
        <v>2028</v>
      </c>
      <c r="J95" s="3">
        <f t="shared" si="43"/>
        <v>24234.579630614637</v>
      </c>
      <c r="K95" s="3">
        <f t="shared" si="44"/>
        <v>4846.915926122927</v>
      </c>
      <c r="L95" s="3">
        <f t="shared" si="45"/>
        <v>3150.4953519799028</v>
      </c>
      <c r="M95" s="3">
        <f t="shared" si="46"/>
        <v>1009.658713847184</v>
      </c>
      <c r="N95" s="3">
        <f t="shared" si="47"/>
        <v>9007.069991950013</v>
      </c>
      <c r="O95" s="3"/>
      <c r="P95" s="3"/>
      <c r="Q95" s="3">
        <v>2028</v>
      </c>
      <c r="R95" s="13">
        <f t="shared" si="48"/>
        <v>1.071286588331374</v>
      </c>
      <c r="S95" s="13"/>
      <c r="T95" s="13">
        <f t="shared" si="50"/>
        <v>0.93345703277924041</v>
      </c>
      <c r="U95" s="3"/>
      <c r="V95" s="13">
        <f t="shared" si="51"/>
        <v>1.41749029471207</v>
      </c>
      <c r="W95" s="12">
        <f>'Country L per 100 km'!C23</f>
        <v>4.9810220731832171</v>
      </c>
      <c r="X95" s="3">
        <f>'Country distance travelled'!C23</f>
        <v>14300</v>
      </c>
      <c r="AA95">
        <v>2028</v>
      </c>
      <c r="AB95" s="13"/>
      <c r="AC95" s="13">
        <v>1.8697011660381466</v>
      </c>
      <c r="AD95" s="13">
        <v>1.41749029471207</v>
      </c>
      <c r="AE95" s="13">
        <v>1.0695074090400696</v>
      </c>
    </row>
    <row r="96" spans="1:31">
      <c r="A96" s="3">
        <v>2029</v>
      </c>
      <c r="B96" s="3">
        <f t="shared" si="37"/>
        <v>25001.17853316804</v>
      </c>
      <c r="C96" s="3">
        <f t="shared" si="40"/>
        <v>5000.2357066336081</v>
      </c>
      <c r="D96" s="3">
        <f t="shared" si="41"/>
        <v>3250.1532093118453</v>
      </c>
      <c r="E96" s="3">
        <f t="shared" si="58"/>
        <v>0</v>
      </c>
      <c r="F96" s="3">
        <f t="shared" si="42"/>
        <v>8250.3889159454538</v>
      </c>
      <c r="G96" s="3"/>
      <c r="H96" s="3"/>
      <c r="I96" s="3">
        <v>2029</v>
      </c>
      <c r="J96" s="3">
        <f t="shared" si="43"/>
        <v>24215.296663974888</v>
      </c>
      <c r="K96" s="3">
        <f t="shared" si="44"/>
        <v>4843.0593327949773</v>
      </c>
      <c r="L96" s="3">
        <f t="shared" si="45"/>
        <v>3147.9885663167356</v>
      </c>
      <c r="M96" s="3">
        <f t="shared" si="46"/>
        <v>1011.3325009012532</v>
      </c>
      <c r="N96" s="3">
        <f t="shared" si="47"/>
        <v>9002.3804000129658</v>
      </c>
      <c r="O96" s="3"/>
      <c r="P96" s="3"/>
      <c r="Q96" s="3">
        <v>2029</v>
      </c>
      <c r="R96" s="13">
        <f t="shared" si="48"/>
        <v>1.0911461861651328</v>
      </c>
      <c r="S96" s="13"/>
      <c r="T96" s="13">
        <f t="shared" si="50"/>
        <v>0.91646748408160705</v>
      </c>
      <c r="U96" s="3"/>
      <c r="V96" s="13">
        <f t="shared" si="51"/>
        <v>1.4340385765452826</v>
      </c>
      <c r="W96" s="12">
        <f>'Country L per 100 km'!C24</f>
        <v>4.9317050229536799</v>
      </c>
      <c r="X96" s="3">
        <f>'Country distance travelled'!C24</f>
        <v>14300</v>
      </c>
      <c r="AA96">
        <v>2029</v>
      </c>
      <c r="AB96" s="13"/>
      <c r="AC96" s="13">
        <v>1.8980768311799219</v>
      </c>
      <c r="AD96" s="13">
        <v>1.4340385765452826</v>
      </c>
      <c r="AE96" s="13">
        <v>1.0695074090400696</v>
      </c>
    </row>
    <row r="97" spans="1:31">
      <c r="A97" s="3">
        <v>2030</v>
      </c>
      <c r="B97" s="3">
        <f t="shared" si="37"/>
        <v>24455.399257197016</v>
      </c>
      <c r="C97" s="3">
        <f t="shared" si="40"/>
        <v>4891.0798514394028</v>
      </c>
      <c r="D97" s="3">
        <f t="shared" si="41"/>
        <v>3179.2019034356122</v>
      </c>
      <c r="E97" s="3">
        <f t="shared" si="58"/>
        <v>0</v>
      </c>
      <c r="F97" s="3">
        <f t="shared" si="42"/>
        <v>8070.2817548750154</v>
      </c>
      <c r="G97" s="3"/>
      <c r="H97" s="3"/>
      <c r="I97" s="3">
        <v>2030</v>
      </c>
      <c r="J97" s="3">
        <f t="shared" si="43"/>
        <v>24196.204617796921</v>
      </c>
      <c r="K97" s="3">
        <f t="shared" si="44"/>
        <v>4839.2409235593841</v>
      </c>
      <c r="L97" s="3">
        <f t="shared" si="45"/>
        <v>3145.5066003135998</v>
      </c>
      <c r="M97" s="3">
        <f t="shared" si="46"/>
        <v>1010.1544889778497</v>
      </c>
      <c r="N97" s="3">
        <f>SUM(K97:M97)</f>
        <v>8994.9020128508346</v>
      </c>
      <c r="O97" s="3"/>
      <c r="P97" s="3"/>
      <c r="Q97" s="3">
        <v>2030</v>
      </c>
      <c r="R97" s="13">
        <f t="shared" si="48"/>
        <v>1.1145710008720926</v>
      </c>
      <c r="S97" s="13"/>
      <c r="T97" s="13">
        <f t="shared" si="50"/>
        <v>0.89720618894404491</v>
      </c>
      <c r="U97" s="3"/>
      <c r="V97" s="13">
        <f t="shared" si="51"/>
        <v>1.4466918735583336</v>
      </c>
      <c r="W97" s="12">
        <f>'Country L per 100 km'!C25</f>
        <v>4.8828762603501783</v>
      </c>
      <c r="X97" s="3">
        <f>'Country distance travelled'!C25</f>
        <v>14300</v>
      </c>
      <c r="AA97">
        <v>2030</v>
      </c>
      <c r="AB97" s="13"/>
      <c r="AC97" s="13">
        <v>1.9151022302649876</v>
      </c>
      <c r="AD97" s="13">
        <v>1.4466918735583336</v>
      </c>
      <c r="AE97" s="13">
        <v>1.0751825420684247</v>
      </c>
    </row>
    <row r="98" spans="1:31">
      <c r="A98" s="3">
        <v>2031</v>
      </c>
      <c r="B98" s="3"/>
      <c r="C98" s="3"/>
      <c r="D98" s="3"/>
      <c r="E98" s="3"/>
      <c r="F98" s="3"/>
      <c r="G98" s="3"/>
      <c r="H98" s="3"/>
      <c r="I98" s="3">
        <v>2031</v>
      </c>
      <c r="J98" s="3"/>
      <c r="K98" s="3"/>
      <c r="L98" s="3"/>
      <c r="M98" s="3"/>
      <c r="N98" s="3"/>
      <c r="O98" s="3"/>
      <c r="P98" s="3"/>
      <c r="Q98" s="3">
        <v>2031</v>
      </c>
      <c r="R98" s="3"/>
      <c r="S98" s="3"/>
      <c r="T98" s="3"/>
      <c r="U98" s="3"/>
      <c r="V98" s="13">
        <f>V97</f>
        <v>1.4466918735583336</v>
      </c>
      <c r="W98" s="12">
        <f>'Country L per 100 km'!C26</f>
        <v>4.83453095084176</v>
      </c>
      <c r="X98" s="3">
        <f>'Country distance travelled'!C26</f>
        <v>14300</v>
      </c>
    </row>
    <row r="99" spans="1:31">
      <c r="A99" s="3">
        <v>2032</v>
      </c>
      <c r="B99" s="3"/>
      <c r="C99" s="3"/>
      <c r="D99" s="3"/>
      <c r="E99" s="3"/>
      <c r="F99" s="3"/>
      <c r="G99" s="3"/>
      <c r="H99" s="3"/>
      <c r="I99" s="3">
        <v>2032</v>
      </c>
      <c r="J99" s="3"/>
      <c r="K99" s="3"/>
      <c r="L99" s="3"/>
      <c r="M99" s="3"/>
      <c r="N99" s="3"/>
      <c r="O99" s="3"/>
      <c r="P99" s="3"/>
      <c r="Q99" s="3">
        <v>2032</v>
      </c>
      <c r="R99" s="3"/>
      <c r="S99" s="3"/>
      <c r="T99" s="3"/>
      <c r="U99" s="3"/>
      <c r="V99" s="13">
        <f t="shared" ref="V99:V107" si="59">V98</f>
        <v>1.4466918735583336</v>
      </c>
      <c r="W99" s="12">
        <f>'Country L per 100 km'!C27</f>
        <v>4.7866643077641191</v>
      </c>
      <c r="X99" s="3">
        <f>'Country distance travelled'!C27</f>
        <v>14300</v>
      </c>
    </row>
    <row r="100" spans="1:31">
      <c r="A100" s="3">
        <v>2033</v>
      </c>
      <c r="B100" s="3"/>
      <c r="C100" s="3"/>
      <c r="D100" s="3"/>
      <c r="E100" s="3"/>
      <c r="F100" s="3"/>
      <c r="G100" s="3"/>
      <c r="H100" s="3"/>
      <c r="I100" s="3">
        <v>2033</v>
      </c>
      <c r="J100" s="3"/>
      <c r="K100" s="3"/>
      <c r="L100" s="3"/>
      <c r="M100" s="3"/>
      <c r="N100" s="3"/>
      <c r="O100" s="3"/>
      <c r="P100" s="3"/>
      <c r="Q100" s="3">
        <v>2033</v>
      </c>
      <c r="R100" s="3"/>
      <c r="S100" s="3"/>
      <c r="T100" s="3"/>
      <c r="U100" s="3"/>
      <c r="V100" s="13">
        <f t="shared" si="59"/>
        <v>1.4466918735583336</v>
      </c>
      <c r="W100" s="12">
        <f>'Country L per 100 km'!C28</f>
        <v>4.7392715918456618</v>
      </c>
      <c r="X100" s="3">
        <f>'Country distance travelled'!C28</f>
        <v>14300</v>
      </c>
    </row>
    <row r="101" spans="1:31">
      <c r="A101" s="3">
        <v>2034</v>
      </c>
      <c r="B101" s="3"/>
      <c r="C101" s="3"/>
      <c r="D101" s="3"/>
      <c r="E101" s="3"/>
      <c r="F101" s="3"/>
      <c r="G101" s="3"/>
      <c r="H101" s="3"/>
      <c r="I101" s="3">
        <v>2034</v>
      </c>
      <c r="J101" s="3"/>
      <c r="K101" s="3"/>
      <c r="L101" s="3"/>
      <c r="M101" s="3"/>
      <c r="N101" s="3"/>
      <c r="O101" s="3"/>
      <c r="P101" s="3"/>
      <c r="Q101" s="3">
        <v>2034</v>
      </c>
      <c r="R101" s="3"/>
      <c r="S101" s="3"/>
      <c r="T101" s="3"/>
      <c r="U101" s="3"/>
      <c r="V101" s="13">
        <f t="shared" si="59"/>
        <v>1.4466918735583336</v>
      </c>
      <c r="W101" s="12">
        <f>'Country L per 100 km'!C29</f>
        <v>4.692348110738279</v>
      </c>
      <c r="X101" s="3">
        <f>'Country distance travelled'!C29</f>
        <v>14300</v>
      </c>
    </row>
    <row r="102" spans="1:31">
      <c r="A102" s="3">
        <v>2035</v>
      </c>
      <c r="B102" s="3"/>
      <c r="C102" s="3"/>
      <c r="D102" s="3"/>
      <c r="E102" s="3"/>
      <c r="F102" s="3"/>
      <c r="G102" s="3"/>
      <c r="H102" s="3"/>
      <c r="I102" s="3">
        <v>2035</v>
      </c>
      <c r="J102" s="3"/>
      <c r="K102" s="3"/>
      <c r="L102" s="3"/>
      <c r="M102" s="3"/>
      <c r="N102" s="3"/>
      <c r="O102" s="3"/>
      <c r="P102" s="3"/>
      <c r="Q102" s="3">
        <v>2035</v>
      </c>
      <c r="R102" s="3"/>
      <c r="S102" s="3"/>
      <c r="T102" s="3"/>
      <c r="U102" s="3"/>
      <c r="V102" s="13">
        <f t="shared" si="59"/>
        <v>1.4466918735583336</v>
      </c>
      <c r="W102" s="12">
        <f>'Country L per 100 km'!C30</f>
        <v>4.6458892185527514</v>
      </c>
      <c r="X102" s="3">
        <f>'Country distance travelled'!C30</f>
        <v>14300</v>
      </c>
    </row>
    <row r="103" spans="1:31">
      <c r="A103" s="3">
        <v>2036</v>
      </c>
      <c r="B103" s="3"/>
      <c r="C103" s="3"/>
      <c r="D103" s="3"/>
      <c r="E103" s="3"/>
      <c r="F103" s="3"/>
      <c r="G103" s="3"/>
      <c r="H103" s="3"/>
      <c r="I103" s="3">
        <v>2036</v>
      </c>
      <c r="J103" s="3"/>
      <c r="K103" s="3"/>
      <c r="L103" s="3"/>
      <c r="M103" s="3"/>
      <c r="N103" s="3"/>
      <c r="O103" s="3"/>
      <c r="P103" s="3"/>
      <c r="Q103" s="3">
        <v>2036</v>
      </c>
      <c r="R103" s="3"/>
      <c r="S103" s="3"/>
      <c r="T103" s="3"/>
      <c r="U103" s="3"/>
      <c r="V103" s="13">
        <f t="shared" si="59"/>
        <v>1.4466918735583336</v>
      </c>
      <c r="W103" s="12">
        <f>'Country L per 100 km'!C31</f>
        <v>4.5998903153987634</v>
      </c>
      <c r="X103" s="3">
        <f>'Country distance travelled'!C31</f>
        <v>14300</v>
      </c>
    </row>
    <row r="104" spans="1:31">
      <c r="A104" s="3">
        <v>2037</v>
      </c>
      <c r="B104" s="3"/>
      <c r="C104" s="3"/>
      <c r="D104" s="3"/>
      <c r="E104" s="3"/>
      <c r="F104" s="3"/>
      <c r="G104" s="3"/>
      <c r="H104" s="3"/>
      <c r="I104" s="3">
        <v>2037</v>
      </c>
      <c r="J104" s="3"/>
      <c r="K104" s="3"/>
      <c r="L104" s="3"/>
      <c r="M104" s="3"/>
      <c r="N104" s="3"/>
      <c r="O104" s="3"/>
      <c r="P104" s="3"/>
      <c r="Q104" s="3">
        <v>2037</v>
      </c>
      <c r="R104" s="3"/>
      <c r="S104" s="3"/>
      <c r="T104" s="3"/>
      <c r="U104" s="3"/>
      <c r="V104" s="13">
        <f t="shared" si="59"/>
        <v>1.4466918735583336</v>
      </c>
      <c r="W104" s="12">
        <f>'Country L per 100 km'!C32</f>
        <v>4.5543468469294695</v>
      </c>
      <c r="X104" s="3">
        <f>'Country distance travelled'!C32</f>
        <v>14300</v>
      </c>
    </row>
    <row r="105" spans="1:31">
      <c r="A105" s="3">
        <v>2038</v>
      </c>
      <c r="B105" s="3"/>
      <c r="C105" s="3"/>
      <c r="D105" s="3"/>
      <c r="E105" s="3"/>
      <c r="F105" s="3"/>
      <c r="G105" s="3"/>
      <c r="H105" s="3"/>
      <c r="I105" s="3">
        <v>2038</v>
      </c>
      <c r="J105" s="3"/>
      <c r="K105" s="3"/>
      <c r="L105" s="3"/>
      <c r="M105" s="3"/>
      <c r="N105" s="3"/>
      <c r="O105" s="3"/>
      <c r="P105" s="3"/>
      <c r="Q105" s="3">
        <v>2038</v>
      </c>
      <c r="R105" s="3"/>
      <c r="S105" s="3"/>
      <c r="T105" s="3"/>
      <c r="U105" s="3"/>
      <c r="V105" s="13">
        <f t="shared" si="59"/>
        <v>1.4466918735583336</v>
      </c>
      <c r="W105" s="12">
        <f>'Country L per 100 km'!C33</f>
        <v>4.5092543038905637</v>
      </c>
      <c r="X105" s="3">
        <f>'Country distance travelled'!C33</f>
        <v>14300</v>
      </c>
    </row>
    <row r="106" spans="1:31">
      <c r="A106" s="3">
        <v>2039</v>
      </c>
      <c r="B106" s="3"/>
      <c r="C106" s="3"/>
      <c r="D106" s="3"/>
      <c r="E106" s="3"/>
      <c r="F106" s="3"/>
      <c r="G106" s="3"/>
      <c r="H106" s="3"/>
      <c r="I106" s="3">
        <v>2039</v>
      </c>
      <c r="J106" s="3"/>
      <c r="K106" s="3"/>
      <c r="L106" s="3"/>
      <c r="M106" s="3"/>
      <c r="N106" s="3"/>
      <c r="O106" s="3"/>
      <c r="P106" s="3"/>
      <c r="Q106" s="3">
        <v>2039</v>
      </c>
      <c r="R106" s="3"/>
      <c r="S106" s="3"/>
      <c r="T106" s="3"/>
      <c r="U106" s="3"/>
      <c r="V106" s="13">
        <f t="shared" si="59"/>
        <v>1.4466918735583336</v>
      </c>
      <c r="W106" s="12">
        <f>'Country L per 100 km'!C34</f>
        <v>4.4646082216738252</v>
      </c>
      <c r="X106" s="3">
        <f>'Country distance travelled'!C34</f>
        <v>14300</v>
      </c>
    </row>
    <row r="107" spans="1:31">
      <c r="A107" s="3">
        <v>2040</v>
      </c>
      <c r="B107" s="3"/>
      <c r="C107" s="3"/>
      <c r="D107" s="3"/>
      <c r="E107" s="3"/>
      <c r="F107" s="3"/>
      <c r="G107" s="3"/>
      <c r="H107" s="3"/>
      <c r="I107" s="3">
        <v>2040</v>
      </c>
      <c r="J107" s="3"/>
      <c r="K107" s="3"/>
      <c r="L107" s="3"/>
      <c r="M107" s="3"/>
      <c r="N107" s="3"/>
      <c r="O107" s="3"/>
      <c r="P107" s="3"/>
      <c r="Q107" s="3">
        <v>2040</v>
      </c>
      <c r="R107" s="3"/>
      <c r="S107" s="3"/>
      <c r="T107" s="3"/>
      <c r="U107" s="3"/>
      <c r="V107" s="13">
        <f t="shared" si="59"/>
        <v>1.4466918735583336</v>
      </c>
      <c r="W107" s="12">
        <f>'Country L per 100 km'!C35</f>
        <v>4.4204041798750753</v>
      </c>
      <c r="X107" s="3">
        <f>'Country distance travelled'!C35</f>
        <v>14300</v>
      </c>
    </row>
    <row r="113" spans="17:30">
      <c r="R113" s="87" t="s">
        <v>980</v>
      </c>
      <c r="S113" s="87" t="s">
        <v>980</v>
      </c>
      <c r="T113" s="87" t="s">
        <v>980</v>
      </c>
      <c r="U113" s="87" t="s">
        <v>980</v>
      </c>
      <c r="V113" s="87" t="s">
        <v>980</v>
      </c>
      <c r="X113" s="14" t="s">
        <v>812</v>
      </c>
      <c r="Y113" s="14" t="s">
        <v>812</v>
      </c>
      <c r="Z113" s="14" t="s">
        <v>812</v>
      </c>
      <c r="AA113" s="14" t="s">
        <v>812</v>
      </c>
      <c r="AB113" s="14" t="s">
        <v>812</v>
      </c>
      <c r="AD113" s="248" t="s">
        <v>952</v>
      </c>
    </row>
    <row r="114" spans="17:30">
      <c r="R114" s="87" t="s">
        <v>978</v>
      </c>
      <c r="S114" s="87" t="s">
        <v>979</v>
      </c>
      <c r="T114" s="87" t="s">
        <v>916</v>
      </c>
      <c r="U114" s="87" t="s">
        <v>981</v>
      </c>
      <c r="V114" s="87" t="s">
        <v>983</v>
      </c>
      <c r="X114" s="14" t="s">
        <v>725</v>
      </c>
      <c r="Y114" s="14" t="s">
        <v>979</v>
      </c>
      <c r="Z114" s="14" t="s">
        <v>916</v>
      </c>
      <c r="AA114" s="14" t="s">
        <v>985</v>
      </c>
      <c r="AB114" s="14" t="s">
        <v>983</v>
      </c>
      <c r="AD114" s="248" t="s">
        <v>1204</v>
      </c>
    </row>
    <row r="115" spans="17:30">
      <c r="Q115">
        <v>2012</v>
      </c>
      <c r="R115" s="3">
        <f>B79</f>
        <v>30092.757559327554</v>
      </c>
      <c r="S115" s="3">
        <f t="shared" ref="S115:V115" si="60">C79</f>
        <v>6018.5515118655112</v>
      </c>
      <c r="T115" s="3">
        <f t="shared" si="60"/>
        <v>3912.0584827125822</v>
      </c>
      <c r="U115" s="3">
        <f t="shared" si="60"/>
        <v>773.89944671638204</v>
      </c>
      <c r="V115" s="3">
        <f t="shared" si="60"/>
        <v>9156.7105478617123</v>
      </c>
      <c r="W115" s="3"/>
      <c r="X115" s="3">
        <f>J79</f>
        <v>22372.616099640534</v>
      </c>
      <c r="Y115" s="3">
        <f t="shared" ref="Y115:AB115" si="61">K79</f>
        <v>4474.5232199281072</v>
      </c>
      <c r="Z115" s="3">
        <f t="shared" si="61"/>
        <v>2908.4400929532694</v>
      </c>
      <c r="AA115" s="3">
        <f t="shared" si="61"/>
        <v>1282.0345948069682</v>
      </c>
      <c r="AB115" s="3">
        <f t="shared" si="61"/>
        <v>8664.9979076883446</v>
      </c>
      <c r="AD115" s="13">
        <f>V115/AB115</f>
        <v>1.0567470004507533</v>
      </c>
    </row>
    <row r="116" spans="17:30">
      <c r="Q116">
        <v>2013</v>
      </c>
      <c r="R116" s="3">
        <f t="shared" ref="R116:R133" si="62">B80</f>
        <v>29541.902656778773</v>
      </c>
      <c r="S116" s="3">
        <f t="shared" ref="S116:S133" si="63">C80</f>
        <v>5908.380531355755</v>
      </c>
      <c r="T116" s="3">
        <f t="shared" ref="T116:T133" si="64">D80</f>
        <v>3840.4473453812407</v>
      </c>
      <c r="U116" s="3">
        <f t="shared" ref="U116:U133" si="65">E80</f>
        <v>751.66876437654616</v>
      </c>
      <c r="V116" s="3">
        <f t="shared" ref="V116:V133" si="66">F80</f>
        <v>8997.1591123604503</v>
      </c>
      <c r="W116" s="3"/>
      <c r="X116" s="3">
        <f t="shared" ref="X116:X133" si="67">J80</f>
        <v>21714.207265309669</v>
      </c>
      <c r="Y116" s="3">
        <f t="shared" ref="Y116:Y133" si="68">K80</f>
        <v>4342.8414530619339</v>
      </c>
      <c r="Z116" s="3">
        <f t="shared" ref="Z116:Z133" si="69">L80</f>
        <v>2822.8469444902571</v>
      </c>
      <c r="AA116" s="3">
        <f t="shared" ref="AA116:AA133" si="70">M80</f>
        <v>1200.7649215427357</v>
      </c>
      <c r="AB116" s="3">
        <f t="shared" ref="AB116:AB133" si="71">N80</f>
        <v>8366.453319094926</v>
      </c>
      <c r="AD116" s="13">
        <f t="shared" ref="AD116:AD133" si="72">V116/AB116</f>
        <v>1.0753850848394806</v>
      </c>
    </row>
    <row r="117" spans="17:30">
      <c r="Q117">
        <v>2014</v>
      </c>
      <c r="R117" s="3">
        <f t="shared" si="62"/>
        <v>31934.941645743558</v>
      </c>
      <c r="S117" s="3">
        <f t="shared" si="63"/>
        <v>6386.9883291487113</v>
      </c>
      <c r="T117" s="3">
        <f t="shared" si="64"/>
        <v>4151.5424139466631</v>
      </c>
      <c r="U117" s="3">
        <f t="shared" si="65"/>
        <v>757.38783833889499</v>
      </c>
      <c r="V117" s="3">
        <f t="shared" si="66"/>
        <v>9781.1429047564798</v>
      </c>
      <c r="W117" s="3"/>
      <c r="X117" s="3">
        <f t="shared" si="67"/>
        <v>21855.458876866549</v>
      </c>
      <c r="Y117" s="3">
        <f t="shared" si="68"/>
        <v>4371.0917753733102</v>
      </c>
      <c r="Z117" s="3">
        <f t="shared" si="69"/>
        <v>2841.2096539926515</v>
      </c>
      <c r="AA117" s="3">
        <f t="shared" si="70"/>
        <v>1133.8579692821377</v>
      </c>
      <c r="AB117" s="3">
        <f t="shared" si="71"/>
        <v>8346.1593986480984</v>
      </c>
      <c r="AD117" s="13">
        <f t="shared" si="72"/>
        <v>1.1719333932611948</v>
      </c>
    </row>
    <row r="118" spans="17:30">
      <c r="Q118">
        <v>2015</v>
      </c>
      <c r="R118" s="3">
        <f t="shared" si="62"/>
        <v>34063.320234879102</v>
      </c>
      <c r="S118" s="3">
        <f t="shared" si="63"/>
        <v>6812.6640469758204</v>
      </c>
      <c r="T118" s="3">
        <f t="shared" si="64"/>
        <v>4428.2316305342838</v>
      </c>
      <c r="U118" s="3">
        <f t="shared" si="65"/>
        <v>905.92556207997495</v>
      </c>
      <c r="V118" s="3">
        <f t="shared" si="66"/>
        <v>10334.970115430129</v>
      </c>
      <c r="W118" s="3"/>
      <c r="X118" s="3">
        <f t="shared" si="67"/>
        <v>26115.731451505424</v>
      </c>
      <c r="Y118" s="3">
        <f t="shared" si="68"/>
        <v>5223.1462903010852</v>
      </c>
      <c r="Z118" s="3">
        <f t="shared" si="69"/>
        <v>3395.0450886957051</v>
      </c>
      <c r="AA118" s="3">
        <f t="shared" si="70"/>
        <v>1004.3750166785943</v>
      </c>
      <c r="AB118" s="3">
        <f t="shared" si="71"/>
        <v>9622.5663956753851</v>
      </c>
      <c r="AD118" s="13">
        <f t="shared" si="72"/>
        <v>1.0740346899632633</v>
      </c>
    </row>
    <row r="119" spans="17:30">
      <c r="Q119">
        <v>2016</v>
      </c>
      <c r="R119" s="3">
        <f t="shared" si="62"/>
        <v>34092.894775190842</v>
      </c>
      <c r="S119" s="3">
        <f t="shared" si="63"/>
        <v>6818.5789550381687</v>
      </c>
      <c r="T119" s="3">
        <f t="shared" si="64"/>
        <v>4432.0763207748096</v>
      </c>
      <c r="U119" s="3">
        <f t="shared" si="65"/>
        <v>0</v>
      </c>
      <c r="V119" s="3">
        <f t="shared" si="66"/>
        <v>11250.655275812978</v>
      </c>
      <c r="W119" s="3"/>
      <c r="X119" s="3">
        <f t="shared" si="67"/>
        <v>26116.002877442952</v>
      </c>
      <c r="Y119" s="3">
        <f t="shared" si="68"/>
        <v>5223.2005754885904</v>
      </c>
      <c r="Z119" s="3">
        <f t="shared" si="69"/>
        <v>3395.0803740675838</v>
      </c>
      <c r="AA119" s="3">
        <f t="shared" si="70"/>
        <v>910.60463841352532</v>
      </c>
      <c r="AB119" s="3">
        <f t="shared" si="71"/>
        <v>9528.8855879697003</v>
      </c>
      <c r="AD119" s="13">
        <f t="shared" si="72"/>
        <v>1.1806895121101073</v>
      </c>
    </row>
    <row r="120" spans="17:30">
      <c r="Q120">
        <v>2017</v>
      </c>
      <c r="R120" s="3">
        <f t="shared" si="62"/>
        <v>29204.40421244231</v>
      </c>
      <c r="S120" s="3">
        <f t="shared" si="63"/>
        <v>5840.8808424884619</v>
      </c>
      <c r="T120" s="3">
        <f t="shared" si="64"/>
        <v>3796.5725476175003</v>
      </c>
      <c r="U120" s="3">
        <f t="shared" si="65"/>
        <v>0</v>
      </c>
      <c r="V120" s="3">
        <f t="shared" si="66"/>
        <v>9637.4533901059622</v>
      </c>
      <c r="W120" s="3"/>
      <c r="X120" s="3">
        <f t="shared" si="67"/>
        <v>25382.616256197471</v>
      </c>
      <c r="Y120" s="3">
        <f t="shared" si="68"/>
        <v>5076.5232512394941</v>
      </c>
      <c r="Z120" s="3">
        <f t="shared" si="69"/>
        <v>3299.7401133056715</v>
      </c>
      <c r="AA120" s="3">
        <f t="shared" si="70"/>
        <v>935.68227156917271</v>
      </c>
      <c r="AB120" s="3">
        <f t="shared" si="71"/>
        <v>9311.9456361143384</v>
      </c>
      <c r="AD120" s="13">
        <f t="shared" si="72"/>
        <v>1.0349559336696741</v>
      </c>
    </row>
    <row r="121" spans="17:30">
      <c r="Q121">
        <v>2018</v>
      </c>
      <c r="R121" s="3">
        <f t="shared" si="62"/>
        <v>28735.447570276523</v>
      </c>
      <c r="S121" s="3">
        <f t="shared" si="63"/>
        <v>5747.0895140553048</v>
      </c>
      <c r="T121" s="3">
        <f t="shared" si="64"/>
        <v>3735.6081841359482</v>
      </c>
      <c r="U121" s="3">
        <f t="shared" si="65"/>
        <v>0</v>
      </c>
      <c r="V121" s="3">
        <f t="shared" si="66"/>
        <v>9482.6976981912521</v>
      </c>
      <c r="W121" s="3"/>
      <c r="X121" s="3">
        <f t="shared" si="67"/>
        <v>24438.339550977111</v>
      </c>
      <c r="Y121" s="3">
        <f t="shared" si="68"/>
        <v>4887.6679101954223</v>
      </c>
      <c r="Z121" s="3">
        <f t="shared" si="69"/>
        <v>3176.9841416270247</v>
      </c>
      <c r="AA121" s="3">
        <f t="shared" si="70"/>
        <v>975.9348947113732</v>
      </c>
      <c r="AB121" s="3">
        <f t="shared" si="71"/>
        <v>9040.5869465338201</v>
      </c>
      <c r="AD121" s="13">
        <f t="shared" si="72"/>
        <v>1.0489028814469772</v>
      </c>
    </row>
    <row r="122" spans="17:30">
      <c r="Q122">
        <v>2019</v>
      </c>
      <c r="R122" s="3">
        <f t="shared" si="62"/>
        <v>29407.802584812162</v>
      </c>
      <c r="S122" s="3">
        <f t="shared" si="63"/>
        <v>5881.5605169624323</v>
      </c>
      <c r="T122" s="3">
        <f t="shared" si="64"/>
        <v>3823.0143360255811</v>
      </c>
      <c r="U122" s="3">
        <f t="shared" si="65"/>
        <v>0</v>
      </c>
      <c r="V122" s="3">
        <f t="shared" si="66"/>
        <v>9704.5748529880129</v>
      </c>
      <c r="W122" s="3"/>
      <c r="X122" s="3">
        <f t="shared" si="67"/>
        <v>24417.039159383276</v>
      </c>
      <c r="Y122" s="3">
        <f t="shared" si="68"/>
        <v>4883.4078318766551</v>
      </c>
      <c r="Z122" s="3">
        <f t="shared" si="69"/>
        <v>3174.2150907198261</v>
      </c>
      <c r="AA122" s="3">
        <f t="shared" si="70"/>
        <v>956.57795784793359</v>
      </c>
      <c r="AB122" s="3">
        <f t="shared" si="71"/>
        <v>9014.2008804444158</v>
      </c>
      <c r="AD122" s="13">
        <f t="shared" si="72"/>
        <v>1.0765873738227099</v>
      </c>
    </row>
    <row r="123" spans="17:30">
      <c r="Q123">
        <v>2020</v>
      </c>
      <c r="R123" s="3">
        <f t="shared" si="62"/>
        <v>29295.186869934292</v>
      </c>
      <c r="S123" s="3">
        <f t="shared" si="63"/>
        <v>5859.0373739868583</v>
      </c>
      <c r="T123" s="3">
        <f t="shared" si="64"/>
        <v>3808.3742930914582</v>
      </c>
      <c r="U123" s="3">
        <f t="shared" si="65"/>
        <v>0</v>
      </c>
      <c r="V123" s="3">
        <f t="shared" si="66"/>
        <v>9667.4116670783169</v>
      </c>
      <c r="W123" s="3"/>
      <c r="X123" s="3">
        <f t="shared" si="67"/>
        <v>24395.94966275572</v>
      </c>
      <c r="Y123" s="3">
        <f t="shared" si="68"/>
        <v>4879.189932551144</v>
      </c>
      <c r="Z123" s="3">
        <f t="shared" si="69"/>
        <v>3171.4734561582436</v>
      </c>
      <c r="AA123" s="3">
        <f t="shared" si="70"/>
        <v>948.28287550455752</v>
      </c>
      <c r="AB123" s="3">
        <f t="shared" si="71"/>
        <v>8998.9462642139442</v>
      </c>
      <c r="AD123" s="13">
        <f t="shared" si="72"/>
        <v>1.0742826307923024</v>
      </c>
    </row>
    <row r="124" spans="17:30">
      <c r="Q124">
        <v>2021</v>
      </c>
      <c r="R124" s="3">
        <f t="shared" si="62"/>
        <v>28577.031973761408</v>
      </c>
      <c r="S124" s="3">
        <f t="shared" si="63"/>
        <v>5715.4063947522818</v>
      </c>
      <c r="T124" s="3">
        <f t="shared" si="64"/>
        <v>3715.014156588983</v>
      </c>
      <c r="U124" s="3">
        <f t="shared" si="65"/>
        <v>0</v>
      </c>
      <c r="V124" s="3">
        <f t="shared" si="66"/>
        <v>9430.4205513412653</v>
      </c>
      <c r="W124" s="3"/>
      <c r="X124" s="3">
        <f t="shared" si="67"/>
        <v>24375.068973025463</v>
      </c>
      <c r="Y124" s="3">
        <f t="shared" si="68"/>
        <v>4875.0137946050927</v>
      </c>
      <c r="Z124" s="3">
        <f t="shared" si="69"/>
        <v>3168.7589664933103</v>
      </c>
      <c r="AA124" s="3">
        <f t="shared" si="70"/>
        <v>973.1981528738329</v>
      </c>
      <c r="AB124" s="3">
        <f t="shared" si="71"/>
        <v>9016.9709139722363</v>
      </c>
      <c r="AD124" s="13">
        <f t="shared" si="72"/>
        <v>1.0458523867176248</v>
      </c>
    </row>
    <row r="125" spans="17:30">
      <c r="Q125">
        <v>2022</v>
      </c>
      <c r="R125" s="3">
        <f t="shared" si="62"/>
        <v>29096.55466991854</v>
      </c>
      <c r="S125" s="3">
        <f t="shared" si="63"/>
        <v>5819.3109339837083</v>
      </c>
      <c r="T125" s="3">
        <f t="shared" si="64"/>
        <v>3782.5521070894101</v>
      </c>
      <c r="U125" s="3">
        <f t="shared" si="65"/>
        <v>0</v>
      </c>
      <c r="V125" s="3">
        <f t="shared" si="66"/>
        <v>9601.8630410731184</v>
      </c>
      <c r="W125" s="3"/>
      <c r="X125" s="3">
        <f t="shared" si="67"/>
        <v>24354.395022797489</v>
      </c>
      <c r="Y125" s="3">
        <f t="shared" si="68"/>
        <v>4870.8790045594978</v>
      </c>
      <c r="Z125" s="3">
        <f t="shared" si="69"/>
        <v>3166.0713529636737</v>
      </c>
      <c r="AA125" s="3">
        <f t="shared" si="70"/>
        <v>988.85148613522915</v>
      </c>
      <c r="AB125" s="3">
        <f t="shared" si="71"/>
        <v>9025.8018436584007</v>
      </c>
      <c r="AD125" s="13">
        <f t="shared" si="72"/>
        <v>1.0638238250066905</v>
      </c>
    </row>
    <row r="126" spans="17:30">
      <c r="Q126">
        <v>2023</v>
      </c>
      <c r="R126" s="3">
        <f t="shared" si="62"/>
        <v>28883.560621806188</v>
      </c>
      <c r="S126" s="3">
        <f t="shared" si="63"/>
        <v>5776.7121243612373</v>
      </c>
      <c r="T126" s="3">
        <f t="shared" si="64"/>
        <v>3754.8628808348044</v>
      </c>
      <c r="U126" s="3">
        <f t="shared" si="65"/>
        <v>0</v>
      </c>
      <c r="V126" s="3">
        <f t="shared" si="66"/>
        <v>9531.5750051960422</v>
      </c>
      <c r="W126" s="3"/>
      <c r="X126" s="3">
        <f t="shared" si="67"/>
        <v>24333.925765146028</v>
      </c>
      <c r="Y126" s="3">
        <f t="shared" si="68"/>
        <v>4866.7851530292055</v>
      </c>
      <c r="Z126" s="3">
        <f t="shared" si="69"/>
        <v>3163.4103494689839</v>
      </c>
      <c r="AA126" s="3">
        <f t="shared" si="70"/>
        <v>990.58278406368061</v>
      </c>
      <c r="AB126" s="3">
        <f t="shared" si="71"/>
        <v>9020.7782865618701</v>
      </c>
      <c r="AD126" s="13">
        <f t="shared" si="72"/>
        <v>1.0566244621481384</v>
      </c>
    </row>
    <row r="127" spans="17:30">
      <c r="Q127">
        <v>2024</v>
      </c>
      <c r="R127" s="3">
        <f t="shared" si="62"/>
        <v>27847.970888505588</v>
      </c>
      <c r="S127" s="3">
        <f t="shared" si="63"/>
        <v>5569.5941777011176</v>
      </c>
      <c r="T127" s="3">
        <f t="shared" si="64"/>
        <v>3620.2362155057267</v>
      </c>
      <c r="U127" s="3">
        <f t="shared" si="65"/>
        <v>0</v>
      </c>
      <c r="V127" s="3">
        <f t="shared" si="66"/>
        <v>9189.8303932068447</v>
      </c>
      <c r="W127" s="3"/>
      <c r="X127" s="3">
        <f t="shared" si="67"/>
        <v>24313.65917341191</v>
      </c>
      <c r="Y127" s="3">
        <f t="shared" si="68"/>
        <v>4862.7318346823822</v>
      </c>
      <c r="Z127" s="3">
        <f t="shared" si="69"/>
        <v>3160.7756925435483</v>
      </c>
      <c r="AA127" s="3">
        <f t="shared" si="70"/>
        <v>983.79112086069767</v>
      </c>
      <c r="AB127" s="3">
        <f t="shared" si="71"/>
        <v>9007.2986480866293</v>
      </c>
      <c r="AD127" s="13">
        <f t="shared" si="72"/>
        <v>1.0202648709953666</v>
      </c>
    </row>
    <row r="128" spans="17:30">
      <c r="Q128">
        <v>2025</v>
      </c>
      <c r="R128" s="3">
        <f t="shared" si="62"/>
        <v>26967.627389491787</v>
      </c>
      <c r="S128" s="3">
        <f t="shared" si="63"/>
        <v>5393.5254778983572</v>
      </c>
      <c r="T128" s="3">
        <f t="shared" si="64"/>
        <v>3505.7915606339325</v>
      </c>
      <c r="U128" s="3">
        <f t="shared" si="65"/>
        <v>0</v>
      </c>
      <c r="V128" s="3">
        <f t="shared" si="66"/>
        <v>8899.3170385322901</v>
      </c>
      <c r="W128" s="3"/>
      <c r="X128" s="3">
        <f t="shared" si="67"/>
        <v>24293.59324100189</v>
      </c>
      <c r="Y128" s="3">
        <f t="shared" si="68"/>
        <v>4858.7186482003781</v>
      </c>
      <c r="Z128" s="3">
        <f t="shared" si="69"/>
        <v>3158.1671213302457</v>
      </c>
      <c r="AA128" s="3">
        <f t="shared" si="70"/>
        <v>989.67580601154873</v>
      </c>
      <c r="AB128" s="3">
        <f t="shared" si="71"/>
        <v>9006.5615755421713</v>
      </c>
      <c r="AD128" s="13">
        <f t="shared" si="72"/>
        <v>0.98809262157257549</v>
      </c>
    </row>
    <row r="129" spans="17:30">
      <c r="Q129">
        <v>2026</v>
      </c>
      <c r="R129" s="3">
        <f t="shared" si="62"/>
        <v>26495.028466260614</v>
      </c>
      <c r="S129" s="3">
        <f t="shared" si="63"/>
        <v>5299.0056932521229</v>
      </c>
      <c r="T129" s="3">
        <f t="shared" si="64"/>
        <v>3444.3537006138799</v>
      </c>
      <c r="U129" s="3">
        <f t="shared" si="65"/>
        <v>0</v>
      </c>
      <c r="V129" s="3">
        <f t="shared" si="66"/>
        <v>8743.3593938660033</v>
      </c>
      <c r="W129" s="3"/>
      <c r="X129" s="3">
        <f t="shared" si="67"/>
        <v>24273.725981189993</v>
      </c>
      <c r="Y129" s="3">
        <f t="shared" si="68"/>
        <v>4854.7451962379982</v>
      </c>
      <c r="Z129" s="3">
        <f t="shared" si="69"/>
        <v>3155.5843775546991</v>
      </c>
      <c r="AA129" s="3">
        <f t="shared" si="70"/>
        <v>1007.0682181150642</v>
      </c>
      <c r="AB129" s="3">
        <f t="shared" si="71"/>
        <v>9017.3977919077624</v>
      </c>
      <c r="AD129" s="13">
        <f t="shared" si="72"/>
        <v>0.96961003558169723</v>
      </c>
    </row>
    <row r="130" spans="17:30">
      <c r="Q130">
        <v>2027</v>
      </c>
      <c r="R130" s="3">
        <f t="shared" si="62"/>
        <v>26021.020967797846</v>
      </c>
      <c r="S130" s="3">
        <f t="shared" si="63"/>
        <v>5204.2041935595689</v>
      </c>
      <c r="T130" s="3">
        <f t="shared" si="64"/>
        <v>3382.7327258137202</v>
      </c>
      <c r="U130" s="3">
        <f t="shared" si="65"/>
        <v>0</v>
      </c>
      <c r="V130" s="3">
        <f t="shared" si="66"/>
        <v>8586.9369193732891</v>
      </c>
      <c r="W130" s="3"/>
      <c r="X130" s="3">
        <f t="shared" si="67"/>
        <v>24254.055426920786</v>
      </c>
      <c r="Y130" s="3">
        <f t="shared" si="68"/>
        <v>4850.8110853841572</v>
      </c>
      <c r="Z130" s="3">
        <f t="shared" si="69"/>
        <v>3153.0272054997022</v>
      </c>
      <c r="AA130" s="3">
        <f t="shared" si="70"/>
        <v>1010.9721440968196</v>
      </c>
      <c r="AB130" s="3">
        <f t="shared" si="71"/>
        <v>9014.8104349806781</v>
      </c>
      <c r="AD130" s="13">
        <f t="shared" si="72"/>
        <v>0.95253660421442843</v>
      </c>
    </row>
    <row r="131" spans="17:30">
      <c r="Q131">
        <v>2028</v>
      </c>
      <c r="R131" s="3">
        <f t="shared" si="62"/>
        <v>25477.917662789681</v>
      </c>
      <c r="S131" s="3">
        <f t="shared" si="63"/>
        <v>5095.5835325579365</v>
      </c>
      <c r="T131" s="3">
        <f t="shared" si="64"/>
        <v>3312.1292961626586</v>
      </c>
      <c r="U131" s="3">
        <f t="shared" si="65"/>
        <v>0</v>
      </c>
      <c r="V131" s="3">
        <f t="shared" si="66"/>
        <v>8407.712828720596</v>
      </c>
      <c r="W131" s="3"/>
      <c r="X131" s="3">
        <f t="shared" si="67"/>
        <v>24234.579630614637</v>
      </c>
      <c r="Y131" s="3">
        <f t="shared" si="68"/>
        <v>4846.915926122927</v>
      </c>
      <c r="Z131" s="3">
        <f t="shared" si="69"/>
        <v>3150.4953519799028</v>
      </c>
      <c r="AA131" s="3">
        <f t="shared" si="70"/>
        <v>1009.658713847184</v>
      </c>
      <c r="AB131" s="3">
        <f t="shared" si="71"/>
        <v>9007.069991950013</v>
      </c>
      <c r="AD131" s="13">
        <f t="shared" si="72"/>
        <v>0.93345703277924041</v>
      </c>
    </row>
    <row r="132" spans="17:30">
      <c r="Q132">
        <v>2029</v>
      </c>
      <c r="R132" s="3">
        <f t="shared" si="62"/>
        <v>25001.17853316804</v>
      </c>
      <c r="S132" s="3">
        <f t="shared" si="63"/>
        <v>5000.2357066336081</v>
      </c>
      <c r="T132" s="3">
        <f t="shared" si="64"/>
        <v>3250.1532093118453</v>
      </c>
      <c r="U132" s="3">
        <f t="shared" si="65"/>
        <v>0</v>
      </c>
      <c r="V132" s="3">
        <f t="shared" si="66"/>
        <v>8250.3889159454538</v>
      </c>
      <c r="W132" s="3"/>
      <c r="X132" s="3">
        <f t="shared" si="67"/>
        <v>24215.296663974888</v>
      </c>
      <c r="Y132" s="3">
        <f t="shared" si="68"/>
        <v>4843.0593327949773</v>
      </c>
      <c r="Z132" s="3">
        <f t="shared" si="69"/>
        <v>3147.9885663167356</v>
      </c>
      <c r="AA132" s="3">
        <f t="shared" si="70"/>
        <v>1011.3325009012532</v>
      </c>
      <c r="AB132" s="3">
        <f t="shared" si="71"/>
        <v>9002.3804000129658</v>
      </c>
      <c r="AD132" s="13">
        <f t="shared" si="72"/>
        <v>0.91646748408160705</v>
      </c>
    </row>
    <row r="133" spans="17:30">
      <c r="Q133">
        <v>2030</v>
      </c>
      <c r="R133" s="3">
        <f t="shared" si="62"/>
        <v>24455.399257197016</v>
      </c>
      <c r="S133" s="3">
        <f t="shared" si="63"/>
        <v>4891.0798514394028</v>
      </c>
      <c r="T133" s="3">
        <f t="shared" si="64"/>
        <v>3179.2019034356122</v>
      </c>
      <c r="U133" s="3">
        <f t="shared" si="65"/>
        <v>0</v>
      </c>
      <c r="V133" s="3">
        <f t="shared" si="66"/>
        <v>8070.2817548750154</v>
      </c>
      <c r="W133" s="3"/>
      <c r="X133" s="3">
        <f t="shared" si="67"/>
        <v>24196.204617796921</v>
      </c>
      <c r="Y133" s="3">
        <f t="shared" si="68"/>
        <v>4839.2409235593841</v>
      </c>
      <c r="Z133" s="3">
        <f t="shared" si="69"/>
        <v>3145.5066003135998</v>
      </c>
      <c r="AA133" s="3">
        <f t="shared" si="70"/>
        <v>1010.1544889778497</v>
      </c>
      <c r="AB133" s="3">
        <f t="shared" si="71"/>
        <v>8994.9020128508346</v>
      </c>
      <c r="AD133" s="13">
        <f t="shared" si="72"/>
        <v>0.89720618894404491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G39" sqref="G39"/>
    </sheetView>
  </sheetViews>
  <sheetFormatPr defaultRowHeight="15"/>
  <cols>
    <col min="1" max="1" width="17.28515625" customWidth="1"/>
    <col min="2" max="7" width="13.42578125" customWidth="1"/>
  </cols>
  <sheetData>
    <row r="1" spans="1:7">
      <c r="A1" t="s">
        <v>148</v>
      </c>
    </row>
    <row r="2" spans="1:7" ht="15.75" thickBot="1"/>
    <row r="3" spans="1:7">
      <c r="A3" s="44" t="s">
        <v>149</v>
      </c>
      <c r="B3" s="44"/>
    </row>
    <row r="4" spans="1:7">
      <c r="A4" s="41" t="s">
        <v>150</v>
      </c>
      <c r="B4" s="47">
        <v>0.9948634254120412</v>
      </c>
    </row>
    <row r="5" spans="1:7">
      <c r="A5" s="41" t="s">
        <v>151</v>
      </c>
      <c r="B5" s="47">
        <v>0.98975323522258007</v>
      </c>
    </row>
    <row r="6" spans="1:7">
      <c r="A6" s="41" t="s">
        <v>152</v>
      </c>
      <c r="B6" s="47">
        <v>0.97663314736832785</v>
      </c>
    </row>
    <row r="7" spans="1:7">
      <c r="A7" s="41" t="s">
        <v>153</v>
      </c>
      <c r="B7" s="47">
        <v>6.329448841141903</v>
      </c>
    </row>
    <row r="8" spans="1:7" ht="15.75" thickBot="1">
      <c r="A8" s="42" t="s">
        <v>154</v>
      </c>
      <c r="B8" s="42">
        <v>79</v>
      </c>
    </row>
    <row r="10" spans="1:7" ht="15.75" thickBot="1">
      <c r="A10" t="s">
        <v>155</v>
      </c>
    </row>
    <row r="11" spans="1:7">
      <c r="A11" s="43"/>
      <c r="B11" s="43" t="s">
        <v>160</v>
      </c>
      <c r="C11" s="43" t="s">
        <v>161</v>
      </c>
      <c r="D11" s="43" t="s">
        <v>162</v>
      </c>
      <c r="E11" s="43" t="s">
        <v>163</v>
      </c>
      <c r="F11" s="43" t="s">
        <v>164</v>
      </c>
    </row>
    <row r="12" spans="1:7">
      <c r="A12" s="41" t="s">
        <v>156</v>
      </c>
      <c r="B12" s="41">
        <v>2</v>
      </c>
      <c r="C12" s="49">
        <v>297963.23195728729</v>
      </c>
      <c r="D12" s="49">
        <v>148981.61597864365</v>
      </c>
      <c r="E12" s="49">
        <v>3718.7834778875585</v>
      </c>
      <c r="F12" s="41">
        <v>1.5444092444582915E-76</v>
      </c>
    </row>
    <row r="13" spans="1:7">
      <c r="A13" s="41" t="s">
        <v>157</v>
      </c>
      <c r="B13" s="41">
        <v>77</v>
      </c>
      <c r="C13" s="49">
        <v>3084.7680427127084</v>
      </c>
      <c r="D13" s="49">
        <v>40.061922632632573</v>
      </c>
      <c r="E13" s="49"/>
      <c r="F13" s="41"/>
    </row>
    <row r="14" spans="1:7" ht="15.75" thickBot="1">
      <c r="A14" s="42" t="s">
        <v>158</v>
      </c>
      <c r="B14" s="42">
        <v>79</v>
      </c>
      <c r="C14" s="42">
        <v>301048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0</v>
      </c>
      <c r="C17" s="41"/>
      <c r="D17" s="41"/>
      <c r="E17" s="41"/>
      <c r="F17" s="41"/>
      <c r="G17" s="41"/>
    </row>
    <row r="18" spans="1:7">
      <c r="A18" s="41" t="s">
        <v>184</v>
      </c>
      <c r="B18" s="47">
        <v>0.15592265010716225</v>
      </c>
      <c r="C18" s="47">
        <v>5.1850455529625864E-3</v>
      </c>
      <c r="D18" s="47">
        <v>30.07160660682576</v>
      </c>
      <c r="E18" s="45">
        <v>2.6306321081380254E-44</v>
      </c>
      <c r="F18" s="47">
        <v>0.14559790535953651</v>
      </c>
      <c r="G18" s="47">
        <v>0.16624739485478798</v>
      </c>
    </row>
    <row r="19" spans="1:7" ht="15.75" thickBot="1">
      <c r="A19" s="42" t="s">
        <v>235</v>
      </c>
      <c r="B19" s="48">
        <v>6.9280960789245186E-2</v>
      </c>
      <c r="C19" s="48">
        <v>1.1381290000047338E-2</v>
      </c>
      <c r="D19" s="48">
        <v>6.0872678570669079</v>
      </c>
      <c r="E19" s="46">
        <v>4.1846963822093269E-8</v>
      </c>
      <c r="F19" s="48">
        <v>4.6617917051461052E-2</v>
      </c>
      <c r="G19" s="48">
        <v>9.1944004527029319E-2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showGridLines="0" workbookViewId="0">
      <selection activeCell="A3" sqref="A3:G18"/>
    </sheetView>
  </sheetViews>
  <sheetFormatPr defaultRowHeight="15"/>
  <cols>
    <col min="1" max="1" width="18" customWidth="1"/>
    <col min="2" max="7" width="13.85546875" customWidth="1"/>
  </cols>
  <sheetData>
    <row r="1" spans="1:7">
      <c r="A1" t="s">
        <v>148</v>
      </c>
    </row>
    <row r="2" spans="1:7" ht="15.75" thickBot="1"/>
    <row r="3" spans="1:7">
      <c r="A3" s="44" t="s">
        <v>149</v>
      </c>
      <c r="B3" s="44"/>
    </row>
    <row r="4" spans="1:7">
      <c r="A4" s="41" t="s">
        <v>150</v>
      </c>
      <c r="B4" s="41">
        <v>0.99687063386658759</v>
      </c>
    </row>
    <row r="5" spans="1:7">
      <c r="A5" s="41" t="s">
        <v>151</v>
      </c>
      <c r="B5" s="41">
        <v>0.99375106066557206</v>
      </c>
    </row>
    <row r="6" spans="1:7">
      <c r="A6" s="41" t="s">
        <v>152</v>
      </c>
      <c r="B6" s="41">
        <v>0.99062659099835804</v>
      </c>
    </row>
    <row r="7" spans="1:7">
      <c r="A7" s="41" t="s">
        <v>153</v>
      </c>
      <c r="B7" s="41">
        <v>9.3744535380947222E-2</v>
      </c>
    </row>
    <row r="8" spans="1:7" ht="15.75" thickBot="1">
      <c r="A8" s="42" t="s">
        <v>154</v>
      </c>
      <c r="B8" s="42">
        <v>4</v>
      </c>
    </row>
    <row r="10" spans="1:7" ht="15.75" thickBot="1">
      <c r="A10" t="s">
        <v>155</v>
      </c>
    </row>
    <row r="11" spans="1:7">
      <c r="A11" s="43"/>
      <c r="B11" s="43" t="s">
        <v>160</v>
      </c>
      <c r="C11" s="43" t="s">
        <v>161</v>
      </c>
      <c r="D11" s="43" t="s">
        <v>162</v>
      </c>
      <c r="E11" s="43" t="s">
        <v>163</v>
      </c>
      <c r="F11" s="43" t="s">
        <v>164</v>
      </c>
    </row>
    <row r="12" spans="1:7">
      <c r="A12" s="41" t="s">
        <v>156</v>
      </c>
      <c r="B12" s="41">
        <v>1</v>
      </c>
      <c r="C12" s="41">
        <v>2.7950733814563926</v>
      </c>
      <c r="D12" s="41">
        <v>2.7950733814563926</v>
      </c>
      <c r="E12" s="41">
        <v>318.05431529494541</v>
      </c>
      <c r="F12" s="41">
        <v>3.1293661334124661E-3</v>
      </c>
    </row>
    <row r="13" spans="1:7">
      <c r="A13" s="41" t="s">
        <v>157</v>
      </c>
      <c r="B13" s="41">
        <v>2</v>
      </c>
      <c r="C13" s="41">
        <v>1.7576075827579331E-2</v>
      </c>
      <c r="D13" s="41">
        <v>8.7880379137896657E-3</v>
      </c>
      <c r="E13" s="41"/>
      <c r="F13" s="41"/>
    </row>
    <row r="14" spans="1:7" ht="15.75" thickBot="1">
      <c r="A14" s="42" t="s">
        <v>158</v>
      </c>
      <c r="B14" s="42">
        <v>3</v>
      </c>
      <c r="C14" s="42">
        <v>2.812649457283972</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-8.8882994947297131</v>
      </c>
      <c r="C17" s="41">
        <v>0.23529691637774366</v>
      </c>
      <c r="D17" s="41">
        <v>-37.774823535980865</v>
      </c>
      <c r="E17" s="41">
        <v>7.0006581832065238E-4</v>
      </c>
      <c r="F17" s="41">
        <v>-9.9007004142840422</v>
      </c>
      <c r="G17" s="41">
        <v>-7.8758985751753832</v>
      </c>
    </row>
    <row r="18" spans="1:7" ht="15.75" thickBot="1">
      <c r="A18" s="42" t="s">
        <v>329</v>
      </c>
      <c r="B18" s="42">
        <v>0.74767284041302351</v>
      </c>
      <c r="C18" s="42">
        <v>4.1923830726186426E-2</v>
      </c>
      <c r="D18" s="42">
        <v>17.834077360349916</v>
      </c>
      <c r="E18" s="42">
        <v>3.1293661334124661E-3</v>
      </c>
      <c r="F18" s="42">
        <v>0.56728915569744309</v>
      </c>
      <c r="G18" s="42">
        <v>0.92805652512860393</v>
      </c>
    </row>
    <row r="43" spans="23:23">
      <c r="W43" t="s">
        <v>1293</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71"/>
  <sheetViews>
    <sheetView zoomScale="75" zoomScaleNormal="75" workbookViewId="0">
      <selection activeCell="W3" sqref="W3:Z25"/>
    </sheetView>
  </sheetViews>
  <sheetFormatPr defaultRowHeight="15"/>
  <cols>
    <col min="2" max="2" width="10.42578125" customWidth="1"/>
    <col min="3" max="3" width="15.42578125" customWidth="1"/>
    <col min="4" max="4" width="18.5703125" customWidth="1"/>
    <col min="5" max="12" width="10.42578125" customWidth="1"/>
    <col min="13" max="13" width="14.42578125" customWidth="1"/>
    <col min="14" max="17" width="14.42578125" style="33" customWidth="1"/>
    <col min="18" max="24" width="8.85546875" style="33" customWidth="1"/>
    <col min="25" max="26" width="8.85546875" customWidth="1"/>
    <col min="27" max="34" width="10.42578125" customWidth="1"/>
    <col min="43" max="43" width="18.85546875" customWidth="1"/>
    <col min="44" max="44" width="12.140625" customWidth="1"/>
    <col min="45" max="45" width="16" customWidth="1"/>
    <col min="48" max="48" width="17.7109375" customWidth="1"/>
    <col min="55" max="55" width="11.140625" customWidth="1"/>
  </cols>
  <sheetData>
    <row r="1" spans="1:60">
      <c r="N1"/>
      <c r="O1"/>
      <c r="P1"/>
      <c r="R1" s="236" t="s">
        <v>1311</v>
      </c>
      <c r="S1" s="236"/>
      <c r="T1" s="236"/>
      <c r="U1" s="236"/>
      <c r="V1"/>
      <c r="W1" s="236" t="s">
        <v>1311</v>
      </c>
      <c r="X1" s="236"/>
      <c r="Y1" s="236"/>
      <c r="Z1" s="236"/>
      <c r="AA1" s="236"/>
      <c r="AL1" t="s">
        <v>946</v>
      </c>
      <c r="BH1" t="s">
        <v>833</v>
      </c>
    </row>
    <row r="2" spans="1:60">
      <c r="B2" t="s">
        <v>540</v>
      </c>
      <c r="C2" t="s">
        <v>282</v>
      </c>
      <c r="L2" t="s">
        <v>282</v>
      </c>
      <c r="N2"/>
      <c r="O2"/>
      <c r="P2"/>
      <c r="R2"/>
      <c r="S2" t="s">
        <v>1172</v>
      </c>
      <c r="T2"/>
      <c r="U2"/>
      <c r="V2"/>
      <c r="W2"/>
      <c r="X2" t="s">
        <v>1184</v>
      </c>
      <c r="AL2" t="s">
        <v>1038</v>
      </c>
      <c r="BF2" t="s">
        <v>934</v>
      </c>
      <c r="BG2" t="s">
        <v>850</v>
      </c>
      <c r="BH2" t="s">
        <v>935</v>
      </c>
    </row>
    <row r="3" spans="1:60">
      <c r="B3" t="s">
        <v>1299</v>
      </c>
      <c r="C3" t="s">
        <v>1306</v>
      </c>
      <c r="D3" t="s">
        <v>1307</v>
      </c>
      <c r="E3" s="87" t="s">
        <v>1137</v>
      </c>
      <c r="F3" s="87" t="s">
        <v>1384</v>
      </c>
      <c r="G3" s="87" t="s">
        <v>1383</v>
      </c>
      <c r="H3" s="87" t="s">
        <v>1382</v>
      </c>
      <c r="I3" s="87" t="s">
        <v>1136</v>
      </c>
      <c r="J3" t="s">
        <v>1163</v>
      </c>
      <c r="L3" s="14" t="s">
        <v>1308</v>
      </c>
      <c r="M3" s="14" t="s">
        <v>1160</v>
      </c>
      <c r="N3" s="14" t="s">
        <v>944</v>
      </c>
      <c r="O3" s="14" t="s">
        <v>1153</v>
      </c>
      <c r="P3" s="14" t="s">
        <v>1152</v>
      </c>
      <c r="R3"/>
      <c r="S3" s="236" t="s">
        <v>1173</v>
      </c>
      <c r="T3" s="236" t="s">
        <v>1147</v>
      </c>
      <c r="U3" s="236" t="s">
        <v>1174</v>
      </c>
      <c r="V3"/>
      <c r="W3"/>
      <c r="X3" s="236" t="s">
        <v>1173</v>
      </c>
      <c r="Y3" s="236" t="s">
        <v>1147</v>
      </c>
      <c r="Z3" s="236" t="s">
        <v>1174</v>
      </c>
      <c r="AA3" s="236"/>
      <c r="AB3" s="14" t="s">
        <v>1309</v>
      </c>
      <c r="AD3" t="s">
        <v>1310</v>
      </c>
      <c r="AE3" t="s">
        <v>1296</v>
      </c>
      <c r="AG3" t="s">
        <v>329</v>
      </c>
      <c r="AL3" t="s">
        <v>944</v>
      </c>
      <c r="AM3" t="s">
        <v>945</v>
      </c>
      <c r="AS3" t="s">
        <v>170</v>
      </c>
      <c r="AT3" t="s">
        <v>829</v>
      </c>
      <c r="AU3" t="s">
        <v>896</v>
      </c>
      <c r="AV3" t="s">
        <v>825</v>
      </c>
      <c r="BE3">
        <v>2008</v>
      </c>
      <c r="BF3" s="13">
        <f>'Country Petrol Prices'!D11</f>
        <v>145.6</v>
      </c>
      <c r="BG3" s="13">
        <f>CPIs!D47</f>
        <v>97.910298498338719</v>
      </c>
      <c r="BH3" s="13">
        <f>BH4</f>
        <v>0.8430452146440679</v>
      </c>
    </row>
    <row r="4" spans="1:60">
      <c r="A4">
        <v>2009</v>
      </c>
      <c r="B4" s="13">
        <f>'EV %sales'!D67</f>
        <v>0</v>
      </c>
      <c r="C4" s="20"/>
      <c r="D4" s="13"/>
      <c r="E4" s="13"/>
      <c r="F4" s="84"/>
      <c r="G4" s="84"/>
      <c r="H4" s="84"/>
      <c r="I4" s="13"/>
      <c r="J4" s="13"/>
      <c r="K4" s="13"/>
      <c r="L4" s="13"/>
      <c r="M4" s="13"/>
      <c r="N4" s="13"/>
      <c r="O4" s="13"/>
      <c r="P4" s="13"/>
      <c r="Q4" s="72"/>
      <c r="R4">
        <v>2009</v>
      </c>
      <c r="S4"/>
      <c r="T4"/>
      <c r="U4"/>
      <c r="V4"/>
      <c r="W4">
        <v>2009</v>
      </c>
      <c r="X4"/>
      <c r="AB4" s="13">
        <v>0</v>
      </c>
      <c r="AC4" s="13"/>
      <c r="AD4" s="13"/>
      <c r="AE4" s="13"/>
      <c r="AF4" s="13"/>
      <c r="AG4" s="13"/>
      <c r="AH4" s="13"/>
      <c r="AI4" s="13"/>
      <c r="AJ4" s="13"/>
      <c r="AK4" s="13"/>
      <c r="AS4" s="13">
        <v>0</v>
      </c>
      <c r="AT4" s="13">
        <f>BH3</f>
        <v>0.8430452146440679</v>
      </c>
      <c r="AU4" s="13">
        <f>'Global EV uptake'!B60</f>
        <v>9.0944063654437145E-3</v>
      </c>
      <c r="AV4" s="3">
        <f>BF3*BG$12/BG3</f>
        <v>167.13308974383276</v>
      </c>
      <c r="AW4" s="13"/>
      <c r="BD4" s="13"/>
      <c r="BE4">
        <v>2009</v>
      </c>
      <c r="BF4" s="13">
        <f>'Country Petrol Prices'!D12</f>
        <v>131.6</v>
      </c>
      <c r="BG4" s="13">
        <f>CPIs!D48</f>
        <v>97.858257539584869</v>
      </c>
      <c r="BH4" s="13">
        <f>'Country Vehicle Prices'!D81</f>
        <v>0.8430452146440679</v>
      </c>
    </row>
    <row r="5" spans="1:60">
      <c r="A5">
        <v>2010</v>
      </c>
      <c r="B5" s="13">
        <f>'EV %sales'!D68</f>
        <v>0</v>
      </c>
      <c r="C5" s="20"/>
      <c r="D5" s="13"/>
      <c r="E5" s="13"/>
      <c r="F5" s="230"/>
      <c r="G5" s="230"/>
      <c r="H5" s="230"/>
      <c r="I5" s="13"/>
      <c r="J5" s="13"/>
      <c r="K5" s="13"/>
      <c r="L5" s="13"/>
      <c r="M5" s="13"/>
      <c r="N5" s="13"/>
      <c r="O5" s="13"/>
      <c r="P5" s="13"/>
      <c r="Q5" s="72"/>
      <c r="R5">
        <v>2010</v>
      </c>
      <c r="S5"/>
      <c r="T5"/>
      <c r="U5"/>
      <c r="V5"/>
      <c r="W5">
        <v>2010</v>
      </c>
      <c r="X5"/>
      <c r="AB5" s="13">
        <f t="shared" ref="AB5:AB50" si="0">65*EXP(AE5)/(1+EXP(AE5))</f>
        <v>1.893902262212482E-2</v>
      </c>
      <c r="AE5" s="33">
        <f t="shared" ref="AE5:AE50" si="1">AD$56+AD$57*AG5</f>
        <v>-8.140626654316689</v>
      </c>
      <c r="AG5">
        <v>1</v>
      </c>
      <c r="AH5" s="13"/>
      <c r="AI5" s="13"/>
      <c r="AJ5" s="13"/>
      <c r="AK5" s="13"/>
      <c r="AS5" s="13">
        <f t="shared" ref="AS5:AS25" si="2">MAX(0,AZ$8+AZ$9*AT5+AZ$10*AU5)</f>
        <v>0</v>
      </c>
      <c r="AT5" s="13">
        <f t="shared" ref="AT5:AT25" si="3">BH4</f>
        <v>0.8430452146440679</v>
      </c>
      <c r="AU5" s="13">
        <f>'Global EV uptake'!B61</f>
        <v>1.6964627629336562E-2</v>
      </c>
      <c r="AV5" s="3">
        <f t="shared" ref="AV5:AV13" si="4">BF4*BG$12/BG4</f>
        <v>151.14293533960733</v>
      </c>
      <c r="AW5" s="13"/>
      <c r="BD5" s="13"/>
      <c r="BE5">
        <v>2010</v>
      </c>
      <c r="BF5" s="13">
        <f>'Country Petrol Prices'!D13</f>
        <v>145.6</v>
      </c>
      <c r="BG5" s="13">
        <f>CPIs!D49</f>
        <v>99.99999925494194</v>
      </c>
      <c r="BH5" s="13">
        <f>'Country Vehicle Prices'!D82</f>
        <v>0.89394646536909372</v>
      </c>
    </row>
    <row r="6" spans="1:60">
      <c r="A6">
        <v>2011</v>
      </c>
      <c r="B6" s="13">
        <f>'EV %sales'!D69</f>
        <v>5.0331260081543636E-2</v>
      </c>
      <c r="C6" s="20"/>
      <c r="D6" s="13"/>
      <c r="E6" s="13"/>
      <c r="F6" s="230"/>
      <c r="G6" s="230"/>
      <c r="H6" s="230"/>
      <c r="I6" s="13"/>
      <c r="J6" s="13"/>
      <c r="K6" s="13"/>
      <c r="L6" s="13"/>
      <c r="M6" s="13"/>
      <c r="N6" s="13"/>
      <c r="O6" s="13"/>
      <c r="P6" s="13"/>
      <c r="Q6" s="72"/>
      <c r="R6">
        <v>2011</v>
      </c>
      <c r="S6"/>
      <c r="T6"/>
      <c r="U6"/>
      <c r="V6"/>
      <c r="W6">
        <v>2011</v>
      </c>
      <c r="X6"/>
      <c r="AB6" s="13">
        <f t="shared" si="0"/>
        <v>3.9987757684899747E-2</v>
      </c>
      <c r="AD6">
        <f t="shared" ref="AD6:AD13" si="5">LN(B6/(65-B6))</f>
        <v>-7.1627415649879795</v>
      </c>
      <c r="AE6" s="33">
        <f t="shared" si="1"/>
        <v>-7.3929538139036666</v>
      </c>
      <c r="AG6">
        <v>2</v>
      </c>
      <c r="AH6" s="13"/>
      <c r="AI6" s="13"/>
      <c r="AJ6" s="13"/>
      <c r="AK6" s="13"/>
      <c r="AS6" s="13">
        <f t="shared" si="2"/>
        <v>0</v>
      </c>
      <c r="AT6" s="13">
        <f t="shared" si="3"/>
        <v>0.89394646536909372</v>
      </c>
      <c r="AU6" s="13">
        <f>'Global EV uptake'!B62</f>
        <v>0.10234351891729328</v>
      </c>
      <c r="AV6" s="3">
        <f t="shared" si="4"/>
        <v>163.64050827689979</v>
      </c>
      <c r="AW6" s="13"/>
      <c r="BD6" s="13"/>
      <c r="BE6">
        <v>2011</v>
      </c>
      <c r="BF6" s="13">
        <f>'Country Petrol Prices'!D14</f>
        <v>160.54695341650657</v>
      </c>
      <c r="BG6" s="13">
        <f>CPIs!D50</f>
        <v>103.51917627340862</v>
      </c>
      <c r="BH6" s="13">
        <f>'Country Vehicle Prices'!D83</f>
        <v>0.88641866599860597</v>
      </c>
    </row>
    <row r="7" spans="1:60">
      <c r="A7">
        <v>2012</v>
      </c>
      <c r="B7" s="13">
        <f>'EV %sales'!D70</f>
        <v>0.18716511620262322</v>
      </c>
      <c r="C7" s="13">
        <f>D7</f>
        <v>8.4399567466143896E-2</v>
      </c>
      <c r="D7" s="84">
        <f>65*EXP(E7)/(1+EXP(E7))</f>
        <v>8.4399567466143896E-2</v>
      </c>
      <c r="E7" s="84">
        <f t="shared" ref="E7:E14" si="6">J7</f>
        <v>-6.6452809734906424</v>
      </c>
      <c r="F7" s="13">
        <f>I7*G7</f>
        <v>0</v>
      </c>
      <c r="G7" s="13">
        <f>IF(H7&lt;0,0,H7)</f>
        <v>0.65269778933691347</v>
      </c>
      <c r="H7" s="13">
        <f>IF((P7-0.6)/0.3&gt;1,1,(P7-0.6)/0.3)</f>
        <v>0.65269778933691347</v>
      </c>
      <c r="I7" s="13">
        <v>0</v>
      </c>
      <c r="J7" s="13">
        <f>LN(L7/(65-L7))</f>
        <v>-6.6452809734906424</v>
      </c>
      <c r="K7" s="13"/>
      <c r="L7" s="84">
        <f t="shared" ref="L7:L8" si="7">M7</f>
        <v>8.4399567466143896E-2</v>
      </c>
      <c r="M7" s="13">
        <f t="shared" ref="M7:M50" si="8">LOOKUP(ROUND(N7,0),A$4:A$50,AB$4:AB$50)</f>
        <v>8.4399567466143896E-2</v>
      </c>
      <c r="N7" s="13">
        <f>A7-(O7-O$7)</f>
        <v>2012</v>
      </c>
      <c r="O7" s="13">
        <f t="shared" ref="O7:O50" si="9">Z$56+Z$57*P7</f>
        <v>2014.677575984035</v>
      </c>
      <c r="P7" s="13">
        <f>1/Belgium!R82</f>
        <v>0.79580933680107402</v>
      </c>
      <c r="Q7" s="72"/>
      <c r="R7">
        <v>2012</v>
      </c>
      <c r="S7" s="13">
        <v>8.4399567466143896E-2</v>
      </c>
      <c r="T7" s="13">
        <v>8.4399567466143896E-2</v>
      </c>
      <c r="U7" s="13">
        <v>8.4399567466143896E-2</v>
      </c>
      <c r="V7"/>
      <c r="W7">
        <v>2012</v>
      </c>
      <c r="X7" s="13">
        <v>8.4399567466143896E-2</v>
      </c>
      <c r="Y7" s="13">
        <f>T7</f>
        <v>8.4399567466143896E-2</v>
      </c>
      <c r="Z7" s="13">
        <v>8.4399567466143896E-2</v>
      </c>
      <c r="AA7" s="12"/>
      <c r="AB7" s="13">
        <f t="shared" si="0"/>
        <v>8.4399567466143896E-2</v>
      </c>
      <c r="AD7">
        <f t="shared" si="5"/>
        <v>-5.8472677303140221</v>
      </c>
      <c r="AE7" s="33">
        <f t="shared" si="1"/>
        <v>-6.6452809734906424</v>
      </c>
      <c r="AG7">
        <v>3</v>
      </c>
      <c r="AH7" s="13"/>
      <c r="AI7" s="13"/>
      <c r="AJ7" s="13"/>
      <c r="AK7" s="13"/>
      <c r="AL7">
        <f>A10+0.7</f>
        <v>2015.7</v>
      </c>
      <c r="AM7" s="12">
        <f t="shared" ref="AM7:AM12" si="10">AL7-A7</f>
        <v>3.7000000000000455</v>
      </c>
      <c r="AS7" s="13">
        <f t="shared" si="2"/>
        <v>0.12706548695930564</v>
      </c>
      <c r="AT7" s="13">
        <f t="shared" si="3"/>
        <v>0.88641866599860597</v>
      </c>
      <c r="AU7" s="13">
        <f>'Global EV uptake'!B63</f>
        <v>0.23522435592921317</v>
      </c>
      <c r="AV7" s="3">
        <f t="shared" si="4"/>
        <v>174.30534416589745</v>
      </c>
      <c r="AW7" s="13"/>
      <c r="BD7" s="13"/>
      <c r="BE7">
        <v>2012</v>
      </c>
      <c r="BF7" s="13">
        <f>'Country Petrol Prices'!D15</f>
        <v>171.09806850350907</v>
      </c>
      <c r="BG7" s="13">
        <f>CPIs!D51</f>
        <v>106.43959352364726</v>
      </c>
      <c r="BH7" s="13">
        <f>'Country Vehicle Prices'!D84</f>
        <v>0.96706461943553501</v>
      </c>
    </row>
    <row r="8" spans="1:60">
      <c r="A8">
        <v>2013</v>
      </c>
      <c r="B8" s="13">
        <f>'EV %sales'!D71</f>
        <v>0.16726158024132573</v>
      </c>
      <c r="C8" s="13">
        <f t="shared" ref="C8:C10" si="11">D8</f>
        <v>0.17800153505072761</v>
      </c>
      <c r="D8" s="84">
        <f t="shared" ref="D8:D50" si="12">65*EXP(E8)/(1+EXP(E8))</f>
        <v>0.17800153505072761</v>
      </c>
      <c r="E8" s="84">
        <f t="shared" si="6"/>
        <v>-5.8976081330776191</v>
      </c>
      <c r="F8" s="13">
        <f t="shared" ref="F8:F50" si="13">I8*G8</f>
        <v>0</v>
      </c>
      <c r="G8" s="13">
        <f t="shared" ref="G8:G50" si="14">IF(H8&lt;0,0,H8)</f>
        <v>1</v>
      </c>
      <c r="H8" s="13">
        <f t="shared" ref="H8:H50" si="15">IF((P8-0.6)/0.3&gt;1,1,(P8-0.6)/0.3)</f>
        <v>1</v>
      </c>
      <c r="I8" s="13">
        <v>0</v>
      </c>
      <c r="J8" s="13">
        <f t="shared" ref="J8:J50" si="16">LN(L8/(65-L8))</f>
        <v>-5.8976081330776191</v>
      </c>
      <c r="K8" s="13"/>
      <c r="L8" s="84">
        <f t="shared" si="7"/>
        <v>0.17800153505072761</v>
      </c>
      <c r="M8" s="13">
        <f t="shared" si="8"/>
        <v>0.17800153505072761</v>
      </c>
      <c r="N8" s="13">
        <f t="shared" ref="N8:N50" si="17">A8-(O8-O$8)</f>
        <v>2013</v>
      </c>
      <c r="O8" s="13">
        <f t="shared" si="9"/>
        <v>2016.5684756928622</v>
      </c>
      <c r="P8" s="13">
        <f>1/Belgium!R83</f>
        <v>0.97115396979541568</v>
      </c>
      <c r="Q8" s="72"/>
      <c r="R8">
        <v>2013</v>
      </c>
      <c r="S8" s="13">
        <v>0.17800153505072761</v>
      </c>
      <c r="T8" s="13">
        <v>0.17800153505072761</v>
      </c>
      <c r="U8" s="13">
        <v>0.17800153505072761</v>
      </c>
      <c r="V8"/>
      <c r="W8">
        <v>2013</v>
      </c>
      <c r="X8" s="13">
        <v>0.17800153505072761</v>
      </c>
      <c r="Y8" s="13">
        <f t="shared" ref="Y8:Y45" si="18">T8</f>
        <v>0.17800153505072761</v>
      </c>
      <c r="Z8" s="13">
        <v>0.17800153505072761</v>
      </c>
      <c r="AA8" s="12"/>
      <c r="AB8" s="13">
        <f t="shared" si="0"/>
        <v>0.17800153505072761</v>
      </c>
      <c r="AD8" s="14">
        <f t="shared" si="5"/>
        <v>-5.9600070415630881</v>
      </c>
      <c r="AE8" s="33">
        <f t="shared" si="1"/>
        <v>-5.8976081330776191</v>
      </c>
      <c r="AG8">
        <v>4</v>
      </c>
      <c r="AH8" s="13"/>
      <c r="AI8" s="13"/>
      <c r="AJ8" s="13"/>
      <c r="AK8" s="13"/>
      <c r="AL8">
        <f>A10+0.5</f>
        <v>2015.5</v>
      </c>
      <c r="AM8" s="12">
        <f t="shared" si="10"/>
        <v>2.5</v>
      </c>
      <c r="AS8" s="13">
        <f t="shared" si="2"/>
        <v>0.28867276561221344</v>
      </c>
      <c r="AT8" s="13">
        <f t="shared" si="3"/>
        <v>0.96706461943553501</v>
      </c>
      <c r="AU8" s="13">
        <f>'Global EV uptake'!B64</f>
        <v>0.38403986642724675</v>
      </c>
      <c r="AV8" s="3">
        <f t="shared" si="4"/>
        <v>180.66388333578996</v>
      </c>
      <c r="AW8" s="13"/>
      <c r="AY8" s="41" t="s">
        <v>159</v>
      </c>
      <c r="AZ8" s="41">
        <v>1.2362159801564596</v>
      </c>
      <c r="BD8" s="13"/>
      <c r="BE8">
        <v>2013</v>
      </c>
      <c r="BF8" s="13">
        <f>'Country Petrol Prices'!D16</f>
        <v>164.44652573944541</v>
      </c>
      <c r="BG8" s="13">
        <f>CPIs!D52</f>
        <v>107.69401601706502</v>
      </c>
      <c r="BH8" s="13">
        <f>'Country Vehicle Prices'!D85</f>
        <v>1.1739578676154765</v>
      </c>
    </row>
    <row r="9" spans="1:60">
      <c r="A9">
        <v>2014</v>
      </c>
      <c r="B9" s="13">
        <f>'EV %sales'!D72</f>
        <v>0.41847935246480406</v>
      </c>
      <c r="C9" s="13">
        <f t="shared" si="11"/>
        <v>0.40271582726249378</v>
      </c>
      <c r="D9" s="84">
        <f t="shared" si="12"/>
        <v>0.40271582726249378</v>
      </c>
      <c r="E9" s="84">
        <f t="shared" si="6"/>
        <v>-5.0776964782702736</v>
      </c>
      <c r="F9" s="13">
        <f t="shared" si="13"/>
        <v>0</v>
      </c>
      <c r="G9" s="13">
        <f t="shared" si="14"/>
        <v>1</v>
      </c>
      <c r="H9" s="13">
        <f t="shared" si="15"/>
        <v>1</v>
      </c>
      <c r="I9" s="13">
        <v>0</v>
      </c>
      <c r="J9" s="13">
        <f t="shared" si="16"/>
        <v>-5.0776964782702736</v>
      </c>
      <c r="K9" s="13"/>
      <c r="L9" s="84">
        <f>AVERAGE(M7:M11)</f>
        <v>0.40271582726249378</v>
      </c>
      <c r="M9" s="13">
        <f t="shared" si="8"/>
        <v>0.17800153505072761</v>
      </c>
      <c r="N9" s="13">
        <f t="shared" si="17"/>
        <v>2012.9452014254423</v>
      </c>
      <c r="O9" s="13">
        <f t="shared" si="9"/>
        <v>2017.6232742674199</v>
      </c>
      <c r="P9" s="13">
        <f>1/Belgium!R84</f>
        <v>1.0689662800281583</v>
      </c>
      <c r="Q9" s="72"/>
      <c r="R9">
        <v>2014</v>
      </c>
      <c r="S9" s="13">
        <v>0.40271582726249378</v>
      </c>
      <c r="T9" s="13">
        <v>0.40271582726249378</v>
      </c>
      <c r="U9" s="13">
        <v>0.40271582726249378</v>
      </c>
      <c r="V9"/>
      <c r="W9">
        <v>2014</v>
      </c>
      <c r="X9" s="13">
        <v>0.40271582726249378</v>
      </c>
      <c r="Y9" s="13">
        <f t="shared" si="18"/>
        <v>0.40271582726249378</v>
      </c>
      <c r="Z9" s="13">
        <v>0.40271582726249378</v>
      </c>
      <c r="AA9" s="12"/>
      <c r="AB9" s="13">
        <f t="shared" si="0"/>
        <v>0.37481187378520425</v>
      </c>
      <c r="AD9" s="14">
        <f t="shared" si="5"/>
        <v>-5.0390560390498269</v>
      </c>
      <c r="AE9" s="33">
        <f t="shared" si="1"/>
        <v>-5.1499352926645958</v>
      </c>
      <c r="AG9">
        <v>5</v>
      </c>
      <c r="AH9" s="13"/>
      <c r="AI9" s="13"/>
      <c r="AJ9" s="13"/>
      <c r="AK9" s="13"/>
      <c r="AL9">
        <f>A12+0.3</f>
        <v>2017.3</v>
      </c>
      <c r="AM9" s="12">
        <f t="shared" si="10"/>
        <v>3.2999999999999545</v>
      </c>
      <c r="AS9" s="13">
        <f t="shared" si="2"/>
        <v>0.30491132326701043</v>
      </c>
      <c r="AT9" s="13">
        <f t="shared" si="3"/>
        <v>1.1739578676154765</v>
      </c>
      <c r="AU9" s="13">
        <f>'Global EV uptake'!B65</f>
        <v>0.57247293705754376</v>
      </c>
      <c r="AV9" s="3">
        <f t="shared" si="4"/>
        <v>171.61789532594679</v>
      </c>
      <c r="AW9" s="13"/>
      <c r="AY9" t="s">
        <v>829</v>
      </c>
      <c r="AZ9" s="41">
        <v>-1.798011810337812</v>
      </c>
      <c r="BD9" s="13"/>
      <c r="BE9">
        <v>2014</v>
      </c>
      <c r="BF9" s="13">
        <f>'Country Petrol Prices'!D17</f>
        <v>159.47839261960573</v>
      </c>
      <c r="BG9" s="13">
        <f>CPIs!D53</f>
        <v>108.09323022286429</v>
      </c>
      <c r="BH9" s="13">
        <f>'Country Vehicle Prices'!D86</f>
        <v>1.2804856294079321</v>
      </c>
    </row>
    <row r="10" spans="1:60" ht="15.75" thickBot="1">
      <c r="A10">
        <v>2015</v>
      </c>
      <c r="B10" s="13">
        <f>'EV %sales'!D73</f>
        <v>0.76017929773722437</v>
      </c>
      <c r="C10" s="13">
        <f t="shared" si="11"/>
        <v>0.71369107587336666</v>
      </c>
      <c r="D10" s="84">
        <f t="shared" si="12"/>
        <v>0.71369107587336666</v>
      </c>
      <c r="E10" s="84">
        <f t="shared" si="6"/>
        <v>-4.5006517607110137</v>
      </c>
      <c r="F10" s="13">
        <f t="shared" si="13"/>
        <v>0</v>
      </c>
      <c r="G10" s="13">
        <f t="shared" si="14"/>
        <v>1</v>
      </c>
      <c r="H10" s="13">
        <f t="shared" si="15"/>
        <v>1</v>
      </c>
      <c r="I10" s="13">
        <v>0</v>
      </c>
      <c r="J10" s="13">
        <f t="shared" si="16"/>
        <v>-4.5006517607110137</v>
      </c>
      <c r="K10" s="13"/>
      <c r="L10" s="84">
        <f>AVERAGE(M8:M12)</f>
        <v>0.71369107587336666</v>
      </c>
      <c r="M10" s="13">
        <f t="shared" si="8"/>
        <v>0.78658824937243477</v>
      </c>
      <c r="N10" s="13">
        <f t="shared" si="17"/>
        <v>2014.5766222351444</v>
      </c>
      <c r="O10" s="13">
        <f t="shared" si="9"/>
        <v>2016.9918534577178</v>
      </c>
      <c r="P10" s="13">
        <f>1/Belgium!R85</f>
        <v>1.0104141264552384</v>
      </c>
      <c r="Q10" s="72"/>
      <c r="R10">
        <v>2015</v>
      </c>
      <c r="S10" s="13">
        <v>0.71369107587336666</v>
      </c>
      <c r="T10" s="13">
        <v>0.71369107587336666</v>
      </c>
      <c r="U10" s="13">
        <v>0.71369107587336666</v>
      </c>
      <c r="V10"/>
      <c r="W10">
        <v>2015</v>
      </c>
      <c r="X10" s="13">
        <v>0.71369107587336666</v>
      </c>
      <c r="Y10" s="13">
        <f t="shared" si="18"/>
        <v>0.71369107587336666</v>
      </c>
      <c r="Z10" s="13">
        <v>0.71369107587336666</v>
      </c>
      <c r="AA10" s="12"/>
      <c r="AB10" s="13">
        <f t="shared" si="0"/>
        <v>0.78658824937243477</v>
      </c>
      <c r="AD10" s="14">
        <f t="shared" si="5"/>
        <v>-4.4368242340247024</v>
      </c>
      <c r="AE10" s="33">
        <f t="shared" si="1"/>
        <v>-4.4022624522515716</v>
      </c>
      <c r="AG10">
        <v>6</v>
      </c>
      <c r="AH10" s="13"/>
      <c r="AI10" s="13"/>
      <c r="AJ10" s="13"/>
      <c r="AK10" s="13"/>
      <c r="AL10">
        <f>A13+0.3</f>
        <v>2018.3</v>
      </c>
      <c r="AM10" s="12">
        <f t="shared" si="10"/>
        <v>3.2999999999999545</v>
      </c>
      <c r="AS10" s="13">
        <f t="shared" si="2"/>
        <v>0.79329372011700006</v>
      </c>
      <c r="AT10" s="13">
        <f t="shared" si="3"/>
        <v>1.2804856294079321</v>
      </c>
      <c r="AU10" s="13">
        <f>'Global EV uptake'!B66</f>
        <v>0.90247796151091464</v>
      </c>
      <c r="AV10" s="3">
        <f t="shared" si="4"/>
        <v>165.81842890283943</v>
      </c>
      <c r="AW10" s="13"/>
      <c r="AY10" t="s">
        <v>896</v>
      </c>
      <c r="AZ10" s="42">
        <v>2.060333995847234</v>
      </c>
      <c r="BD10" s="13"/>
      <c r="BE10">
        <v>2015</v>
      </c>
      <c r="BF10" s="13">
        <f>'Country Petrol Prices'!D18</f>
        <v>141.97159842006877</v>
      </c>
      <c r="BG10" s="13">
        <f>CPIs!D54</f>
        <v>108.69010630369141</v>
      </c>
      <c r="BH10" s="13">
        <f>'Country Vehicle Prices'!D87</f>
        <v>1.156789584484412</v>
      </c>
    </row>
    <row r="11" spans="1:60" ht="15.75" thickBot="1">
      <c r="A11">
        <v>2016</v>
      </c>
      <c r="B11" s="13">
        <f>'EV %sales'!D74</f>
        <v>1.6171812299474162</v>
      </c>
      <c r="C11" s="13">
        <f t="shared" ref="C11:C15" si="19">AVERAGE(D9:D13)</f>
        <v>1.1926559312137441</v>
      </c>
      <c r="D11" s="84">
        <f>65*EXP(E11)/(1+EXP(E11))</f>
        <v>1.0059459309673224</v>
      </c>
      <c r="E11" s="84">
        <f t="shared" si="6"/>
        <v>-4.1528618501925623</v>
      </c>
      <c r="F11" s="13">
        <f t="shared" si="13"/>
        <v>0</v>
      </c>
      <c r="G11" s="13">
        <f t="shared" si="14"/>
        <v>1</v>
      </c>
      <c r="H11" s="13">
        <f t="shared" si="15"/>
        <v>1</v>
      </c>
      <c r="I11" s="13">
        <v>0</v>
      </c>
      <c r="J11" s="13">
        <f>LN(L11/(65-L11))</f>
        <v>-4.1528618501925623</v>
      </c>
      <c r="K11" s="13"/>
      <c r="L11" s="84">
        <f t="shared" ref="L11" si="20">AVERAGE(M9:M13)</f>
        <v>1.0059459309673229</v>
      </c>
      <c r="M11" s="13">
        <f t="shared" si="8"/>
        <v>0.78658824937243477</v>
      </c>
      <c r="N11" s="13">
        <f t="shared" si="17"/>
        <v>2015.0154510157092</v>
      </c>
      <c r="O11" s="13">
        <f t="shared" si="9"/>
        <v>2017.553024677153</v>
      </c>
      <c r="P11" s="13">
        <f>1/Belgium!R86</f>
        <v>1.0624519796843104</v>
      </c>
      <c r="Q11" s="72"/>
      <c r="R11">
        <v>2016</v>
      </c>
      <c r="S11" s="13">
        <v>1.4229024246185866</v>
      </c>
      <c r="T11" s="13">
        <v>1.1926559312137441</v>
      </c>
      <c r="U11" s="13">
        <v>1.0741268113588174</v>
      </c>
      <c r="V11"/>
      <c r="W11">
        <v>2016</v>
      </c>
      <c r="X11" s="13">
        <v>1.0741268113588174</v>
      </c>
      <c r="Y11" s="13">
        <f t="shared" si="18"/>
        <v>1.1926559312137441</v>
      </c>
      <c r="Z11" s="13">
        <v>1.4229024246185866</v>
      </c>
      <c r="AA11" s="12"/>
      <c r="AB11" s="13">
        <f t="shared" si="0"/>
        <v>1.6392758105205087</v>
      </c>
      <c r="AD11" s="14">
        <f t="shared" si="5"/>
        <v>-3.6685081751947179</v>
      </c>
      <c r="AE11" s="33">
        <f t="shared" si="1"/>
        <v>-3.6545896118385484</v>
      </c>
      <c r="AG11">
        <v>7</v>
      </c>
      <c r="AH11" s="13"/>
      <c r="AI11" s="13"/>
      <c r="AJ11" s="13"/>
      <c r="AK11" s="13"/>
      <c r="AL11">
        <f>A15</f>
        <v>2020</v>
      </c>
      <c r="AM11" s="12">
        <f t="shared" si="10"/>
        <v>4</v>
      </c>
      <c r="AS11" s="13">
        <f t="shared" si="2"/>
        <v>1.4973257242070934</v>
      </c>
      <c r="AT11" s="13">
        <f t="shared" si="3"/>
        <v>1.156789584484412</v>
      </c>
      <c r="AU11" s="13">
        <f>'Global EV uptake'!B67</f>
        <v>1.1362386310898671</v>
      </c>
      <c r="AV11" s="3">
        <f t="shared" si="4"/>
        <v>146.8050177933026</v>
      </c>
      <c r="AW11" s="13"/>
      <c r="AZ11" s="42"/>
      <c r="BD11" s="13"/>
      <c r="BE11">
        <v>2016</v>
      </c>
      <c r="BF11" s="13">
        <f>'Country Petrol Prices'!D19</f>
        <v>131.31620552859354</v>
      </c>
      <c r="BG11" s="13">
        <f>CPIs!D55</f>
        <v>110.64230965151904</v>
      </c>
      <c r="BH11" s="13">
        <f>'Country Vehicle Prices'!D88</f>
        <v>1.2007923001061624</v>
      </c>
    </row>
    <row r="12" spans="1:60" ht="15.75" thickBot="1">
      <c r="A12">
        <v>2017</v>
      </c>
      <c r="B12" s="13">
        <f>'EV %sales'!D75</f>
        <v>2.5607529301556289</v>
      </c>
      <c r="C12" s="13">
        <f>AVERAGE(D10:D14)</f>
        <v>2.0222454368261653</v>
      </c>
      <c r="D12" s="84">
        <f t="shared" si="12"/>
        <v>1.6807686578542376</v>
      </c>
      <c r="E12" s="84">
        <f t="shared" si="6"/>
        <v>-3.6289378724652863</v>
      </c>
      <c r="F12" s="13">
        <f t="shared" si="13"/>
        <v>0</v>
      </c>
      <c r="G12" s="13">
        <f t="shared" si="14"/>
        <v>1</v>
      </c>
      <c r="H12" s="13">
        <f t="shared" si="15"/>
        <v>1</v>
      </c>
      <c r="I12" s="13">
        <v>0</v>
      </c>
      <c r="J12" s="13">
        <f t="shared" si="16"/>
        <v>-3.6289378724652863</v>
      </c>
      <c r="K12" s="13"/>
      <c r="L12" s="84">
        <f>AVERAGE(M9:M15)</f>
        <v>1.6807686578542378</v>
      </c>
      <c r="M12" s="13">
        <f t="shared" si="8"/>
        <v>1.6392758105205087</v>
      </c>
      <c r="N12" s="13">
        <f t="shared" si="17"/>
        <v>2015.7260098211486</v>
      </c>
      <c r="O12" s="13">
        <f t="shared" si="9"/>
        <v>2017.8424658717136</v>
      </c>
      <c r="P12" s="13">
        <f>1/Belgium!R87</f>
        <v>1.0892920917202649</v>
      </c>
      <c r="Q12" s="72"/>
      <c r="R12">
        <v>2017</v>
      </c>
      <c r="S12" s="13">
        <v>2.3868023847171655</v>
      </c>
      <c r="T12" s="13">
        <v>2.0222454368261653</v>
      </c>
      <c r="U12" s="13">
        <v>1.5940332356606597</v>
      </c>
      <c r="V12"/>
      <c r="W12">
        <v>2017</v>
      </c>
      <c r="X12" s="13">
        <v>1.5940332356606597</v>
      </c>
      <c r="Y12" s="13">
        <f t="shared" si="18"/>
        <v>2.0222454368261653</v>
      </c>
      <c r="Z12" s="13">
        <v>2.7608854336835056</v>
      </c>
      <c r="AA12" s="12"/>
      <c r="AB12" s="13">
        <f t="shared" si="0"/>
        <v>3.3678254750715246</v>
      </c>
      <c r="AD12" s="259">
        <f t="shared" si="5"/>
        <v>-3.193892708525254</v>
      </c>
      <c r="AE12" s="33">
        <f t="shared" si="1"/>
        <v>-2.9069167714255251</v>
      </c>
      <c r="AG12">
        <v>8</v>
      </c>
      <c r="AH12" s="13"/>
      <c r="AI12" s="13"/>
      <c r="AJ12" s="13"/>
      <c r="AK12" s="13"/>
      <c r="AL12">
        <f>A16</f>
        <v>2021</v>
      </c>
      <c r="AM12" s="12">
        <f t="shared" si="10"/>
        <v>4</v>
      </c>
      <c r="AS12" s="13">
        <f t="shared" si="2"/>
        <v>2.5042375663561716</v>
      </c>
      <c r="AT12" s="13">
        <f t="shared" si="3"/>
        <v>1.2007923001061624</v>
      </c>
      <c r="AU12" s="13">
        <f>'Global EV uptake'!B68</f>
        <v>1.6633518305579627</v>
      </c>
      <c r="AV12" s="3">
        <f t="shared" si="4"/>
        <v>133.39100157594532</v>
      </c>
      <c r="AW12" s="13"/>
      <c r="AZ12" s="42"/>
      <c r="BD12" s="13"/>
      <c r="BE12">
        <v>2017</v>
      </c>
      <c r="BF12" s="13">
        <f>'Country Petrol Prices'!D20</f>
        <v>140.37086541124975</v>
      </c>
      <c r="BG12" s="13">
        <f>CPIs!D56</f>
        <v>112.39045814401305</v>
      </c>
      <c r="BH12" s="13">
        <f>'Country Vehicle Prices'!D89</f>
        <v>1.2412060165550893</v>
      </c>
    </row>
    <row r="13" spans="1:60">
      <c r="A13">
        <v>2018</v>
      </c>
      <c r="B13" s="13">
        <f>'EV %sales'!D76</f>
        <v>3.2541572634408542</v>
      </c>
      <c r="C13" s="13">
        <f>AVERAGE(D11:D15)</f>
        <v>2.9105026776402227</v>
      </c>
      <c r="D13" s="84">
        <f t="shared" si="12"/>
        <v>2.1601581641113001</v>
      </c>
      <c r="E13" s="84">
        <f t="shared" si="6"/>
        <v>-3.3704078533096711</v>
      </c>
      <c r="F13" s="13">
        <f t="shared" si="13"/>
        <v>0</v>
      </c>
      <c r="G13" s="13">
        <f t="shared" si="14"/>
        <v>1</v>
      </c>
      <c r="H13" s="13">
        <f t="shared" si="15"/>
        <v>1</v>
      </c>
      <c r="I13" s="13">
        <v>0</v>
      </c>
      <c r="J13" s="13">
        <f t="shared" si="16"/>
        <v>-3.3704078533096711</v>
      </c>
      <c r="K13" s="13"/>
      <c r="L13" s="84">
        <f>AVERAGE(M11:M15)</f>
        <v>2.1601581641113006</v>
      </c>
      <c r="M13" s="13">
        <f t="shared" si="8"/>
        <v>1.6392758105205087</v>
      </c>
      <c r="N13" s="13">
        <f t="shared" si="17"/>
        <v>2016.2225394349264</v>
      </c>
      <c r="O13" s="13">
        <f t="shared" si="9"/>
        <v>2018.3459362579358</v>
      </c>
      <c r="P13" s="13">
        <f>1/Belgium!R88</f>
        <v>1.1359793008215968</v>
      </c>
      <c r="Q13" s="72"/>
      <c r="R13">
        <v>2018</v>
      </c>
      <c r="S13" s="13">
        <v>3.6770645499270977</v>
      </c>
      <c r="T13" s="13">
        <v>2.9105026776402227</v>
      </c>
      <c r="U13" s="13">
        <v>2.2414918866412723</v>
      </c>
      <c r="V13"/>
      <c r="W13">
        <v>2018</v>
      </c>
      <c r="X13" s="13">
        <v>2.056540835349252</v>
      </c>
      <c r="Y13" s="13">
        <f t="shared" si="18"/>
        <v>2.9105026776402227</v>
      </c>
      <c r="Z13" s="13">
        <v>4.7382588306713345</v>
      </c>
      <c r="AA13" s="12"/>
      <c r="AB13" s="13">
        <f t="shared" si="0"/>
        <v>6.7255868372254772</v>
      </c>
      <c r="AC13" s="13"/>
      <c r="AD13" s="259">
        <f t="shared" si="5"/>
        <v>-2.9430933122395326</v>
      </c>
      <c r="AE13" s="33">
        <f t="shared" si="1"/>
        <v>-2.1592439310125018</v>
      </c>
      <c r="AG13">
        <v>9</v>
      </c>
      <c r="AH13" s="13"/>
      <c r="AI13" s="13"/>
      <c r="AJ13" s="13"/>
      <c r="AK13" s="13"/>
      <c r="AS13" s="13">
        <f t="shared" si="2"/>
        <v>4.8376619069746951</v>
      </c>
      <c r="AT13" s="13">
        <f t="shared" si="3"/>
        <v>1.2412060165550893</v>
      </c>
      <c r="AU13" s="13">
        <f>'Global EV uptake'!C69</f>
        <v>2.8311667018084488</v>
      </c>
      <c r="AV13" s="3">
        <f t="shared" si="4"/>
        <v>140.37086541124975</v>
      </c>
      <c r="AW13" s="13"/>
      <c r="AZ13" s="41"/>
      <c r="BD13" s="13"/>
      <c r="BE13">
        <v>2018</v>
      </c>
      <c r="BF13" s="13"/>
      <c r="BH13" s="13">
        <f>'Country Vehicle Prices'!D90</f>
        <v>1.3081559980232338</v>
      </c>
    </row>
    <row r="14" spans="1:60">
      <c r="A14">
        <v>2019</v>
      </c>
      <c r="B14" s="13"/>
      <c r="C14" s="13">
        <f t="shared" si="19"/>
        <v>4.2993095302947566</v>
      </c>
      <c r="D14" s="84">
        <f>65*EXP(E14)/(1+EXP(E14))</f>
        <v>4.5506633553245992</v>
      </c>
      <c r="E14" s="84">
        <f t="shared" si="6"/>
        <v>-2.586532588665448</v>
      </c>
      <c r="F14" s="13">
        <f t="shared" si="13"/>
        <v>0</v>
      </c>
      <c r="G14" s="13">
        <f t="shared" si="14"/>
        <v>1</v>
      </c>
      <c r="H14" s="13">
        <f t="shared" si="15"/>
        <v>1</v>
      </c>
      <c r="I14" s="13">
        <v>0</v>
      </c>
      <c r="J14" s="13">
        <f t="shared" si="16"/>
        <v>-2.586532588665448</v>
      </c>
      <c r="K14" s="13"/>
      <c r="L14" s="84">
        <f t="shared" ref="L14:L48" si="21">AVERAGE(M12:M16)</f>
        <v>4.5506633553245992</v>
      </c>
      <c r="M14" s="13">
        <f t="shared" si="8"/>
        <v>3.3678254750715246</v>
      </c>
      <c r="N14" s="13">
        <f t="shared" si="17"/>
        <v>2016.540610580297</v>
      </c>
      <c r="O14" s="13">
        <f t="shared" si="9"/>
        <v>2019.0278651125652</v>
      </c>
      <c r="P14" s="13">
        <f>1/Belgium!R89</f>
        <v>1.1992151055472842</v>
      </c>
      <c r="Q14" s="72"/>
      <c r="R14">
        <v>2019</v>
      </c>
      <c r="S14" s="13">
        <v>5.4095329760054565</v>
      </c>
      <c r="T14" s="13">
        <v>4.2993095302947566</v>
      </c>
      <c r="U14" s="13">
        <v>3.1281226440036063</v>
      </c>
      <c r="V14"/>
      <c r="W14">
        <v>2019</v>
      </c>
      <c r="X14" s="13">
        <v>2.5678409500703268</v>
      </c>
      <c r="Y14" s="13">
        <f t="shared" si="18"/>
        <v>4.2993095302947566</v>
      </c>
      <c r="Z14" s="13">
        <v>7.4165393149831917</v>
      </c>
      <c r="AA14" s="12"/>
      <c r="AB14" s="13">
        <f t="shared" si="0"/>
        <v>12.739114205438929</v>
      </c>
      <c r="AE14" s="33">
        <f t="shared" si="1"/>
        <v>-1.4115710905994785</v>
      </c>
      <c r="AG14">
        <v>10</v>
      </c>
      <c r="AH14" s="13"/>
      <c r="AI14" s="13"/>
      <c r="AJ14" s="13"/>
      <c r="AK14" s="13"/>
      <c r="AS14" s="13">
        <f t="shared" si="2"/>
        <v>8.4971256411626186</v>
      </c>
      <c r="AT14" s="13">
        <f t="shared" si="3"/>
        <v>1.3081559980232338</v>
      </c>
      <c r="AU14" s="13">
        <f>'Global EV uptake'!C70</f>
        <v>4.6657433283108087</v>
      </c>
      <c r="AV14" s="3">
        <v>140</v>
      </c>
      <c r="AW14" s="13"/>
      <c r="AZ14" s="41"/>
      <c r="BD14" s="13"/>
      <c r="BE14">
        <v>2019</v>
      </c>
      <c r="BH14" s="13">
        <f>'Country Vehicle Prices'!D91</f>
        <v>1.3756754638644819</v>
      </c>
    </row>
    <row r="15" spans="1:60">
      <c r="A15">
        <v>2020</v>
      </c>
      <c r="B15" s="13"/>
      <c r="C15" s="13">
        <f t="shared" si="19"/>
        <v>6.1235588751700103</v>
      </c>
      <c r="D15" s="84">
        <f>65*EXP(E15)/(1+EXP(E15))</f>
        <v>5.1549772799436555</v>
      </c>
      <c r="E15" s="84">
        <f>J15-SUM(F$7:F15)</f>
        <v>-2.4517955558968292</v>
      </c>
      <c r="F15" s="13">
        <f t="shared" si="13"/>
        <v>0.3</v>
      </c>
      <c r="G15" s="13">
        <f t="shared" si="14"/>
        <v>1</v>
      </c>
      <c r="H15" s="13">
        <f t="shared" si="15"/>
        <v>1</v>
      </c>
      <c r="I15" s="231">
        <v>0.3</v>
      </c>
      <c r="J15" s="13">
        <f t="shared" si="16"/>
        <v>-2.1517955558968294</v>
      </c>
      <c r="K15" s="13"/>
      <c r="L15" s="84">
        <f t="shared" si="21"/>
        <v>6.7706310343082832</v>
      </c>
      <c r="M15" s="13">
        <f t="shared" si="8"/>
        <v>3.3678254750715246</v>
      </c>
      <c r="N15" s="13">
        <f t="shared" si="17"/>
        <v>2017.2172232767775</v>
      </c>
      <c r="O15" s="13">
        <f t="shared" si="9"/>
        <v>2019.3512524160847</v>
      </c>
      <c r="P15" s="13">
        <f>1/Belgium!R90</f>
        <v>1.2292030672492933</v>
      </c>
      <c r="Q15" s="72"/>
      <c r="R15">
        <v>2020</v>
      </c>
      <c r="S15" s="13">
        <v>7.4649380482264487</v>
      </c>
      <c r="T15" s="13">
        <v>6.1235588751700103</v>
      </c>
      <c r="U15" s="13">
        <v>4.5749897638403851</v>
      </c>
      <c r="V15"/>
      <c r="W15">
        <v>2020</v>
      </c>
      <c r="X15" s="13">
        <v>3.1956639140415417</v>
      </c>
      <c r="Y15" s="13">
        <f t="shared" si="18"/>
        <v>6.1235588751700103</v>
      </c>
      <c r="Z15" s="13">
        <v>10.856968111786975</v>
      </c>
      <c r="AA15" s="12"/>
      <c r="AB15" s="13">
        <f t="shared" si="0"/>
        <v>22.091190429597429</v>
      </c>
      <c r="AE15" s="33">
        <f t="shared" si="1"/>
        <v>-0.66389825018645432</v>
      </c>
      <c r="AG15">
        <v>11</v>
      </c>
      <c r="AH15" s="13"/>
      <c r="AI15" s="13"/>
      <c r="AJ15" s="13"/>
      <c r="AK15" s="13"/>
      <c r="AS15" s="13">
        <f t="shared" si="2"/>
        <v>13.45529530477743</v>
      </c>
      <c r="AT15" s="13">
        <f t="shared" si="3"/>
        <v>1.3756754638644819</v>
      </c>
      <c r="AU15" s="13">
        <f>'Global EV uptake'!C71</f>
        <v>7.1311545047818807</v>
      </c>
      <c r="AV15" s="3">
        <v>140</v>
      </c>
      <c r="AW15" s="13"/>
      <c r="AZ15" s="41"/>
      <c r="BD15" s="13"/>
      <c r="BE15">
        <v>2020</v>
      </c>
      <c r="BH15" s="13">
        <f>'Country Vehicle Prices'!D92</f>
        <v>1.4085097065140322</v>
      </c>
    </row>
    <row r="16" spans="1:60">
      <c r="A16">
        <v>2021</v>
      </c>
      <c r="B16" s="13"/>
      <c r="C16" s="13">
        <f>AVERAGE(D13:D19)</f>
        <v>8.9369762499681951</v>
      </c>
      <c r="D16" s="84">
        <f t="shared" si="12"/>
        <v>7.9499801942399895</v>
      </c>
      <c r="E16" s="84">
        <f>J16-SUM(F$7:F16)</f>
        <v>-1.9707589861003978</v>
      </c>
      <c r="F16" s="13">
        <f t="shared" si="13"/>
        <v>0.30499999999999999</v>
      </c>
      <c r="G16" s="13">
        <f t="shared" si="14"/>
        <v>1</v>
      </c>
      <c r="H16" s="13">
        <f t="shared" si="15"/>
        <v>1</v>
      </c>
      <c r="I16" s="20">
        <f>I15+(I35-I15)/20</f>
        <v>0.30499999999999999</v>
      </c>
      <c r="J16" s="13">
        <f t="shared" si="16"/>
        <v>-1.3657589861003978</v>
      </c>
      <c r="K16" s="13"/>
      <c r="L16" s="84">
        <f t="shared" si="21"/>
        <v>13.214884166924961</v>
      </c>
      <c r="M16" s="13">
        <f t="shared" si="8"/>
        <v>12.739114205438929</v>
      </c>
      <c r="N16" s="13">
        <f t="shared" si="17"/>
        <v>2018.5797413244009</v>
      </c>
      <c r="O16" s="13">
        <f t="shared" si="9"/>
        <v>2018.9887343684613</v>
      </c>
      <c r="P16" s="13">
        <f>1/Belgium!R91</f>
        <v>1.1955864805431871</v>
      </c>
      <c r="Q16" s="72"/>
      <c r="R16">
        <v>2021</v>
      </c>
      <c r="S16" s="13">
        <v>10.585454769700704</v>
      </c>
      <c r="T16" s="13">
        <v>8.9369762499681951</v>
      </c>
      <c r="U16" s="13">
        <v>7.1663577995227739</v>
      </c>
      <c r="V16"/>
      <c r="W16">
        <v>2021</v>
      </c>
      <c r="X16" s="13">
        <v>4.1526735767513019</v>
      </c>
      <c r="Y16" s="13">
        <f t="shared" si="18"/>
        <v>8.9369762499681951</v>
      </c>
      <c r="Z16" s="13">
        <v>15.846838842093375</v>
      </c>
      <c r="AA16" s="12"/>
      <c r="AB16" s="13">
        <f t="shared" si="0"/>
        <v>33.860541473603895</v>
      </c>
      <c r="AE16" s="33">
        <f t="shared" si="1"/>
        <v>8.3774590226569856E-2</v>
      </c>
      <c r="AG16">
        <v>12</v>
      </c>
      <c r="AH16" s="13"/>
      <c r="AI16" s="13"/>
      <c r="AJ16" s="13"/>
      <c r="AK16" s="13"/>
      <c r="AS16" s="13">
        <f t="shared" si="2"/>
        <v>20.973988488487073</v>
      </c>
      <c r="AT16" s="13">
        <f t="shared" si="3"/>
        <v>1.4085097065140322</v>
      </c>
      <c r="AU16" s="13">
        <f>'Global EV uptake'!C72</f>
        <v>10.80906767568065</v>
      </c>
      <c r="AV16" s="3">
        <v>140</v>
      </c>
      <c r="AW16" s="13"/>
      <c r="AZ16" s="41"/>
      <c r="BD16" s="13"/>
      <c r="BE16">
        <v>2021</v>
      </c>
      <c r="BH16" s="13">
        <f>'Country Vehicle Prices'!D93</f>
        <v>1.3746316943258903</v>
      </c>
    </row>
    <row r="17" spans="1:60">
      <c r="A17">
        <v>2022</v>
      </c>
      <c r="B17" s="13"/>
      <c r="C17" s="13">
        <f t="shared" ref="C17:C49" si="22">AVERAGE(D14:D20)</f>
        <v>12.107574473266308</v>
      </c>
      <c r="D17" s="84">
        <f t="shared" si="12"/>
        <v>10.802015382230504</v>
      </c>
      <c r="E17" s="84">
        <f>J17-SUM(F$7:F17)</f>
        <v>-1.6129109973936766</v>
      </c>
      <c r="F17" s="13">
        <f t="shared" si="13"/>
        <v>0.31</v>
      </c>
      <c r="G17" s="13">
        <f t="shared" si="14"/>
        <v>1</v>
      </c>
      <c r="H17" s="13">
        <f t="shared" si="15"/>
        <v>1</v>
      </c>
      <c r="I17" s="20">
        <f>I16+(I35-I15)/20</f>
        <v>0.31</v>
      </c>
      <c r="J17" s="13">
        <f t="shared" si="16"/>
        <v>-0.69791099739367657</v>
      </c>
      <c r="K17" s="13"/>
      <c r="L17" s="84">
        <f>AVERAGE(M15:M19)</f>
        <v>21.597910699236166</v>
      </c>
      <c r="M17" s="13">
        <f t="shared" si="8"/>
        <v>12.739114205438929</v>
      </c>
      <c r="N17" s="13">
        <f t="shared" si="17"/>
        <v>2019.4297761054961</v>
      </c>
      <c r="O17" s="13">
        <f t="shared" si="9"/>
        <v>2019.1386995873661</v>
      </c>
      <c r="P17" s="13">
        <f>1/Belgium!R92</f>
        <v>1.2094928744931206</v>
      </c>
      <c r="Q17" s="72"/>
      <c r="R17">
        <v>2022</v>
      </c>
      <c r="S17" s="13">
        <v>13.889779116433663</v>
      </c>
      <c r="T17" s="13">
        <v>12.107574473266308</v>
      </c>
      <c r="U17" s="13">
        <v>9.7959724057161015</v>
      </c>
      <c r="V17"/>
      <c r="W17">
        <v>2022</v>
      </c>
      <c r="X17" s="13">
        <v>5.2005624472757495</v>
      </c>
      <c r="Y17" s="13">
        <f t="shared" si="18"/>
        <v>12.107574473266308</v>
      </c>
      <c r="Z17" s="13">
        <v>21.078905184208022</v>
      </c>
      <c r="AA17" s="12"/>
      <c r="AB17" s="13">
        <f t="shared" si="0"/>
        <v>45.282958136627563</v>
      </c>
      <c r="AE17" s="33">
        <f t="shared" si="1"/>
        <v>0.83144743063959226</v>
      </c>
      <c r="AG17">
        <v>13</v>
      </c>
      <c r="AH17" s="13"/>
      <c r="AI17" s="13"/>
      <c r="AJ17" s="13"/>
      <c r="AK17" s="13"/>
      <c r="AS17" s="13">
        <f t="shared" si="2"/>
        <v>32.185188725488246</v>
      </c>
      <c r="AT17" s="13">
        <f t="shared" si="3"/>
        <v>1.3746316943258903</v>
      </c>
      <c r="AU17" s="13">
        <f>'Global EV uptake'!C73</f>
        <v>16.220950988507798</v>
      </c>
      <c r="AV17" s="3">
        <v>140</v>
      </c>
      <c r="AW17" s="13"/>
      <c r="AZ17" s="41"/>
      <c r="BD17" s="13"/>
      <c r="BE17">
        <v>2022</v>
      </c>
      <c r="BH17" s="13">
        <f>'Country Vehicle Prices'!D94</f>
        <v>1.3935771638737147</v>
      </c>
    </row>
    <row r="18" spans="1:60">
      <c r="A18">
        <v>2023</v>
      </c>
      <c r="B18" s="13"/>
      <c r="C18" s="13">
        <f>AVERAGE(D15:D21)</f>
        <v>15.834916959571382</v>
      </c>
      <c r="D18" s="84">
        <f t="shared" si="12"/>
        <v>14.150792493210389</v>
      </c>
      <c r="E18" s="84">
        <f>J18-SUM(F$7:F18)</f>
        <v>-1.2790939083443216</v>
      </c>
      <c r="F18" s="13">
        <f t="shared" si="13"/>
        <v>0.315</v>
      </c>
      <c r="G18" s="13">
        <f t="shared" si="14"/>
        <v>1</v>
      </c>
      <c r="H18" s="13">
        <f t="shared" si="15"/>
        <v>1</v>
      </c>
      <c r="I18" s="20">
        <f>I17+(I35-I15)/20</f>
        <v>0.315</v>
      </c>
      <c r="J18" s="13">
        <f t="shared" si="16"/>
        <v>-4.9093908344321639E-2</v>
      </c>
      <c r="K18" s="13"/>
      <c r="L18" s="84">
        <f t="shared" si="21"/>
        <v>31.702384184893013</v>
      </c>
      <c r="M18" s="13">
        <f t="shared" si="8"/>
        <v>33.860541473603895</v>
      </c>
      <c r="N18" s="13">
        <f t="shared" si="17"/>
        <v>2020.5472535317929</v>
      </c>
      <c r="O18" s="13">
        <f t="shared" si="9"/>
        <v>2019.0212221610693</v>
      </c>
      <c r="P18" s="13">
        <f>1/Belgium!R93</f>
        <v>1.1985990993748785</v>
      </c>
      <c r="Q18" s="72"/>
      <c r="R18">
        <v>2023</v>
      </c>
      <c r="S18" s="13">
        <v>17.967418850029812</v>
      </c>
      <c r="T18" s="13">
        <v>15.834916959571382</v>
      </c>
      <c r="U18" s="13">
        <v>13.44283738318336</v>
      </c>
      <c r="V18"/>
      <c r="W18">
        <v>2023</v>
      </c>
      <c r="X18" s="13">
        <v>6.4057536530731891</v>
      </c>
      <c r="Y18" s="13">
        <f t="shared" si="18"/>
        <v>15.834916959571382</v>
      </c>
      <c r="Z18" s="13">
        <v>27.340837129083376</v>
      </c>
      <c r="AA18" s="12"/>
      <c r="AB18" s="13">
        <f t="shared" si="0"/>
        <v>53.890192903355754</v>
      </c>
      <c r="AE18" s="33">
        <f t="shared" si="1"/>
        <v>1.5791202710526164</v>
      </c>
      <c r="AG18">
        <v>14</v>
      </c>
      <c r="AH18" s="13"/>
      <c r="AI18" s="13"/>
      <c r="AJ18" s="13"/>
      <c r="AK18" s="13"/>
      <c r="AS18" s="13">
        <f t="shared" si="2"/>
        <v>46.25350909314497</v>
      </c>
      <c r="AT18" s="13">
        <f t="shared" si="3"/>
        <v>1.3935771638737147</v>
      </c>
      <c r="AU18" s="13">
        <f>'Global EV uptake'!C74</f>
        <v>23.06565896987421</v>
      </c>
      <c r="AV18" s="3">
        <v>140</v>
      </c>
      <c r="AW18" s="13"/>
      <c r="AZ18" s="41"/>
      <c r="BD18" s="13"/>
      <c r="BE18">
        <v>2023</v>
      </c>
      <c r="BH18" s="13">
        <f>'Country Vehicle Prices'!D95</f>
        <v>1.3813637558351595</v>
      </c>
    </row>
    <row r="19" spans="1:60">
      <c r="A19">
        <v>2024</v>
      </c>
      <c r="B19" s="13"/>
      <c r="C19" s="13">
        <f t="shared" si="22"/>
        <v>20.652276048250862</v>
      </c>
      <c r="D19" s="84">
        <f t="shared" si="12"/>
        <v>17.790246880716921</v>
      </c>
      <c r="E19" s="84">
        <f>J19-SUM(F$7:F19)</f>
        <v>-0.9759501260477873</v>
      </c>
      <c r="F19" s="13">
        <f t="shared" si="13"/>
        <v>0.32</v>
      </c>
      <c r="G19" s="13">
        <f t="shared" si="14"/>
        <v>1</v>
      </c>
      <c r="H19" s="13">
        <f t="shared" si="15"/>
        <v>1</v>
      </c>
      <c r="I19" s="20">
        <f>I18+(I35-I15)/20</f>
        <v>0.32</v>
      </c>
      <c r="J19" s="13">
        <f t="shared" si="16"/>
        <v>0.57404987395221274</v>
      </c>
      <c r="K19" s="13"/>
      <c r="L19" s="84">
        <f t="shared" si="21"/>
        <v>41.580313858856982</v>
      </c>
      <c r="M19" s="13">
        <f t="shared" si="8"/>
        <v>45.282958136627563</v>
      </c>
      <c r="N19" s="13">
        <f t="shared" si="17"/>
        <v>2021.9777435092208</v>
      </c>
      <c r="O19" s="13">
        <f t="shared" si="9"/>
        <v>2018.5907321836414</v>
      </c>
      <c r="P19" s="13">
        <f>1/Belgium!R94</f>
        <v>1.1586794215900262</v>
      </c>
      <c r="Q19" s="72"/>
      <c r="R19">
        <v>2024</v>
      </c>
      <c r="S19" s="13">
        <v>23.465645751443883</v>
      </c>
      <c r="T19" s="13">
        <v>20.652276048250862</v>
      </c>
      <c r="U19" s="13">
        <v>17.858565789067637</v>
      </c>
      <c r="V19"/>
      <c r="W19">
        <v>2024</v>
      </c>
      <c r="X19" s="13">
        <v>8.0278212120146719</v>
      </c>
      <c r="Y19" s="13">
        <f t="shared" si="18"/>
        <v>20.652276048250862</v>
      </c>
      <c r="Z19" s="13">
        <v>33.92821535607527</v>
      </c>
      <c r="AA19" s="12"/>
      <c r="AB19" s="13">
        <f t="shared" si="0"/>
        <v>59.219670714792123</v>
      </c>
      <c r="AE19" s="33">
        <f t="shared" si="1"/>
        <v>2.3267931114656388</v>
      </c>
      <c r="AG19">
        <v>15</v>
      </c>
      <c r="AH19" s="13"/>
      <c r="AI19" s="13"/>
      <c r="AJ19" s="13"/>
      <c r="AK19" s="13"/>
      <c r="AS19" s="13">
        <f t="shared" si="2"/>
        <v>62.142547754549753</v>
      </c>
      <c r="AT19" s="13">
        <f t="shared" si="3"/>
        <v>1.3813637558351595</v>
      </c>
      <c r="AU19" s="13">
        <f>'Global EV uptake'!C75</f>
        <v>30.766875783016317</v>
      </c>
      <c r="AV19" s="3">
        <v>140</v>
      </c>
      <c r="AW19" s="13"/>
      <c r="AZ19" s="41"/>
      <c r="BD19" s="13"/>
      <c r="BE19">
        <v>2024</v>
      </c>
      <c r="BH19" s="13">
        <f>'Country Vehicle Prices'!D96</f>
        <v>1.3341504597331519</v>
      </c>
    </row>
    <row r="20" spans="1:60">
      <c r="A20" s="14">
        <v>2025</v>
      </c>
      <c r="B20" s="13"/>
      <c r="C20" s="20">
        <f t="shared" si="22"/>
        <v>26.679494955090632</v>
      </c>
      <c r="D20" s="84">
        <f t="shared" si="12"/>
        <v>24.354345727198087</v>
      </c>
      <c r="E20" s="84">
        <f>J20-SUM(F$7:F20)</f>
        <v>-0.51218162142653911</v>
      </c>
      <c r="F20" s="13">
        <f t="shared" si="13"/>
        <v>0.32500000000000001</v>
      </c>
      <c r="G20" s="13">
        <f t="shared" si="14"/>
        <v>1</v>
      </c>
      <c r="H20" s="13">
        <f t="shared" si="15"/>
        <v>1</v>
      </c>
      <c r="I20" s="20">
        <f>I19+(I35-I15)/20</f>
        <v>0.32500000000000001</v>
      </c>
      <c r="J20" s="13">
        <f t="shared" si="16"/>
        <v>1.3628183785734609</v>
      </c>
      <c r="K20" s="13"/>
      <c r="L20" s="84">
        <f t="shared" si="21"/>
        <v>51.754129457695896</v>
      </c>
      <c r="M20" s="13">
        <f t="shared" si="8"/>
        <v>53.890192903355754</v>
      </c>
      <c r="N20" s="13">
        <f t="shared" si="17"/>
        <v>2023.3671072256893</v>
      </c>
      <c r="O20" s="13">
        <f t="shared" si="9"/>
        <v>2018.2013684671729</v>
      </c>
      <c r="P20" s="13">
        <f>1/Belgium!R95</f>
        <v>1.1225734146734441</v>
      </c>
      <c r="Q20" s="72"/>
      <c r="R20" s="87">
        <v>2025</v>
      </c>
      <c r="S20" s="13">
        <v>29.412329919627382</v>
      </c>
      <c r="T20" s="13">
        <v>26.679494955090632</v>
      </c>
      <c r="U20" s="13">
        <v>23.060567431488757</v>
      </c>
      <c r="V20"/>
      <c r="W20" s="87">
        <v>2025</v>
      </c>
      <c r="X20" s="13">
        <v>10.125440332720615</v>
      </c>
      <c r="Y20" s="13">
        <f t="shared" si="18"/>
        <v>26.679494955090632</v>
      </c>
      <c r="Z20" s="13">
        <v>40.709451868383255</v>
      </c>
      <c r="AA20" s="12"/>
      <c r="AB20" s="13">
        <f t="shared" si="0"/>
        <v>62.128762575258762</v>
      </c>
      <c r="AE20" s="33">
        <f t="shared" si="1"/>
        <v>3.074465951878663</v>
      </c>
      <c r="AG20">
        <v>16</v>
      </c>
      <c r="AH20" s="13"/>
      <c r="AI20" s="13"/>
      <c r="AJ20" s="13"/>
      <c r="AK20" s="13"/>
      <c r="AS20" s="13">
        <f t="shared" si="2"/>
        <v>78.251791549300677</v>
      </c>
      <c r="AT20" s="13">
        <f t="shared" si="3"/>
        <v>1.3341504597331519</v>
      </c>
      <c r="AU20" s="13">
        <f>'Global EV uptake'!C76</f>
        <v>38.544427268869043</v>
      </c>
      <c r="AV20" s="3">
        <v>140</v>
      </c>
      <c r="AW20" s="13"/>
      <c r="AZ20" s="41"/>
      <c r="BD20" s="13"/>
      <c r="BE20">
        <v>2025</v>
      </c>
      <c r="BH20" s="13">
        <f>'Country Vehicle Prices'!D97</f>
        <v>1.2936172154493035</v>
      </c>
    </row>
    <row r="21" spans="1:60">
      <c r="A21">
        <v>2026</v>
      </c>
      <c r="B21" s="13"/>
      <c r="C21" s="13">
        <f t="shared" si="22"/>
        <v>32.916725584360151</v>
      </c>
      <c r="D21" s="84">
        <f t="shared" si="12"/>
        <v>30.642060759460119</v>
      </c>
      <c r="E21" s="84">
        <f>J21-SUM(F$7:F21)</f>
        <v>-0.11445952000692872</v>
      </c>
      <c r="F21" s="13">
        <f t="shared" si="13"/>
        <v>0.33</v>
      </c>
      <c r="G21" s="13">
        <f>IF(H21&lt;0,0,H21)</f>
        <v>1</v>
      </c>
      <c r="H21" s="13">
        <f t="shared" si="15"/>
        <v>1</v>
      </c>
      <c r="I21" s="20">
        <f>I20+(I35-I15)/20</f>
        <v>0.33</v>
      </c>
      <c r="J21" s="13">
        <f t="shared" si="16"/>
        <v>2.0905404799930714</v>
      </c>
      <c r="K21" s="13"/>
      <c r="L21" s="84">
        <f t="shared" si="21"/>
        <v>57.84872327421035</v>
      </c>
      <c r="M21" s="13">
        <f t="shared" si="8"/>
        <v>62.128762575258762</v>
      </c>
      <c r="N21" s="13">
        <f t="shared" si="17"/>
        <v>2024.6111345149861</v>
      </c>
      <c r="O21" s="13">
        <f t="shared" si="9"/>
        <v>2017.9573411778761</v>
      </c>
      <c r="P21" s="13">
        <f>1/Belgium!R96</f>
        <v>1.0999445701701653</v>
      </c>
      <c r="Q21" s="72"/>
      <c r="R21">
        <v>2026</v>
      </c>
      <c r="S21" s="13">
        <v>35.689073348379175</v>
      </c>
      <c r="T21" s="13">
        <v>32.916725584360151</v>
      </c>
      <c r="U21" s="13">
        <v>28.85928556164048</v>
      </c>
      <c r="V21"/>
      <c r="W21">
        <v>2026</v>
      </c>
      <c r="X21" s="13">
        <v>12.776351949483569</v>
      </c>
      <c r="Y21" s="13">
        <f>T21</f>
        <v>32.916725584360151</v>
      </c>
      <c r="Z21" s="13">
        <v>47.009617918384542</v>
      </c>
      <c r="AA21" s="12"/>
      <c r="AB21" s="13">
        <f t="shared" si="0"/>
        <v>63.608192199633578</v>
      </c>
      <c r="AE21" s="33">
        <f t="shared" si="1"/>
        <v>3.8221387922916872</v>
      </c>
      <c r="AG21">
        <v>17</v>
      </c>
      <c r="AH21" s="13"/>
      <c r="AI21" s="13"/>
      <c r="AJ21" s="13"/>
      <c r="AK21" s="13"/>
      <c r="AS21" s="13">
        <f t="shared" si="2"/>
        <v>93.32671083219914</v>
      </c>
      <c r="AT21" s="13">
        <f t="shared" si="3"/>
        <v>1.2936172154493035</v>
      </c>
      <c r="AU21" s="13">
        <f>'Global EV uptake'!C77</f>
        <v>45.825790417369525</v>
      </c>
      <c r="AV21" s="3">
        <v>140</v>
      </c>
      <c r="AW21" s="13"/>
      <c r="AZ21" s="41"/>
      <c r="BD21" s="13"/>
      <c r="BE21">
        <v>2026</v>
      </c>
      <c r="BH21" s="13">
        <f>'Country Vehicle Prices'!D98</f>
        <v>1.2705256783001113</v>
      </c>
    </row>
    <row r="22" spans="1:60">
      <c r="A22">
        <v>2027</v>
      </c>
      <c r="B22" s="13"/>
      <c r="C22" s="13">
        <f t="shared" si="22"/>
        <v>39.172877935886966</v>
      </c>
      <c r="D22" s="84">
        <f t="shared" si="12"/>
        <v>38.876490900700027</v>
      </c>
      <c r="E22" s="84">
        <f>J22-SUM(F$7:F22)</f>
        <v>0.39755408022026328</v>
      </c>
      <c r="F22" s="13">
        <f t="shared" si="13"/>
        <v>0.33500000000000002</v>
      </c>
      <c r="G22" s="13">
        <f t="shared" si="14"/>
        <v>1</v>
      </c>
      <c r="H22" s="13">
        <f t="shared" si="15"/>
        <v>1</v>
      </c>
      <c r="I22" s="20">
        <f>I21+(I35-I15)/20</f>
        <v>0.33500000000000002</v>
      </c>
      <c r="J22" s="13">
        <f t="shared" si="16"/>
        <v>2.9375540802202633</v>
      </c>
      <c r="K22" s="13"/>
      <c r="L22" s="84">
        <f t="shared" si="21"/>
        <v>61.728676895393939</v>
      </c>
      <c r="M22" s="13">
        <f t="shared" si="8"/>
        <v>63.608192199633578</v>
      </c>
      <c r="N22" s="13">
        <f t="shared" si="17"/>
        <v>2025.8329580004408</v>
      </c>
      <c r="O22" s="13">
        <f t="shared" si="9"/>
        <v>2017.7355176924214</v>
      </c>
      <c r="P22" s="13">
        <f>1/Belgium!R97</f>
        <v>1.0793747020460003</v>
      </c>
      <c r="Q22" s="72"/>
      <c r="R22">
        <v>2027</v>
      </c>
      <c r="S22" s="13">
        <v>42.087379978338539</v>
      </c>
      <c r="T22" s="13">
        <v>39.172877935886966</v>
      </c>
      <c r="U22" s="13">
        <v>35.33400631937451</v>
      </c>
      <c r="V22"/>
      <c r="W22">
        <v>2027</v>
      </c>
      <c r="X22" s="13">
        <v>16.061250990727821</v>
      </c>
      <c r="Y22" s="13">
        <f t="shared" si="18"/>
        <v>39.172877935886966</v>
      </c>
      <c r="Z22" s="13">
        <v>52.617813779663813</v>
      </c>
      <c r="AA22" s="12"/>
      <c r="AB22" s="13">
        <f t="shared" si="0"/>
        <v>64.333510556176108</v>
      </c>
      <c r="AE22" s="33">
        <f t="shared" si="1"/>
        <v>4.5698116327047096</v>
      </c>
      <c r="AG22">
        <v>18</v>
      </c>
      <c r="AH22" s="13"/>
      <c r="AI22" s="13"/>
      <c r="AJ22" s="13"/>
      <c r="AK22" s="13"/>
      <c r="AS22" s="13">
        <f t="shared" si="2"/>
        <v>105.89642947218564</v>
      </c>
      <c r="AT22" s="13">
        <f t="shared" si="3"/>
        <v>1.2705256783001113</v>
      </c>
      <c r="AU22" s="13">
        <f>'Global EV uptake'!C78</f>
        <v>51.906454915807629</v>
      </c>
      <c r="AV22" s="3">
        <v>140</v>
      </c>
      <c r="AW22" s="13"/>
      <c r="AZ22" s="41"/>
      <c r="BD22" s="13"/>
      <c r="BE22">
        <v>2027</v>
      </c>
      <c r="BH22" s="13">
        <f>'Country Vehicle Prices'!D99</f>
        <v>1.2474341411509193</v>
      </c>
    </row>
    <row r="23" spans="1:60">
      <c r="A23">
        <v>2028</v>
      </c>
      <c r="B23" s="13"/>
      <c r="C23" s="13">
        <f t="shared" si="22"/>
        <v>45.309889660480998</v>
      </c>
      <c r="D23" s="84">
        <f t="shared" si="12"/>
        <v>50.140512542118394</v>
      </c>
      <c r="E23" s="84">
        <f>J23-SUM(F$7:F23)</f>
        <v>1.2161907675975199</v>
      </c>
      <c r="F23" s="13">
        <f t="shared" si="13"/>
        <v>0.34</v>
      </c>
      <c r="G23" s="13">
        <f t="shared" si="14"/>
        <v>1</v>
      </c>
      <c r="H23" s="13">
        <f t="shared" si="15"/>
        <v>1</v>
      </c>
      <c r="I23" s="20">
        <f>I22+(I35-I15)/20</f>
        <v>0.34</v>
      </c>
      <c r="J23" s="13">
        <f t="shared" si="16"/>
        <v>4.0961907675975198</v>
      </c>
      <c r="K23" s="13"/>
      <c r="L23" s="84">
        <f t="shared" si="21"/>
        <v>63.936359520572751</v>
      </c>
      <c r="M23" s="13">
        <f t="shared" si="8"/>
        <v>64.333510556176108</v>
      </c>
      <c r="N23" s="13">
        <f t="shared" si="17"/>
        <v>2027.0734744786196</v>
      </c>
      <c r="O23" s="13">
        <f t="shared" si="9"/>
        <v>2017.4950012142426</v>
      </c>
      <c r="P23" s="13">
        <f>1/Belgium!R98</f>
        <v>1.0570714178482941</v>
      </c>
      <c r="Q23" s="72"/>
      <c r="R23">
        <v>2028</v>
      </c>
      <c r="S23" s="13">
        <v>48.052190562839478</v>
      </c>
      <c r="T23" s="13">
        <v>45.309889660480998</v>
      </c>
      <c r="U23" s="13">
        <v>41.629985340466952</v>
      </c>
      <c r="V23"/>
      <c r="W23">
        <v>2028</v>
      </c>
      <c r="X23" s="13">
        <v>20.019704326061248</v>
      </c>
      <c r="Y23" s="13">
        <f t="shared" si="18"/>
        <v>45.309889660480998</v>
      </c>
      <c r="Z23" s="13">
        <v>57.385925409024672</v>
      </c>
      <c r="AA23" s="12"/>
      <c r="AB23" s="13">
        <f t="shared" si="0"/>
        <v>64.682726242545442</v>
      </c>
      <c r="AE23" s="33">
        <f t="shared" si="1"/>
        <v>5.3174844731177338</v>
      </c>
      <c r="AG23">
        <v>19</v>
      </c>
      <c r="AH23" s="13"/>
      <c r="AI23" s="13"/>
      <c r="AJ23" s="13"/>
      <c r="AK23" s="13"/>
      <c r="AS23" s="13">
        <f t="shared" si="2"/>
        <v>115.04522260115439</v>
      </c>
      <c r="AT23" s="13">
        <f t="shared" si="3"/>
        <v>1.2474341411509193</v>
      </c>
      <c r="AU23" s="13">
        <f>'Global EV uptake'!C79</f>
        <v>56.326745165258494</v>
      </c>
      <c r="AV23" s="3">
        <v>140</v>
      </c>
      <c r="AW23" s="13"/>
      <c r="AZ23" s="41"/>
      <c r="BD23" s="13"/>
      <c r="BE23">
        <v>2028</v>
      </c>
      <c r="BH23" s="13">
        <f>'Country Vehicle Prices'!D100</f>
        <v>1.2214561618580781</v>
      </c>
    </row>
    <row r="24" spans="1:60">
      <c r="A24">
        <v>2029</v>
      </c>
      <c r="B24" s="13"/>
      <c r="C24" s="13">
        <f t="shared" si="22"/>
        <v>50.848230517620586</v>
      </c>
      <c r="D24" s="84">
        <f t="shared" si="12"/>
        <v>54.462629787117145</v>
      </c>
      <c r="E24" s="84">
        <f>J24-SUM(F$7:F24)</f>
        <v>1.6425867679329547</v>
      </c>
      <c r="F24" s="13">
        <f t="shared" si="13"/>
        <v>0.34500000000000003</v>
      </c>
      <c r="G24" s="13">
        <f t="shared" si="14"/>
        <v>1</v>
      </c>
      <c r="H24" s="13">
        <f t="shared" si="15"/>
        <v>1</v>
      </c>
      <c r="I24" s="20">
        <f>I23+(I35-I15)/20</f>
        <v>0.34500000000000003</v>
      </c>
      <c r="J24" s="13">
        <f t="shared" si="16"/>
        <v>4.8675867679329547</v>
      </c>
      <c r="K24" s="13"/>
      <c r="L24" s="84">
        <f t="shared" si="21"/>
        <v>64.5038425541225</v>
      </c>
      <c r="M24" s="13">
        <f t="shared" si="8"/>
        <v>64.682726242545442</v>
      </c>
      <c r="N24" s="13">
        <f t="shared" si="17"/>
        <v>2028.2916163941222</v>
      </c>
      <c r="O24" s="13">
        <f t="shared" si="9"/>
        <v>2017.27685929874</v>
      </c>
      <c r="P24" s="13">
        <f>1/Belgium!R99</f>
        <v>1.0368429446321101</v>
      </c>
      <c r="Q24" s="72"/>
      <c r="R24">
        <v>2029</v>
      </c>
      <c r="S24" s="13">
        <v>53.360869257625531</v>
      </c>
      <c r="T24" s="13">
        <v>50.848230517620586</v>
      </c>
      <c r="U24" s="13">
        <v>47.478288589230381</v>
      </c>
      <c r="V24"/>
      <c r="W24">
        <v>2029</v>
      </c>
      <c r="X24" s="13">
        <v>24.56045906679779</v>
      </c>
      <c r="Y24" s="13">
        <f t="shared" si="18"/>
        <v>50.848230517620586</v>
      </c>
      <c r="Z24" s="13">
        <v>61.023667960955422</v>
      </c>
      <c r="AA24" s="12"/>
      <c r="AB24" s="13">
        <f t="shared" si="0"/>
        <v>64.8493942439693</v>
      </c>
      <c r="AE24" s="33">
        <f t="shared" si="1"/>
        <v>6.0651573135307562</v>
      </c>
      <c r="AG24">
        <v>20</v>
      </c>
      <c r="AH24" s="13"/>
      <c r="AI24" s="13"/>
      <c r="AJ24" s="13"/>
      <c r="AK24" s="13"/>
      <c r="AS24" s="13">
        <f t="shared" si="2"/>
        <v>121.40523233609282</v>
      </c>
      <c r="AT24" s="13">
        <f t="shared" si="3"/>
        <v>1.2214561618580781</v>
      </c>
      <c r="AU24" s="13">
        <f>'Global EV uptake'!C80</f>
        <v>59.39095758619905</v>
      </c>
      <c r="AV24" s="3">
        <v>140</v>
      </c>
      <c r="AW24" s="13"/>
      <c r="AZ24" s="41"/>
      <c r="BD24" s="13"/>
      <c r="BE24">
        <v>2029</v>
      </c>
      <c r="BH24" s="13">
        <f>'Country Vehicle Prices'!D101</f>
        <v>1.1983646247088862</v>
      </c>
    </row>
    <row r="25" spans="1:60">
      <c r="A25" s="14">
        <v>2030</v>
      </c>
      <c r="B25" s="13"/>
      <c r="C25" s="20">
        <f t="shared" si="22"/>
        <v>55.571869169006327</v>
      </c>
      <c r="D25" s="84">
        <f t="shared" si="12"/>
        <v>57.943858953898086</v>
      </c>
      <c r="E25" s="84">
        <f>J25-SUM(F$7:F25)</f>
        <v>2.1055762846788584</v>
      </c>
      <c r="F25" s="13">
        <f t="shared" si="13"/>
        <v>0.35000000000000003</v>
      </c>
      <c r="G25" s="13">
        <f t="shared" si="14"/>
        <v>1</v>
      </c>
      <c r="H25" s="13">
        <f t="shared" si="15"/>
        <v>1</v>
      </c>
      <c r="I25" s="20">
        <f>I24+(I35-I15)/20</f>
        <v>0.35000000000000003</v>
      </c>
      <c r="J25" s="13">
        <f t="shared" si="16"/>
        <v>5.6805762846788586</v>
      </c>
      <c r="K25" s="13"/>
      <c r="L25" s="84">
        <f t="shared" si="21"/>
        <v>64.779000491253754</v>
      </c>
      <c r="M25" s="13">
        <f t="shared" si="8"/>
        <v>64.928606029249892</v>
      </c>
      <c r="N25" s="13">
        <f t="shared" si="17"/>
        <v>2029.5323884859279</v>
      </c>
      <c r="O25" s="13">
        <f t="shared" si="9"/>
        <v>2017.0360872069343</v>
      </c>
      <c r="P25" s="13">
        <f>1/Belgium!R100</f>
        <v>1.0145159571796043</v>
      </c>
      <c r="Q25" s="72"/>
      <c r="R25" s="87">
        <v>2030</v>
      </c>
      <c r="S25" s="13">
        <v>57.638274622801518</v>
      </c>
      <c r="T25" s="13">
        <v>55.571869169006327</v>
      </c>
      <c r="U25" s="13">
        <v>52.30677978245302</v>
      </c>
      <c r="V25"/>
      <c r="W25" s="87">
        <v>2030</v>
      </c>
      <c r="X25" s="13">
        <v>29.547522379840554</v>
      </c>
      <c r="Y25" s="13">
        <f t="shared" si="18"/>
        <v>55.571869169006327</v>
      </c>
      <c r="Z25" s="13">
        <v>63.027935040330313</v>
      </c>
      <c r="AA25" s="12"/>
      <c r="AB25" s="13">
        <f t="shared" si="0"/>
        <v>64.928606029249892</v>
      </c>
      <c r="AE25" s="33">
        <f t="shared" si="1"/>
        <v>6.8128301539437803</v>
      </c>
      <c r="AG25">
        <v>21</v>
      </c>
      <c r="AH25" s="13"/>
      <c r="AI25" s="13"/>
      <c r="AJ25" s="13"/>
      <c r="AK25" s="13"/>
      <c r="AS25" s="13">
        <f t="shared" si="2"/>
        <v>125.69119005636229</v>
      </c>
      <c r="AT25" s="13">
        <f t="shared" si="3"/>
        <v>1.1983646247088862</v>
      </c>
      <c r="AU25" s="13">
        <f>'Global EV uptake'!C81</f>
        <v>61.451030793898077</v>
      </c>
      <c r="AV25" s="3">
        <v>140</v>
      </c>
      <c r="AW25" s="13"/>
      <c r="AZ25" s="41"/>
      <c r="BD25" s="13"/>
      <c r="BE25">
        <v>2030</v>
      </c>
      <c r="BH25" s="13">
        <f>'Country Vehicle Prices'!D102</f>
        <v>1.172386645416045</v>
      </c>
    </row>
    <row r="26" spans="1:60">
      <c r="A26">
        <v>2031</v>
      </c>
      <c r="C26" s="13">
        <f t="shared" si="22"/>
        <v>59.176430082922074</v>
      </c>
      <c r="D26" s="84">
        <f>65*EXP(E26)/(1+EXP(E26))</f>
        <v>60.749328952875068</v>
      </c>
      <c r="E26" s="84">
        <f>J26-SUM(F$7:F26)</f>
        <v>2.6596791722028121</v>
      </c>
      <c r="F26" s="13">
        <f t="shared" si="13"/>
        <v>0.35500000000000004</v>
      </c>
      <c r="G26" s="13">
        <f t="shared" si="14"/>
        <v>1</v>
      </c>
      <c r="H26" s="13">
        <f t="shared" si="15"/>
        <v>1</v>
      </c>
      <c r="I26" s="20">
        <f>I25+(I35-I15)/20</f>
        <v>0.35500000000000004</v>
      </c>
      <c r="J26" s="13">
        <f t="shared" si="16"/>
        <v>6.5896791722028123</v>
      </c>
      <c r="K26" s="13"/>
      <c r="L26" s="84">
        <f t="shared" si="21"/>
        <v>64.910781373099113</v>
      </c>
      <c r="M26" s="13">
        <f t="shared" si="8"/>
        <v>64.96617774300752</v>
      </c>
      <c r="N26" s="13">
        <f t="shared" si="17"/>
        <v>2030.5323884859279</v>
      </c>
      <c r="O26" s="13">
        <f t="shared" si="9"/>
        <v>2017.0360872069343</v>
      </c>
      <c r="P26" s="13">
        <f>P25</f>
        <v>1.0145159571796043</v>
      </c>
      <c r="R26">
        <v>2031</v>
      </c>
      <c r="S26" s="13">
        <v>60.274821349414211</v>
      </c>
      <c r="T26" s="13">
        <v>59.176430082922074</v>
      </c>
      <c r="U26" s="13">
        <v>56.347390739331182</v>
      </c>
      <c r="V26"/>
      <c r="W26">
        <v>2031</v>
      </c>
      <c r="X26" s="13">
        <v>34.768440246297757</v>
      </c>
      <c r="Y26" s="13">
        <f t="shared" si="18"/>
        <v>59.176430082922074</v>
      </c>
      <c r="Z26" s="13">
        <v>64.208429728386321</v>
      </c>
      <c r="AA26" s="12"/>
      <c r="AB26" s="13">
        <f t="shared" si="0"/>
        <v>64.96617774300752</v>
      </c>
      <c r="AE26" s="33">
        <f t="shared" si="1"/>
        <v>7.5605029943568045</v>
      </c>
      <c r="AG26">
        <v>22</v>
      </c>
    </row>
    <row r="27" spans="1:60">
      <c r="A27">
        <v>2032</v>
      </c>
      <c r="C27" s="13">
        <f t="shared" si="22"/>
        <v>61.211091022849381</v>
      </c>
      <c r="D27" s="84">
        <f t="shared" si="12"/>
        <v>63.122731727175193</v>
      </c>
      <c r="E27" s="84">
        <f>J27-SUM(F$7:F27)</f>
        <v>3.515263280138611</v>
      </c>
      <c r="F27" s="13">
        <f t="shared" si="13"/>
        <v>0.36000000000000004</v>
      </c>
      <c r="G27" s="13">
        <f t="shared" si="14"/>
        <v>1</v>
      </c>
      <c r="H27" s="13">
        <f t="shared" si="15"/>
        <v>1</v>
      </c>
      <c r="I27" s="20">
        <f>I26+(I35-I15)/20</f>
        <v>0.36000000000000004</v>
      </c>
      <c r="J27" s="13">
        <f t="shared" si="16"/>
        <v>7.805263280138611</v>
      </c>
      <c r="K27" s="13"/>
      <c r="L27" s="84">
        <f t="shared" si="21"/>
        <v>64.973517827581304</v>
      </c>
      <c r="M27" s="13">
        <f t="shared" si="8"/>
        <v>64.983981885289836</v>
      </c>
      <c r="N27" s="13">
        <f t="shared" si="17"/>
        <v>2031.5323884859279</v>
      </c>
      <c r="O27" s="13">
        <f t="shared" si="9"/>
        <v>2017.0360872069343</v>
      </c>
      <c r="P27" s="13">
        <f t="shared" ref="P27:P50" si="23">P26</f>
        <v>1.0145159571796043</v>
      </c>
      <c r="R27">
        <v>2032</v>
      </c>
      <c r="S27" s="13">
        <v>62.144544475552195</v>
      </c>
      <c r="T27" s="13">
        <v>61.211091022849381</v>
      </c>
      <c r="U27" s="13">
        <v>59.469917803839557</v>
      </c>
      <c r="V27"/>
      <c r="W27">
        <v>2032</v>
      </c>
      <c r="X27" s="13">
        <v>39.961597966684316</v>
      </c>
      <c r="Y27" s="13">
        <f t="shared" si="18"/>
        <v>61.211091022849381</v>
      </c>
      <c r="Z27" s="13">
        <v>64.654216471592861</v>
      </c>
      <c r="AA27" s="12"/>
      <c r="AB27" s="13">
        <f t="shared" si="0"/>
        <v>64.983981885289836</v>
      </c>
      <c r="AE27" s="33">
        <f t="shared" si="1"/>
        <v>8.3081758347698287</v>
      </c>
      <c r="AG27">
        <v>23</v>
      </c>
    </row>
    <row r="28" spans="1:60">
      <c r="A28">
        <v>2033</v>
      </c>
      <c r="C28" s="13">
        <f t="shared" si="22"/>
        <v>62.655238369716763</v>
      </c>
      <c r="D28" s="84">
        <f t="shared" si="12"/>
        <v>63.707531319160324</v>
      </c>
      <c r="E28" s="84">
        <f>J28-SUM(F$7:F28)</f>
        <v>3.8977486910111976</v>
      </c>
      <c r="F28" s="13">
        <f t="shared" si="13"/>
        <v>0.36500000000000005</v>
      </c>
      <c r="G28" s="13">
        <f t="shared" si="14"/>
        <v>1</v>
      </c>
      <c r="H28" s="13">
        <f t="shared" si="15"/>
        <v>1</v>
      </c>
      <c r="I28" s="20">
        <f>I27+(I35-I15)/20</f>
        <v>0.36500000000000005</v>
      </c>
      <c r="J28" s="13">
        <f t="shared" si="16"/>
        <v>8.5527486910111978</v>
      </c>
      <c r="K28" s="13"/>
      <c r="L28" s="84">
        <f t="shared" si="21"/>
        <v>64.987456521831476</v>
      </c>
      <c r="M28" s="13">
        <f t="shared" si="8"/>
        <v>64.992414965402872</v>
      </c>
      <c r="N28" s="13">
        <f t="shared" si="17"/>
        <v>2032.5323884859279</v>
      </c>
      <c r="O28" s="13">
        <f t="shared" si="9"/>
        <v>2017.0360872069343</v>
      </c>
      <c r="P28" s="13">
        <f t="shared" si="23"/>
        <v>1.0145159571796043</v>
      </c>
      <c r="R28">
        <v>2033</v>
      </c>
      <c r="S28" s="13">
        <v>63.31554204703415</v>
      </c>
      <c r="T28" s="13">
        <v>62.655238369716763</v>
      </c>
      <c r="U28" s="13">
        <v>61.590306144945664</v>
      </c>
      <c r="V28"/>
      <c r="W28">
        <v>2033</v>
      </c>
      <c r="X28" s="13">
        <v>44.860632320024919</v>
      </c>
      <c r="Y28" s="13">
        <f t="shared" si="18"/>
        <v>62.655238369716763</v>
      </c>
      <c r="Z28" s="13">
        <v>64.872609577124905</v>
      </c>
      <c r="AA28" s="12"/>
      <c r="AB28" s="13">
        <f t="shared" si="0"/>
        <v>64.992414965402872</v>
      </c>
      <c r="AE28" s="33">
        <f t="shared" si="1"/>
        <v>9.0558486751828529</v>
      </c>
      <c r="AG28">
        <v>24</v>
      </c>
    </row>
    <row r="29" spans="1:60">
      <c r="A29">
        <v>2034</v>
      </c>
      <c r="C29" s="13">
        <f t="shared" si="22"/>
        <v>63.620594864692961</v>
      </c>
      <c r="D29" s="84">
        <f t="shared" si="12"/>
        <v>64.108417298110339</v>
      </c>
      <c r="E29" s="84">
        <f>J29-SUM(F$7:F29)</f>
        <v>4.2753327492677791</v>
      </c>
      <c r="F29" s="13">
        <f t="shared" si="13"/>
        <v>0.37000000000000005</v>
      </c>
      <c r="G29" s="13">
        <f t="shared" si="14"/>
        <v>1</v>
      </c>
      <c r="H29" s="13">
        <f t="shared" si="15"/>
        <v>1</v>
      </c>
      <c r="I29" s="20">
        <f>I28+(I35-I15)/20</f>
        <v>0.37000000000000005</v>
      </c>
      <c r="J29" s="13">
        <f t="shared" si="16"/>
        <v>9.3003327492677794</v>
      </c>
      <c r="K29" s="13"/>
      <c r="L29" s="84">
        <f t="shared" si="21"/>
        <v>64.994059944896762</v>
      </c>
      <c r="M29" s="13">
        <f t="shared" si="8"/>
        <v>64.996408514956386</v>
      </c>
      <c r="N29" s="13">
        <f t="shared" si="17"/>
        <v>2033.5323884859279</v>
      </c>
      <c r="O29" s="13">
        <f t="shared" si="9"/>
        <v>2017.0360872069343</v>
      </c>
      <c r="P29" s="13">
        <f t="shared" si="23"/>
        <v>1.0145159571796043</v>
      </c>
      <c r="R29">
        <v>2034</v>
      </c>
      <c r="S29" s="13">
        <v>63.838135271479523</v>
      </c>
      <c r="T29" s="13">
        <v>63.620594864692961</v>
      </c>
      <c r="U29" s="13">
        <v>62.617103935791242</v>
      </c>
      <c r="V29"/>
      <c r="W29">
        <v>2034</v>
      </c>
      <c r="X29" s="13">
        <v>49.244994253546039</v>
      </c>
      <c r="Y29" s="13">
        <f t="shared" si="18"/>
        <v>63.620594864692961</v>
      </c>
      <c r="Z29" s="13">
        <v>64.942316945847693</v>
      </c>
      <c r="AA29" s="12"/>
      <c r="AB29" s="13">
        <f t="shared" si="0"/>
        <v>64.996408514956386</v>
      </c>
      <c r="AE29" s="33">
        <f t="shared" si="1"/>
        <v>9.8035215155958735</v>
      </c>
      <c r="AG29">
        <v>25</v>
      </c>
    </row>
    <row r="30" spans="1:60">
      <c r="A30">
        <v>2035</v>
      </c>
      <c r="C30" s="13">
        <f t="shared" si="22"/>
        <v>64.197957405628046</v>
      </c>
      <c r="D30" s="84">
        <f t="shared" si="12"/>
        <v>64.383139121609531</v>
      </c>
      <c r="E30" s="84">
        <f>J30-SUM(F$7:F30)</f>
        <v>4.6479635451788965</v>
      </c>
      <c r="F30" s="13">
        <f t="shared" si="13"/>
        <v>0.37500000000000006</v>
      </c>
      <c r="G30" s="13">
        <f t="shared" si="14"/>
        <v>1</v>
      </c>
      <c r="H30" s="13">
        <f t="shared" si="15"/>
        <v>1</v>
      </c>
      <c r="I30" s="20">
        <f>I29+(I35-I15)/20</f>
        <v>0.37500000000000006</v>
      </c>
      <c r="J30" s="13">
        <f t="shared" si="16"/>
        <v>10.047963545178897</v>
      </c>
      <c r="K30" s="13"/>
      <c r="L30" s="84">
        <f t="shared" si="21"/>
        <v>64.997187325722763</v>
      </c>
      <c r="M30" s="13">
        <f t="shared" si="8"/>
        <v>64.99829950050075</v>
      </c>
      <c r="N30" s="13">
        <f t="shared" si="17"/>
        <v>2034.5323884859279</v>
      </c>
      <c r="O30" s="13">
        <f t="shared" si="9"/>
        <v>2017.0360872069343</v>
      </c>
      <c r="P30" s="13">
        <f t="shared" si="23"/>
        <v>1.0145159571796043</v>
      </c>
      <c r="R30">
        <v>2035</v>
      </c>
      <c r="S30" s="13">
        <v>64.197957405628046</v>
      </c>
      <c r="T30" s="13">
        <v>64.197957405628046</v>
      </c>
      <c r="U30" s="13">
        <v>63.340001257166946</v>
      </c>
      <c r="V30"/>
      <c r="W30">
        <v>2035</v>
      </c>
      <c r="X30" s="13">
        <v>52.977214665268903</v>
      </c>
      <c r="Y30" s="13">
        <f t="shared" si="18"/>
        <v>64.197957405628046</v>
      </c>
      <c r="Z30" s="13">
        <v>64.974940812244938</v>
      </c>
      <c r="AA30" s="12"/>
      <c r="AB30" s="13">
        <f t="shared" si="0"/>
        <v>64.99829950050075</v>
      </c>
      <c r="AE30" s="33">
        <f t="shared" si="1"/>
        <v>10.551194356008898</v>
      </c>
      <c r="AG30">
        <v>26</v>
      </c>
    </row>
    <row r="31" spans="1:60">
      <c r="A31">
        <v>2036</v>
      </c>
      <c r="C31" s="13">
        <f t="shared" si="22"/>
        <v>64.445121255382659</v>
      </c>
      <c r="D31" s="84">
        <f t="shared" si="12"/>
        <v>64.571661215188854</v>
      </c>
      <c r="E31" s="84">
        <f>J31-SUM(F$7:F31)</f>
        <v>5.0156164768768816</v>
      </c>
      <c r="F31" s="13">
        <f t="shared" si="13"/>
        <v>0.38000000000000006</v>
      </c>
      <c r="G31" s="13">
        <f t="shared" si="14"/>
        <v>1</v>
      </c>
      <c r="H31" s="13">
        <f t="shared" si="15"/>
        <v>1</v>
      </c>
      <c r="I31" s="20">
        <f>I30+(I35-I15)/20</f>
        <v>0.38000000000000006</v>
      </c>
      <c r="J31" s="13">
        <f t="shared" si="16"/>
        <v>10.795616476876882</v>
      </c>
      <c r="K31" s="13"/>
      <c r="L31" s="84">
        <f t="shared" si="21"/>
        <v>64.99866823439676</v>
      </c>
      <c r="M31" s="13">
        <f t="shared" si="8"/>
        <v>64.999194858333979</v>
      </c>
      <c r="N31" s="13">
        <f t="shared" si="17"/>
        <v>2035.5323884859279</v>
      </c>
      <c r="O31" s="13">
        <f t="shared" si="9"/>
        <v>2017.0360872069343</v>
      </c>
      <c r="P31" s="13">
        <f t="shared" si="23"/>
        <v>1.0145159571796043</v>
      </c>
      <c r="R31">
        <v>2036</v>
      </c>
      <c r="S31" s="13">
        <v>64.445121255382659</v>
      </c>
      <c r="T31" s="13">
        <v>64.445121255382659</v>
      </c>
      <c r="U31" s="13">
        <v>63.844312075614155</v>
      </c>
      <c r="V31"/>
      <c r="W31">
        <v>2036</v>
      </c>
      <c r="X31" s="13">
        <v>56.014016053974792</v>
      </c>
      <c r="Y31" s="13">
        <f t="shared" si="18"/>
        <v>64.445121255382659</v>
      </c>
      <c r="Z31" s="13">
        <v>64.986130356364555</v>
      </c>
      <c r="AA31" s="12"/>
      <c r="AB31" s="13">
        <f t="shared" si="0"/>
        <v>64.999194858333979</v>
      </c>
      <c r="AE31" s="33">
        <f t="shared" si="1"/>
        <v>11.298867196421922</v>
      </c>
      <c r="AG31">
        <v>27</v>
      </c>
    </row>
    <row r="32" spans="1:60">
      <c r="A32">
        <v>2037</v>
      </c>
      <c r="C32" s="13">
        <f t="shared" si="22"/>
        <v>64.614904578951212</v>
      </c>
      <c r="D32" s="84">
        <f t="shared" si="12"/>
        <v>64.701354418731427</v>
      </c>
      <c r="E32" s="84">
        <f>J32-SUM(F$7:F32)</f>
        <v>5.3782798907153131</v>
      </c>
      <c r="F32" s="13">
        <f t="shared" si="13"/>
        <v>0.38500000000000006</v>
      </c>
      <c r="G32" s="13">
        <f t="shared" si="14"/>
        <v>1</v>
      </c>
      <c r="H32" s="13">
        <f t="shared" si="15"/>
        <v>1</v>
      </c>
      <c r="I32" s="20">
        <f>I31+(I35-I15)/20</f>
        <v>0.38500000000000006</v>
      </c>
      <c r="J32" s="13">
        <f t="shared" si="16"/>
        <v>11.543279890715313</v>
      </c>
      <c r="K32" s="13"/>
      <c r="L32" s="84">
        <f t="shared" si="21"/>
        <v>64.999369440048724</v>
      </c>
      <c r="M32" s="13">
        <f t="shared" si="8"/>
        <v>64.999618789419856</v>
      </c>
      <c r="N32" s="13">
        <f t="shared" si="17"/>
        <v>2036.5323884859279</v>
      </c>
      <c r="O32" s="13">
        <f t="shared" si="9"/>
        <v>2017.0360872069343</v>
      </c>
      <c r="P32" s="13">
        <f t="shared" si="23"/>
        <v>1.0145159571796043</v>
      </c>
      <c r="R32">
        <v>2037</v>
      </c>
      <c r="S32" s="13">
        <v>64.614904578951212</v>
      </c>
      <c r="T32" s="13">
        <v>64.614904578951212</v>
      </c>
      <c r="U32" s="13">
        <v>64.194458316065223</v>
      </c>
      <c r="V32"/>
      <c r="W32">
        <v>2037</v>
      </c>
      <c r="X32" s="13">
        <v>58.391656035311463</v>
      </c>
      <c r="Y32" s="13">
        <f t="shared" si="18"/>
        <v>64.614904578951212</v>
      </c>
      <c r="Z32" s="13">
        <v>64.992308569988737</v>
      </c>
      <c r="AA32" s="12"/>
      <c r="AB32" s="13">
        <f t="shared" si="0"/>
        <v>64.999618789419856</v>
      </c>
      <c r="AE32" s="33">
        <f t="shared" si="1"/>
        <v>12.046540036834946</v>
      </c>
      <c r="AG32">
        <v>28</v>
      </c>
    </row>
    <row r="33" spans="1:33">
      <c r="A33">
        <v>2038</v>
      </c>
      <c r="C33" s="13">
        <f t="shared" si="22"/>
        <v>64.731776026663411</v>
      </c>
      <c r="D33" s="84">
        <f t="shared" si="12"/>
        <v>64.790866739420707</v>
      </c>
      <c r="E33" s="84">
        <f>J33-SUM(F$7:F33)</f>
        <v>5.7359482678224527</v>
      </c>
      <c r="F33" s="13">
        <f t="shared" si="13"/>
        <v>0.39000000000000007</v>
      </c>
      <c r="G33" s="13">
        <f t="shared" si="14"/>
        <v>1</v>
      </c>
      <c r="H33" s="13">
        <f t="shared" si="15"/>
        <v>1</v>
      </c>
      <c r="I33" s="20">
        <f>I32+(I35-I15)/20</f>
        <v>0.39000000000000007</v>
      </c>
      <c r="J33" s="13">
        <f t="shared" si="16"/>
        <v>12.290948267822452</v>
      </c>
      <c r="K33" s="13"/>
      <c r="L33" s="84">
        <f t="shared" si="21"/>
        <v>64.999701447747753</v>
      </c>
      <c r="M33" s="13">
        <f t="shared" si="8"/>
        <v>64.999819508772802</v>
      </c>
      <c r="N33" s="13">
        <f t="shared" si="17"/>
        <v>2037.5323884859279</v>
      </c>
      <c r="O33" s="13">
        <f t="shared" si="9"/>
        <v>2017.0360872069343</v>
      </c>
      <c r="P33" s="13">
        <f t="shared" si="23"/>
        <v>1.0145159571796043</v>
      </c>
      <c r="R33">
        <v>2038</v>
      </c>
      <c r="S33" s="13">
        <v>64.731776026663411</v>
      </c>
      <c r="T33" s="13">
        <v>64.731776026663411</v>
      </c>
      <c r="U33" s="13">
        <v>64.437263184421539</v>
      </c>
      <c r="V33"/>
      <c r="W33">
        <v>2038</v>
      </c>
      <c r="X33" s="13">
        <v>60.197543389923901</v>
      </c>
      <c r="Y33" s="13">
        <f t="shared" si="18"/>
        <v>64.731776026663411</v>
      </c>
      <c r="Z33" s="13">
        <v>64.995726211888879</v>
      </c>
      <c r="AA33" s="12"/>
      <c r="AB33" s="13">
        <f t="shared" si="0"/>
        <v>64.999819508772802</v>
      </c>
      <c r="AE33" s="33">
        <f t="shared" si="1"/>
        <v>12.79421287724797</v>
      </c>
      <c r="AG33">
        <v>29</v>
      </c>
    </row>
    <row r="34" spans="1:33">
      <c r="A34">
        <v>2039</v>
      </c>
      <c r="C34" s="13">
        <f t="shared" si="22"/>
        <v>64.812481839970701</v>
      </c>
      <c r="D34" s="84">
        <f t="shared" si="12"/>
        <v>64.852878675457418</v>
      </c>
      <c r="E34" s="84">
        <f>J34-SUM(F$7:F34)</f>
        <v>6.0886189951122232</v>
      </c>
      <c r="F34" s="13">
        <f t="shared" si="13"/>
        <v>0.39500000000000007</v>
      </c>
      <c r="G34" s="13">
        <f t="shared" si="14"/>
        <v>1</v>
      </c>
      <c r="H34" s="13">
        <f t="shared" si="15"/>
        <v>1</v>
      </c>
      <c r="I34" s="20">
        <f>I33+(I35-I15)/20</f>
        <v>0.39500000000000007</v>
      </c>
      <c r="J34" s="13">
        <f t="shared" si="16"/>
        <v>13.038618995112223</v>
      </c>
      <c r="K34" s="13"/>
      <c r="L34" s="84">
        <f t="shared" si="21"/>
        <v>64.999858644688828</v>
      </c>
      <c r="M34" s="13">
        <f t="shared" si="8"/>
        <v>64.999914543216207</v>
      </c>
      <c r="N34" s="13">
        <f t="shared" si="17"/>
        <v>2038.5323884859279</v>
      </c>
      <c r="O34" s="13">
        <f t="shared" si="9"/>
        <v>2017.0360872069343</v>
      </c>
      <c r="P34" s="13">
        <f t="shared" si="23"/>
        <v>1.0145159571796043</v>
      </c>
      <c r="R34">
        <v>2039</v>
      </c>
      <c r="S34" s="13">
        <v>64.812481839970701</v>
      </c>
      <c r="T34" s="13">
        <v>64.812481839970701</v>
      </c>
      <c r="U34" s="13">
        <v>64.605782776073085</v>
      </c>
      <c r="V34"/>
      <c r="W34">
        <v>2039</v>
      </c>
      <c r="X34" s="13">
        <v>61.538158013694485</v>
      </c>
      <c r="Y34" s="13">
        <f t="shared" si="18"/>
        <v>64.812481839970701</v>
      </c>
      <c r="Z34" s="13">
        <v>64.997620540419788</v>
      </c>
      <c r="AA34" s="12"/>
      <c r="AB34" s="13">
        <f t="shared" si="0"/>
        <v>64.999914543216207</v>
      </c>
      <c r="AE34" s="33">
        <f t="shared" si="1"/>
        <v>13.541885717660991</v>
      </c>
      <c r="AG34">
        <v>30</v>
      </c>
    </row>
    <row r="35" spans="1:33">
      <c r="A35">
        <v>2040</v>
      </c>
      <c r="C35" s="13">
        <f t="shared" si="22"/>
        <v>64.868432896549479</v>
      </c>
      <c r="D35" s="84">
        <f>65*EXP(E35)/(1+EXP(E35))</f>
        <v>64.896014584140246</v>
      </c>
      <c r="E35" s="84">
        <f>J35-SUM(F$7:F35)</f>
        <v>6.436290835051607</v>
      </c>
      <c r="F35" s="13">
        <f t="shared" si="13"/>
        <v>0.4</v>
      </c>
      <c r="G35" s="13">
        <f t="shared" si="14"/>
        <v>1</v>
      </c>
      <c r="H35" s="13">
        <f t="shared" si="15"/>
        <v>1</v>
      </c>
      <c r="I35" s="89">
        <v>0.4</v>
      </c>
      <c r="J35" s="13">
        <f t="shared" si="16"/>
        <v>13.786290835051608</v>
      </c>
      <c r="K35" s="13"/>
      <c r="L35" s="84">
        <f t="shared" si="21"/>
        <v>64.999933072766424</v>
      </c>
      <c r="M35" s="13">
        <f t="shared" si="8"/>
        <v>64.999959538995952</v>
      </c>
      <c r="N35" s="13">
        <f t="shared" si="17"/>
        <v>2039.5323884859279</v>
      </c>
      <c r="O35" s="13">
        <f t="shared" si="9"/>
        <v>2017.0360872069343</v>
      </c>
      <c r="P35" s="13">
        <f t="shared" si="23"/>
        <v>1.0145159571796043</v>
      </c>
      <c r="R35" s="87">
        <v>2040</v>
      </c>
      <c r="S35" s="13">
        <v>64.868432896549479</v>
      </c>
      <c r="T35" s="13">
        <v>64.868432896549479</v>
      </c>
      <c r="U35" s="13">
        <v>64.723020020772324</v>
      </c>
      <c r="V35"/>
      <c r="W35" s="87">
        <v>2040</v>
      </c>
      <c r="X35" s="13">
        <v>62.517471694650339</v>
      </c>
      <c r="Y35" s="13">
        <f t="shared" si="18"/>
        <v>64.868432896549479</v>
      </c>
      <c r="Z35" s="13">
        <v>64.998672690450078</v>
      </c>
      <c r="AA35" s="12"/>
      <c r="AB35" s="13">
        <f t="shared" si="0"/>
        <v>64.999959538995952</v>
      </c>
      <c r="AE35" s="33">
        <f t="shared" si="1"/>
        <v>14.289558558074015</v>
      </c>
      <c r="AG35">
        <v>31</v>
      </c>
    </row>
    <row r="36" spans="1:33">
      <c r="A36">
        <v>2041</v>
      </c>
      <c r="C36" s="13">
        <f t="shared" si="22"/>
        <v>64.907394628400027</v>
      </c>
      <c r="D36" s="84">
        <f t="shared" si="12"/>
        <v>64.92651743209575</v>
      </c>
      <c r="E36" s="84">
        <f>J36-SUM(F$7:F36)</f>
        <v>6.7839632016163369</v>
      </c>
      <c r="F36" s="13">
        <f t="shared" si="13"/>
        <v>0.4</v>
      </c>
      <c r="G36" s="13">
        <f t="shared" si="14"/>
        <v>1</v>
      </c>
      <c r="H36" s="13">
        <f t="shared" si="15"/>
        <v>1</v>
      </c>
      <c r="I36" s="89">
        <f>I35</f>
        <v>0.4</v>
      </c>
      <c r="J36" s="13">
        <f t="shared" si="16"/>
        <v>14.533963201616338</v>
      </c>
      <c r="K36" s="13"/>
      <c r="L36" s="84">
        <f t="shared" si="21"/>
        <v>64.999968312124267</v>
      </c>
      <c r="M36" s="13">
        <f t="shared" si="8"/>
        <v>64.999980843039268</v>
      </c>
      <c r="N36" s="13">
        <f t="shared" si="17"/>
        <v>2040.5323884859279</v>
      </c>
      <c r="O36" s="13">
        <f t="shared" si="9"/>
        <v>2017.0360872069343</v>
      </c>
      <c r="P36" s="13">
        <f t="shared" si="23"/>
        <v>1.0145159571796043</v>
      </c>
      <c r="R36">
        <v>2041</v>
      </c>
      <c r="S36" s="13">
        <v>64.907394628400027</v>
      </c>
      <c r="T36" s="13">
        <v>64.907394628400027</v>
      </c>
      <c r="U36" s="13">
        <v>64.804854839029318</v>
      </c>
      <c r="V36"/>
      <c r="W36">
        <v>2041</v>
      </c>
      <c r="X36" s="13">
        <v>63.22539372867972</v>
      </c>
      <c r="Y36" s="13">
        <f t="shared" si="18"/>
        <v>64.907394628400027</v>
      </c>
      <c r="Z36" s="13">
        <v>64.999258301656539</v>
      </c>
      <c r="AA36" s="12"/>
      <c r="AB36" s="13">
        <f t="shared" si="0"/>
        <v>64.999980843039268</v>
      </c>
      <c r="AE36" s="33">
        <f t="shared" si="1"/>
        <v>15.037231398487039</v>
      </c>
      <c r="AG36">
        <v>32</v>
      </c>
    </row>
    <row r="37" spans="1:33">
      <c r="A37">
        <v>2042</v>
      </c>
      <c r="C37" s="13">
        <f t="shared" si="22"/>
        <v>64.934655723537105</v>
      </c>
      <c r="D37" s="84">
        <f t="shared" si="12"/>
        <v>64.948079814760504</v>
      </c>
      <c r="E37" s="84">
        <f>J37-SUM(F$7:F37)</f>
        <v>7.1316358174324108</v>
      </c>
      <c r="F37" s="13">
        <f t="shared" si="13"/>
        <v>0.4</v>
      </c>
      <c r="G37" s="13">
        <f t="shared" si="14"/>
        <v>1</v>
      </c>
      <c r="H37" s="13">
        <f t="shared" si="15"/>
        <v>1</v>
      </c>
      <c r="I37" s="89">
        <f t="shared" ref="I37:I50" si="24">I36</f>
        <v>0.4</v>
      </c>
      <c r="J37" s="13">
        <f t="shared" si="16"/>
        <v>15.281635817432411</v>
      </c>
      <c r="K37" s="13"/>
      <c r="L37" s="84">
        <f t="shared" si="21"/>
        <v>64.999984996825987</v>
      </c>
      <c r="M37" s="13">
        <f t="shared" si="8"/>
        <v>64.999990929807851</v>
      </c>
      <c r="N37" s="13">
        <f t="shared" si="17"/>
        <v>2041.5323884859279</v>
      </c>
      <c r="O37" s="13">
        <f t="shared" si="9"/>
        <v>2017.0360872069343</v>
      </c>
      <c r="P37" s="13">
        <f t="shared" si="23"/>
        <v>1.0145159571796043</v>
      </c>
      <c r="R37">
        <v>2042</v>
      </c>
      <c r="S37" s="13">
        <v>64.934655723537105</v>
      </c>
      <c r="T37" s="13">
        <v>64.934655723537105</v>
      </c>
      <c r="U37" s="13">
        <v>64.862208907748453</v>
      </c>
      <c r="V37"/>
      <c r="W37">
        <v>2042</v>
      </c>
      <c r="X37" s="13">
        <v>63.73403065502405</v>
      </c>
      <c r="Y37" s="13">
        <f t="shared" si="18"/>
        <v>64.934655723537105</v>
      </c>
      <c r="Z37" s="13">
        <v>64.999584933940909</v>
      </c>
      <c r="AA37" s="12"/>
      <c r="AB37" s="13">
        <f t="shared" si="0"/>
        <v>64.999990929807851</v>
      </c>
      <c r="AE37" s="33">
        <f t="shared" si="1"/>
        <v>15.784904238900063</v>
      </c>
      <c r="AG37">
        <v>33</v>
      </c>
    </row>
    <row r="38" spans="1:33">
      <c r="A38">
        <v>2043</v>
      </c>
      <c r="C38" s="13">
        <f t="shared" si="22"/>
        <v>64.953825790065622</v>
      </c>
      <c r="D38" s="84">
        <f t="shared" si="12"/>
        <v>64.963318611240339</v>
      </c>
      <c r="E38" s="84">
        <f>J38-SUM(F$7:F38)</f>
        <v>7.4793085523590683</v>
      </c>
      <c r="F38" s="13">
        <f t="shared" si="13"/>
        <v>0.4</v>
      </c>
      <c r="G38" s="13">
        <f t="shared" si="14"/>
        <v>1</v>
      </c>
      <c r="H38" s="13">
        <f t="shared" si="15"/>
        <v>1</v>
      </c>
      <c r="I38" s="89">
        <f t="shared" si="24"/>
        <v>0.4</v>
      </c>
      <c r="J38" s="13">
        <f t="shared" si="16"/>
        <v>16.029308552359069</v>
      </c>
      <c r="K38" s="13"/>
      <c r="L38" s="84">
        <f t="shared" si="21"/>
        <v>64.999992896489019</v>
      </c>
      <c r="M38" s="13">
        <f t="shared" si="8"/>
        <v>64.999995705562057</v>
      </c>
      <c r="N38" s="13">
        <f t="shared" si="17"/>
        <v>2042.5323884859279</v>
      </c>
      <c r="O38" s="13">
        <f t="shared" si="9"/>
        <v>2017.0360872069343</v>
      </c>
      <c r="P38" s="13">
        <f t="shared" si="23"/>
        <v>1.0145159571796043</v>
      </c>
      <c r="R38">
        <v>2043</v>
      </c>
      <c r="S38" s="13">
        <v>64.953825790065622</v>
      </c>
      <c r="T38" s="13">
        <v>64.953825790065622</v>
      </c>
      <c r="U38" s="13">
        <v>64.902586921865492</v>
      </c>
      <c r="V38"/>
      <c r="W38">
        <v>2043</v>
      </c>
      <c r="X38" s="13">
        <v>64.09847120656795</v>
      </c>
      <c r="Y38" s="13">
        <f t="shared" si="18"/>
        <v>64.953825790065622</v>
      </c>
      <c r="Z38" s="13">
        <v>64.999767504886663</v>
      </c>
      <c r="AA38" s="12"/>
      <c r="AB38" s="13">
        <f t="shared" si="0"/>
        <v>64.999995705562057</v>
      </c>
      <c r="AE38" s="33">
        <f t="shared" si="1"/>
        <v>16.532577079313086</v>
      </c>
      <c r="AG38">
        <v>34</v>
      </c>
    </row>
    <row r="39" spans="1:33">
      <c r="A39">
        <v>2044</v>
      </c>
      <c r="C39" s="13">
        <f t="shared" si="22"/>
        <v>64.96737599427189</v>
      </c>
      <c r="D39" s="84">
        <f t="shared" si="12"/>
        <v>64.974086541685267</v>
      </c>
      <c r="E39" s="84">
        <f>J39-SUM(F$7:F39)</f>
        <v>7.8269813410006339</v>
      </c>
      <c r="F39" s="13">
        <f t="shared" si="13"/>
        <v>0.4</v>
      </c>
      <c r="G39" s="13">
        <f t="shared" si="14"/>
        <v>1</v>
      </c>
      <c r="H39" s="13">
        <f t="shared" si="15"/>
        <v>1</v>
      </c>
      <c r="I39" s="89">
        <f t="shared" si="24"/>
        <v>0.4</v>
      </c>
      <c r="J39" s="13">
        <f t="shared" si="16"/>
        <v>16.776981341000635</v>
      </c>
      <c r="K39" s="13"/>
      <c r="L39" s="84">
        <f t="shared" si="21"/>
        <v>64.999996636720851</v>
      </c>
      <c r="M39" s="13">
        <f t="shared" si="8"/>
        <v>64.999997966724834</v>
      </c>
      <c r="N39" s="13">
        <f t="shared" si="17"/>
        <v>2043.5323884859279</v>
      </c>
      <c r="O39" s="13">
        <f t="shared" si="9"/>
        <v>2017.0360872069343</v>
      </c>
      <c r="P39" s="13">
        <f t="shared" si="23"/>
        <v>1.0145159571796043</v>
      </c>
      <c r="R39">
        <v>2044</v>
      </c>
      <c r="S39" s="13">
        <v>64.96737599427189</v>
      </c>
      <c r="T39" s="13">
        <v>64.96737599427189</v>
      </c>
      <c r="U39" s="13">
        <v>64.931150705565116</v>
      </c>
      <c r="V39"/>
      <c r="W39">
        <v>2044</v>
      </c>
      <c r="X39" s="13">
        <v>64.35950132697765</v>
      </c>
      <c r="Y39" s="13">
        <f t="shared" si="18"/>
        <v>64.96737599427189</v>
      </c>
      <c r="Z39" s="13">
        <v>64.999869770513257</v>
      </c>
      <c r="AA39" s="12"/>
      <c r="AB39" s="13">
        <f t="shared" si="0"/>
        <v>64.999997966724834</v>
      </c>
      <c r="AE39" s="33">
        <f t="shared" si="1"/>
        <v>17.28024991972611</v>
      </c>
      <c r="AG39">
        <v>35</v>
      </c>
    </row>
    <row r="40" spans="1:33">
      <c r="A40">
        <v>2045</v>
      </c>
      <c r="C40" s="13">
        <f t="shared" si="22"/>
        <v>64.976951807674297</v>
      </c>
      <c r="D40" s="84">
        <f t="shared" si="12"/>
        <v>64.981694405380281</v>
      </c>
      <c r="E40" s="84">
        <f>J40-SUM(F$7:F40)</f>
        <v>8.1746541546314617</v>
      </c>
      <c r="F40" s="13">
        <f t="shared" si="13"/>
        <v>0.4</v>
      </c>
      <c r="G40" s="13">
        <f t="shared" si="14"/>
        <v>1</v>
      </c>
      <c r="H40" s="13">
        <f t="shared" si="15"/>
        <v>1</v>
      </c>
      <c r="I40" s="89">
        <f t="shared" si="24"/>
        <v>0.4</v>
      </c>
      <c r="J40" s="13">
        <f t="shared" si="16"/>
        <v>17.524654154631463</v>
      </c>
      <c r="K40" s="13"/>
      <c r="L40" s="84">
        <f t="shared" si="21"/>
        <v>64.999998407597872</v>
      </c>
      <c r="M40" s="13">
        <f t="shared" si="8"/>
        <v>64.999999037311071</v>
      </c>
      <c r="N40" s="13">
        <f t="shared" si="17"/>
        <v>2044.5323884859279</v>
      </c>
      <c r="O40" s="13">
        <f t="shared" si="9"/>
        <v>2017.0360872069343</v>
      </c>
      <c r="P40" s="13">
        <f t="shared" si="23"/>
        <v>1.0145159571796043</v>
      </c>
      <c r="R40">
        <v>2045</v>
      </c>
      <c r="S40" s="13">
        <v>64.976951807674297</v>
      </c>
      <c r="T40" s="13">
        <v>64.976951807674297</v>
      </c>
      <c r="U40" s="13">
        <v>64.951347946501372</v>
      </c>
      <c r="V40"/>
      <c r="W40">
        <v>2045</v>
      </c>
      <c r="X40" s="13">
        <v>64.545717501485086</v>
      </c>
      <c r="Y40" s="13">
        <f t="shared" si="18"/>
        <v>64.976951807674297</v>
      </c>
      <c r="Z40" s="13">
        <v>64.999927053542777</v>
      </c>
      <c r="AA40" s="12"/>
      <c r="AB40" s="13">
        <f t="shared" si="0"/>
        <v>64.999999037311071</v>
      </c>
      <c r="AE40" s="33">
        <f t="shared" si="1"/>
        <v>18.027922760139134</v>
      </c>
      <c r="AG40">
        <v>36</v>
      </c>
    </row>
    <row r="41" spans="1:33">
      <c r="A41">
        <v>2046</v>
      </c>
      <c r="C41" s="13">
        <f t="shared" si="22"/>
        <v>64.98371793629633</v>
      </c>
      <c r="D41" s="84">
        <f t="shared" si="12"/>
        <v>64.987069141157036</v>
      </c>
      <c r="E41" s="84">
        <f>J41-SUM(F$7:F41)</f>
        <v>8.5223269797172119</v>
      </c>
      <c r="F41" s="13">
        <f t="shared" si="13"/>
        <v>0.4</v>
      </c>
      <c r="G41" s="13">
        <f t="shared" si="14"/>
        <v>1</v>
      </c>
      <c r="H41" s="13">
        <f t="shared" si="15"/>
        <v>1</v>
      </c>
      <c r="I41" s="89">
        <f t="shared" si="24"/>
        <v>0.4</v>
      </c>
      <c r="J41" s="13">
        <f t="shared" si="16"/>
        <v>18.272326979717214</v>
      </c>
      <c r="K41" s="13"/>
      <c r="L41" s="84">
        <f t="shared" si="21"/>
        <v>64.999999246049953</v>
      </c>
      <c r="M41" s="13">
        <f t="shared" si="8"/>
        <v>64.999999544198459</v>
      </c>
      <c r="N41" s="13">
        <f t="shared" si="17"/>
        <v>2045.5323884859279</v>
      </c>
      <c r="O41" s="13">
        <f t="shared" si="9"/>
        <v>2017.0360872069343</v>
      </c>
      <c r="P41" s="13">
        <f t="shared" si="23"/>
        <v>1.0145159571796043</v>
      </c>
      <c r="R41">
        <v>2046</v>
      </c>
      <c r="S41" s="13">
        <v>64.98371793629633</v>
      </c>
      <c r="T41" s="13">
        <v>64.98371793629633</v>
      </c>
      <c r="U41" s="13">
        <v>64.96562474605858</v>
      </c>
      <c r="V41"/>
      <c r="W41">
        <v>2046</v>
      </c>
      <c r="X41" s="13">
        <v>64.678181196301267</v>
      </c>
      <c r="Y41" s="13">
        <f t="shared" si="18"/>
        <v>64.98371793629633</v>
      </c>
      <c r="Z41" s="13">
        <v>64.99995913996456</v>
      </c>
      <c r="AA41" s="12"/>
      <c r="AB41" s="13">
        <f t="shared" si="0"/>
        <v>64.999999544198459</v>
      </c>
      <c r="AE41" s="33">
        <f t="shared" si="1"/>
        <v>18.775595600552158</v>
      </c>
      <c r="AG41">
        <v>37</v>
      </c>
    </row>
    <row r="42" spans="1:33">
      <c r="A42">
        <v>2047</v>
      </c>
      <c r="C42" s="13">
        <f t="shared" si="22"/>
        <v>64.988498275541374</v>
      </c>
      <c r="D42" s="84">
        <f t="shared" si="12"/>
        <v>64.990866013584125</v>
      </c>
      <c r="E42" s="84">
        <f>J42-SUM(F$7:F42)</f>
        <v>8.8699997885778998</v>
      </c>
      <c r="F42" s="13">
        <f t="shared" si="13"/>
        <v>0.4</v>
      </c>
      <c r="G42" s="13">
        <f t="shared" si="14"/>
        <v>1</v>
      </c>
      <c r="H42" s="13">
        <f t="shared" si="15"/>
        <v>1</v>
      </c>
      <c r="I42" s="89">
        <f t="shared" si="24"/>
        <v>0.4</v>
      </c>
      <c r="J42" s="13">
        <f t="shared" si="16"/>
        <v>19.019999788577902</v>
      </c>
      <c r="K42" s="13"/>
      <c r="L42" s="84">
        <f t="shared" si="21"/>
        <v>64.99999964302944</v>
      </c>
      <c r="M42" s="13">
        <f t="shared" si="8"/>
        <v>64.999999784192951</v>
      </c>
      <c r="N42" s="13">
        <f t="shared" si="17"/>
        <v>2046.5323884859279</v>
      </c>
      <c r="O42" s="13">
        <f t="shared" si="9"/>
        <v>2017.0360872069343</v>
      </c>
      <c r="P42" s="13">
        <f t="shared" si="23"/>
        <v>1.0145159571796043</v>
      </c>
      <c r="R42">
        <v>2047</v>
      </c>
      <c r="S42" s="13">
        <v>64.988498275541374</v>
      </c>
      <c r="T42" s="13">
        <v>64.988498275541374</v>
      </c>
      <c r="U42" s="13">
        <v>64.975714312045781</v>
      </c>
      <c r="V42"/>
      <c r="W42">
        <v>2047</v>
      </c>
      <c r="X42" s="13">
        <v>64.772215195611452</v>
      </c>
      <c r="Y42" s="13">
        <f t="shared" si="18"/>
        <v>64.988498275541374</v>
      </c>
      <c r="Z42" s="13">
        <v>64.999977112776918</v>
      </c>
      <c r="AA42" s="12"/>
      <c r="AB42" s="13">
        <f t="shared" si="0"/>
        <v>64.999999784192951</v>
      </c>
      <c r="AE42" s="33">
        <f t="shared" si="1"/>
        <v>19.523268440965182</v>
      </c>
      <c r="AG42">
        <v>38</v>
      </c>
    </row>
    <row r="43" spans="1:33">
      <c r="A43">
        <v>2048</v>
      </c>
      <c r="C43" s="13">
        <f t="shared" si="22"/>
        <v>64.991875381485059</v>
      </c>
      <c r="D43" s="84">
        <f t="shared" si="12"/>
        <v>64.99354812591254</v>
      </c>
      <c r="E43" s="84">
        <f>J43-SUM(F$7:F43)</f>
        <v>9.2176726395493294</v>
      </c>
      <c r="F43" s="13">
        <f t="shared" si="13"/>
        <v>0.4</v>
      </c>
      <c r="G43" s="13">
        <f t="shared" si="14"/>
        <v>1</v>
      </c>
      <c r="H43" s="13">
        <f t="shared" si="15"/>
        <v>1</v>
      </c>
      <c r="I43" s="89">
        <f t="shared" si="24"/>
        <v>0.4</v>
      </c>
      <c r="J43" s="13">
        <f t="shared" si="16"/>
        <v>19.767672639549332</v>
      </c>
      <c r="K43" s="13"/>
      <c r="L43" s="84">
        <f t="shared" si="21"/>
        <v>64.999999830986184</v>
      </c>
      <c r="M43" s="13">
        <f t="shared" si="8"/>
        <v>64.999999897822462</v>
      </c>
      <c r="N43" s="13">
        <f t="shared" si="17"/>
        <v>2047.5323884859279</v>
      </c>
      <c r="O43" s="13">
        <f t="shared" si="9"/>
        <v>2017.0360872069343</v>
      </c>
      <c r="P43" s="13">
        <f t="shared" si="23"/>
        <v>1.0145159571796043</v>
      </c>
      <c r="R43">
        <v>2048</v>
      </c>
      <c r="S43" s="13">
        <v>64.991875381485059</v>
      </c>
      <c r="T43" s="13">
        <v>64.991875381485059</v>
      </c>
      <c r="U43" s="13">
        <v>64.9828435877629</v>
      </c>
      <c r="V43"/>
      <c r="W43">
        <v>2048</v>
      </c>
      <c r="X43" s="13">
        <v>64.838871006502657</v>
      </c>
      <c r="Y43" s="13">
        <f t="shared" si="18"/>
        <v>64.991875381485059</v>
      </c>
      <c r="Z43" s="13">
        <v>64.999987174677301</v>
      </c>
      <c r="AA43" s="12"/>
      <c r="AB43" s="13">
        <f t="shared" si="0"/>
        <v>64.999999897822462</v>
      </c>
      <c r="AE43" s="33">
        <f t="shared" si="1"/>
        <v>20.270941281378207</v>
      </c>
      <c r="AG43">
        <v>39</v>
      </c>
    </row>
    <row r="44" spans="1:33">
      <c r="A44">
        <v>2049</v>
      </c>
      <c r="C44" s="13">
        <f t="shared" si="22"/>
        <v>64.994261036094812</v>
      </c>
      <c r="D44" s="84">
        <f t="shared" si="12"/>
        <v>64.99544271511472</v>
      </c>
      <c r="E44" s="84">
        <f>J44-SUM(F$7:F44)</f>
        <v>9.5653454080465607</v>
      </c>
      <c r="F44" s="13">
        <f t="shared" si="13"/>
        <v>0.4</v>
      </c>
      <c r="G44" s="13">
        <f t="shared" si="14"/>
        <v>1</v>
      </c>
      <c r="H44" s="13">
        <f t="shared" si="15"/>
        <v>1</v>
      </c>
      <c r="I44" s="89">
        <f t="shared" si="24"/>
        <v>0.4</v>
      </c>
      <c r="J44" s="13">
        <f t="shared" si="16"/>
        <v>20.515345408046564</v>
      </c>
      <c r="K44" s="13"/>
      <c r="L44" s="84">
        <f t="shared" si="21"/>
        <v>64.999999919977512</v>
      </c>
      <c r="M44" s="13">
        <f t="shared" si="8"/>
        <v>64.9999999516223</v>
      </c>
      <c r="N44" s="13">
        <f t="shared" si="17"/>
        <v>2048.5323884859281</v>
      </c>
      <c r="O44" s="13">
        <f t="shared" si="9"/>
        <v>2017.0360872069343</v>
      </c>
      <c r="P44" s="13">
        <f t="shared" si="23"/>
        <v>1.0145159571796043</v>
      </c>
      <c r="R44">
        <v>2049</v>
      </c>
      <c r="S44" s="13">
        <v>64.994261036094812</v>
      </c>
      <c r="T44" s="13">
        <v>64.994261036094812</v>
      </c>
      <c r="U44" s="13">
        <v>64.98788056351701</v>
      </c>
      <c r="V44"/>
      <c r="W44">
        <v>2049</v>
      </c>
      <c r="X44" s="13">
        <v>64.886070786488702</v>
      </c>
      <c r="Y44" s="13">
        <f t="shared" si="18"/>
        <v>64.994261036094812</v>
      </c>
      <c r="Z44" s="13">
        <v>64.999992798080726</v>
      </c>
      <c r="AA44" s="12"/>
      <c r="AB44" s="13">
        <f t="shared" si="0"/>
        <v>64.9999999516223</v>
      </c>
      <c r="AE44" s="33">
        <f t="shared" si="1"/>
        <v>21.018614121791224</v>
      </c>
      <c r="AG44">
        <v>40</v>
      </c>
    </row>
    <row r="45" spans="1:33">
      <c r="A45">
        <v>2050</v>
      </c>
      <c r="C45" s="13">
        <f t="shared" si="22"/>
        <v>64.99594624643278</v>
      </c>
      <c r="D45" s="84">
        <f t="shared" si="12"/>
        <v>64.996780985955724</v>
      </c>
      <c r="E45" s="84">
        <f>J45-SUM(F$7:F45)</f>
        <v>9.9130179091219066</v>
      </c>
      <c r="F45" s="13">
        <f t="shared" si="13"/>
        <v>0.4</v>
      </c>
      <c r="G45" s="13">
        <f t="shared" si="14"/>
        <v>1</v>
      </c>
      <c r="H45" s="13">
        <f t="shared" si="15"/>
        <v>1</v>
      </c>
      <c r="I45" s="89">
        <f t="shared" si="24"/>
        <v>0.4</v>
      </c>
      <c r="J45" s="13">
        <f t="shared" si="16"/>
        <v>21.26301790912191</v>
      </c>
      <c r="K45" s="13"/>
      <c r="L45" s="84">
        <f t="shared" si="21"/>
        <v>64.999999962111971</v>
      </c>
      <c r="M45" s="13">
        <f t="shared" si="8"/>
        <v>64.999999977094745</v>
      </c>
      <c r="N45" s="13">
        <f t="shared" si="17"/>
        <v>2049.5323884859281</v>
      </c>
      <c r="O45" s="13">
        <f t="shared" si="9"/>
        <v>2017.0360872069343</v>
      </c>
      <c r="P45" s="13">
        <f t="shared" si="23"/>
        <v>1.0145159571796043</v>
      </c>
      <c r="R45">
        <v>2050</v>
      </c>
      <c r="S45" s="13">
        <v>64.99594624643278</v>
      </c>
      <c r="T45" s="13">
        <v>64.99594624643278</v>
      </c>
      <c r="U45" s="13">
        <v>64.991439005856392</v>
      </c>
      <c r="V45"/>
      <c r="W45">
        <v>2050</v>
      </c>
      <c r="X45" s="13">
        <v>64.919468898308835</v>
      </c>
      <c r="Y45" s="13">
        <f t="shared" si="18"/>
        <v>64.99594624643278</v>
      </c>
      <c r="Z45" s="13">
        <v>64.999995925524203</v>
      </c>
      <c r="AA45" s="12"/>
      <c r="AB45" s="13">
        <f t="shared" si="0"/>
        <v>64.999999977094745</v>
      </c>
      <c r="AE45" s="33">
        <f t="shared" si="1"/>
        <v>21.766286962204248</v>
      </c>
      <c r="AG45">
        <v>41</v>
      </c>
    </row>
    <row r="46" spans="1:33">
      <c r="A46">
        <v>2051</v>
      </c>
      <c r="C46" s="20">
        <f t="shared" si="22"/>
        <v>64.996820144047888</v>
      </c>
      <c r="D46" s="84">
        <f t="shared" si="12"/>
        <v>64.997726283290987</v>
      </c>
      <c r="E46" s="84">
        <f>J46-SUM(F$7:F46)</f>
        <v>10.26069175871466</v>
      </c>
      <c r="F46" s="13">
        <f t="shared" si="13"/>
        <v>0.4</v>
      </c>
      <c r="G46" s="13">
        <f t="shared" si="14"/>
        <v>1</v>
      </c>
      <c r="H46" s="13">
        <f t="shared" si="15"/>
        <v>1</v>
      </c>
      <c r="I46" s="89">
        <f t="shared" si="24"/>
        <v>0.4</v>
      </c>
      <c r="J46" s="13">
        <f t="shared" si="16"/>
        <v>22.010691758714664</v>
      </c>
      <c r="K46" s="13"/>
      <c r="L46" s="84">
        <f t="shared" si="21"/>
        <v>64.999999982061283</v>
      </c>
      <c r="M46" s="13">
        <f t="shared" si="8"/>
        <v>64.999999989155114</v>
      </c>
      <c r="N46" s="13">
        <f t="shared" si="17"/>
        <v>2050.5323884859281</v>
      </c>
      <c r="O46" s="13">
        <f t="shared" si="9"/>
        <v>2017.0360872069343</v>
      </c>
      <c r="P46" s="13">
        <f t="shared" si="23"/>
        <v>1.0145159571796043</v>
      </c>
      <c r="Y46" s="33"/>
      <c r="Z46" s="33"/>
      <c r="AA46" s="33"/>
      <c r="AB46" s="13">
        <f t="shared" si="0"/>
        <v>64.999999989155114</v>
      </c>
      <c r="AE46" s="33">
        <f t="shared" si="1"/>
        <v>22.513959802617272</v>
      </c>
      <c r="AG46">
        <v>42</v>
      </c>
    </row>
    <row r="47" spans="1:33">
      <c r="A47">
        <v>2052</v>
      </c>
      <c r="C47" s="20">
        <f t="shared" si="22"/>
        <v>64.997098941848762</v>
      </c>
      <c r="D47" s="84">
        <f t="shared" si="12"/>
        <v>64.998393987648541</v>
      </c>
      <c r="E47" s="84">
        <f>J47-SUM(F$7:F47)</f>
        <v>10.608363534374002</v>
      </c>
      <c r="F47" s="13">
        <f t="shared" si="13"/>
        <v>0.4</v>
      </c>
      <c r="G47" s="13">
        <f t="shared" si="14"/>
        <v>1</v>
      </c>
      <c r="H47" s="13">
        <f t="shared" si="15"/>
        <v>1</v>
      </c>
      <c r="I47" s="89">
        <f t="shared" si="24"/>
        <v>0.4</v>
      </c>
      <c r="J47" s="13">
        <f t="shared" si="16"/>
        <v>22.758363534374006</v>
      </c>
      <c r="K47" s="13"/>
      <c r="L47" s="84">
        <f t="shared" si="21"/>
        <v>64.999999991506598</v>
      </c>
      <c r="M47" s="13">
        <f t="shared" si="8"/>
        <v>64.999999994865306</v>
      </c>
      <c r="N47" s="13">
        <f t="shared" si="17"/>
        <v>2051.5323884859281</v>
      </c>
      <c r="O47" s="13">
        <f t="shared" si="9"/>
        <v>2017.0360872069343</v>
      </c>
      <c r="P47" s="13">
        <f t="shared" si="23"/>
        <v>1.0145159571796043</v>
      </c>
      <c r="Y47" s="33"/>
      <c r="Z47" s="33"/>
      <c r="AA47" s="33"/>
      <c r="AB47" s="13">
        <f t="shared" si="0"/>
        <v>64.999999994865306</v>
      </c>
      <c r="AE47" s="33">
        <f t="shared" si="1"/>
        <v>23.261632643030296</v>
      </c>
      <c r="AG47">
        <v>43</v>
      </c>
    </row>
    <row r="48" spans="1:33">
      <c r="A48">
        <v>2053</v>
      </c>
      <c r="C48" s="20">
        <f t="shared" si="22"/>
        <v>64.997374979637755</v>
      </c>
      <c r="D48" s="84">
        <f t="shared" si="12"/>
        <v>64.998865613522739</v>
      </c>
      <c r="E48" s="84">
        <f>J48-SUM(F$7:F48)</f>
        <v>10.956033140503571</v>
      </c>
      <c r="F48" s="13">
        <f t="shared" si="13"/>
        <v>0.4</v>
      </c>
      <c r="G48" s="13">
        <f t="shared" si="14"/>
        <v>1</v>
      </c>
      <c r="H48" s="13">
        <f t="shared" si="15"/>
        <v>1</v>
      </c>
      <c r="I48" s="89">
        <f t="shared" si="24"/>
        <v>0.4</v>
      </c>
      <c r="J48" s="13">
        <f t="shared" si="16"/>
        <v>23.506033140503575</v>
      </c>
      <c r="K48" s="13"/>
      <c r="L48" s="84">
        <f t="shared" si="21"/>
        <v>64.999999995978641</v>
      </c>
      <c r="M48" s="13">
        <f t="shared" si="8"/>
        <v>64.999999997568892</v>
      </c>
      <c r="N48" s="13">
        <f t="shared" si="17"/>
        <v>2052.5323884859281</v>
      </c>
      <c r="O48" s="13">
        <f t="shared" si="9"/>
        <v>2017.0360872069343</v>
      </c>
      <c r="P48" s="13">
        <f t="shared" si="23"/>
        <v>1.0145159571796043</v>
      </c>
      <c r="Y48" s="33"/>
      <c r="Z48" s="33"/>
      <c r="AA48" s="33"/>
      <c r="AB48" s="13">
        <f t="shared" si="0"/>
        <v>64.999999997568892</v>
      </c>
      <c r="AE48" s="33">
        <f t="shared" si="1"/>
        <v>24.00930548344332</v>
      </c>
      <c r="AG48">
        <v>44</v>
      </c>
    </row>
    <row r="49" spans="1:33">
      <c r="A49">
        <v>2054</v>
      </c>
      <c r="C49" s="20">
        <f t="shared" si="22"/>
        <v>64.997493778374178</v>
      </c>
      <c r="D49" s="84">
        <f t="shared" si="12"/>
        <v>64.996983296890008</v>
      </c>
      <c r="E49" s="84">
        <f>J49-SUM(F$7:F49)</f>
        <v>9.9779315873512449</v>
      </c>
      <c r="F49" s="13">
        <f t="shared" si="13"/>
        <v>0.4</v>
      </c>
      <c r="G49" s="13">
        <f t="shared" si="14"/>
        <v>1</v>
      </c>
      <c r="H49" s="13">
        <f t="shared" si="15"/>
        <v>1</v>
      </c>
      <c r="I49" s="89">
        <f t="shared" si="24"/>
        <v>0.4</v>
      </c>
      <c r="J49" s="13">
        <f t="shared" si="16"/>
        <v>22.927931587351249</v>
      </c>
      <c r="K49" s="13"/>
      <c r="L49" s="84">
        <f>AVERAGE(M45:M50)</f>
        <v>64.99999999283132</v>
      </c>
      <c r="M49" s="13">
        <f t="shared" si="8"/>
        <v>64.999999998848949</v>
      </c>
      <c r="N49" s="13">
        <f t="shared" si="17"/>
        <v>2053.5323884859281</v>
      </c>
      <c r="O49" s="13">
        <f t="shared" si="9"/>
        <v>2017.0360872069343</v>
      </c>
      <c r="P49" s="13">
        <f t="shared" si="23"/>
        <v>1.0145159571796043</v>
      </c>
      <c r="Y49" s="33"/>
      <c r="Z49" s="33"/>
      <c r="AA49" s="33"/>
      <c r="AB49" s="13">
        <f t="shared" si="0"/>
        <v>64.999999998848949</v>
      </c>
      <c r="AE49" s="33">
        <f t="shared" si="1"/>
        <v>24.756978323856345</v>
      </c>
      <c r="AG49">
        <v>45</v>
      </c>
    </row>
    <row r="50" spans="1:33">
      <c r="A50">
        <v>2055</v>
      </c>
      <c r="C50" s="20">
        <f>AVERAGE(D47:D53)</f>
        <v>64.997435652144958</v>
      </c>
      <c r="D50" s="84">
        <f t="shared" si="12"/>
        <v>64.995499710518601</v>
      </c>
      <c r="E50" s="84">
        <f>J50-SUM(F$7:F50)</f>
        <v>9.5779315873512445</v>
      </c>
      <c r="F50" s="13">
        <f t="shared" si="13"/>
        <v>0.4</v>
      </c>
      <c r="G50" s="13">
        <f t="shared" si="14"/>
        <v>1</v>
      </c>
      <c r="H50" s="13">
        <f t="shared" si="15"/>
        <v>1</v>
      </c>
      <c r="I50" s="89">
        <f t="shared" si="24"/>
        <v>0.4</v>
      </c>
      <c r="J50" s="13">
        <f t="shared" si="16"/>
        <v>22.927931587351249</v>
      </c>
      <c r="K50" s="13"/>
      <c r="L50" s="84">
        <f>AVERAGE(M45:M50)</f>
        <v>64.99999999283132</v>
      </c>
      <c r="M50" s="13">
        <f t="shared" si="8"/>
        <v>64.999999999455014</v>
      </c>
      <c r="N50" s="13">
        <f t="shared" si="17"/>
        <v>2054.5323884859281</v>
      </c>
      <c r="O50" s="13">
        <f t="shared" si="9"/>
        <v>2017.0360872069343</v>
      </c>
      <c r="P50" s="13">
        <f t="shared" si="23"/>
        <v>1.0145159571796043</v>
      </c>
      <c r="Y50" s="33"/>
      <c r="Z50" s="33"/>
      <c r="AA50" s="33"/>
      <c r="AB50" s="13">
        <f t="shared" si="0"/>
        <v>64.999999999455014</v>
      </c>
      <c r="AE50" s="33">
        <f t="shared" si="1"/>
        <v>25.504651164269369</v>
      </c>
      <c r="AG50">
        <v>46</v>
      </c>
    </row>
    <row r="51" spans="1:33">
      <c r="N51"/>
      <c r="O51"/>
      <c r="P51"/>
      <c r="Y51" s="33"/>
      <c r="Z51" s="33"/>
      <c r="AA51" s="33"/>
    </row>
    <row r="52" spans="1:33">
      <c r="N52"/>
      <c r="O52"/>
      <c r="P52"/>
      <c r="Y52" s="33"/>
      <c r="Z52" s="33"/>
      <c r="AA52" s="33"/>
    </row>
    <row r="55" spans="1:33">
      <c r="B55" t="s">
        <v>1218</v>
      </c>
      <c r="C55" s="249">
        <f>J65/100</f>
        <v>3.1993526062862515E-2</v>
      </c>
      <c r="M55" s="41"/>
      <c r="N55" s="226"/>
      <c r="O55" s="226"/>
      <c r="P55" s="226"/>
      <c r="Q55" s="226"/>
      <c r="R55" s="226"/>
      <c r="S55" s="226"/>
      <c r="T55" s="226"/>
      <c r="U55" s="226"/>
      <c r="V55" s="226"/>
      <c r="W55" s="226"/>
      <c r="X55" s="226"/>
    </row>
    <row r="56" spans="1:33">
      <c r="M56" s="33"/>
      <c r="N56" s="226"/>
      <c r="O56" s="226"/>
      <c r="P56" s="226"/>
      <c r="Q56" s="226"/>
      <c r="R56" s="226"/>
      <c r="S56" s="226"/>
      <c r="T56" s="226"/>
      <c r="U56" s="226"/>
      <c r="V56" s="226"/>
      <c r="W56" s="226"/>
      <c r="X56" s="226"/>
      <c r="Y56" s="41" t="str">
        <f>' All EV uptake'!D46</f>
        <v>Intercept</v>
      </c>
      <c r="Z56" s="41">
        <f>' All EV uptake'!E46</f>
        <v>2006.0956444042549</v>
      </c>
      <c r="AC56" s="41" t="s">
        <v>159</v>
      </c>
      <c r="AD56" s="41">
        <v>-8.8882994947297131</v>
      </c>
    </row>
    <row r="57" spans="1:33" ht="15.75" thickBot="1">
      <c r="E57" s="242">
        <v>2016</v>
      </c>
      <c r="F57" s="242"/>
      <c r="G57" s="242">
        <v>2017</v>
      </c>
      <c r="H57" s="242"/>
      <c r="I57" s="242">
        <v>2018</v>
      </c>
      <c r="J57" s="242"/>
      <c r="M57" s="33"/>
      <c r="N57" s="41"/>
      <c r="O57" s="41"/>
      <c r="P57" s="41"/>
      <c r="Q57" s="41"/>
      <c r="R57" s="41"/>
      <c r="S57" s="41"/>
      <c r="T57" s="41"/>
      <c r="U57" s="41"/>
      <c r="V57" s="41"/>
      <c r="W57" s="41"/>
      <c r="X57" s="41"/>
      <c r="Y57" s="41" t="str">
        <f>' All EV uptake'!D47</f>
        <v>EV/FFV cost ratio</v>
      </c>
      <c r="Z57" s="41">
        <f>' All EV uptake'!E47</f>
        <v>10.783904112355547</v>
      </c>
      <c r="AC57" t="s">
        <v>329</v>
      </c>
      <c r="AD57" s="42">
        <v>0.74767284041302351</v>
      </c>
    </row>
    <row r="58" spans="1:33">
      <c r="D58" t="s">
        <v>1235</v>
      </c>
      <c r="E58">
        <v>2286</v>
      </c>
      <c r="G58">
        <v>3224</v>
      </c>
      <c r="I58">
        <v>4028</v>
      </c>
      <c r="M58" s="33"/>
      <c r="Y58" s="41" t="str">
        <f>' All EV uptake'!D48</f>
        <v>dumKorea</v>
      </c>
      <c r="Z58" s="41">
        <f>' All EV uptake'!E48</f>
        <v>3.2747008164932261</v>
      </c>
    </row>
    <row r="59" spans="1:33">
      <c r="D59" t="s">
        <v>1236</v>
      </c>
      <c r="E59">
        <v>2448</v>
      </c>
      <c r="F59">
        <f>E58+E59</f>
        <v>4734</v>
      </c>
      <c r="G59">
        <v>4221</v>
      </c>
      <c r="H59">
        <f>G58+G59</f>
        <v>7445</v>
      </c>
      <c r="I59" s="3">
        <f>I58*G59/G58</f>
        <v>5273.6315136476424</v>
      </c>
      <c r="J59" s="3">
        <f>I58+I59</f>
        <v>9301.6315136476424</v>
      </c>
      <c r="M59" s="33"/>
      <c r="Y59" s="41" t="str">
        <f>' All EV uptake'!D49</f>
        <v>dumUK</v>
      </c>
      <c r="Z59" s="41">
        <f>' All EV uptake'!E49</f>
        <v>2.7276845521810786</v>
      </c>
    </row>
    <row r="60" spans="1:33">
      <c r="D60" t="s">
        <v>1237</v>
      </c>
      <c r="E60">
        <v>2226</v>
      </c>
      <c r="G60">
        <v>3425</v>
      </c>
      <c r="I60" s="3"/>
      <c r="J60" s="3"/>
      <c r="M60" s="33"/>
      <c r="Y60" s="41" t="str">
        <f>' All EV uptake'!D50</f>
        <v>dumNeth</v>
      </c>
      <c r="Z60" s="41">
        <f>' All EV uptake'!E50</f>
        <v>-1.2544269368470402</v>
      </c>
    </row>
    <row r="61" spans="1:33">
      <c r="D61" t="s">
        <v>1238</v>
      </c>
      <c r="E61" s="18">
        <v>2428</v>
      </c>
      <c r="F61" s="18">
        <f>E60+E61</f>
        <v>4654</v>
      </c>
      <c r="G61" s="18">
        <v>3784</v>
      </c>
      <c r="H61" s="18">
        <f>G60+G61</f>
        <v>7209</v>
      </c>
      <c r="I61" s="16"/>
      <c r="J61" s="16">
        <f>J59*H61/H59</f>
        <v>9006.7779156327542</v>
      </c>
      <c r="M61" s="33"/>
      <c r="Y61" s="41" t="str">
        <f>' All EV uptake'!D51</f>
        <v>dumChina</v>
      </c>
      <c r="Z61" s="41">
        <f>' All EV uptake'!E51</f>
        <v>1.6840641661301363</v>
      </c>
    </row>
    <row r="62" spans="1:33">
      <c r="E62">
        <f>SUM(E58:E61)</f>
        <v>9388</v>
      </c>
      <c r="F62">
        <f t="shared" ref="F62:J62" si="25">SUM(F58:F61)</f>
        <v>9388</v>
      </c>
      <c r="G62">
        <f t="shared" si="25"/>
        <v>14654</v>
      </c>
      <c r="H62">
        <f t="shared" si="25"/>
        <v>14654</v>
      </c>
      <c r="I62" s="3"/>
      <c r="J62" s="3">
        <f t="shared" si="25"/>
        <v>18308.409429280397</v>
      </c>
      <c r="M62" s="33"/>
      <c r="Y62" s="41" t="str">
        <f>' All EV uptake'!D52</f>
        <v>dumDenmark</v>
      </c>
      <c r="Z62" s="41">
        <f>' All EV uptake'!E52</f>
        <v>3.2654872236791634</v>
      </c>
    </row>
    <row r="63" spans="1:33">
      <c r="M63" s="33"/>
      <c r="Y63" s="41" t="str">
        <f>' All EV uptake'!D53</f>
        <v>dumIreland</v>
      </c>
      <c r="Z63" s="41">
        <f>' All EV uptake'!E53</f>
        <v>3.5582490934682056</v>
      </c>
    </row>
    <row r="64" spans="1:33">
      <c r="M64" s="33"/>
      <c r="Y64" s="41" t="str">
        <f>' All EV uptake'!D54</f>
        <v>dumNZ</v>
      </c>
      <c r="Z64" s="41">
        <f>' All EV uptake'!E54</f>
        <v>1.900474768762227</v>
      </c>
    </row>
    <row r="65" spans="5:26">
      <c r="E65" s="13">
        <f>B11</f>
        <v>1.6171812299474162</v>
      </c>
      <c r="G65" s="13">
        <f>B12</f>
        <v>2.5607529301556289</v>
      </c>
      <c r="H65" s="13">
        <f>E65*G62/E62</f>
        <v>2.5243048299583974</v>
      </c>
      <c r="J65" s="13">
        <f>G65*J62/G62</f>
        <v>3.1993526062862512</v>
      </c>
      <c r="M65" s="33"/>
      <c r="Y65" s="41" t="str">
        <f>' All EV uptake'!D55</f>
        <v>dumSwitzerland</v>
      </c>
      <c r="Z65" s="41">
        <f>' All EV uptake'!E55</f>
        <v>-2.1041729879229703</v>
      </c>
    </row>
    <row r="66" spans="5:26">
      <c r="M66" s="33"/>
      <c r="Y66" s="41" t="str">
        <f>' All EV uptake'!D56</f>
        <v>dumSpain</v>
      </c>
      <c r="Z66" s="41">
        <f>' All EV uptake'!E56</f>
        <v>4.4168133039283006</v>
      </c>
    </row>
    <row r="67" spans="5:26">
      <c r="M67" s="33"/>
      <c r="Y67" s="41" t="str">
        <f>' All EV uptake'!D57</f>
        <v>dumIndia</v>
      </c>
      <c r="Z67" s="41">
        <f>' All EV uptake'!E57</f>
        <v>8.3918907463589623</v>
      </c>
    </row>
    <row r="68" spans="5:26">
      <c r="Y68" s="41" t="str">
        <f>' All EV uptake'!D58</f>
        <v>dumUSA</v>
      </c>
      <c r="Z68" s="41">
        <f>' All EV uptake'!E58</f>
        <v>2.1386885311349126</v>
      </c>
    </row>
    <row r="69" spans="5:26">
      <c r="Y69" s="41" t="str">
        <f>' All EV uptake'!D59</f>
        <v>dumAustria</v>
      </c>
      <c r="Z69" s="41">
        <f>' All EV uptake'!E59</f>
        <v>-0.86657486911619475</v>
      </c>
    </row>
    <row r="70" spans="5:26">
      <c r="Y70" s="41" t="str">
        <f>' All EV uptake'!D60</f>
        <v>dumItaly</v>
      </c>
      <c r="Z70" s="41">
        <f>' All EV uptake'!E60</f>
        <v>2.0513905871244105</v>
      </c>
    </row>
    <row r="71" spans="5:26">
      <c r="Y71" s="41" t="str">
        <f>' All EV uptake'!D61</f>
        <v>dumJapan</v>
      </c>
      <c r="Z71" s="41">
        <f>' All EV uptake'!E61</f>
        <v>4.0948893434577212</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137"/>
  <sheetViews>
    <sheetView topLeftCell="A67" zoomScale="75" zoomScaleNormal="75" workbookViewId="0">
      <selection activeCell="Y79" sqref="Y79:AC100"/>
    </sheetView>
  </sheetViews>
  <sheetFormatPr defaultRowHeight="15"/>
  <cols>
    <col min="2" max="2" width="12.28515625" customWidth="1"/>
    <col min="4" max="4" width="13.42578125" customWidth="1"/>
    <col min="7" max="7" width="10.85546875" customWidth="1"/>
    <col min="8" max="8" width="15.5703125" customWidth="1"/>
    <col min="9" max="9" width="19.42578125" customWidth="1"/>
    <col min="18" max="18" width="11" customWidth="1"/>
    <col min="20" max="20" width="14.42578125" customWidth="1"/>
    <col min="25" max="25" width="12" customWidth="1"/>
    <col min="26" max="26" width="10.7109375" customWidth="1"/>
    <col min="28" max="28" width="10.85546875" customWidth="1"/>
  </cols>
  <sheetData>
    <row r="1" spans="1:35">
      <c r="A1" t="s">
        <v>5</v>
      </c>
      <c r="B1" t="s">
        <v>1395</v>
      </c>
      <c r="C1" t="s">
        <v>709</v>
      </c>
      <c r="D1" t="s">
        <v>776</v>
      </c>
      <c r="E1" t="s">
        <v>498</v>
      </c>
      <c r="F1" t="s">
        <v>709</v>
      </c>
      <c r="G1" t="s">
        <v>709</v>
      </c>
      <c r="J1" t="s">
        <v>709</v>
      </c>
      <c r="O1" t="s">
        <v>709</v>
      </c>
      <c r="P1" t="s">
        <v>709</v>
      </c>
      <c r="Q1" t="s">
        <v>709</v>
      </c>
      <c r="T1" t="s">
        <v>730</v>
      </c>
      <c r="U1" s="33" t="s">
        <v>715</v>
      </c>
      <c r="V1" s="87" t="s">
        <v>1181</v>
      </c>
      <c r="W1" s="87" t="s">
        <v>1181</v>
      </c>
      <c r="X1" s="87" t="s">
        <v>1181</v>
      </c>
      <c r="AA1" t="s">
        <v>747</v>
      </c>
      <c r="AE1" t="s">
        <v>851</v>
      </c>
      <c r="AF1" t="s">
        <v>852</v>
      </c>
      <c r="AH1" t="s">
        <v>853</v>
      </c>
    </row>
    <row r="2" spans="1:35">
      <c r="B2" t="s">
        <v>710</v>
      </c>
      <c r="C2" t="s">
        <v>710</v>
      </c>
      <c r="D2" t="s">
        <v>749</v>
      </c>
      <c r="E2" t="s">
        <v>714</v>
      </c>
      <c r="F2" t="s">
        <v>728</v>
      </c>
      <c r="G2" t="s">
        <v>269</v>
      </c>
      <c r="H2" t="s">
        <v>750</v>
      </c>
      <c r="I2" t="s">
        <v>755</v>
      </c>
      <c r="J2" t="s">
        <v>718</v>
      </c>
      <c r="O2" t="s">
        <v>269</v>
      </c>
      <c r="P2" t="s">
        <v>717</v>
      </c>
      <c r="Q2" t="s">
        <v>725</v>
      </c>
      <c r="U2" s="33"/>
      <c r="V2" s="87" t="s">
        <v>338</v>
      </c>
      <c r="W2" s="87" t="s">
        <v>1182</v>
      </c>
      <c r="X2" s="87" t="s">
        <v>1183</v>
      </c>
      <c r="AB2" t="s">
        <v>665</v>
      </c>
      <c r="AF2" t="s">
        <v>5</v>
      </c>
      <c r="AG2" t="s">
        <v>850</v>
      </c>
      <c r="AH2" t="s">
        <v>5</v>
      </c>
    </row>
    <row r="3" spans="1:35">
      <c r="A3">
        <v>2009</v>
      </c>
      <c r="B3" s="3">
        <f>W3</f>
        <v>29.592572886961211</v>
      </c>
      <c r="C3" s="3">
        <f t="shared" ref="C3:C24" si="0">B3*AB3*1000</f>
        <v>21302.040969337188</v>
      </c>
      <c r="D3" s="61">
        <v>0</v>
      </c>
      <c r="E3" s="33">
        <v>21</v>
      </c>
      <c r="F3" s="61">
        <f>E3/100*C3</f>
        <v>4473.4286035608093</v>
      </c>
      <c r="G3" s="3">
        <f t="shared" ref="G3:G12" si="1">C3+F3+D3</f>
        <v>25775.469572897997</v>
      </c>
      <c r="H3" s="3">
        <f t="shared" ref="H3:H24" si="2">AH3</f>
        <v>-10336.522933559772</v>
      </c>
      <c r="I3" s="3">
        <f>Austria!I3</f>
        <v>1450</v>
      </c>
      <c r="J3" s="3">
        <f>G3+H3+I3</f>
        <v>16888.946639338224</v>
      </c>
      <c r="N3">
        <v>2009</v>
      </c>
      <c r="O3" s="3">
        <f>J3</f>
        <v>16888.946639338224</v>
      </c>
      <c r="P3" s="3">
        <f>J29</f>
        <v>27225.469572897997</v>
      </c>
      <c r="Q3" s="3">
        <f>G55</f>
        <v>20033.263158333335</v>
      </c>
      <c r="S3">
        <v>2009</v>
      </c>
      <c r="T3" s="3">
        <f>'Vehicle price'!X5</f>
        <v>23</v>
      </c>
      <c r="U3">
        <v>1</v>
      </c>
      <c r="V3" s="3">
        <f t="shared" ref="V3:V24" si="3">W3*U3</f>
        <v>29.592572886961211</v>
      </c>
      <c r="W3" s="3">
        <f>'Vehicle price'!T5</f>
        <v>29.592572886961211</v>
      </c>
      <c r="X3" s="3">
        <f>W3*Y3</f>
        <v>29.592572886961211</v>
      </c>
      <c r="Y3">
        <v>1</v>
      </c>
      <c r="AA3">
        <v>2009</v>
      </c>
      <c r="AB3" s="156">
        <v>0.71984416666666673</v>
      </c>
      <c r="AE3">
        <v>2009</v>
      </c>
      <c r="AF3">
        <v>-9000</v>
      </c>
      <c r="AG3" s="13">
        <f>CPIs!D48</f>
        <v>97.858257539584869</v>
      </c>
      <c r="AH3" s="3">
        <f>AF3*AG$11/AG3</f>
        <v>-10336.522933559772</v>
      </c>
    </row>
    <row r="4" spans="1:35">
      <c r="A4">
        <v>2010</v>
      </c>
      <c r="B4" s="3">
        <f t="shared" ref="B4:B24" si="4">W4</f>
        <v>30</v>
      </c>
      <c r="C4" s="3">
        <f t="shared" si="0"/>
        <v>22760.138776915202</v>
      </c>
      <c r="D4" s="61">
        <v>0</v>
      </c>
      <c r="E4" s="33">
        <v>21</v>
      </c>
      <c r="F4" s="61">
        <f t="shared" ref="F4:F12" si="5">E4/100*C4</f>
        <v>4779.6291431521922</v>
      </c>
      <c r="G4" s="3">
        <f t="shared" si="1"/>
        <v>27539.767920067396</v>
      </c>
      <c r="H4" s="3">
        <f t="shared" si="2"/>
        <v>-10115.141308324852</v>
      </c>
      <c r="I4" s="3">
        <f>Austria!I4</f>
        <v>1450</v>
      </c>
      <c r="J4" s="3">
        <f t="shared" ref="J4:J10" si="6">G4+H4+I4</f>
        <v>18874.626611742544</v>
      </c>
      <c r="N4">
        <v>2010</v>
      </c>
      <c r="O4" s="3">
        <f t="shared" ref="O4:O12" si="7">J4</f>
        <v>18874.626611742544</v>
      </c>
      <c r="P4" s="3">
        <f t="shared" ref="P4:P12" si="8">J30</f>
        <v>28989.767920067396</v>
      </c>
      <c r="Q4" s="3">
        <f t="shared" ref="Q4:Q24" si="9">G56</f>
        <v>21113.822072051669</v>
      </c>
      <c r="S4">
        <v>2010</v>
      </c>
      <c r="T4" s="3">
        <f>'Vehicle price'!X6</f>
        <v>23</v>
      </c>
      <c r="U4">
        <v>1</v>
      </c>
      <c r="V4" s="3">
        <f t="shared" si="3"/>
        <v>30</v>
      </c>
      <c r="W4" s="3">
        <f>'Vehicle price'!T6</f>
        <v>30</v>
      </c>
      <c r="X4" s="3">
        <f t="shared" ref="X4:X24" si="10">W4*Y4</f>
        <v>30</v>
      </c>
      <c r="Y4">
        <v>1</v>
      </c>
      <c r="AA4">
        <v>2010</v>
      </c>
      <c r="AB4" s="156">
        <v>0.75867129256384003</v>
      </c>
      <c r="AE4">
        <v>2010</v>
      </c>
      <c r="AF4">
        <v>-9000</v>
      </c>
      <c r="AG4" s="13">
        <f>CPIs!D49</f>
        <v>99.99999925494194</v>
      </c>
      <c r="AH4" s="3">
        <f t="shared" ref="AH4:AH24" si="11">AF4*AG$11/AG4</f>
        <v>-10115.141308324852</v>
      </c>
    </row>
    <row r="5" spans="1:35">
      <c r="A5">
        <v>2011</v>
      </c>
      <c r="B5" s="3">
        <f t="shared" si="4"/>
        <v>30</v>
      </c>
      <c r="C5" s="3">
        <f t="shared" si="0"/>
        <v>21463.232997813917</v>
      </c>
      <c r="D5" s="61">
        <v>0</v>
      </c>
      <c r="E5" s="33">
        <v>21</v>
      </c>
      <c r="F5" s="61">
        <f t="shared" si="5"/>
        <v>4507.278929540922</v>
      </c>
      <c r="G5" s="3">
        <f t="shared" si="1"/>
        <v>25970.511927354841</v>
      </c>
      <c r="H5" s="3">
        <f t="shared" si="2"/>
        <v>-9771.2729149289917</v>
      </c>
      <c r="I5" s="3">
        <f>Austria!I5</f>
        <v>1450</v>
      </c>
      <c r="J5" s="3">
        <f t="shared" si="6"/>
        <v>17649.239012425849</v>
      </c>
      <c r="N5">
        <v>2011</v>
      </c>
      <c r="O5" s="3">
        <f t="shared" si="7"/>
        <v>17649.239012425849</v>
      </c>
      <c r="P5" s="3">
        <f t="shared" si="8"/>
        <v>27420.511927354841</v>
      </c>
      <c r="Q5" s="3">
        <f t="shared" si="9"/>
        <v>19910.725810972042</v>
      </c>
      <c r="S5">
        <v>2011</v>
      </c>
      <c r="T5" s="3">
        <f>'Vehicle price'!X7</f>
        <v>23</v>
      </c>
      <c r="U5">
        <v>1</v>
      </c>
      <c r="V5" s="3">
        <f t="shared" si="3"/>
        <v>30</v>
      </c>
      <c r="W5" s="3">
        <f>'Vehicle price'!T7</f>
        <v>30</v>
      </c>
      <c r="X5" s="3">
        <f t="shared" si="10"/>
        <v>30</v>
      </c>
      <c r="Y5">
        <v>1</v>
      </c>
      <c r="AA5">
        <v>2011</v>
      </c>
      <c r="AB5" s="156">
        <v>0.71544109992713056</v>
      </c>
      <c r="AE5">
        <v>2011</v>
      </c>
      <c r="AF5">
        <v>-9000</v>
      </c>
      <c r="AG5" s="13">
        <f>CPIs!D50</f>
        <v>103.51917627340862</v>
      </c>
      <c r="AH5" s="3">
        <f t="shared" si="11"/>
        <v>-9771.2729149289917</v>
      </c>
    </row>
    <row r="6" spans="1:35">
      <c r="A6">
        <v>2012</v>
      </c>
      <c r="B6" s="3">
        <f t="shared" si="4"/>
        <v>30.842462459493706</v>
      </c>
      <c r="C6" s="3">
        <f t="shared" si="0"/>
        <v>23868.964632772961</v>
      </c>
      <c r="D6" s="61">
        <v>0</v>
      </c>
      <c r="E6" s="33">
        <v>21</v>
      </c>
      <c r="F6" s="61">
        <f t="shared" si="5"/>
        <v>5012.4825728823216</v>
      </c>
      <c r="G6" s="3">
        <f t="shared" si="1"/>
        <v>28881.447205655284</v>
      </c>
      <c r="H6" s="3">
        <f t="shared" si="2"/>
        <v>-9503.1753674575375</v>
      </c>
      <c r="I6" s="3">
        <f>Austria!I6</f>
        <v>1450</v>
      </c>
      <c r="J6" s="3">
        <f t="shared" si="6"/>
        <v>20828.271838197747</v>
      </c>
      <c r="N6">
        <v>2012</v>
      </c>
      <c r="O6" s="3">
        <f t="shared" si="7"/>
        <v>20828.271838197747</v>
      </c>
      <c r="P6" s="3">
        <f t="shared" si="8"/>
        <v>30331.447205655284</v>
      </c>
      <c r="Q6" s="3">
        <f t="shared" si="9"/>
        <v>21537.621602116909</v>
      </c>
      <c r="S6">
        <v>2012</v>
      </c>
      <c r="T6" s="3">
        <f>'Vehicle price'!X8</f>
        <v>23</v>
      </c>
      <c r="U6">
        <v>1</v>
      </c>
      <c r="V6" s="3">
        <f t="shared" si="3"/>
        <v>30.842462459493706</v>
      </c>
      <c r="W6" s="3">
        <f>'Vehicle price'!T8</f>
        <v>30.842462459493706</v>
      </c>
      <c r="X6" s="3">
        <f t="shared" si="10"/>
        <v>30.842462459493706</v>
      </c>
      <c r="Y6">
        <v>1</v>
      </c>
      <c r="AA6">
        <v>2012</v>
      </c>
      <c r="AB6" s="156">
        <v>0.773899446716382</v>
      </c>
      <c r="AE6">
        <v>2012</v>
      </c>
      <c r="AF6">
        <v>-9000</v>
      </c>
      <c r="AG6" s="13">
        <f>CPIs!D51</f>
        <v>106.43959352364726</v>
      </c>
      <c r="AH6" s="3">
        <f t="shared" si="11"/>
        <v>-9503.1753674575375</v>
      </c>
    </row>
    <row r="7" spans="1:35">
      <c r="A7">
        <v>2013</v>
      </c>
      <c r="B7" s="3">
        <f t="shared" si="4"/>
        <v>31.143929334439989</v>
      </c>
      <c r="C7" s="3">
        <f t="shared" si="0"/>
        <v>23409.918880648976</v>
      </c>
      <c r="D7" s="61">
        <v>0</v>
      </c>
      <c r="E7" s="33">
        <v>21</v>
      </c>
      <c r="F7" s="61">
        <f t="shared" si="5"/>
        <v>4916.082964936285</v>
      </c>
      <c r="G7" s="3">
        <f t="shared" si="1"/>
        <v>28326.001845585262</v>
      </c>
      <c r="H7" s="3">
        <f t="shared" si="2"/>
        <v>-5218.0456398897704</v>
      </c>
      <c r="I7" s="3">
        <f>Austria!I7</f>
        <v>1450</v>
      </c>
      <c r="J7" s="3">
        <f t="shared" si="6"/>
        <v>24557.956205695493</v>
      </c>
      <c r="N7">
        <v>2013</v>
      </c>
      <c r="O7" s="3">
        <f t="shared" si="7"/>
        <v>24557.956205695493</v>
      </c>
      <c r="P7" s="3">
        <f t="shared" si="8"/>
        <v>29776.001845585262</v>
      </c>
      <c r="Q7" s="3">
        <f t="shared" si="9"/>
        <v>20918.94171259928</v>
      </c>
      <c r="S7">
        <v>2013</v>
      </c>
      <c r="T7" s="3">
        <f>'Vehicle price'!X9</f>
        <v>23</v>
      </c>
      <c r="U7">
        <v>1</v>
      </c>
      <c r="V7" s="3">
        <f t="shared" si="3"/>
        <v>31.143929334439989</v>
      </c>
      <c r="W7" s="3">
        <f>'Vehicle price'!T9</f>
        <v>31.143929334439989</v>
      </c>
      <c r="X7" s="3">
        <f t="shared" si="10"/>
        <v>31.143929334439989</v>
      </c>
      <c r="Y7">
        <v>1</v>
      </c>
      <c r="AA7">
        <v>2013</v>
      </c>
      <c r="AB7" s="156">
        <v>0.75166876437654617</v>
      </c>
      <c r="AE7">
        <v>2013</v>
      </c>
      <c r="AF7">
        <v>-5000</v>
      </c>
      <c r="AG7" s="13">
        <f>CPIs!D52</f>
        <v>107.69401601706502</v>
      </c>
      <c r="AH7" s="3">
        <f t="shared" si="11"/>
        <v>-5218.0456398897704</v>
      </c>
    </row>
    <row r="8" spans="1:35">
      <c r="A8">
        <v>2014</v>
      </c>
      <c r="B8" s="3">
        <f t="shared" si="4"/>
        <v>33.541755956678692</v>
      </c>
      <c r="C8" s="3">
        <f t="shared" si="0"/>
        <v>25404.118038119632</v>
      </c>
      <c r="D8" s="61">
        <v>0</v>
      </c>
      <c r="E8" s="33">
        <v>21</v>
      </c>
      <c r="F8" s="61">
        <f t="shared" si="5"/>
        <v>5334.8647880051221</v>
      </c>
      <c r="G8" s="3">
        <f t="shared" si="1"/>
        <v>30738.982826124753</v>
      </c>
      <c r="H8" s="3">
        <f t="shared" si="2"/>
        <v>-5198.7741467383676</v>
      </c>
      <c r="I8" s="3">
        <f>Austria!I8</f>
        <v>1450</v>
      </c>
      <c r="J8" s="3">
        <f t="shared" si="6"/>
        <v>26990.208679386385</v>
      </c>
      <c r="N8">
        <v>2014</v>
      </c>
      <c r="O8" s="3">
        <f t="shared" si="7"/>
        <v>26990.208679386385</v>
      </c>
      <c r="P8" s="3">
        <f t="shared" si="8"/>
        <v>32188.982826124753</v>
      </c>
      <c r="Q8" s="3">
        <f t="shared" si="9"/>
        <v>21078.103540971446</v>
      </c>
      <c r="S8">
        <v>2014</v>
      </c>
      <c r="T8" s="3">
        <f>'Vehicle price'!X10</f>
        <v>23</v>
      </c>
      <c r="U8">
        <v>1</v>
      </c>
      <c r="V8" s="3">
        <f t="shared" si="3"/>
        <v>33.541755956678692</v>
      </c>
      <c r="W8" s="3">
        <f>'Vehicle price'!T10</f>
        <v>33.541755956678692</v>
      </c>
      <c r="X8" s="3">
        <f t="shared" si="10"/>
        <v>33.541755956678692</v>
      </c>
      <c r="Y8">
        <v>1</v>
      </c>
      <c r="AA8">
        <v>2014</v>
      </c>
      <c r="AB8" s="156">
        <v>0.757387838338895</v>
      </c>
      <c r="AE8">
        <v>2014</v>
      </c>
      <c r="AF8">
        <v>-5000</v>
      </c>
      <c r="AG8" s="13">
        <f>CPIs!D53</f>
        <v>108.09323022286429</v>
      </c>
      <c r="AH8" s="3">
        <f t="shared" si="11"/>
        <v>-5198.7741467383676</v>
      </c>
    </row>
    <row r="9" spans="1:35">
      <c r="A9">
        <v>2015</v>
      </c>
      <c r="B9" s="3">
        <f t="shared" si="4"/>
        <v>30</v>
      </c>
      <c r="C9" s="3">
        <f t="shared" si="0"/>
        <v>27177.76686239925</v>
      </c>
      <c r="D9" s="61">
        <v>0</v>
      </c>
      <c r="E9" s="33">
        <v>21</v>
      </c>
      <c r="F9" s="61">
        <f t="shared" si="5"/>
        <v>5707.3310411038419</v>
      </c>
      <c r="G9" s="3">
        <f t="shared" si="1"/>
        <v>32885.09790350309</v>
      </c>
      <c r="H9" s="3">
        <f t="shared" si="2"/>
        <v>-5170.2248698691337</v>
      </c>
      <c r="I9" s="3">
        <f>Austria!I9</f>
        <v>1450</v>
      </c>
      <c r="J9" s="3">
        <f t="shared" si="6"/>
        <v>29164.873033633958</v>
      </c>
      <c r="N9">
        <v>2015</v>
      </c>
      <c r="O9" s="3">
        <f t="shared" si="7"/>
        <v>29164.873033633958</v>
      </c>
      <c r="P9" s="3">
        <f t="shared" si="8"/>
        <v>34335.09790350309</v>
      </c>
      <c r="Q9" s="3">
        <f t="shared" si="9"/>
        <v>25211.908392685706</v>
      </c>
      <c r="S9">
        <v>2015</v>
      </c>
      <c r="T9" s="3">
        <f>'Vehicle price'!X11</f>
        <v>23</v>
      </c>
      <c r="U9">
        <v>1</v>
      </c>
      <c r="V9" s="3">
        <f t="shared" si="3"/>
        <v>30</v>
      </c>
      <c r="W9" s="3">
        <f>'Vehicle price'!T11</f>
        <v>30</v>
      </c>
      <c r="X9" s="3">
        <f t="shared" si="10"/>
        <v>30</v>
      </c>
      <c r="Y9">
        <v>1</v>
      </c>
      <c r="AA9">
        <v>2015</v>
      </c>
      <c r="AB9" s="156">
        <v>0.90592556207997499</v>
      </c>
      <c r="AE9">
        <v>2015</v>
      </c>
      <c r="AF9">
        <v>-5000</v>
      </c>
      <c r="AG9" s="13">
        <f>CPIs!D54</f>
        <v>108.69010630369141</v>
      </c>
      <c r="AH9" s="3">
        <f t="shared" si="11"/>
        <v>-5170.2248698691337</v>
      </c>
      <c r="AI9" s="13"/>
    </row>
    <row r="10" spans="1:35">
      <c r="A10">
        <v>2016</v>
      </c>
      <c r="B10" s="3">
        <f t="shared" si="4"/>
        <v>30</v>
      </c>
      <c r="C10" s="3">
        <f t="shared" si="0"/>
        <v>27202.412312659035</v>
      </c>
      <c r="D10" s="61">
        <v>0</v>
      </c>
      <c r="E10" s="33">
        <v>21</v>
      </c>
      <c r="F10" s="61">
        <f t="shared" si="5"/>
        <v>5712.5065856583969</v>
      </c>
      <c r="G10" s="3">
        <f t="shared" si="1"/>
        <v>32914.918898317432</v>
      </c>
      <c r="H10" s="3">
        <f t="shared" si="2"/>
        <v>-4063.2000000000003</v>
      </c>
      <c r="I10" s="3">
        <f>Austria!I10</f>
        <v>1450</v>
      </c>
      <c r="J10" s="3">
        <f t="shared" si="6"/>
        <v>30301.718898317431</v>
      </c>
      <c r="N10">
        <v>2016</v>
      </c>
      <c r="O10" s="3">
        <f t="shared" si="7"/>
        <v>30301.718898317431</v>
      </c>
      <c r="P10" s="3">
        <f t="shared" si="8"/>
        <v>34364.918898317432</v>
      </c>
      <c r="Q10" s="3">
        <f t="shared" si="9"/>
        <v>25234.7711553767</v>
      </c>
      <c r="S10">
        <v>2016</v>
      </c>
      <c r="T10" s="3">
        <f>'Vehicle price'!X12</f>
        <v>23</v>
      </c>
      <c r="U10">
        <v>1</v>
      </c>
      <c r="V10" s="3">
        <f t="shared" si="3"/>
        <v>30</v>
      </c>
      <c r="W10" s="3">
        <f>'Vehicle price'!T12</f>
        <v>30</v>
      </c>
      <c r="X10" s="3">
        <f t="shared" si="10"/>
        <v>30</v>
      </c>
      <c r="Y10">
        <v>1</v>
      </c>
      <c r="AA10">
        <v>2016</v>
      </c>
      <c r="AB10" s="156">
        <v>0.90674707708863456</v>
      </c>
      <c r="AE10">
        <v>2016</v>
      </c>
      <c r="AF10">
        <v>-4000</v>
      </c>
      <c r="AG10" s="13">
        <f>CPIs!D55</f>
        <v>110.64230965151904</v>
      </c>
      <c r="AH10" s="3">
        <f t="shared" si="11"/>
        <v>-4063.2000000000003</v>
      </c>
      <c r="AI10" s="13"/>
    </row>
    <row r="11" spans="1:35">
      <c r="A11">
        <v>2017</v>
      </c>
      <c r="B11" s="3">
        <f t="shared" si="4"/>
        <v>30</v>
      </c>
      <c r="C11" s="3">
        <f t="shared" si="0"/>
        <v>26462.003510368591</v>
      </c>
      <c r="D11" s="61">
        <v>0</v>
      </c>
      <c r="E11" s="33">
        <v>21</v>
      </c>
      <c r="F11" s="61">
        <f t="shared" si="5"/>
        <v>5557.020737177404</v>
      </c>
      <c r="G11" s="3">
        <f t="shared" si="1"/>
        <v>32019.024247545996</v>
      </c>
      <c r="H11" s="3">
        <f t="shared" si="2"/>
        <v>-3000</v>
      </c>
      <c r="I11" s="3">
        <f>Austria!I11</f>
        <v>1450</v>
      </c>
      <c r="J11" s="3">
        <f>G11+H11+I11</f>
        <v>30469.024247545996</v>
      </c>
      <c r="N11">
        <v>2017</v>
      </c>
      <c r="O11" s="3">
        <f t="shared" si="7"/>
        <v>30469.024247545996</v>
      </c>
      <c r="P11" s="3">
        <f t="shared" si="8"/>
        <v>33469.024247545996</v>
      </c>
      <c r="Q11" s="3">
        <f t="shared" si="9"/>
        <v>24547.918589785266</v>
      </c>
      <c r="S11">
        <v>2017</v>
      </c>
      <c r="T11" s="3">
        <f>'Vehicle price'!X13</f>
        <v>23</v>
      </c>
      <c r="U11">
        <v>1</v>
      </c>
      <c r="V11" s="3">
        <f t="shared" si="3"/>
        <v>30</v>
      </c>
      <c r="W11" s="3">
        <f>'Vehicle price'!T13</f>
        <v>30</v>
      </c>
      <c r="X11" s="3">
        <f t="shared" si="10"/>
        <v>30</v>
      </c>
      <c r="Y11">
        <v>1</v>
      </c>
      <c r="AA11">
        <v>2017</v>
      </c>
      <c r="AB11" s="156">
        <v>0.88206678367895308</v>
      </c>
      <c r="AE11">
        <v>2017</v>
      </c>
      <c r="AF11">
        <v>-3000</v>
      </c>
      <c r="AG11" s="13">
        <f>CPIs!D56</f>
        <v>112.39045814401305</v>
      </c>
      <c r="AH11" s="3">
        <f t="shared" si="11"/>
        <v>-3000</v>
      </c>
      <c r="AI11" s="13"/>
    </row>
    <row r="12" spans="1:35">
      <c r="A12">
        <v>2018</v>
      </c>
      <c r="B12" s="3">
        <f t="shared" si="4"/>
        <v>30.592100851060948</v>
      </c>
      <c r="C12" s="3">
        <f>B12*AB12*1000</f>
        <v>26003.285723401805</v>
      </c>
      <c r="D12" s="61">
        <v>0</v>
      </c>
      <c r="E12" s="33">
        <v>21</v>
      </c>
      <c r="F12" s="61">
        <f t="shared" si="5"/>
        <v>5460.6900019143786</v>
      </c>
      <c r="G12" s="3">
        <f t="shared" si="1"/>
        <v>31463.975725316184</v>
      </c>
      <c r="H12" s="3">
        <f t="shared" si="2"/>
        <v>-1968.8915140775741</v>
      </c>
      <c r="I12" s="3">
        <f>Austria!I12</f>
        <v>1450</v>
      </c>
      <c r="J12" s="3">
        <f>G12+H12+I12</f>
        <v>30945.084211238609</v>
      </c>
      <c r="N12">
        <v>2018</v>
      </c>
      <c r="O12" s="3">
        <f t="shared" si="7"/>
        <v>30945.084211238609</v>
      </c>
      <c r="P12" s="3">
        <f t="shared" si="8"/>
        <v>32913.975725316181</v>
      </c>
      <c r="Q12" s="3">
        <f t="shared" si="9"/>
        <v>23655.5</v>
      </c>
      <c r="S12">
        <v>2018</v>
      </c>
      <c r="T12" s="3">
        <f>'Vehicle price'!X14</f>
        <v>23</v>
      </c>
      <c r="U12">
        <v>1</v>
      </c>
      <c r="V12" s="3">
        <f t="shared" si="3"/>
        <v>30.592100851060948</v>
      </c>
      <c r="W12" s="3">
        <f>'Vehicle price'!T14</f>
        <v>30.592100851060948</v>
      </c>
      <c r="X12" s="3">
        <f t="shared" si="10"/>
        <v>30.592100851060948</v>
      </c>
      <c r="Y12">
        <v>1</v>
      </c>
      <c r="AA12">
        <v>2018</v>
      </c>
      <c r="AB12" s="14">
        <v>0.85</v>
      </c>
      <c r="AE12">
        <v>2018</v>
      </c>
      <c r="AF12">
        <v>-2000</v>
      </c>
      <c r="AG12" s="20">
        <f>AG11*AG11/AG10</f>
        <v>114.16622738268848</v>
      </c>
      <c r="AH12" s="3">
        <f>AF12*AG$11/AG12</f>
        <v>-1968.8915140775741</v>
      </c>
      <c r="AI12" s="13"/>
    </row>
    <row r="13" spans="1:35">
      <c r="A13">
        <v>2019</v>
      </c>
      <c r="B13" s="3">
        <f t="shared" si="4"/>
        <v>31.172994053473918</v>
      </c>
      <c r="C13" s="3">
        <f t="shared" si="0"/>
        <v>26497.044945452828</v>
      </c>
      <c r="D13" s="61">
        <v>0</v>
      </c>
      <c r="E13" s="33">
        <v>21</v>
      </c>
      <c r="F13" s="61">
        <f t="shared" ref="F13:F24" si="12">E13/100*C13</f>
        <v>5564.3794385450938</v>
      </c>
      <c r="G13" s="3">
        <f t="shared" ref="G13:G24" si="13">C13+F13+D13</f>
        <v>32061.424383997921</v>
      </c>
      <c r="H13" s="3">
        <f t="shared" si="2"/>
        <v>-969.13344855167043</v>
      </c>
      <c r="I13" s="3">
        <f>Austria!I13</f>
        <v>1450</v>
      </c>
      <c r="J13" s="3">
        <f t="shared" ref="J13:J24" si="14">G13+H13+I13</f>
        <v>32542.29093544625</v>
      </c>
      <c r="N13">
        <v>2019</v>
      </c>
      <c r="O13" s="3">
        <f t="shared" ref="O13:O24" si="15">J13</f>
        <v>32542.29093544625</v>
      </c>
      <c r="P13" s="3">
        <f t="shared" ref="P13:P24" si="16">J39</f>
        <v>33511.424383997917</v>
      </c>
      <c r="Q13" s="3">
        <f t="shared" si="9"/>
        <v>23655.5</v>
      </c>
      <c r="S13">
        <v>2019</v>
      </c>
      <c r="T13" s="3">
        <f>'Vehicle price'!X15</f>
        <v>23</v>
      </c>
      <c r="U13" s="20">
        <f>U12+(U24-U12)/12</f>
        <v>1.0249999999999999</v>
      </c>
      <c r="V13" s="3">
        <f t="shared" si="3"/>
        <v>31.952318904810763</v>
      </c>
      <c r="W13" s="3">
        <f>'Vehicle price'!T15</f>
        <v>31.172994053473918</v>
      </c>
      <c r="X13" s="3">
        <f t="shared" si="10"/>
        <v>30.393669202137069</v>
      </c>
      <c r="Y13" s="20">
        <f>Y12+(Y24-Y12)/12</f>
        <v>0.97499999999999998</v>
      </c>
      <c r="AA13">
        <v>2019</v>
      </c>
      <c r="AB13" s="14">
        <v>0.85</v>
      </c>
      <c r="AE13">
        <v>2019</v>
      </c>
      <c r="AF13">
        <v>-1000</v>
      </c>
      <c r="AG13" s="20">
        <f t="shared" ref="AG13:AG24" si="17">AG12*AG12/AG11</f>
        <v>115.97005377533497</v>
      </c>
      <c r="AH13" s="3">
        <f t="shared" si="11"/>
        <v>-969.13344855167043</v>
      </c>
      <c r="AI13" s="13"/>
    </row>
    <row r="14" spans="1:35">
      <c r="A14">
        <v>2020</v>
      </c>
      <c r="B14" s="3">
        <f t="shared" si="4"/>
        <v>30.985903123425071</v>
      </c>
      <c r="C14" s="3">
        <f t="shared" si="0"/>
        <v>26338.017654911313</v>
      </c>
      <c r="D14" s="61">
        <v>0</v>
      </c>
      <c r="E14" s="33">
        <v>21</v>
      </c>
      <c r="F14" s="61">
        <f t="shared" si="12"/>
        <v>5530.9837075313753</v>
      </c>
      <c r="G14" s="3">
        <f t="shared" si="13"/>
        <v>31869.001362442687</v>
      </c>
      <c r="H14" s="3">
        <f t="shared" si="2"/>
        <v>0</v>
      </c>
      <c r="I14" s="3">
        <f>Austria!I14</f>
        <v>1450</v>
      </c>
      <c r="J14" s="3">
        <f t="shared" si="14"/>
        <v>33319.001362442687</v>
      </c>
      <c r="N14">
        <v>2020</v>
      </c>
      <c r="O14" s="3">
        <f t="shared" si="15"/>
        <v>33319.001362442687</v>
      </c>
      <c r="P14" s="3">
        <f t="shared" si="16"/>
        <v>33319.001362442687</v>
      </c>
      <c r="Q14" s="3">
        <f t="shared" si="9"/>
        <v>23655.5</v>
      </c>
      <c r="S14">
        <v>2020</v>
      </c>
      <c r="T14" s="3">
        <f>'Vehicle price'!X16</f>
        <v>23</v>
      </c>
      <c r="U14" s="20">
        <f>U13+(U24-U12)/12</f>
        <v>1.0499999999999998</v>
      </c>
      <c r="V14" s="3">
        <f t="shared" si="3"/>
        <v>32.535198279596322</v>
      </c>
      <c r="W14" s="3">
        <f>'Vehicle price'!T16</f>
        <v>30.985903123425071</v>
      </c>
      <c r="X14" s="3">
        <f t="shared" si="10"/>
        <v>29.436607967253817</v>
      </c>
      <c r="Y14" s="20">
        <f>Y13+(Y24-Y12)/12</f>
        <v>0.95</v>
      </c>
      <c r="AA14">
        <v>2020</v>
      </c>
      <c r="AB14" s="14">
        <v>0.85</v>
      </c>
      <c r="AE14">
        <v>2020</v>
      </c>
      <c r="AF14">
        <v>0</v>
      </c>
      <c r="AG14" s="20">
        <f t="shared" si="17"/>
        <v>117.80238062498529</v>
      </c>
      <c r="AH14" s="3">
        <f t="shared" si="11"/>
        <v>0</v>
      </c>
      <c r="AI14" s="13"/>
    </row>
    <row r="15" spans="1:35">
      <c r="A15">
        <v>2021</v>
      </c>
      <c r="B15" s="3">
        <f t="shared" si="4"/>
        <v>30.206708843097807</v>
      </c>
      <c r="C15" s="3">
        <f t="shared" si="0"/>
        <v>25675.702516633137</v>
      </c>
      <c r="D15" s="61">
        <v>0</v>
      </c>
      <c r="E15" s="33">
        <v>21</v>
      </c>
      <c r="F15" s="61">
        <f t="shared" si="12"/>
        <v>5391.8975284929584</v>
      </c>
      <c r="G15" s="3">
        <f t="shared" si="13"/>
        <v>31067.600045126095</v>
      </c>
      <c r="H15" s="3">
        <f t="shared" si="2"/>
        <v>0</v>
      </c>
      <c r="I15" s="3">
        <f>Austria!I15</f>
        <v>1450</v>
      </c>
      <c r="J15" s="3">
        <f t="shared" si="14"/>
        <v>32517.600045126095</v>
      </c>
      <c r="N15">
        <v>2021</v>
      </c>
      <c r="O15" s="3">
        <f t="shared" si="15"/>
        <v>32517.600045126095</v>
      </c>
      <c r="P15" s="3">
        <f t="shared" si="16"/>
        <v>32517.600045126095</v>
      </c>
      <c r="Q15" s="3">
        <f t="shared" si="9"/>
        <v>23655.5</v>
      </c>
      <c r="S15">
        <v>2021</v>
      </c>
      <c r="T15" s="3">
        <f>'Vehicle price'!X17</f>
        <v>23</v>
      </c>
      <c r="U15" s="20">
        <f>U14+(U24-U12)/12</f>
        <v>1.0749999999999997</v>
      </c>
      <c r="V15" s="3">
        <f t="shared" si="3"/>
        <v>32.472212006330132</v>
      </c>
      <c r="W15" s="3">
        <f>'Vehicle price'!T17</f>
        <v>30.206708843097807</v>
      </c>
      <c r="X15" s="3">
        <f t="shared" si="10"/>
        <v>27.941205679865469</v>
      </c>
      <c r="Y15" s="20">
        <f>Y14+(Y24-Y12)/12</f>
        <v>0.92499999999999993</v>
      </c>
      <c r="AA15">
        <v>2021</v>
      </c>
      <c r="AB15" s="14">
        <v>0.85</v>
      </c>
      <c r="AE15">
        <v>2021</v>
      </c>
      <c r="AF15">
        <v>0</v>
      </c>
      <c r="AG15" s="20">
        <f t="shared" si="17"/>
        <v>119.66365823886009</v>
      </c>
      <c r="AH15" s="3">
        <f t="shared" si="11"/>
        <v>0</v>
      </c>
      <c r="AI15" s="13"/>
    </row>
    <row r="16" spans="1:35">
      <c r="A16">
        <v>2022</v>
      </c>
      <c r="B16" s="3">
        <f t="shared" si="4"/>
        <v>30.642454642697771</v>
      </c>
      <c r="C16" s="3">
        <f t="shared" si="0"/>
        <v>26046.086446293106</v>
      </c>
      <c r="D16" s="61">
        <v>0</v>
      </c>
      <c r="E16" s="33">
        <v>21</v>
      </c>
      <c r="F16" s="61">
        <f t="shared" si="12"/>
        <v>5469.678153721552</v>
      </c>
      <c r="G16" s="3">
        <f t="shared" si="13"/>
        <v>31515.764600014656</v>
      </c>
      <c r="H16" s="3">
        <f t="shared" si="2"/>
        <v>0</v>
      </c>
      <c r="I16" s="3">
        <f>Austria!I16</f>
        <v>1450</v>
      </c>
      <c r="J16" s="3">
        <f t="shared" si="14"/>
        <v>32965.764600014656</v>
      </c>
      <c r="N16">
        <v>2022</v>
      </c>
      <c r="O16" s="3">
        <f t="shared" si="15"/>
        <v>32965.764600014656</v>
      </c>
      <c r="P16" s="3">
        <f t="shared" si="16"/>
        <v>32965.764600014656</v>
      </c>
      <c r="Q16" s="3">
        <f t="shared" si="9"/>
        <v>23655.5</v>
      </c>
      <c r="S16">
        <v>2022</v>
      </c>
      <c r="T16" s="3">
        <f>'Vehicle price'!X18</f>
        <v>23</v>
      </c>
      <c r="U16" s="20">
        <f>U15+(U24-U12)/12</f>
        <v>1.0999999999999996</v>
      </c>
      <c r="V16" s="3">
        <f t="shared" si="3"/>
        <v>33.706700106967538</v>
      </c>
      <c r="W16" s="3">
        <f>'Vehicle price'!T18</f>
        <v>30.642454642697771</v>
      </c>
      <c r="X16" s="3">
        <f t="shared" si="10"/>
        <v>27.57820917842799</v>
      </c>
      <c r="Y16" s="20">
        <f>Y15+(Y24-Y12)/12</f>
        <v>0.89999999999999991</v>
      </c>
      <c r="AA16">
        <v>2022</v>
      </c>
      <c r="AB16" s="14">
        <v>0.85</v>
      </c>
      <c r="AE16">
        <v>2022</v>
      </c>
      <c r="AF16">
        <v>0</v>
      </c>
      <c r="AG16" s="20">
        <f t="shared" si="17"/>
        <v>121.55434403903412</v>
      </c>
      <c r="AH16" s="3">
        <f t="shared" si="11"/>
        <v>0</v>
      </c>
      <c r="AI16" s="13"/>
    </row>
    <row r="17" spans="1:35">
      <c r="A17">
        <v>2023</v>
      </c>
      <c r="B17" s="3">
        <f t="shared" si="4"/>
        <v>30.361546257811007</v>
      </c>
      <c r="C17" s="3">
        <f t="shared" si="0"/>
        <v>25807.314319139354</v>
      </c>
      <c r="D17" s="61">
        <v>0</v>
      </c>
      <c r="E17" s="33">
        <v>21</v>
      </c>
      <c r="F17" s="61">
        <f t="shared" si="12"/>
        <v>5419.5360070192637</v>
      </c>
      <c r="G17" s="3">
        <f t="shared" si="13"/>
        <v>31226.850326158616</v>
      </c>
      <c r="H17" s="3">
        <f t="shared" si="2"/>
        <v>0</v>
      </c>
      <c r="I17" s="3">
        <f>Austria!I17</f>
        <v>1450</v>
      </c>
      <c r="J17" s="3">
        <f t="shared" si="14"/>
        <v>32676.850326158616</v>
      </c>
      <c r="N17">
        <v>2023</v>
      </c>
      <c r="O17" s="3">
        <f t="shared" si="15"/>
        <v>32676.850326158616</v>
      </c>
      <c r="P17" s="3">
        <f t="shared" si="16"/>
        <v>32676.850326158616</v>
      </c>
      <c r="Q17" s="3">
        <f t="shared" si="9"/>
        <v>23655.5</v>
      </c>
      <c r="S17">
        <v>2023</v>
      </c>
      <c r="T17" s="3">
        <f>'Vehicle price'!X19</f>
        <v>23</v>
      </c>
      <c r="U17" s="20">
        <f>U16+(U24-U12)/12</f>
        <v>1.1249999999999996</v>
      </c>
      <c r="V17" s="3">
        <f t="shared" si="3"/>
        <v>34.156739540037371</v>
      </c>
      <c r="W17" s="3">
        <f>'Vehicle price'!T19</f>
        <v>30.361546257811007</v>
      </c>
      <c r="X17" s="3">
        <f t="shared" si="10"/>
        <v>26.566352975584628</v>
      </c>
      <c r="Y17" s="20">
        <f>Y16+(Y24-Y12)/12</f>
        <v>0.87499999999999989</v>
      </c>
      <c r="AA17">
        <v>2023</v>
      </c>
      <c r="AB17" s="14">
        <v>0.85</v>
      </c>
      <c r="AE17">
        <v>2023</v>
      </c>
      <c r="AF17">
        <v>0</v>
      </c>
      <c r="AG17" s="20">
        <f t="shared" si="17"/>
        <v>123.4749026748509</v>
      </c>
      <c r="AH17" s="3">
        <f t="shared" si="11"/>
        <v>0</v>
      </c>
      <c r="AI17" s="13"/>
    </row>
    <row r="18" spans="1:35">
      <c r="A18">
        <v>2024</v>
      </c>
      <c r="B18" s="3">
        <f t="shared" si="4"/>
        <v>29.275640447464834</v>
      </c>
      <c r="C18" s="3">
        <f t="shared" si="0"/>
        <v>24884.294380345105</v>
      </c>
      <c r="D18" s="61">
        <v>0</v>
      </c>
      <c r="E18" s="33">
        <v>21</v>
      </c>
      <c r="F18" s="61">
        <f t="shared" si="12"/>
        <v>5225.7018198724718</v>
      </c>
      <c r="G18" s="3">
        <f t="shared" si="13"/>
        <v>30109.996200217578</v>
      </c>
      <c r="H18" s="3">
        <f t="shared" si="2"/>
        <v>0</v>
      </c>
      <c r="I18" s="3">
        <f>Austria!I18</f>
        <v>1450</v>
      </c>
      <c r="J18" s="3">
        <f t="shared" si="14"/>
        <v>31559.996200217578</v>
      </c>
      <c r="N18">
        <v>2024</v>
      </c>
      <c r="O18" s="3">
        <f t="shared" si="15"/>
        <v>31559.996200217578</v>
      </c>
      <c r="P18" s="3">
        <f t="shared" si="16"/>
        <v>31559.996200217578</v>
      </c>
      <c r="Q18" s="3">
        <f t="shared" si="9"/>
        <v>23655.5</v>
      </c>
      <c r="S18">
        <v>2024</v>
      </c>
      <c r="T18" s="3">
        <f>'Vehicle price'!X20</f>
        <v>23</v>
      </c>
      <c r="U18" s="20">
        <f>U17+(U24-U12)/12</f>
        <v>1.1499999999999995</v>
      </c>
      <c r="V18" s="3">
        <f t="shared" si="3"/>
        <v>33.666986514584543</v>
      </c>
      <c r="W18" s="3">
        <f>'Vehicle price'!T20</f>
        <v>29.275640447464834</v>
      </c>
      <c r="X18" s="3">
        <f t="shared" si="10"/>
        <v>24.884294380345104</v>
      </c>
      <c r="Y18" s="20">
        <f>Y17+(Y24-Y12)/12</f>
        <v>0.84999999999999987</v>
      </c>
      <c r="AA18">
        <v>2024</v>
      </c>
      <c r="AB18" s="14">
        <v>0.85</v>
      </c>
      <c r="AE18">
        <v>2024</v>
      </c>
      <c r="AF18">
        <v>0</v>
      </c>
      <c r="AG18" s="20">
        <f t="shared" si="17"/>
        <v>125.42580613711357</v>
      </c>
      <c r="AH18" s="3">
        <f t="shared" si="11"/>
        <v>0</v>
      </c>
      <c r="AI18" s="13"/>
    </row>
    <row r="19" spans="1:35">
      <c r="A19">
        <v>2025</v>
      </c>
      <c r="B19" s="3">
        <f t="shared" si="4"/>
        <v>28.343375828936317</v>
      </c>
      <c r="C19" s="3">
        <f t="shared" si="0"/>
        <v>24091.869454595868</v>
      </c>
      <c r="D19" s="61">
        <v>0</v>
      </c>
      <c r="E19" s="33">
        <v>21</v>
      </c>
      <c r="F19" s="61">
        <f t="shared" si="12"/>
        <v>5059.2925854651321</v>
      </c>
      <c r="G19" s="3">
        <f t="shared" si="13"/>
        <v>29151.162040061001</v>
      </c>
      <c r="H19" s="3">
        <f t="shared" si="2"/>
        <v>0</v>
      </c>
      <c r="I19" s="3">
        <f>Austria!I19</f>
        <v>1450</v>
      </c>
      <c r="J19" s="3">
        <f t="shared" si="14"/>
        <v>30601.162040061001</v>
      </c>
      <c r="N19">
        <v>2025</v>
      </c>
      <c r="O19" s="3">
        <f t="shared" si="15"/>
        <v>30601.162040061001</v>
      </c>
      <c r="P19" s="3">
        <f t="shared" si="16"/>
        <v>30601.162040061001</v>
      </c>
      <c r="Q19" s="3">
        <f t="shared" si="9"/>
        <v>23655.5</v>
      </c>
      <c r="S19">
        <v>2025</v>
      </c>
      <c r="T19" s="3">
        <f>'Vehicle price'!X21</f>
        <v>23</v>
      </c>
      <c r="U19" s="20">
        <f>U18+(U24-U12)/12</f>
        <v>1.1749999999999994</v>
      </c>
      <c r="V19" s="3">
        <f t="shared" si="3"/>
        <v>33.303466599000153</v>
      </c>
      <c r="W19" s="3">
        <f>'Vehicle price'!T21</f>
        <v>28.343375828936317</v>
      </c>
      <c r="X19" s="3">
        <f t="shared" si="10"/>
        <v>23.383285058872456</v>
      </c>
      <c r="Y19" s="20">
        <f>Y18+(Y24-Y12)/12</f>
        <v>0.82499999999999984</v>
      </c>
      <c r="AA19">
        <v>2025</v>
      </c>
      <c r="AB19" s="14">
        <v>0.85</v>
      </c>
      <c r="AE19">
        <v>2025</v>
      </c>
      <c r="AF19">
        <v>0</v>
      </c>
      <c r="AG19" s="20">
        <f t="shared" si="17"/>
        <v>127.40753387407999</v>
      </c>
      <c r="AH19" s="3">
        <f t="shared" si="11"/>
        <v>0</v>
      </c>
      <c r="AI19" s="13"/>
    </row>
    <row r="20" spans="1:35">
      <c r="A20">
        <v>2026</v>
      </c>
      <c r="B20" s="3">
        <f t="shared" si="4"/>
        <v>27.812270474504896</v>
      </c>
      <c r="C20" s="3">
        <f t="shared" si="0"/>
        <v>23640.429903329161</v>
      </c>
      <c r="D20" s="61">
        <v>0</v>
      </c>
      <c r="E20" s="33">
        <v>21</v>
      </c>
      <c r="F20" s="61">
        <f t="shared" si="12"/>
        <v>4964.4902796991237</v>
      </c>
      <c r="G20" s="3">
        <f t="shared" si="13"/>
        <v>28604.920183028284</v>
      </c>
      <c r="H20" s="3">
        <f t="shared" si="2"/>
        <v>0</v>
      </c>
      <c r="I20" s="3">
        <f>Austria!I20</f>
        <v>1450</v>
      </c>
      <c r="J20" s="3">
        <f t="shared" si="14"/>
        <v>30054.920183028284</v>
      </c>
      <c r="N20">
        <v>2026</v>
      </c>
      <c r="O20" s="3">
        <f t="shared" si="15"/>
        <v>30054.920183028284</v>
      </c>
      <c r="P20" s="3">
        <f t="shared" si="16"/>
        <v>30054.920183028284</v>
      </c>
      <c r="Q20" s="3">
        <f t="shared" si="9"/>
        <v>23655.5</v>
      </c>
      <c r="S20">
        <v>2026</v>
      </c>
      <c r="T20" s="3">
        <f>'Vehicle price'!X22</f>
        <v>23</v>
      </c>
      <c r="U20" s="20">
        <f>U19+(U24-U12)/12</f>
        <v>1.1999999999999993</v>
      </c>
      <c r="V20" s="3">
        <f t="shared" si="3"/>
        <v>33.374724569405856</v>
      </c>
      <c r="W20" s="3">
        <f>'Vehicle price'!T22</f>
        <v>27.812270474504896</v>
      </c>
      <c r="X20" s="3">
        <f t="shared" si="10"/>
        <v>22.24981637960391</v>
      </c>
      <c r="Y20" s="20">
        <f>Y19+(Y24-Y12)/12</f>
        <v>0.79999999999999982</v>
      </c>
      <c r="AA20">
        <v>2026</v>
      </c>
      <c r="AB20" s="14">
        <v>0.85</v>
      </c>
      <c r="AE20">
        <v>2026</v>
      </c>
      <c r="AF20">
        <v>0</v>
      </c>
      <c r="AG20" s="20">
        <f t="shared" si="17"/>
        <v>129.42057290929048</v>
      </c>
      <c r="AH20" s="3">
        <f t="shared" si="11"/>
        <v>0</v>
      </c>
      <c r="AI20" s="13"/>
    </row>
    <row r="21" spans="1:35">
      <c r="A21">
        <v>2027</v>
      </c>
      <c r="B21" s="3">
        <f t="shared" si="4"/>
        <v>27.281165120073478</v>
      </c>
      <c r="C21" s="3">
        <f t="shared" si="0"/>
        <v>23188.990352062454</v>
      </c>
      <c r="D21" s="61">
        <v>0</v>
      </c>
      <c r="E21" s="33">
        <v>21</v>
      </c>
      <c r="F21" s="61">
        <f t="shared" si="12"/>
        <v>4869.6879739331152</v>
      </c>
      <c r="G21" s="3">
        <f t="shared" si="13"/>
        <v>28058.67832599557</v>
      </c>
      <c r="H21" s="3">
        <f t="shared" si="2"/>
        <v>0</v>
      </c>
      <c r="I21" s="3">
        <f>Austria!I21</f>
        <v>1450</v>
      </c>
      <c r="J21" s="3">
        <f t="shared" si="14"/>
        <v>29508.67832599557</v>
      </c>
      <c r="N21">
        <v>2027</v>
      </c>
      <c r="O21" s="3">
        <f t="shared" si="15"/>
        <v>29508.67832599557</v>
      </c>
      <c r="P21" s="3">
        <f t="shared" si="16"/>
        <v>29508.67832599557</v>
      </c>
      <c r="Q21" s="3">
        <f t="shared" si="9"/>
        <v>23655.5</v>
      </c>
      <c r="S21">
        <v>2027</v>
      </c>
      <c r="T21" s="3">
        <f>'Vehicle price'!X23</f>
        <v>23</v>
      </c>
      <c r="U21" s="20">
        <f>U20+(U24-U12)/12</f>
        <v>1.2249999999999992</v>
      </c>
      <c r="V21" s="3">
        <f t="shared" si="3"/>
        <v>33.41942727208999</v>
      </c>
      <c r="W21" s="3">
        <f>'Vehicle price'!T23</f>
        <v>27.281165120073478</v>
      </c>
      <c r="X21" s="3">
        <f t="shared" si="10"/>
        <v>21.142902968056941</v>
      </c>
      <c r="Y21" s="20">
        <f>Y20+(Y24-Y12)/12</f>
        <v>0.7749999999999998</v>
      </c>
      <c r="AA21">
        <v>2027</v>
      </c>
      <c r="AB21" s="14">
        <v>0.85</v>
      </c>
      <c r="AE21">
        <v>2027</v>
      </c>
      <c r="AF21">
        <v>0</v>
      </c>
      <c r="AG21" s="20">
        <f t="shared" si="17"/>
        <v>131.46541796125732</v>
      </c>
      <c r="AH21" s="3">
        <f t="shared" si="11"/>
        <v>0</v>
      </c>
      <c r="AI21" s="13"/>
    </row>
    <row r="22" spans="1:35">
      <c r="A22">
        <v>2028</v>
      </c>
      <c r="B22" s="3">
        <f t="shared" si="4"/>
        <v>26.683671596338133</v>
      </c>
      <c r="C22" s="3">
        <f t="shared" si="0"/>
        <v>22681.12085688741</v>
      </c>
      <c r="D22" s="61">
        <v>0</v>
      </c>
      <c r="E22" s="33">
        <v>21</v>
      </c>
      <c r="F22" s="61">
        <f t="shared" si="12"/>
        <v>4763.0353799463555</v>
      </c>
      <c r="G22" s="3">
        <f t="shared" si="13"/>
        <v>27444.156236833765</v>
      </c>
      <c r="H22" s="3">
        <f t="shared" si="2"/>
        <v>0</v>
      </c>
      <c r="I22" s="3">
        <f>Austria!I22</f>
        <v>1450</v>
      </c>
      <c r="J22" s="3">
        <f t="shared" si="14"/>
        <v>28894.156236833765</v>
      </c>
      <c r="N22">
        <v>2028</v>
      </c>
      <c r="O22" s="3">
        <f t="shared" si="15"/>
        <v>28894.156236833765</v>
      </c>
      <c r="P22" s="3">
        <f t="shared" si="16"/>
        <v>28894.156236833765</v>
      </c>
      <c r="Q22" s="3">
        <f t="shared" si="9"/>
        <v>23655.5</v>
      </c>
      <c r="S22">
        <v>2028</v>
      </c>
      <c r="T22" s="3">
        <f>'Vehicle price'!X24</f>
        <v>23</v>
      </c>
      <c r="U22" s="20">
        <f>U21+(U24-U12)/12</f>
        <v>1.2499999999999991</v>
      </c>
      <c r="V22" s="3">
        <f t="shared" si="3"/>
        <v>33.354589495422644</v>
      </c>
      <c r="W22" s="3">
        <f>'Vehicle price'!T24</f>
        <v>26.683671596338133</v>
      </c>
      <c r="X22" s="3">
        <f t="shared" si="10"/>
        <v>20.012753697253594</v>
      </c>
      <c r="Y22" s="20">
        <f>Y21+(Y24-Y12)/12</f>
        <v>0.74999999999999978</v>
      </c>
      <c r="AA22">
        <v>2028</v>
      </c>
      <c r="AB22" s="14">
        <v>0.85</v>
      </c>
      <c r="AE22">
        <v>2028</v>
      </c>
      <c r="AF22">
        <v>0</v>
      </c>
      <c r="AG22" s="20">
        <f t="shared" si="17"/>
        <v>133.54257156504522</v>
      </c>
      <c r="AH22" s="3">
        <f t="shared" si="11"/>
        <v>0</v>
      </c>
      <c r="AI22" s="13"/>
    </row>
    <row r="23" spans="1:35">
      <c r="A23">
        <v>2029</v>
      </c>
      <c r="B23" s="3">
        <f t="shared" si="4"/>
        <v>26.152566241906715</v>
      </c>
      <c r="C23" s="3">
        <f t="shared" si="0"/>
        <v>22229.68130562071</v>
      </c>
      <c r="D23" s="61">
        <v>0</v>
      </c>
      <c r="E23" s="33">
        <v>21</v>
      </c>
      <c r="F23" s="61">
        <f t="shared" si="12"/>
        <v>4668.2330741803489</v>
      </c>
      <c r="G23" s="3">
        <f t="shared" si="13"/>
        <v>26897.914379801059</v>
      </c>
      <c r="H23" s="3">
        <f t="shared" si="2"/>
        <v>0</v>
      </c>
      <c r="I23" s="3">
        <f>Austria!I23</f>
        <v>1450</v>
      </c>
      <c r="J23" s="3">
        <f t="shared" si="14"/>
        <v>28347.914379801059</v>
      </c>
      <c r="N23">
        <v>2029</v>
      </c>
      <c r="O23" s="3">
        <f t="shared" si="15"/>
        <v>28347.914379801059</v>
      </c>
      <c r="P23" s="3">
        <f t="shared" si="16"/>
        <v>28347.914379801059</v>
      </c>
      <c r="Q23" s="3">
        <f t="shared" si="9"/>
        <v>23655.5</v>
      </c>
      <c r="S23">
        <v>2029</v>
      </c>
      <c r="T23" s="3">
        <f>'Vehicle price'!X25</f>
        <v>23</v>
      </c>
      <c r="U23" s="20">
        <f>U22+(U24-U12)/12</f>
        <v>1.274999999999999</v>
      </c>
      <c r="V23" s="3">
        <f t="shared" si="3"/>
        <v>33.344521958431038</v>
      </c>
      <c r="W23" s="3">
        <f>'Vehicle price'!T25</f>
        <v>26.152566241906715</v>
      </c>
      <c r="X23" s="3">
        <f t="shared" si="10"/>
        <v>18.960610525382361</v>
      </c>
      <c r="Y23" s="20">
        <f>Y22+(Y24-Y12)/12</f>
        <v>0.72499999999999976</v>
      </c>
      <c r="AA23">
        <v>2029</v>
      </c>
      <c r="AB23" s="14">
        <v>0.85</v>
      </c>
      <c r="AE23">
        <v>2029</v>
      </c>
      <c r="AF23">
        <v>0</v>
      </c>
      <c r="AG23" s="20">
        <f t="shared" si="17"/>
        <v>135.65254419577298</v>
      </c>
      <c r="AH23" s="3">
        <f t="shared" si="11"/>
        <v>0</v>
      </c>
      <c r="AI23" s="13"/>
    </row>
    <row r="24" spans="1:35">
      <c r="A24">
        <v>2030</v>
      </c>
      <c r="B24" s="3">
        <f t="shared" si="4"/>
        <v>25.55507271817137</v>
      </c>
      <c r="C24" s="3">
        <f t="shared" si="0"/>
        <v>21721.811810445666</v>
      </c>
      <c r="D24" s="61">
        <v>0</v>
      </c>
      <c r="E24" s="33">
        <v>21</v>
      </c>
      <c r="F24" s="61">
        <f t="shared" si="12"/>
        <v>4561.5804801935901</v>
      </c>
      <c r="G24" s="3">
        <f t="shared" si="13"/>
        <v>26283.392290639254</v>
      </c>
      <c r="H24" s="3">
        <f t="shared" si="2"/>
        <v>0</v>
      </c>
      <c r="I24" s="3">
        <f>Austria!I24</f>
        <v>1450</v>
      </c>
      <c r="J24" s="3">
        <f t="shared" si="14"/>
        <v>27733.392290639254</v>
      </c>
      <c r="N24">
        <v>2030</v>
      </c>
      <c r="O24" s="3">
        <f t="shared" si="15"/>
        <v>27733.392290639254</v>
      </c>
      <c r="P24" s="3">
        <f t="shared" si="16"/>
        <v>27733.392290639254</v>
      </c>
      <c r="Q24" s="3">
        <f t="shared" si="9"/>
        <v>23655.5</v>
      </c>
      <c r="S24">
        <v>2030</v>
      </c>
      <c r="T24" s="3">
        <f>'Vehicle price'!X26</f>
        <v>23</v>
      </c>
      <c r="U24">
        <v>1.3</v>
      </c>
      <c r="V24" s="3">
        <f t="shared" si="3"/>
        <v>33.221594533622785</v>
      </c>
      <c r="W24" s="3">
        <f>'Vehicle price'!T26</f>
        <v>25.55507271817137</v>
      </c>
      <c r="X24" s="3">
        <f t="shared" si="10"/>
        <v>17.88855090271996</v>
      </c>
      <c r="Y24">
        <v>0.7</v>
      </c>
      <c r="AA24">
        <v>2030</v>
      </c>
      <c r="AB24" s="14">
        <v>0.85</v>
      </c>
      <c r="AE24">
        <v>2030</v>
      </c>
      <c r="AF24">
        <v>0</v>
      </c>
      <c r="AG24" s="20">
        <f t="shared" si="17"/>
        <v>137.79585439406623</v>
      </c>
      <c r="AH24" s="3">
        <f t="shared" si="11"/>
        <v>0</v>
      </c>
      <c r="AI24" s="13"/>
    </row>
    <row r="25" spans="1:35">
      <c r="F25" s="3"/>
      <c r="H25" s="3"/>
      <c r="I25" s="3"/>
      <c r="AI25" s="13"/>
    </row>
    <row r="26" spans="1:35">
      <c r="D26" t="s">
        <v>775</v>
      </c>
      <c r="F26" s="3"/>
      <c r="AC26" s="13"/>
    </row>
    <row r="27" spans="1:35">
      <c r="A27" t="s">
        <v>324</v>
      </c>
      <c r="B27" t="s">
        <v>1395</v>
      </c>
      <c r="C27" t="s">
        <v>709</v>
      </c>
      <c r="D27" t="s">
        <v>709</v>
      </c>
      <c r="E27" t="s">
        <v>498</v>
      </c>
      <c r="F27" t="s">
        <v>709</v>
      </c>
      <c r="G27" t="s">
        <v>709</v>
      </c>
      <c r="J27" t="s">
        <v>709</v>
      </c>
      <c r="AC27" s="13"/>
    </row>
    <row r="28" spans="1:35">
      <c r="B28" t="s">
        <v>711</v>
      </c>
      <c r="C28" t="s">
        <v>711</v>
      </c>
      <c r="D28" t="s">
        <v>749</v>
      </c>
      <c r="E28" t="s">
        <v>714</v>
      </c>
      <c r="F28" s="3" t="s">
        <v>728</v>
      </c>
      <c r="G28" t="s">
        <v>717</v>
      </c>
      <c r="H28" t="s">
        <v>750</v>
      </c>
      <c r="I28" t="s">
        <v>755</v>
      </c>
      <c r="J28" t="s">
        <v>719</v>
      </c>
      <c r="AC28" s="13"/>
    </row>
    <row r="29" spans="1:35">
      <c r="A29">
        <v>2009</v>
      </c>
      <c r="B29" s="3">
        <f t="shared" ref="B29:B50" si="18">B3</f>
        <v>29.592572886961211</v>
      </c>
      <c r="C29" s="3">
        <f t="shared" ref="C29:C50" si="19">B29*AB3*1000</f>
        <v>21302.040969337188</v>
      </c>
      <c r="D29" s="61">
        <v>0</v>
      </c>
      <c r="E29" s="33">
        <v>21</v>
      </c>
      <c r="F29" s="61">
        <f>E29/100*C29</f>
        <v>4473.4286035608093</v>
      </c>
      <c r="G29" s="3">
        <f t="shared" ref="G29:G38" si="20">C29+F29+D29</f>
        <v>25775.469572897997</v>
      </c>
      <c r="H29" s="3">
        <v>0</v>
      </c>
      <c r="I29" s="3">
        <f>Austria!I28</f>
        <v>1450</v>
      </c>
      <c r="J29" s="3">
        <f>G29+H29+I29</f>
        <v>27225.469572897997</v>
      </c>
      <c r="AC29" s="72"/>
    </row>
    <row r="30" spans="1:35">
      <c r="A30">
        <v>2010</v>
      </c>
      <c r="B30" s="3">
        <f t="shared" si="18"/>
        <v>30</v>
      </c>
      <c r="C30" s="3">
        <f t="shared" si="19"/>
        <v>22760.138776915202</v>
      </c>
      <c r="D30" s="61">
        <v>0</v>
      </c>
      <c r="E30" s="33">
        <v>21</v>
      </c>
      <c r="F30" s="61">
        <f t="shared" ref="F30:F38" si="21">E30/100*C30</f>
        <v>4779.6291431521922</v>
      </c>
      <c r="G30" s="3">
        <f t="shared" si="20"/>
        <v>27539.767920067396</v>
      </c>
      <c r="H30" s="3">
        <v>0</v>
      </c>
      <c r="I30" s="3">
        <f>Austria!I29</f>
        <v>1450</v>
      </c>
      <c r="J30" s="3">
        <f t="shared" ref="J30:J38" si="22">G30+H30+I30</f>
        <v>28989.767920067396</v>
      </c>
    </row>
    <row r="31" spans="1:35">
      <c r="A31">
        <v>2011</v>
      </c>
      <c r="B31" s="3">
        <f t="shared" si="18"/>
        <v>30</v>
      </c>
      <c r="C31" s="3">
        <f t="shared" si="19"/>
        <v>21463.232997813917</v>
      </c>
      <c r="D31" s="61">
        <v>0</v>
      </c>
      <c r="E31" s="33">
        <v>21</v>
      </c>
      <c r="F31" s="61">
        <f t="shared" si="21"/>
        <v>4507.278929540922</v>
      </c>
      <c r="G31" s="3">
        <f t="shared" si="20"/>
        <v>25970.511927354841</v>
      </c>
      <c r="H31" s="3">
        <v>0</v>
      </c>
      <c r="I31" s="3">
        <f>Austria!I30</f>
        <v>1450</v>
      </c>
      <c r="J31" s="3">
        <f t="shared" si="22"/>
        <v>27420.511927354841</v>
      </c>
    </row>
    <row r="32" spans="1:35">
      <c r="A32">
        <v>2012</v>
      </c>
      <c r="B32" s="3">
        <f t="shared" si="18"/>
        <v>30.842462459493706</v>
      </c>
      <c r="C32" s="3">
        <f t="shared" si="19"/>
        <v>23868.964632772961</v>
      </c>
      <c r="D32" s="61">
        <v>0</v>
      </c>
      <c r="E32" s="33">
        <v>21</v>
      </c>
      <c r="F32" s="61">
        <f t="shared" si="21"/>
        <v>5012.4825728823216</v>
      </c>
      <c r="G32" s="3">
        <f t="shared" si="20"/>
        <v>28881.447205655284</v>
      </c>
      <c r="H32" s="3">
        <v>0</v>
      </c>
      <c r="I32" s="3">
        <f>Austria!I31</f>
        <v>1450</v>
      </c>
      <c r="J32" s="3">
        <f t="shared" si="22"/>
        <v>30331.447205655284</v>
      </c>
    </row>
    <row r="33" spans="1:22">
      <c r="A33">
        <v>2013</v>
      </c>
      <c r="B33" s="3">
        <f t="shared" si="18"/>
        <v>31.143929334439989</v>
      </c>
      <c r="C33" s="3">
        <f t="shared" si="19"/>
        <v>23409.918880648976</v>
      </c>
      <c r="D33" s="61">
        <v>0</v>
      </c>
      <c r="E33" s="33">
        <v>21</v>
      </c>
      <c r="F33" s="61">
        <f t="shared" si="21"/>
        <v>4916.082964936285</v>
      </c>
      <c r="G33" s="3">
        <f t="shared" si="20"/>
        <v>28326.001845585262</v>
      </c>
      <c r="H33" s="3">
        <v>0</v>
      </c>
      <c r="I33" s="3">
        <f>Austria!I32</f>
        <v>1450</v>
      </c>
      <c r="J33" s="3">
        <f t="shared" si="22"/>
        <v>29776.001845585262</v>
      </c>
    </row>
    <row r="34" spans="1:22">
      <c r="A34">
        <v>2014</v>
      </c>
      <c r="B34" s="3">
        <f t="shared" si="18"/>
        <v>33.541755956678692</v>
      </c>
      <c r="C34" s="3">
        <f t="shared" si="19"/>
        <v>25404.118038119632</v>
      </c>
      <c r="D34" s="61">
        <v>0</v>
      </c>
      <c r="E34" s="33">
        <v>21</v>
      </c>
      <c r="F34" s="61">
        <f t="shared" si="21"/>
        <v>5334.8647880051221</v>
      </c>
      <c r="G34" s="3">
        <f t="shared" si="20"/>
        <v>30738.982826124753</v>
      </c>
      <c r="H34" s="3">
        <v>0</v>
      </c>
      <c r="I34" s="3">
        <f>Austria!I33</f>
        <v>1450</v>
      </c>
      <c r="J34" s="3">
        <f t="shared" si="22"/>
        <v>32188.982826124753</v>
      </c>
      <c r="V34" s="167"/>
    </row>
    <row r="35" spans="1:22">
      <c r="A35">
        <v>2015</v>
      </c>
      <c r="B35" s="3">
        <f t="shared" si="18"/>
        <v>30</v>
      </c>
      <c r="C35" s="3">
        <f t="shared" si="19"/>
        <v>27177.76686239925</v>
      </c>
      <c r="D35" s="61">
        <v>0</v>
      </c>
      <c r="E35" s="33">
        <v>21</v>
      </c>
      <c r="F35" s="61">
        <f t="shared" si="21"/>
        <v>5707.3310411038419</v>
      </c>
      <c r="G35" s="3">
        <f t="shared" si="20"/>
        <v>32885.09790350309</v>
      </c>
      <c r="H35" s="3">
        <v>0</v>
      </c>
      <c r="I35" s="3">
        <f>Austria!I34</f>
        <v>1450</v>
      </c>
      <c r="J35" s="3">
        <f t="shared" si="22"/>
        <v>34335.09790350309</v>
      </c>
    </row>
    <row r="36" spans="1:22">
      <c r="A36">
        <v>2016</v>
      </c>
      <c r="B36" s="3">
        <f t="shared" si="18"/>
        <v>30</v>
      </c>
      <c r="C36" s="3">
        <f t="shared" si="19"/>
        <v>27202.412312659035</v>
      </c>
      <c r="D36" s="61">
        <v>0</v>
      </c>
      <c r="E36" s="33">
        <v>21</v>
      </c>
      <c r="F36" s="61">
        <f t="shared" si="21"/>
        <v>5712.5065856583969</v>
      </c>
      <c r="G36" s="3">
        <f t="shared" si="20"/>
        <v>32914.918898317432</v>
      </c>
      <c r="H36" s="3">
        <v>0</v>
      </c>
      <c r="I36" s="3">
        <f>Austria!I35</f>
        <v>1450</v>
      </c>
      <c r="J36" s="3">
        <f t="shared" si="22"/>
        <v>34364.918898317432</v>
      </c>
      <c r="V36" s="167"/>
    </row>
    <row r="37" spans="1:22">
      <c r="A37">
        <v>2017</v>
      </c>
      <c r="B37" s="3">
        <f t="shared" si="18"/>
        <v>30</v>
      </c>
      <c r="C37" s="3">
        <f t="shared" si="19"/>
        <v>26462.003510368591</v>
      </c>
      <c r="D37" s="61">
        <v>0</v>
      </c>
      <c r="E37" s="33">
        <v>21</v>
      </c>
      <c r="F37" s="61">
        <f t="shared" si="21"/>
        <v>5557.020737177404</v>
      </c>
      <c r="G37" s="3">
        <f t="shared" si="20"/>
        <v>32019.024247545996</v>
      </c>
      <c r="H37" s="3">
        <v>0</v>
      </c>
      <c r="I37" s="3">
        <f>Austria!I36</f>
        <v>1450</v>
      </c>
      <c r="J37" s="3">
        <f t="shared" si="22"/>
        <v>33469.024247545996</v>
      </c>
      <c r="V37" s="167"/>
    </row>
    <row r="38" spans="1:22">
      <c r="A38">
        <v>2018</v>
      </c>
      <c r="B38" s="3">
        <f t="shared" si="18"/>
        <v>30.592100851060948</v>
      </c>
      <c r="C38" s="3">
        <f t="shared" si="19"/>
        <v>26003.285723401805</v>
      </c>
      <c r="D38" s="61">
        <v>0</v>
      </c>
      <c r="E38" s="33">
        <v>21</v>
      </c>
      <c r="F38" s="61">
        <f t="shared" si="21"/>
        <v>5460.6900019143786</v>
      </c>
      <c r="G38" s="3">
        <f t="shared" si="20"/>
        <v>31463.975725316184</v>
      </c>
      <c r="H38" s="3">
        <v>0</v>
      </c>
      <c r="I38" s="3">
        <f>Austria!I37</f>
        <v>1450</v>
      </c>
      <c r="J38" s="3">
        <f t="shared" si="22"/>
        <v>32913.975725316181</v>
      </c>
      <c r="V38" s="105"/>
    </row>
    <row r="39" spans="1:22">
      <c r="A39">
        <v>2019</v>
      </c>
      <c r="B39" s="3">
        <f t="shared" si="18"/>
        <v>31.172994053473918</v>
      </c>
      <c r="C39" s="3">
        <f t="shared" si="19"/>
        <v>26497.044945452828</v>
      </c>
      <c r="D39" s="61">
        <v>0</v>
      </c>
      <c r="E39" s="33">
        <v>21</v>
      </c>
      <c r="F39" s="61">
        <f t="shared" ref="F39:F50" si="23">E39/100*C39</f>
        <v>5564.3794385450938</v>
      </c>
      <c r="G39" s="3">
        <f t="shared" ref="G39:G50" si="24">C39+F39+D39</f>
        <v>32061.424383997921</v>
      </c>
      <c r="H39" s="3">
        <v>0</v>
      </c>
      <c r="I39" s="3">
        <f>Austria!I38</f>
        <v>1450</v>
      </c>
      <c r="J39" s="3">
        <f t="shared" ref="J39:J50" si="25">G39+H39+I39</f>
        <v>33511.424383997917</v>
      </c>
      <c r="V39" s="105"/>
    </row>
    <row r="40" spans="1:22">
      <c r="A40">
        <v>2020</v>
      </c>
      <c r="B40" s="3">
        <f t="shared" si="18"/>
        <v>30.985903123425071</v>
      </c>
      <c r="C40" s="3">
        <f t="shared" si="19"/>
        <v>26338.017654911313</v>
      </c>
      <c r="D40" s="61">
        <v>0</v>
      </c>
      <c r="E40" s="33">
        <v>21</v>
      </c>
      <c r="F40" s="61">
        <f t="shared" si="23"/>
        <v>5530.9837075313753</v>
      </c>
      <c r="G40" s="3">
        <f t="shared" si="24"/>
        <v>31869.001362442687</v>
      </c>
      <c r="H40" s="3">
        <v>0</v>
      </c>
      <c r="I40" s="3">
        <f>Austria!I39</f>
        <v>1450</v>
      </c>
      <c r="J40" s="3">
        <f t="shared" si="25"/>
        <v>33319.001362442687</v>
      </c>
      <c r="V40" s="105"/>
    </row>
    <row r="41" spans="1:22">
      <c r="A41">
        <v>2021</v>
      </c>
      <c r="B41" s="3">
        <f t="shared" si="18"/>
        <v>30.206708843097807</v>
      </c>
      <c r="C41" s="3">
        <f t="shared" si="19"/>
        <v>25675.702516633137</v>
      </c>
      <c r="D41" s="61">
        <v>0</v>
      </c>
      <c r="E41" s="33">
        <v>21</v>
      </c>
      <c r="F41" s="61">
        <f t="shared" si="23"/>
        <v>5391.8975284929584</v>
      </c>
      <c r="G41" s="3">
        <f t="shared" si="24"/>
        <v>31067.600045126095</v>
      </c>
      <c r="H41" s="3">
        <v>0</v>
      </c>
      <c r="I41" s="3">
        <f>Austria!I40</f>
        <v>1450</v>
      </c>
      <c r="J41" s="3">
        <f t="shared" si="25"/>
        <v>32517.600045126095</v>
      </c>
      <c r="V41" s="105"/>
    </row>
    <row r="42" spans="1:22">
      <c r="A42">
        <v>2022</v>
      </c>
      <c r="B42" s="3">
        <f t="shared" si="18"/>
        <v>30.642454642697771</v>
      </c>
      <c r="C42" s="3">
        <f t="shared" si="19"/>
        <v>26046.086446293106</v>
      </c>
      <c r="D42" s="61">
        <v>0</v>
      </c>
      <c r="E42" s="33">
        <v>21</v>
      </c>
      <c r="F42" s="61">
        <f t="shared" si="23"/>
        <v>5469.678153721552</v>
      </c>
      <c r="G42" s="3">
        <f t="shared" si="24"/>
        <v>31515.764600014656</v>
      </c>
      <c r="H42" s="3">
        <v>0</v>
      </c>
      <c r="I42" s="3">
        <f>Austria!I41</f>
        <v>1450</v>
      </c>
      <c r="J42" s="3">
        <f t="shared" si="25"/>
        <v>32965.764600014656</v>
      </c>
      <c r="V42" s="105"/>
    </row>
    <row r="43" spans="1:22">
      <c r="A43">
        <v>2023</v>
      </c>
      <c r="B43" s="3">
        <f t="shared" si="18"/>
        <v>30.361546257811007</v>
      </c>
      <c r="C43" s="3">
        <f t="shared" si="19"/>
        <v>25807.314319139354</v>
      </c>
      <c r="D43" s="61">
        <v>0</v>
      </c>
      <c r="E43" s="33">
        <v>21</v>
      </c>
      <c r="F43" s="61">
        <f t="shared" si="23"/>
        <v>5419.5360070192637</v>
      </c>
      <c r="G43" s="3">
        <f t="shared" si="24"/>
        <v>31226.850326158616</v>
      </c>
      <c r="H43" s="3">
        <v>0</v>
      </c>
      <c r="I43" s="3">
        <f>Austria!I42</f>
        <v>1450</v>
      </c>
      <c r="J43" s="3">
        <f t="shared" si="25"/>
        <v>32676.850326158616</v>
      </c>
      <c r="V43" s="105"/>
    </row>
    <row r="44" spans="1:22">
      <c r="A44">
        <v>2024</v>
      </c>
      <c r="B44" s="3">
        <f t="shared" si="18"/>
        <v>29.275640447464834</v>
      </c>
      <c r="C44" s="3">
        <f t="shared" si="19"/>
        <v>24884.294380345105</v>
      </c>
      <c r="D44" s="61">
        <v>0</v>
      </c>
      <c r="E44" s="33">
        <v>21</v>
      </c>
      <c r="F44" s="61">
        <f t="shared" si="23"/>
        <v>5225.7018198724718</v>
      </c>
      <c r="G44" s="3">
        <f t="shared" si="24"/>
        <v>30109.996200217578</v>
      </c>
      <c r="H44" s="3">
        <v>0</v>
      </c>
      <c r="I44" s="3">
        <f>Austria!I43</f>
        <v>1450</v>
      </c>
      <c r="J44" s="3">
        <f t="shared" si="25"/>
        <v>31559.996200217578</v>
      </c>
      <c r="V44" s="105"/>
    </row>
    <row r="45" spans="1:22">
      <c r="A45">
        <v>2025</v>
      </c>
      <c r="B45" s="3">
        <f t="shared" si="18"/>
        <v>28.343375828936317</v>
      </c>
      <c r="C45" s="3">
        <f t="shared" si="19"/>
        <v>24091.869454595868</v>
      </c>
      <c r="D45" s="61">
        <v>0</v>
      </c>
      <c r="E45" s="33">
        <v>21</v>
      </c>
      <c r="F45" s="61">
        <f t="shared" si="23"/>
        <v>5059.2925854651321</v>
      </c>
      <c r="G45" s="3">
        <f t="shared" si="24"/>
        <v>29151.162040061001</v>
      </c>
      <c r="H45" s="3">
        <v>0</v>
      </c>
      <c r="I45" s="3">
        <f>Austria!I44</f>
        <v>1450</v>
      </c>
      <c r="J45" s="3">
        <f t="shared" si="25"/>
        <v>30601.162040061001</v>
      </c>
      <c r="V45" s="105"/>
    </row>
    <row r="46" spans="1:22">
      <c r="A46">
        <v>2026</v>
      </c>
      <c r="B46" s="3">
        <f t="shared" si="18"/>
        <v>27.812270474504896</v>
      </c>
      <c r="C46" s="3">
        <f t="shared" si="19"/>
        <v>23640.429903329161</v>
      </c>
      <c r="D46" s="61">
        <v>0</v>
      </c>
      <c r="E46" s="33">
        <v>21</v>
      </c>
      <c r="F46" s="61">
        <f t="shared" si="23"/>
        <v>4964.4902796991237</v>
      </c>
      <c r="G46" s="3">
        <f t="shared" si="24"/>
        <v>28604.920183028284</v>
      </c>
      <c r="H46" s="3">
        <v>0</v>
      </c>
      <c r="I46" s="3">
        <f>Austria!I45</f>
        <v>1450</v>
      </c>
      <c r="J46" s="3">
        <f t="shared" si="25"/>
        <v>30054.920183028284</v>
      </c>
      <c r="V46" s="105"/>
    </row>
    <row r="47" spans="1:22">
      <c r="A47">
        <v>2027</v>
      </c>
      <c r="B47" s="3">
        <f t="shared" si="18"/>
        <v>27.281165120073478</v>
      </c>
      <c r="C47" s="3">
        <f t="shared" si="19"/>
        <v>23188.990352062454</v>
      </c>
      <c r="D47" s="61">
        <v>0</v>
      </c>
      <c r="E47" s="33">
        <v>21</v>
      </c>
      <c r="F47" s="61">
        <f t="shared" si="23"/>
        <v>4869.6879739331152</v>
      </c>
      <c r="G47" s="3">
        <f t="shared" si="24"/>
        <v>28058.67832599557</v>
      </c>
      <c r="H47" s="3">
        <v>0</v>
      </c>
      <c r="I47" s="3">
        <f>Austria!I46</f>
        <v>1450</v>
      </c>
      <c r="J47" s="3">
        <f t="shared" si="25"/>
        <v>29508.67832599557</v>
      </c>
      <c r="V47" s="105"/>
    </row>
    <row r="48" spans="1:22">
      <c r="A48">
        <v>2028</v>
      </c>
      <c r="B48" s="3">
        <f t="shared" si="18"/>
        <v>26.683671596338133</v>
      </c>
      <c r="C48" s="3">
        <f t="shared" si="19"/>
        <v>22681.12085688741</v>
      </c>
      <c r="D48" s="61">
        <v>0</v>
      </c>
      <c r="E48" s="33">
        <v>21</v>
      </c>
      <c r="F48" s="61">
        <f t="shared" si="23"/>
        <v>4763.0353799463555</v>
      </c>
      <c r="G48" s="3">
        <f t="shared" si="24"/>
        <v>27444.156236833765</v>
      </c>
      <c r="H48" s="3">
        <v>0</v>
      </c>
      <c r="I48" s="3">
        <f>Austria!I47</f>
        <v>1450</v>
      </c>
      <c r="J48" s="3">
        <f t="shared" si="25"/>
        <v>28894.156236833765</v>
      </c>
      <c r="V48" s="105"/>
    </row>
    <row r="49" spans="1:22">
      <c r="A49">
        <v>2029</v>
      </c>
      <c r="B49" s="3">
        <f t="shared" si="18"/>
        <v>26.152566241906715</v>
      </c>
      <c r="C49" s="3">
        <f t="shared" si="19"/>
        <v>22229.68130562071</v>
      </c>
      <c r="D49" s="61">
        <v>0</v>
      </c>
      <c r="E49" s="33">
        <v>21</v>
      </c>
      <c r="F49" s="61">
        <f t="shared" si="23"/>
        <v>4668.2330741803489</v>
      </c>
      <c r="G49" s="3">
        <f t="shared" si="24"/>
        <v>26897.914379801059</v>
      </c>
      <c r="H49" s="3">
        <v>0</v>
      </c>
      <c r="I49" s="3">
        <f>Austria!I48</f>
        <v>1450</v>
      </c>
      <c r="J49" s="3">
        <f t="shared" si="25"/>
        <v>28347.914379801059</v>
      </c>
      <c r="V49" s="105"/>
    </row>
    <row r="50" spans="1:22">
      <c r="A50">
        <v>2030</v>
      </c>
      <c r="B50" s="3">
        <f t="shared" si="18"/>
        <v>25.55507271817137</v>
      </c>
      <c r="C50" s="3">
        <f t="shared" si="19"/>
        <v>21721.811810445666</v>
      </c>
      <c r="D50" s="61">
        <v>0</v>
      </c>
      <c r="E50" s="33">
        <v>21</v>
      </c>
      <c r="F50" s="61">
        <f t="shared" si="23"/>
        <v>4561.5804801935901</v>
      </c>
      <c r="G50" s="3">
        <f t="shared" si="24"/>
        <v>26283.392290639254</v>
      </c>
      <c r="H50" s="3">
        <v>0</v>
      </c>
      <c r="I50" s="3">
        <f>Austria!I49</f>
        <v>1450</v>
      </c>
      <c r="J50" s="3">
        <f t="shared" si="25"/>
        <v>27733.392290639254</v>
      </c>
      <c r="V50" s="105"/>
    </row>
    <row r="51" spans="1:22">
      <c r="B51" s="3"/>
      <c r="C51" s="3"/>
      <c r="D51" s="3"/>
      <c r="E51" s="33"/>
      <c r="F51" s="3"/>
      <c r="G51" s="3"/>
      <c r="H51" s="3"/>
      <c r="I51" s="3"/>
      <c r="J51" s="3"/>
      <c r="V51" s="105"/>
    </row>
    <row r="52" spans="1:22">
      <c r="D52" t="s">
        <v>775</v>
      </c>
      <c r="V52" s="167"/>
    </row>
    <row r="53" spans="1:22">
      <c r="A53" t="s">
        <v>716</v>
      </c>
      <c r="B53" t="s">
        <v>1395</v>
      </c>
      <c r="C53" t="s">
        <v>709</v>
      </c>
      <c r="D53" t="s">
        <v>709</v>
      </c>
      <c r="E53" t="s">
        <v>498</v>
      </c>
      <c r="F53" t="s">
        <v>709</v>
      </c>
      <c r="G53" t="s">
        <v>709</v>
      </c>
    </row>
    <row r="54" spans="1:22">
      <c r="B54" t="s">
        <v>724</v>
      </c>
      <c r="C54" t="s">
        <v>724</v>
      </c>
      <c r="D54" t="s">
        <v>749</v>
      </c>
      <c r="E54" t="s">
        <v>714</v>
      </c>
      <c r="F54" t="s">
        <v>728</v>
      </c>
      <c r="G54" t="s">
        <v>725</v>
      </c>
    </row>
    <row r="55" spans="1:22">
      <c r="A55">
        <v>2009</v>
      </c>
      <c r="B55" s="3">
        <f t="shared" ref="B55:B76" si="26">T3</f>
        <v>23</v>
      </c>
      <c r="C55" s="3">
        <f t="shared" ref="C55:C76" si="27">B55*AB3*1000</f>
        <v>16556.415833333336</v>
      </c>
      <c r="D55" s="61">
        <v>0</v>
      </c>
      <c r="E55" s="33">
        <v>21</v>
      </c>
      <c r="F55" s="61">
        <f>E55/100*C55</f>
        <v>3476.8473250000006</v>
      </c>
      <c r="G55" s="3">
        <f t="shared" ref="G55:G64" si="28">C55+F55+D55</f>
        <v>20033.263158333335</v>
      </c>
    </row>
    <row r="56" spans="1:22">
      <c r="A56">
        <v>2010</v>
      </c>
      <c r="B56" s="3">
        <f t="shared" si="26"/>
        <v>23</v>
      </c>
      <c r="C56" s="3">
        <f t="shared" si="27"/>
        <v>17449.439728968322</v>
      </c>
      <c r="D56" s="61">
        <v>0</v>
      </c>
      <c r="E56" s="33">
        <v>21</v>
      </c>
      <c r="F56" s="61">
        <f t="shared" ref="F56:F64" si="29">E56/100*C56</f>
        <v>3664.3823430833477</v>
      </c>
      <c r="G56" s="3">
        <f t="shared" si="28"/>
        <v>21113.822072051669</v>
      </c>
      <c r="I56" s="13"/>
    </row>
    <row r="57" spans="1:22">
      <c r="A57">
        <v>2011</v>
      </c>
      <c r="B57" s="3">
        <f t="shared" si="26"/>
        <v>23</v>
      </c>
      <c r="C57" s="3">
        <f t="shared" si="27"/>
        <v>16455.145298324001</v>
      </c>
      <c r="D57" s="61">
        <v>0</v>
      </c>
      <c r="E57" s="33">
        <v>21</v>
      </c>
      <c r="F57" s="61">
        <f t="shared" si="29"/>
        <v>3455.58051264804</v>
      </c>
      <c r="G57" s="3">
        <f t="shared" si="28"/>
        <v>19910.725810972042</v>
      </c>
    </row>
    <row r="58" spans="1:22">
      <c r="A58">
        <v>2012</v>
      </c>
      <c r="B58" s="3">
        <f t="shared" si="26"/>
        <v>23</v>
      </c>
      <c r="C58" s="3">
        <f t="shared" si="27"/>
        <v>17799.687274476786</v>
      </c>
      <c r="D58" s="61">
        <v>0</v>
      </c>
      <c r="E58" s="33">
        <v>21</v>
      </c>
      <c r="F58" s="61">
        <f t="shared" si="29"/>
        <v>3737.934327640125</v>
      </c>
      <c r="G58" s="3">
        <f t="shared" si="28"/>
        <v>21537.621602116909</v>
      </c>
    </row>
    <row r="59" spans="1:22">
      <c r="A59">
        <v>2013</v>
      </c>
      <c r="B59" s="3">
        <f t="shared" si="26"/>
        <v>23</v>
      </c>
      <c r="C59" s="3">
        <f t="shared" si="27"/>
        <v>17288.381580660563</v>
      </c>
      <c r="D59" s="61">
        <v>0</v>
      </c>
      <c r="E59" s="33">
        <v>21</v>
      </c>
      <c r="F59" s="61">
        <f t="shared" si="29"/>
        <v>3630.5601319387183</v>
      </c>
      <c r="G59" s="3">
        <f t="shared" si="28"/>
        <v>20918.94171259928</v>
      </c>
    </row>
    <row r="60" spans="1:22">
      <c r="A60">
        <v>2014</v>
      </c>
      <c r="B60" s="3">
        <f t="shared" si="26"/>
        <v>23</v>
      </c>
      <c r="C60" s="3">
        <f t="shared" si="27"/>
        <v>17419.920281794584</v>
      </c>
      <c r="D60" s="61">
        <v>0</v>
      </c>
      <c r="E60" s="33">
        <v>21</v>
      </c>
      <c r="F60" s="61">
        <f t="shared" si="29"/>
        <v>3658.1832591768625</v>
      </c>
      <c r="G60" s="3">
        <f t="shared" si="28"/>
        <v>21078.103540971446</v>
      </c>
    </row>
    <row r="61" spans="1:22">
      <c r="A61">
        <v>2015</v>
      </c>
      <c r="B61" s="3">
        <f t="shared" si="26"/>
        <v>23</v>
      </c>
      <c r="C61" s="3">
        <f t="shared" si="27"/>
        <v>20836.287927839425</v>
      </c>
      <c r="D61" s="61">
        <v>0</v>
      </c>
      <c r="E61" s="33">
        <v>21</v>
      </c>
      <c r="F61" s="61">
        <f t="shared" si="29"/>
        <v>4375.620464846279</v>
      </c>
      <c r="G61" s="3">
        <f t="shared" si="28"/>
        <v>25211.908392685706</v>
      </c>
    </row>
    <row r="62" spans="1:22">
      <c r="A62">
        <v>2016</v>
      </c>
      <c r="B62" s="3">
        <f t="shared" si="26"/>
        <v>23</v>
      </c>
      <c r="C62" s="3">
        <f t="shared" si="27"/>
        <v>20855.182773038596</v>
      </c>
      <c r="D62" s="61">
        <v>0</v>
      </c>
      <c r="E62" s="33">
        <v>21</v>
      </c>
      <c r="F62" s="61">
        <f t="shared" si="29"/>
        <v>4379.5883823381046</v>
      </c>
      <c r="G62" s="3">
        <f t="shared" si="28"/>
        <v>25234.7711553767</v>
      </c>
    </row>
    <row r="63" spans="1:22">
      <c r="A63">
        <v>2017</v>
      </c>
      <c r="B63" s="3">
        <f t="shared" si="26"/>
        <v>23</v>
      </c>
      <c r="C63" s="3">
        <f t="shared" si="27"/>
        <v>20287.536024615922</v>
      </c>
      <c r="D63" s="61">
        <v>0</v>
      </c>
      <c r="E63" s="33">
        <v>21</v>
      </c>
      <c r="F63" s="61">
        <f t="shared" si="29"/>
        <v>4260.3825651693433</v>
      </c>
      <c r="G63" s="3">
        <f t="shared" si="28"/>
        <v>24547.918589785266</v>
      </c>
    </row>
    <row r="64" spans="1:22">
      <c r="A64">
        <v>2018</v>
      </c>
      <c r="B64" s="3">
        <f t="shared" si="26"/>
        <v>23</v>
      </c>
      <c r="C64" s="3">
        <f t="shared" si="27"/>
        <v>19550</v>
      </c>
      <c r="D64" s="61">
        <v>0</v>
      </c>
      <c r="E64" s="33">
        <v>21</v>
      </c>
      <c r="F64" s="61">
        <f t="shared" si="29"/>
        <v>4105.5</v>
      </c>
      <c r="G64" s="3">
        <f t="shared" si="28"/>
        <v>23655.5</v>
      </c>
    </row>
    <row r="65" spans="1:29">
      <c r="A65">
        <v>2019</v>
      </c>
      <c r="B65" s="3">
        <f t="shared" si="26"/>
        <v>23</v>
      </c>
      <c r="C65" s="3">
        <f t="shared" si="27"/>
        <v>19550</v>
      </c>
      <c r="D65" s="61">
        <v>0</v>
      </c>
      <c r="E65" s="33">
        <v>21</v>
      </c>
      <c r="F65" s="61">
        <f t="shared" ref="F65:F76" si="30">E65/100*C65</f>
        <v>4105.5</v>
      </c>
      <c r="G65" s="3">
        <f t="shared" ref="G65:G76" si="31">C65+F65+D65</f>
        <v>23655.5</v>
      </c>
    </row>
    <row r="66" spans="1:29">
      <c r="A66">
        <v>2020</v>
      </c>
      <c r="B66" s="3">
        <f t="shared" si="26"/>
        <v>23</v>
      </c>
      <c r="C66" s="3">
        <f t="shared" si="27"/>
        <v>19550</v>
      </c>
      <c r="D66" s="61">
        <v>0</v>
      </c>
      <c r="E66" s="33">
        <v>21</v>
      </c>
      <c r="F66" s="61">
        <f t="shared" si="30"/>
        <v>4105.5</v>
      </c>
      <c r="G66" s="3">
        <f t="shared" si="31"/>
        <v>23655.5</v>
      </c>
    </row>
    <row r="67" spans="1:29">
      <c r="A67">
        <v>2021</v>
      </c>
      <c r="B67" s="3">
        <f t="shared" si="26"/>
        <v>23</v>
      </c>
      <c r="C67" s="3">
        <f t="shared" si="27"/>
        <v>19550</v>
      </c>
      <c r="D67" s="61">
        <v>0</v>
      </c>
      <c r="E67" s="33">
        <v>21</v>
      </c>
      <c r="F67" s="61">
        <f t="shared" si="30"/>
        <v>4105.5</v>
      </c>
      <c r="G67" s="3">
        <f t="shared" si="31"/>
        <v>23655.5</v>
      </c>
    </row>
    <row r="68" spans="1:29">
      <c r="A68">
        <v>2022</v>
      </c>
      <c r="B68" s="3">
        <f t="shared" si="26"/>
        <v>23</v>
      </c>
      <c r="C68" s="3">
        <f t="shared" si="27"/>
        <v>19550</v>
      </c>
      <c r="D68" s="61">
        <v>0</v>
      </c>
      <c r="E68" s="33">
        <v>21</v>
      </c>
      <c r="F68" s="61">
        <f t="shared" si="30"/>
        <v>4105.5</v>
      </c>
      <c r="G68" s="3">
        <f t="shared" si="31"/>
        <v>23655.5</v>
      </c>
    </row>
    <row r="69" spans="1:29">
      <c r="A69">
        <v>2023</v>
      </c>
      <c r="B69" s="3">
        <f t="shared" si="26"/>
        <v>23</v>
      </c>
      <c r="C69" s="3">
        <f t="shared" si="27"/>
        <v>19550</v>
      </c>
      <c r="D69" s="61">
        <v>0</v>
      </c>
      <c r="E69" s="33">
        <v>21</v>
      </c>
      <c r="F69" s="61">
        <f t="shared" si="30"/>
        <v>4105.5</v>
      </c>
      <c r="G69" s="3">
        <f t="shared" si="31"/>
        <v>23655.5</v>
      </c>
    </row>
    <row r="70" spans="1:29">
      <c r="A70">
        <v>2024</v>
      </c>
      <c r="B70" s="3">
        <f t="shared" si="26"/>
        <v>23</v>
      </c>
      <c r="C70" s="3">
        <f t="shared" si="27"/>
        <v>19550</v>
      </c>
      <c r="D70" s="61">
        <v>0</v>
      </c>
      <c r="E70" s="33">
        <v>21</v>
      </c>
      <c r="F70" s="61">
        <f t="shared" si="30"/>
        <v>4105.5</v>
      </c>
      <c r="G70" s="3">
        <f t="shared" si="31"/>
        <v>23655.5</v>
      </c>
    </row>
    <row r="71" spans="1:29">
      <c r="A71">
        <v>2025</v>
      </c>
      <c r="B71" s="3">
        <f t="shared" si="26"/>
        <v>23</v>
      </c>
      <c r="C71" s="3">
        <f t="shared" si="27"/>
        <v>19550</v>
      </c>
      <c r="D71" s="61">
        <v>0</v>
      </c>
      <c r="E71" s="33">
        <v>21</v>
      </c>
      <c r="F71" s="61">
        <f t="shared" si="30"/>
        <v>4105.5</v>
      </c>
      <c r="G71" s="3">
        <f t="shared" si="31"/>
        <v>23655.5</v>
      </c>
    </row>
    <row r="72" spans="1:29">
      <c r="A72">
        <v>2026</v>
      </c>
      <c r="B72" s="3">
        <f t="shared" si="26"/>
        <v>23</v>
      </c>
      <c r="C72" s="3">
        <f t="shared" si="27"/>
        <v>19550</v>
      </c>
      <c r="D72" s="61">
        <v>0</v>
      </c>
      <c r="E72" s="33">
        <v>21</v>
      </c>
      <c r="F72" s="61">
        <f t="shared" si="30"/>
        <v>4105.5</v>
      </c>
      <c r="G72" s="3">
        <f t="shared" si="31"/>
        <v>23655.5</v>
      </c>
    </row>
    <row r="73" spans="1:29">
      <c r="A73">
        <v>2027</v>
      </c>
      <c r="B73" s="3">
        <f t="shared" si="26"/>
        <v>23</v>
      </c>
      <c r="C73" s="3">
        <f t="shared" si="27"/>
        <v>19550</v>
      </c>
      <c r="D73" s="61">
        <v>0</v>
      </c>
      <c r="E73" s="33">
        <v>21</v>
      </c>
      <c r="F73" s="61">
        <f t="shared" si="30"/>
        <v>4105.5</v>
      </c>
      <c r="G73" s="3">
        <f t="shared" si="31"/>
        <v>23655.5</v>
      </c>
    </row>
    <row r="74" spans="1:29">
      <c r="A74">
        <v>2028</v>
      </c>
      <c r="B74" s="3">
        <f t="shared" si="26"/>
        <v>23</v>
      </c>
      <c r="C74" s="3">
        <f t="shared" si="27"/>
        <v>19550</v>
      </c>
      <c r="D74" s="61">
        <v>0</v>
      </c>
      <c r="E74" s="33">
        <v>21</v>
      </c>
      <c r="F74" s="61">
        <f t="shared" si="30"/>
        <v>4105.5</v>
      </c>
      <c r="G74" s="3">
        <f t="shared" si="31"/>
        <v>23655.5</v>
      </c>
    </row>
    <row r="75" spans="1:29">
      <c r="A75">
        <v>2029</v>
      </c>
      <c r="B75" s="3">
        <f t="shared" si="26"/>
        <v>23</v>
      </c>
      <c r="C75" s="3">
        <f t="shared" si="27"/>
        <v>19550</v>
      </c>
      <c r="D75" s="61">
        <v>0</v>
      </c>
      <c r="E75" s="33">
        <v>21</v>
      </c>
      <c r="F75" s="61">
        <f t="shared" si="30"/>
        <v>4105.5</v>
      </c>
      <c r="G75" s="3">
        <f t="shared" si="31"/>
        <v>23655.5</v>
      </c>
    </row>
    <row r="76" spans="1:29">
      <c r="A76">
        <v>2030</v>
      </c>
      <c r="B76" s="3">
        <f t="shared" si="26"/>
        <v>23</v>
      </c>
      <c r="C76" s="3">
        <f t="shared" si="27"/>
        <v>19550</v>
      </c>
      <c r="D76" s="61">
        <v>0</v>
      </c>
      <c r="E76" s="33">
        <v>21</v>
      </c>
      <c r="F76" s="61">
        <f t="shared" si="30"/>
        <v>4105.5</v>
      </c>
      <c r="G76" s="3">
        <f t="shared" si="31"/>
        <v>23655.5</v>
      </c>
    </row>
    <row r="78" spans="1:29">
      <c r="Z78" s="87" t="s">
        <v>1221</v>
      </c>
      <c r="AA78" s="87"/>
      <c r="AB78" s="87"/>
      <c r="AC78" s="234"/>
    </row>
    <row r="79" spans="1:29">
      <c r="Z79" s="235" t="s">
        <v>1167</v>
      </c>
      <c r="AA79" s="235" t="s">
        <v>1168</v>
      </c>
      <c r="AB79" s="235" t="s">
        <v>1169</v>
      </c>
      <c r="AC79" s="235" t="s">
        <v>1170</v>
      </c>
    </row>
    <row r="80" spans="1:29">
      <c r="B80" t="s">
        <v>980</v>
      </c>
      <c r="C80" t="s">
        <v>980</v>
      </c>
      <c r="D80" t="s">
        <v>980</v>
      </c>
      <c r="E80" t="s">
        <v>980</v>
      </c>
      <c r="F80" t="s">
        <v>980</v>
      </c>
      <c r="J80" t="s">
        <v>812</v>
      </c>
      <c r="K80" t="s">
        <v>812</v>
      </c>
      <c r="L80" t="s">
        <v>812</v>
      </c>
      <c r="M80" t="s">
        <v>812</v>
      </c>
      <c r="N80" t="s">
        <v>812</v>
      </c>
      <c r="U80" t="s">
        <v>1042</v>
      </c>
      <c r="Y80">
        <v>2010</v>
      </c>
      <c r="Z80" s="13">
        <v>1.63640507057683</v>
      </c>
      <c r="AA80" s="13">
        <f t="shared" ref="AA80:AC80" si="32">Z80</f>
        <v>1.63640507057683</v>
      </c>
      <c r="AB80" s="13">
        <f t="shared" si="32"/>
        <v>1.63640507057683</v>
      </c>
      <c r="AC80" s="13">
        <f t="shared" si="32"/>
        <v>1.63640507057683</v>
      </c>
    </row>
    <row r="81" spans="1:29">
      <c r="B81" t="s">
        <v>978</v>
      </c>
      <c r="C81" t="s">
        <v>979</v>
      </c>
      <c r="D81" t="s">
        <v>916</v>
      </c>
      <c r="E81" t="s">
        <v>981</v>
      </c>
      <c r="F81" t="s">
        <v>983</v>
      </c>
      <c r="J81" t="s">
        <v>725</v>
      </c>
      <c r="K81" t="s">
        <v>979</v>
      </c>
      <c r="L81" t="s">
        <v>916</v>
      </c>
      <c r="M81" t="s">
        <v>985</v>
      </c>
      <c r="N81" t="s">
        <v>983</v>
      </c>
      <c r="R81" t="s">
        <v>997</v>
      </c>
      <c r="S81" t="s">
        <v>1086</v>
      </c>
      <c r="U81" t="s">
        <v>934</v>
      </c>
      <c r="V81" t="s">
        <v>986</v>
      </c>
      <c r="W81" t="s">
        <v>987</v>
      </c>
      <c r="Y81">
        <v>2011</v>
      </c>
      <c r="Z81" s="13">
        <v>1.7430534416589749</v>
      </c>
      <c r="AA81" s="13">
        <f t="shared" ref="AA81:AC81" si="33">Z81</f>
        <v>1.7430534416589749</v>
      </c>
      <c r="AB81" s="13">
        <f t="shared" si="33"/>
        <v>1.7430534416589749</v>
      </c>
      <c r="AC81" s="13">
        <f t="shared" si="33"/>
        <v>1.7430534416589749</v>
      </c>
    </row>
    <row r="82" spans="1:29">
      <c r="A82" s="3">
        <v>2012</v>
      </c>
      <c r="B82" s="3">
        <f t="shared" ref="B82:B100" si="34">MIN(J6,J32)</f>
        <v>20828.271838197747</v>
      </c>
      <c r="C82" s="3">
        <f>B82/5</f>
        <v>4165.6543676395495</v>
      </c>
      <c r="D82" s="3">
        <f>B82*0.13</f>
        <v>2707.6753389657069</v>
      </c>
      <c r="E82" s="3">
        <f t="shared" ref="E82:E100" si="35">L3</f>
        <v>0</v>
      </c>
      <c r="F82" s="3">
        <f>C82+D82-E82</f>
        <v>6873.3297066052564</v>
      </c>
      <c r="G82" s="3"/>
      <c r="H82" s="3"/>
      <c r="I82" s="3">
        <v>2012</v>
      </c>
      <c r="J82" s="3">
        <f>G58</f>
        <v>21537.621602116909</v>
      </c>
      <c r="K82" s="3">
        <f>J82/5</f>
        <v>4307.5243204233821</v>
      </c>
      <c r="L82" s="3">
        <f>J82*0.13</f>
        <v>2799.8908082751982</v>
      </c>
      <c r="M82" s="3">
        <f t="shared" ref="M82:M101" si="36">W82/100*V82*U82</f>
        <v>1529.4899549161426</v>
      </c>
      <c r="N82" s="3">
        <f>SUM(K82:M82)</f>
        <v>8636.9050836147217</v>
      </c>
      <c r="O82" s="3"/>
      <c r="P82" s="3"/>
      <c r="Q82" s="3">
        <v>2012</v>
      </c>
      <c r="R82" s="13">
        <f>N82/F82</f>
        <v>1.2565823919831276</v>
      </c>
      <c r="S82" s="13">
        <f>J82/B82</f>
        <v>1.0340570628917114</v>
      </c>
      <c r="T82" s="3"/>
      <c r="U82" s="13">
        <f>AB82</f>
        <v>1.8066388333579</v>
      </c>
      <c r="V82" s="12">
        <f>'Country L per 100 km'!D7</f>
        <v>5.643961322634194</v>
      </c>
      <c r="W82" s="3">
        <f>'Country distance travelled'!D7</f>
        <v>15000</v>
      </c>
      <c r="Y82">
        <v>2012</v>
      </c>
      <c r="Z82" s="13">
        <v>1.8066388333579</v>
      </c>
      <c r="AA82" s="13">
        <f t="shared" ref="AA82:AC82" si="37">Z82</f>
        <v>1.8066388333579</v>
      </c>
      <c r="AB82" s="13">
        <f t="shared" si="37"/>
        <v>1.8066388333579</v>
      </c>
      <c r="AC82" s="13">
        <f t="shared" si="37"/>
        <v>1.8066388333579</v>
      </c>
    </row>
    <row r="83" spans="1:29">
      <c r="A83" s="3">
        <v>2013</v>
      </c>
      <c r="B83" s="3">
        <f t="shared" si="34"/>
        <v>24557.956205695493</v>
      </c>
      <c r="C83" s="3">
        <f t="shared" ref="C83:C100" si="38">B83/5</f>
        <v>4911.5912411390982</v>
      </c>
      <c r="D83" s="3">
        <f t="shared" ref="D83:D100" si="39">B83*0.13</f>
        <v>3192.5343067404142</v>
      </c>
      <c r="E83" s="3">
        <f t="shared" si="35"/>
        <v>0</v>
      </c>
      <c r="F83" s="3">
        <f t="shared" ref="F83:F100" si="40">C83+D83-E83</f>
        <v>8104.1255478795119</v>
      </c>
      <c r="G83" s="3"/>
      <c r="H83" s="3"/>
      <c r="I83" s="3">
        <v>2013</v>
      </c>
      <c r="J83" s="3">
        <f t="shared" ref="J83:J100" si="41">G59</f>
        <v>20918.94171259928</v>
      </c>
      <c r="K83" s="3">
        <f t="shared" ref="K83:K100" si="42">J83/5</f>
        <v>4183.7883425198561</v>
      </c>
      <c r="L83" s="3">
        <f t="shared" ref="L83:L100" si="43">J83*0.13</f>
        <v>2719.4624226379065</v>
      </c>
      <c r="M83" s="3">
        <f t="shared" si="36"/>
        <v>1441.5903207379531</v>
      </c>
      <c r="N83" s="3">
        <f t="shared" ref="N83:N99" si="44">SUM(K83:M83)</f>
        <v>8344.8410858957159</v>
      </c>
      <c r="O83" s="3"/>
      <c r="P83" s="3"/>
      <c r="Q83" s="3">
        <v>2013</v>
      </c>
      <c r="R83" s="13">
        <f t="shared" ref="R83:R100" si="45">N83/F83</f>
        <v>1.0297028392013483</v>
      </c>
      <c r="S83" s="13">
        <f t="shared" ref="S83:S100" si="46">J83/B83</f>
        <v>0.85181932638790803</v>
      </c>
      <c r="T83" s="3"/>
      <c r="U83" s="13">
        <f t="shared" ref="U83:U100" si="47">AB83</f>
        <v>1.716178953259468</v>
      </c>
      <c r="V83" s="12">
        <f>'Country L per 100 km'!D8</f>
        <v>5.6</v>
      </c>
      <c r="W83" s="3">
        <f>'Country distance travelled'!D8</f>
        <v>15000</v>
      </c>
      <c r="Y83">
        <v>2013</v>
      </c>
      <c r="Z83" s="13">
        <v>1.716178953259468</v>
      </c>
      <c r="AA83" s="13">
        <f t="shared" ref="AA83:AC83" si="48">Z83</f>
        <v>1.716178953259468</v>
      </c>
      <c r="AB83" s="13">
        <f t="shared" si="48"/>
        <v>1.716178953259468</v>
      </c>
      <c r="AC83" s="13">
        <f t="shared" si="48"/>
        <v>1.716178953259468</v>
      </c>
    </row>
    <row r="84" spans="1:29">
      <c r="A84" s="3">
        <v>2014</v>
      </c>
      <c r="B84" s="3">
        <f t="shared" si="34"/>
        <v>26990.208679386385</v>
      </c>
      <c r="C84" s="3">
        <f t="shared" si="38"/>
        <v>5398.0417358772775</v>
      </c>
      <c r="D84" s="3">
        <f t="shared" si="39"/>
        <v>3508.7271283202303</v>
      </c>
      <c r="E84" s="3">
        <f t="shared" si="35"/>
        <v>0</v>
      </c>
      <c r="F84" s="3">
        <f t="shared" si="40"/>
        <v>8906.7688641975074</v>
      </c>
      <c r="G84" s="3"/>
      <c r="H84" s="3"/>
      <c r="I84" s="3">
        <v>2014</v>
      </c>
      <c r="J84" s="3">
        <f t="shared" si="41"/>
        <v>21078.103540971446</v>
      </c>
      <c r="K84" s="3">
        <f t="shared" si="42"/>
        <v>4215.6207081942894</v>
      </c>
      <c r="L84" s="3">
        <f t="shared" si="43"/>
        <v>2740.153460326288</v>
      </c>
      <c r="M84" s="3">
        <f t="shared" si="36"/>
        <v>1376.3585007745567</v>
      </c>
      <c r="N84" s="3">
        <f t="shared" si="44"/>
        <v>8332.1326692951334</v>
      </c>
      <c r="O84" s="3"/>
      <c r="P84" s="3"/>
      <c r="Q84" s="3">
        <v>2014</v>
      </c>
      <c r="R84" s="13">
        <f t="shared" si="45"/>
        <v>0.9354832034305689</v>
      </c>
      <c r="S84" s="13">
        <f t="shared" si="46"/>
        <v>0.78095370774475426</v>
      </c>
      <c r="T84" s="3"/>
      <c r="U84" s="13">
        <f t="shared" si="47"/>
        <v>1.6581842890283947</v>
      </c>
      <c r="V84" s="12">
        <f>'Country L per 100 km'!D9</f>
        <v>5.5335968379446632</v>
      </c>
      <c r="W84" s="3">
        <f>'Country distance travelled'!D9</f>
        <v>15000</v>
      </c>
      <c r="Y84">
        <v>2014</v>
      </c>
      <c r="Z84" s="13">
        <v>1.6581842890283947</v>
      </c>
      <c r="AA84" s="13">
        <f t="shared" ref="AA84:AC84" si="49">Z84</f>
        <v>1.6581842890283947</v>
      </c>
      <c r="AB84" s="13">
        <f t="shared" si="49"/>
        <v>1.6581842890283947</v>
      </c>
      <c r="AC84" s="13">
        <f t="shared" si="49"/>
        <v>1.6581842890283947</v>
      </c>
    </row>
    <row r="85" spans="1:29">
      <c r="A85" s="3">
        <v>2015</v>
      </c>
      <c r="B85" s="3">
        <f t="shared" si="34"/>
        <v>29164.873033633958</v>
      </c>
      <c r="C85" s="3">
        <f t="shared" si="38"/>
        <v>5832.9746067267915</v>
      </c>
      <c r="D85" s="3">
        <f t="shared" si="39"/>
        <v>3791.4334943724148</v>
      </c>
      <c r="E85" s="3">
        <f t="shared" si="35"/>
        <v>0</v>
      </c>
      <c r="F85" s="3">
        <f t="shared" si="40"/>
        <v>9624.4081010992068</v>
      </c>
      <c r="G85" s="3"/>
      <c r="H85" s="3"/>
      <c r="I85" s="3">
        <v>2015</v>
      </c>
      <c r="J85" s="3">
        <f t="shared" si="41"/>
        <v>25211.908392685706</v>
      </c>
      <c r="K85" s="3">
        <f t="shared" si="42"/>
        <v>5042.3816785371409</v>
      </c>
      <c r="L85" s="3">
        <f t="shared" si="43"/>
        <v>3277.5480910491419</v>
      </c>
      <c r="M85" s="3">
        <f t="shared" si="36"/>
        <v>1205.2815760466315</v>
      </c>
      <c r="N85" s="3">
        <f t="shared" si="44"/>
        <v>9525.2113456329134</v>
      </c>
      <c r="O85" s="3"/>
      <c r="P85" s="3"/>
      <c r="Q85" s="3">
        <v>2015</v>
      </c>
      <c r="R85" s="13">
        <f t="shared" si="45"/>
        <v>0.98969320976165132</v>
      </c>
      <c r="S85" s="13">
        <f t="shared" si="46"/>
        <v>0.86446144866156094</v>
      </c>
      <c r="T85" s="3"/>
      <c r="U85" s="13">
        <f t="shared" si="47"/>
        <v>1.4680501779330262</v>
      </c>
      <c r="V85" s="12">
        <f>'Country L per 100 km'!D10</f>
        <v>5.4733895528631695</v>
      </c>
      <c r="W85" s="3">
        <f>'Country distance travelled'!D10</f>
        <v>15000</v>
      </c>
      <c r="Y85">
        <v>2015</v>
      </c>
      <c r="Z85" s="13">
        <v>1.4680501779330262</v>
      </c>
      <c r="AA85" s="13">
        <f t="shared" ref="AA85:AC85" si="50">Z85</f>
        <v>1.4680501779330262</v>
      </c>
      <c r="AB85" s="13">
        <f t="shared" si="50"/>
        <v>1.4680501779330262</v>
      </c>
      <c r="AC85" s="13">
        <f t="shared" si="50"/>
        <v>1.4680501779330262</v>
      </c>
    </row>
    <row r="86" spans="1:29">
      <c r="A86" s="3">
        <v>2016</v>
      </c>
      <c r="B86" s="3">
        <f t="shared" si="34"/>
        <v>30301.718898317431</v>
      </c>
      <c r="C86" s="3">
        <f t="shared" si="38"/>
        <v>6060.3437796634862</v>
      </c>
      <c r="D86" s="3">
        <f t="shared" si="39"/>
        <v>3939.2234567812661</v>
      </c>
      <c r="E86" s="3">
        <f t="shared" si="35"/>
        <v>0</v>
      </c>
      <c r="F86" s="3">
        <f t="shared" si="40"/>
        <v>9999.5672364447528</v>
      </c>
      <c r="G86" s="3"/>
      <c r="H86" s="3"/>
      <c r="I86" s="3">
        <v>2016</v>
      </c>
      <c r="J86" s="3">
        <f t="shared" si="41"/>
        <v>25234.7711553767</v>
      </c>
      <c r="K86" s="3">
        <f t="shared" si="42"/>
        <v>5046.9542310753404</v>
      </c>
      <c r="L86" s="3">
        <f t="shared" si="43"/>
        <v>3280.5202501989711</v>
      </c>
      <c r="M86" s="3">
        <f t="shared" si="36"/>
        <v>1084.3082888194062</v>
      </c>
      <c r="N86" s="3">
        <f t="shared" si="44"/>
        <v>9411.7827700937178</v>
      </c>
      <c r="O86" s="3"/>
      <c r="P86" s="3"/>
      <c r="Q86" s="3">
        <v>2016</v>
      </c>
      <c r="R86" s="13">
        <f t="shared" si="45"/>
        <v>0.9412190095378552</v>
      </c>
      <c r="S86" s="13">
        <f t="shared" si="46"/>
        <v>0.83278348796173129</v>
      </c>
      <c r="T86" s="3"/>
      <c r="U86" s="13">
        <f t="shared" si="47"/>
        <v>1.333910015759453</v>
      </c>
      <c r="V86" s="12">
        <f>'Country L per 100 km'!D11</f>
        <v>5.4191975770922465</v>
      </c>
      <c r="W86" s="3">
        <f>'Country distance travelled'!D11</f>
        <v>15000</v>
      </c>
      <c r="Y86">
        <v>2016</v>
      </c>
      <c r="Z86" s="13">
        <v>1.333910015759453</v>
      </c>
      <c r="AA86" s="13">
        <f t="shared" ref="AA86:AC86" si="51">Z86</f>
        <v>1.333910015759453</v>
      </c>
      <c r="AB86" s="13">
        <f t="shared" si="51"/>
        <v>1.333910015759453</v>
      </c>
      <c r="AC86" s="13">
        <f t="shared" si="51"/>
        <v>1.333910015759453</v>
      </c>
    </row>
    <row r="87" spans="1:29">
      <c r="A87" s="3">
        <v>2017</v>
      </c>
      <c r="B87" s="3">
        <f t="shared" si="34"/>
        <v>30469.024247545996</v>
      </c>
      <c r="C87" s="3">
        <f t="shared" si="38"/>
        <v>6093.8048495091989</v>
      </c>
      <c r="D87" s="3">
        <f t="shared" si="39"/>
        <v>3960.9731521809795</v>
      </c>
      <c r="E87" s="3">
        <f t="shared" si="35"/>
        <v>0</v>
      </c>
      <c r="F87" s="3">
        <f t="shared" si="40"/>
        <v>10054.778001690178</v>
      </c>
      <c r="G87" s="3"/>
      <c r="H87" s="3"/>
      <c r="I87" s="3">
        <v>2017</v>
      </c>
      <c r="J87" s="3">
        <f t="shared" si="41"/>
        <v>24547.918589785266</v>
      </c>
      <c r="K87" s="3">
        <f t="shared" si="42"/>
        <v>4909.5837179570535</v>
      </c>
      <c r="L87" s="3">
        <f t="shared" si="43"/>
        <v>3191.2294166720849</v>
      </c>
      <c r="M87" s="3">
        <f t="shared" si="36"/>
        <v>1129.7486936598809</v>
      </c>
      <c r="N87" s="3">
        <f t="shared" si="44"/>
        <v>9230.5618282890191</v>
      </c>
      <c r="O87" s="3"/>
      <c r="P87" s="3"/>
      <c r="Q87" s="3">
        <v>2017</v>
      </c>
      <c r="R87" s="13">
        <f>N87/F87</f>
        <v>0.91802741211565186</v>
      </c>
      <c r="S87" s="13">
        <f t="shared" si="46"/>
        <v>0.8056680250192908</v>
      </c>
      <c r="T87" s="3"/>
      <c r="U87" s="13">
        <f t="shared" si="47"/>
        <v>1.4037086541124975</v>
      </c>
      <c r="V87" s="12">
        <f>'Country L per 100 km'!D12</f>
        <v>5.3655421555368772</v>
      </c>
      <c r="W87" s="3">
        <f>'Country distance travelled'!D12</f>
        <v>15000</v>
      </c>
      <c r="Y87">
        <v>2017</v>
      </c>
      <c r="Z87" s="13">
        <v>1.4037086541124975</v>
      </c>
      <c r="AA87" s="13">
        <f t="shared" ref="AA87:AC87" si="52">Z87</f>
        <v>1.4037086541124975</v>
      </c>
      <c r="AB87" s="13">
        <f t="shared" si="52"/>
        <v>1.4037086541124975</v>
      </c>
      <c r="AC87" s="13">
        <f t="shared" si="52"/>
        <v>1.4037086541124975</v>
      </c>
    </row>
    <row r="88" spans="1:29">
      <c r="A88" s="3">
        <v>2018</v>
      </c>
      <c r="B88" s="3">
        <f t="shared" si="34"/>
        <v>30945.084211238609</v>
      </c>
      <c r="C88" s="3">
        <f t="shared" si="38"/>
        <v>6189.0168422477218</v>
      </c>
      <c r="D88" s="3">
        <f t="shared" si="39"/>
        <v>4022.8609474610194</v>
      </c>
      <c r="E88" s="3">
        <f t="shared" si="35"/>
        <v>0</v>
      </c>
      <c r="F88" s="3">
        <f t="shared" si="40"/>
        <v>10211.877789708742</v>
      </c>
      <c r="G88" s="3"/>
      <c r="H88" s="3"/>
      <c r="I88" s="3">
        <v>2018</v>
      </c>
      <c r="J88" s="3">
        <f t="shared" si="41"/>
        <v>23655.5</v>
      </c>
      <c r="K88" s="3">
        <f t="shared" si="42"/>
        <v>4731.1000000000004</v>
      </c>
      <c r="L88" s="3">
        <f t="shared" si="43"/>
        <v>3075.2150000000001</v>
      </c>
      <c r="M88" s="3">
        <f t="shared" si="36"/>
        <v>1183.1778387541949</v>
      </c>
      <c r="N88" s="3">
        <f t="shared" si="44"/>
        <v>8989.492838754195</v>
      </c>
      <c r="O88" s="3"/>
      <c r="P88" s="3"/>
      <c r="Q88" s="3">
        <v>2018</v>
      </c>
      <c r="R88" s="13">
        <f t="shared" si="45"/>
        <v>0.88029773014063739</v>
      </c>
      <c r="S88" s="13">
        <f t="shared" si="46"/>
        <v>0.76443482391328621</v>
      </c>
      <c r="T88" s="3"/>
      <c r="U88" s="13">
        <f t="shared" si="47"/>
        <v>1.484795114828011</v>
      </c>
      <c r="V88" s="12">
        <f>'Country L per 100 km'!D13</f>
        <v>5.3124179757790868</v>
      </c>
      <c r="W88" s="3">
        <f>'Country distance travelled'!D13</f>
        <v>15000</v>
      </c>
      <c r="Y88">
        <v>2018</v>
      </c>
      <c r="Z88" s="13">
        <v>1.484795114828011</v>
      </c>
      <c r="AA88" s="13">
        <f>Z88</f>
        <v>1.484795114828011</v>
      </c>
      <c r="AB88" s="13">
        <f t="shared" ref="AB88:AC88" si="53">AA88</f>
        <v>1.484795114828011</v>
      </c>
      <c r="AC88" s="13">
        <f t="shared" si="53"/>
        <v>1.484795114828011</v>
      </c>
    </row>
    <row r="89" spans="1:29">
      <c r="A89" s="3">
        <v>2019</v>
      </c>
      <c r="B89" s="3">
        <f t="shared" si="34"/>
        <v>32542.29093544625</v>
      </c>
      <c r="C89" s="3">
        <f t="shared" si="38"/>
        <v>6508.4581870892498</v>
      </c>
      <c r="D89" s="3">
        <f t="shared" si="39"/>
        <v>4230.4978216080126</v>
      </c>
      <c r="E89" s="3">
        <f t="shared" si="35"/>
        <v>0</v>
      </c>
      <c r="F89" s="3">
        <f t="shared" si="40"/>
        <v>10738.956008697263</v>
      </c>
      <c r="G89" s="3"/>
      <c r="H89" s="3"/>
      <c r="I89" s="3">
        <v>2019</v>
      </c>
      <c r="J89" s="3">
        <f t="shared" si="41"/>
        <v>23655.5</v>
      </c>
      <c r="K89" s="3">
        <f t="shared" si="42"/>
        <v>4731.1000000000004</v>
      </c>
      <c r="L89" s="3">
        <f t="shared" si="43"/>
        <v>3075.2150000000001</v>
      </c>
      <c r="M89" s="3">
        <f t="shared" si="36"/>
        <v>1148.6722737771604</v>
      </c>
      <c r="N89" s="3">
        <f t="shared" si="44"/>
        <v>8954.9872737771602</v>
      </c>
      <c r="O89" s="3"/>
      <c r="P89" s="3"/>
      <c r="Q89" s="3">
        <v>2019</v>
      </c>
      <c r="R89" s="13">
        <f t="shared" si="45"/>
        <v>0.83387875567463887</v>
      </c>
      <c r="S89" s="13">
        <f t="shared" si="46"/>
        <v>0.72691563255104352</v>
      </c>
      <c r="T89" s="3"/>
      <c r="U89" s="13">
        <f t="shared" si="47"/>
        <v>1.4559082785584598</v>
      </c>
      <c r="V89" s="12">
        <f>'Country L per 100 km'!D14</f>
        <v>5.2598197779990956</v>
      </c>
      <c r="W89" s="3">
        <f>'Country distance travelled'!D14</f>
        <v>15000</v>
      </c>
      <c r="Y89">
        <v>2019</v>
      </c>
      <c r="Z89" s="13"/>
      <c r="AA89" s="13">
        <v>1.7281997498919421</v>
      </c>
      <c r="AB89" s="13">
        <v>1.4559082785584598</v>
      </c>
      <c r="AC89" s="13">
        <v>1.2187337332051988</v>
      </c>
    </row>
    <row r="90" spans="1:29">
      <c r="A90" s="3">
        <v>2020</v>
      </c>
      <c r="B90" s="3">
        <f t="shared" si="34"/>
        <v>33319.001362442687</v>
      </c>
      <c r="C90" s="3">
        <f t="shared" si="38"/>
        <v>6663.8002724885373</v>
      </c>
      <c r="D90" s="3">
        <f t="shared" si="39"/>
        <v>4331.4701771175496</v>
      </c>
      <c r="E90" s="3">
        <f t="shared" si="35"/>
        <v>0</v>
      </c>
      <c r="F90" s="3">
        <f t="shared" si="40"/>
        <v>10995.270449606087</v>
      </c>
      <c r="G90" s="3"/>
      <c r="H90" s="3"/>
      <c r="I90" s="3">
        <v>2020</v>
      </c>
      <c r="J90" s="3">
        <f t="shared" si="41"/>
        <v>23655.5</v>
      </c>
      <c r="K90" s="3">
        <f t="shared" si="42"/>
        <v>4731.1000000000004</v>
      </c>
      <c r="L90" s="3">
        <f t="shared" si="43"/>
        <v>3075.2150000000001</v>
      </c>
      <c r="M90" s="3">
        <f t="shared" si="36"/>
        <v>1138.7248738519806</v>
      </c>
      <c r="N90" s="3">
        <f t="shared" si="44"/>
        <v>8945.0398738519816</v>
      </c>
      <c r="O90" s="3"/>
      <c r="P90" s="3"/>
      <c r="Q90" s="3">
        <v>2020</v>
      </c>
      <c r="R90" s="13">
        <f t="shared" si="45"/>
        <v>0.81353522997448813</v>
      </c>
      <c r="S90" s="13">
        <f t="shared" si="46"/>
        <v>0.70997025819220905</v>
      </c>
      <c r="T90" s="3"/>
      <c r="U90" s="13">
        <f t="shared" si="47"/>
        <v>1.4577332445257509</v>
      </c>
      <c r="V90" s="12">
        <f>'Country L per 100 km'!D15</f>
        <v>5.2077423544545498</v>
      </c>
      <c r="W90" s="3">
        <f>'Country distance travelled'!D15</f>
        <v>15000</v>
      </c>
      <c r="Y90">
        <v>2020</v>
      </c>
      <c r="Z90" s="13"/>
      <c r="AA90" s="13">
        <v>1.8436787136742709</v>
      </c>
      <c r="AB90" s="13">
        <v>1.4577332445257509</v>
      </c>
      <c r="AC90" s="13">
        <v>1.2255266134276888</v>
      </c>
    </row>
    <row r="91" spans="1:29">
      <c r="A91" s="3">
        <v>2021</v>
      </c>
      <c r="B91" s="3">
        <f t="shared" si="34"/>
        <v>32517.600045126095</v>
      </c>
      <c r="C91" s="3">
        <f t="shared" si="38"/>
        <v>6503.5200090252192</v>
      </c>
      <c r="D91" s="3">
        <f t="shared" si="39"/>
        <v>4227.2880058663923</v>
      </c>
      <c r="E91" s="3">
        <f t="shared" si="35"/>
        <v>0</v>
      </c>
      <c r="F91" s="3">
        <f t="shared" si="40"/>
        <v>10730.808014891612</v>
      </c>
      <c r="G91" s="3"/>
      <c r="H91" s="3"/>
      <c r="I91" s="3">
        <v>2021</v>
      </c>
      <c r="J91" s="3">
        <f t="shared" si="41"/>
        <v>23655.5</v>
      </c>
      <c r="K91" s="3">
        <f t="shared" si="42"/>
        <v>4731.1000000000004</v>
      </c>
      <c r="L91" s="3">
        <f t="shared" si="43"/>
        <v>3075.2150000000001</v>
      </c>
      <c r="M91" s="3">
        <f t="shared" si="36"/>
        <v>1169.0357500488947</v>
      </c>
      <c r="N91" s="3">
        <f t="shared" si="44"/>
        <v>8975.3507500488959</v>
      </c>
      <c r="O91" s="3"/>
      <c r="P91" s="3"/>
      <c r="Q91" s="3">
        <v>2021</v>
      </c>
      <c r="R91" s="13">
        <f t="shared" si="45"/>
        <v>0.83640959167225881</v>
      </c>
      <c r="S91" s="13">
        <f t="shared" si="46"/>
        <v>0.72746758577423387</v>
      </c>
      <c r="T91" s="3"/>
      <c r="U91" s="13">
        <f t="shared" si="47"/>
        <v>1.5115009245665738</v>
      </c>
      <c r="V91" s="12">
        <f>'Country L per 100 km'!D16</f>
        <v>5.1561805489649011</v>
      </c>
      <c r="W91" s="3">
        <f>'Country distance travelled'!D16</f>
        <v>15000</v>
      </c>
      <c r="Y91">
        <v>2021</v>
      </c>
      <c r="Z91" s="13"/>
      <c r="AA91" s="13">
        <v>1.9659505576790886</v>
      </c>
      <c r="AB91" s="13">
        <v>1.5115009245665738</v>
      </c>
      <c r="AC91" s="13">
        <v>1.2391123738726688</v>
      </c>
    </row>
    <row r="92" spans="1:29">
      <c r="A92" s="3">
        <v>2022</v>
      </c>
      <c r="B92" s="3">
        <f t="shared" si="34"/>
        <v>32965.764600014656</v>
      </c>
      <c r="C92" s="3">
        <f t="shared" si="38"/>
        <v>6593.1529200029308</v>
      </c>
      <c r="D92" s="3">
        <f t="shared" si="39"/>
        <v>4285.5493980019055</v>
      </c>
      <c r="E92" s="3">
        <f t="shared" si="35"/>
        <v>0</v>
      </c>
      <c r="F92" s="3">
        <f t="shared" si="40"/>
        <v>10878.702318004836</v>
      </c>
      <c r="G92" s="3"/>
      <c r="H92" s="3"/>
      <c r="I92" s="3">
        <v>2022</v>
      </c>
      <c r="J92" s="3">
        <f t="shared" si="41"/>
        <v>23655.5</v>
      </c>
      <c r="K92" s="3">
        <f t="shared" si="42"/>
        <v>4731.1000000000004</v>
      </c>
      <c r="L92" s="3">
        <f t="shared" si="43"/>
        <v>3075.2150000000001</v>
      </c>
      <c r="M92" s="3">
        <f t="shared" si="36"/>
        <v>1188.1177473313376</v>
      </c>
      <c r="N92" s="3">
        <f t="shared" si="44"/>
        <v>8994.4327473313388</v>
      </c>
      <c r="O92" s="3"/>
      <c r="P92" s="3"/>
      <c r="Q92" s="3">
        <v>2022</v>
      </c>
      <c r="R92" s="13">
        <f t="shared" si="45"/>
        <v>0.82679279976666609</v>
      </c>
      <c r="S92" s="13">
        <f t="shared" si="46"/>
        <v>0.7175777746101325</v>
      </c>
      <c r="T92" s="3"/>
      <c r="U92" s="13">
        <f t="shared" si="47"/>
        <v>1.5515346594364305</v>
      </c>
      <c r="V92" s="12">
        <f>'Country L per 100 km'!D17</f>
        <v>5.1051292564008923</v>
      </c>
      <c r="W92" s="3">
        <f>'Country distance travelled'!D17</f>
        <v>15000</v>
      </c>
      <c r="Y92">
        <v>2022</v>
      </c>
      <c r="Z92" s="13"/>
      <c r="AA92" s="13">
        <v>2.0202935994590083</v>
      </c>
      <c r="AB92" s="13">
        <v>1.5515346594364305</v>
      </c>
      <c r="AC92" s="13">
        <v>1.2459052540951585</v>
      </c>
    </row>
    <row r="93" spans="1:29">
      <c r="A93" s="3">
        <v>2023</v>
      </c>
      <c r="B93" s="3">
        <f t="shared" si="34"/>
        <v>32676.850326158616</v>
      </c>
      <c r="C93" s="3">
        <f t="shared" si="38"/>
        <v>6535.3700652317229</v>
      </c>
      <c r="D93" s="3">
        <f t="shared" si="39"/>
        <v>4247.9905424006201</v>
      </c>
      <c r="E93" s="3">
        <f t="shared" si="35"/>
        <v>0</v>
      </c>
      <c r="F93" s="3">
        <f t="shared" si="40"/>
        <v>10783.360607632343</v>
      </c>
      <c r="G93" s="3"/>
      <c r="H93" s="3"/>
      <c r="I93" s="3">
        <v>2023</v>
      </c>
      <c r="J93" s="3">
        <f t="shared" si="41"/>
        <v>23655.5</v>
      </c>
      <c r="K93" s="3">
        <f t="shared" si="42"/>
        <v>4731.1000000000004</v>
      </c>
      <c r="L93" s="3">
        <f t="shared" si="43"/>
        <v>3075.2150000000001</v>
      </c>
      <c r="M93" s="3">
        <f t="shared" si="36"/>
        <v>1190.3216679704119</v>
      </c>
      <c r="N93" s="3">
        <f t="shared" si="44"/>
        <v>8996.6366679704115</v>
      </c>
      <c r="O93" s="3"/>
      <c r="P93" s="3"/>
      <c r="Q93" s="3">
        <v>2023</v>
      </c>
      <c r="R93" s="13">
        <f t="shared" si="45"/>
        <v>0.83430731803615021</v>
      </c>
      <c r="S93" s="13">
        <f t="shared" si="46"/>
        <v>0.72392228026527994</v>
      </c>
      <c r="T93" s="3"/>
      <c r="U93" s="13">
        <f t="shared" si="47"/>
        <v>1.5699568339596852</v>
      </c>
      <c r="V93" s="12">
        <f>'Country L per 100 km'!D18</f>
        <v>5.0545834221791015</v>
      </c>
      <c r="W93" s="3">
        <f>'Country distance travelled'!D18</f>
        <v>15000</v>
      </c>
      <c r="Y93">
        <v>2023</v>
      </c>
      <c r="Z93" s="13"/>
      <c r="AA93" s="13">
        <v>2.0610508807939478</v>
      </c>
      <c r="AB93" s="13">
        <v>1.5699568339596852</v>
      </c>
      <c r="AC93" s="13">
        <v>1.2459052540951585</v>
      </c>
    </row>
    <row r="94" spans="1:29">
      <c r="A94" s="3">
        <v>2024</v>
      </c>
      <c r="B94" s="3">
        <f t="shared" si="34"/>
        <v>31559.996200217578</v>
      </c>
      <c r="C94" s="3">
        <f t="shared" si="38"/>
        <v>6311.9992400435158</v>
      </c>
      <c r="D94" s="3">
        <f t="shared" si="39"/>
        <v>4102.7995060282856</v>
      </c>
      <c r="E94" s="3">
        <f t="shared" si="35"/>
        <v>0</v>
      </c>
      <c r="F94" s="3">
        <f t="shared" si="40"/>
        <v>10414.798746071801</v>
      </c>
      <c r="G94" s="3"/>
      <c r="H94" s="3"/>
      <c r="I94" s="3">
        <v>2024</v>
      </c>
      <c r="J94" s="3">
        <f t="shared" si="41"/>
        <v>23655.5</v>
      </c>
      <c r="K94" s="3">
        <f t="shared" si="42"/>
        <v>4731.1000000000004</v>
      </c>
      <c r="L94" s="3">
        <f t="shared" si="43"/>
        <v>3075.2150000000001</v>
      </c>
      <c r="M94" s="3">
        <f t="shared" si="36"/>
        <v>1182.1925647411053</v>
      </c>
      <c r="N94" s="3">
        <f t="shared" si="44"/>
        <v>8988.5075647411068</v>
      </c>
      <c r="O94" s="3"/>
      <c r="P94" s="3"/>
      <c r="Q94" s="3">
        <v>2024</v>
      </c>
      <c r="R94" s="13">
        <f t="shared" si="45"/>
        <v>0.86305148893360462</v>
      </c>
      <c r="S94" s="13">
        <f t="shared" si="46"/>
        <v>0.74954064791164066</v>
      </c>
      <c r="T94" s="3"/>
      <c r="U94" s="13">
        <f t="shared" si="47"/>
        <v>1.5748274264624562</v>
      </c>
      <c r="V94" s="12">
        <f>'Country L per 100 km'!D19</f>
        <v>5.0045380417614869</v>
      </c>
      <c r="W94" s="3">
        <f>'Country distance travelled'!D19</f>
        <v>15000</v>
      </c>
      <c r="Y94">
        <v>2024</v>
      </c>
      <c r="Z94" s="13"/>
      <c r="AA94" s="13">
        <v>2.0950152819063974</v>
      </c>
      <c r="AB94" s="13">
        <v>1.5748274264624562</v>
      </c>
      <c r="AC94" s="13">
        <v>1.2459052540951585</v>
      </c>
    </row>
    <row r="95" spans="1:29">
      <c r="A95" s="3">
        <v>2025</v>
      </c>
      <c r="B95" s="3">
        <f t="shared" si="34"/>
        <v>30601.162040061001</v>
      </c>
      <c r="C95" s="3">
        <f t="shared" si="38"/>
        <v>6120.2324080121998</v>
      </c>
      <c r="D95" s="3">
        <f t="shared" si="39"/>
        <v>3978.1510652079301</v>
      </c>
      <c r="E95" s="3">
        <f t="shared" si="35"/>
        <v>0</v>
      </c>
      <c r="F95" s="3">
        <f t="shared" si="40"/>
        <v>10098.38347322013</v>
      </c>
      <c r="G95" s="3"/>
      <c r="H95" s="3"/>
      <c r="I95" s="3">
        <v>2025</v>
      </c>
      <c r="J95" s="3">
        <f t="shared" si="41"/>
        <v>23655.5</v>
      </c>
      <c r="K95" s="3">
        <f t="shared" si="42"/>
        <v>4731.1000000000004</v>
      </c>
      <c r="L95" s="3">
        <f t="shared" si="43"/>
        <v>3075.2150000000001</v>
      </c>
      <c r="M95" s="3">
        <f t="shared" si="36"/>
        <v>1189.4293684498296</v>
      </c>
      <c r="N95" s="3">
        <f t="shared" si="44"/>
        <v>8995.7443684498303</v>
      </c>
      <c r="O95" s="3"/>
      <c r="P95" s="3"/>
      <c r="Q95" s="3">
        <v>2025</v>
      </c>
      <c r="R95" s="13">
        <f t="shared" si="45"/>
        <v>0.89081033536759768</v>
      </c>
      <c r="S95" s="13">
        <f t="shared" si="46"/>
        <v>0.77302619975776721</v>
      </c>
      <c r="T95" s="3"/>
      <c r="U95" s="13">
        <f t="shared" si="47"/>
        <v>1.6003124259217187</v>
      </c>
      <c r="V95" s="12">
        <f>'Country L per 100 km'!D20</f>
        <v>4.9549881601598873</v>
      </c>
      <c r="W95" s="3">
        <f>'Country distance travelled'!D20</f>
        <v>15000</v>
      </c>
      <c r="Y95">
        <v>2025</v>
      </c>
      <c r="Z95" s="13"/>
      <c r="AA95" s="13">
        <v>2.1289796830188465</v>
      </c>
      <c r="AB95" s="13">
        <v>1.6003124259217187</v>
      </c>
      <c r="AC95" s="13">
        <v>1.2526981343176484</v>
      </c>
    </row>
    <row r="96" spans="1:29">
      <c r="A96" s="3">
        <v>2026</v>
      </c>
      <c r="B96" s="3">
        <f t="shared" si="34"/>
        <v>30054.920183028284</v>
      </c>
      <c r="C96" s="3">
        <f t="shared" si="38"/>
        <v>6010.9840366056569</v>
      </c>
      <c r="D96" s="3">
        <f t="shared" si="39"/>
        <v>3907.1396237936769</v>
      </c>
      <c r="E96" s="3">
        <f t="shared" si="35"/>
        <v>0</v>
      </c>
      <c r="F96" s="3">
        <f t="shared" si="40"/>
        <v>9918.1236603993348</v>
      </c>
      <c r="G96" s="3"/>
      <c r="H96" s="3"/>
      <c r="I96" s="3">
        <v>2026</v>
      </c>
      <c r="J96" s="3">
        <f t="shared" si="41"/>
        <v>23655.5</v>
      </c>
      <c r="K96" s="3">
        <f t="shared" si="42"/>
        <v>4731.1000000000004</v>
      </c>
      <c r="L96" s="3">
        <f t="shared" si="43"/>
        <v>3075.2150000000001</v>
      </c>
      <c r="M96" s="3">
        <f t="shared" si="36"/>
        <v>1210.6154248349221</v>
      </c>
      <c r="N96" s="3">
        <f t="shared" si="44"/>
        <v>9016.9304248349217</v>
      </c>
      <c r="O96" s="3"/>
      <c r="P96" s="3"/>
      <c r="Q96" s="3">
        <v>2026</v>
      </c>
      <c r="R96" s="13">
        <f t="shared" si="45"/>
        <v>0.90913672117613742</v>
      </c>
      <c r="S96" s="13">
        <f t="shared" si="46"/>
        <v>0.78707578845469794</v>
      </c>
      <c r="T96" s="3"/>
      <c r="U96" s="13">
        <f t="shared" si="47"/>
        <v>1.6451052818712373</v>
      </c>
      <c r="V96" s="12">
        <f>'Country L per 100 km'!D21</f>
        <v>4.9059288714454334</v>
      </c>
      <c r="W96" s="3">
        <f>'Country distance travelled'!D21</f>
        <v>15000</v>
      </c>
      <c r="Y96">
        <v>2026</v>
      </c>
      <c r="Z96" s="13"/>
      <c r="AA96" s="13">
        <v>2.1629440841312966</v>
      </c>
      <c r="AB96" s="13">
        <v>1.6451052818712373</v>
      </c>
      <c r="AC96" s="13">
        <v>1.2594910145401383</v>
      </c>
    </row>
    <row r="97" spans="1:29">
      <c r="A97" s="3">
        <v>2027</v>
      </c>
      <c r="B97" s="3">
        <f t="shared" si="34"/>
        <v>29508.67832599557</v>
      </c>
      <c r="C97" s="3">
        <f t="shared" si="38"/>
        <v>5901.735665199114</v>
      </c>
      <c r="D97" s="3">
        <f t="shared" si="39"/>
        <v>3836.1281823794243</v>
      </c>
      <c r="E97" s="3">
        <f t="shared" si="35"/>
        <v>0</v>
      </c>
      <c r="F97" s="3">
        <f t="shared" si="40"/>
        <v>9737.8638475785374</v>
      </c>
      <c r="G97" s="3"/>
      <c r="H97" s="3"/>
      <c r="I97" s="3">
        <v>2027</v>
      </c>
      <c r="J97" s="3">
        <f t="shared" si="41"/>
        <v>23655.5</v>
      </c>
      <c r="K97" s="3">
        <f t="shared" si="42"/>
        <v>4731.1000000000004</v>
      </c>
      <c r="L97" s="3">
        <f t="shared" si="43"/>
        <v>3075.2150000000001</v>
      </c>
      <c r="M97" s="3">
        <f t="shared" si="36"/>
        <v>1215.4490168145555</v>
      </c>
      <c r="N97" s="3">
        <f t="shared" si="44"/>
        <v>9021.7640168145554</v>
      </c>
      <c r="O97" s="3"/>
      <c r="P97" s="3"/>
      <c r="Q97" s="3">
        <v>2027</v>
      </c>
      <c r="R97" s="13">
        <f t="shared" si="45"/>
        <v>0.92646232870240319</v>
      </c>
      <c r="S97" s="13">
        <f t="shared" si="46"/>
        <v>0.8016455274162777</v>
      </c>
      <c r="T97" s="3"/>
      <c r="U97" s="13">
        <f t="shared" si="47"/>
        <v>1.6681903864361198</v>
      </c>
      <c r="V97" s="12">
        <f>'Country L per 100 km'!D22</f>
        <v>4.8573553182628046</v>
      </c>
      <c r="W97" s="3">
        <f>'Country distance travelled'!D22</f>
        <v>15000</v>
      </c>
      <c r="Y97">
        <v>2027</v>
      </c>
      <c r="Z97" s="13"/>
      <c r="AA97" s="13">
        <v>2.1969084852437457</v>
      </c>
      <c r="AB97" s="13">
        <v>1.6681903864361198</v>
      </c>
      <c r="AC97" s="13">
        <v>1.2662838947626285</v>
      </c>
    </row>
    <row r="98" spans="1:29">
      <c r="A98" s="3">
        <v>2028</v>
      </c>
      <c r="B98" s="3">
        <f t="shared" si="34"/>
        <v>28894.156236833765</v>
      </c>
      <c r="C98" s="3">
        <f t="shared" si="38"/>
        <v>5778.8312473667529</v>
      </c>
      <c r="D98" s="3">
        <f t="shared" si="39"/>
        <v>3756.2403107883897</v>
      </c>
      <c r="E98" s="3">
        <f t="shared" si="35"/>
        <v>0</v>
      </c>
      <c r="F98" s="3">
        <f t="shared" si="40"/>
        <v>9535.0715581551431</v>
      </c>
      <c r="G98" s="3"/>
      <c r="H98" s="3"/>
      <c r="I98" s="3">
        <v>2028</v>
      </c>
      <c r="J98" s="3">
        <f t="shared" si="41"/>
        <v>23655.5</v>
      </c>
      <c r="K98" s="3">
        <f t="shared" si="42"/>
        <v>4731.1000000000004</v>
      </c>
      <c r="L98" s="3">
        <f t="shared" si="43"/>
        <v>3075.2150000000001</v>
      </c>
      <c r="M98" s="3">
        <f t="shared" si="36"/>
        <v>1213.9568540665061</v>
      </c>
      <c r="N98" s="3">
        <f t="shared" si="44"/>
        <v>9020.2718540665064</v>
      </c>
      <c r="O98" s="3"/>
      <c r="P98" s="3"/>
      <c r="Q98" s="3">
        <v>2028</v>
      </c>
      <c r="R98" s="13">
        <f t="shared" si="45"/>
        <v>0.94600987512795964</v>
      </c>
      <c r="S98" s="13">
        <f t="shared" si="46"/>
        <v>0.8186949570738592</v>
      </c>
      <c r="T98" s="3"/>
      <c r="U98" s="13">
        <f t="shared" si="47"/>
        <v>1.6828038335968043</v>
      </c>
      <c r="V98" s="12">
        <f>'Country L per 100 km'!D23</f>
        <v>4.8092626913493124</v>
      </c>
      <c r="W98" s="3">
        <f>'Country distance travelled'!D23</f>
        <v>15000</v>
      </c>
      <c r="Y98">
        <v>2028</v>
      </c>
      <c r="Z98" s="13"/>
      <c r="AA98" s="13">
        <v>2.2240800061337058</v>
      </c>
      <c r="AB98" s="13">
        <v>1.6828038335968043</v>
      </c>
      <c r="AC98" s="13">
        <v>1.2662838947626285</v>
      </c>
    </row>
    <row r="99" spans="1:29">
      <c r="A99" s="3">
        <v>2029</v>
      </c>
      <c r="B99" s="3">
        <f t="shared" si="34"/>
        <v>28347.914379801059</v>
      </c>
      <c r="C99" s="3">
        <f t="shared" si="38"/>
        <v>5669.5828759602118</v>
      </c>
      <c r="D99" s="3">
        <f t="shared" si="39"/>
        <v>3685.228869374138</v>
      </c>
      <c r="E99" s="3">
        <f t="shared" si="35"/>
        <v>0</v>
      </c>
      <c r="F99" s="3">
        <f t="shared" si="40"/>
        <v>9354.8117453343493</v>
      </c>
      <c r="G99" s="3"/>
      <c r="H99" s="3"/>
      <c r="I99" s="3">
        <v>2029</v>
      </c>
      <c r="J99" s="3">
        <f t="shared" si="41"/>
        <v>23655.5</v>
      </c>
      <c r="K99" s="3">
        <f t="shared" si="42"/>
        <v>4731.1000000000004</v>
      </c>
      <c r="L99" s="3">
        <f t="shared" si="43"/>
        <v>3075.2150000000001</v>
      </c>
      <c r="M99" s="3">
        <f t="shared" si="36"/>
        <v>1216.0849630470545</v>
      </c>
      <c r="N99" s="3">
        <f t="shared" si="44"/>
        <v>9022.3999630470553</v>
      </c>
      <c r="O99" s="3"/>
      <c r="P99" s="3"/>
      <c r="Q99" s="3">
        <v>2029</v>
      </c>
      <c r="R99" s="13">
        <f t="shared" si="45"/>
        <v>0.9644662242986255</v>
      </c>
      <c r="S99" s="13">
        <f t="shared" si="46"/>
        <v>0.83447056044642998</v>
      </c>
      <c r="T99" s="3"/>
      <c r="U99" s="13">
        <f t="shared" si="47"/>
        <v>1.7026113862690277</v>
      </c>
      <c r="V99" s="12">
        <f>'Country L per 100 km'!D24</f>
        <v>4.7616462290587247</v>
      </c>
      <c r="W99" s="3">
        <f>'Country distance travelled'!D24</f>
        <v>15000</v>
      </c>
      <c r="Y99">
        <v>2029</v>
      </c>
      <c r="Z99" s="13"/>
      <c r="AA99" s="13">
        <v>2.2580444072461545</v>
      </c>
      <c r="AB99" s="13">
        <v>1.7026113862690277</v>
      </c>
      <c r="AC99" s="13">
        <v>1.2662838947626285</v>
      </c>
    </row>
    <row r="100" spans="1:29">
      <c r="A100" s="3">
        <v>2030</v>
      </c>
      <c r="B100" s="3">
        <f t="shared" si="34"/>
        <v>27733.392290639254</v>
      </c>
      <c r="C100" s="3">
        <f t="shared" si="38"/>
        <v>5546.6784581278507</v>
      </c>
      <c r="D100" s="3">
        <f t="shared" si="39"/>
        <v>3605.3409977831034</v>
      </c>
      <c r="E100" s="3">
        <f t="shared" si="35"/>
        <v>0</v>
      </c>
      <c r="F100" s="3">
        <f t="shared" si="40"/>
        <v>9152.019455910955</v>
      </c>
      <c r="G100" s="3"/>
      <c r="H100" s="3"/>
      <c r="I100" s="3">
        <v>2030</v>
      </c>
      <c r="J100" s="3">
        <f t="shared" si="41"/>
        <v>23655.5</v>
      </c>
      <c r="K100" s="3">
        <f t="shared" si="42"/>
        <v>4731.1000000000004</v>
      </c>
      <c r="L100" s="3">
        <f t="shared" si="43"/>
        <v>3075.2150000000001</v>
      </c>
      <c r="M100" s="3">
        <f t="shared" si="36"/>
        <v>1214.7549902187257</v>
      </c>
      <c r="N100" s="3">
        <f>SUM(K100:M100)</f>
        <v>9021.0699902187262</v>
      </c>
      <c r="O100" s="3"/>
      <c r="P100" s="3"/>
      <c r="Q100" s="3">
        <v>2030</v>
      </c>
      <c r="R100" s="13">
        <f t="shared" si="45"/>
        <v>0.98569174089685163</v>
      </c>
      <c r="S100" s="13">
        <f t="shared" si="46"/>
        <v>0.8529609271053491</v>
      </c>
      <c r="T100" s="3"/>
      <c r="U100" s="13">
        <f t="shared" si="47"/>
        <v>1.7177568164465749</v>
      </c>
      <c r="V100" s="12">
        <f>'Country L per 100 km'!D25</f>
        <v>4.7145012168898264</v>
      </c>
      <c r="W100" s="3">
        <f>'Country distance travelled'!D25</f>
        <v>15000</v>
      </c>
      <c r="Y100">
        <v>2030</v>
      </c>
      <c r="Z100" s="13"/>
      <c r="AA100" s="13">
        <v>2.2784230479136243</v>
      </c>
      <c r="AB100" s="13">
        <v>1.7177568164465749</v>
      </c>
      <c r="AC100" s="13">
        <v>1.2730767749851182</v>
      </c>
    </row>
    <row r="101" spans="1:29">
      <c r="A101" s="3">
        <v>2031</v>
      </c>
      <c r="B101" s="3"/>
      <c r="C101" s="3"/>
      <c r="D101" s="3"/>
      <c r="E101" s="3"/>
      <c r="F101" s="3"/>
      <c r="G101" s="3"/>
      <c r="H101" s="3"/>
      <c r="I101" s="3">
        <v>2031</v>
      </c>
      <c r="J101" s="3"/>
      <c r="K101" s="3"/>
      <c r="L101" s="3"/>
      <c r="M101" s="3">
        <f t="shared" si="36"/>
        <v>1202.7277130878472</v>
      </c>
      <c r="N101" s="3"/>
      <c r="O101" s="3"/>
      <c r="P101" s="3"/>
      <c r="Q101" s="3">
        <v>2031</v>
      </c>
      <c r="R101" s="3"/>
      <c r="S101" s="3"/>
      <c r="T101" s="3"/>
      <c r="U101" s="13">
        <f>U100</f>
        <v>1.7177568164465749</v>
      </c>
      <c r="V101" s="12">
        <f>'Country L per 100 km'!D26</f>
        <v>4.6678229870196306</v>
      </c>
      <c r="W101" s="3">
        <f>'Country distance travelled'!D26</f>
        <v>15000</v>
      </c>
      <c r="Y101">
        <v>2031</v>
      </c>
      <c r="AA101" s="13">
        <f>AA100</f>
        <v>2.2784230479136243</v>
      </c>
      <c r="AB101" s="13">
        <f t="shared" ref="AB101:AC101" si="54">AB100</f>
        <v>1.7177568164465749</v>
      </c>
      <c r="AC101" s="13">
        <f t="shared" si="54"/>
        <v>1.2730767749851182</v>
      </c>
    </row>
    <row r="102" spans="1:29">
      <c r="A102" s="3">
        <v>2032</v>
      </c>
      <c r="B102" s="3"/>
      <c r="C102" s="3"/>
      <c r="D102" s="3"/>
      <c r="E102" s="3"/>
      <c r="F102" s="3"/>
      <c r="G102" s="3"/>
      <c r="H102" s="3"/>
      <c r="I102" s="3">
        <v>2032</v>
      </c>
      <c r="J102" s="3"/>
      <c r="K102" s="3"/>
      <c r="L102" s="3"/>
      <c r="M102" s="3"/>
      <c r="N102" s="3"/>
      <c r="O102" s="3"/>
      <c r="P102" s="3"/>
      <c r="Q102" s="3">
        <v>2032</v>
      </c>
      <c r="R102" s="3"/>
      <c r="S102" s="3"/>
      <c r="T102" s="3"/>
      <c r="U102" s="13">
        <f t="shared" ref="U102:U110" si="55">U101</f>
        <v>1.7177568164465749</v>
      </c>
      <c r="V102" s="12">
        <f>'Country L per 100 km'!D27</f>
        <v>4.621606917841218</v>
      </c>
      <c r="W102" s="3">
        <f>'Country distance travelled'!D27</f>
        <v>15000</v>
      </c>
      <c r="Y102">
        <v>2032</v>
      </c>
      <c r="AA102" s="13">
        <f t="shared" ref="AA102:AA110" si="56">AA101</f>
        <v>2.2784230479136243</v>
      </c>
      <c r="AB102" s="13">
        <f t="shared" ref="AB102:AB110" si="57">AB101</f>
        <v>1.7177568164465749</v>
      </c>
      <c r="AC102" s="13">
        <f t="shared" ref="AC102:AC110" si="58">AC101</f>
        <v>1.2730767749851182</v>
      </c>
    </row>
    <row r="103" spans="1:29">
      <c r="A103" s="3">
        <v>2033</v>
      </c>
      <c r="B103" s="3"/>
      <c r="C103" s="3"/>
      <c r="D103" s="3"/>
      <c r="E103" s="3"/>
      <c r="F103" s="3"/>
      <c r="G103" s="3"/>
      <c r="H103" s="3"/>
      <c r="I103" s="3">
        <v>2033</v>
      </c>
      <c r="J103" s="3"/>
      <c r="K103" s="3"/>
      <c r="L103" s="3"/>
      <c r="M103" s="3"/>
      <c r="N103" s="3"/>
      <c r="O103" s="3"/>
      <c r="P103" s="3"/>
      <c r="Q103" s="3">
        <v>2033</v>
      </c>
      <c r="R103" s="3"/>
      <c r="S103" s="3"/>
      <c r="T103" s="3"/>
      <c r="U103" s="13">
        <f t="shared" si="55"/>
        <v>1.7177568164465749</v>
      </c>
      <c r="V103" s="12">
        <f>'Country L per 100 km'!D28</f>
        <v>4.5758484335061569</v>
      </c>
      <c r="W103" s="3">
        <f>'Country distance travelled'!D28</f>
        <v>15000</v>
      </c>
      <c r="Y103">
        <v>2033</v>
      </c>
      <c r="AA103" s="13">
        <f t="shared" si="56"/>
        <v>2.2784230479136243</v>
      </c>
      <c r="AB103" s="13">
        <f t="shared" si="57"/>
        <v>1.7177568164465749</v>
      </c>
      <c r="AC103" s="13">
        <f t="shared" si="58"/>
        <v>1.2730767749851182</v>
      </c>
    </row>
    <row r="104" spans="1:29">
      <c r="A104" s="3">
        <v>2034</v>
      </c>
      <c r="B104" s="3"/>
      <c r="C104" s="3"/>
      <c r="D104" s="3"/>
      <c r="E104" s="3"/>
      <c r="F104" s="3"/>
      <c r="G104" s="3"/>
      <c r="H104" s="3"/>
      <c r="I104" s="3">
        <v>2034</v>
      </c>
      <c r="J104" s="3"/>
      <c r="K104" s="3"/>
      <c r="L104" s="3"/>
      <c r="M104" s="3"/>
      <c r="N104" s="3"/>
      <c r="O104" s="3"/>
      <c r="P104" s="3"/>
      <c r="Q104" s="3">
        <v>2034</v>
      </c>
      <c r="R104" s="3"/>
      <c r="S104" s="3"/>
      <c r="T104" s="3"/>
      <c r="U104" s="13">
        <f t="shared" si="55"/>
        <v>1.7177568164465749</v>
      </c>
      <c r="V104" s="12">
        <f>'Country L per 100 km'!D29</f>
        <v>4.5305430034714416</v>
      </c>
      <c r="W104" s="3">
        <f>'Country distance travelled'!D29</f>
        <v>15000</v>
      </c>
      <c r="Y104">
        <v>2034</v>
      </c>
      <c r="AA104" s="13">
        <f t="shared" si="56"/>
        <v>2.2784230479136243</v>
      </c>
      <c r="AB104" s="13">
        <f t="shared" si="57"/>
        <v>1.7177568164465749</v>
      </c>
      <c r="AC104" s="13">
        <f t="shared" si="58"/>
        <v>1.2730767749851182</v>
      </c>
    </row>
    <row r="105" spans="1:29">
      <c r="A105" s="3">
        <v>2035</v>
      </c>
      <c r="B105" s="3"/>
      <c r="C105" s="3"/>
      <c r="D105" s="3"/>
      <c r="E105" s="3"/>
      <c r="F105" s="3"/>
      <c r="G105" s="3"/>
      <c r="H105" s="3"/>
      <c r="I105" s="3">
        <v>2035</v>
      </c>
      <c r="J105" s="3"/>
      <c r="K105" s="3"/>
      <c r="L105" s="3"/>
      <c r="M105" s="3"/>
      <c r="N105" s="3"/>
      <c r="O105" s="3"/>
      <c r="P105" s="3"/>
      <c r="Q105" s="3">
        <v>2035</v>
      </c>
      <c r="R105" s="3"/>
      <c r="S105" s="3"/>
      <c r="T105" s="3"/>
      <c r="U105" s="13">
        <f t="shared" si="55"/>
        <v>1.7177568164465749</v>
      </c>
      <c r="V105" s="12">
        <f>'Country L per 100 km'!D30</f>
        <v>4.4856861420509313</v>
      </c>
      <c r="W105" s="3">
        <f>'Country distance travelled'!D30</f>
        <v>15000</v>
      </c>
      <c r="Y105">
        <v>2035</v>
      </c>
      <c r="AA105" s="13">
        <f t="shared" si="56"/>
        <v>2.2784230479136243</v>
      </c>
      <c r="AB105" s="13">
        <f t="shared" si="57"/>
        <v>1.7177568164465749</v>
      </c>
      <c r="AC105" s="13">
        <f t="shared" si="58"/>
        <v>1.2730767749851182</v>
      </c>
    </row>
    <row r="106" spans="1:29">
      <c r="A106" s="3">
        <v>2036</v>
      </c>
      <c r="B106" s="3"/>
      <c r="C106" s="3"/>
      <c r="D106" s="3"/>
      <c r="E106" s="3"/>
      <c r="F106" s="3"/>
      <c r="G106" s="3"/>
      <c r="H106" s="3"/>
      <c r="I106" s="3">
        <v>2036</v>
      </c>
      <c r="J106" s="3"/>
      <c r="K106" s="3"/>
      <c r="L106" s="3"/>
      <c r="M106" s="3"/>
      <c r="N106" s="3"/>
      <c r="O106" s="3"/>
      <c r="P106" s="3"/>
      <c r="Q106" s="3">
        <v>2036</v>
      </c>
      <c r="R106" s="3"/>
      <c r="S106" s="3"/>
      <c r="T106" s="3"/>
      <c r="U106" s="13">
        <f t="shared" si="55"/>
        <v>1.7177568164465749</v>
      </c>
      <c r="V106" s="12">
        <f>'Country L per 100 km'!D31</f>
        <v>4.4412734079712202</v>
      </c>
      <c r="W106" s="3">
        <f>'Country distance travelled'!D31</f>
        <v>15000</v>
      </c>
      <c r="Y106">
        <v>2036</v>
      </c>
      <c r="AA106" s="13">
        <f t="shared" si="56"/>
        <v>2.2784230479136243</v>
      </c>
      <c r="AB106" s="13">
        <f t="shared" si="57"/>
        <v>1.7177568164465749</v>
      </c>
      <c r="AC106" s="13">
        <f t="shared" si="58"/>
        <v>1.2730767749851182</v>
      </c>
    </row>
    <row r="107" spans="1:29">
      <c r="A107" s="3">
        <v>2037</v>
      </c>
      <c r="B107" s="3"/>
      <c r="C107" s="3"/>
      <c r="D107" s="3"/>
      <c r="E107" s="3"/>
      <c r="F107" s="3"/>
      <c r="G107" s="3"/>
      <c r="H107" s="3"/>
      <c r="I107" s="3">
        <v>2037</v>
      </c>
      <c r="J107" s="3"/>
      <c r="K107" s="3"/>
      <c r="L107" s="3"/>
      <c r="M107" s="3"/>
      <c r="N107" s="3"/>
      <c r="O107" s="3"/>
      <c r="P107" s="3"/>
      <c r="Q107" s="3">
        <v>2037</v>
      </c>
      <c r="R107" s="3"/>
      <c r="S107" s="3"/>
      <c r="T107" s="3"/>
      <c r="U107" s="13">
        <f t="shared" si="55"/>
        <v>1.7177568164465749</v>
      </c>
      <c r="V107" s="12">
        <f>'Country L per 100 km'!D32</f>
        <v>4.3973004039319017</v>
      </c>
      <c r="W107" s="3">
        <f>'Country distance travelled'!D32</f>
        <v>15000</v>
      </c>
      <c r="Y107">
        <v>2037</v>
      </c>
      <c r="AA107" s="13">
        <f t="shared" si="56"/>
        <v>2.2784230479136243</v>
      </c>
      <c r="AB107" s="13">
        <f t="shared" si="57"/>
        <v>1.7177568164465749</v>
      </c>
      <c r="AC107" s="13">
        <f t="shared" si="58"/>
        <v>1.2730767749851182</v>
      </c>
    </row>
    <row r="108" spans="1:29">
      <c r="A108" s="3">
        <v>2038</v>
      </c>
      <c r="B108" s="3"/>
      <c r="C108" s="3"/>
      <c r="D108" s="3"/>
      <c r="E108" s="3"/>
      <c r="F108" s="3"/>
      <c r="G108" s="3"/>
      <c r="H108" s="3"/>
      <c r="I108" s="3">
        <v>2038</v>
      </c>
      <c r="J108" s="3"/>
      <c r="K108" s="3"/>
      <c r="L108" s="3"/>
      <c r="M108" s="3"/>
      <c r="N108" s="3"/>
      <c r="O108" s="3"/>
      <c r="P108" s="3"/>
      <c r="Q108" s="3">
        <v>2038</v>
      </c>
      <c r="R108" s="3"/>
      <c r="S108" s="3"/>
      <c r="T108" s="3"/>
      <c r="U108" s="13">
        <f t="shared" si="55"/>
        <v>1.7177568164465749</v>
      </c>
      <c r="V108" s="12">
        <f>'Country L per 100 km'!D33</f>
        <v>4.3537627761701989</v>
      </c>
      <c r="W108" s="3">
        <f>'Country distance travelled'!D33</f>
        <v>15000</v>
      </c>
      <c r="Y108">
        <v>2038</v>
      </c>
      <c r="AA108" s="13">
        <f t="shared" si="56"/>
        <v>2.2784230479136243</v>
      </c>
      <c r="AB108" s="13">
        <f t="shared" si="57"/>
        <v>1.7177568164465749</v>
      </c>
      <c r="AC108" s="13">
        <f t="shared" si="58"/>
        <v>1.2730767749851182</v>
      </c>
    </row>
    <row r="109" spans="1:29">
      <c r="A109" s="3">
        <v>2039</v>
      </c>
      <c r="B109" s="3"/>
      <c r="C109" s="3"/>
      <c r="D109" s="3"/>
      <c r="E109" s="3"/>
      <c r="F109" s="3"/>
      <c r="G109" s="3"/>
      <c r="H109" s="3"/>
      <c r="I109" s="3">
        <v>2039</v>
      </c>
      <c r="J109" s="3"/>
      <c r="K109" s="3"/>
      <c r="L109" s="3"/>
      <c r="M109" s="3"/>
      <c r="N109" s="3"/>
      <c r="O109" s="3"/>
      <c r="P109" s="3"/>
      <c r="Q109" s="3">
        <v>2039</v>
      </c>
      <c r="R109" s="3"/>
      <c r="S109" s="3"/>
      <c r="T109" s="3"/>
      <c r="U109" s="13">
        <f t="shared" si="55"/>
        <v>1.7177568164465749</v>
      </c>
      <c r="V109" s="12">
        <f>'Country L per 100 km'!D34</f>
        <v>4.3106562140299003</v>
      </c>
      <c r="W109" s="3">
        <f>'Country distance travelled'!D34</f>
        <v>15000</v>
      </c>
      <c r="Y109">
        <v>2039</v>
      </c>
      <c r="AA109" s="13">
        <f t="shared" si="56"/>
        <v>2.2784230479136243</v>
      </c>
      <c r="AB109" s="13">
        <f t="shared" si="57"/>
        <v>1.7177568164465749</v>
      </c>
      <c r="AC109" s="13">
        <f t="shared" si="58"/>
        <v>1.2730767749851182</v>
      </c>
    </row>
    <row r="110" spans="1:29">
      <c r="A110" s="3">
        <v>2040</v>
      </c>
      <c r="B110" s="3"/>
      <c r="C110" s="3"/>
      <c r="D110" s="3"/>
      <c r="E110" s="3"/>
      <c r="F110" s="3"/>
      <c r="G110" s="3"/>
      <c r="H110" s="3"/>
      <c r="I110" s="3">
        <v>2040</v>
      </c>
      <c r="J110" s="3"/>
      <c r="K110" s="3"/>
      <c r="L110" s="3"/>
      <c r="M110" s="3"/>
      <c r="N110" s="3"/>
      <c r="O110" s="3"/>
      <c r="P110" s="3"/>
      <c r="Q110" s="3">
        <v>2040</v>
      </c>
      <c r="R110" s="3"/>
      <c r="S110" s="3"/>
      <c r="T110" s="3"/>
      <c r="U110" s="13">
        <f t="shared" si="55"/>
        <v>1.7177568164465749</v>
      </c>
      <c r="V110" s="12">
        <f>'Country L per 100 km'!D35</f>
        <v>4.2679764495345553</v>
      </c>
      <c r="W110" s="3">
        <f>'Country distance travelled'!D35</f>
        <v>15000</v>
      </c>
      <c r="Y110">
        <v>2040</v>
      </c>
      <c r="AA110" s="13">
        <f t="shared" si="56"/>
        <v>2.2784230479136243</v>
      </c>
      <c r="AB110" s="13">
        <f t="shared" si="57"/>
        <v>1.7177568164465749</v>
      </c>
      <c r="AC110" s="13">
        <f t="shared" si="58"/>
        <v>1.2730767749851182</v>
      </c>
    </row>
    <row r="117" spans="17:30">
      <c r="R117" s="87" t="s">
        <v>980</v>
      </c>
      <c r="S117" s="87" t="s">
        <v>980</v>
      </c>
      <c r="T117" s="87" t="s">
        <v>980</v>
      </c>
      <c r="U117" s="87" t="s">
        <v>980</v>
      </c>
      <c r="V117" s="87" t="s">
        <v>980</v>
      </c>
      <c r="X117" s="14" t="s">
        <v>812</v>
      </c>
      <c r="Y117" s="14" t="s">
        <v>812</v>
      </c>
      <c r="Z117" s="14" t="s">
        <v>812</v>
      </c>
      <c r="AA117" s="14" t="s">
        <v>812</v>
      </c>
      <c r="AB117" s="14" t="s">
        <v>812</v>
      </c>
      <c r="AD117" s="248" t="s">
        <v>952</v>
      </c>
    </row>
    <row r="118" spans="17:30">
      <c r="R118" s="87" t="s">
        <v>978</v>
      </c>
      <c r="S118" s="87" t="s">
        <v>979</v>
      </c>
      <c r="T118" s="87" t="s">
        <v>916</v>
      </c>
      <c r="U118" s="87" t="s">
        <v>981</v>
      </c>
      <c r="V118" s="87" t="s">
        <v>983</v>
      </c>
      <c r="X118" s="14" t="s">
        <v>725</v>
      </c>
      <c r="Y118" s="14" t="s">
        <v>979</v>
      </c>
      <c r="Z118" s="14" t="s">
        <v>916</v>
      </c>
      <c r="AA118" s="14" t="s">
        <v>985</v>
      </c>
      <c r="AB118" s="14" t="s">
        <v>983</v>
      </c>
      <c r="AD118" s="248" t="s">
        <v>1204</v>
      </c>
    </row>
    <row r="119" spans="17:30">
      <c r="Q119">
        <v>2012</v>
      </c>
      <c r="R119" s="3">
        <f>B82</f>
        <v>20828.271838197747</v>
      </c>
      <c r="S119" s="3">
        <f t="shared" ref="S119:V119" si="59">C82</f>
        <v>4165.6543676395495</v>
      </c>
      <c r="T119" s="3">
        <f t="shared" si="59"/>
        <v>2707.6753389657069</v>
      </c>
      <c r="U119" s="3">
        <f t="shared" si="59"/>
        <v>0</v>
      </c>
      <c r="V119" s="3">
        <f t="shared" si="59"/>
        <v>6873.3297066052564</v>
      </c>
      <c r="W119" s="3"/>
      <c r="X119" s="3">
        <f>J82</f>
        <v>21537.621602116909</v>
      </c>
      <c r="Y119" s="3">
        <f t="shared" ref="Y119:AB119" si="60">K82</f>
        <v>4307.5243204233821</v>
      </c>
      <c r="Z119" s="3">
        <f t="shared" si="60"/>
        <v>2799.8908082751982</v>
      </c>
      <c r="AA119" s="3">
        <f t="shared" si="60"/>
        <v>1529.4899549161426</v>
      </c>
      <c r="AB119" s="3">
        <f t="shared" si="60"/>
        <v>8636.9050836147217</v>
      </c>
      <c r="AD119" s="13">
        <f>V119/AB119</f>
        <v>0.79580933680107402</v>
      </c>
    </row>
    <row r="120" spans="17:30">
      <c r="Q120">
        <v>2013</v>
      </c>
      <c r="R120" s="3">
        <f t="shared" ref="R120:R137" si="61">B83</f>
        <v>24557.956205695493</v>
      </c>
      <c r="S120" s="3">
        <f t="shared" ref="S120:S137" si="62">C83</f>
        <v>4911.5912411390982</v>
      </c>
      <c r="T120" s="3">
        <f t="shared" ref="T120:T137" si="63">D83</f>
        <v>3192.5343067404142</v>
      </c>
      <c r="U120" s="3">
        <f t="shared" ref="U120:U137" si="64">E83</f>
        <v>0</v>
      </c>
      <c r="V120" s="3">
        <f t="shared" ref="V120:V137" si="65">F83</f>
        <v>8104.1255478795119</v>
      </c>
      <c r="W120" s="3"/>
      <c r="X120" s="3">
        <f t="shared" ref="X120:X137" si="66">J83</f>
        <v>20918.94171259928</v>
      </c>
      <c r="Y120" s="3">
        <f t="shared" ref="Y120:Y137" si="67">K83</f>
        <v>4183.7883425198561</v>
      </c>
      <c r="Z120" s="3">
        <f t="shared" ref="Z120:Z137" si="68">L83</f>
        <v>2719.4624226379065</v>
      </c>
      <c r="AA120" s="3">
        <f t="shared" ref="AA120:AA137" si="69">M83</f>
        <v>1441.5903207379531</v>
      </c>
      <c r="AB120" s="3">
        <f t="shared" ref="AB120:AB137" si="70">N83</f>
        <v>8344.8410858957159</v>
      </c>
      <c r="AD120" s="13">
        <f t="shared" ref="AD120:AD137" si="71">V120/AB120</f>
        <v>0.97115396979541568</v>
      </c>
    </row>
    <row r="121" spans="17:30">
      <c r="Q121">
        <v>2014</v>
      </c>
      <c r="R121" s="3">
        <f t="shared" si="61"/>
        <v>26990.208679386385</v>
      </c>
      <c r="S121" s="3">
        <f t="shared" si="62"/>
        <v>5398.0417358772775</v>
      </c>
      <c r="T121" s="3">
        <f t="shared" si="63"/>
        <v>3508.7271283202303</v>
      </c>
      <c r="U121" s="3">
        <f t="shared" si="64"/>
        <v>0</v>
      </c>
      <c r="V121" s="3">
        <f t="shared" si="65"/>
        <v>8906.7688641975074</v>
      </c>
      <c r="W121" s="3"/>
      <c r="X121" s="3">
        <f t="shared" si="66"/>
        <v>21078.103540971446</v>
      </c>
      <c r="Y121" s="3">
        <f t="shared" si="67"/>
        <v>4215.6207081942894</v>
      </c>
      <c r="Z121" s="3">
        <f t="shared" si="68"/>
        <v>2740.153460326288</v>
      </c>
      <c r="AA121" s="3">
        <f t="shared" si="69"/>
        <v>1376.3585007745567</v>
      </c>
      <c r="AB121" s="3">
        <f t="shared" si="70"/>
        <v>8332.1326692951334</v>
      </c>
      <c r="AD121" s="13">
        <f t="shared" si="71"/>
        <v>1.0689662800281583</v>
      </c>
    </row>
    <row r="122" spans="17:30">
      <c r="Q122">
        <v>2015</v>
      </c>
      <c r="R122" s="3">
        <f t="shared" si="61"/>
        <v>29164.873033633958</v>
      </c>
      <c r="S122" s="3">
        <f t="shared" si="62"/>
        <v>5832.9746067267915</v>
      </c>
      <c r="T122" s="3">
        <f t="shared" si="63"/>
        <v>3791.4334943724148</v>
      </c>
      <c r="U122" s="3">
        <f t="shared" si="64"/>
        <v>0</v>
      </c>
      <c r="V122" s="3">
        <f t="shared" si="65"/>
        <v>9624.4081010992068</v>
      </c>
      <c r="W122" s="3"/>
      <c r="X122" s="3">
        <f t="shared" si="66"/>
        <v>25211.908392685706</v>
      </c>
      <c r="Y122" s="3">
        <f t="shared" si="67"/>
        <v>5042.3816785371409</v>
      </c>
      <c r="Z122" s="3">
        <f t="shared" si="68"/>
        <v>3277.5480910491419</v>
      </c>
      <c r="AA122" s="3">
        <f t="shared" si="69"/>
        <v>1205.2815760466315</v>
      </c>
      <c r="AB122" s="3">
        <f t="shared" si="70"/>
        <v>9525.2113456329134</v>
      </c>
      <c r="AD122" s="13">
        <f t="shared" si="71"/>
        <v>1.0104141264552384</v>
      </c>
    </row>
    <row r="123" spans="17:30">
      <c r="Q123">
        <v>2016</v>
      </c>
      <c r="R123" s="3">
        <f t="shared" si="61"/>
        <v>30301.718898317431</v>
      </c>
      <c r="S123" s="3">
        <f t="shared" si="62"/>
        <v>6060.3437796634862</v>
      </c>
      <c r="T123" s="3">
        <f t="shared" si="63"/>
        <v>3939.2234567812661</v>
      </c>
      <c r="U123" s="3">
        <f t="shared" si="64"/>
        <v>0</v>
      </c>
      <c r="V123" s="3">
        <f t="shared" si="65"/>
        <v>9999.5672364447528</v>
      </c>
      <c r="W123" s="3"/>
      <c r="X123" s="3">
        <f t="shared" si="66"/>
        <v>25234.7711553767</v>
      </c>
      <c r="Y123" s="3">
        <f t="shared" si="67"/>
        <v>5046.9542310753404</v>
      </c>
      <c r="Z123" s="3">
        <f t="shared" si="68"/>
        <v>3280.5202501989711</v>
      </c>
      <c r="AA123" s="3">
        <f t="shared" si="69"/>
        <v>1084.3082888194062</v>
      </c>
      <c r="AB123" s="3">
        <f t="shared" si="70"/>
        <v>9411.7827700937178</v>
      </c>
      <c r="AD123" s="13">
        <f t="shared" si="71"/>
        <v>1.0624519796843104</v>
      </c>
    </row>
    <row r="124" spans="17:30">
      <c r="Q124">
        <v>2017</v>
      </c>
      <c r="R124" s="3">
        <f t="shared" si="61"/>
        <v>30469.024247545996</v>
      </c>
      <c r="S124" s="3">
        <f t="shared" si="62"/>
        <v>6093.8048495091989</v>
      </c>
      <c r="T124" s="3">
        <f t="shared" si="63"/>
        <v>3960.9731521809795</v>
      </c>
      <c r="U124" s="3">
        <f t="shared" si="64"/>
        <v>0</v>
      </c>
      <c r="V124" s="3">
        <f t="shared" si="65"/>
        <v>10054.778001690178</v>
      </c>
      <c r="W124" s="3"/>
      <c r="X124" s="3">
        <f t="shared" si="66"/>
        <v>24547.918589785266</v>
      </c>
      <c r="Y124" s="3">
        <f t="shared" si="67"/>
        <v>4909.5837179570535</v>
      </c>
      <c r="Z124" s="3">
        <f t="shared" si="68"/>
        <v>3191.2294166720849</v>
      </c>
      <c r="AA124" s="3">
        <f t="shared" si="69"/>
        <v>1129.7486936598809</v>
      </c>
      <c r="AB124" s="3">
        <f t="shared" si="70"/>
        <v>9230.5618282890191</v>
      </c>
      <c r="AD124" s="13">
        <f t="shared" si="71"/>
        <v>1.0892920917202649</v>
      </c>
    </row>
    <row r="125" spans="17:30">
      <c r="Q125">
        <v>2018</v>
      </c>
      <c r="R125" s="3">
        <f t="shared" si="61"/>
        <v>30945.084211238609</v>
      </c>
      <c r="S125" s="3">
        <f t="shared" si="62"/>
        <v>6189.0168422477218</v>
      </c>
      <c r="T125" s="3">
        <f t="shared" si="63"/>
        <v>4022.8609474610194</v>
      </c>
      <c r="U125" s="3">
        <f t="shared" si="64"/>
        <v>0</v>
      </c>
      <c r="V125" s="3">
        <f t="shared" si="65"/>
        <v>10211.877789708742</v>
      </c>
      <c r="W125" s="3"/>
      <c r="X125" s="3">
        <f t="shared" si="66"/>
        <v>23655.5</v>
      </c>
      <c r="Y125" s="3">
        <f t="shared" si="67"/>
        <v>4731.1000000000004</v>
      </c>
      <c r="Z125" s="3">
        <f t="shared" si="68"/>
        <v>3075.2150000000001</v>
      </c>
      <c r="AA125" s="3">
        <f t="shared" si="69"/>
        <v>1183.1778387541949</v>
      </c>
      <c r="AB125" s="3">
        <f t="shared" si="70"/>
        <v>8989.492838754195</v>
      </c>
      <c r="AD125" s="13">
        <f t="shared" si="71"/>
        <v>1.1359793008215968</v>
      </c>
    </row>
    <row r="126" spans="17:30">
      <c r="Q126">
        <v>2019</v>
      </c>
      <c r="R126" s="3">
        <f t="shared" si="61"/>
        <v>32542.29093544625</v>
      </c>
      <c r="S126" s="3">
        <f t="shared" si="62"/>
        <v>6508.4581870892498</v>
      </c>
      <c r="T126" s="3">
        <f t="shared" si="63"/>
        <v>4230.4978216080126</v>
      </c>
      <c r="U126" s="3">
        <f t="shared" si="64"/>
        <v>0</v>
      </c>
      <c r="V126" s="3">
        <f t="shared" si="65"/>
        <v>10738.956008697263</v>
      </c>
      <c r="W126" s="3"/>
      <c r="X126" s="3">
        <f t="shared" si="66"/>
        <v>23655.5</v>
      </c>
      <c r="Y126" s="3">
        <f t="shared" si="67"/>
        <v>4731.1000000000004</v>
      </c>
      <c r="Z126" s="3">
        <f t="shared" si="68"/>
        <v>3075.2150000000001</v>
      </c>
      <c r="AA126" s="3">
        <f t="shared" si="69"/>
        <v>1148.6722737771604</v>
      </c>
      <c r="AB126" s="3">
        <f t="shared" si="70"/>
        <v>8954.9872737771602</v>
      </c>
      <c r="AD126" s="13">
        <f t="shared" si="71"/>
        <v>1.1992151055472842</v>
      </c>
    </row>
    <row r="127" spans="17:30">
      <c r="Q127">
        <v>2020</v>
      </c>
      <c r="R127" s="3">
        <f t="shared" si="61"/>
        <v>33319.001362442687</v>
      </c>
      <c r="S127" s="3">
        <f t="shared" si="62"/>
        <v>6663.8002724885373</v>
      </c>
      <c r="T127" s="3">
        <f t="shared" si="63"/>
        <v>4331.4701771175496</v>
      </c>
      <c r="U127" s="3">
        <f t="shared" si="64"/>
        <v>0</v>
      </c>
      <c r="V127" s="3">
        <f t="shared" si="65"/>
        <v>10995.270449606087</v>
      </c>
      <c r="W127" s="3"/>
      <c r="X127" s="3">
        <f t="shared" si="66"/>
        <v>23655.5</v>
      </c>
      <c r="Y127" s="3">
        <f t="shared" si="67"/>
        <v>4731.1000000000004</v>
      </c>
      <c r="Z127" s="3">
        <f t="shared" si="68"/>
        <v>3075.2150000000001</v>
      </c>
      <c r="AA127" s="3">
        <f t="shared" si="69"/>
        <v>1138.7248738519806</v>
      </c>
      <c r="AB127" s="3">
        <f t="shared" si="70"/>
        <v>8945.0398738519816</v>
      </c>
      <c r="AD127" s="13">
        <f t="shared" si="71"/>
        <v>1.2292030672492933</v>
      </c>
    </row>
    <row r="128" spans="17:30">
      <c r="Q128">
        <v>2021</v>
      </c>
      <c r="R128" s="3">
        <f t="shared" si="61"/>
        <v>32517.600045126095</v>
      </c>
      <c r="S128" s="3">
        <f t="shared" si="62"/>
        <v>6503.5200090252192</v>
      </c>
      <c r="T128" s="3">
        <f t="shared" si="63"/>
        <v>4227.2880058663923</v>
      </c>
      <c r="U128" s="3">
        <f t="shared" si="64"/>
        <v>0</v>
      </c>
      <c r="V128" s="3">
        <f t="shared" si="65"/>
        <v>10730.808014891612</v>
      </c>
      <c r="W128" s="3"/>
      <c r="X128" s="3">
        <f t="shared" si="66"/>
        <v>23655.5</v>
      </c>
      <c r="Y128" s="3">
        <f t="shared" si="67"/>
        <v>4731.1000000000004</v>
      </c>
      <c r="Z128" s="3">
        <f t="shared" si="68"/>
        <v>3075.2150000000001</v>
      </c>
      <c r="AA128" s="3">
        <f t="shared" si="69"/>
        <v>1169.0357500488947</v>
      </c>
      <c r="AB128" s="3">
        <f t="shared" si="70"/>
        <v>8975.3507500488959</v>
      </c>
      <c r="AD128" s="13">
        <f t="shared" si="71"/>
        <v>1.1955864805431868</v>
      </c>
    </row>
    <row r="129" spans="17:30">
      <c r="Q129">
        <v>2022</v>
      </c>
      <c r="R129" s="3">
        <f t="shared" si="61"/>
        <v>32965.764600014656</v>
      </c>
      <c r="S129" s="3">
        <f t="shared" si="62"/>
        <v>6593.1529200029308</v>
      </c>
      <c r="T129" s="3">
        <f t="shared" si="63"/>
        <v>4285.5493980019055</v>
      </c>
      <c r="U129" s="3">
        <f t="shared" si="64"/>
        <v>0</v>
      </c>
      <c r="V129" s="3">
        <f t="shared" si="65"/>
        <v>10878.702318004836</v>
      </c>
      <c r="W129" s="3"/>
      <c r="X129" s="3">
        <f t="shared" si="66"/>
        <v>23655.5</v>
      </c>
      <c r="Y129" s="3">
        <f t="shared" si="67"/>
        <v>4731.1000000000004</v>
      </c>
      <c r="Z129" s="3">
        <f t="shared" si="68"/>
        <v>3075.2150000000001</v>
      </c>
      <c r="AA129" s="3">
        <f t="shared" si="69"/>
        <v>1188.1177473313376</v>
      </c>
      <c r="AB129" s="3">
        <f t="shared" si="70"/>
        <v>8994.4327473313388</v>
      </c>
      <c r="AD129" s="13">
        <f t="shared" si="71"/>
        <v>1.2094928744931206</v>
      </c>
    </row>
    <row r="130" spans="17:30">
      <c r="Q130">
        <v>2023</v>
      </c>
      <c r="R130" s="3">
        <f t="shared" si="61"/>
        <v>32676.850326158616</v>
      </c>
      <c r="S130" s="3">
        <f t="shared" si="62"/>
        <v>6535.3700652317229</v>
      </c>
      <c r="T130" s="3">
        <f t="shared" si="63"/>
        <v>4247.9905424006201</v>
      </c>
      <c r="U130" s="3">
        <f t="shared" si="64"/>
        <v>0</v>
      </c>
      <c r="V130" s="3">
        <f t="shared" si="65"/>
        <v>10783.360607632343</v>
      </c>
      <c r="W130" s="3"/>
      <c r="X130" s="3">
        <f t="shared" si="66"/>
        <v>23655.5</v>
      </c>
      <c r="Y130" s="3">
        <f t="shared" si="67"/>
        <v>4731.1000000000004</v>
      </c>
      <c r="Z130" s="3">
        <f t="shared" si="68"/>
        <v>3075.2150000000001</v>
      </c>
      <c r="AA130" s="3">
        <f t="shared" si="69"/>
        <v>1190.3216679704119</v>
      </c>
      <c r="AB130" s="3">
        <f t="shared" si="70"/>
        <v>8996.6366679704115</v>
      </c>
      <c r="AD130" s="13">
        <f t="shared" si="71"/>
        <v>1.1985990993748785</v>
      </c>
    </row>
    <row r="131" spans="17:30">
      <c r="Q131">
        <v>2024</v>
      </c>
      <c r="R131" s="3">
        <f t="shared" si="61"/>
        <v>31559.996200217578</v>
      </c>
      <c r="S131" s="3">
        <f t="shared" si="62"/>
        <v>6311.9992400435158</v>
      </c>
      <c r="T131" s="3">
        <f t="shared" si="63"/>
        <v>4102.7995060282856</v>
      </c>
      <c r="U131" s="3">
        <f t="shared" si="64"/>
        <v>0</v>
      </c>
      <c r="V131" s="3">
        <f t="shared" si="65"/>
        <v>10414.798746071801</v>
      </c>
      <c r="W131" s="3"/>
      <c r="X131" s="3">
        <f t="shared" si="66"/>
        <v>23655.5</v>
      </c>
      <c r="Y131" s="3">
        <f t="shared" si="67"/>
        <v>4731.1000000000004</v>
      </c>
      <c r="Z131" s="3">
        <f t="shared" si="68"/>
        <v>3075.2150000000001</v>
      </c>
      <c r="AA131" s="3">
        <f t="shared" si="69"/>
        <v>1182.1925647411053</v>
      </c>
      <c r="AB131" s="3">
        <f t="shared" si="70"/>
        <v>8988.5075647411068</v>
      </c>
      <c r="AD131" s="13">
        <f t="shared" si="71"/>
        <v>1.1586794215900262</v>
      </c>
    </row>
    <row r="132" spans="17:30">
      <c r="Q132">
        <v>2025</v>
      </c>
      <c r="R132" s="3">
        <f t="shared" si="61"/>
        <v>30601.162040061001</v>
      </c>
      <c r="S132" s="3">
        <f t="shared" si="62"/>
        <v>6120.2324080121998</v>
      </c>
      <c r="T132" s="3">
        <f t="shared" si="63"/>
        <v>3978.1510652079301</v>
      </c>
      <c r="U132" s="3">
        <f t="shared" si="64"/>
        <v>0</v>
      </c>
      <c r="V132" s="3">
        <f t="shared" si="65"/>
        <v>10098.38347322013</v>
      </c>
      <c r="W132" s="3"/>
      <c r="X132" s="3">
        <f t="shared" si="66"/>
        <v>23655.5</v>
      </c>
      <c r="Y132" s="3">
        <f t="shared" si="67"/>
        <v>4731.1000000000004</v>
      </c>
      <c r="Z132" s="3">
        <f t="shared" si="68"/>
        <v>3075.2150000000001</v>
      </c>
      <c r="AA132" s="3">
        <f t="shared" si="69"/>
        <v>1189.4293684498296</v>
      </c>
      <c r="AB132" s="3">
        <f t="shared" si="70"/>
        <v>8995.7443684498303</v>
      </c>
      <c r="AD132" s="13">
        <f t="shared" si="71"/>
        <v>1.1225734146734441</v>
      </c>
    </row>
    <row r="133" spans="17:30">
      <c r="Q133">
        <v>2026</v>
      </c>
      <c r="R133" s="3">
        <f t="shared" si="61"/>
        <v>30054.920183028284</v>
      </c>
      <c r="S133" s="3">
        <f t="shared" si="62"/>
        <v>6010.9840366056569</v>
      </c>
      <c r="T133" s="3">
        <f t="shared" si="63"/>
        <v>3907.1396237936769</v>
      </c>
      <c r="U133" s="3">
        <f t="shared" si="64"/>
        <v>0</v>
      </c>
      <c r="V133" s="3">
        <f t="shared" si="65"/>
        <v>9918.1236603993348</v>
      </c>
      <c r="W133" s="3"/>
      <c r="X133" s="3">
        <f t="shared" si="66"/>
        <v>23655.5</v>
      </c>
      <c r="Y133" s="3">
        <f t="shared" si="67"/>
        <v>4731.1000000000004</v>
      </c>
      <c r="Z133" s="3">
        <f t="shared" si="68"/>
        <v>3075.2150000000001</v>
      </c>
      <c r="AA133" s="3">
        <f t="shared" si="69"/>
        <v>1210.6154248349221</v>
      </c>
      <c r="AB133" s="3">
        <f t="shared" si="70"/>
        <v>9016.9304248349217</v>
      </c>
      <c r="AD133" s="13">
        <f t="shared" si="71"/>
        <v>1.0999445701701653</v>
      </c>
    </row>
    <row r="134" spans="17:30">
      <c r="Q134">
        <v>2027</v>
      </c>
      <c r="R134" s="3">
        <f t="shared" si="61"/>
        <v>29508.67832599557</v>
      </c>
      <c r="S134" s="3">
        <f t="shared" si="62"/>
        <v>5901.735665199114</v>
      </c>
      <c r="T134" s="3">
        <f t="shared" si="63"/>
        <v>3836.1281823794243</v>
      </c>
      <c r="U134" s="3">
        <f t="shared" si="64"/>
        <v>0</v>
      </c>
      <c r="V134" s="3">
        <f t="shared" si="65"/>
        <v>9737.8638475785374</v>
      </c>
      <c r="W134" s="3"/>
      <c r="X134" s="3">
        <f t="shared" si="66"/>
        <v>23655.5</v>
      </c>
      <c r="Y134" s="3">
        <f t="shared" si="67"/>
        <v>4731.1000000000004</v>
      </c>
      <c r="Z134" s="3">
        <f t="shared" si="68"/>
        <v>3075.2150000000001</v>
      </c>
      <c r="AA134" s="3">
        <f t="shared" si="69"/>
        <v>1215.4490168145555</v>
      </c>
      <c r="AB134" s="3">
        <f t="shared" si="70"/>
        <v>9021.7640168145554</v>
      </c>
      <c r="AD134" s="13">
        <f t="shared" si="71"/>
        <v>1.0793747020460003</v>
      </c>
    </row>
    <row r="135" spans="17:30">
      <c r="Q135">
        <v>2028</v>
      </c>
      <c r="R135" s="3">
        <f t="shared" si="61"/>
        <v>28894.156236833765</v>
      </c>
      <c r="S135" s="3">
        <f t="shared" si="62"/>
        <v>5778.8312473667529</v>
      </c>
      <c r="T135" s="3">
        <f t="shared" si="63"/>
        <v>3756.2403107883897</v>
      </c>
      <c r="U135" s="3">
        <f t="shared" si="64"/>
        <v>0</v>
      </c>
      <c r="V135" s="3">
        <f t="shared" si="65"/>
        <v>9535.0715581551431</v>
      </c>
      <c r="W135" s="3"/>
      <c r="X135" s="3">
        <f t="shared" si="66"/>
        <v>23655.5</v>
      </c>
      <c r="Y135" s="3">
        <f t="shared" si="67"/>
        <v>4731.1000000000004</v>
      </c>
      <c r="Z135" s="3">
        <f t="shared" si="68"/>
        <v>3075.2150000000001</v>
      </c>
      <c r="AA135" s="3">
        <f t="shared" si="69"/>
        <v>1213.9568540665061</v>
      </c>
      <c r="AB135" s="3">
        <f t="shared" si="70"/>
        <v>9020.2718540665064</v>
      </c>
      <c r="AD135" s="13">
        <f t="shared" si="71"/>
        <v>1.0570714178482941</v>
      </c>
    </row>
    <row r="136" spans="17:30">
      <c r="Q136">
        <v>2029</v>
      </c>
      <c r="R136" s="3">
        <f t="shared" si="61"/>
        <v>28347.914379801059</v>
      </c>
      <c r="S136" s="3">
        <f t="shared" si="62"/>
        <v>5669.5828759602118</v>
      </c>
      <c r="T136" s="3">
        <f t="shared" si="63"/>
        <v>3685.228869374138</v>
      </c>
      <c r="U136" s="3">
        <f t="shared" si="64"/>
        <v>0</v>
      </c>
      <c r="V136" s="3">
        <f t="shared" si="65"/>
        <v>9354.8117453343493</v>
      </c>
      <c r="W136" s="3"/>
      <c r="X136" s="3">
        <f t="shared" si="66"/>
        <v>23655.5</v>
      </c>
      <c r="Y136" s="3">
        <f t="shared" si="67"/>
        <v>4731.1000000000004</v>
      </c>
      <c r="Z136" s="3">
        <f t="shared" si="68"/>
        <v>3075.2150000000001</v>
      </c>
      <c r="AA136" s="3">
        <f t="shared" si="69"/>
        <v>1216.0849630470545</v>
      </c>
      <c r="AB136" s="3">
        <f t="shared" si="70"/>
        <v>9022.3999630470553</v>
      </c>
      <c r="AD136" s="13">
        <f t="shared" si="71"/>
        <v>1.0368429446321099</v>
      </c>
    </row>
    <row r="137" spans="17:30">
      <c r="Q137">
        <v>2030</v>
      </c>
      <c r="R137" s="3">
        <f t="shared" si="61"/>
        <v>27733.392290639254</v>
      </c>
      <c r="S137" s="3">
        <f t="shared" si="62"/>
        <v>5546.6784581278507</v>
      </c>
      <c r="T137" s="3">
        <f t="shared" si="63"/>
        <v>3605.3409977831034</v>
      </c>
      <c r="U137" s="3">
        <f t="shared" si="64"/>
        <v>0</v>
      </c>
      <c r="V137" s="3">
        <f t="shared" si="65"/>
        <v>9152.019455910955</v>
      </c>
      <c r="W137" s="3"/>
      <c r="X137" s="3">
        <f t="shared" si="66"/>
        <v>23655.5</v>
      </c>
      <c r="Y137" s="3">
        <f t="shared" si="67"/>
        <v>4731.1000000000004</v>
      </c>
      <c r="Z137" s="3">
        <f t="shared" si="68"/>
        <v>3075.2150000000001</v>
      </c>
      <c r="AA137" s="3">
        <f t="shared" si="69"/>
        <v>1214.7549902187257</v>
      </c>
      <c r="AB137" s="3">
        <f t="shared" si="70"/>
        <v>9021.0699902187262</v>
      </c>
      <c r="AD137" s="13">
        <f t="shared" si="71"/>
        <v>1.0145159571796043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election activeCell="A4" sqref="A4:G20"/>
    </sheetView>
  </sheetViews>
  <sheetFormatPr defaultRowHeight="15"/>
  <cols>
    <col min="1" max="1" width="17.7109375" customWidth="1"/>
    <col min="2" max="7" width="13.85546875" customWidth="1"/>
  </cols>
  <sheetData>
    <row r="1" spans="1:7">
      <c r="A1" t="s">
        <v>148</v>
      </c>
    </row>
    <row r="2" spans="1:7" ht="15.75" thickBot="1"/>
    <row r="3" spans="1:7">
      <c r="A3" s="44" t="s">
        <v>149</v>
      </c>
      <c r="B3" s="44"/>
    </row>
    <row r="4" spans="1:7">
      <c r="A4" s="41" t="s">
        <v>150</v>
      </c>
      <c r="B4" s="41">
        <v>0.99950875469693157</v>
      </c>
    </row>
    <row r="5" spans="1:7">
      <c r="A5" s="41" t="s">
        <v>151</v>
      </c>
      <c r="B5" s="41">
        <v>0.99901775071581089</v>
      </c>
    </row>
    <row r="6" spans="1:7">
      <c r="A6" s="41" t="s">
        <v>152</v>
      </c>
      <c r="B6" s="41">
        <v>0.99828106375266912</v>
      </c>
    </row>
    <row r="7" spans="1:7">
      <c r="A7" s="41" t="s">
        <v>153</v>
      </c>
      <c r="B7" s="41">
        <v>5.6835400703117864E-2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3</v>
      </c>
      <c r="C12" s="41">
        <v>13.141632788061345</v>
      </c>
      <c r="D12" s="41">
        <v>4.3805442626871152</v>
      </c>
      <c r="E12" s="41">
        <v>1356.0953304442651</v>
      </c>
      <c r="F12" s="41">
        <v>1.8084331917130935E-6</v>
      </c>
    </row>
    <row r="13" spans="1:7">
      <c r="A13" s="41" t="s">
        <v>157</v>
      </c>
      <c r="B13" s="41">
        <v>4</v>
      </c>
      <c r="C13" s="41">
        <v>1.2921051092335883E-2</v>
      </c>
      <c r="D13" s="41">
        <v>3.2302627730839708E-3</v>
      </c>
      <c r="E13" s="41"/>
      <c r="F13" s="41"/>
    </row>
    <row r="14" spans="1:7" ht="15.75" thickBot="1">
      <c r="A14" s="42" t="s">
        <v>158</v>
      </c>
      <c r="B14" s="42">
        <v>7</v>
      </c>
      <c r="C14" s="42">
        <v>13.154553839153682</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-6.3875174310017551</v>
      </c>
      <c r="C17" s="41">
        <v>0.13835468090640179</v>
      </c>
      <c r="D17" s="41">
        <v>-46.167700211913818</v>
      </c>
      <c r="E17" s="41">
        <v>1.316561467302123E-6</v>
      </c>
      <c r="F17" s="41">
        <v>-6.7716516075855369</v>
      </c>
      <c r="G17" s="41">
        <v>-6.0033832544179733</v>
      </c>
    </row>
    <row r="18" spans="1:7">
      <c r="A18" s="41" t="s">
        <v>329</v>
      </c>
      <c r="B18" s="41">
        <v>0.34963155873395674</v>
      </c>
      <c r="C18" s="41">
        <v>1.8654512520605068E-2</v>
      </c>
      <c r="D18" s="41">
        <v>18.742465574898674</v>
      </c>
      <c r="E18" s="41">
        <v>4.7714114577734857E-5</v>
      </c>
      <c r="F18" s="41">
        <v>0.29783832875627186</v>
      </c>
      <c r="G18" s="41">
        <v>0.40142478871164161</v>
      </c>
    </row>
    <row r="19" spans="1:7">
      <c r="A19" s="41" t="s">
        <v>745</v>
      </c>
      <c r="B19" s="41">
        <v>0.24068126449316327</v>
      </c>
      <c r="C19" s="41">
        <v>6.7670951568014781E-2</v>
      </c>
      <c r="D19" s="41">
        <v>3.5566407582027146</v>
      </c>
      <c r="E19" s="41">
        <v>2.3657183054316896E-2</v>
      </c>
      <c r="F19" s="41">
        <v>5.2796582248071683E-2</v>
      </c>
      <c r="G19" s="41">
        <v>0.42856594673825488</v>
      </c>
    </row>
    <row r="20" spans="1:7" ht="15.75" thickBot="1">
      <c r="A20" s="42" t="s">
        <v>1220</v>
      </c>
      <c r="B20" s="42">
        <v>-1.2379919164009858</v>
      </c>
      <c r="C20" s="42">
        <v>0.10854148983810305</v>
      </c>
      <c r="D20" s="42">
        <v>-11.405702264152945</v>
      </c>
      <c r="E20" s="42">
        <v>3.3707651219222793E-4</v>
      </c>
      <c r="F20" s="42">
        <v>-1.5393514045728631</v>
      </c>
      <c r="G20" s="42">
        <v>-0.93663242822910853</v>
      </c>
    </row>
    <row r="43" spans="7:7">
      <c r="G43" t="s">
        <v>1222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3" sqref="A3:G20"/>
    </sheetView>
  </sheetViews>
  <sheetFormatPr defaultRowHeight="15"/>
  <cols>
    <col min="1" max="1" width="18.28515625" customWidth="1"/>
    <col min="2" max="7" width="13.7109375" customWidth="1"/>
  </cols>
  <sheetData>
    <row r="1" spans="1:7">
      <c r="A1" t="s">
        <v>148</v>
      </c>
    </row>
    <row r="2" spans="1:7" ht="15.75" thickBot="1"/>
    <row r="3" spans="1:7">
      <c r="A3" s="44" t="s">
        <v>149</v>
      </c>
      <c r="B3" s="44"/>
    </row>
    <row r="4" spans="1:7">
      <c r="A4" s="41" t="s">
        <v>150</v>
      </c>
      <c r="B4" s="41">
        <v>0.99952208196852022</v>
      </c>
    </row>
    <row r="5" spans="1:7">
      <c r="A5" s="41" t="s">
        <v>151</v>
      </c>
      <c r="B5" s="41">
        <v>0.99904439234268527</v>
      </c>
    </row>
    <row r="6" spans="1:7">
      <c r="A6" s="41" t="s">
        <v>152</v>
      </c>
      <c r="B6" s="41">
        <v>0.99832768659969928</v>
      </c>
    </row>
    <row r="7" spans="1:7">
      <c r="A7" s="41" t="s">
        <v>153</v>
      </c>
      <c r="B7" s="41">
        <v>5.593735992729891E-2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3</v>
      </c>
      <c r="C12" s="41">
        <v>13.084860200064041</v>
      </c>
      <c r="D12" s="41">
        <v>4.3616200666880136</v>
      </c>
      <c r="E12" s="41">
        <v>1393.9394264936279</v>
      </c>
      <c r="F12" s="41">
        <v>1.7116782376306247E-6</v>
      </c>
    </row>
    <row r="13" spans="1:7">
      <c r="A13" s="41" t="s">
        <v>157</v>
      </c>
      <c r="B13" s="41">
        <v>4</v>
      </c>
      <c r="C13" s="41">
        <v>1.2515952942544744E-2</v>
      </c>
      <c r="D13" s="41">
        <v>3.128988235636186E-3</v>
      </c>
      <c r="E13" s="41"/>
      <c r="F13" s="41"/>
    </row>
    <row r="14" spans="1:7" ht="15.75" thickBot="1">
      <c r="A14" s="42" t="s">
        <v>158</v>
      </c>
      <c r="B14" s="42">
        <v>7</v>
      </c>
      <c r="C14" s="42">
        <v>13.097376153006586</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-6.8193237471033861</v>
      </c>
      <c r="C17" s="41">
        <v>0.13616857605903063</v>
      </c>
      <c r="D17" s="41">
        <v>-50.080010707809208</v>
      </c>
      <c r="E17" s="41">
        <v>9.5134942150815129E-7</v>
      </c>
      <c r="F17" s="41">
        <v>-7.1973883235842351</v>
      </c>
      <c r="G17" s="41">
        <v>-6.4412591706225371</v>
      </c>
    </row>
    <row r="18" spans="1:7">
      <c r="A18" s="41" t="s">
        <v>329</v>
      </c>
      <c r="B18" s="41">
        <v>0.34892346777929145</v>
      </c>
      <c r="C18" s="41">
        <v>1.8359757619798859E-2</v>
      </c>
      <c r="D18" s="41">
        <v>19.004797067855524</v>
      </c>
      <c r="E18" s="41">
        <v>4.5156926350080126E-5</v>
      </c>
      <c r="F18" s="41">
        <v>0.29794860860318301</v>
      </c>
      <c r="G18" s="41">
        <v>0.3998983269553999</v>
      </c>
    </row>
    <row r="19" spans="1:7">
      <c r="A19" s="41" t="s">
        <v>745</v>
      </c>
      <c r="B19" s="41">
        <v>0.2398681157669168</v>
      </c>
      <c r="C19" s="41">
        <v>6.6601701187182796E-2</v>
      </c>
      <c r="D19" s="41">
        <v>3.601531364683495</v>
      </c>
      <c r="E19" s="41">
        <v>2.2727138665911063E-2</v>
      </c>
      <c r="F19" s="41">
        <v>5.4952148507917048E-2</v>
      </c>
      <c r="G19" s="41">
        <v>0.42478408302591653</v>
      </c>
    </row>
    <row r="20" spans="1:7" ht="15.75" thickBot="1">
      <c r="A20" s="42" t="s">
        <v>1220</v>
      </c>
      <c r="B20" s="42">
        <v>-1.2350981576198063</v>
      </c>
      <c r="C20" s="42">
        <v>0.10682645514956592</v>
      </c>
      <c r="D20" s="42">
        <v>-11.561725565924343</v>
      </c>
      <c r="E20" s="42">
        <v>3.1967286553534198E-4</v>
      </c>
      <c r="F20" s="42">
        <v>-1.5316959461254502</v>
      </c>
      <c r="G20" s="42">
        <v>-0.93850036911416246</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J71"/>
  <sheetViews>
    <sheetView zoomScale="75" zoomScaleNormal="75" workbookViewId="0">
      <pane xSplit="1" ySplit="3" topLeftCell="AK4" activePane="bottomRight" state="frozen"/>
      <selection pane="topRight" activeCell="B1" sqref="B1"/>
      <selection pane="bottomLeft" activeCell="A4" sqref="A4"/>
      <selection pane="bottomRight" activeCell="AV3" sqref="AV3:AX45"/>
    </sheetView>
  </sheetViews>
  <sheetFormatPr defaultRowHeight="15"/>
  <cols>
    <col min="3" max="3" width="16.42578125" customWidth="1"/>
    <col min="4" max="4" width="19.28515625" customWidth="1"/>
    <col min="5" max="6" width="11.28515625" customWidth="1"/>
    <col min="45" max="45" width="11.28515625" customWidth="1"/>
  </cols>
  <sheetData>
    <row r="1" spans="1:57">
      <c r="P1" s="14"/>
      <c r="R1" s="236" t="s">
        <v>1314</v>
      </c>
      <c r="S1" s="236"/>
      <c r="T1" s="236"/>
      <c r="U1" s="236"/>
      <c r="W1" s="236" t="s">
        <v>1314</v>
      </c>
      <c r="X1" s="236"/>
      <c r="Y1" s="236"/>
      <c r="Z1" s="236"/>
    </row>
    <row r="2" spans="1:57">
      <c r="B2" t="s">
        <v>298</v>
      </c>
      <c r="C2" t="s">
        <v>282</v>
      </c>
      <c r="L2" t="s">
        <v>282</v>
      </c>
      <c r="S2" t="s">
        <v>1172</v>
      </c>
      <c r="X2" t="s">
        <v>1184</v>
      </c>
      <c r="AB2" t="s">
        <v>960</v>
      </c>
      <c r="AV2" t="s">
        <v>1375</v>
      </c>
      <c r="AW2" s="14" t="s">
        <v>1312</v>
      </c>
    </row>
    <row r="3" spans="1:57">
      <c r="B3" t="s">
        <v>938</v>
      </c>
      <c r="C3" t="s">
        <v>1161</v>
      </c>
      <c r="D3" t="s">
        <v>1164</v>
      </c>
      <c r="E3" s="87" t="s">
        <v>1137</v>
      </c>
      <c r="F3" s="87" t="s">
        <v>1384</v>
      </c>
      <c r="G3" s="87" t="s">
        <v>1383</v>
      </c>
      <c r="H3" s="87" t="s">
        <v>1382</v>
      </c>
      <c r="I3" s="87" t="s">
        <v>1136</v>
      </c>
      <c r="J3" t="s">
        <v>1163</v>
      </c>
      <c r="L3" s="14" t="s">
        <v>1160</v>
      </c>
      <c r="M3" s="14" t="s">
        <v>1160</v>
      </c>
      <c r="N3" s="14" t="s">
        <v>944</v>
      </c>
      <c r="O3" s="14" t="s">
        <v>1153</v>
      </c>
      <c r="P3" s="14" t="s">
        <v>1152</v>
      </c>
      <c r="S3" s="236" t="s">
        <v>1173</v>
      </c>
      <c r="T3" s="236" t="s">
        <v>1147</v>
      </c>
      <c r="U3" s="236" t="s">
        <v>1174</v>
      </c>
      <c r="X3" s="236" t="s">
        <v>1173</v>
      </c>
      <c r="Y3" s="236" t="s">
        <v>1147</v>
      </c>
      <c r="Z3" s="236" t="s">
        <v>1174</v>
      </c>
      <c r="AB3" s="14" t="s">
        <v>1312</v>
      </c>
      <c r="AD3" t="s">
        <v>1310</v>
      </c>
      <c r="AE3" t="s">
        <v>1296</v>
      </c>
      <c r="AG3" t="s">
        <v>329</v>
      </c>
      <c r="AH3" t="s">
        <v>745</v>
      </c>
      <c r="AI3" t="s">
        <v>1220</v>
      </c>
      <c r="AV3" t="s">
        <v>1374</v>
      </c>
      <c r="AW3" s="95" t="s">
        <v>1376</v>
      </c>
      <c r="AX3" s="95" t="s">
        <v>1377</v>
      </c>
      <c r="AY3" s="95"/>
      <c r="AZ3" t="s">
        <v>1310</v>
      </c>
      <c r="BA3" t="s">
        <v>1296</v>
      </c>
      <c r="BC3" t="s">
        <v>329</v>
      </c>
      <c r="BD3" t="s">
        <v>745</v>
      </c>
      <c r="BE3" t="s">
        <v>1220</v>
      </c>
    </row>
    <row r="4" spans="1:57">
      <c r="A4">
        <v>2009</v>
      </c>
      <c r="B4" s="13">
        <f>'EV %sales'!V67</f>
        <v>9.0499694060756468E-3</v>
      </c>
      <c r="C4" s="20"/>
      <c r="D4" s="13"/>
      <c r="E4" s="13"/>
      <c r="F4" s="84"/>
      <c r="G4" s="84"/>
      <c r="H4" s="84"/>
      <c r="I4" s="13"/>
      <c r="J4" s="13"/>
      <c r="K4" s="13"/>
      <c r="L4" s="13"/>
      <c r="M4" s="13"/>
      <c r="N4" s="13"/>
      <c r="O4" s="13"/>
      <c r="P4" s="13"/>
      <c r="R4">
        <v>2009</v>
      </c>
      <c r="W4">
        <v>2009</v>
      </c>
      <c r="AB4" s="13"/>
      <c r="AC4" s="13"/>
      <c r="AE4" s="33"/>
      <c r="AW4" s="13"/>
      <c r="AX4" s="13"/>
      <c r="AY4" s="13"/>
      <c r="BA4" s="33"/>
    </row>
    <row r="5" spans="1:57">
      <c r="A5">
        <v>2010</v>
      </c>
      <c r="B5" s="13">
        <f>'EV %sales'!V68</f>
        <v>1.3826928337993337E-2</v>
      </c>
      <c r="C5" s="20"/>
      <c r="D5" s="13"/>
      <c r="E5" s="13"/>
      <c r="F5" s="230"/>
      <c r="G5" s="230"/>
      <c r="H5" s="230"/>
      <c r="I5" s="13"/>
      <c r="J5" s="13"/>
      <c r="K5" s="13"/>
      <c r="L5" s="13"/>
      <c r="M5" s="13"/>
      <c r="N5" s="13"/>
      <c r="O5" s="13"/>
      <c r="P5" s="13"/>
      <c r="R5">
        <v>2010</v>
      </c>
      <c r="W5">
        <v>2010</v>
      </c>
      <c r="AB5" s="13"/>
      <c r="AC5" s="13"/>
      <c r="AE5" s="33"/>
      <c r="AG5">
        <v>1</v>
      </c>
      <c r="AH5">
        <v>0</v>
      </c>
      <c r="AI5">
        <v>1</v>
      </c>
      <c r="AW5" s="13"/>
      <c r="AX5" s="13"/>
      <c r="AY5" s="13"/>
      <c r="BA5" s="33"/>
      <c r="BC5">
        <v>1</v>
      </c>
      <c r="BD5">
        <v>0</v>
      </c>
      <c r="BE5">
        <v>1</v>
      </c>
    </row>
    <row r="6" spans="1:57">
      <c r="A6">
        <v>2011</v>
      </c>
      <c r="B6" s="13">
        <f>'EV %sales'!V69</f>
        <v>6.2980581847654094E-2</v>
      </c>
      <c r="C6" s="20"/>
      <c r="D6" s="13"/>
      <c r="E6" s="13"/>
      <c r="F6" s="230"/>
      <c r="G6" s="230"/>
      <c r="H6" s="230"/>
      <c r="I6" s="13"/>
      <c r="J6" s="13"/>
      <c r="K6" s="13"/>
      <c r="L6" s="13"/>
      <c r="M6" s="13"/>
      <c r="N6" s="13"/>
      <c r="O6" s="13"/>
      <c r="P6" s="13"/>
      <c r="R6">
        <v>2011</v>
      </c>
      <c r="W6">
        <v>2011</v>
      </c>
      <c r="AB6" s="13">
        <f t="shared" ref="AB6:AB50" si="0">65*EXP(AE6)/(1+EXP(AE6))</f>
        <v>6.3746553607401155E-2</v>
      </c>
      <c r="AC6" s="13"/>
      <c r="AD6">
        <f t="shared" ref="AD6:AD13" si="1">LN(B6/(65-B6))</f>
        <v>-6.9383466928911259</v>
      </c>
      <c r="AE6" s="33">
        <f t="shared" ref="AE6:AE50" si="2">AD$56+AD$57*AG6+AD$58*AH6+AD$59*AI6</f>
        <v>-6.9262462299348275</v>
      </c>
      <c r="AG6">
        <v>2</v>
      </c>
      <c r="AH6">
        <v>0</v>
      </c>
      <c r="AI6">
        <v>1</v>
      </c>
      <c r="AV6" s="13">
        <f>AW6</f>
        <v>6.3746553607401155E-2</v>
      </c>
      <c r="AW6" s="13">
        <f>AB6</f>
        <v>6.3746553607401155E-2</v>
      </c>
      <c r="AX6" s="13">
        <f>100*EXP(BA6)/(1+EXP(BA6))</f>
        <v>6.3797392415781723E-2</v>
      </c>
      <c r="AY6" s="13"/>
      <c r="AZ6">
        <f t="shared" ref="AZ6:AZ13" si="3">LN(B6/(100-B6))</f>
        <v>-7.3694690065006121</v>
      </c>
      <c r="BA6" s="33">
        <f>BJ$25+BJ$26*BC6+BJ$27*BD6+BJ$28*BE6</f>
        <v>-7.3565749691646101</v>
      </c>
      <c r="BC6">
        <v>2</v>
      </c>
      <c r="BD6">
        <v>0</v>
      </c>
      <c r="BE6">
        <v>1</v>
      </c>
    </row>
    <row r="7" spans="1:57">
      <c r="A7">
        <v>2012</v>
      </c>
      <c r="B7" s="13">
        <f>'EV %sales'!V70</f>
        <v>0.13186365004465717</v>
      </c>
      <c r="C7" s="13">
        <f t="shared" ref="C7:C14" si="4">AB7</f>
        <v>0.12311636472094348</v>
      </c>
      <c r="D7" s="84">
        <f>65*EXP(E7)/(1+EXP(E7))</f>
        <v>0.12311636472094348</v>
      </c>
      <c r="E7" s="84">
        <f>J7-SUM(F7:F$7)</f>
        <v>-6.2671166921006245</v>
      </c>
      <c r="F7" s="13">
        <f>I7*G7</f>
        <v>0</v>
      </c>
      <c r="G7" s="13">
        <f>IF(H7&lt;0,0,H7)</f>
        <v>0.6102309814477207</v>
      </c>
      <c r="H7" s="13">
        <f>IF((P7-0.6)/0.3&gt;1,1,(P7-0.6)/0.3)</f>
        <v>0.6102309814477207</v>
      </c>
      <c r="I7" s="13">
        <v>0</v>
      </c>
      <c r="J7" s="13">
        <f>LN(L7/(65-L7))</f>
        <v>-6.2671166921006245</v>
      </c>
      <c r="K7" s="13"/>
      <c r="L7" s="84">
        <f t="shared" ref="L7:L12" si="5">M7</f>
        <v>0.12311636472094348</v>
      </c>
      <c r="M7" s="13">
        <f t="shared" ref="M7:M50" si="6">LOOKUP(ROUND(N7,0),A$4:A$50,AB$4:AB$50)</f>
        <v>0.12311636472094348</v>
      </c>
      <c r="N7" s="13">
        <f t="shared" ref="N7:N50" si="7">A7-(O7-O$7)</f>
        <v>2012</v>
      </c>
      <c r="O7" s="13">
        <f t="shared" ref="O7:O50" si="8">Z$56+Z$57*P7+Z$59*1</f>
        <v>2017.2678731409455</v>
      </c>
      <c r="P7" s="13">
        <f>1/Britain!R81</f>
        <v>0.78306929443431617</v>
      </c>
      <c r="R7">
        <v>2012</v>
      </c>
      <c r="S7" s="13">
        <v>0.12311636472094348</v>
      </c>
      <c r="T7" s="13">
        <v>0.12311636472094348</v>
      </c>
      <c r="U7" s="13">
        <v>0.12311636472094348</v>
      </c>
      <c r="W7">
        <v>2012</v>
      </c>
      <c r="X7" s="12">
        <v>0.12311636472094348</v>
      </c>
      <c r="Y7" s="13">
        <f>T7</f>
        <v>0.12311636472094348</v>
      </c>
      <c r="Z7" s="12">
        <v>0.12311636472094348</v>
      </c>
      <c r="AB7" s="13">
        <f t="shared" si="0"/>
        <v>0.12311636472094348</v>
      </c>
      <c r="AC7" s="13"/>
      <c r="AD7">
        <f t="shared" si="1"/>
        <v>-6.1983433822829124</v>
      </c>
      <c r="AE7" s="33">
        <f t="shared" si="2"/>
        <v>-6.2671166921006245</v>
      </c>
      <c r="AG7">
        <v>3</v>
      </c>
      <c r="AH7">
        <v>0</v>
      </c>
      <c r="AI7">
        <v>0.75</v>
      </c>
      <c r="AV7" s="13">
        <f t="shared" ref="AV7:AV50" si="9">C7</f>
        <v>0.12311636472094348</v>
      </c>
      <c r="AW7" s="13">
        <f t="shared" ref="AW7:AW50" si="10">AB7</f>
        <v>0.12311636472094348</v>
      </c>
      <c r="AX7" s="13">
        <f t="shared" ref="AX7:AX50" si="11">100*EXP(BA7)/(1+EXP(BA7))</f>
        <v>0.12307783579856167</v>
      </c>
      <c r="AY7" s="13"/>
      <c r="AZ7">
        <f t="shared" si="3"/>
        <v>-6.6298375237892717</v>
      </c>
      <c r="BA7" s="33">
        <f t="shared" ref="BA7:BA50" si="12">BJ$25+BJ$26*BC7+BJ$27*BD7+BJ$28*BE7</f>
        <v>-6.6988769619803659</v>
      </c>
      <c r="BC7">
        <v>3</v>
      </c>
      <c r="BD7">
        <v>0</v>
      </c>
      <c r="BE7">
        <v>0.75</v>
      </c>
    </row>
    <row r="8" spans="1:57">
      <c r="A8">
        <v>2013</v>
      </c>
      <c r="B8" s="13">
        <f>'EV %sales'!V71</f>
        <v>0.16558214044279757</v>
      </c>
      <c r="C8" s="13">
        <f t="shared" si="4"/>
        <v>0.17450773560150143</v>
      </c>
      <c r="D8" s="84">
        <f t="shared" ref="D8:D50" si="13">65*EXP(E8)/(1+EXP(E8))</f>
        <v>0.17450773560150143</v>
      </c>
      <c r="E8" s="84">
        <f>J8-SUM(F$7:F8)</f>
        <v>-5.917485133366668</v>
      </c>
      <c r="F8" s="13">
        <f t="shared" ref="F8:F50" si="14">I8*G8</f>
        <v>0</v>
      </c>
      <c r="G8" s="13">
        <f t="shared" ref="G8:G50" si="15">IF(H8&lt;0,0,H8)</f>
        <v>0.59699421011180276</v>
      </c>
      <c r="H8" s="13">
        <f t="shared" ref="H8:H50" si="16">IF((P8-0.6)/0.3&gt;1,1,(P8-0.6)/0.3)</f>
        <v>0.59699421011180276</v>
      </c>
      <c r="I8" s="13">
        <v>0</v>
      </c>
      <c r="J8" s="13">
        <f t="shared" ref="J8:J50" si="17">LN(L8/(65-L8))</f>
        <v>-5.917485133366668</v>
      </c>
      <c r="K8" s="13"/>
      <c r="L8" s="84">
        <f t="shared" si="5"/>
        <v>0.17450773560150143</v>
      </c>
      <c r="M8" s="13">
        <f t="shared" si="6"/>
        <v>0.17450773560150143</v>
      </c>
      <c r="N8" s="13">
        <f t="shared" si="7"/>
        <v>2013.042823221853</v>
      </c>
      <c r="O8" s="13">
        <f t="shared" si="8"/>
        <v>2017.2250499190925</v>
      </c>
      <c r="P8" s="13">
        <f>1/Britain!R82</f>
        <v>0.77909826303354079</v>
      </c>
      <c r="R8">
        <v>2013</v>
      </c>
      <c r="S8" s="13">
        <v>0.17450773560150143</v>
      </c>
      <c r="T8" s="13">
        <v>0.17450773560150143</v>
      </c>
      <c r="U8" s="13">
        <v>0.17450773560150143</v>
      </c>
      <c r="W8">
        <v>2013</v>
      </c>
      <c r="X8" s="12">
        <v>0.17450773560150143</v>
      </c>
      <c r="Y8" s="13">
        <f t="shared" ref="Y8:Y45" si="18">T8</f>
        <v>0.17450773560150143</v>
      </c>
      <c r="Z8" s="12">
        <v>0.17450773560150143</v>
      </c>
      <c r="AB8" s="13">
        <f t="shared" si="0"/>
        <v>0.17450773560150143</v>
      </c>
      <c r="AC8" s="13"/>
      <c r="AD8" s="33">
        <f t="shared" si="1"/>
        <v>-5.970124492575982</v>
      </c>
      <c r="AE8" s="33">
        <f t="shared" si="2"/>
        <v>-5.917485133366668</v>
      </c>
      <c r="AG8">
        <v>4</v>
      </c>
      <c r="AH8">
        <v>0</v>
      </c>
      <c r="AI8">
        <v>0.75</v>
      </c>
      <c r="AV8" s="13">
        <f t="shared" si="9"/>
        <v>0.17450773560150143</v>
      </c>
      <c r="AW8" s="13">
        <f t="shared" si="10"/>
        <v>0.17450773560150143</v>
      </c>
      <c r="AX8" s="13">
        <f t="shared" si="11"/>
        <v>0.17437822836534494</v>
      </c>
      <c r="AY8" s="13"/>
      <c r="AZ8">
        <f t="shared" si="3"/>
        <v>-6.4018008826108321</v>
      </c>
      <c r="BA8" s="33">
        <f t="shared" si="12"/>
        <v>-6.3499534942010749</v>
      </c>
      <c r="BC8">
        <v>4</v>
      </c>
      <c r="BD8">
        <v>0</v>
      </c>
      <c r="BE8">
        <v>0.75</v>
      </c>
    </row>
    <row r="9" spans="1:57">
      <c r="A9">
        <v>2014</v>
      </c>
      <c r="B9" s="13">
        <f>'EV %sales'!V72</f>
        <v>0.59521045373692427</v>
      </c>
      <c r="C9" s="13">
        <f t="shared" si="4"/>
        <v>0.62214017193631121</v>
      </c>
      <c r="D9" s="84">
        <f t="shared" si="13"/>
        <v>0.17450773560150143</v>
      </c>
      <c r="E9" s="84">
        <f>J9-SUM(F$7:F9)</f>
        <v>-5.917485133366668</v>
      </c>
      <c r="F9" s="13">
        <f t="shared" si="14"/>
        <v>0</v>
      </c>
      <c r="G9" s="13">
        <f t="shared" si="15"/>
        <v>0.77515295575425325</v>
      </c>
      <c r="H9" s="13">
        <f t="shared" si="16"/>
        <v>0.77515295575425325</v>
      </c>
      <c r="I9" s="13">
        <v>0</v>
      </c>
      <c r="J9" s="13">
        <f t="shared" si="17"/>
        <v>-5.917485133366668</v>
      </c>
      <c r="K9" s="13"/>
      <c r="L9" s="84">
        <f t="shared" si="5"/>
        <v>0.17450773560150143</v>
      </c>
      <c r="M9" s="13">
        <f t="shared" si="6"/>
        <v>0.17450773560150143</v>
      </c>
      <c r="N9" s="13">
        <f t="shared" si="7"/>
        <v>2013.4664491729175</v>
      </c>
      <c r="O9" s="13">
        <f t="shared" si="8"/>
        <v>2017.8014239680281</v>
      </c>
      <c r="P9" s="13">
        <f>1/Britain!R83</f>
        <v>0.83254588672627594</v>
      </c>
      <c r="R9">
        <v>2014</v>
      </c>
      <c r="S9" s="13">
        <v>0.62214017193631121</v>
      </c>
      <c r="T9" s="13">
        <v>0.62214017193631121</v>
      </c>
      <c r="U9" s="13">
        <v>0.62214017193631121</v>
      </c>
      <c r="W9">
        <v>2014</v>
      </c>
      <c r="X9" s="12">
        <v>0.62214017193631121</v>
      </c>
      <c r="Y9" s="13">
        <f t="shared" si="18"/>
        <v>0.62214017193631121</v>
      </c>
      <c r="Z9" s="12">
        <v>0.62214017193631121</v>
      </c>
      <c r="AB9" s="13">
        <f t="shared" si="0"/>
        <v>0.62214017193631121</v>
      </c>
      <c r="AC9" s="13"/>
      <c r="AD9" s="33">
        <f t="shared" si="1"/>
        <v>-4.6840282343966422</v>
      </c>
      <c r="AE9" s="33">
        <f t="shared" si="2"/>
        <v>-4.639359637331971</v>
      </c>
      <c r="AF9" s="33"/>
      <c r="AG9" s="33">
        <v>5</v>
      </c>
      <c r="AH9" s="33">
        <v>0</v>
      </c>
      <c r="AI9">
        <v>0</v>
      </c>
      <c r="AV9" s="13">
        <f t="shared" si="9"/>
        <v>0.62214017193631121</v>
      </c>
      <c r="AW9" s="13">
        <f t="shared" si="10"/>
        <v>0.62214017193631121</v>
      </c>
      <c r="AX9" s="13">
        <f t="shared" si="11"/>
        <v>0.62140659074634519</v>
      </c>
      <c r="AY9" s="13"/>
      <c r="AZ9">
        <f t="shared" si="3"/>
        <v>-5.1180405292871392</v>
      </c>
      <c r="BA9" s="33">
        <f t="shared" si="12"/>
        <v>-5.0747064082069286</v>
      </c>
      <c r="BB9" s="33"/>
      <c r="BC9" s="33">
        <v>5</v>
      </c>
      <c r="BD9" s="33">
        <v>0</v>
      </c>
      <c r="BE9">
        <v>0</v>
      </c>
    </row>
    <row r="10" spans="1:57">
      <c r="A10">
        <v>2015</v>
      </c>
      <c r="B10" s="13">
        <f>'EV %sales'!V73</f>
        <v>1.1141054329537501</v>
      </c>
      <c r="C10" s="13">
        <f t="shared" si="4"/>
        <v>1.1141054329537496</v>
      </c>
      <c r="D10" s="84">
        <f t="shared" si="13"/>
        <v>1.1141054329537496</v>
      </c>
      <c r="E10" s="84">
        <f>J10-SUM(F$7:F10)</f>
        <v>-4.0490468141048517</v>
      </c>
      <c r="F10" s="13">
        <f t="shared" si="14"/>
        <v>0</v>
      </c>
      <c r="G10" s="13">
        <f t="shared" si="15"/>
        <v>0.52973192888925735</v>
      </c>
      <c r="H10" s="13">
        <f t="shared" si="16"/>
        <v>0.52973192888925735</v>
      </c>
      <c r="I10" s="13">
        <v>0</v>
      </c>
      <c r="J10" s="13">
        <f t="shared" si="17"/>
        <v>-4.0490468141048517</v>
      </c>
      <c r="K10" s="13"/>
      <c r="L10" s="84">
        <f t="shared" si="5"/>
        <v>1.1141054329537496</v>
      </c>
      <c r="M10" s="13">
        <f t="shared" si="6"/>
        <v>1.1141054329537496</v>
      </c>
      <c r="N10" s="13">
        <f t="shared" si="7"/>
        <v>2015.2604282191778</v>
      </c>
      <c r="O10" s="13">
        <f t="shared" si="8"/>
        <v>2017.0074449217677</v>
      </c>
      <c r="P10" s="13">
        <f>1/Britain!R84</f>
        <v>0.75891957866677717</v>
      </c>
      <c r="R10">
        <v>2015</v>
      </c>
      <c r="S10" s="13">
        <v>1.1141054329537496</v>
      </c>
      <c r="T10" s="13">
        <v>1.1141054329537496</v>
      </c>
      <c r="U10" s="13">
        <v>1.1141054329537496</v>
      </c>
      <c r="W10">
        <v>2015</v>
      </c>
      <c r="X10" s="12">
        <v>1.1141054329537496</v>
      </c>
      <c r="Y10" s="13">
        <f t="shared" si="18"/>
        <v>1.1141054329537496</v>
      </c>
      <c r="Z10" s="12">
        <v>1.1141054329537496</v>
      </c>
      <c r="AB10" s="13">
        <f t="shared" si="0"/>
        <v>1.1141054329537496</v>
      </c>
      <c r="AC10" s="13"/>
      <c r="AD10" s="33">
        <f t="shared" si="1"/>
        <v>-4.0490468141048517</v>
      </c>
      <c r="AE10" s="33">
        <f t="shared" si="2"/>
        <v>-4.0490468141048517</v>
      </c>
      <c r="AF10" s="33"/>
      <c r="AG10" s="33">
        <v>6</v>
      </c>
      <c r="AH10" s="33">
        <v>1</v>
      </c>
      <c r="AI10">
        <v>0</v>
      </c>
      <c r="AV10" s="13">
        <f t="shared" si="9"/>
        <v>1.1141054329537496</v>
      </c>
      <c r="AW10" s="13">
        <f t="shared" si="10"/>
        <v>1.1141054329537496</v>
      </c>
      <c r="AX10" s="13">
        <f t="shared" si="11"/>
        <v>1.1141054329537503</v>
      </c>
      <c r="AY10" s="13"/>
      <c r="AZ10">
        <f t="shared" si="3"/>
        <v>-4.4859148246607203</v>
      </c>
      <c r="BA10" s="33">
        <f t="shared" si="12"/>
        <v>-4.4859148246607203</v>
      </c>
      <c r="BB10" s="33"/>
      <c r="BC10" s="33">
        <v>6</v>
      </c>
      <c r="BD10" s="33">
        <v>1</v>
      </c>
      <c r="BE10">
        <v>0</v>
      </c>
    </row>
    <row r="11" spans="1:57">
      <c r="A11">
        <v>2016</v>
      </c>
      <c r="B11" s="13">
        <f>'EV %sales'!V74</f>
        <v>1.3058222970559115</v>
      </c>
      <c r="C11" s="13">
        <f t="shared" si="4"/>
        <v>1.2399004278695112</v>
      </c>
      <c r="D11" s="84">
        <f t="shared" si="13"/>
        <v>1.2399004278695112</v>
      </c>
      <c r="E11" s="84">
        <f>J11-SUM(F$7:F11)</f>
        <v>-3.9400965198640581</v>
      </c>
      <c r="F11" s="13">
        <f t="shared" si="14"/>
        <v>0</v>
      </c>
      <c r="G11" s="13">
        <f t="shared" si="15"/>
        <v>0.72793988541725885</v>
      </c>
      <c r="H11" s="13">
        <f t="shared" si="16"/>
        <v>0.72793988541725885</v>
      </c>
      <c r="I11" s="13">
        <v>0</v>
      </c>
      <c r="J11" s="13">
        <f t="shared" si="17"/>
        <v>-3.9400965198640581</v>
      </c>
      <c r="K11" s="13"/>
      <c r="L11" s="84">
        <f t="shared" si="5"/>
        <v>1.2399004278695112</v>
      </c>
      <c r="M11" s="13">
        <f t="shared" si="6"/>
        <v>1.2399004278695112</v>
      </c>
      <c r="N11" s="13">
        <f t="shared" si="7"/>
        <v>2015.6191915399265</v>
      </c>
      <c r="O11" s="13">
        <f t="shared" si="8"/>
        <v>2017.648681601019</v>
      </c>
      <c r="P11" s="13">
        <f>1/Britain!R85</f>
        <v>0.81838196562517762</v>
      </c>
      <c r="R11">
        <v>2016</v>
      </c>
      <c r="S11" s="13">
        <v>1.2399004278695112</v>
      </c>
      <c r="T11" s="13">
        <v>1.2399004278695112</v>
      </c>
      <c r="U11" s="13">
        <v>1.2399004278695112</v>
      </c>
      <c r="W11">
        <v>2016</v>
      </c>
      <c r="X11" s="12">
        <v>1.2399004278695112</v>
      </c>
      <c r="Y11" s="13">
        <f t="shared" si="18"/>
        <v>1.2399004278695112</v>
      </c>
      <c r="Z11" s="12">
        <v>1.2399004278695112</v>
      </c>
      <c r="AB11" s="13">
        <f t="shared" si="0"/>
        <v>1.2399004278695112</v>
      </c>
      <c r="AC11" s="13"/>
      <c r="AD11" s="33">
        <f t="shared" si="1"/>
        <v>-3.8872602015395681</v>
      </c>
      <c r="AE11" s="33">
        <f t="shared" si="2"/>
        <v>-3.9400965198640581</v>
      </c>
      <c r="AF11" s="33"/>
      <c r="AG11" s="33">
        <v>7</v>
      </c>
      <c r="AH11" s="33">
        <v>0</v>
      </c>
      <c r="AI11">
        <v>0</v>
      </c>
      <c r="AV11" s="13">
        <f t="shared" si="9"/>
        <v>1.2399004278695112</v>
      </c>
      <c r="AW11" s="13">
        <f t="shared" si="10"/>
        <v>1.2399004278695112</v>
      </c>
      <c r="AX11" s="13">
        <f t="shared" si="11"/>
        <v>1.2408842597397305</v>
      </c>
      <c r="AY11" s="13"/>
      <c r="AZ11">
        <f t="shared" si="3"/>
        <v>-4.3251929998374736</v>
      </c>
      <c r="BA11" s="33">
        <f t="shared" si="12"/>
        <v>-4.3768594726483459</v>
      </c>
      <c r="BB11" s="33"/>
      <c r="BC11" s="33">
        <v>7</v>
      </c>
      <c r="BD11" s="33">
        <v>0</v>
      </c>
      <c r="BE11">
        <v>0</v>
      </c>
    </row>
    <row r="12" spans="1:57">
      <c r="A12">
        <v>2017</v>
      </c>
      <c r="B12" s="13">
        <f>'EV %sales'!V75</f>
        <v>1.7590074061814718</v>
      </c>
      <c r="C12" s="13">
        <f t="shared" si="4"/>
        <v>1.7449230058151759</v>
      </c>
      <c r="D12" s="84">
        <f t="shared" si="13"/>
        <v>1.2399004278695112</v>
      </c>
      <c r="E12" s="84">
        <f>J12-SUM(F$7:F12)</f>
        <v>-3.9400965198640581</v>
      </c>
      <c r="F12" s="13">
        <f t="shared" si="14"/>
        <v>0</v>
      </c>
      <c r="G12" s="13">
        <f t="shared" si="15"/>
        <v>0.78261502885324408</v>
      </c>
      <c r="H12" s="13">
        <f t="shared" si="16"/>
        <v>0.78261502885324408</v>
      </c>
      <c r="I12" s="13">
        <v>0</v>
      </c>
      <c r="J12" s="13">
        <f t="shared" si="17"/>
        <v>-3.9400965198640581</v>
      </c>
      <c r="K12" s="13"/>
      <c r="L12" s="84">
        <f t="shared" si="5"/>
        <v>1.2399004278695112</v>
      </c>
      <c r="M12" s="13">
        <f t="shared" si="6"/>
        <v>1.2399004278695112</v>
      </c>
      <c r="N12" s="13">
        <f t="shared" si="7"/>
        <v>2016.4423080886838</v>
      </c>
      <c r="O12" s="13">
        <f t="shared" si="8"/>
        <v>2017.8255650522617</v>
      </c>
      <c r="P12" s="13">
        <f>1/Britain!R86</f>
        <v>0.8347845086559732</v>
      </c>
      <c r="R12">
        <v>2017</v>
      </c>
      <c r="S12" s="13">
        <v>1.7449230058151759</v>
      </c>
      <c r="T12" s="13">
        <v>1.7449230058151759</v>
      </c>
      <c r="U12" s="13">
        <v>1.7449230058151759</v>
      </c>
      <c r="W12">
        <v>2017</v>
      </c>
      <c r="X12" s="12">
        <v>1.7449230058151759</v>
      </c>
      <c r="Y12" s="13">
        <f t="shared" si="18"/>
        <v>1.7449230058151759</v>
      </c>
      <c r="Z12" s="12">
        <v>1.7449230058151759</v>
      </c>
      <c r="AB12" s="13">
        <f t="shared" si="0"/>
        <v>1.7449230058151759</v>
      </c>
      <c r="AC12" s="13"/>
      <c r="AD12" s="33">
        <f t="shared" si="1"/>
        <v>-3.5822030316860123</v>
      </c>
      <c r="AE12" s="33">
        <f t="shared" si="2"/>
        <v>-3.5904649611301012</v>
      </c>
      <c r="AF12" s="33"/>
      <c r="AG12" s="33">
        <v>8</v>
      </c>
      <c r="AH12" s="33">
        <v>0</v>
      </c>
      <c r="AI12">
        <v>0</v>
      </c>
      <c r="AV12" s="13">
        <f t="shared" si="9"/>
        <v>1.7449230058151759</v>
      </c>
      <c r="AW12" s="13">
        <f t="shared" si="10"/>
        <v>1.7449230058151759</v>
      </c>
      <c r="AX12" s="13">
        <f t="shared" si="11"/>
        <v>1.7499371716117686</v>
      </c>
      <c r="AY12" s="13"/>
      <c r="AZ12">
        <f t="shared" si="3"/>
        <v>-4.0226738919157166</v>
      </c>
      <c r="BA12" s="33">
        <f t="shared" si="12"/>
        <v>-4.0279360048690549</v>
      </c>
      <c r="BB12" s="33"/>
      <c r="BC12" s="33">
        <v>8</v>
      </c>
      <c r="BD12" s="33">
        <v>0</v>
      </c>
      <c r="BE12">
        <v>0</v>
      </c>
    </row>
    <row r="13" spans="1:57">
      <c r="A13">
        <v>2018</v>
      </c>
      <c r="B13" s="13">
        <f>C53</f>
        <v>2.42</v>
      </c>
      <c r="C13" s="13">
        <f t="shared" si="4"/>
        <v>2.4477489867286506</v>
      </c>
      <c r="D13" s="84">
        <f>65*EXP(E13)/(1+EXP(E13))</f>
        <v>1.8776020384239485</v>
      </c>
      <c r="E13" s="84">
        <f>J13-SUM(F$7:F13)</f>
        <v>-3.5150802151271767</v>
      </c>
      <c r="F13" s="13">
        <f t="shared" si="14"/>
        <v>0</v>
      </c>
      <c r="G13" s="13">
        <f t="shared" si="15"/>
        <v>0.98246452832980102</v>
      </c>
      <c r="H13" s="13">
        <f t="shared" si="16"/>
        <v>0.98246452832980102</v>
      </c>
      <c r="I13" s="13">
        <v>0</v>
      </c>
      <c r="J13" s="13">
        <f t="shared" si="17"/>
        <v>-3.5150802151271767</v>
      </c>
      <c r="K13" s="13"/>
      <c r="L13" s="84">
        <f t="shared" ref="L13:L48" si="19">AVERAGE(M11:M15)</f>
        <v>1.877602038423948</v>
      </c>
      <c r="M13" s="13">
        <f t="shared" si="6"/>
        <v>1.7449230058151759</v>
      </c>
      <c r="N13" s="13">
        <f t="shared" si="7"/>
        <v>2016.7957607369065</v>
      </c>
      <c r="O13" s="13">
        <f t="shared" si="8"/>
        <v>2018.4721124040391</v>
      </c>
      <c r="P13" s="13">
        <f>1/Britain!R87</f>
        <v>0.89473935849894026</v>
      </c>
      <c r="R13">
        <v>2018</v>
      </c>
      <c r="S13" s="13">
        <v>2.4477489867286506</v>
      </c>
      <c r="T13" s="13">
        <v>2.4477489867286506</v>
      </c>
      <c r="U13" s="13">
        <v>2.4477489867286506</v>
      </c>
      <c r="W13">
        <v>2018</v>
      </c>
      <c r="X13" s="12">
        <v>2.4477489867286506</v>
      </c>
      <c r="Y13" s="13">
        <f t="shared" si="18"/>
        <v>2.4477489867286506</v>
      </c>
      <c r="Z13" s="12">
        <v>2.4477489867286506</v>
      </c>
      <c r="AB13" s="13">
        <f t="shared" si="0"/>
        <v>2.4477489867286506</v>
      </c>
      <c r="AC13" s="13"/>
      <c r="AD13" s="33">
        <f t="shared" si="1"/>
        <v>-3.2526781980721409</v>
      </c>
      <c r="AE13" s="33">
        <f t="shared" si="2"/>
        <v>-3.2408334023961443</v>
      </c>
      <c r="AF13" s="33"/>
      <c r="AG13" s="33">
        <v>9</v>
      </c>
      <c r="AH13" s="33">
        <v>0</v>
      </c>
      <c r="AI13">
        <v>0</v>
      </c>
      <c r="AV13" s="13">
        <f t="shared" si="9"/>
        <v>2.4477489867286506</v>
      </c>
      <c r="AW13" s="13">
        <f t="shared" si="10"/>
        <v>2.4477489867286506</v>
      </c>
      <c r="AX13" s="13">
        <f t="shared" si="11"/>
        <v>2.4626135824474487</v>
      </c>
      <c r="AY13" s="13"/>
      <c r="AZ13">
        <f t="shared" si="3"/>
        <v>-3.6969050142190962</v>
      </c>
      <c r="BA13" s="33">
        <f t="shared" si="12"/>
        <v>-3.6790125370897631</v>
      </c>
      <c r="BB13" s="33"/>
      <c r="BC13" s="33">
        <v>9</v>
      </c>
      <c r="BD13" s="33">
        <v>0</v>
      </c>
      <c r="BE13">
        <v>0</v>
      </c>
    </row>
    <row r="14" spans="1:57">
      <c r="A14">
        <v>2019</v>
      </c>
      <c r="B14" s="13"/>
      <c r="C14" s="13">
        <f t="shared" si="4"/>
        <v>3.4183633247503673</v>
      </c>
      <c r="D14" s="84">
        <f>65*EXP(E14)/(1+EXP(E14))</f>
        <v>2.5785549548758753</v>
      </c>
      <c r="E14" s="84">
        <f>J14-SUM(F$7:F14)</f>
        <v>-3.1866797399167353</v>
      </c>
      <c r="F14" s="13">
        <f t="shared" si="14"/>
        <v>0</v>
      </c>
      <c r="G14" s="13">
        <f t="shared" si="15"/>
        <v>1</v>
      </c>
      <c r="H14" s="13">
        <f t="shared" si="16"/>
        <v>1</v>
      </c>
      <c r="I14" s="13">
        <v>0</v>
      </c>
      <c r="J14" s="13">
        <f t="shared" si="17"/>
        <v>-3.1866797399167353</v>
      </c>
      <c r="K14" s="13"/>
      <c r="L14" s="84">
        <f t="shared" si="19"/>
        <v>2.5785549548758753</v>
      </c>
      <c r="M14" s="13">
        <f t="shared" si="6"/>
        <v>1.7449230058151759</v>
      </c>
      <c r="N14" s="13">
        <f t="shared" si="7"/>
        <v>2017.4790787462462</v>
      </c>
      <c r="O14" s="13">
        <f t="shared" si="8"/>
        <v>2018.7887943946994</v>
      </c>
      <c r="P14" s="13">
        <f>1/Britain!R88</f>
        <v>0.92410553120975936</v>
      </c>
      <c r="R14">
        <v>2019</v>
      </c>
      <c r="S14" s="13">
        <v>3.4183633247503673</v>
      </c>
      <c r="T14" s="13">
        <v>3.4183633247503673</v>
      </c>
      <c r="U14" s="13">
        <v>3.4183633247503673</v>
      </c>
      <c r="W14">
        <v>2019</v>
      </c>
      <c r="X14" s="12">
        <v>3.4183633247503673</v>
      </c>
      <c r="Y14" s="13">
        <f t="shared" si="18"/>
        <v>3.4183633247503673</v>
      </c>
      <c r="Z14" s="12">
        <v>3.4183633247503673</v>
      </c>
      <c r="AB14" s="13">
        <f t="shared" si="0"/>
        <v>3.4183633247503673</v>
      </c>
      <c r="AC14" s="13"/>
      <c r="AD14" s="33"/>
      <c r="AE14" s="33">
        <f t="shared" si="2"/>
        <v>-2.8912018436621878</v>
      </c>
      <c r="AF14" s="33"/>
      <c r="AG14" s="33">
        <v>10</v>
      </c>
      <c r="AH14" s="33">
        <v>0</v>
      </c>
      <c r="AI14">
        <v>0</v>
      </c>
      <c r="AV14" s="13">
        <f t="shared" si="9"/>
        <v>3.4183633247503673</v>
      </c>
      <c r="AW14" s="13">
        <f t="shared" si="10"/>
        <v>3.4183633247503673</v>
      </c>
      <c r="AX14" s="13">
        <f t="shared" si="11"/>
        <v>3.4553258870467154</v>
      </c>
      <c r="AY14" s="13"/>
      <c r="AZ14" s="33"/>
      <c r="BA14" s="33">
        <f t="shared" si="12"/>
        <v>-3.3300890693104717</v>
      </c>
      <c r="BB14" s="33"/>
      <c r="BC14" s="33">
        <v>10</v>
      </c>
      <c r="BD14" s="33">
        <v>0</v>
      </c>
      <c r="BE14">
        <v>0</v>
      </c>
    </row>
    <row r="15" spans="1:57">
      <c r="A15">
        <v>2020</v>
      </c>
      <c r="B15" s="13"/>
      <c r="C15" s="13">
        <f>(AB15+D15)/2</f>
        <v>4.0264837096282111</v>
      </c>
      <c r="D15" s="84">
        <f>65*EXP(E15)/(1+EXP(E15))</f>
        <v>3.3083024091272772</v>
      </c>
      <c r="E15" s="84">
        <f>J15-SUM(F$7:F15)</f>
        <v>-2.9257141704369332</v>
      </c>
      <c r="F15" s="13">
        <f t="shared" si="14"/>
        <v>0.1</v>
      </c>
      <c r="G15" s="13">
        <f t="shared" si="15"/>
        <v>1</v>
      </c>
      <c r="H15" s="13">
        <f t="shared" si="16"/>
        <v>1</v>
      </c>
      <c r="I15" s="231">
        <v>0.1</v>
      </c>
      <c r="J15" s="13">
        <f t="shared" si="17"/>
        <v>-2.8257141704369331</v>
      </c>
      <c r="K15" s="13"/>
      <c r="L15" s="84">
        <f t="shared" si="19"/>
        <v>3.6367724044072189</v>
      </c>
      <c r="M15" s="13">
        <f t="shared" si="6"/>
        <v>3.4183633247503673</v>
      </c>
      <c r="N15" s="13">
        <f t="shared" si="7"/>
        <v>2018.5019662522827</v>
      </c>
      <c r="O15" s="13">
        <f t="shared" si="8"/>
        <v>2018.7659068886628</v>
      </c>
      <c r="P15" s="13">
        <f>1/Britain!R89</f>
        <v>0.92198315458269664</v>
      </c>
      <c r="R15">
        <v>2020</v>
      </c>
      <c r="S15" s="13">
        <v>4.0910693514330223</v>
      </c>
      <c r="T15" s="13">
        <v>4.0264837096282111</v>
      </c>
      <c r="U15" s="13">
        <v>3.7745524095479102</v>
      </c>
      <c r="W15">
        <v>2020</v>
      </c>
      <c r="X15" s="12">
        <v>3.5325405956347429</v>
      </c>
      <c r="Y15" s="13">
        <f t="shared" si="18"/>
        <v>4.0264837096282111</v>
      </c>
      <c r="Z15" s="12">
        <v>4.49587122341672</v>
      </c>
      <c r="AB15" s="13">
        <f t="shared" si="0"/>
        <v>4.7446650101291459</v>
      </c>
      <c r="AC15" s="13"/>
      <c r="AE15" s="33">
        <f t="shared" si="2"/>
        <v>-2.5415702849282309</v>
      </c>
      <c r="AG15">
        <v>11</v>
      </c>
      <c r="AH15">
        <v>0</v>
      </c>
      <c r="AI15">
        <v>0</v>
      </c>
      <c r="AV15" s="13">
        <f t="shared" si="9"/>
        <v>4.0264837096282111</v>
      </c>
      <c r="AW15" s="13">
        <f t="shared" si="10"/>
        <v>4.7446650101291459</v>
      </c>
      <c r="AX15" s="13">
        <f t="shared" si="11"/>
        <v>4.8284037983905188</v>
      </c>
      <c r="AY15" s="13"/>
      <c r="BA15" s="33">
        <f t="shared" si="12"/>
        <v>-2.9811656015311803</v>
      </c>
      <c r="BC15">
        <v>11</v>
      </c>
      <c r="BD15">
        <v>0</v>
      </c>
      <c r="BE15">
        <v>0</v>
      </c>
    </row>
    <row r="16" spans="1:57">
      <c r="A16">
        <v>2021</v>
      </c>
      <c r="B16" s="13"/>
      <c r="C16" s="13">
        <f>AVERAGE(D13:D19)</f>
        <v>4.6678633605832385</v>
      </c>
      <c r="D16" s="84">
        <f t="shared" si="13"/>
        <v>4.1970047510501818</v>
      </c>
      <c r="E16" s="84">
        <f>J16-SUM(F$7:F16)</f>
        <v>-2.6732679353598661</v>
      </c>
      <c r="F16" s="13">
        <f t="shared" si="14"/>
        <v>0.10255633480707169</v>
      </c>
      <c r="G16" s="13">
        <f t="shared" si="15"/>
        <v>0.97672699816258746</v>
      </c>
      <c r="H16" s="13">
        <f t="shared" si="16"/>
        <v>0.97672699816258746</v>
      </c>
      <c r="I16" s="20">
        <f>I15+(I35-I15)/20</f>
        <v>0.10500000000000001</v>
      </c>
      <c r="J16" s="13">
        <f t="shared" si="17"/>
        <v>-2.4707116005527943</v>
      </c>
      <c r="K16" s="13"/>
      <c r="L16" s="84">
        <f t="shared" si="19"/>
        <v>5.065910336083598</v>
      </c>
      <c r="M16" s="13">
        <f t="shared" si="6"/>
        <v>4.7446650101291459</v>
      </c>
      <c r="N16" s="13">
        <f t="shared" si="7"/>
        <v>2019.814322629456</v>
      </c>
      <c r="O16" s="13">
        <f t="shared" si="8"/>
        <v>2018.4535505114895</v>
      </c>
      <c r="P16" s="13">
        <f>1/Britain!R90</f>
        <v>0.89301809944877619</v>
      </c>
      <c r="R16">
        <v>2021</v>
      </c>
      <c r="S16" s="13">
        <v>5.0033482385824524</v>
      </c>
      <c r="T16" s="13">
        <v>4.6678633605832385</v>
      </c>
      <c r="U16" s="13">
        <v>4.0212808360051566</v>
      </c>
      <c r="W16">
        <v>2021</v>
      </c>
      <c r="X16" s="12">
        <v>2.8120393667872214</v>
      </c>
      <c r="Y16" s="13">
        <f t="shared" si="18"/>
        <v>4.6678633605832385</v>
      </c>
      <c r="Z16" s="12">
        <v>7.6055089485790131</v>
      </c>
      <c r="AB16" s="13">
        <f t="shared" si="0"/>
        <v>6.5309876755262284</v>
      </c>
      <c r="AC16" s="13"/>
      <c r="AE16" s="33">
        <f t="shared" si="2"/>
        <v>-2.191938726194274</v>
      </c>
      <c r="AG16">
        <v>12</v>
      </c>
      <c r="AH16">
        <v>0</v>
      </c>
      <c r="AI16">
        <v>0</v>
      </c>
      <c r="AV16" s="13">
        <f t="shared" si="9"/>
        <v>4.6678633605832385</v>
      </c>
      <c r="AW16" s="13">
        <f t="shared" si="10"/>
        <v>6.5309876755262284</v>
      </c>
      <c r="AX16" s="13">
        <f t="shared" si="11"/>
        <v>6.7091977702440175</v>
      </c>
      <c r="AY16" s="13"/>
      <c r="BA16" s="33">
        <f t="shared" si="12"/>
        <v>-2.6322421337518884</v>
      </c>
      <c r="BC16">
        <v>12</v>
      </c>
      <c r="BD16">
        <v>0</v>
      </c>
      <c r="BE16">
        <v>0</v>
      </c>
    </row>
    <row r="17" spans="1:62">
      <c r="A17">
        <v>2022</v>
      </c>
      <c r="B17" s="13"/>
      <c r="C17" s="13">
        <f t="shared" ref="C17:C50" si="20">AVERAGE(D14:D20)</f>
        <v>6.0277420639963921</v>
      </c>
      <c r="D17" s="84">
        <f t="shared" si="13"/>
        <v>5.3531637071376839</v>
      </c>
      <c r="E17" s="84">
        <f>J17-SUM(F$7:F17)</f>
        <v>-2.410753376038036</v>
      </c>
      <c r="F17" s="13">
        <f t="shared" si="14"/>
        <v>0.11000000000000001</v>
      </c>
      <c r="G17" s="13">
        <f t="shared" si="15"/>
        <v>1</v>
      </c>
      <c r="H17" s="13">
        <f t="shared" si="16"/>
        <v>1</v>
      </c>
      <c r="I17" s="20">
        <f>I16+(I35-I15)/20</f>
        <v>0.11000000000000001</v>
      </c>
      <c r="J17" s="13">
        <f t="shared" si="17"/>
        <v>-2.0981970412309643</v>
      </c>
      <c r="K17" s="13"/>
      <c r="L17" s="84">
        <f>AVERAGE(M15:M19)</f>
        <v>7.1026918810367352</v>
      </c>
      <c r="M17" s="13">
        <f t="shared" si="6"/>
        <v>6.5309876755262284</v>
      </c>
      <c r="N17" s="13">
        <f t="shared" si="7"/>
        <v>2020.6018269434242</v>
      </c>
      <c r="O17" s="13">
        <f t="shared" si="8"/>
        <v>2018.6660461975214</v>
      </c>
      <c r="P17" s="13">
        <f>1/Britain!R91</f>
        <v>0.91272299331817874</v>
      </c>
      <c r="R17">
        <v>2022</v>
      </c>
      <c r="S17" s="13">
        <v>6.4980718304593745</v>
      </c>
      <c r="T17" s="13">
        <v>6.0277420639963921</v>
      </c>
      <c r="U17" s="13">
        <v>5.2372181919012997</v>
      </c>
      <c r="W17">
        <v>2022</v>
      </c>
      <c r="X17" s="12">
        <v>3.3211725011489759</v>
      </c>
      <c r="Y17" s="13">
        <f t="shared" si="18"/>
        <v>6.0277420639963921</v>
      </c>
      <c r="Z17" s="12">
        <v>10.601025026205097</v>
      </c>
      <c r="AB17" s="13">
        <f t="shared" si="0"/>
        <v>8.8906126641970715</v>
      </c>
      <c r="AC17" s="13"/>
      <c r="AE17" s="33">
        <f t="shared" si="2"/>
        <v>-1.8423071674603175</v>
      </c>
      <c r="AG17">
        <v>13</v>
      </c>
      <c r="AH17">
        <v>0</v>
      </c>
      <c r="AI17">
        <v>0</v>
      </c>
      <c r="AV17" s="13">
        <f t="shared" si="9"/>
        <v>6.0277420639963921</v>
      </c>
      <c r="AW17" s="13">
        <f t="shared" si="10"/>
        <v>8.8906126641970715</v>
      </c>
      <c r="AX17" s="13">
        <f t="shared" si="11"/>
        <v>9.2513957068101949</v>
      </c>
      <c r="AY17" s="13"/>
      <c r="BA17" s="33">
        <f t="shared" si="12"/>
        <v>-2.2833186659725975</v>
      </c>
      <c r="BC17">
        <v>13</v>
      </c>
      <c r="BD17">
        <v>0</v>
      </c>
      <c r="BE17">
        <v>0</v>
      </c>
    </row>
    <row r="18" spans="1:62">
      <c r="A18">
        <v>2023</v>
      </c>
      <c r="B18" s="13"/>
      <c r="C18" s="13">
        <f>AVERAGE(D15:D21)</f>
        <v>7.7213108086701068</v>
      </c>
      <c r="D18" s="84">
        <f t="shared" si="13"/>
        <v>6.5716633190828375</v>
      </c>
      <c r="E18" s="84">
        <f>J18-SUM(F$7:F18)</f>
        <v>-2.1850340200285263</v>
      </c>
      <c r="F18" s="13">
        <f t="shared" si="14"/>
        <v>0.11500000000000002</v>
      </c>
      <c r="G18" s="13">
        <f t="shared" si="15"/>
        <v>1</v>
      </c>
      <c r="H18" s="13">
        <f t="shared" si="16"/>
        <v>1</v>
      </c>
      <c r="I18" s="20">
        <f>I17+(I35-I15)/20</f>
        <v>0.11500000000000002</v>
      </c>
      <c r="J18" s="13">
        <f t="shared" si="17"/>
        <v>-1.7574776852214549</v>
      </c>
      <c r="K18" s="13"/>
      <c r="L18" s="84">
        <f t="shared" si="19"/>
        <v>9.5619240230710751</v>
      </c>
      <c r="M18" s="13">
        <f t="shared" si="6"/>
        <v>8.8906126641970715</v>
      </c>
      <c r="N18" s="13">
        <f t="shared" si="7"/>
        <v>2021.6773724554969</v>
      </c>
      <c r="O18" s="13">
        <f t="shared" si="8"/>
        <v>2018.5905006854487</v>
      </c>
      <c r="P18" s="13">
        <f>1/Britain!R92</f>
        <v>0.90571759793580475</v>
      </c>
      <c r="R18">
        <v>2023</v>
      </c>
      <c r="S18" s="13">
        <v>8.3603724179820471</v>
      </c>
      <c r="T18" s="13">
        <v>7.7213108086701068</v>
      </c>
      <c r="U18" s="13">
        <v>6.810985734153836</v>
      </c>
      <c r="W18">
        <v>2023</v>
      </c>
      <c r="X18" s="12">
        <v>3.9247440640247988</v>
      </c>
      <c r="Y18" s="13">
        <f t="shared" si="18"/>
        <v>7.7213108086701068</v>
      </c>
      <c r="Z18" s="12">
        <v>14.529178033777111</v>
      </c>
      <c r="AB18" s="13">
        <f t="shared" si="0"/>
        <v>11.928830730580861</v>
      </c>
      <c r="AC18" s="13"/>
      <c r="AE18" s="33">
        <f t="shared" si="2"/>
        <v>-1.4926756087263611</v>
      </c>
      <c r="AG18">
        <v>14</v>
      </c>
      <c r="AH18">
        <v>0</v>
      </c>
      <c r="AI18">
        <v>0</v>
      </c>
      <c r="AV18" s="13">
        <f t="shared" si="9"/>
        <v>7.7213108086701068</v>
      </c>
      <c r="AW18" s="13">
        <f t="shared" si="10"/>
        <v>11.928830730580861</v>
      </c>
      <c r="AX18" s="13">
        <f t="shared" si="11"/>
        <v>12.626489572864815</v>
      </c>
      <c r="AY18" s="13"/>
      <c r="BA18" s="33">
        <f t="shared" si="12"/>
        <v>-1.9343951981933056</v>
      </c>
      <c r="BC18">
        <v>14</v>
      </c>
      <c r="BD18">
        <v>0</v>
      </c>
      <c r="BE18">
        <v>0</v>
      </c>
    </row>
    <row r="19" spans="1:62">
      <c r="A19">
        <v>2024</v>
      </c>
      <c r="B19" s="13"/>
      <c r="C19" s="13">
        <f t="shared" si="20"/>
        <v>9.8172621104326403</v>
      </c>
      <c r="D19" s="84">
        <f t="shared" si="13"/>
        <v>8.788752344384859</v>
      </c>
      <c r="E19" s="84">
        <f>J19-SUM(F$7:F19)</f>
        <v>-1.8556441118163911</v>
      </c>
      <c r="F19" s="13">
        <f t="shared" si="14"/>
        <v>0.10723012456615992</v>
      </c>
      <c r="G19" s="13">
        <f t="shared" si="15"/>
        <v>0.89358437138466584</v>
      </c>
      <c r="H19" s="13">
        <f t="shared" si="16"/>
        <v>0.89358437138466584</v>
      </c>
      <c r="I19" s="20">
        <f>I18+(I35-I15)/20</f>
        <v>0.12000000000000002</v>
      </c>
      <c r="J19" s="13">
        <f t="shared" si="17"/>
        <v>-1.3208576524431594</v>
      </c>
      <c r="K19" s="13"/>
      <c r="L19" s="84">
        <f t="shared" si="19"/>
        <v>13.693916460310067</v>
      </c>
      <c r="M19" s="13">
        <f t="shared" si="6"/>
        <v>11.928830730580861</v>
      </c>
      <c r="N19" s="13">
        <f t="shared" si="7"/>
        <v>2023.0833032639027</v>
      </c>
      <c r="O19" s="13">
        <f t="shared" si="8"/>
        <v>2018.1845698770428</v>
      </c>
      <c r="P19" s="13">
        <f>1/Britain!R93</f>
        <v>0.86807531141539973</v>
      </c>
      <c r="R19">
        <v>2024</v>
      </c>
      <c r="S19" s="13">
        <v>10.670355484111964</v>
      </c>
      <c r="T19" s="13">
        <v>9.8172621104326403</v>
      </c>
      <c r="U19" s="13">
        <v>8.7995594817115066</v>
      </c>
      <c r="W19">
        <v>2024</v>
      </c>
      <c r="X19" s="12">
        <v>4.6775517046966355</v>
      </c>
      <c r="Y19" s="13">
        <f t="shared" si="18"/>
        <v>9.8172621104326403</v>
      </c>
      <c r="Z19" s="12">
        <v>19.318161939909846</v>
      </c>
      <c r="AB19" s="13">
        <f t="shared" si="0"/>
        <v>15.714524034922066</v>
      </c>
      <c r="AC19" s="13"/>
      <c r="AE19" s="33">
        <f t="shared" si="2"/>
        <v>-1.1430440499924037</v>
      </c>
      <c r="AG19">
        <v>15</v>
      </c>
      <c r="AH19">
        <v>0</v>
      </c>
      <c r="AI19">
        <v>0</v>
      </c>
      <c r="AV19" s="13">
        <f t="shared" si="9"/>
        <v>9.8172621104326403</v>
      </c>
      <c r="AW19" s="13">
        <f t="shared" si="10"/>
        <v>15.714524034922066</v>
      </c>
      <c r="AX19" s="13">
        <f t="shared" si="11"/>
        <v>17.002194687875161</v>
      </c>
      <c r="AY19" s="13"/>
      <c r="BA19" s="33">
        <f t="shared" si="12"/>
        <v>-1.5854717304140147</v>
      </c>
      <c r="BC19">
        <v>15</v>
      </c>
      <c r="BD19">
        <v>0</v>
      </c>
      <c r="BE19">
        <v>0</v>
      </c>
    </row>
    <row r="20" spans="1:62">
      <c r="A20" s="14">
        <v>2025</v>
      </c>
      <c r="B20" s="13"/>
      <c r="C20" s="20">
        <f t="shared" si="20"/>
        <v>12.38227248314139</v>
      </c>
      <c r="D20" s="84">
        <f t="shared" si="13"/>
        <v>11.396752962316031</v>
      </c>
      <c r="E20" s="84">
        <f>J20-SUM(F$7:F20)</f>
        <v>-1.5482811583409131</v>
      </c>
      <c r="F20" s="13">
        <f t="shared" si="14"/>
        <v>9.7997685842381985E-2</v>
      </c>
      <c r="G20" s="13">
        <f t="shared" si="15"/>
        <v>0.78398148673905566</v>
      </c>
      <c r="H20" s="13">
        <f t="shared" si="16"/>
        <v>0.78398148673905566</v>
      </c>
      <c r="I20" s="20">
        <f>I19+(I35-I15)/20</f>
        <v>0.12500000000000003</v>
      </c>
      <c r="J20" s="13">
        <f t="shared" si="17"/>
        <v>-0.91549701312529952</v>
      </c>
      <c r="K20" s="13"/>
      <c r="L20" s="84">
        <f t="shared" si="19"/>
        <v>18.581959284145299</v>
      </c>
      <c r="M20" s="13">
        <f t="shared" si="6"/>
        <v>15.714524034922066</v>
      </c>
      <c r="N20" s="13">
        <f t="shared" si="7"/>
        <v>2024.4378873634396</v>
      </c>
      <c r="O20" s="13">
        <f t="shared" si="8"/>
        <v>2017.829985777506</v>
      </c>
      <c r="P20" s="13">
        <f>1/Britain!R94</f>
        <v>0.83519444602171666</v>
      </c>
      <c r="R20" s="87">
        <v>2025</v>
      </c>
      <c r="S20" s="13">
        <v>13.489454582363944</v>
      </c>
      <c r="T20" s="13">
        <v>12.38227248314139</v>
      </c>
      <c r="U20" s="13">
        <v>11.266501538856565</v>
      </c>
      <c r="W20" s="87">
        <v>2025</v>
      </c>
      <c r="X20" s="12">
        <v>5.5906401751669392</v>
      </c>
      <c r="Y20" s="13">
        <f t="shared" si="18"/>
        <v>12.38227248314139</v>
      </c>
      <c r="Z20" s="12">
        <v>24.803997283274807</v>
      </c>
      <c r="AB20" s="13">
        <f t="shared" si="0"/>
        <v>20.243366743568988</v>
      </c>
      <c r="AC20" s="13"/>
      <c r="AE20" s="33">
        <f t="shared" si="2"/>
        <v>-0.79341249125844726</v>
      </c>
      <c r="AG20">
        <v>16</v>
      </c>
      <c r="AH20">
        <v>0</v>
      </c>
      <c r="AI20">
        <v>0</v>
      </c>
      <c r="AV20" s="13">
        <f t="shared" si="9"/>
        <v>12.38227248314139</v>
      </c>
      <c r="AW20" s="13">
        <f t="shared" si="10"/>
        <v>20.243366743568988</v>
      </c>
      <c r="AX20" s="13">
        <f t="shared" si="11"/>
        <v>22.503738201570002</v>
      </c>
      <c r="AY20" s="13"/>
      <c r="BA20" s="33">
        <f t="shared" si="12"/>
        <v>-1.2365482626347228</v>
      </c>
      <c r="BC20">
        <v>16</v>
      </c>
      <c r="BD20">
        <v>0</v>
      </c>
      <c r="BE20">
        <v>0</v>
      </c>
    </row>
    <row r="21" spans="1:62">
      <c r="A21">
        <v>2026</v>
      </c>
      <c r="B21" s="13"/>
      <c r="C21" s="13">
        <f t="shared" si="20"/>
        <v>15.326228918126082</v>
      </c>
      <c r="D21" s="84">
        <f t="shared" si="13"/>
        <v>14.433536167591885</v>
      </c>
      <c r="E21" s="84">
        <f>J21-SUM(F$7:F21)</f>
        <v>-1.2537341870302314</v>
      </c>
      <c r="F21" s="13">
        <f t="shared" si="14"/>
        <v>9.3987664243989424E-2</v>
      </c>
      <c r="G21" s="13">
        <f>IF(H21&lt;0,0,H21)</f>
        <v>0.7229820326460723</v>
      </c>
      <c r="H21" s="13">
        <f t="shared" si="16"/>
        <v>0.7229820326460723</v>
      </c>
      <c r="I21" s="20">
        <f>I20+(I35-I15)/20</f>
        <v>0.13000000000000003</v>
      </c>
      <c r="J21" s="13">
        <f t="shared" si="17"/>
        <v>-0.52696237757062858</v>
      </c>
      <c r="K21" s="13"/>
      <c r="L21" s="84">
        <f t="shared" si="19"/>
        <v>24.129666824989091</v>
      </c>
      <c r="M21" s="13">
        <f t="shared" si="6"/>
        <v>25.404627196324107</v>
      </c>
      <c r="N21" s="13">
        <f t="shared" si="7"/>
        <v>2025.635231042593</v>
      </c>
      <c r="O21" s="13">
        <f t="shared" si="8"/>
        <v>2017.6326420983526</v>
      </c>
      <c r="P21" s="13">
        <f>1/Britain!R95</f>
        <v>0.81689460979382167</v>
      </c>
      <c r="R21">
        <v>2026</v>
      </c>
      <c r="S21" s="13">
        <v>16.859013093137161</v>
      </c>
      <c r="T21" s="13">
        <v>15.326228918126082</v>
      </c>
      <c r="U21" s="13">
        <v>14.205964887052293</v>
      </c>
      <c r="W21">
        <v>2026</v>
      </c>
      <c r="X21" s="12">
        <v>6.65831771304242</v>
      </c>
      <c r="Y21" s="13">
        <f>T21</f>
        <v>15.326228918126082</v>
      </c>
      <c r="Z21" s="12">
        <v>30.744492346528091</v>
      </c>
      <c r="AB21" s="13">
        <f t="shared" si="0"/>
        <v>25.404627196324107</v>
      </c>
      <c r="AC21" s="13"/>
      <c r="AE21" s="33">
        <f t="shared" si="2"/>
        <v>-0.4437809325244908</v>
      </c>
      <c r="AG21">
        <v>17</v>
      </c>
      <c r="AH21">
        <v>0</v>
      </c>
      <c r="AI21">
        <v>0</v>
      </c>
      <c r="AV21" s="13">
        <f t="shared" si="9"/>
        <v>15.326228918126082</v>
      </c>
      <c r="AW21" s="13">
        <f t="shared" si="10"/>
        <v>25.404627196324107</v>
      </c>
      <c r="AX21" s="13">
        <f t="shared" si="11"/>
        <v>29.160022948191603</v>
      </c>
      <c r="AY21" s="13"/>
      <c r="BA21" s="33">
        <f t="shared" si="12"/>
        <v>-0.887624794855431</v>
      </c>
      <c r="BC21">
        <v>17</v>
      </c>
      <c r="BD21">
        <v>0</v>
      </c>
      <c r="BE21">
        <v>0</v>
      </c>
    </row>
    <row r="22" spans="1:62">
      <c r="A22">
        <v>2027</v>
      </c>
      <c r="B22" s="13"/>
      <c r="C22" s="13">
        <f t="shared" si="20"/>
        <v>18.688647046715996</v>
      </c>
      <c r="D22" s="84">
        <f t="shared" si="13"/>
        <v>17.979961521465022</v>
      </c>
      <c r="E22" s="84">
        <f>J22-SUM(F$7:F22)</f>
        <v>-0.96131597248865452</v>
      </c>
      <c r="F22" s="13">
        <f t="shared" si="14"/>
        <v>8.9838680596414477E-2</v>
      </c>
      <c r="G22" s="13">
        <f t="shared" si="15"/>
        <v>0.66547170812158851</v>
      </c>
      <c r="H22" s="13">
        <f t="shared" si="16"/>
        <v>0.66547170812158851</v>
      </c>
      <c r="I22" s="20">
        <f>I21+(I35-I15)/20</f>
        <v>0.13500000000000004</v>
      </c>
      <c r="J22" s="13">
        <f t="shared" si="17"/>
        <v>-0.14470548243263714</v>
      </c>
      <c r="K22" s="13"/>
      <c r="L22" s="84">
        <f t="shared" si="19"/>
        <v>30.152630578055113</v>
      </c>
      <c r="M22" s="13">
        <f t="shared" si="6"/>
        <v>30.971201794702385</v>
      </c>
      <c r="N22" s="13">
        <f t="shared" si="7"/>
        <v>2026.8212867901357</v>
      </c>
      <c r="O22" s="13">
        <f t="shared" si="8"/>
        <v>2017.4465863508099</v>
      </c>
      <c r="P22" s="13">
        <f>1/Britain!R96</f>
        <v>0.79964151243647652</v>
      </c>
      <c r="R22">
        <v>2027</v>
      </c>
      <c r="S22" s="13">
        <v>20.712798550045154</v>
      </c>
      <c r="T22" s="13">
        <v>18.688647046715996</v>
      </c>
      <c r="U22" s="13">
        <v>17.509152785959806</v>
      </c>
      <c r="W22">
        <v>2027</v>
      </c>
      <c r="X22" s="12">
        <v>7.8861342622984285</v>
      </c>
      <c r="Y22" s="13">
        <f t="shared" si="18"/>
        <v>18.688647046715996</v>
      </c>
      <c r="Z22" s="12">
        <v>36.814835337633042</v>
      </c>
      <c r="AB22" s="13">
        <f t="shared" si="0"/>
        <v>30.971201794702385</v>
      </c>
      <c r="AC22" s="13"/>
      <c r="AE22" s="33">
        <f t="shared" si="2"/>
        <v>-9.4149373790533453E-2</v>
      </c>
      <c r="AG22">
        <v>18</v>
      </c>
      <c r="AH22">
        <v>0</v>
      </c>
      <c r="AI22">
        <v>0</v>
      </c>
      <c r="AV22" s="13">
        <f t="shared" si="9"/>
        <v>18.688647046715996</v>
      </c>
      <c r="AW22" s="13">
        <f t="shared" si="10"/>
        <v>30.971201794702385</v>
      </c>
      <c r="AX22" s="13">
        <f t="shared" si="11"/>
        <v>36.8489738365638</v>
      </c>
      <c r="AY22" s="13"/>
      <c r="BA22" s="33">
        <f t="shared" si="12"/>
        <v>-0.53870132707614005</v>
      </c>
      <c r="BC22">
        <v>18</v>
      </c>
      <c r="BD22">
        <v>0</v>
      </c>
      <c r="BE22">
        <v>0</v>
      </c>
    </row>
    <row r="23" spans="1:62">
      <c r="A23">
        <v>2028</v>
      </c>
      <c r="B23" s="13"/>
      <c r="C23" s="13">
        <f t="shared" si="20"/>
        <v>22.338012040843889</v>
      </c>
      <c r="D23" s="84">
        <f t="shared" si="13"/>
        <v>22.152077360011411</v>
      </c>
      <c r="E23" s="84">
        <f>J23-SUM(F$7:F23)</f>
        <v>-0.65972588595649417</v>
      </c>
      <c r="F23" s="13">
        <f t="shared" si="14"/>
        <v>8.4066179230465332E-2</v>
      </c>
      <c r="G23" s="13">
        <f t="shared" si="15"/>
        <v>0.60047270878903791</v>
      </c>
      <c r="H23" s="13">
        <f t="shared" si="16"/>
        <v>0.60047270878903791</v>
      </c>
      <c r="I23" s="20">
        <f>I22+(I35-I15)/20</f>
        <v>0.14000000000000004</v>
      </c>
      <c r="J23" s="13">
        <f t="shared" si="17"/>
        <v>0.24095078332998857</v>
      </c>
      <c r="K23" s="13"/>
      <c r="L23" s="84">
        <f t="shared" si="19"/>
        <v>36.396616200951982</v>
      </c>
      <c r="M23" s="13">
        <f t="shared" si="6"/>
        <v>36.629150368416028</v>
      </c>
      <c r="N23" s="13">
        <f t="shared" si="7"/>
        <v>2028.031569682996</v>
      </c>
      <c r="O23" s="13">
        <f t="shared" si="8"/>
        <v>2017.2363034579496</v>
      </c>
      <c r="P23" s="13">
        <f>1/Britain!R97</f>
        <v>0.78014181263671134</v>
      </c>
      <c r="R23">
        <v>2028</v>
      </c>
      <c r="S23" s="13">
        <v>25.020536713540668</v>
      </c>
      <c r="T23" s="13">
        <v>22.338012040843889</v>
      </c>
      <c r="U23" s="13">
        <v>21.18102426334158</v>
      </c>
      <c r="W23">
        <v>2028</v>
      </c>
      <c r="X23" s="12">
        <v>9.2781887792818072</v>
      </c>
      <c r="Y23" s="13">
        <f t="shared" si="18"/>
        <v>22.338012040843889</v>
      </c>
      <c r="Z23" s="12">
        <v>42.649033801542672</v>
      </c>
      <c r="AB23" s="13">
        <f t="shared" si="0"/>
        <v>36.629150368416028</v>
      </c>
      <c r="AC23" s="13"/>
      <c r="AE23" s="33">
        <f t="shared" si="2"/>
        <v>0.25548218494342301</v>
      </c>
      <c r="AG23">
        <v>19</v>
      </c>
      <c r="AH23">
        <v>0</v>
      </c>
      <c r="AI23">
        <v>0</v>
      </c>
      <c r="AV23" s="13">
        <f t="shared" si="9"/>
        <v>22.338012040843889</v>
      </c>
      <c r="AW23" s="13">
        <f t="shared" si="10"/>
        <v>36.629150368416028</v>
      </c>
      <c r="AX23" s="13">
        <f t="shared" si="11"/>
        <v>45.269741940674209</v>
      </c>
      <c r="AY23" s="13"/>
      <c r="BA23" s="33">
        <f t="shared" si="12"/>
        <v>-0.18977785929684821</v>
      </c>
      <c r="BC23">
        <v>19</v>
      </c>
      <c r="BD23">
        <v>0</v>
      </c>
      <c r="BE23">
        <v>0</v>
      </c>
    </row>
    <row r="24" spans="1:62">
      <c r="A24">
        <v>2029</v>
      </c>
      <c r="B24" s="13"/>
      <c r="C24" s="13">
        <f t="shared" si="20"/>
        <v>26.210065115308712</v>
      </c>
      <c r="D24" s="84">
        <f t="shared" si="13"/>
        <v>25.960858752030536</v>
      </c>
      <c r="E24" s="84">
        <f>J24-SUM(F$7:F24)</f>
        <v>-0.4079747934758261</v>
      </c>
      <c r="F24" s="13">
        <f t="shared" si="14"/>
        <v>7.8732109443752932E-2</v>
      </c>
      <c r="G24" s="13">
        <f t="shared" si="15"/>
        <v>0.54298006512933039</v>
      </c>
      <c r="H24" s="13">
        <f t="shared" si="16"/>
        <v>0.54298006512933039</v>
      </c>
      <c r="I24" s="20">
        <f>I23+(I35-I15)/20</f>
        <v>0.14500000000000005</v>
      </c>
      <c r="J24" s="13">
        <f t="shared" si="17"/>
        <v>0.57143398525440958</v>
      </c>
      <c r="K24" s="13"/>
      <c r="L24" s="84">
        <f t="shared" si="19"/>
        <v>41.541109602083608</v>
      </c>
      <c r="M24" s="13">
        <f t="shared" si="6"/>
        <v>42.043649495910991</v>
      </c>
      <c r="N24" s="13">
        <f t="shared" si="7"/>
        <v>2029.2175682299137</v>
      </c>
      <c r="O24" s="13">
        <f t="shared" si="8"/>
        <v>2017.0503049110318</v>
      </c>
      <c r="P24" s="13">
        <f>1/Britain!R98</f>
        <v>0.7628940195387991</v>
      </c>
      <c r="R24">
        <v>2029</v>
      </c>
      <c r="S24" s="13">
        <v>29.720509686671246</v>
      </c>
      <c r="T24" s="13">
        <v>26.210065115308712</v>
      </c>
      <c r="U24" s="13">
        <v>25.034024387564759</v>
      </c>
      <c r="W24">
        <v>2029</v>
      </c>
      <c r="X24" s="12">
        <v>10.815419912991965</v>
      </c>
      <c r="Y24" s="13">
        <f t="shared" si="18"/>
        <v>26.210065115308712</v>
      </c>
      <c r="Z24" s="12">
        <v>48.007354461812859</v>
      </c>
      <c r="AB24" s="13">
        <f t="shared" si="0"/>
        <v>42.043649495910991</v>
      </c>
      <c r="AC24" s="13"/>
      <c r="AE24" s="33">
        <f t="shared" si="2"/>
        <v>0.60511374367737947</v>
      </c>
      <c r="AG24">
        <v>20</v>
      </c>
      <c r="AH24">
        <v>0</v>
      </c>
      <c r="AI24">
        <v>0</v>
      </c>
      <c r="AV24" s="13">
        <f t="shared" si="9"/>
        <v>26.210065115308712</v>
      </c>
      <c r="AW24" s="13">
        <f t="shared" si="10"/>
        <v>42.043649495910991</v>
      </c>
      <c r="AX24" s="13">
        <f t="shared" si="11"/>
        <v>53.970264066581201</v>
      </c>
      <c r="AY24" s="13"/>
      <c r="BA24" s="33">
        <f t="shared" si="12"/>
        <v>0.15914560848244275</v>
      </c>
      <c r="BC24">
        <v>20</v>
      </c>
      <c r="BD24">
        <v>0</v>
      </c>
      <c r="BE24">
        <v>0</v>
      </c>
    </row>
    <row r="25" spans="1:62">
      <c r="A25" s="14">
        <v>2030</v>
      </c>
      <c r="B25" s="13"/>
      <c r="C25" s="20">
        <f t="shared" si="20"/>
        <v>30.215984364203909</v>
      </c>
      <c r="D25" s="84">
        <f t="shared" si="13"/>
        <v>30.108590219212218</v>
      </c>
      <c r="E25" s="84">
        <f>J25-SUM(F$7:F25)</f>
        <v>-0.14743014044348457</v>
      </c>
      <c r="F25" s="13">
        <f t="shared" si="14"/>
        <v>7.160020874862208E-2</v>
      </c>
      <c r="G25" s="13">
        <f t="shared" si="15"/>
        <v>0.4773347249908137</v>
      </c>
      <c r="H25" s="13">
        <f t="shared" si="16"/>
        <v>0.4773347249908137</v>
      </c>
      <c r="I25" s="20">
        <f>I24+(I35-I15)/20</f>
        <v>0.15000000000000005</v>
      </c>
      <c r="J25" s="13">
        <f t="shared" si="17"/>
        <v>0.90357884703537317</v>
      </c>
      <c r="K25" s="13"/>
      <c r="L25" s="84">
        <f t="shared" si="19"/>
        <v>46.259486077365004</v>
      </c>
      <c r="M25" s="13">
        <f t="shared" si="6"/>
        <v>46.934452149406425</v>
      </c>
      <c r="N25" s="13">
        <f t="shared" si="7"/>
        <v>2030.4299421459566</v>
      </c>
      <c r="O25" s="13">
        <f t="shared" si="8"/>
        <v>2016.8379309949889</v>
      </c>
      <c r="P25" s="13">
        <f>1/Britain!R99</f>
        <v>0.74320041749724408</v>
      </c>
      <c r="R25" s="87">
        <v>2030</v>
      </c>
      <c r="S25" s="13">
        <v>34.461644181706482</v>
      </c>
      <c r="T25" s="13">
        <v>30.215984364203909</v>
      </c>
      <c r="U25" s="13">
        <v>28.98416048174747</v>
      </c>
      <c r="W25" s="87">
        <v>2030</v>
      </c>
      <c r="X25" s="12">
        <v>12.496101231564738</v>
      </c>
      <c r="Y25" s="13">
        <f t="shared" si="18"/>
        <v>30.215984364203909</v>
      </c>
      <c r="Z25" s="12">
        <v>52.460836619628232</v>
      </c>
      <c r="AB25" s="13">
        <f t="shared" si="0"/>
        <v>46.934452149406425</v>
      </c>
      <c r="AC25" s="13"/>
      <c r="AE25" s="33">
        <f t="shared" si="2"/>
        <v>0.95474530241133682</v>
      </c>
      <c r="AG25">
        <v>21</v>
      </c>
      <c r="AH25">
        <v>0</v>
      </c>
      <c r="AI25">
        <v>0</v>
      </c>
      <c r="AV25" s="13">
        <f t="shared" si="9"/>
        <v>30.215984364203909</v>
      </c>
      <c r="AW25" s="13">
        <f t="shared" si="10"/>
        <v>46.934452149406425</v>
      </c>
      <c r="AX25" s="13">
        <f t="shared" si="11"/>
        <v>62.435371189744593</v>
      </c>
      <c r="AY25" s="13"/>
      <c r="BA25" s="33">
        <f t="shared" si="12"/>
        <v>0.50806907626173459</v>
      </c>
      <c r="BC25">
        <v>21</v>
      </c>
      <c r="BD25">
        <v>0</v>
      </c>
      <c r="BE25">
        <v>0</v>
      </c>
      <c r="BI25" s="41" t="s">
        <v>159</v>
      </c>
      <c r="BJ25" s="41">
        <v>-6.8193237471033861</v>
      </c>
    </row>
    <row r="26" spans="1:62">
      <c r="A26">
        <v>2031</v>
      </c>
      <c r="C26" s="13">
        <f t="shared" si="20"/>
        <v>34.239280285492683</v>
      </c>
      <c r="D26" s="84">
        <f>65*EXP(E26)/(1+EXP(E26))</f>
        <v>34.334307303280127</v>
      </c>
      <c r="E26" s="84">
        <f>J26-SUM(F$7:F26)</f>
        <v>0.113000539228858</v>
      </c>
      <c r="F26" s="13">
        <f t="shared" si="14"/>
        <v>7.3986882373576146E-2</v>
      </c>
      <c r="G26" s="13">
        <f t="shared" si="15"/>
        <v>0.4773347249908137</v>
      </c>
      <c r="H26" s="13">
        <f t="shared" si="16"/>
        <v>0.4773347249908137</v>
      </c>
      <c r="I26" s="20">
        <f>I25+(I35-I15)/20</f>
        <v>0.15500000000000005</v>
      </c>
      <c r="J26" s="13">
        <f t="shared" si="17"/>
        <v>1.2379964090812918</v>
      </c>
      <c r="K26" s="13"/>
      <c r="L26" s="84">
        <f t="shared" si="19"/>
        <v>50.388979402244516</v>
      </c>
      <c r="M26" s="13">
        <f t="shared" si="6"/>
        <v>51.127094201982246</v>
      </c>
      <c r="N26" s="13">
        <f t="shared" si="7"/>
        <v>2031.4299421459566</v>
      </c>
      <c r="O26" s="13">
        <f t="shared" si="8"/>
        <v>2016.8379309949889</v>
      </c>
      <c r="P26" s="13">
        <f>P25</f>
        <v>0.74320041749724408</v>
      </c>
      <c r="R26">
        <v>2031</v>
      </c>
      <c r="S26" s="13">
        <v>39.095208587332863</v>
      </c>
      <c r="T26" s="13">
        <v>34.239280285492683</v>
      </c>
      <c r="U26" s="13">
        <v>32.978529738367179</v>
      </c>
      <c r="W26">
        <v>2031</v>
      </c>
      <c r="X26" s="12">
        <v>14.316492307151488</v>
      </c>
      <c r="Y26" s="13">
        <f t="shared" si="18"/>
        <v>34.239280285492683</v>
      </c>
      <c r="Z26" s="12">
        <v>56.017656844598719</v>
      </c>
      <c r="AB26" s="13">
        <f t="shared" si="0"/>
        <v>51.127094201982246</v>
      </c>
      <c r="AC26" s="13"/>
      <c r="AE26" s="33">
        <f t="shared" si="2"/>
        <v>1.3043768611452933</v>
      </c>
      <c r="AG26">
        <v>22</v>
      </c>
      <c r="AH26">
        <v>0</v>
      </c>
      <c r="AI26">
        <v>0</v>
      </c>
      <c r="AV26" s="13">
        <f t="shared" si="9"/>
        <v>34.239280285492683</v>
      </c>
      <c r="AW26" s="13">
        <f t="shared" si="10"/>
        <v>51.127094201982246</v>
      </c>
      <c r="AX26" s="13">
        <f t="shared" si="11"/>
        <v>70.203192787319125</v>
      </c>
      <c r="AY26" s="13"/>
      <c r="BA26" s="33">
        <f t="shared" si="12"/>
        <v>0.85699254404102554</v>
      </c>
      <c r="BC26">
        <v>22</v>
      </c>
      <c r="BD26">
        <v>0</v>
      </c>
      <c r="BE26">
        <v>0</v>
      </c>
      <c r="BI26" t="s">
        <v>329</v>
      </c>
      <c r="BJ26" s="41">
        <v>0.34892346777929145</v>
      </c>
    </row>
    <row r="27" spans="1:62">
      <c r="A27">
        <v>2032</v>
      </c>
      <c r="C27" s="13">
        <f t="shared" si="20"/>
        <v>38.135703199022991</v>
      </c>
      <c r="D27" s="84">
        <f t="shared" si="13"/>
        <v>38.501124483569782</v>
      </c>
      <c r="E27" s="84">
        <f>J27-SUM(F$7:F27)</f>
        <v>0.37358514948305999</v>
      </c>
      <c r="F27" s="13">
        <f t="shared" si="14"/>
        <v>7.6373555998530226E-2</v>
      </c>
      <c r="G27" s="13">
        <f t="shared" si="15"/>
        <v>0.4773347249908137</v>
      </c>
      <c r="H27" s="13">
        <f t="shared" si="16"/>
        <v>0.4773347249908137</v>
      </c>
      <c r="I27" s="20">
        <f>I26+(I35-I15)/20</f>
        <v>0.16000000000000006</v>
      </c>
      <c r="J27" s="13">
        <f t="shared" si="17"/>
        <v>1.5749545753340239</v>
      </c>
      <c r="K27" s="13"/>
      <c r="L27" s="84">
        <f t="shared" si="19"/>
        <v>53.851770407327749</v>
      </c>
      <c r="M27" s="13">
        <f t="shared" si="6"/>
        <v>54.563084171109345</v>
      </c>
      <c r="N27" s="13">
        <f t="shared" si="7"/>
        <v>2032.4299421459566</v>
      </c>
      <c r="O27" s="13">
        <f t="shared" si="8"/>
        <v>2016.8379309949889</v>
      </c>
      <c r="P27" s="13">
        <f t="shared" ref="P27:P50" si="21">P26</f>
        <v>0.74320041749724408</v>
      </c>
      <c r="R27">
        <v>2032</v>
      </c>
      <c r="S27" s="13">
        <v>43.463801216582922</v>
      </c>
      <c r="T27" s="13">
        <v>38.135703199022991</v>
      </c>
      <c r="U27" s="13">
        <v>36.89067106642743</v>
      </c>
      <c r="W27">
        <v>2032</v>
      </c>
      <c r="X27" s="12">
        <v>16.270242823277389</v>
      </c>
      <c r="Y27" s="13">
        <f t="shared" si="18"/>
        <v>38.135703199022991</v>
      </c>
      <c r="Z27" s="12">
        <v>58.757772466923782</v>
      </c>
      <c r="AB27" s="13">
        <f t="shared" si="0"/>
        <v>54.563084171109345</v>
      </c>
      <c r="AC27" s="13"/>
      <c r="AE27" s="33">
        <f t="shared" si="2"/>
        <v>1.6540084198792497</v>
      </c>
      <c r="AG27">
        <v>23</v>
      </c>
      <c r="AH27">
        <v>0</v>
      </c>
      <c r="AI27">
        <v>0</v>
      </c>
      <c r="AV27" s="13">
        <f t="shared" si="9"/>
        <v>38.135703199022991</v>
      </c>
      <c r="AW27" s="13">
        <f t="shared" si="10"/>
        <v>54.563084171109345</v>
      </c>
      <c r="AX27" s="13">
        <f t="shared" si="11"/>
        <v>76.95755368257133</v>
      </c>
      <c r="AY27" s="13"/>
      <c r="BA27" s="33">
        <f t="shared" si="12"/>
        <v>1.2059160118203174</v>
      </c>
      <c r="BC27">
        <v>23</v>
      </c>
      <c r="BD27">
        <v>0</v>
      </c>
      <c r="BE27">
        <v>0</v>
      </c>
      <c r="BI27" t="s">
        <v>745</v>
      </c>
      <c r="BJ27" s="41">
        <v>0.2398681157669168</v>
      </c>
    </row>
    <row r="28" spans="1:62" ht="15.75" thickBot="1">
      <c r="A28">
        <v>2033</v>
      </c>
      <c r="C28" s="13">
        <f t="shared" si="20"/>
        <v>41.896705249588628</v>
      </c>
      <c r="D28" s="84">
        <f t="shared" si="13"/>
        <v>42.474970909858257</v>
      </c>
      <c r="E28" s="84">
        <f>J28-SUM(F$7:F28)</f>
        <v>0.63428788772716849</v>
      </c>
      <c r="F28" s="13">
        <f t="shared" si="14"/>
        <v>7.8760229623484293E-2</v>
      </c>
      <c r="G28" s="13">
        <f t="shared" si="15"/>
        <v>0.4773347249908137</v>
      </c>
      <c r="H28" s="13">
        <f t="shared" si="16"/>
        <v>0.4773347249908137</v>
      </c>
      <c r="I28" s="20">
        <f>I27+(I35-I15)/20</f>
        <v>0.16500000000000006</v>
      </c>
      <c r="J28" s="13">
        <f t="shared" si="17"/>
        <v>1.9144175432016168</v>
      </c>
      <c r="K28" s="13"/>
      <c r="L28" s="84">
        <f t="shared" si="19"/>
        <v>56.648450491071813</v>
      </c>
      <c r="M28" s="13">
        <f t="shared" si="6"/>
        <v>57.276616992813544</v>
      </c>
      <c r="N28" s="13">
        <f t="shared" si="7"/>
        <v>2033.4299421459566</v>
      </c>
      <c r="O28" s="13">
        <f t="shared" si="8"/>
        <v>2016.8379309949889</v>
      </c>
      <c r="P28" s="13">
        <f t="shared" si="21"/>
        <v>0.74320041749724408</v>
      </c>
      <c r="R28">
        <v>2033</v>
      </c>
      <c r="S28" s="13">
        <v>47.438933721345954</v>
      </c>
      <c r="T28" s="13">
        <v>41.896705249588628</v>
      </c>
      <c r="U28" s="13">
        <v>40.573151478302186</v>
      </c>
      <c r="W28">
        <v>2033</v>
      </c>
      <c r="X28" s="12">
        <v>18.347558445860592</v>
      </c>
      <c r="Y28" s="13">
        <f t="shared" si="18"/>
        <v>41.896705249588628</v>
      </c>
      <c r="Z28" s="12">
        <v>60.737132067858248</v>
      </c>
      <c r="AB28" s="13">
        <f t="shared" si="0"/>
        <v>57.276616992813544</v>
      </c>
      <c r="AC28" s="13"/>
      <c r="AE28" s="33">
        <f t="shared" si="2"/>
        <v>2.0036399786132071</v>
      </c>
      <c r="AG28">
        <v>24</v>
      </c>
      <c r="AH28">
        <v>0</v>
      </c>
      <c r="AI28">
        <v>0</v>
      </c>
      <c r="AV28" s="13">
        <f t="shared" si="9"/>
        <v>41.896705249588628</v>
      </c>
      <c r="AW28" s="13">
        <f t="shared" si="10"/>
        <v>57.276616992813544</v>
      </c>
      <c r="AX28" s="13">
        <f t="shared" si="11"/>
        <v>82.561160433150633</v>
      </c>
      <c r="AY28" s="13"/>
      <c r="BA28" s="33">
        <f t="shared" si="12"/>
        <v>1.5548394795996092</v>
      </c>
      <c r="BC28">
        <v>24</v>
      </c>
      <c r="BD28">
        <v>0</v>
      </c>
      <c r="BE28">
        <v>0</v>
      </c>
      <c r="BI28" t="s">
        <v>1220</v>
      </c>
      <c r="BJ28" s="42">
        <v>-1.2350981576198063</v>
      </c>
    </row>
    <row r="29" spans="1:62">
      <c r="A29">
        <v>2034</v>
      </c>
      <c r="C29" s="13">
        <f t="shared" si="20"/>
        <v>45.412905407599169</v>
      </c>
      <c r="D29" s="84">
        <f t="shared" si="13"/>
        <v>46.143032970486459</v>
      </c>
      <c r="E29" s="84">
        <f>J29-SUM(F$7:F29)</f>
        <v>0.89486353537085872</v>
      </c>
      <c r="F29" s="13">
        <f t="shared" si="14"/>
        <v>8.114690324843836E-2</v>
      </c>
      <c r="G29" s="13">
        <f t="shared" si="15"/>
        <v>0.4773347249908137</v>
      </c>
      <c r="H29" s="13">
        <f t="shared" si="16"/>
        <v>0.4773347249908137</v>
      </c>
      <c r="I29" s="20">
        <f>I28+(I35-I15)/20</f>
        <v>0.17000000000000007</v>
      </c>
      <c r="J29" s="13">
        <f t="shared" si="17"/>
        <v>2.2561400940937455</v>
      </c>
      <c r="K29" s="13"/>
      <c r="L29" s="84">
        <f t="shared" si="19"/>
        <v>58.83662542435885</v>
      </c>
      <c r="M29" s="13">
        <f t="shared" si="6"/>
        <v>59.35760452132719</v>
      </c>
      <c r="N29" s="13">
        <f t="shared" si="7"/>
        <v>2034.4299421459566</v>
      </c>
      <c r="O29" s="13">
        <f t="shared" si="8"/>
        <v>2016.8379309949889</v>
      </c>
      <c r="P29" s="13">
        <f t="shared" si="21"/>
        <v>0.74320041749724408</v>
      </c>
      <c r="R29">
        <v>2034</v>
      </c>
      <c r="S29" s="13">
        <v>50.902490281890877</v>
      </c>
      <c r="T29" s="13">
        <v>45.412905407599169</v>
      </c>
      <c r="U29" s="13">
        <v>44.051359060435736</v>
      </c>
      <c r="W29">
        <v>2034</v>
      </c>
      <c r="X29" s="12">
        <v>20.534362591900212</v>
      </c>
      <c r="Y29" s="13">
        <f t="shared" si="18"/>
        <v>45.412905407599169</v>
      </c>
      <c r="Z29" s="12">
        <v>62.044827181756098</v>
      </c>
      <c r="AB29" s="13">
        <f t="shared" si="0"/>
        <v>59.35760452132719</v>
      </c>
      <c r="AC29" s="13"/>
      <c r="AE29" s="33">
        <f t="shared" si="2"/>
        <v>2.3532715373471627</v>
      </c>
      <c r="AG29">
        <v>25</v>
      </c>
      <c r="AH29">
        <v>0</v>
      </c>
      <c r="AI29">
        <v>0</v>
      </c>
      <c r="AV29" s="13">
        <f t="shared" si="9"/>
        <v>45.412905407599169</v>
      </c>
      <c r="AW29" s="13">
        <f t="shared" si="10"/>
        <v>59.35760452132719</v>
      </c>
      <c r="AX29" s="13">
        <f t="shared" si="11"/>
        <v>87.031682452907063</v>
      </c>
      <c r="AY29" s="13"/>
      <c r="BA29" s="33">
        <f t="shared" si="12"/>
        <v>1.9037629473789011</v>
      </c>
      <c r="BC29">
        <v>25</v>
      </c>
      <c r="BD29">
        <v>0</v>
      </c>
      <c r="BE29">
        <v>0</v>
      </c>
    </row>
    <row r="30" spans="1:62">
      <c r="A30">
        <v>2035</v>
      </c>
      <c r="C30" s="13">
        <f t="shared" si="20"/>
        <v>48.615538716512127</v>
      </c>
      <c r="D30" s="84">
        <f t="shared" si="13"/>
        <v>49.427037754723585</v>
      </c>
      <c r="E30" s="84">
        <f>J30-SUM(F$7:F30)</f>
        <v>1.1549613762977546</v>
      </c>
      <c r="F30" s="13">
        <f t="shared" si="14"/>
        <v>8.3533576873392426E-2</v>
      </c>
      <c r="G30" s="13">
        <f t="shared" si="15"/>
        <v>0.4773347249908137</v>
      </c>
      <c r="H30" s="13">
        <f t="shared" si="16"/>
        <v>0.4773347249908137</v>
      </c>
      <c r="I30" s="20">
        <f>I29+(I35-I15)/20</f>
        <v>0.17500000000000007</v>
      </c>
      <c r="J30" s="13">
        <f t="shared" si="17"/>
        <v>2.5997715118940339</v>
      </c>
      <c r="K30" s="13"/>
      <c r="L30" s="84">
        <f t="shared" si="19"/>
        <v>60.50504675169649</v>
      </c>
      <c r="M30" s="13">
        <f t="shared" si="6"/>
        <v>60.917852568126754</v>
      </c>
      <c r="N30" s="13">
        <f t="shared" si="7"/>
        <v>2035.4299421459566</v>
      </c>
      <c r="O30" s="13">
        <f t="shared" si="8"/>
        <v>2016.8379309949889</v>
      </c>
      <c r="P30" s="13">
        <f t="shared" si="21"/>
        <v>0.74320041749724408</v>
      </c>
      <c r="R30">
        <v>2035</v>
      </c>
      <c r="S30" s="13">
        <v>53.781242943011776</v>
      </c>
      <c r="T30" s="13">
        <v>48.615538716512127</v>
      </c>
      <c r="U30" s="13">
        <v>47.25655190023371</v>
      </c>
      <c r="W30">
        <v>2035</v>
      </c>
      <c r="X30" s="12">
        <v>22.811747448834712</v>
      </c>
      <c r="Y30" s="13">
        <f t="shared" si="18"/>
        <v>48.615538716512127</v>
      </c>
      <c r="Z30" s="12">
        <v>62.946861638504906</v>
      </c>
      <c r="AB30" s="13">
        <f t="shared" si="0"/>
        <v>60.917852568126754</v>
      </c>
      <c r="AC30" s="13"/>
      <c r="AE30" s="33">
        <f t="shared" si="2"/>
        <v>2.70290309608112</v>
      </c>
      <c r="AG30">
        <v>26</v>
      </c>
      <c r="AH30">
        <v>0</v>
      </c>
      <c r="AI30">
        <v>0</v>
      </c>
      <c r="AV30" s="13">
        <f t="shared" si="9"/>
        <v>48.615538716512127</v>
      </c>
      <c r="AW30" s="13">
        <f t="shared" si="10"/>
        <v>60.917852568126754</v>
      </c>
      <c r="AX30" s="13">
        <f t="shared" si="11"/>
        <v>90.488200798638701</v>
      </c>
      <c r="AY30" s="13"/>
      <c r="BA30" s="33">
        <f t="shared" si="12"/>
        <v>2.2526864151581911</v>
      </c>
      <c r="BC30">
        <v>26</v>
      </c>
      <c r="BD30">
        <v>0</v>
      </c>
      <c r="BE30">
        <v>0</v>
      </c>
    </row>
    <row r="31" spans="1:62">
      <c r="A31">
        <v>2036</v>
      </c>
      <c r="C31" s="13">
        <f t="shared" si="20"/>
        <v>51.461128427110211</v>
      </c>
      <c r="D31" s="84">
        <f t="shared" si="13"/>
        <v>52.287873105989924</v>
      </c>
      <c r="E31" s="84">
        <f>J31-SUM(F$7:F31)</f>
        <v>1.4142080609991559</v>
      </c>
      <c r="F31" s="13">
        <f t="shared" si="14"/>
        <v>8.5920250498346507E-2</v>
      </c>
      <c r="G31" s="13">
        <f t="shared" si="15"/>
        <v>0.4773347249908137</v>
      </c>
      <c r="H31" s="13">
        <f t="shared" si="16"/>
        <v>0.4773347249908137</v>
      </c>
      <c r="I31" s="20">
        <f>I30+(I35-I15)/20</f>
        <v>0.18000000000000008</v>
      </c>
      <c r="J31" s="13">
        <f t="shared" si="17"/>
        <v>2.9449384470937816</v>
      </c>
      <c r="K31" s="13"/>
      <c r="L31" s="84">
        <f t="shared" si="19"/>
        <v>61.751541760666612</v>
      </c>
      <c r="M31" s="13">
        <f t="shared" si="6"/>
        <v>62.067968868417445</v>
      </c>
      <c r="N31" s="13">
        <f t="shared" si="7"/>
        <v>2036.4299421459566</v>
      </c>
      <c r="O31" s="13">
        <f t="shared" si="8"/>
        <v>2016.8379309949889</v>
      </c>
      <c r="P31" s="13">
        <f t="shared" si="21"/>
        <v>0.74320041749724408</v>
      </c>
      <c r="R31">
        <v>2036</v>
      </c>
      <c r="S31" s="13">
        <v>56.029469919166353</v>
      </c>
      <c r="T31" s="13">
        <v>51.461128427110211</v>
      </c>
      <c r="U31" s="13">
        <v>50.141415780252593</v>
      </c>
      <c r="W31">
        <v>2036</v>
      </c>
      <c r="X31" s="12">
        <v>25.155993290770436</v>
      </c>
      <c r="Y31" s="13">
        <f t="shared" si="18"/>
        <v>51.461128427110211</v>
      </c>
      <c r="Z31" s="12">
        <v>63.530363429826259</v>
      </c>
      <c r="AB31" s="13">
        <f t="shared" si="0"/>
        <v>62.067968868417445</v>
      </c>
      <c r="AC31" s="13"/>
      <c r="AE31" s="33">
        <f t="shared" si="2"/>
        <v>3.0525346548150774</v>
      </c>
      <c r="AG31">
        <v>27</v>
      </c>
      <c r="AH31">
        <v>0</v>
      </c>
      <c r="AI31">
        <v>0</v>
      </c>
      <c r="AV31" s="13">
        <f t="shared" si="9"/>
        <v>51.461128427110211</v>
      </c>
      <c r="AW31" s="13">
        <f t="shared" si="10"/>
        <v>62.067968868417445</v>
      </c>
      <c r="AX31" s="13">
        <f t="shared" si="11"/>
        <v>93.096511714461798</v>
      </c>
      <c r="AY31" s="13"/>
      <c r="BA31" s="33">
        <f t="shared" si="12"/>
        <v>2.601609882937483</v>
      </c>
      <c r="BC31">
        <v>27</v>
      </c>
      <c r="BD31">
        <v>0</v>
      </c>
      <c r="BE31">
        <v>0</v>
      </c>
    </row>
    <row r="32" spans="1:62">
      <c r="A32">
        <v>2037</v>
      </c>
      <c r="C32" s="13">
        <f t="shared" si="20"/>
        <v>53.932201707087792</v>
      </c>
      <c r="D32" s="84">
        <f t="shared" si="13"/>
        <v>54.721991325286005</v>
      </c>
      <c r="E32" s="84">
        <f>J32-SUM(F$7:F32)</f>
        <v>1.6722591312529655</v>
      </c>
      <c r="F32" s="13">
        <f t="shared" si="14"/>
        <v>8.8306924123300573E-2</v>
      </c>
      <c r="G32" s="13">
        <f t="shared" si="15"/>
        <v>0.4773347249908137</v>
      </c>
      <c r="H32" s="13">
        <f t="shared" si="16"/>
        <v>0.4773347249908137</v>
      </c>
      <c r="I32" s="20">
        <f>I31+(I35-I15)/20</f>
        <v>0.18500000000000008</v>
      </c>
      <c r="J32" s="13">
        <f t="shared" si="17"/>
        <v>3.2912964414708918</v>
      </c>
      <c r="K32" s="13"/>
      <c r="L32" s="84">
        <f t="shared" si="19"/>
        <v>62.668386141952737</v>
      </c>
      <c r="M32" s="13">
        <f t="shared" si="6"/>
        <v>62.905190807797503</v>
      </c>
      <c r="N32" s="13">
        <f t="shared" si="7"/>
        <v>2037.4299421459566</v>
      </c>
      <c r="O32" s="13">
        <f t="shared" si="8"/>
        <v>2016.8379309949889</v>
      </c>
      <c r="P32" s="13">
        <f t="shared" si="21"/>
        <v>0.74320041749724408</v>
      </c>
      <c r="R32">
        <v>2037</v>
      </c>
      <c r="S32" s="13">
        <v>57.893551546784352</v>
      </c>
      <c r="T32" s="13">
        <v>53.932201707087792</v>
      </c>
      <c r="U32" s="13">
        <v>52.681752633767758</v>
      </c>
      <c r="W32">
        <v>2037</v>
      </c>
      <c r="X32" s="12">
        <v>27.539323696966591</v>
      </c>
      <c r="Y32" s="13">
        <f t="shared" si="18"/>
        <v>53.932201707087792</v>
      </c>
      <c r="Z32" s="12">
        <v>63.952521467686715</v>
      </c>
      <c r="AB32" s="13">
        <f t="shared" si="0"/>
        <v>62.905190807797503</v>
      </c>
      <c r="AC32" s="13"/>
      <c r="AE32" s="33">
        <f t="shared" si="2"/>
        <v>3.4021662135490329</v>
      </c>
      <c r="AG32">
        <v>28</v>
      </c>
      <c r="AH32">
        <v>0</v>
      </c>
      <c r="AI32">
        <v>0</v>
      </c>
      <c r="AV32" s="13">
        <f t="shared" si="9"/>
        <v>53.932201707087792</v>
      </c>
      <c r="AW32" s="13">
        <f t="shared" si="10"/>
        <v>62.905190807797503</v>
      </c>
      <c r="AX32" s="13">
        <f t="shared" si="11"/>
        <v>95.02886900321694</v>
      </c>
      <c r="AY32" s="13"/>
      <c r="BA32" s="33">
        <f t="shared" si="12"/>
        <v>2.9505333507167748</v>
      </c>
      <c r="BC32">
        <v>28</v>
      </c>
      <c r="BD32">
        <v>0</v>
      </c>
      <c r="BE32">
        <v>0</v>
      </c>
    </row>
    <row r="33" spans="1:57">
      <c r="A33">
        <v>2038</v>
      </c>
      <c r="C33" s="13">
        <f t="shared" si="20"/>
        <v>56.035744993121156</v>
      </c>
      <c r="D33" s="84">
        <f t="shared" si="13"/>
        <v>56.75274046567089</v>
      </c>
      <c r="E33" s="84">
        <f>J33-SUM(F$7:F33)</f>
        <v>1.9288229778332675</v>
      </c>
      <c r="F33" s="13">
        <f t="shared" si="14"/>
        <v>9.069359774825464E-2</v>
      </c>
      <c r="G33" s="13">
        <f t="shared" si="15"/>
        <v>0.4773347249908137</v>
      </c>
      <c r="H33" s="13">
        <f t="shared" si="16"/>
        <v>0.4773347249908137</v>
      </c>
      <c r="I33" s="20">
        <f>I32+(I35-I15)/20</f>
        <v>0.19000000000000009</v>
      </c>
      <c r="J33" s="13">
        <f t="shared" si="17"/>
        <v>3.6385538857994484</v>
      </c>
      <c r="K33" s="13"/>
      <c r="L33" s="84">
        <f t="shared" si="19"/>
        <v>63.33490413310917</v>
      </c>
      <c r="M33" s="13">
        <f t="shared" si="6"/>
        <v>63.509092037664161</v>
      </c>
      <c r="N33" s="13">
        <f t="shared" si="7"/>
        <v>2038.4299421459566</v>
      </c>
      <c r="O33" s="13">
        <f t="shared" si="8"/>
        <v>2016.8379309949889</v>
      </c>
      <c r="P33" s="13">
        <f t="shared" si="21"/>
        <v>0.74320041749724408</v>
      </c>
      <c r="R33">
        <v>2038</v>
      </c>
      <c r="S33" s="13">
        <v>59.4127182279761</v>
      </c>
      <c r="T33" s="13">
        <v>56.035744993121156</v>
      </c>
      <c r="U33" s="13">
        <v>54.876733326900663</v>
      </c>
      <c r="W33">
        <v>2038</v>
      </c>
      <c r="X33" s="12">
        <v>29.9427418295382</v>
      </c>
      <c r="Y33" s="13">
        <f t="shared" si="18"/>
        <v>56.035744993121156</v>
      </c>
      <c r="Z33" s="12">
        <v>64.255743079543109</v>
      </c>
      <c r="AB33" s="13">
        <f t="shared" si="0"/>
        <v>63.509092037664161</v>
      </c>
      <c r="AC33" s="13"/>
      <c r="AE33" s="33">
        <f t="shared" si="2"/>
        <v>3.7517977722829903</v>
      </c>
      <c r="AG33">
        <v>29</v>
      </c>
      <c r="AH33">
        <v>0</v>
      </c>
      <c r="AI33">
        <v>0</v>
      </c>
      <c r="AV33" s="13">
        <f t="shared" si="9"/>
        <v>56.035744993121156</v>
      </c>
      <c r="AW33" s="13">
        <f t="shared" si="10"/>
        <v>63.509092037664161</v>
      </c>
      <c r="AX33" s="13">
        <f t="shared" si="11"/>
        <v>96.441017170640706</v>
      </c>
      <c r="AY33" s="13"/>
      <c r="BA33" s="33">
        <f t="shared" si="12"/>
        <v>3.2994568184960666</v>
      </c>
      <c r="BC33">
        <v>29</v>
      </c>
      <c r="BD33">
        <v>0</v>
      </c>
      <c r="BE33">
        <v>0</v>
      </c>
    </row>
    <row r="34" spans="1:57">
      <c r="A34">
        <v>2039</v>
      </c>
      <c r="C34" s="13">
        <f t="shared" si="20"/>
        <v>57.795731915354104</v>
      </c>
      <c r="D34" s="84">
        <f t="shared" si="13"/>
        <v>58.420252457756376</v>
      </c>
      <c r="E34" s="84">
        <f>J34-SUM(F$7:F34)</f>
        <v>2.1836662412161072</v>
      </c>
      <c r="F34" s="13">
        <f t="shared" si="14"/>
        <v>9.308027137320872E-2</v>
      </c>
      <c r="G34" s="13">
        <f t="shared" si="15"/>
        <v>0.4773347249908137</v>
      </c>
      <c r="H34" s="13">
        <f t="shared" si="16"/>
        <v>0.4773347249908137</v>
      </c>
      <c r="I34" s="20">
        <f>I33+(I35-I15)/20</f>
        <v>0.19500000000000009</v>
      </c>
      <c r="J34" s="13">
        <f t="shared" si="17"/>
        <v>3.9864774205554969</v>
      </c>
      <c r="K34" s="13"/>
      <c r="L34" s="84">
        <f t="shared" si="19"/>
        <v>63.81526978793012</v>
      </c>
      <c r="M34" s="13">
        <f t="shared" si="6"/>
        <v>63.941826427757817</v>
      </c>
      <c r="N34" s="13">
        <f t="shared" si="7"/>
        <v>2039.4299421459566</v>
      </c>
      <c r="O34" s="13">
        <f t="shared" si="8"/>
        <v>2016.8379309949889</v>
      </c>
      <c r="P34" s="13">
        <f t="shared" si="21"/>
        <v>0.74320041749724408</v>
      </c>
      <c r="R34">
        <v>2039</v>
      </c>
      <c r="S34" s="13">
        <v>60.633377098341612</v>
      </c>
      <c r="T34" s="13">
        <v>57.795731915354104</v>
      </c>
      <c r="U34" s="13">
        <v>56.742125949260625</v>
      </c>
      <c r="W34">
        <v>2039</v>
      </c>
      <c r="X34" s="12">
        <v>32.345741049630462</v>
      </c>
      <c r="Y34" s="13">
        <f t="shared" si="18"/>
        <v>57.795731915354104</v>
      </c>
      <c r="Z34" s="12">
        <v>64.472383748075003</v>
      </c>
      <c r="AB34" s="13">
        <f t="shared" si="0"/>
        <v>63.941826427757817</v>
      </c>
      <c r="AC34" s="13"/>
      <c r="AE34" s="33">
        <f t="shared" si="2"/>
        <v>4.1014293310169476</v>
      </c>
      <c r="AG34">
        <v>30</v>
      </c>
      <c r="AH34">
        <v>0</v>
      </c>
      <c r="AI34">
        <v>0</v>
      </c>
      <c r="AV34" s="13">
        <f t="shared" si="9"/>
        <v>57.795731915354104</v>
      </c>
      <c r="AW34" s="13">
        <f t="shared" si="10"/>
        <v>63.941826427757817</v>
      </c>
      <c r="AX34" s="13">
        <f t="shared" si="11"/>
        <v>97.462727372862219</v>
      </c>
      <c r="AY34" s="13"/>
      <c r="BA34" s="33">
        <f t="shared" si="12"/>
        <v>3.6483802862753567</v>
      </c>
      <c r="BC34">
        <v>30</v>
      </c>
      <c r="BD34">
        <v>0</v>
      </c>
      <c r="BE34">
        <v>0</v>
      </c>
    </row>
    <row r="35" spans="1:57">
      <c r="A35">
        <v>2040</v>
      </c>
      <c r="C35" s="13">
        <f t="shared" si="20"/>
        <v>59.247080614259097</v>
      </c>
      <c r="D35" s="84">
        <f>65*EXP(E35)/(1+EXP(E35))</f>
        <v>59.77248386970129</v>
      </c>
      <c r="E35" s="84">
        <f>J35-SUM(F$7:F35)</f>
        <v>2.4366091811253723</v>
      </c>
      <c r="F35" s="13">
        <f t="shared" si="14"/>
        <v>9.5466944998162745E-2</v>
      </c>
      <c r="G35" s="13">
        <f t="shared" si="15"/>
        <v>0.4773347249908137</v>
      </c>
      <c r="H35" s="13">
        <f t="shared" si="16"/>
        <v>0.4773347249908137</v>
      </c>
      <c r="I35" s="89">
        <v>0.2</v>
      </c>
      <c r="J35" s="13">
        <f t="shared" si="17"/>
        <v>4.3348873054629244</v>
      </c>
      <c r="K35" s="13"/>
      <c r="L35" s="84">
        <f t="shared" si="19"/>
        <v>64.159298216989512</v>
      </c>
      <c r="M35" s="13">
        <f t="shared" si="6"/>
        <v>64.250442523908902</v>
      </c>
      <c r="N35" s="13">
        <f t="shared" si="7"/>
        <v>2040.4299421459566</v>
      </c>
      <c r="O35" s="13">
        <f t="shared" si="8"/>
        <v>2016.8379309949889</v>
      </c>
      <c r="P35" s="13">
        <f t="shared" si="21"/>
        <v>0.74320041749724408</v>
      </c>
      <c r="R35" s="87">
        <v>2040</v>
      </c>
      <c r="S35" s="13">
        <v>61.603216515193068</v>
      </c>
      <c r="T35" s="13">
        <v>59.247080614259097</v>
      </c>
      <c r="U35" s="13">
        <v>58.30535529313039</v>
      </c>
      <c r="W35" s="87">
        <v>2040</v>
      </c>
      <c r="X35" s="12">
        <v>34.727794655683489</v>
      </c>
      <c r="Y35" s="13">
        <f t="shared" si="18"/>
        <v>59.247080614259097</v>
      </c>
      <c r="Z35" s="12">
        <v>64.626571338477305</v>
      </c>
      <c r="AB35" s="13">
        <f t="shared" si="0"/>
        <v>64.250442523908902</v>
      </c>
      <c r="AC35" s="13"/>
      <c r="AE35" s="33">
        <f t="shared" si="2"/>
        <v>4.4510608897509032</v>
      </c>
      <c r="AG35">
        <v>31</v>
      </c>
      <c r="AH35">
        <v>0</v>
      </c>
      <c r="AI35">
        <v>0</v>
      </c>
      <c r="AV35" s="13">
        <f t="shared" si="9"/>
        <v>59.247080614259097</v>
      </c>
      <c r="AW35" s="13">
        <f t="shared" si="10"/>
        <v>64.250442523908902</v>
      </c>
      <c r="AX35" s="13">
        <f t="shared" si="11"/>
        <v>98.196610509410988</v>
      </c>
      <c r="AY35" s="13"/>
      <c r="BA35" s="33">
        <f t="shared" si="12"/>
        <v>3.9973037540546486</v>
      </c>
      <c r="BC35">
        <v>31</v>
      </c>
      <c r="BD35">
        <v>0</v>
      </c>
      <c r="BE35">
        <v>0</v>
      </c>
    </row>
    <row r="36" spans="1:57">
      <c r="A36">
        <v>2041</v>
      </c>
      <c r="C36" s="13">
        <f t="shared" si="20"/>
        <v>60.429942344721567</v>
      </c>
      <c r="D36" s="84">
        <f t="shared" si="13"/>
        <v>60.867835972720052</v>
      </c>
      <c r="E36" s="84">
        <f>J36-SUM(F$7:F36)</f>
        <v>2.6899036429567946</v>
      </c>
      <c r="F36" s="13">
        <f t="shared" si="14"/>
        <v>9.5466944998162745E-2</v>
      </c>
      <c r="G36" s="13">
        <f t="shared" si="15"/>
        <v>0.4773347249908137</v>
      </c>
      <c r="H36" s="13">
        <f t="shared" si="16"/>
        <v>0.4773347249908137</v>
      </c>
      <c r="I36" s="89">
        <f>I35</f>
        <v>0.2</v>
      </c>
      <c r="J36" s="13">
        <f t="shared" si="17"/>
        <v>4.6836487122925092</v>
      </c>
      <c r="K36" s="13"/>
      <c r="L36" s="84">
        <f t="shared" si="19"/>
        <v>64.404565677582681</v>
      </c>
      <c r="M36" s="13">
        <f t="shared" si="6"/>
        <v>64.469797142522211</v>
      </c>
      <c r="N36" s="13">
        <f t="shared" si="7"/>
        <v>2041.4299421459566</v>
      </c>
      <c r="O36" s="13">
        <f t="shared" si="8"/>
        <v>2016.8379309949889</v>
      </c>
      <c r="P36" s="13">
        <f t="shared" si="21"/>
        <v>0.74320041749724408</v>
      </c>
      <c r="R36">
        <v>2041</v>
      </c>
      <c r="S36" s="13">
        <v>62.367162315514783</v>
      </c>
      <c r="T36" s="13">
        <v>60.429942344721567</v>
      </c>
      <c r="U36" s="13">
        <v>59.600459097019879</v>
      </c>
      <c r="W36">
        <v>2041</v>
      </c>
      <c r="X36" s="12">
        <v>37.069766930819561</v>
      </c>
      <c r="Y36" s="13">
        <f t="shared" si="18"/>
        <v>60.429942344721567</v>
      </c>
      <c r="Z36" s="12">
        <v>64.736006747987631</v>
      </c>
      <c r="AB36" s="13">
        <f t="shared" si="0"/>
        <v>64.469797142522211</v>
      </c>
      <c r="AE36" s="33">
        <f t="shared" si="2"/>
        <v>4.8006924484848605</v>
      </c>
      <c r="AG36">
        <v>32</v>
      </c>
      <c r="AH36">
        <v>0</v>
      </c>
      <c r="AI36">
        <v>0</v>
      </c>
      <c r="AV36" s="13">
        <f t="shared" si="9"/>
        <v>60.429942344721567</v>
      </c>
      <c r="AW36" s="13">
        <f t="shared" si="10"/>
        <v>64.469797142522211</v>
      </c>
      <c r="AX36" s="13">
        <f t="shared" si="11"/>
        <v>98.721010170115406</v>
      </c>
      <c r="BA36" s="33">
        <f t="shared" si="12"/>
        <v>4.3462272218339404</v>
      </c>
      <c r="BC36">
        <v>32</v>
      </c>
      <c r="BD36">
        <v>0</v>
      </c>
      <c r="BE36">
        <v>0</v>
      </c>
    </row>
    <row r="37" spans="1:57">
      <c r="A37">
        <v>2042</v>
      </c>
      <c r="C37" s="13">
        <f t="shared" si="20"/>
        <v>61.385171324108633</v>
      </c>
      <c r="D37" s="84">
        <f t="shared" si="13"/>
        <v>61.746946210354167</v>
      </c>
      <c r="E37" s="84">
        <f>J37-SUM(F$7:F37)</f>
        <v>2.9434503374505412</v>
      </c>
      <c r="F37" s="13">
        <f t="shared" si="14"/>
        <v>9.5466944998162745E-2</v>
      </c>
      <c r="G37" s="13">
        <f t="shared" si="15"/>
        <v>0.4773347249908137</v>
      </c>
      <c r="H37" s="13">
        <f t="shared" si="16"/>
        <v>0.4773347249908137</v>
      </c>
      <c r="I37" s="89">
        <f t="shared" ref="I37:I50" si="22">I36</f>
        <v>0.2</v>
      </c>
      <c r="J37" s="13">
        <f t="shared" si="17"/>
        <v>5.0326623517844187</v>
      </c>
      <c r="K37" s="13"/>
      <c r="L37" s="84">
        <f t="shared" si="19"/>
        <v>64.578853840990618</v>
      </c>
      <c r="M37" s="13">
        <f t="shared" si="6"/>
        <v>64.625332953094457</v>
      </c>
      <c r="N37" s="13">
        <f t="shared" si="7"/>
        <v>2042.4299421459566</v>
      </c>
      <c r="O37" s="13">
        <f t="shared" si="8"/>
        <v>2016.8379309949889</v>
      </c>
      <c r="P37" s="13">
        <f t="shared" si="21"/>
        <v>0.74320041749724408</v>
      </c>
      <c r="R37">
        <v>2042</v>
      </c>
      <c r="S37" s="13">
        <v>62.96511103620103</v>
      </c>
      <c r="T37" s="13">
        <v>61.385171324108633</v>
      </c>
      <c r="U37" s="13">
        <v>60.663797048588719</v>
      </c>
      <c r="W37">
        <v>2042</v>
      </c>
      <c r="X37" s="12">
        <v>39.3550091373749</v>
      </c>
      <c r="Y37" s="13">
        <f t="shared" si="18"/>
        <v>61.385171324108633</v>
      </c>
      <c r="Z37" s="12">
        <v>64.81352566383336</v>
      </c>
      <c r="AB37" s="13">
        <f t="shared" si="0"/>
        <v>64.625332953094457</v>
      </c>
      <c r="AE37" s="33">
        <f t="shared" si="2"/>
        <v>5.1503240072188179</v>
      </c>
      <c r="AG37">
        <v>33</v>
      </c>
      <c r="AH37">
        <v>0</v>
      </c>
      <c r="AI37">
        <v>0</v>
      </c>
      <c r="AV37" s="13">
        <f t="shared" si="9"/>
        <v>61.385171324108633</v>
      </c>
      <c r="AW37" s="13">
        <f t="shared" si="10"/>
        <v>64.625332953094457</v>
      </c>
      <c r="AX37" s="13">
        <f t="shared" si="11"/>
        <v>99.094328373022464</v>
      </c>
      <c r="BA37" s="33">
        <f t="shared" si="12"/>
        <v>4.6951506896132322</v>
      </c>
      <c r="BC37">
        <v>33</v>
      </c>
      <c r="BD37">
        <v>0</v>
      </c>
      <c r="BE37">
        <v>0</v>
      </c>
    </row>
    <row r="38" spans="1:57">
      <c r="A38">
        <v>2043</v>
      </c>
      <c r="C38" s="13">
        <f t="shared" si="20"/>
        <v>62.151259286574664</v>
      </c>
      <c r="D38" s="84">
        <f t="shared" si="13"/>
        <v>62.447313998324859</v>
      </c>
      <c r="E38" s="84">
        <f>J38-SUM(F$7:F38)</f>
        <v>3.1971770864178692</v>
      </c>
      <c r="F38" s="13">
        <f t="shared" si="14"/>
        <v>9.5466944998162745E-2</v>
      </c>
      <c r="G38" s="13">
        <f t="shared" si="15"/>
        <v>0.4773347249908137</v>
      </c>
      <c r="H38" s="13">
        <f t="shared" si="16"/>
        <v>0.4773347249908137</v>
      </c>
      <c r="I38" s="89">
        <f t="shared" si="22"/>
        <v>0.2</v>
      </c>
      <c r="J38" s="13">
        <f t="shared" si="17"/>
        <v>5.3818560457499096</v>
      </c>
      <c r="K38" s="13"/>
      <c r="L38" s="84">
        <f t="shared" si="19"/>
        <v>64.702415633412031</v>
      </c>
      <c r="M38" s="13">
        <f t="shared" si="6"/>
        <v>64.735429340630006</v>
      </c>
      <c r="N38" s="13">
        <f t="shared" si="7"/>
        <v>2043.4299421459566</v>
      </c>
      <c r="O38" s="13">
        <f t="shared" si="8"/>
        <v>2016.8379309949889</v>
      </c>
      <c r="P38" s="13">
        <f t="shared" si="21"/>
        <v>0.74320041749724408</v>
      </c>
      <c r="R38">
        <v>2043</v>
      </c>
      <c r="S38" s="13">
        <v>63.431040685381575</v>
      </c>
      <c r="T38" s="13">
        <v>62.151259286574664</v>
      </c>
      <c r="U38" s="13">
        <v>61.530908610545239</v>
      </c>
      <c r="W38">
        <v>2043</v>
      </c>
      <c r="X38" s="12">
        <v>41.570032302823655</v>
      </c>
      <c r="Y38" s="13">
        <f t="shared" si="18"/>
        <v>62.151259286574664</v>
      </c>
      <c r="Z38" s="12">
        <v>64.868359186555566</v>
      </c>
      <c r="AB38" s="13">
        <f t="shared" si="0"/>
        <v>64.735429340630006</v>
      </c>
      <c r="AE38" s="33">
        <f t="shared" si="2"/>
        <v>5.4999555659527735</v>
      </c>
      <c r="AG38">
        <v>34</v>
      </c>
      <c r="AH38">
        <v>0</v>
      </c>
      <c r="AI38">
        <v>0</v>
      </c>
      <c r="AV38" s="13">
        <f t="shared" si="9"/>
        <v>62.151259286574664</v>
      </c>
      <c r="AW38" s="13">
        <f t="shared" si="10"/>
        <v>64.735429340630006</v>
      </c>
      <c r="AX38" s="13">
        <f t="shared" si="11"/>
        <v>99.359387611158581</v>
      </c>
      <c r="BA38" s="33">
        <f t="shared" si="12"/>
        <v>5.0440741573925241</v>
      </c>
      <c r="BC38">
        <v>34</v>
      </c>
      <c r="BD38">
        <v>0</v>
      </c>
      <c r="BE38">
        <v>0</v>
      </c>
    </row>
    <row r="39" spans="1:57">
      <c r="A39">
        <v>2044</v>
      </c>
      <c r="C39" s="13">
        <f t="shared" si="20"/>
        <v>62.762611653752074</v>
      </c>
      <c r="D39" s="84">
        <f t="shared" si="13"/>
        <v>63.002023438523345</v>
      </c>
      <c r="E39" s="84">
        <f>J39-SUM(F$7:F39)</f>
        <v>3.4510318947826675</v>
      </c>
      <c r="F39" s="13">
        <f t="shared" si="14"/>
        <v>9.5466944998162745E-2</v>
      </c>
      <c r="G39" s="13">
        <f t="shared" si="15"/>
        <v>0.4773347249908137</v>
      </c>
      <c r="H39" s="13">
        <f t="shared" si="16"/>
        <v>0.4773347249908137</v>
      </c>
      <c r="I39" s="89">
        <f t="shared" si="22"/>
        <v>0.2</v>
      </c>
      <c r="J39" s="13">
        <f t="shared" si="17"/>
        <v>5.7311777991128707</v>
      </c>
      <c r="K39" s="13"/>
      <c r="L39" s="84">
        <f t="shared" si="19"/>
        <v>64.789869925217488</v>
      </c>
      <c r="M39" s="13">
        <f t="shared" si="6"/>
        <v>64.813267244797558</v>
      </c>
      <c r="N39" s="13">
        <f t="shared" si="7"/>
        <v>2044.4299421459566</v>
      </c>
      <c r="O39" s="13">
        <f t="shared" si="8"/>
        <v>2016.8379309949889</v>
      </c>
      <c r="P39" s="13">
        <f t="shared" si="21"/>
        <v>0.74320041749724408</v>
      </c>
      <c r="R39">
        <v>2044</v>
      </c>
      <c r="S39" s="13">
        <v>63.793027958073267</v>
      </c>
      <c r="T39" s="13">
        <v>62.762611653752074</v>
      </c>
      <c r="U39" s="13">
        <v>62.234537158023556</v>
      </c>
      <c r="W39">
        <v>2044</v>
      </c>
      <c r="X39" s="12">
        <v>43.704762778133905</v>
      </c>
      <c r="Y39" s="13">
        <f t="shared" si="18"/>
        <v>62.762611653752074</v>
      </c>
      <c r="Z39" s="12">
        <v>64.9071072996135</v>
      </c>
      <c r="AB39" s="13">
        <f t="shared" si="0"/>
        <v>64.813267244797558</v>
      </c>
      <c r="AE39" s="33">
        <f t="shared" si="2"/>
        <v>5.8495871246867308</v>
      </c>
      <c r="AG39">
        <v>35</v>
      </c>
      <c r="AH39">
        <v>0</v>
      </c>
      <c r="AI39">
        <v>0</v>
      </c>
      <c r="AV39" s="13">
        <f t="shared" si="9"/>
        <v>62.762611653752074</v>
      </c>
      <c r="AW39" s="13">
        <f t="shared" si="10"/>
        <v>64.813267244797558</v>
      </c>
      <c r="AX39" s="13">
        <f t="shared" si="11"/>
        <v>99.547227481170111</v>
      </c>
      <c r="BA39" s="33">
        <f t="shared" si="12"/>
        <v>5.3929976251718141</v>
      </c>
      <c r="BC39">
        <v>35</v>
      </c>
      <c r="BD39">
        <v>0</v>
      </c>
      <c r="BE39">
        <v>0</v>
      </c>
    </row>
    <row r="40" spans="1:57">
      <c r="A40">
        <v>2045</v>
      </c>
      <c r="C40" s="13">
        <f t="shared" si="20"/>
        <v>63.247528770985959</v>
      </c>
      <c r="D40" s="84">
        <f t="shared" si="13"/>
        <v>63.439343321380392</v>
      </c>
      <c r="E40" s="84">
        <f>J40-SUM(F$7:F40)</f>
        <v>3.7049775455759546</v>
      </c>
      <c r="F40" s="13">
        <f t="shared" si="14"/>
        <v>9.5466944998162745E-2</v>
      </c>
      <c r="G40" s="13">
        <f t="shared" si="15"/>
        <v>0.4773347249908137</v>
      </c>
      <c r="H40" s="13">
        <f t="shared" si="16"/>
        <v>0.4773347249908137</v>
      </c>
      <c r="I40" s="89">
        <f t="shared" si="22"/>
        <v>0.2</v>
      </c>
      <c r="J40" s="13">
        <f t="shared" si="17"/>
        <v>6.0805903949043207</v>
      </c>
      <c r="K40" s="13"/>
      <c r="L40" s="84">
        <f t="shared" si="19"/>
        <v>64.851695448675372</v>
      </c>
      <c r="M40" s="13">
        <f t="shared" si="6"/>
        <v>64.868251486015907</v>
      </c>
      <c r="N40" s="13">
        <f t="shared" si="7"/>
        <v>2045.4299421459566</v>
      </c>
      <c r="O40" s="13">
        <f t="shared" si="8"/>
        <v>2016.8379309949889</v>
      </c>
      <c r="P40" s="13">
        <f t="shared" si="21"/>
        <v>0.74320041749724408</v>
      </c>
      <c r="R40">
        <v>2045</v>
      </c>
      <c r="S40" s="13">
        <v>64.073131841104797</v>
      </c>
      <c r="T40" s="13">
        <v>63.247528770985959</v>
      </c>
      <c r="U40" s="13">
        <v>62.801843740389913</v>
      </c>
      <c r="W40">
        <v>2045</v>
      </c>
      <c r="X40" s="12">
        <v>45.7410847543904</v>
      </c>
      <c r="Y40" s="13">
        <f t="shared" si="18"/>
        <v>63.247528770985959</v>
      </c>
      <c r="Z40" s="12">
        <v>64.934469275083671</v>
      </c>
      <c r="AB40" s="13">
        <f t="shared" si="0"/>
        <v>64.868251486015907</v>
      </c>
      <c r="AE40" s="33">
        <f t="shared" si="2"/>
        <v>6.1992186834206882</v>
      </c>
      <c r="AG40">
        <v>36</v>
      </c>
      <c r="AH40">
        <v>0</v>
      </c>
      <c r="AI40">
        <v>0</v>
      </c>
      <c r="AV40" s="13">
        <f t="shared" si="9"/>
        <v>63.247528770985959</v>
      </c>
      <c r="AW40" s="13">
        <f t="shared" si="10"/>
        <v>64.868251486015907</v>
      </c>
      <c r="AX40" s="13">
        <f t="shared" si="11"/>
        <v>99.68016638410289</v>
      </c>
      <c r="BA40" s="33">
        <f t="shared" si="12"/>
        <v>5.741921092951106</v>
      </c>
      <c r="BC40">
        <v>36</v>
      </c>
      <c r="BD40">
        <v>0</v>
      </c>
      <c r="BE40">
        <v>0</v>
      </c>
    </row>
    <row r="41" spans="1:57">
      <c r="A41">
        <v>2046</v>
      </c>
      <c r="C41" s="13">
        <f t="shared" si="20"/>
        <v>63.630299305224682</v>
      </c>
      <c r="D41" s="84">
        <f t="shared" si="13"/>
        <v>63.782868195018509</v>
      </c>
      <c r="E41" s="84">
        <f>J41-SUM(F$7:F41)</f>
        <v>3.9589875193723612</v>
      </c>
      <c r="F41" s="13">
        <f t="shared" si="14"/>
        <v>9.5466944998162745E-2</v>
      </c>
      <c r="G41" s="13">
        <f t="shared" si="15"/>
        <v>0.4773347249908137</v>
      </c>
      <c r="H41" s="13">
        <f t="shared" si="16"/>
        <v>0.4773347249908137</v>
      </c>
      <c r="I41" s="89">
        <f t="shared" si="22"/>
        <v>0.2</v>
      </c>
      <c r="J41" s="13">
        <f t="shared" si="17"/>
        <v>6.4300673136988902</v>
      </c>
      <c r="K41" s="13"/>
      <c r="L41" s="84">
        <f t="shared" si="19"/>
        <v>64.895366455712121</v>
      </c>
      <c r="M41" s="13">
        <f t="shared" si="6"/>
        <v>64.907068601549511</v>
      </c>
      <c r="N41" s="13">
        <f t="shared" si="7"/>
        <v>2046.4299421459566</v>
      </c>
      <c r="O41" s="13">
        <f t="shared" si="8"/>
        <v>2016.8379309949889</v>
      </c>
      <c r="P41" s="13">
        <f t="shared" si="21"/>
        <v>0.74320041749724408</v>
      </c>
      <c r="R41">
        <v>2046</v>
      </c>
      <c r="S41" s="13">
        <v>64.289199197268445</v>
      </c>
      <c r="T41" s="13">
        <v>63.630299305224682</v>
      </c>
      <c r="U41" s="13">
        <v>63.256858241974797</v>
      </c>
      <c r="W41">
        <v>2046</v>
      </c>
      <c r="X41" s="12">
        <v>47.664744865617045</v>
      </c>
      <c r="Y41" s="13">
        <f t="shared" si="18"/>
        <v>63.630299305224682</v>
      </c>
      <c r="Z41" s="12">
        <v>64.953781254252675</v>
      </c>
      <c r="AB41" s="13">
        <f t="shared" si="0"/>
        <v>64.907068601549511</v>
      </c>
      <c r="AE41" s="33">
        <f t="shared" si="2"/>
        <v>6.5488502421546437</v>
      </c>
      <c r="AG41">
        <v>37</v>
      </c>
      <c r="AH41">
        <v>0</v>
      </c>
      <c r="AI41">
        <v>0</v>
      </c>
      <c r="AV41" s="13">
        <f t="shared" si="9"/>
        <v>63.630299305224682</v>
      </c>
      <c r="AW41" s="13">
        <f t="shared" si="10"/>
        <v>64.907068601549511</v>
      </c>
      <c r="AX41" s="13">
        <f t="shared" si="11"/>
        <v>99.774161539840406</v>
      </c>
      <c r="BA41" s="33">
        <f t="shared" si="12"/>
        <v>6.0908445607303978</v>
      </c>
      <c r="BC41">
        <v>37</v>
      </c>
      <c r="BD41">
        <v>0</v>
      </c>
      <c r="BE41">
        <v>0</v>
      </c>
    </row>
    <row r="42" spans="1:57">
      <c r="A42">
        <v>2047</v>
      </c>
      <c r="C42" s="13">
        <f t="shared" si="20"/>
        <v>63.931281572541145</v>
      </c>
      <c r="D42" s="84">
        <f t="shared" si="13"/>
        <v>64.051950439943184</v>
      </c>
      <c r="E42" s="84">
        <f>J42-SUM(F$7:F42)</f>
        <v>4.2130429792653628</v>
      </c>
      <c r="F42" s="13">
        <f t="shared" si="14"/>
        <v>9.5466944998162745E-2</v>
      </c>
      <c r="G42" s="13">
        <f t="shared" si="15"/>
        <v>0.4773347249908137</v>
      </c>
      <c r="H42" s="13">
        <f t="shared" si="16"/>
        <v>0.4773347249908137</v>
      </c>
      <c r="I42" s="89">
        <f t="shared" si="22"/>
        <v>0.2</v>
      </c>
      <c r="J42" s="13">
        <f t="shared" si="17"/>
        <v>6.7795897185900547</v>
      </c>
      <c r="K42" s="13"/>
      <c r="L42" s="84">
        <f t="shared" si="19"/>
        <v>64.926195719247374</v>
      </c>
      <c r="M42" s="13">
        <f t="shared" si="6"/>
        <v>64.934460570383877</v>
      </c>
      <c r="N42" s="13">
        <f t="shared" si="7"/>
        <v>2047.4299421459566</v>
      </c>
      <c r="O42" s="13">
        <f t="shared" si="8"/>
        <v>2016.8379309949889</v>
      </c>
      <c r="P42" s="13">
        <f t="shared" si="21"/>
        <v>0.74320041749724408</v>
      </c>
      <c r="R42">
        <v>2047</v>
      </c>
      <c r="S42" s="13">
        <v>64.455468463245978</v>
      </c>
      <c r="T42" s="13">
        <v>63.931281572541145</v>
      </c>
      <c r="U42" s="13">
        <v>63.620276211623739</v>
      </c>
      <c r="W42">
        <v>2047</v>
      </c>
      <c r="X42" s="12">
        <v>49.465451271728782</v>
      </c>
      <c r="Y42" s="13">
        <f t="shared" si="18"/>
        <v>63.931281572541145</v>
      </c>
      <c r="Z42" s="12">
        <v>64.967359011074237</v>
      </c>
      <c r="AB42" s="13">
        <f t="shared" si="0"/>
        <v>64.934460570383877</v>
      </c>
      <c r="AE42" s="33">
        <f t="shared" si="2"/>
        <v>6.8984818008886011</v>
      </c>
      <c r="AG42">
        <v>38</v>
      </c>
      <c r="AH42">
        <v>0</v>
      </c>
      <c r="AI42">
        <v>0</v>
      </c>
      <c r="AV42" s="13">
        <f t="shared" si="9"/>
        <v>63.931281572541145</v>
      </c>
      <c r="AW42" s="13">
        <f t="shared" si="10"/>
        <v>64.934460570383877</v>
      </c>
      <c r="AX42" s="13">
        <f t="shared" si="11"/>
        <v>99.840576858771826</v>
      </c>
      <c r="BA42" s="33">
        <f t="shared" si="12"/>
        <v>6.4397680285096897</v>
      </c>
      <c r="BC42">
        <v>38</v>
      </c>
      <c r="BD42">
        <v>0</v>
      </c>
      <c r="BE42">
        <v>0</v>
      </c>
    </row>
    <row r="43" spans="1:57">
      <c r="A43">
        <v>2048</v>
      </c>
      <c r="C43" s="13">
        <f t="shared" si="20"/>
        <v>64.167235838941167</v>
      </c>
      <c r="D43" s="84">
        <f t="shared" si="13"/>
        <v>64.262255793357212</v>
      </c>
      <c r="E43" s="84">
        <f>J43-SUM(F$7:F43)</f>
        <v>4.467130575159711</v>
      </c>
      <c r="F43" s="13">
        <f t="shared" si="14"/>
        <v>9.5466944998162745E-2</v>
      </c>
      <c r="G43" s="13">
        <f t="shared" si="15"/>
        <v>0.4773347249908137</v>
      </c>
      <c r="H43" s="13">
        <f t="shared" si="16"/>
        <v>0.4773347249908137</v>
      </c>
      <c r="I43" s="89">
        <f t="shared" si="22"/>
        <v>0.2</v>
      </c>
      <c r="J43" s="13">
        <f t="shared" si="17"/>
        <v>7.1291442594825662</v>
      </c>
      <c r="K43" s="13"/>
      <c r="L43" s="84">
        <f t="shared" si="19"/>
        <v>64.947950395037239</v>
      </c>
      <c r="M43" s="13">
        <f t="shared" si="6"/>
        <v>64.953784375813754</v>
      </c>
      <c r="N43" s="13">
        <f t="shared" si="7"/>
        <v>2048.4299421459564</v>
      </c>
      <c r="O43" s="13">
        <f t="shared" si="8"/>
        <v>2016.8379309949889</v>
      </c>
      <c r="P43" s="13">
        <f t="shared" si="21"/>
        <v>0.74320041749724408</v>
      </c>
      <c r="R43">
        <v>2048</v>
      </c>
      <c r="S43" s="13">
        <v>64.58317961235079</v>
      </c>
      <c r="T43" s="13">
        <v>64.167235838941167</v>
      </c>
      <c r="U43" s="13">
        <v>63.909560369574031</v>
      </c>
      <c r="W43">
        <v>2048</v>
      </c>
      <c r="X43" s="12">
        <v>51.13674725241286</v>
      </c>
      <c r="Y43" s="13">
        <f t="shared" si="18"/>
        <v>64.167235838941167</v>
      </c>
      <c r="Z43" s="12">
        <v>64.976840888828193</v>
      </c>
      <c r="AB43" s="13">
        <f t="shared" si="0"/>
        <v>64.953784375813754</v>
      </c>
      <c r="AE43" s="33">
        <f t="shared" si="2"/>
        <v>7.2481133596225584</v>
      </c>
      <c r="AG43">
        <v>39</v>
      </c>
      <c r="AH43">
        <v>0</v>
      </c>
      <c r="AI43">
        <v>0</v>
      </c>
      <c r="AV43" s="13">
        <f t="shared" si="9"/>
        <v>64.167235838941167</v>
      </c>
      <c r="AW43" s="13">
        <f t="shared" si="10"/>
        <v>64.953784375813754</v>
      </c>
      <c r="AX43" s="13">
        <f t="shared" si="11"/>
        <v>99.887482567985899</v>
      </c>
      <c r="BA43" s="33">
        <f t="shared" si="12"/>
        <v>6.7886914962889797</v>
      </c>
      <c r="BC43">
        <v>39</v>
      </c>
      <c r="BD43">
        <v>0</v>
      </c>
      <c r="BE43">
        <v>0</v>
      </c>
    </row>
    <row r="44" spans="1:57">
      <c r="A44">
        <v>2049</v>
      </c>
      <c r="C44" s="13">
        <f t="shared" si="20"/>
        <v>64.351772233130887</v>
      </c>
      <c r="D44" s="84">
        <f t="shared" si="13"/>
        <v>64.426339950025238</v>
      </c>
      <c r="E44" s="84">
        <f>J44-SUM(F$7:F44)</f>
        <v>4.7212408604666534</v>
      </c>
      <c r="F44" s="13">
        <f t="shared" si="14"/>
        <v>9.5466944998162745E-2</v>
      </c>
      <c r="G44" s="13">
        <f t="shared" si="15"/>
        <v>0.4773347249908137</v>
      </c>
      <c r="H44" s="13">
        <f t="shared" si="16"/>
        <v>0.4773347249908137</v>
      </c>
      <c r="I44" s="89">
        <f t="shared" si="22"/>
        <v>0.2</v>
      </c>
      <c r="J44" s="13">
        <f t="shared" si="17"/>
        <v>7.478721489787671</v>
      </c>
      <c r="K44" s="13"/>
      <c r="L44" s="84">
        <f t="shared" si="19"/>
        <v>64.963297082810826</v>
      </c>
      <c r="M44" s="13">
        <f t="shared" si="6"/>
        <v>64.967413562473823</v>
      </c>
      <c r="N44" s="13">
        <f t="shared" si="7"/>
        <v>2049.4299421459564</v>
      </c>
      <c r="O44" s="13">
        <f t="shared" si="8"/>
        <v>2016.8379309949889</v>
      </c>
      <c r="P44" s="13">
        <f t="shared" si="21"/>
        <v>0.74320041749724408</v>
      </c>
      <c r="R44">
        <v>2049</v>
      </c>
      <c r="S44" s="13">
        <v>64.681134692000853</v>
      </c>
      <c r="T44" s="13">
        <v>64.351772233130887</v>
      </c>
      <c r="U44" s="13">
        <v>64.139215586479722</v>
      </c>
      <c r="W44">
        <v>2049</v>
      </c>
      <c r="X44" s="12">
        <v>52.675707855081008</v>
      </c>
      <c r="Y44" s="13">
        <f t="shared" si="18"/>
        <v>64.351772233130887</v>
      </c>
      <c r="Z44" s="12">
        <v>64.983384748624132</v>
      </c>
      <c r="AB44" s="13">
        <f t="shared" si="0"/>
        <v>64.967413562473823</v>
      </c>
      <c r="AE44" s="33">
        <f t="shared" si="2"/>
        <v>7.597744918356514</v>
      </c>
      <c r="AG44">
        <v>40</v>
      </c>
      <c r="AH44">
        <v>0</v>
      </c>
      <c r="AI44">
        <v>0</v>
      </c>
      <c r="AV44" s="13">
        <f t="shared" si="9"/>
        <v>64.351772233130887</v>
      </c>
      <c r="AW44" s="13">
        <f t="shared" si="10"/>
        <v>64.967413562473823</v>
      </c>
      <c r="AX44" s="13">
        <f t="shared" si="11"/>
        <v>99.920598586419942</v>
      </c>
      <c r="BA44" s="33">
        <f t="shared" si="12"/>
        <v>7.1376149640682716</v>
      </c>
      <c r="BC44">
        <v>40</v>
      </c>
      <c r="BD44">
        <v>0</v>
      </c>
      <c r="BE44">
        <v>0</v>
      </c>
    </row>
    <row r="45" spans="1:57">
      <c r="A45">
        <v>2050</v>
      </c>
      <c r="C45" s="13">
        <f t="shared" si="20"/>
        <v>64.495827163641977</v>
      </c>
      <c r="D45" s="84">
        <f t="shared" si="13"/>
        <v>64.554189869540153</v>
      </c>
      <c r="E45" s="84">
        <f>J45-SUM(F$7:F45)</f>
        <v>4.9753671581496466</v>
      </c>
      <c r="F45" s="13">
        <f t="shared" si="14"/>
        <v>9.5466944998162745E-2</v>
      </c>
      <c r="G45" s="13">
        <f t="shared" si="15"/>
        <v>0.4773347249908137</v>
      </c>
      <c r="H45" s="13">
        <f t="shared" si="16"/>
        <v>0.4773347249908137</v>
      </c>
      <c r="I45" s="89">
        <f t="shared" si="22"/>
        <v>0.2</v>
      </c>
      <c r="J45" s="13">
        <f t="shared" si="17"/>
        <v>7.8283147324688276</v>
      </c>
      <c r="K45" s="13"/>
      <c r="L45" s="84">
        <f t="shared" si="19"/>
        <v>64.974121057695939</v>
      </c>
      <c r="M45" s="13">
        <f t="shared" si="6"/>
        <v>64.977024864965273</v>
      </c>
      <c r="N45" s="13">
        <f t="shared" si="7"/>
        <v>2050.4299421459564</v>
      </c>
      <c r="O45" s="13">
        <f t="shared" si="8"/>
        <v>2016.8379309949889</v>
      </c>
      <c r="P45" s="13">
        <f t="shared" si="21"/>
        <v>0.74320041749724408</v>
      </c>
      <c r="R45">
        <v>2050</v>
      </c>
      <c r="S45" s="13">
        <v>64.755686902617043</v>
      </c>
      <c r="T45" s="13">
        <v>64.495827163641977</v>
      </c>
      <c r="U45" s="13">
        <v>64.321144186173242</v>
      </c>
      <c r="W45">
        <v>2050</v>
      </c>
      <c r="X45" s="12">
        <v>54.082511950986209</v>
      </c>
      <c r="Y45" s="13">
        <f t="shared" si="18"/>
        <v>64.495827163641977</v>
      </c>
      <c r="Z45" s="12">
        <v>64.987808274580132</v>
      </c>
      <c r="AB45" s="13">
        <f t="shared" si="0"/>
        <v>64.977024864965273</v>
      </c>
      <c r="AE45" s="33">
        <f t="shared" si="2"/>
        <v>7.9473764770904713</v>
      </c>
      <c r="AG45">
        <v>41</v>
      </c>
      <c r="AH45">
        <v>0</v>
      </c>
      <c r="AI45">
        <v>0</v>
      </c>
      <c r="AV45" s="13">
        <f t="shared" si="9"/>
        <v>64.495827163641977</v>
      </c>
      <c r="AW45" s="13">
        <f t="shared" si="10"/>
        <v>64.977024864965273</v>
      </c>
      <c r="AX45" s="13">
        <f t="shared" si="11"/>
        <v>99.94397339819939</v>
      </c>
      <c r="BA45" s="33">
        <f t="shared" si="12"/>
        <v>7.4865384318475634</v>
      </c>
      <c r="BC45">
        <v>41</v>
      </c>
      <c r="BD45">
        <v>0</v>
      </c>
      <c r="BE45">
        <v>0</v>
      </c>
    </row>
    <row r="46" spans="1:57">
      <c r="A46">
        <v>2051</v>
      </c>
      <c r="C46" s="20">
        <f t="shared" si="20"/>
        <v>64.590118786079898</v>
      </c>
      <c r="D46" s="84">
        <f t="shared" si="13"/>
        <v>64.653703303323496</v>
      </c>
      <c r="E46" s="84">
        <f>J46-SUM(F$7:F46)</f>
        <v>5.2295047524442131</v>
      </c>
      <c r="F46" s="13">
        <f t="shared" si="14"/>
        <v>9.5466944998162745E-2</v>
      </c>
      <c r="G46" s="13">
        <f t="shared" si="15"/>
        <v>0.4773347249908137</v>
      </c>
      <c r="H46" s="13">
        <f t="shared" si="16"/>
        <v>0.4773347249908137</v>
      </c>
      <c r="I46" s="89">
        <f t="shared" si="22"/>
        <v>0.2</v>
      </c>
      <c r="J46" s="13">
        <f t="shared" si="17"/>
        <v>8.1779192717615565</v>
      </c>
      <c r="K46" s="13"/>
      <c r="L46" s="84">
        <f t="shared" si="19"/>
        <v>64.981754061068628</v>
      </c>
      <c r="M46" s="13">
        <f t="shared" si="6"/>
        <v>64.983802040417316</v>
      </c>
      <c r="N46" s="13">
        <f t="shared" si="7"/>
        <v>2051.4299421459564</v>
      </c>
      <c r="O46" s="13">
        <f t="shared" si="8"/>
        <v>2016.8379309949889</v>
      </c>
      <c r="P46" s="13">
        <f t="shared" si="21"/>
        <v>0.74320041749724408</v>
      </c>
      <c r="AB46" s="13">
        <f t="shared" si="0"/>
        <v>64.983802040417316</v>
      </c>
      <c r="AE46" s="33">
        <f t="shared" si="2"/>
        <v>8.2970080358244296</v>
      </c>
      <c r="AG46">
        <v>42</v>
      </c>
      <c r="AH46">
        <v>0</v>
      </c>
      <c r="AI46">
        <v>0</v>
      </c>
      <c r="AV46" s="13">
        <f t="shared" si="9"/>
        <v>64.590118786079898</v>
      </c>
      <c r="AW46" s="13">
        <f t="shared" si="10"/>
        <v>64.983802040417316</v>
      </c>
      <c r="AX46" s="13">
        <f t="shared" si="11"/>
        <v>99.960469671638805</v>
      </c>
      <c r="BA46" s="33">
        <f t="shared" si="12"/>
        <v>7.8354618996268552</v>
      </c>
      <c r="BC46">
        <v>42</v>
      </c>
      <c r="BD46">
        <v>0</v>
      </c>
      <c r="BE46">
        <v>0</v>
      </c>
    </row>
    <row r="47" spans="1:57">
      <c r="A47">
        <v>2052</v>
      </c>
      <c r="C47" s="20">
        <f t="shared" si="20"/>
        <v>64.650265370555687</v>
      </c>
      <c r="D47" s="84">
        <f t="shared" si="13"/>
        <v>64.731098080708477</v>
      </c>
      <c r="E47" s="84">
        <f>J47-SUM(F$7:F47)</f>
        <v>5.48365031459549</v>
      </c>
      <c r="F47" s="13">
        <f t="shared" si="14"/>
        <v>9.5466944998162745E-2</v>
      </c>
      <c r="G47" s="13">
        <f t="shared" si="15"/>
        <v>0.4773347249908137</v>
      </c>
      <c r="H47" s="13">
        <f t="shared" si="16"/>
        <v>0.4773347249908137</v>
      </c>
      <c r="I47" s="89">
        <f t="shared" si="22"/>
        <v>0.2</v>
      </c>
      <c r="J47" s="13">
        <f t="shared" si="17"/>
        <v>8.5275317789109959</v>
      </c>
      <c r="K47" s="13"/>
      <c r="L47" s="84">
        <f t="shared" si="19"/>
        <v>64.98713625555132</v>
      </c>
      <c r="M47" s="13">
        <f t="shared" si="6"/>
        <v>64.988580444809557</v>
      </c>
      <c r="N47" s="13">
        <f t="shared" si="7"/>
        <v>2052.4299421459564</v>
      </c>
      <c r="O47" s="13">
        <f t="shared" si="8"/>
        <v>2016.8379309949889</v>
      </c>
      <c r="P47" s="13">
        <f t="shared" si="21"/>
        <v>0.74320041749724408</v>
      </c>
      <c r="AB47" s="13">
        <f t="shared" si="0"/>
        <v>64.988580444809557</v>
      </c>
      <c r="AE47" s="33">
        <f t="shared" si="2"/>
        <v>8.6466395945583834</v>
      </c>
      <c r="AG47">
        <v>43</v>
      </c>
      <c r="AH47">
        <v>0</v>
      </c>
      <c r="AI47">
        <v>0</v>
      </c>
      <c r="AV47" s="13">
        <f t="shared" si="9"/>
        <v>64.650265370555687</v>
      </c>
      <c r="AW47" s="13">
        <f t="shared" si="10"/>
        <v>64.988580444809557</v>
      </c>
      <c r="AX47" s="13">
        <f t="shared" si="11"/>
        <v>99.972110196373094</v>
      </c>
      <c r="BA47" s="33">
        <f t="shared" si="12"/>
        <v>8.1843853674061471</v>
      </c>
      <c r="BC47">
        <v>43</v>
      </c>
      <c r="BD47">
        <v>0</v>
      </c>
      <c r="BE47">
        <v>0</v>
      </c>
    </row>
    <row r="48" spans="1:57">
      <c r="A48">
        <v>2053</v>
      </c>
      <c r="C48" s="20">
        <f t="shared" si="20"/>
        <v>64.687586273977431</v>
      </c>
      <c r="D48" s="84">
        <f t="shared" si="13"/>
        <v>64.791252708596119</v>
      </c>
      <c r="E48" s="84">
        <f>J48-SUM(F$7:F48)</f>
        <v>5.7378014958276484</v>
      </c>
      <c r="F48" s="13">
        <f t="shared" si="14"/>
        <v>9.5466944998162745E-2</v>
      </c>
      <c r="G48" s="13">
        <f t="shared" si="15"/>
        <v>0.4773347249908137</v>
      </c>
      <c r="H48" s="13">
        <f t="shared" si="16"/>
        <v>0.4773347249908137</v>
      </c>
      <c r="I48" s="89">
        <f t="shared" si="22"/>
        <v>0.2</v>
      </c>
      <c r="J48" s="13">
        <f t="shared" si="17"/>
        <v>8.8771499051413176</v>
      </c>
      <c r="K48" s="13"/>
      <c r="L48" s="84">
        <f t="shared" si="19"/>
        <v>64.990931080643904</v>
      </c>
      <c r="M48" s="13">
        <f t="shared" si="6"/>
        <v>64.991949392677157</v>
      </c>
      <c r="N48" s="13">
        <f t="shared" si="7"/>
        <v>2053.4299421459564</v>
      </c>
      <c r="O48" s="13">
        <f t="shared" si="8"/>
        <v>2016.8379309949889</v>
      </c>
      <c r="P48" s="13">
        <f t="shared" si="21"/>
        <v>0.74320041749724408</v>
      </c>
      <c r="AB48" s="13">
        <f t="shared" si="0"/>
        <v>64.991949392677157</v>
      </c>
      <c r="AE48" s="33">
        <f t="shared" si="2"/>
        <v>8.9962711532923407</v>
      </c>
      <c r="AG48">
        <v>44</v>
      </c>
      <c r="AH48">
        <v>0</v>
      </c>
      <c r="AI48">
        <v>0</v>
      </c>
      <c r="AV48" s="13">
        <f t="shared" si="9"/>
        <v>64.687586273977431</v>
      </c>
      <c r="AW48" s="13">
        <f t="shared" si="10"/>
        <v>64.991949392677157</v>
      </c>
      <c r="AX48" s="13">
        <f t="shared" si="11"/>
        <v>99.980323601999473</v>
      </c>
      <c r="BA48" s="33">
        <f t="shared" si="12"/>
        <v>8.5333088351854371</v>
      </c>
      <c r="BC48">
        <v>44</v>
      </c>
      <c r="BD48">
        <v>0</v>
      </c>
      <c r="BE48">
        <v>0</v>
      </c>
    </row>
    <row r="49" spans="1:57">
      <c r="A49">
        <v>2054</v>
      </c>
      <c r="C49" s="20">
        <f t="shared" si="20"/>
        <v>64.71426555486488</v>
      </c>
      <c r="D49" s="84">
        <f t="shared" si="13"/>
        <v>64.71199179700865</v>
      </c>
      <c r="E49" s="84">
        <f>J49-SUM(F$7:F49)</f>
        <v>5.4147128455970641</v>
      </c>
      <c r="F49" s="13">
        <f t="shared" si="14"/>
        <v>9.5466944998162745E-2</v>
      </c>
      <c r="G49" s="13">
        <f t="shared" si="15"/>
        <v>0.4773347249908137</v>
      </c>
      <c r="H49" s="13">
        <f t="shared" si="16"/>
        <v>0.4773347249908137</v>
      </c>
      <c r="I49" s="89">
        <f t="shared" si="22"/>
        <v>0.2</v>
      </c>
      <c r="J49" s="13">
        <f t="shared" si="17"/>
        <v>8.6495281999088967</v>
      </c>
      <c r="K49" s="13"/>
      <c r="L49" s="84">
        <f>AVERAGE(M45:M50)</f>
        <v>64.988613378030792</v>
      </c>
      <c r="M49" s="13">
        <f t="shared" si="6"/>
        <v>64.994324534887312</v>
      </c>
      <c r="N49" s="13">
        <f t="shared" si="7"/>
        <v>2054.4299421459564</v>
      </c>
      <c r="O49" s="13">
        <f t="shared" si="8"/>
        <v>2016.8379309949889</v>
      </c>
      <c r="P49" s="13">
        <f t="shared" si="21"/>
        <v>0.74320041749724408</v>
      </c>
      <c r="AB49" s="13">
        <f t="shared" si="0"/>
        <v>64.994324534887312</v>
      </c>
      <c r="AE49" s="33">
        <f t="shared" si="2"/>
        <v>9.3459027120262981</v>
      </c>
      <c r="AG49">
        <v>45</v>
      </c>
      <c r="AH49">
        <v>0</v>
      </c>
      <c r="AI49">
        <v>0</v>
      </c>
      <c r="AV49" s="13">
        <f t="shared" si="9"/>
        <v>64.71426555486488</v>
      </c>
      <c r="AW49" s="13">
        <f t="shared" si="10"/>
        <v>64.994324534887312</v>
      </c>
      <c r="AX49" s="13">
        <f t="shared" si="11"/>
        <v>99.986118537211553</v>
      </c>
      <c r="BA49" s="33">
        <f t="shared" si="12"/>
        <v>8.882232302964729</v>
      </c>
      <c r="BC49">
        <v>45</v>
      </c>
      <c r="BD49">
        <v>0</v>
      </c>
      <c r="BE49">
        <v>0</v>
      </c>
    </row>
    <row r="50" spans="1:57">
      <c r="A50">
        <v>2055</v>
      </c>
      <c r="C50" s="20">
        <f t="shared" si="20"/>
        <v>64.72940611775023</v>
      </c>
      <c r="D50" s="84">
        <f t="shared" si="13"/>
        <v>64.683281884687673</v>
      </c>
      <c r="E50" s="84">
        <f>J50-SUM(F$7:F50)</f>
        <v>5.3192459005989017</v>
      </c>
      <c r="F50" s="13">
        <f t="shared" si="14"/>
        <v>9.5466944998162745E-2</v>
      </c>
      <c r="G50" s="13">
        <f t="shared" si="15"/>
        <v>0.4773347249908137</v>
      </c>
      <c r="H50" s="13">
        <f t="shared" si="16"/>
        <v>0.4773347249908137</v>
      </c>
      <c r="I50" s="89">
        <f t="shared" si="22"/>
        <v>0.2</v>
      </c>
      <c r="J50" s="13">
        <f t="shared" si="17"/>
        <v>8.6495281999088967</v>
      </c>
      <c r="K50" s="13"/>
      <c r="L50" s="84">
        <f>AVERAGE(M45:M50)</f>
        <v>64.988613378030792</v>
      </c>
      <c r="M50" s="13">
        <f t="shared" si="6"/>
        <v>64.995998990428177</v>
      </c>
      <c r="N50" s="13">
        <f t="shared" si="7"/>
        <v>2055.4299421459564</v>
      </c>
      <c r="O50" s="13">
        <f t="shared" si="8"/>
        <v>2016.8379309949889</v>
      </c>
      <c r="P50" s="13">
        <f t="shared" si="21"/>
        <v>0.74320041749724408</v>
      </c>
      <c r="AB50" s="13">
        <f t="shared" si="0"/>
        <v>64.995998990428177</v>
      </c>
      <c r="AE50" s="33">
        <f t="shared" si="2"/>
        <v>9.6955342707602554</v>
      </c>
      <c r="AG50">
        <v>46</v>
      </c>
      <c r="AH50">
        <v>0</v>
      </c>
      <c r="AI50">
        <v>0</v>
      </c>
      <c r="AV50" s="13">
        <f t="shared" si="9"/>
        <v>64.72940611775023</v>
      </c>
      <c r="AW50" s="13">
        <f t="shared" si="10"/>
        <v>64.995998990428177</v>
      </c>
      <c r="AX50" s="13">
        <f t="shared" si="11"/>
        <v>99.990206961667099</v>
      </c>
      <c r="BA50" s="33">
        <f t="shared" si="12"/>
        <v>9.2311557707440208</v>
      </c>
      <c r="BC50">
        <v>46</v>
      </c>
      <c r="BD50">
        <v>0</v>
      </c>
      <c r="BE50">
        <v>0</v>
      </c>
    </row>
    <row r="53" spans="1:57">
      <c r="B53" t="s">
        <v>1219</v>
      </c>
      <c r="C53" s="13">
        <v>2.42</v>
      </c>
    </row>
    <row r="54" spans="1:57">
      <c r="C54" t="s">
        <v>1239</v>
      </c>
    </row>
    <row r="56" spans="1:57">
      <c r="Y56" s="41" t="str">
        <f>' All EV uptake'!D46</f>
        <v>Intercept</v>
      </c>
      <c r="Z56" s="41">
        <f>' All EV uptake'!E46</f>
        <v>2006.0956444042549</v>
      </c>
      <c r="AC56" s="41" t="s">
        <v>159</v>
      </c>
      <c r="AD56" s="41">
        <v>-6.3875174310017551</v>
      </c>
    </row>
    <row r="57" spans="1:57">
      <c r="Y57" s="41" t="str">
        <f>' All EV uptake'!D47</f>
        <v>EV/FFV cost ratio</v>
      </c>
      <c r="Z57" s="41">
        <f>' All EV uptake'!E47</f>
        <v>10.783904112355547</v>
      </c>
      <c r="AC57" t="s">
        <v>329</v>
      </c>
      <c r="AD57" s="41">
        <v>0.34963155873395674</v>
      </c>
    </row>
    <row r="58" spans="1:57">
      <c r="Y58" s="41" t="str">
        <f>' All EV uptake'!D48</f>
        <v>dumKorea</v>
      </c>
      <c r="Z58" s="41">
        <f>' All EV uptake'!E48</f>
        <v>3.2747008164932261</v>
      </c>
      <c r="AC58" t="s">
        <v>745</v>
      </c>
      <c r="AD58" s="41">
        <v>0.24068126449316327</v>
      </c>
    </row>
    <row r="59" spans="1:57" ht="15.75" thickBot="1">
      <c r="Y59" s="41" t="str">
        <f>' All EV uptake'!D49</f>
        <v>dumUK</v>
      </c>
      <c r="Z59" s="41">
        <f>' All EV uptake'!E49</f>
        <v>2.7276845521810786</v>
      </c>
      <c r="AC59" t="s">
        <v>1220</v>
      </c>
      <c r="AD59" s="42">
        <v>-1.2379919164009858</v>
      </c>
    </row>
    <row r="60" spans="1:57">
      <c r="Y60" s="41" t="str">
        <f>' All EV uptake'!D50</f>
        <v>dumNeth</v>
      </c>
      <c r="Z60" s="41">
        <f>' All EV uptake'!E50</f>
        <v>-1.2544269368470402</v>
      </c>
    </row>
    <row r="61" spans="1:57">
      <c r="F61" s="242">
        <v>2016</v>
      </c>
      <c r="G61" s="242"/>
      <c r="H61" s="242">
        <v>2017</v>
      </c>
      <c r="I61" s="242"/>
      <c r="J61" s="242">
        <v>2018</v>
      </c>
      <c r="K61" s="242"/>
      <c r="Y61" s="41" t="str">
        <f>' All EV uptake'!D51</f>
        <v>dumChina</v>
      </c>
      <c r="Z61" s="41">
        <f>' All EV uptake'!E51</f>
        <v>1.6840641661301363</v>
      </c>
    </row>
    <row r="62" spans="1:57">
      <c r="E62" t="s">
        <v>1235</v>
      </c>
      <c r="F62">
        <v>11437</v>
      </c>
      <c r="H62">
        <v>12801</v>
      </c>
      <c r="J62">
        <v>14119</v>
      </c>
      <c r="Y62" s="41" t="str">
        <f>' All EV uptake'!D52</f>
        <v>dumDenmark</v>
      </c>
      <c r="Z62" s="41">
        <f>' All EV uptake'!E52</f>
        <v>3.2654872236791634</v>
      </c>
    </row>
    <row r="63" spans="1:57">
      <c r="E63" t="s">
        <v>1236</v>
      </c>
      <c r="F63">
        <v>8857</v>
      </c>
      <c r="G63">
        <f>F62+F63</f>
        <v>20294</v>
      </c>
      <c r="H63">
        <v>10218</v>
      </c>
      <c r="I63">
        <f>H62+H63</f>
        <v>23019</v>
      </c>
      <c r="J63">
        <v>15331</v>
      </c>
      <c r="K63">
        <f>J62+J63</f>
        <v>29450</v>
      </c>
      <c r="Y63" s="41" t="str">
        <f>' All EV uptake'!D53</f>
        <v>dumIreland</v>
      </c>
      <c r="Z63" s="41">
        <f>' All EV uptake'!E53</f>
        <v>3.5582490934682056</v>
      </c>
    </row>
    <row r="64" spans="1:57">
      <c r="E64" t="s">
        <v>1237</v>
      </c>
      <c r="F64">
        <v>10352</v>
      </c>
      <c r="H64">
        <v>13362</v>
      </c>
      <c r="Y64" s="41" t="str">
        <f>' All EV uptake'!D54</f>
        <v>dumNZ</v>
      </c>
      <c r="Z64" s="41">
        <f>' All EV uptake'!E54</f>
        <v>1.900474768762227</v>
      </c>
    </row>
    <row r="65" spans="5:26">
      <c r="E65" t="s">
        <v>1238</v>
      </c>
      <c r="F65" s="18">
        <v>8398</v>
      </c>
      <c r="G65" s="18">
        <f>SUM(F62:F65)</f>
        <v>39044</v>
      </c>
      <c r="H65" s="18">
        <v>11957</v>
      </c>
      <c r="I65" s="18">
        <f>SUM(H62:H65)</f>
        <v>48338</v>
      </c>
      <c r="J65" s="18"/>
      <c r="K65" s="16">
        <f>K63*I65/I63</f>
        <v>61842.569181980107</v>
      </c>
      <c r="Y65" s="41" t="str">
        <f>' All EV uptake'!D55</f>
        <v>dumSwitzerland</v>
      </c>
      <c r="Z65" s="41">
        <f>' All EV uptake'!E55</f>
        <v>-2.1041729879229703</v>
      </c>
    </row>
    <row r="66" spans="5:26">
      <c r="F66">
        <f>SUM(F62:F65)</f>
        <v>39044</v>
      </c>
      <c r="G66">
        <f t="shared" ref="G66:K66" si="23">SUM(G62:G65)</f>
        <v>59338</v>
      </c>
      <c r="H66">
        <f t="shared" si="23"/>
        <v>48338</v>
      </c>
      <c r="I66">
        <f t="shared" si="23"/>
        <v>71357</v>
      </c>
      <c r="J66" s="3"/>
      <c r="K66" s="3">
        <f t="shared" si="23"/>
        <v>91292.5691819801</v>
      </c>
      <c r="Y66" s="41" t="str">
        <f>' All EV uptake'!D56</f>
        <v>dumSpain</v>
      </c>
      <c r="Z66" s="41">
        <f>' All EV uptake'!E56</f>
        <v>4.4168133039283006</v>
      </c>
    </row>
    <row r="67" spans="5:26">
      <c r="Y67" s="41" t="str">
        <f>' All EV uptake'!D57</f>
        <v>dumIndia</v>
      </c>
      <c r="Z67" s="41">
        <f>' All EV uptake'!E57</f>
        <v>8.3918907463589623</v>
      </c>
    </row>
    <row r="68" spans="5:26">
      <c r="Y68" s="41" t="str">
        <f>' All EV uptake'!D58</f>
        <v>dumUSA</v>
      </c>
      <c r="Z68" s="41">
        <f>' All EV uptake'!E58</f>
        <v>2.1386885311349126</v>
      </c>
    </row>
    <row r="69" spans="5:26">
      <c r="F69" s="13">
        <f>B11</f>
        <v>1.3058222970559115</v>
      </c>
      <c r="H69" s="13">
        <f>B12</f>
        <v>1.7590074061814718</v>
      </c>
      <c r="I69" s="13">
        <f>F69*H66/F66</f>
        <v>1.616659107547604</v>
      </c>
      <c r="K69" s="13">
        <f>H69*K66/H66</f>
        <v>3.3221131474292975</v>
      </c>
      <c r="Y69" s="41" t="str">
        <f>' All EV uptake'!D59</f>
        <v>dumAustria</v>
      </c>
      <c r="Z69" s="41">
        <f>' All EV uptake'!E59</f>
        <v>-0.86657486911619475</v>
      </c>
    </row>
    <row r="70" spans="5:26">
      <c r="Y70" s="41" t="str">
        <f>' All EV uptake'!D60</f>
        <v>dumItaly</v>
      </c>
      <c r="Z70" s="41">
        <f>' All EV uptake'!E60</f>
        <v>2.0513905871244105</v>
      </c>
    </row>
    <row r="71" spans="5:26">
      <c r="Y71" s="41" t="str">
        <f>' All EV uptake'!D61</f>
        <v>dumJapan</v>
      </c>
      <c r="Z71" s="41">
        <f>' All EV uptake'!E61</f>
        <v>4.0948893434577212</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137"/>
  <sheetViews>
    <sheetView zoomScale="75" zoomScaleNormal="75" workbookViewId="0">
      <pane xSplit="1" ySplit="2" topLeftCell="B64" activePane="bottomRight" state="frozen"/>
      <selection pane="topRight" activeCell="B1" sqref="B1"/>
      <selection pane="bottomLeft" activeCell="A3" sqref="A3"/>
      <selection pane="bottomRight" activeCell="M109" sqref="M109"/>
    </sheetView>
  </sheetViews>
  <sheetFormatPr defaultRowHeight="15"/>
  <cols>
    <col min="2" max="2" width="12.28515625" customWidth="1"/>
    <col min="3" max="3" width="10.42578125" customWidth="1"/>
    <col min="5" max="5" width="9.5703125" bestFit="1" customWidth="1"/>
    <col min="6" max="6" width="12" customWidth="1"/>
    <col min="7" max="7" width="10.85546875" customWidth="1"/>
    <col min="8" max="8" width="10.5703125" customWidth="1"/>
    <col min="9" max="9" width="14.28515625" customWidth="1"/>
    <col min="11" max="11" width="10.85546875" customWidth="1"/>
    <col min="12" max="12" width="14" customWidth="1"/>
    <col min="13" max="13" width="11.5703125" customWidth="1"/>
    <col min="18" max="19" width="11" customWidth="1"/>
    <col min="20" max="20" width="16.85546875" customWidth="1"/>
    <col min="21" max="21" width="13.5703125" customWidth="1"/>
    <col min="23" max="23" width="10.5703125" customWidth="1"/>
    <col min="27" max="27" width="10.42578125" customWidth="1"/>
    <col min="29" max="29" width="12.42578125" customWidth="1"/>
    <col min="33" max="33" width="12.5703125" customWidth="1"/>
    <col min="35" max="35" width="12.140625" customWidth="1"/>
  </cols>
  <sheetData>
    <row r="1" spans="1:36">
      <c r="A1" t="s">
        <v>5</v>
      </c>
      <c r="B1" t="s">
        <v>1395</v>
      </c>
      <c r="C1" t="s">
        <v>731</v>
      </c>
      <c r="D1" t="s">
        <v>498</v>
      </c>
      <c r="E1" t="s">
        <v>731</v>
      </c>
      <c r="F1" t="s">
        <v>731</v>
      </c>
      <c r="G1" t="s">
        <v>731</v>
      </c>
      <c r="H1" t="s">
        <v>731</v>
      </c>
      <c r="I1" t="s">
        <v>731</v>
      </c>
      <c r="K1" t="s">
        <v>731</v>
      </c>
      <c r="L1" t="s">
        <v>731</v>
      </c>
      <c r="P1" t="s">
        <v>731</v>
      </c>
      <c r="Q1" t="s">
        <v>731</v>
      </c>
      <c r="R1" t="s">
        <v>731</v>
      </c>
      <c r="U1" t="s">
        <v>730</v>
      </c>
      <c r="V1" s="33" t="s">
        <v>715</v>
      </c>
      <c r="W1" s="87" t="s">
        <v>1181</v>
      </c>
      <c r="X1" s="87" t="s">
        <v>1181</v>
      </c>
      <c r="Y1" s="87" t="s">
        <v>1181</v>
      </c>
      <c r="AE1" t="s">
        <v>856</v>
      </c>
      <c r="AH1" t="s">
        <v>855</v>
      </c>
      <c r="AJ1" t="s">
        <v>856</v>
      </c>
    </row>
    <row r="2" spans="1:36">
      <c r="B2" t="s">
        <v>710</v>
      </c>
      <c r="C2" t="s">
        <v>710</v>
      </c>
      <c r="D2" t="s">
        <v>714</v>
      </c>
      <c r="E2" t="s">
        <v>728</v>
      </c>
      <c r="F2" t="s">
        <v>733</v>
      </c>
      <c r="G2" t="s">
        <v>269</v>
      </c>
      <c r="H2" t="s">
        <v>755</v>
      </c>
      <c r="I2" t="s">
        <v>269</v>
      </c>
      <c r="K2" t="s">
        <v>906</v>
      </c>
      <c r="L2" t="s">
        <v>993</v>
      </c>
      <c r="M2" t="s">
        <v>981</v>
      </c>
      <c r="P2" t="s">
        <v>269</v>
      </c>
      <c r="Q2" t="s">
        <v>717</v>
      </c>
      <c r="R2" t="s">
        <v>725</v>
      </c>
      <c r="V2" s="33"/>
      <c r="W2" s="87" t="s">
        <v>338</v>
      </c>
      <c r="X2" s="87" t="s">
        <v>1182</v>
      </c>
      <c r="Y2" s="87" t="s">
        <v>1183</v>
      </c>
      <c r="AC2" t="s">
        <v>732</v>
      </c>
      <c r="AE2" t="s">
        <v>729</v>
      </c>
      <c r="AH2" t="s">
        <v>854</v>
      </c>
      <c r="AI2" t="s">
        <v>850</v>
      </c>
      <c r="AJ2" t="s">
        <v>854</v>
      </c>
    </row>
    <row r="3" spans="1:36">
      <c r="A3">
        <v>2009</v>
      </c>
      <c r="B3" s="3">
        <f>X3</f>
        <v>29.592572886961211</v>
      </c>
      <c r="C3" s="3">
        <f t="shared" ref="C3:C24" si="0">B3*AC3*1000</f>
        <v>18996.034795025254</v>
      </c>
      <c r="D3">
        <v>15</v>
      </c>
      <c r="E3" s="3">
        <f>C3*D3/100</f>
        <v>2849.4052192537883</v>
      </c>
      <c r="F3" s="3">
        <f t="shared" ref="F3:F24" si="1">AJ3</f>
        <v>0</v>
      </c>
      <c r="G3" s="3">
        <f>C3+E3+F3</f>
        <v>21845.440014279044</v>
      </c>
      <c r="H3" s="3">
        <v>1200</v>
      </c>
      <c r="I3" s="3">
        <f>G3+H3</f>
        <v>23045.440014279044</v>
      </c>
      <c r="K3" s="3">
        <v>0</v>
      </c>
      <c r="L3" s="3">
        <f>(8*200)/2</f>
        <v>800</v>
      </c>
      <c r="M3" s="3">
        <f>K3+L3</f>
        <v>800</v>
      </c>
      <c r="O3">
        <v>2009</v>
      </c>
      <c r="P3" s="3">
        <f t="shared" ref="P3:P24" si="2">I3</f>
        <v>23045.440014279044</v>
      </c>
      <c r="Q3" s="3">
        <f t="shared" ref="Q3:Q24" si="3">I28</f>
        <v>23045.440014279044</v>
      </c>
      <c r="R3" s="3">
        <f t="shared" ref="R3:R24" si="4">F53</f>
        <v>16978.757550000002</v>
      </c>
      <c r="T3">
        <v>2009</v>
      </c>
      <c r="U3" s="3">
        <f>'Vehicle price'!X5</f>
        <v>23</v>
      </c>
      <c r="V3">
        <v>1</v>
      </c>
      <c r="W3" s="3">
        <f t="shared" ref="W3:W24" si="5">X3*V3</f>
        <v>29.592572886961211</v>
      </c>
      <c r="X3" s="3">
        <f>'Vehicle price'!T5</f>
        <v>29.592572886961211</v>
      </c>
      <c r="Y3" s="3">
        <f>X3*Z3</f>
        <v>29.592572886961211</v>
      </c>
      <c r="Z3">
        <v>1</v>
      </c>
      <c r="AB3">
        <v>2009</v>
      </c>
      <c r="AC3" s="156">
        <v>0.64191900000000002</v>
      </c>
      <c r="AD3" s="13"/>
      <c r="AE3" s="3">
        <v>205</v>
      </c>
      <c r="AG3">
        <v>2009</v>
      </c>
      <c r="AH3" s="3">
        <v>0</v>
      </c>
      <c r="AI3" s="13">
        <f>CPIs!V48</f>
        <v>96.818810779581781</v>
      </c>
      <c r="AJ3" s="3">
        <f>AH3*AI$11/AI3</f>
        <v>0</v>
      </c>
    </row>
    <row r="4" spans="1:36">
      <c r="A4">
        <v>2010</v>
      </c>
      <c r="B4" s="3">
        <f t="shared" ref="B4:B24" si="6">X4</f>
        <v>30</v>
      </c>
      <c r="C4" s="3">
        <f t="shared" si="0"/>
        <v>19447.156975532871</v>
      </c>
      <c r="D4">
        <v>17.5</v>
      </c>
      <c r="E4" s="3">
        <f t="shared" ref="E4:E24" si="7">C4*D4/100</f>
        <v>3403.2524707182524</v>
      </c>
      <c r="F4" s="3">
        <f t="shared" si="1"/>
        <v>0</v>
      </c>
      <c r="G4" s="3">
        <f t="shared" ref="G4:G24" si="8">C4+E4+F4</f>
        <v>22850.409446251124</v>
      </c>
      <c r="H4" s="3">
        <v>1200</v>
      </c>
      <c r="I4" s="3">
        <f t="shared" ref="I4:I24" si="9">G4+H4</f>
        <v>24050.409446251124</v>
      </c>
      <c r="K4" s="3">
        <v>0</v>
      </c>
      <c r="L4" s="3">
        <f>(8*200)/2</f>
        <v>800</v>
      </c>
      <c r="M4" s="3">
        <f t="shared" ref="M4:M24" si="10">K4+L4</f>
        <v>800</v>
      </c>
      <c r="O4">
        <v>2010</v>
      </c>
      <c r="P4" s="3">
        <f t="shared" si="2"/>
        <v>24050.409446251124</v>
      </c>
      <c r="Q4" s="3">
        <f t="shared" si="3"/>
        <v>24050.409446251124</v>
      </c>
      <c r="R4" s="3">
        <f t="shared" si="4"/>
        <v>17518.647242125859</v>
      </c>
      <c r="T4">
        <v>2010</v>
      </c>
      <c r="U4" s="3">
        <f>'Vehicle price'!X6</f>
        <v>23</v>
      </c>
      <c r="V4">
        <v>1</v>
      </c>
      <c r="W4" s="3">
        <f t="shared" si="5"/>
        <v>30</v>
      </c>
      <c r="X4" s="3">
        <f>'Vehicle price'!T6</f>
        <v>30</v>
      </c>
      <c r="Y4" s="3">
        <f t="shared" ref="Y4:Y24" si="11">X4*Z4</f>
        <v>30</v>
      </c>
      <c r="Z4">
        <v>1</v>
      </c>
      <c r="AB4">
        <v>2010</v>
      </c>
      <c r="AC4" s="156">
        <v>0.64823856585109563</v>
      </c>
      <c r="AD4" s="13"/>
      <c r="AE4" s="3">
        <v>205</v>
      </c>
      <c r="AG4">
        <v>2010</v>
      </c>
      <c r="AH4" s="3">
        <v>0</v>
      </c>
      <c r="AI4" s="13">
        <f>CPIs!V49</f>
        <v>100</v>
      </c>
      <c r="AJ4" s="3">
        <f t="shared" ref="AJ4:AJ24" si="12">AH4*AI$11/AI4</f>
        <v>0</v>
      </c>
    </row>
    <row r="5" spans="1:36">
      <c r="A5">
        <v>2011</v>
      </c>
      <c r="B5" s="3">
        <f t="shared" si="6"/>
        <v>30</v>
      </c>
      <c r="C5" s="3">
        <f t="shared" si="0"/>
        <v>18690.273140029309</v>
      </c>
      <c r="D5">
        <v>20</v>
      </c>
      <c r="E5" s="3">
        <f t="shared" si="7"/>
        <v>3738.054628005862</v>
      </c>
      <c r="F5" s="3">
        <f t="shared" si="1"/>
        <v>-5162.5452915709602</v>
      </c>
      <c r="G5" s="3">
        <f t="shared" si="8"/>
        <v>17265.78247646421</v>
      </c>
      <c r="H5" s="3">
        <v>1200</v>
      </c>
      <c r="I5" s="3">
        <f t="shared" si="9"/>
        <v>18465.78247646421</v>
      </c>
      <c r="K5" s="3">
        <f t="shared" ref="K5:K24" si="13">AE5</f>
        <v>205</v>
      </c>
      <c r="L5" s="3">
        <f>(8*200)/2</f>
        <v>800</v>
      </c>
      <c r="M5" s="3">
        <f t="shared" si="10"/>
        <v>1005</v>
      </c>
      <c r="O5">
        <v>2011</v>
      </c>
      <c r="P5" s="3">
        <f t="shared" si="2"/>
        <v>18465.78247646421</v>
      </c>
      <c r="Q5" s="3">
        <f t="shared" si="3"/>
        <v>20866.171617136424</v>
      </c>
      <c r="R5" s="3">
        <f t="shared" si="4"/>
        <v>17195.051288826966</v>
      </c>
      <c r="T5">
        <v>2011</v>
      </c>
      <c r="U5" s="3">
        <f>'Vehicle price'!X7</f>
        <v>23</v>
      </c>
      <c r="V5">
        <v>1</v>
      </c>
      <c r="W5" s="3">
        <f t="shared" si="5"/>
        <v>30</v>
      </c>
      <c r="X5" s="3">
        <f>'Vehicle price'!T7</f>
        <v>30</v>
      </c>
      <c r="Y5" s="3">
        <f t="shared" si="11"/>
        <v>30</v>
      </c>
      <c r="Z5">
        <v>1</v>
      </c>
      <c r="AB5">
        <v>2011</v>
      </c>
      <c r="AC5" s="156">
        <v>0.62300910466764359</v>
      </c>
      <c r="AD5" s="13"/>
      <c r="AE5" s="3">
        <v>205</v>
      </c>
      <c r="AG5">
        <v>2011</v>
      </c>
      <c r="AH5" s="3">
        <f t="shared" ref="AH5:AH11" si="14">MAX(-5000,-0.25*(C5))</f>
        <v>-4672.5682850073272</v>
      </c>
      <c r="AI5" s="13">
        <f>CPIs!V50</f>
        <v>104.48423767089844</v>
      </c>
      <c r="AJ5" s="3">
        <f t="shared" si="12"/>
        <v>-5162.5452915709602</v>
      </c>
    </row>
    <row r="6" spans="1:36">
      <c r="A6">
        <v>2012</v>
      </c>
      <c r="B6" s="3">
        <f t="shared" si="6"/>
        <v>30.842462459493706</v>
      </c>
      <c r="C6" s="3">
        <f t="shared" si="0"/>
        <v>19372.311177248026</v>
      </c>
      <c r="D6">
        <v>20</v>
      </c>
      <c r="E6" s="3">
        <f t="shared" si="7"/>
        <v>3874.462235449605</v>
      </c>
      <c r="F6" s="3">
        <f t="shared" si="1"/>
        <v>-5204.0905051093796</v>
      </c>
      <c r="G6" s="3">
        <f t="shared" si="8"/>
        <v>18042.682907588252</v>
      </c>
      <c r="H6" s="3">
        <v>1200</v>
      </c>
      <c r="I6" s="3">
        <f t="shared" si="9"/>
        <v>19242.682907588252</v>
      </c>
      <c r="K6" s="3">
        <f t="shared" si="13"/>
        <v>205</v>
      </c>
      <c r="L6" s="3">
        <f>(8*200)/2</f>
        <v>800</v>
      </c>
      <c r="M6" s="3">
        <f t="shared" si="10"/>
        <v>1005</v>
      </c>
      <c r="O6">
        <v>2012</v>
      </c>
      <c r="P6" s="3">
        <f t="shared" si="2"/>
        <v>19242.682907588252</v>
      </c>
      <c r="Q6" s="3">
        <f t="shared" si="3"/>
        <v>21760.418409675913</v>
      </c>
      <c r="R6" s="3">
        <f t="shared" si="4"/>
        <v>17335.70363242723</v>
      </c>
      <c r="T6">
        <v>2012</v>
      </c>
      <c r="U6" s="3">
        <f>'Vehicle price'!X8</f>
        <v>23</v>
      </c>
      <c r="V6">
        <v>1</v>
      </c>
      <c r="W6" s="3">
        <f t="shared" si="5"/>
        <v>30.842462459493706</v>
      </c>
      <c r="X6" s="3">
        <f>'Vehicle price'!T8</f>
        <v>30.842462459493706</v>
      </c>
      <c r="Y6" s="3">
        <f t="shared" si="11"/>
        <v>30.842462459493706</v>
      </c>
      <c r="Z6">
        <v>1</v>
      </c>
      <c r="AB6">
        <v>2012</v>
      </c>
      <c r="AC6" s="156">
        <v>0.62810520407345038</v>
      </c>
      <c r="AD6" s="13"/>
      <c r="AE6" s="3">
        <v>205</v>
      </c>
      <c r="AG6">
        <v>2012</v>
      </c>
      <c r="AH6" s="3">
        <f t="shared" si="14"/>
        <v>-4843.0777943120065</v>
      </c>
      <c r="AI6" s="13">
        <f>CPIs!V51</f>
        <v>107.43247985839844</v>
      </c>
      <c r="AJ6" s="3">
        <f t="shared" si="12"/>
        <v>-5204.0905051093796</v>
      </c>
    </row>
    <row r="7" spans="1:36">
      <c r="A7">
        <v>2013</v>
      </c>
      <c r="B7" s="3">
        <f t="shared" si="6"/>
        <v>31.143929334439989</v>
      </c>
      <c r="C7" s="3">
        <f t="shared" si="0"/>
        <v>19927.194679307104</v>
      </c>
      <c r="D7">
        <v>20</v>
      </c>
      <c r="E7" s="3">
        <f t="shared" si="7"/>
        <v>3985.4389358614212</v>
      </c>
      <c r="F7" s="3">
        <f t="shared" si="1"/>
        <v>-5219.8093280572712</v>
      </c>
      <c r="G7" s="3">
        <f t="shared" si="8"/>
        <v>18692.824287111252</v>
      </c>
      <c r="H7" s="3">
        <v>1200</v>
      </c>
      <c r="I7" s="3">
        <f t="shared" si="9"/>
        <v>19892.824287111252</v>
      </c>
      <c r="K7" s="3">
        <f t="shared" si="13"/>
        <v>205</v>
      </c>
      <c r="L7" s="3">
        <f>(10*200)/2</f>
        <v>1000</v>
      </c>
      <c r="M7" s="3">
        <f t="shared" si="10"/>
        <v>1205</v>
      </c>
      <c r="O7">
        <v>2013</v>
      </c>
      <c r="P7" s="3">
        <f t="shared" si="2"/>
        <v>19892.824287111252</v>
      </c>
      <c r="Q7" s="3">
        <f t="shared" si="3"/>
        <v>22493.193492230574</v>
      </c>
      <c r="R7" s="3">
        <f t="shared" si="4"/>
        <v>17659.639772579314</v>
      </c>
      <c r="T7">
        <v>2013</v>
      </c>
      <c r="U7" s="3">
        <f>'Vehicle price'!X9</f>
        <v>23</v>
      </c>
      <c r="V7">
        <v>1</v>
      </c>
      <c r="W7" s="3">
        <f t="shared" si="5"/>
        <v>31.143929334439989</v>
      </c>
      <c r="X7" s="3">
        <f>'Vehicle price'!T9</f>
        <v>31.143929334439989</v>
      </c>
      <c r="Y7" s="3">
        <f t="shared" si="11"/>
        <v>31.143929334439989</v>
      </c>
      <c r="Z7">
        <v>1</v>
      </c>
      <c r="AB7">
        <v>2013</v>
      </c>
      <c r="AC7" s="156">
        <v>0.63984202074562735</v>
      </c>
      <c r="AD7" s="13"/>
      <c r="AE7" s="3">
        <v>205</v>
      </c>
      <c r="AG7">
        <v>2013</v>
      </c>
      <c r="AH7" s="3">
        <f t="shared" si="14"/>
        <v>-4981.7986698267759</v>
      </c>
      <c r="AI7" s="13">
        <f>CPIs!V52</f>
        <v>110.17689514160156</v>
      </c>
      <c r="AJ7" s="3">
        <f t="shared" si="12"/>
        <v>-5219.8093280572712</v>
      </c>
    </row>
    <row r="8" spans="1:36">
      <c r="A8">
        <v>2014</v>
      </c>
      <c r="B8" s="3">
        <f t="shared" si="6"/>
        <v>33.541755956678692</v>
      </c>
      <c r="C8" s="3">
        <f t="shared" si="0"/>
        <v>20386.224087574232</v>
      </c>
      <c r="D8">
        <v>20</v>
      </c>
      <c r="E8" s="3">
        <f t="shared" si="7"/>
        <v>4077.2448175148461</v>
      </c>
      <c r="F8" s="3">
        <f t="shared" si="1"/>
        <v>-5163.4834290587742</v>
      </c>
      <c r="G8" s="3">
        <f t="shared" si="8"/>
        <v>19299.985476030302</v>
      </c>
      <c r="H8" s="3">
        <v>1200</v>
      </c>
      <c r="I8" s="3">
        <f t="shared" si="9"/>
        <v>20499.985476030302</v>
      </c>
      <c r="K8" s="3">
        <f t="shared" si="13"/>
        <v>205</v>
      </c>
      <c r="L8" s="3">
        <f>(11.5*200)/2</f>
        <v>1150</v>
      </c>
      <c r="M8" s="3">
        <f t="shared" si="10"/>
        <v>1355</v>
      </c>
      <c r="O8">
        <v>2014</v>
      </c>
      <c r="P8" s="3">
        <f t="shared" si="2"/>
        <v>20499.985476030302</v>
      </c>
      <c r="Q8" s="3">
        <f t="shared" si="3"/>
        <v>23081.72719055969</v>
      </c>
      <c r="R8" s="3">
        <f t="shared" si="4"/>
        <v>16774.905450500552</v>
      </c>
      <c r="T8">
        <v>2014</v>
      </c>
      <c r="U8" s="3">
        <f>'Vehicle price'!X10</f>
        <v>23</v>
      </c>
      <c r="V8">
        <v>1</v>
      </c>
      <c r="W8" s="3">
        <f t="shared" si="5"/>
        <v>33.541755956678692</v>
      </c>
      <c r="X8" s="3">
        <f>'Vehicle price'!T10</f>
        <v>33.541755956678692</v>
      </c>
      <c r="Y8" s="3">
        <f t="shared" si="11"/>
        <v>33.541755956678692</v>
      </c>
      <c r="Z8">
        <v>1</v>
      </c>
      <c r="AB8">
        <v>2014</v>
      </c>
      <c r="AC8" s="156">
        <v>0.60778642936596206</v>
      </c>
      <c r="AD8" s="13"/>
      <c r="AE8" s="3">
        <v>205</v>
      </c>
      <c r="AG8">
        <v>2014</v>
      </c>
      <c r="AH8" s="3">
        <f t="shared" si="14"/>
        <v>-5000</v>
      </c>
      <c r="AI8" s="13">
        <f>CPIs!V53</f>
        <v>111.78569030761719</v>
      </c>
      <c r="AJ8" s="3">
        <f t="shared" si="12"/>
        <v>-5163.4834290587742</v>
      </c>
    </row>
    <row r="9" spans="1:36">
      <c r="A9">
        <v>2015</v>
      </c>
      <c r="B9" s="3">
        <f t="shared" si="6"/>
        <v>30</v>
      </c>
      <c r="C9" s="3">
        <f t="shared" si="0"/>
        <v>19663.198553216185</v>
      </c>
      <c r="D9">
        <v>20</v>
      </c>
      <c r="E9" s="3">
        <f t="shared" si="7"/>
        <v>3932.6397106432369</v>
      </c>
      <c r="F9" s="3">
        <f t="shared" si="1"/>
        <v>-5073.9919552089605</v>
      </c>
      <c r="G9" s="3">
        <f t="shared" si="8"/>
        <v>18521.846308650463</v>
      </c>
      <c r="H9" s="3">
        <v>1200</v>
      </c>
      <c r="I9" s="3">
        <f t="shared" si="9"/>
        <v>19721.846308650463</v>
      </c>
      <c r="K9" s="3">
        <f t="shared" si="13"/>
        <v>205</v>
      </c>
      <c r="L9" s="3">
        <f t="shared" ref="L9:L24" si="15">(11.5*200)/2</f>
        <v>1150</v>
      </c>
      <c r="M9" s="3">
        <f t="shared" si="10"/>
        <v>1355</v>
      </c>
      <c r="O9">
        <v>2015</v>
      </c>
      <c r="P9" s="3">
        <f t="shared" si="2"/>
        <v>19721.846308650463</v>
      </c>
      <c r="Q9" s="3">
        <f t="shared" si="3"/>
        <v>22215.387305447552</v>
      </c>
      <c r="R9" s="3">
        <f t="shared" si="4"/>
        <v>18090.142668958892</v>
      </c>
      <c r="T9">
        <v>2015</v>
      </c>
      <c r="U9" s="3">
        <f>'Vehicle price'!X11</f>
        <v>23</v>
      </c>
      <c r="V9">
        <v>1</v>
      </c>
      <c r="W9" s="3">
        <f t="shared" si="5"/>
        <v>30</v>
      </c>
      <c r="X9" s="3">
        <f>'Vehicle price'!T11</f>
        <v>30</v>
      </c>
      <c r="Y9" s="3">
        <f t="shared" si="11"/>
        <v>30</v>
      </c>
      <c r="Z9">
        <v>1</v>
      </c>
      <c r="AB9">
        <v>2015</v>
      </c>
      <c r="AC9" s="156">
        <v>0.65543995177387293</v>
      </c>
      <c r="AD9" s="13"/>
      <c r="AE9" s="3">
        <v>205</v>
      </c>
      <c r="AG9">
        <v>2015</v>
      </c>
      <c r="AH9" s="3">
        <f t="shared" si="14"/>
        <v>-4915.7996383040463</v>
      </c>
      <c r="AI9" s="13">
        <f>CPIs!V54</f>
        <v>111.84160614013672</v>
      </c>
      <c r="AJ9" s="3">
        <f t="shared" si="12"/>
        <v>-5073.9919552089605</v>
      </c>
    </row>
    <row r="10" spans="1:36">
      <c r="A10">
        <v>2016</v>
      </c>
      <c r="B10" s="3">
        <f t="shared" si="6"/>
        <v>30</v>
      </c>
      <c r="C10" s="3">
        <f t="shared" si="0"/>
        <v>22394.489345245427</v>
      </c>
      <c r="D10">
        <v>20</v>
      </c>
      <c r="E10" s="3">
        <f t="shared" si="7"/>
        <v>4478.8978690490858</v>
      </c>
      <c r="F10" s="3">
        <f t="shared" si="1"/>
        <v>-5128</v>
      </c>
      <c r="G10" s="3">
        <f t="shared" si="8"/>
        <v>21745.387214294511</v>
      </c>
      <c r="H10" s="3">
        <v>1200</v>
      </c>
      <c r="I10" s="3">
        <f t="shared" si="9"/>
        <v>22945.387214294511</v>
      </c>
      <c r="K10" s="3">
        <f t="shared" si="13"/>
        <v>205</v>
      </c>
      <c r="L10" s="3">
        <f t="shared" si="15"/>
        <v>1150</v>
      </c>
      <c r="M10" s="3">
        <f t="shared" si="10"/>
        <v>1355</v>
      </c>
      <c r="O10">
        <v>2016</v>
      </c>
      <c r="P10" s="3">
        <f t="shared" si="2"/>
        <v>22945.387214294511</v>
      </c>
      <c r="Q10" s="3">
        <f t="shared" si="3"/>
        <v>25509.387214294511</v>
      </c>
      <c r="R10" s="3">
        <f t="shared" si="4"/>
        <v>20602.930197625799</v>
      </c>
      <c r="T10">
        <v>2016</v>
      </c>
      <c r="U10" s="3">
        <f>'Vehicle price'!X12</f>
        <v>23</v>
      </c>
      <c r="V10">
        <v>1</v>
      </c>
      <c r="W10" s="3">
        <f t="shared" si="5"/>
        <v>30</v>
      </c>
      <c r="X10" s="3">
        <f>'Vehicle price'!T12</f>
        <v>30</v>
      </c>
      <c r="Y10" s="3">
        <f t="shared" si="11"/>
        <v>30</v>
      </c>
      <c r="Z10">
        <v>1</v>
      </c>
      <c r="AB10">
        <v>2016</v>
      </c>
      <c r="AC10" s="156">
        <v>0.74648297817484766</v>
      </c>
      <c r="AD10" s="13"/>
      <c r="AE10" s="3">
        <v>205</v>
      </c>
      <c r="AG10">
        <v>2016</v>
      </c>
      <c r="AH10" s="3">
        <f t="shared" si="14"/>
        <v>-5000</v>
      </c>
      <c r="AI10" s="13">
        <f>CPIs!V55</f>
        <v>112.55919647216797</v>
      </c>
      <c r="AJ10" s="3">
        <f t="shared" si="12"/>
        <v>-5128</v>
      </c>
    </row>
    <row r="11" spans="1:36">
      <c r="A11">
        <v>2017</v>
      </c>
      <c r="B11" s="3">
        <f t="shared" si="6"/>
        <v>30</v>
      </c>
      <c r="C11" s="3">
        <f t="shared" si="0"/>
        <v>23131.703828902042</v>
      </c>
      <c r="D11">
        <v>20</v>
      </c>
      <c r="E11" s="3">
        <f t="shared" si="7"/>
        <v>4626.3407657804082</v>
      </c>
      <c r="F11" s="3">
        <f t="shared" si="1"/>
        <v>-4999.9999999999991</v>
      </c>
      <c r="G11" s="3">
        <f t="shared" si="8"/>
        <v>22758.044594682451</v>
      </c>
      <c r="H11" s="3">
        <v>1200</v>
      </c>
      <c r="I11" s="3">
        <f t="shared" si="9"/>
        <v>23958.044594682451</v>
      </c>
      <c r="K11" s="3">
        <f t="shared" si="13"/>
        <v>205</v>
      </c>
      <c r="L11" s="3">
        <f t="shared" si="15"/>
        <v>1150</v>
      </c>
      <c r="M11" s="3">
        <f t="shared" si="10"/>
        <v>1355</v>
      </c>
      <c r="O11">
        <v>2017</v>
      </c>
      <c r="P11" s="3">
        <f t="shared" si="2"/>
        <v>23958.044594682451</v>
      </c>
      <c r="Q11" s="3">
        <f t="shared" si="3"/>
        <v>26458.044594682451</v>
      </c>
      <c r="R11" s="3">
        <f t="shared" si="4"/>
        <v>21281.167522589876</v>
      </c>
      <c r="T11">
        <v>2017</v>
      </c>
      <c r="U11" s="3">
        <f>'Vehicle price'!X13</f>
        <v>23</v>
      </c>
      <c r="V11">
        <v>1</v>
      </c>
      <c r="W11" s="3">
        <f t="shared" si="5"/>
        <v>30</v>
      </c>
      <c r="X11" s="3">
        <f>'Vehicle price'!T13</f>
        <v>30</v>
      </c>
      <c r="Y11" s="3">
        <f t="shared" si="11"/>
        <v>30</v>
      </c>
      <c r="Z11">
        <v>1</v>
      </c>
      <c r="AB11">
        <v>2017</v>
      </c>
      <c r="AC11" s="156">
        <v>0.77105679429673468</v>
      </c>
      <c r="AD11" s="13"/>
      <c r="AE11" s="3">
        <v>205</v>
      </c>
      <c r="AG11">
        <v>2017</v>
      </c>
      <c r="AH11" s="3">
        <f t="shared" si="14"/>
        <v>-5000</v>
      </c>
      <c r="AI11" s="13">
        <f>CPIs!V56</f>
        <v>115.44071190185548</v>
      </c>
      <c r="AJ11" s="3">
        <f t="shared" si="12"/>
        <v>-4999.9999999999991</v>
      </c>
    </row>
    <row r="12" spans="1:36">
      <c r="A12">
        <v>2018</v>
      </c>
      <c r="B12" s="3">
        <f t="shared" si="6"/>
        <v>30.592100851060948</v>
      </c>
      <c r="C12" s="3">
        <f t="shared" si="0"/>
        <v>24473.68068084876</v>
      </c>
      <c r="D12">
        <v>20</v>
      </c>
      <c r="E12" s="3">
        <f t="shared" si="7"/>
        <v>4894.7361361697522</v>
      </c>
      <c r="F12" s="3">
        <f t="shared" si="1"/>
        <v>-4387.6755070202807</v>
      </c>
      <c r="G12" s="3">
        <f t="shared" si="8"/>
        <v>24980.74130999823</v>
      </c>
      <c r="H12" s="3">
        <v>1200</v>
      </c>
      <c r="I12" s="3">
        <f t="shared" si="9"/>
        <v>26180.74130999823</v>
      </c>
      <c r="K12" s="3">
        <f t="shared" si="13"/>
        <v>205</v>
      </c>
      <c r="L12" s="3">
        <f t="shared" si="15"/>
        <v>1150</v>
      </c>
      <c r="M12" s="3">
        <f t="shared" si="10"/>
        <v>1355</v>
      </c>
      <c r="O12">
        <v>2018</v>
      </c>
      <c r="P12" s="3">
        <f t="shared" si="2"/>
        <v>26180.74130999823</v>
      </c>
      <c r="Q12" s="3">
        <f t="shared" si="3"/>
        <v>28130.819313118354</v>
      </c>
      <c r="R12" s="3">
        <f t="shared" si="4"/>
        <v>22080.000000000004</v>
      </c>
      <c r="T12">
        <v>2018</v>
      </c>
      <c r="U12" s="3">
        <f>'Vehicle price'!X14</f>
        <v>23</v>
      </c>
      <c r="V12">
        <v>1</v>
      </c>
      <c r="W12" s="3">
        <f t="shared" si="5"/>
        <v>30.592100851060948</v>
      </c>
      <c r="X12" s="3">
        <f>'Vehicle price'!T14</f>
        <v>30.592100851060948</v>
      </c>
      <c r="Y12" s="3">
        <f t="shared" si="11"/>
        <v>30.592100851060948</v>
      </c>
      <c r="Z12">
        <v>1</v>
      </c>
      <c r="AB12">
        <v>2018</v>
      </c>
      <c r="AC12" s="14">
        <v>0.8</v>
      </c>
      <c r="AD12" s="13"/>
      <c r="AE12" s="3">
        <v>205</v>
      </c>
      <c r="AG12">
        <v>2018</v>
      </c>
      <c r="AH12" s="3">
        <v>-4500</v>
      </c>
      <c r="AI12" s="13">
        <f>AI11*AI11/AI10</f>
        <v>118.39599412654299</v>
      </c>
      <c r="AJ12" s="3">
        <f t="shared" si="12"/>
        <v>-4387.6755070202807</v>
      </c>
    </row>
    <row r="13" spans="1:36">
      <c r="A13">
        <v>2019</v>
      </c>
      <c r="B13" s="3">
        <f t="shared" si="6"/>
        <v>31.172994053473918</v>
      </c>
      <c r="C13" s="3">
        <f t="shared" si="0"/>
        <v>24938.395242779137</v>
      </c>
      <c r="D13">
        <v>20</v>
      </c>
      <c r="E13" s="3">
        <f t="shared" si="7"/>
        <v>4987.6790485558276</v>
      </c>
      <c r="F13" s="3">
        <f t="shared" si="1"/>
        <v>-4278.1547455345944</v>
      </c>
      <c r="G13" s="3">
        <f t="shared" si="8"/>
        <v>25647.919545800371</v>
      </c>
      <c r="H13" s="3">
        <v>1200</v>
      </c>
      <c r="I13" s="3">
        <f t="shared" si="9"/>
        <v>26847.919545800371</v>
      </c>
      <c r="K13" s="3">
        <f t="shared" si="13"/>
        <v>205</v>
      </c>
      <c r="L13" s="3">
        <f t="shared" si="15"/>
        <v>1150</v>
      </c>
      <c r="M13" s="3">
        <f t="shared" si="10"/>
        <v>1355</v>
      </c>
      <c r="O13">
        <v>2019</v>
      </c>
      <c r="P13" s="3">
        <f t="shared" si="2"/>
        <v>26847.919545800371</v>
      </c>
      <c r="Q13" s="3">
        <f t="shared" si="3"/>
        <v>28749.321654926855</v>
      </c>
      <c r="R13" s="3">
        <f t="shared" si="4"/>
        <v>22080.000000000004</v>
      </c>
      <c r="T13">
        <v>2019</v>
      </c>
      <c r="U13" s="3">
        <f>'Vehicle price'!X15</f>
        <v>23</v>
      </c>
      <c r="V13" s="20">
        <f>V12+(V24-V12)/12</f>
        <v>1.0249999999999999</v>
      </c>
      <c r="W13" s="3">
        <f t="shared" si="5"/>
        <v>31.952318904810763</v>
      </c>
      <c r="X13" s="3">
        <f>'Vehicle price'!T15</f>
        <v>31.172994053473918</v>
      </c>
      <c r="Y13" s="3">
        <f t="shared" si="11"/>
        <v>30.393669202137069</v>
      </c>
      <c r="Z13" s="20">
        <f>Z12+(Z24-Z12)/12</f>
        <v>0.97499999999999998</v>
      </c>
      <c r="AB13">
        <v>2019</v>
      </c>
      <c r="AC13" s="14">
        <v>0.8</v>
      </c>
      <c r="AE13" s="3">
        <v>205</v>
      </c>
      <c r="AG13">
        <v>2019</v>
      </c>
      <c r="AH13" s="3">
        <v>-4500</v>
      </c>
      <c r="AI13" s="20">
        <f>AI12*AI12/AI11</f>
        <v>121.42693157618248</v>
      </c>
      <c r="AJ13" s="3">
        <f t="shared" si="12"/>
        <v>-4278.1547455345944</v>
      </c>
    </row>
    <row r="14" spans="1:36">
      <c r="A14">
        <v>2020</v>
      </c>
      <c r="B14" s="3">
        <f t="shared" si="6"/>
        <v>30.985903123425071</v>
      </c>
      <c r="C14" s="3">
        <f t="shared" si="0"/>
        <v>24788.722498740059</v>
      </c>
      <c r="D14">
        <v>20</v>
      </c>
      <c r="E14" s="3">
        <f t="shared" si="7"/>
        <v>4957.7444997480115</v>
      </c>
      <c r="F14" s="3">
        <f t="shared" si="1"/>
        <v>-4171.3677316054946</v>
      </c>
      <c r="G14" s="3">
        <f t="shared" si="8"/>
        <v>25575.099266882578</v>
      </c>
      <c r="H14" s="3">
        <v>1200</v>
      </c>
      <c r="I14" s="3">
        <f t="shared" si="9"/>
        <v>26775.099266882578</v>
      </c>
      <c r="K14" s="3">
        <f t="shared" si="13"/>
        <v>205</v>
      </c>
      <c r="L14" s="3">
        <f t="shared" si="15"/>
        <v>1150</v>
      </c>
      <c r="M14" s="3">
        <f t="shared" si="10"/>
        <v>1355</v>
      </c>
      <c r="O14">
        <v>2020</v>
      </c>
      <c r="P14" s="3">
        <f t="shared" si="2"/>
        <v>26775.099266882578</v>
      </c>
      <c r="Q14" s="3">
        <f t="shared" si="3"/>
        <v>28629.040480929463</v>
      </c>
      <c r="R14" s="3">
        <f t="shared" si="4"/>
        <v>22080.000000000004</v>
      </c>
      <c r="T14">
        <v>2020</v>
      </c>
      <c r="U14" s="3">
        <f>'Vehicle price'!X16</f>
        <v>23</v>
      </c>
      <c r="V14" s="20">
        <f>V13+(V24-V12)/12</f>
        <v>1.0499999999999998</v>
      </c>
      <c r="W14" s="3">
        <f t="shared" si="5"/>
        <v>32.535198279596322</v>
      </c>
      <c r="X14" s="3">
        <f>'Vehicle price'!T16</f>
        <v>30.985903123425071</v>
      </c>
      <c r="Y14" s="3">
        <f t="shared" si="11"/>
        <v>29.436607967253817</v>
      </c>
      <c r="Z14" s="20">
        <f>Z13+(Z24-Z12)/12</f>
        <v>0.95</v>
      </c>
      <c r="AB14">
        <v>2020</v>
      </c>
      <c r="AC14" s="14">
        <v>0.8</v>
      </c>
      <c r="AE14" s="3">
        <v>205</v>
      </c>
      <c r="AG14">
        <v>2020</v>
      </c>
      <c r="AH14" s="3">
        <v>-4500</v>
      </c>
      <c r="AI14" s="20">
        <f t="shared" ref="AI14:AI24" si="16">AI13*AI13/AI12</f>
        <v>124.53546102453275</v>
      </c>
      <c r="AJ14" s="3">
        <f t="shared" si="12"/>
        <v>-4171.3677316054946</v>
      </c>
    </row>
    <row r="15" spans="1:36">
      <c r="A15">
        <v>2021</v>
      </c>
      <c r="B15" s="3">
        <f t="shared" si="6"/>
        <v>30.206708843097807</v>
      </c>
      <c r="C15" s="3">
        <f t="shared" si="0"/>
        <v>24165.367074478247</v>
      </c>
      <c r="D15">
        <v>20</v>
      </c>
      <c r="E15" s="3">
        <f t="shared" si="7"/>
        <v>4833.073414895649</v>
      </c>
      <c r="F15" s="3">
        <f t="shared" si="1"/>
        <v>-4067.2462281644839</v>
      </c>
      <c r="G15" s="3">
        <f t="shared" si="8"/>
        <v>24931.194261209414</v>
      </c>
      <c r="H15" s="3">
        <v>1200</v>
      </c>
      <c r="I15" s="3">
        <f t="shared" si="9"/>
        <v>26131.194261209414</v>
      </c>
      <c r="K15" s="3">
        <f t="shared" si="13"/>
        <v>205</v>
      </c>
      <c r="L15" s="3">
        <f t="shared" si="15"/>
        <v>1150</v>
      </c>
      <c r="M15" s="3">
        <f t="shared" si="10"/>
        <v>1355</v>
      </c>
      <c r="O15">
        <v>2021</v>
      </c>
      <c r="P15" s="3">
        <f t="shared" si="2"/>
        <v>26131.194261209414</v>
      </c>
      <c r="Q15" s="3">
        <f t="shared" si="3"/>
        <v>27938.859251504738</v>
      </c>
      <c r="R15" s="3">
        <f t="shared" si="4"/>
        <v>22080.000000000004</v>
      </c>
      <c r="T15">
        <v>2021</v>
      </c>
      <c r="U15" s="3">
        <f>'Vehicle price'!X17</f>
        <v>23</v>
      </c>
      <c r="V15" s="20">
        <f>V14+(V24-V12)/12</f>
        <v>1.0749999999999997</v>
      </c>
      <c r="W15" s="3">
        <f t="shared" si="5"/>
        <v>32.472212006330132</v>
      </c>
      <c r="X15" s="3">
        <f>'Vehicle price'!T17</f>
        <v>30.206708843097807</v>
      </c>
      <c r="Y15" s="3">
        <f t="shared" si="11"/>
        <v>27.941205679865469</v>
      </c>
      <c r="Z15" s="20">
        <f>Z14+(Z24-Z12)/12</f>
        <v>0.92499999999999993</v>
      </c>
      <c r="AB15">
        <v>2021</v>
      </c>
      <c r="AC15" s="14">
        <v>0.8</v>
      </c>
      <c r="AE15" s="3">
        <v>205</v>
      </c>
      <c r="AG15">
        <v>2021</v>
      </c>
      <c r="AH15" s="3">
        <v>-4500</v>
      </c>
      <c r="AI15" s="20">
        <f t="shared" si="16"/>
        <v>127.72356882676078</v>
      </c>
      <c r="AJ15" s="3">
        <f t="shared" si="12"/>
        <v>-4067.2462281644839</v>
      </c>
    </row>
    <row r="16" spans="1:36">
      <c r="A16">
        <v>2022</v>
      </c>
      <c r="B16" s="3">
        <f t="shared" si="6"/>
        <v>30.642454642697771</v>
      </c>
      <c r="C16" s="3">
        <f t="shared" si="0"/>
        <v>24513.963714158221</v>
      </c>
      <c r="D16">
        <v>20</v>
      </c>
      <c r="E16" s="3">
        <f t="shared" si="7"/>
        <v>4902.7927428316443</v>
      </c>
      <c r="F16" s="3">
        <f t="shared" si="1"/>
        <v>-3965.723701408428</v>
      </c>
      <c r="G16" s="3">
        <f t="shared" si="8"/>
        <v>25451.032755581437</v>
      </c>
      <c r="H16" s="3">
        <v>1200</v>
      </c>
      <c r="I16" s="3">
        <f t="shared" si="9"/>
        <v>26651.032755581437</v>
      </c>
      <c r="K16" s="3">
        <f t="shared" si="13"/>
        <v>205</v>
      </c>
      <c r="L16" s="3">
        <f t="shared" si="15"/>
        <v>1150</v>
      </c>
      <c r="M16" s="3">
        <f t="shared" si="10"/>
        <v>1355</v>
      </c>
      <c r="O16">
        <v>2022</v>
      </c>
      <c r="P16" s="3">
        <f t="shared" si="2"/>
        <v>26651.032755581437</v>
      </c>
      <c r="Q16" s="3">
        <f t="shared" si="3"/>
        <v>28413.576622874072</v>
      </c>
      <c r="R16" s="3">
        <f t="shared" si="4"/>
        <v>22080.000000000004</v>
      </c>
      <c r="T16">
        <v>2022</v>
      </c>
      <c r="U16" s="3">
        <f>'Vehicle price'!X18</f>
        <v>23</v>
      </c>
      <c r="V16" s="20">
        <f>V15+(V24-V12)/12</f>
        <v>1.0999999999999996</v>
      </c>
      <c r="W16" s="3">
        <f t="shared" si="5"/>
        <v>33.706700106967538</v>
      </c>
      <c r="X16" s="3">
        <f>'Vehicle price'!T18</f>
        <v>30.642454642697771</v>
      </c>
      <c r="Y16" s="3">
        <f t="shared" si="11"/>
        <v>27.57820917842799</v>
      </c>
      <c r="Z16" s="20">
        <f>Z15+(Z24-Z12)/12</f>
        <v>0.89999999999999991</v>
      </c>
      <c r="AB16">
        <v>2022</v>
      </c>
      <c r="AC16" s="14">
        <v>0.8</v>
      </c>
      <c r="AE16" s="3">
        <v>205</v>
      </c>
      <c r="AG16">
        <v>2022</v>
      </c>
      <c r="AH16" s="3">
        <v>-4500</v>
      </c>
      <c r="AI16" s="20">
        <f t="shared" si="16"/>
        <v>130.99329218872586</v>
      </c>
      <c r="AJ16" s="3">
        <f t="shared" si="12"/>
        <v>-3965.723701408428</v>
      </c>
    </row>
    <row r="17" spans="1:36">
      <c r="A17">
        <v>2023</v>
      </c>
      <c r="B17" s="3">
        <f t="shared" si="6"/>
        <v>30.361546257811007</v>
      </c>
      <c r="C17" s="3">
        <f t="shared" si="0"/>
        <v>24289.237006248808</v>
      </c>
      <c r="D17">
        <v>20</v>
      </c>
      <c r="E17" s="3">
        <f t="shared" si="7"/>
        <v>4857.8474012497618</v>
      </c>
      <c r="F17" s="3">
        <f t="shared" si="1"/>
        <v>-3866.7352782843477</v>
      </c>
      <c r="G17" s="3">
        <f t="shared" si="8"/>
        <v>25280.349129214221</v>
      </c>
      <c r="H17" s="3">
        <v>1200</v>
      </c>
      <c r="I17" s="3">
        <f t="shared" si="9"/>
        <v>26480.349129214221</v>
      </c>
      <c r="K17" s="3">
        <f t="shared" si="13"/>
        <v>205</v>
      </c>
      <c r="L17" s="3">
        <f t="shared" si="15"/>
        <v>1150</v>
      </c>
      <c r="M17" s="3">
        <f t="shared" si="10"/>
        <v>1355</v>
      </c>
      <c r="O17">
        <v>2023</v>
      </c>
      <c r="P17" s="3">
        <f t="shared" si="2"/>
        <v>26480.349129214221</v>
      </c>
      <c r="Q17" s="3">
        <f t="shared" si="3"/>
        <v>28198.898141785041</v>
      </c>
      <c r="R17" s="3">
        <f t="shared" si="4"/>
        <v>22080.000000000004</v>
      </c>
      <c r="T17">
        <v>2023</v>
      </c>
      <c r="U17" s="3">
        <f>'Vehicle price'!X19</f>
        <v>23</v>
      </c>
      <c r="V17" s="20">
        <f>V16+(V24-V12)/12</f>
        <v>1.1249999999999996</v>
      </c>
      <c r="W17" s="3">
        <f t="shared" si="5"/>
        <v>34.156739540037371</v>
      </c>
      <c r="X17" s="3">
        <f>'Vehicle price'!T19</f>
        <v>30.361546257811007</v>
      </c>
      <c r="Y17" s="3">
        <f t="shared" si="11"/>
        <v>26.566352975584628</v>
      </c>
      <c r="Z17" s="20">
        <f>Z16+(Z24-Z12)/12</f>
        <v>0.87499999999999989</v>
      </c>
      <c r="AB17">
        <v>2023</v>
      </c>
      <c r="AC17" s="14">
        <v>0.8</v>
      </c>
      <c r="AE17" s="3">
        <v>205</v>
      </c>
      <c r="AG17">
        <v>2023</v>
      </c>
      <c r="AH17" s="3">
        <v>-4500</v>
      </c>
      <c r="AI17" s="20">
        <f t="shared" si="16"/>
        <v>134.34672046875727</v>
      </c>
      <c r="AJ17" s="3">
        <f t="shared" si="12"/>
        <v>-3866.7352782843477</v>
      </c>
    </row>
    <row r="18" spans="1:36">
      <c r="A18">
        <v>2024</v>
      </c>
      <c r="B18" s="3">
        <f t="shared" si="6"/>
        <v>29.275640447464834</v>
      </c>
      <c r="C18" s="3">
        <f t="shared" si="0"/>
        <v>23420.512357971871</v>
      </c>
      <c r="D18">
        <v>20</v>
      </c>
      <c r="E18" s="3">
        <f t="shared" si="7"/>
        <v>4684.102471594374</v>
      </c>
      <c r="F18" s="3">
        <f t="shared" si="1"/>
        <v>-3770.2177050354394</v>
      </c>
      <c r="G18" s="3">
        <f t="shared" si="8"/>
        <v>24334.397124530806</v>
      </c>
      <c r="H18" s="3">
        <v>1200</v>
      </c>
      <c r="I18" s="3">
        <f t="shared" si="9"/>
        <v>25534.397124530806</v>
      </c>
      <c r="K18" s="3">
        <f t="shared" si="13"/>
        <v>205</v>
      </c>
      <c r="L18" s="3">
        <f t="shared" si="15"/>
        <v>1150</v>
      </c>
      <c r="M18" s="3">
        <f t="shared" si="10"/>
        <v>1355</v>
      </c>
      <c r="O18">
        <v>2024</v>
      </c>
      <c r="P18" s="3">
        <f t="shared" si="2"/>
        <v>25534.397124530806</v>
      </c>
      <c r="Q18" s="3">
        <f t="shared" si="3"/>
        <v>27210.04943787989</v>
      </c>
      <c r="R18" s="3">
        <f t="shared" si="4"/>
        <v>22080.000000000004</v>
      </c>
      <c r="T18">
        <v>2024</v>
      </c>
      <c r="U18" s="3">
        <f>'Vehicle price'!X20</f>
        <v>23</v>
      </c>
      <c r="V18" s="20">
        <f>V17+(V24-V12)/12</f>
        <v>1.1499999999999995</v>
      </c>
      <c r="W18" s="3">
        <f t="shared" si="5"/>
        <v>33.666986514584543</v>
      </c>
      <c r="X18" s="3">
        <f>'Vehicle price'!T20</f>
        <v>29.275640447464834</v>
      </c>
      <c r="Y18" s="3">
        <f t="shared" si="11"/>
        <v>24.884294380345104</v>
      </c>
      <c r="Z18" s="20">
        <f>Z17+(Z24-Z12)/12</f>
        <v>0.84999999999999987</v>
      </c>
      <c r="AB18">
        <v>2024</v>
      </c>
      <c r="AC18" s="14">
        <v>0.8</v>
      </c>
      <c r="AE18" s="3">
        <v>205</v>
      </c>
      <c r="AG18">
        <v>2024</v>
      </c>
      <c r="AH18" s="3">
        <v>-4500</v>
      </c>
      <c r="AI18" s="20">
        <f t="shared" si="16"/>
        <v>137.78599651275749</v>
      </c>
      <c r="AJ18" s="3">
        <f t="shared" si="12"/>
        <v>-3770.2177050354394</v>
      </c>
    </row>
    <row r="19" spans="1:36">
      <c r="A19">
        <v>2025</v>
      </c>
      <c r="B19" s="3">
        <f t="shared" si="6"/>
        <v>28.343375828936317</v>
      </c>
      <c r="C19" s="3">
        <f t="shared" si="0"/>
        <v>22674.700663149055</v>
      </c>
      <c r="D19">
        <v>20</v>
      </c>
      <c r="E19" s="3">
        <f t="shared" si="7"/>
        <v>4534.9401326298112</v>
      </c>
      <c r="F19" s="3">
        <f t="shared" si="1"/>
        <v>-3676.1093067818238</v>
      </c>
      <c r="G19" s="3">
        <f t="shared" si="8"/>
        <v>23533.53148899704</v>
      </c>
      <c r="H19" s="3">
        <v>1200</v>
      </c>
      <c r="I19" s="3">
        <f t="shared" si="9"/>
        <v>24733.53148899704</v>
      </c>
      <c r="K19" s="3">
        <f t="shared" si="13"/>
        <v>205</v>
      </c>
      <c r="L19" s="3">
        <f t="shared" si="15"/>
        <v>1150</v>
      </c>
      <c r="M19" s="3">
        <f t="shared" si="10"/>
        <v>1355</v>
      </c>
      <c r="O19">
        <v>2025</v>
      </c>
      <c r="P19" s="3">
        <f t="shared" si="2"/>
        <v>24733.53148899704</v>
      </c>
      <c r="Q19" s="3">
        <f t="shared" si="3"/>
        <v>26367.357847566742</v>
      </c>
      <c r="R19" s="3">
        <f t="shared" si="4"/>
        <v>22080.000000000004</v>
      </c>
      <c r="T19">
        <v>2025</v>
      </c>
      <c r="U19" s="3">
        <f>'Vehicle price'!X21</f>
        <v>23</v>
      </c>
      <c r="V19" s="20">
        <f>V18+(V24-V12)/12</f>
        <v>1.1749999999999994</v>
      </c>
      <c r="W19" s="3">
        <f t="shared" si="5"/>
        <v>33.303466599000153</v>
      </c>
      <c r="X19" s="3">
        <f>'Vehicle price'!T21</f>
        <v>28.343375828936317</v>
      </c>
      <c r="Y19" s="3">
        <f t="shared" si="11"/>
        <v>23.383285058872456</v>
      </c>
      <c r="Z19" s="20">
        <f>Z18+(Z24-Z12)/12</f>
        <v>0.82499999999999984</v>
      </c>
      <c r="AB19">
        <v>2025</v>
      </c>
      <c r="AC19" s="14">
        <v>0.8</v>
      </c>
      <c r="AE19" s="3">
        <v>205</v>
      </c>
      <c r="AG19">
        <v>2025</v>
      </c>
      <c r="AH19" s="3">
        <v>-4500</v>
      </c>
      <c r="AI19" s="20">
        <f t="shared" si="16"/>
        <v>141.31331802348413</v>
      </c>
      <c r="AJ19" s="3">
        <f t="shared" si="12"/>
        <v>-3676.1093067818238</v>
      </c>
    </row>
    <row r="20" spans="1:36">
      <c r="A20">
        <v>2026</v>
      </c>
      <c r="B20" s="3">
        <f t="shared" si="6"/>
        <v>27.812270474504896</v>
      </c>
      <c r="C20" s="3">
        <f t="shared" si="0"/>
        <v>22249.816379603919</v>
      </c>
      <c r="D20">
        <v>20</v>
      </c>
      <c r="E20" s="3">
        <f t="shared" si="7"/>
        <v>4449.9632759207834</v>
      </c>
      <c r="F20" s="3">
        <f t="shared" si="1"/>
        <v>-3584.3499481102012</v>
      </c>
      <c r="G20" s="3">
        <f t="shared" si="8"/>
        <v>23115.429707414503</v>
      </c>
      <c r="H20" s="3">
        <v>1200</v>
      </c>
      <c r="I20" s="3">
        <f t="shared" si="9"/>
        <v>24315.429707414503</v>
      </c>
      <c r="K20" s="3">
        <f t="shared" si="13"/>
        <v>205</v>
      </c>
      <c r="L20" s="3">
        <f t="shared" si="15"/>
        <v>1150</v>
      </c>
      <c r="M20" s="3">
        <f t="shared" si="10"/>
        <v>1355</v>
      </c>
      <c r="O20">
        <v>2026</v>
      </c>
      <c r="P20" s="3">
        <f t="shared" si="2"/>
        <v>24315.429707414503</v>
      </c>
      <c r="Q20" s="3">
        <f t="shared" si="3"/>
        <v>25908.474128796814</v>
      </c>
      <c r="R20" s="3">
        <f t="shared" si="4"/>
        <v>22080.000000000004</v>
      </c>
      <c r="T20">
        <v>2026</v>
      </c>
      <c r="U20" s="3">
        <f>'Vehicle price'!X22</f>
        <v>23</v>
      </c>
      <c r="V20" s="20">
        <f>V19+(V24-V12)/12</f>
        <v>1.1999999999999993</v>
      </c>
      <c r="W20" s="3">
        <f t="shared" si="5"/>
        <v>33.374724569405856</v>
      </c>
      <c r="X20" s="3">
        <f>'Vehicle price'!T22</f>
        <v>27.812270474504896</v>
      </c>
      <c r="Y20" s="3">
        <f t="shared" si="11"/>
        <v>22.24981637960391</v>
      </c>
      <c r="Z20" s="20">
        <f>Z19+(Z24-Z12)/12</f>
        <v>0.79999999999999982</v>
      </c>
      <c r="AB20">
        <v>2026</v>
      </c>
      <c r="AC20" s="14">
        <v>0.8</v>
      </c>
      <c r="AE20" s="3">
        <v>205</v>
      </c>
      <c r="AG20">
        <v>2026</v>
      </c>
      <c r="AH20" s="3">
        <v>-4500</v>
      </c>
      <c r="AI20" s="20">
        <f t="shared" si="16"/>
        <v>144.93093896488537</v>
      </c>
      <c r="AJ20" s="3">
        <f t="shared" si="12"/>
        <v>-3584.3499481102012</v>
      </c>
    </row>
    <row r="21" spans="1:36">
      <c r="A21">
        <v>2027</v>
      </c>
      <c r="B21" s="3">
        <f t="shared" si="6"/>
        <v>27.281165120073478</v>
      </c>
      <c r="C21" s="3">
        <f t="shared" si="0"/>
        <v>21824.932096058783</v>
      </c>
      <c r="D21">
        <v>20</v>
      </c>
      <c r="E21" s="3">
        <f t="shared" si="7"/>
        <v>4364.9864192117566</v>
      </c>
      <c r="F21" s="3">
        <f t="shared" si="1"/>
        <v>-3494.8809946472306</v>
      </c>
      <c r="G21" s="3">
        <f t="shared" si="8"/>
        <v>22695.037520623308</v>
      </c>
      <c r="H21" s="3">
        <v>1200</v>
      </c>
      <c r="I21" s="3">
        <f t="shared" si="9"/>
        <v>23895.037520623308</v>
      </c>
      <c r="K21" s="3">
        <f t="shared" si="13"/>
        <v>205</v>
      </c>
      <c r="L21" s="3">
        <f t="shared" si="15"/>
        <v>1150</v>
      </c>
      <c r="M21" s="3">
        <f t="shared" si="10"/>
        <v>1355</v>
      </c>
      <c r="O21">
        <v>2027</v>
      </c>
      <c r="P21" s="3">
        <f t="shared" si="2"/>
        <v>23895.037520623308</v>
      </c>
      <c r="Q21" s="3">
        <f t="shared" si="3"/>
        <v>25448.317962688743</v>
      </c>
      <c r="R21" s="3">
        <f t="shared" si="4"/>
        <v>22080.000000000004</v>
      </c>
      <c r="T21">
        <v>2027</v>
      </c>
      <c r="U21" s="3">
        <f>'Vehicle price'!X23</f>
        <v>23</v>
      </c>
      <c r="V21" s="20">
        <f>V20+(V24-V12)/12</f>
        <v>1.2249999999999992</v>
      </c>
      <c r="W21" s="3">
        <f t="shared" si="5"/>
        <v>33.41942727208999</v>
      </c>
      <c r="X21" s="3">
        <f>'Vehicle price'!T23</f>
        <v>27.281165120073478</v>
      </c>
      <c r="Y21" s="3">
        <f t="shared" si="11"/>
        <v>21.142902968056941</v>
      </c>
      <c r="Z21" s="20">
        <f>Z20+(Z24-Z12)/12</f>
        <v>0.7749999999999998</v>
      </c>
      <c r="AB21">
        <v>2027</v>
      </c>
      <c r="AC21" s="14">
        <v>0.8</v>
      </c>
      <c r="AE21" s="3">
        <v>205</v>
      </c>
      <c r="AG21">
        <v>2027</v>
      </c>
      <c r="AH21" s="3">
        <v>-4500</v>
      </c>
      <c r="AI21" s="20">
        <f t="shared" si="16"/>
        <v>148.6411710023865</v>
      </c>
      <c r="AJ21" s="3">
        <f t="shared" si="12"/>
        <v>-3494.8809946472306</v>
      </c>
    </row>
    <row r="22" spans="1:36">
      <c r="A22">
        <v>2028</v>
      </c>
      <c r="B22" s="3">
        <f t="shared" si="6"/>
        <v>26.683671596338133</v>
      </c>
      <c r="C22" s="3">
        <f t="shared" si="0"/>
        <v>21346.937277070509</v>
      </c>
      <c r="D22">
        <v>20</v>
      </c>
      <c r="E22" s="3">
        <f t="shared" si="7"/>
        <v>4269.3874554141021</v>
      </c>
      <c r="F22" s="3">
        <f t="shared" si="1"/>
        <v>-3407.6452755920718</v>
      </c>
      <c r="G22" s="3">
        <f t="shared" si="8"/>
        <v>22208.679456892536</v>
      </c>
      <c r="H22" s="3">
        <v>1200</v>
      </c>
      <c r="I22" s="3">
        <f t="shared" si="9"/>
        <v>23408.679456892536</v>
      </c>
      <c r="K22" s="3">
        <f t="shared" si="13"/>
        <v>205</v>
      </c>
      <c r="L22" s="3">
        <f t="shared" si="15"/>
        <v>1150</v>
      </c>
      <c r="M22" s="3">
        <f t="shared" si="10"/>
        <v>1355</v>
      </c>
      <c r="O22">
        <v>2028</v>
      </c>
      <c r="P22" s="3">
        <f t="shared" si="2"/>
        <v>23408.679456892536</v>
      </c>
      <c r="Q22" s="3">
        <f t="shared" si="3"/>
        <v>24923.188468266791</v>
      </c>
      <c r="R22" s="3">
        <f t="shared" si="4"/>
        <v>22080.000000000004</v>
      </c>
      <c r="T22">
        <v>2028</v>
      </c>
      <c r="U22" s="3">
        <f>'Vehicle price'!X24</f>
        <v>23</v>
      </c>
      <c r="V22" s="20">
        <f>V21+(V24-V12)/12</f>
        <v>1.2499999999999991</v>
      </c>
      <c r="W22" s="3">
        <f t="shared" si="5"/>
        <v>33.354589495422644</v>
      </c>
      <c r="X22" s="3">
        <f>'Vehicle price'!T24</f>
        <v>26.683671596338133</v>
      </c>
      <c r="Y22" s="3">
        <f t="shared" si="11"/>
        <v>20.012753697253594</v>
      </c>
      <c r="Z22" s="20">
        <f>Z21+(Z24-Z12)/12</f>
        <v>0.74999999999999978</v>
      </c>
      <c r="AB22">
        <v>2028</v>
      </c>
      <c r="AC22" s="14">
        <v>0.8</v>
      </c>
      <c r="AE22" s="3">
        <v>205</v>
      </c>
      <c r="AG22">
        <v>2028</v>
      </c>
      <c r="AH22" s="3">
        <v>-4500</v>
      </c>
      <c r="AI22" s="20">
        <f t="shared" si="16"/>
        <v>152.44638498004767</v>
      </c>
      <c r="AJ22" s="3">
        <f t="shared" si="12"/>
        <v>-3407.6452755920718</v>
      </c>
    </row>
    <row r="23" spans="1:36">
      <c r="A23">
        <v>2029</v>
      </c>
      <c r="B23" s="3">
        <f t="shared" si="6"/>
        <v>26.152566241906715</v>
      </c>
      <c r="C23" s="3">
        <f t="shared" si="0"/>
        <v>20922.052993525373</v>
      </c>
      <c r="D23">
        <v>20</v>
      </c>
      <c r="E23" s="3">
        <f t="shared" si="7"/>
        <v>4184.4105987050743</v>
      </c>
      <c r="F23" s="3">
        <f t="shared" si="1"/>
        <v>-3322.5870471841558</v>
      </c>
      <c r="G23" s="3">
        <f t="shared" si="8"/>
        <v>21783.876545046292</v>
      </c>
      <c r="H23" s="3">
        <v>1200</v>
      </c>
      <c r="I23" s="3">
        <f t="shared" si="9"/>
        <v>22983.876545046292</v>
      </c>
      <c r="K23" s="3">
        <f t="shared" si="13"/>
        <v>205</v>
      </c>
      <c r="L23" s="3">
        <f t="shared" si="15"/>
        <v>1150</v>
      </c>
      <c r="M23" s="3">
        <f t="shared" si="10"/>
        <v>1355</v>
      </c>
      <c r="O23">
        <v>2029</v>
      </c>
      <c r="P23" s="3">
        <f t="shared" si="2"/>
        <v>22983.876545046292</v>
      </c>
      <c r="Q23" s="3">
        <f t="shared" si="3"/>
        <v>24460.58189935036</v>
      </c>
      <c r="R23" s="3">
        <f t="shared" si="4"/>
        <v>22080.000000000004</v>
      </c>
      <c r="T23">
        <v>2029</v>
      </c>
      <c r="U23" s="3">
        <f>'Vehicle price'!X25</f>
        <v>23</v>
      </c>
      <c r="V23" s="20">
        <f>V22+(V24-V12)/12</f>
        <v>1.274999999999999</v>
      </c>
      <c r="W23" s="3">
        <f t="shared" si="5"/>
        <v>33.344521958431038</v>
      </c>
      <c r="X23" s="3">
        <f>'Vehicle price'!T25</f>
        <v>26.152566241906715</v>
      </c>
      <c r="Y23" s="3">
        <f t="shared" si="11"/>
        <v>18.960610525382361</v>
      </c>
      <c r="Z23" s="20">
        <f>Z22+(Z24-Z12)/12</f>
        <v>0.72499999999999976</v>
      </c>
      <c r="AB23">
        <v>2029</v>
      </c>
      <c r="AC23" s="14">
        <v>0.8</v>
      </c>
      <c r="AE23" s="3">
        <v>205</v>
      </c>
      <c r="AG23">
        <v>2029</v>
      </c>
      <c r="AH23" s="3">
        <v>-4500</v>
      </c>
      <c r="AI23" s="20">
        <f t="shared" si="16"/>
        <v>156.34901243553696</v>
      </c>
      <c r="AJ23" s="3">
        <f t="shared" si="12"/>
        <v>-3322.5870471841558</v>
      </c>
    </row>
    <row r="24" spans="1:36">
      <c r="A24">
        <v>2030</v>
      </c>
      <c r="B24" s="3">
        <f t="shared" si="6"/>
        <v>25.55507271817137</v>
      </c>
      <c r="C24" s="3">
        <f t="shared" si="0"/>
        <v>20444.058174537098</v>
      </c>
      <c r="D24">
        <v>20</v>
      </c>
      <c r="E24" s="3">
        <f t="shared" si="7"/>
        <v>4088.8116349074198</v>
      </c>
      <c r="F24" s="3">
        <f t="shared" si="1"/>
        <v>-3239.6519570828341</v>
      </c>
      <c r="G24" s="3">
        <f t="shared" si="8"/>
        <v>21293.217852361682</v>
      </c>
      <c r="H24" s="3">
        <v>1200</v>
      </c>
      <c r="I24" s="3">
        <f t="shared" si="9"/>
        <v>22493.217852361682</v>
      </c>
      <c r="K24" s="3">
        <f t="shared" si="13"/>
        <v>205</v>
      </c>
      <c r="L24" s="3">
        <f t="shared" si="15"/>
        <v>1150</v>
      </c>
      <c r="M24" s="3">
        <f t="shared" si="10"/>
        <v>1355</v>
      </c>
      <c r="O24">
        <v>2030</v>
      </c>
      <c r="P24" s="3">
        <f t="shared" si="2"/>
        <v>22493.217852361682</v>
      </c>
      <c r="Q24" s="3">
        <f t="shared" si="3"/>
        <v>23933.063166620719</v>
      </c>
      <c r="R24" s="3">
        <f t="shared" si="4"/>
        <v>22080.000000000004</v>
      </c>
      <c r="T24">
        <v>2030</v>
      </c>
      <c r="U24" s="3">
        <f>'Vehicle price'!X26</f>
        <v>23</v>
      </c>
      <c r="V24">
        <v>1.3</v>
      </c>
      <c r="W24" s="3">
        <f t="shared" si="5"/>
        <v>33.221594533622785</v>
      </c>
      <c r="X24" s="3">
        <f>'Vehicle price'!T26</f>
        <v>25.55507271817137</v>
      </c>
      <c r="Y24" s="3">
        <f t="shared" si="11"/>
        <v>17.88855090271996</v>
      </c>
      <c r="Z24">
        <v>0.7</v>
      </c>
      <c r="AB24">
        <v>2030</v>
      </c>
      <c r="AC24" s="14">
        <v>0.8</v>
      </c>
      <c r="AE24" s="3">
        <v>205</v>
      </c>
      <c r="AG24">
        <v>2030</v>
      </c>
      <c r="AH24" s="3">
        <v>-4500</v>
      </c>
      <c r="AI24" s="20">
        <f t="shared" si="16"/>
        <v>160.35154715388677</v>
      </c>
      <c r="AJ24" s="3">
        <f t="shared" si="12"/>
        <v>-3239.6519570828341</v>
      </c>
    </row>
    <row r="25" spans="1:36">
      <c r="E25" s="3"/>
    </row>
    <row r="26" spans="1:36">
      <c r="A26" t="s">
        <v>324</v>
      </c>
      <c r="B26" t="s">
        <v>1395</v>
      </c>
      <c r="C26" t="s">
        <v>731</v>
      </c>
      <c r="D26" t="s">
        <v>498</v>
      </c>
      <c r="E26" s="3" t="s">
        <v>731</v>
      </c>
      <c r="F26" t="s">
        <v>731</v>
      </c>
      <c r="G26" t="s">
        <v>731</v>
      </c>
      <c r="H26" t="s">
        <v>731</v>
      </c>
      <c r="I26" t="s">
        <v>731</v>
      </c>
      <c r="K26" t="s">
        <v>731</v>
      </c>
      <c r="L26" t="s">
        <v>731</v>
      </c>
      <c r="AH26" t="s">
        <v>855</v>
      </c>
      <c r="AJ26" t="s">
        <v>856</v>
      </c>
    </row>
    <row r="27" spans="1:36">
      <c r="B27" t="s">
        <v>711</v>
      </c>
      <c r="C27" t="s">
        <v>711</v>
      </c>
      <c r="D27" t="s">
        <v>714</v>
      </c>
      <c r="E27" s="3" t="s">
        <v>728</v>
      </c>
      <c r="F27" t="s">
        <v>733</v>
      </c>
      <c r="G27" t="s">
        <v>717</v>
      </c>
      <c r="H27" t="s">
        <v>755</v>
      </c>
      <c r="I27" t="s">
        <v>717</v>
      </c>
      <c r="K27" t="s">
        <v>906</v>
      </c>
      <c r="L27" t="s">
        <v>993</v>
      </c>
      <c r="M27" t="s">
        <v>981</v>
      </c>
      <c r="AH27" t="s">
        <v>854</v>
      </c>
      <c r="AI27" t="s">
        <v>850</v>
      </c>
      <c r="AJ27" t="s">
        <v>854</v>
      </c>
    </row>
    <row r="28" spans="1:36">
      <c r="A28">
        <v>2009</v>
      </c>
      <c r="B28" s="3">
        <f t="shared" ref="B28:B49" si="17">B3</f>
        <v>29.592572886961211</v>
      </c>
      <c r="C28" s="3">
        <f t="shared" ref="C28:C49" si="18">B28*AC3*1000</f>
        <v>18996.034795025254</v>
      </c>
      <c r="D28">
        <v>15</v>
      </c>
      <c r="E28" s="3">
        <f>C28*D28/100</f>
        <v>2849.4052192537883</v>
      </c>
      <c r="F28" s="3">
        <f>AJ3</f>
        <v>0</v>
      </c>
      <c r="G28" s="3">
        <f>C28+E28+F28</f>
        <v>21845.440014279044</v>
      </c>
      <c r="H28" s="3">
        <v>1200</v>
      </c>
      <c r="I28" s="3">
        <f>G28+H28</f>
        <v>23045.440014279044</v>
      </c>
      <c r="K28" s="3">
        <v>0</v>
      </c>
      <c r="L28" s="3">
        <f t="shared" ref="L28:L49" si="19">L3</f>
        <v>800</v>
      </c>
      <c r="M28" s="3">
        <f>K28+L28</f>
        <v>800</v>
      </c>
      <c r="AG28">
        <v>2009</v>
      </c>
      <c r="AH28" s="3">
        <v>0</v>
      </c>
      <c r="AI28" s="13">
        <f t="shared" ref="AI28:AI49" si="20">AI3</f>
        <v>96.818810779581781</v>
      </c>
      <c r="AJ28" s="3">
        <f t="shared" ref="AJ28:AJ36" si="21">AH28*AI$11/AI28</f>
        <v>0</v>
      </c>
    </row>
    <row r="29" spans="1:36">
      <c r="A29">
        <v>2010</v>
      </c>
      <c r="B29" s="3">
        <f t="shared" si="17"/>
        <v>30</v>
      </c>
      <c r="C29" s="3">
        <f t="shared" si="18"/>
        <v>19447.156975532871</v>
      </c>
      <c r="D29">
        <v>17.5</v>
      </c>
      <c r="E29" s="3">
        <f t="shared" ref="E29:E49" si="22">C29*D29/100</f>
        <v>3403.2524707182524</v>
      </c>
      <c r="F29" s="3">
        <f>AJ4</f>
        <v>0</v>
      </c>
      <c r="G29" s="3">
        <f t="shared" ref="G29:G49" si="23">C29+E29+F29</f>
        <v>22850.409446251124</v>
      </c>
      <c r="H29" s="3">
        <v>1200</v>
      </c>
      <c r="I29" s="3">
        <f t="shared" ref="I29:I49" si="24">G29+H29</f>
        <v>24050.409446251124</v>
      </c>
      <c r="K29" s="3">
        <v>0</v>
      </c>
      <c r="L29" s="3">
        <f t="shared" si="19"/>
        <v>800</v>
      </c>
      <c r="M29" s="3">
        <f t="shared" ref="M29:M49" si="25">K29+L29</f>
        <v>800</v>
      </c>
      <c r="AG29">
        <v>2010</v>
      </c>
      <c r="AH29" s="3">
        <v>0</v>
      </c>
      <c r="AI29" s="13">
        <f t="shared" si="20"/>
        <v>100</v>
      </c>
      <c r="AJ29" s="3">
        <f t="shared" si="21"/>
        <v>0</v>
      </c>
    </row>
    <row r="30" spans="1:36">
      <c r="A30">
        <v>2011</v>
      </c>
      <c r="B30" s="3">
        <f t="shared" si="17"/>
        <v>30</v>
      </c>
      <c r="C30" s="3">
        <f t="shared" si="18"/>
        <v>18690.273140029309</v>
      </c>
      <c r="D30">
        <v>20</v>
      </c>
      <c r="E30" s="3">
        <f t="shared" si="22"/>
        <v>3738.054628005862</v>
      </c>
      <c r="F30" s="3">
        <f t="shared" ref="F30:F49" si="26">AJ30</f>
        <v>-2762.156150898747</v>
      </c>
      <c r="G30" s="3">
        <f t="shared" si="23"/>
        <v>19666.171617136424</v>
      </c>
      <c r="H30" s="3">
        <v>1200</v>
      </c>
      <c r="I30" s="3">
        <f>G30+H30</f>
        <v>20866.171617136424</v>
      </c>
      <c r="K30" s="3">
        <f t="shared" ref="K30:K39" si="27">(AE3-10)</f>
        <v>195</v>
      </c>
      <c r="L30" s="3">
        <f t="shared" si="19"/>
        <v>800</v>
      </c>
      <c r="M30" s="3">
        <f t="shared" si="25"/>
        <v>995</v>
      </c>
      <c r="AG30">
        <v>2011</v>
      </c>
      <c r="AH30" s="3">
        <f t="shared" ref="AH30:AH49" si="28">MAX(-2500,-0.25*(C28))</f>
        <v>-2500</v>
      </c>
      <c r="AI30" s="13">
        <f t="shared" si="20"/>
        <v>104.48423767089844</v>
      </c>
      <c r="AJ30" s="3">
        <f t="shared" si="21"/>
        <v>-2762.156150898747</v>
      </c>
    </row>
    <row r="31" spans="1:36">
      <c r="A31">
        <v>2012</v>
      </c>
      <c r="B31" s="3">
        <f t="shared" si="17"/>
        <v>30.842462459493706</v>
      </c>
      <c r="C31" s="3">
        <f t="shared" si="18"/>
        <v>19372.311177248026</v>
      </c>
      <c r="D31">
        <v>20</v>
      </c>
      <c r="E31" s="3">
        <f t="shared" si="22"/>
        <v>3874.462235449605</v>
      </c>
      <c r="F31" s="3">
        <f t="shared" si="26"/>
        <v>-2686.3550030217189</v>
      </c>
      <c r="G31" s="3">
        <f t="shared" si="23"/>
        <v>20560.418409675913</v>
      </c>
      <c r="H31" s="3">
        <v>1200</v>
      </c>
      <c r="I31" s="3">
        <f t="shared" si="24"/>
        <v>21760.418409675913</v>
      </c>
      <c r="K31" s="3">
        <f t="shared" si="27"/>
        <v>195</v>
      </c>
      <c r="L31" s="3">
        <f t="shared" si="19"/>
        <v>800</v>
      </c>
      <c r="M31" s="3">
        <f t="shared" si="25"/>
        <v>995</v>
      </c>
      <c r="AG31">
        <v>2012</v>
      </c>
      <c r="AH31" s="3">
        <f t="shared" si="28"/>
        <v>-2500</v>
      </c>
      <c r="AI31" s="13">
        <f t="shared" si="20"/>
        <v>107.43247985839844</v>
      </c>
      <c r="AJ31" s="3">
        <f t="shared" si="21"/>
        <v>-2686.3550030217189</v>
      </c>
    </row>
    <row r="32" spans="1:36">
      <c r="A32">
        <v>2013</v>
      </c>
      <c r="B32" s="3">
        <f t="shared" si="17"/>
        <v>31.143929334439989</v>
      </c>
      <c r="C32" s="3">
        <f t="shared" si="18"/>
        <v>19927.194679307104</v>
      </c>
      <c r="D32">
        <v>20</v>
      </c>
      <c r="E32" s="3">
        <f t="shared" si="22"/>
        <v>3985.4389358614212</v>
      </c>
      <c r="F32" s="3">
        <f t="shared" si="26"/>
        <v>-2619.4401229379523</v>
      </c>
      <c r="G32" s="3">
        <f t="shared" si="23"/>
        <v>21293.193492230574</v>
      </c>
      <c r="H32" s="3">
        <v>1200</v>
      </c>
      <c r="I32" s="3">
        <f t="shared" si="24"/>
        <v>22493.193492230574</v>
      </c>
      <c r="K32" s="3">
        <f t="shared" si="27"/>
        <v>195</v>
      </c>
      <c r="L32" s="3">
        <f t="shared" si="19"/>
        <v>1000</v>
      </c>
      <c r="M32" s="3">
        <f t="shared" si="25"/>
        <v>1195</v>
      </c>
      <c r="AG32">
        <v>2013</v>
      </c>
      <c r="AH32" s="3">
        <f t="shared" si="28"/>
        <v>-2500</v>
      </c>
      <c r="AI32" s="13">
        <f t="shared" si="20"/>
        <v>110.17689514160156</v>
      </c>
      <c r="AJ32" s="3">
        <f t="shared" si="21"/>
        <v>-2619.4401229379523</v>
      </c>
    </row>
    <row r="33" spans="1:36">
      <c r="A33">
        <v>2014</v>
      </c>
      <c r="B33" s="3">
        <f t="shared" si="17"/>
        <v>33.541755956678692</v>
      </c>
      <c r="C33" s="3">
        <f t="shared" si="18"/>
        <v>20386.224087574232</v>
      </c>
      <c r="D33">
        <v>20</v>
      </c>
      <c r="E33" s="3">
        <f t="shared" si="22"/>
        <v>4077.2448175148461</v>
      </c>
      <c r="F33" s="3">
        <f t="shared" si="26"/>
        <v>-2581.7417145293871</v>
      </c>
      <c r="G33" s="3">
        <f t="shared" si="23"/>
        <v>21881.72719055969</v>
      </c>
      <c r="H33" s="3">
        <v>1200</v>
      </c>
      <c r="I33" s="3">
        <f t="shared" si="24"/>
        <v>23081.72719055969</v>
      </c>
      <c r="K33" s="3">
        <f t="shared" si="27"/>
        <v>195</v>
      </c>
      <c r="L33" s="3">
        <f t="shared" si="19"/>
        <v>1150</v>
      </c>
      <c r="M33" s="3">
        <f t="shared" si="25"/>
        <v>1345</v>
      </c>
      <c r="AG33">
        <v>2014</v>
      </c>
      <c r="AH33" s="3">
        <f t="shared" si="28"/>
        <v>-2500</v>
      </c>
      <c r="AI33" s="13">
        <f t="shared" si="20"/>
        <v>111.78569030761719</v>
      </c>
      <c r="AJ33" s="3">
        <f t="shared" si="21"/>
        <v>-2581.7417145293871</v>
      </c>
    </row>
    <row r="34" spans="1:36">
      <c r="A34">
        <v>2015</v>
      </c>
      <c r="B34" s="3">
        <f t="shared" si="17"/>
        <v>30</v>
      </c>
      <c r="C34" s="3">
        <f t="shared" si="18"/>
        <v>19663.198553216185</v>
      </c>
      <c r="D34">
        <v>20</v>
      </c>
      <c r="E34" s="3">
        <f t="shared" si="22"/>
        <v>3932.6397106432369</v>
      </c>
      <c r="F34" s="3">
        <f t="shared" si="26"/>
        <v>-2580.45095841187</v>
      </c>
      <c r="G34" s="3">
        <f t="shared" si="23"/>
        <v>21015.387305447552</v>
      </c>
      <c r="H34" s="3">
        <v>1200</v>
      </c>
      <c r="I34" s="3">
        <f t="shared" si="24"/>
        <v>22215.387305447552</v>
      </c>
      <c r="K34" s="3">
        <f t="shared" si="27"/>
        <v>195</v>
      </c>
      <c r="L34" s="3">
        <f t="shared" si="19"/>
        <v>1150</v>
      </c>
      <c r="M34" s="3">
        <f t="shared" si="25"/>
        <v>1345</v>
      </c>
      <c r="AG34">
        <v>2015</v>
      </c>
      <c r="AH34" s="3">
        <f t="shared" si="28"/>
        <v>-2500</v>
      </c>
      <c r="AI34" s="13">
        <f t="shared" si="20"/>
        <v>111.84160614013672</v>
      </c>
      <c r="AJ34" s="3">
        <f t="shared" si="21"/>
        <v>-2580.45095841187</v>
      </c>
    </row>
    <row r="35" spans="1:36">
      <c r="A35">
        <v>2016</v>
      </c>
      <c r="B35" s="3">
        <f t="shared" si="17"/>
        <v>30</v>
      </c>
      <c r="C35" s="3">
        <f t="shared" si="18"/>
        <v>22394.489345245427</v>
      </c>
      <c r="D35">
        <v>20</v>
      </c>
      <c r="E35" s="3">
        <f t="shared" si="22"/>
        <v>4478.8978690490858</v>
      </c>
      <c r="F35" s="3">
        <f t="shared" si="26"/>
        <v>-2564</v>
      </c>
      <c r="G35" s="3">
        <f t="shared" si="23"/>
        <v>24309.387214294511</v>
      </c>
      <c r="H35" s="3">
        <v>1200</v>
      </c>
      <c r="I35" s="3">
        <f t="shared" si="24"/>
        <v>25509.387214294511</v>
      </c>
      <c r="K35" s="3">
        <f t="shared" si="27"/>
        <v>195</v>
      </c>
      <c r="L35" s="3">
        <f t="shared" si="19"/>
        <v>1150</v>
      </c>
      <c r="M35" s="3">
        <f t="shared" si="25"/>
        <v>1345</v>
      </c>
      <c r="AG35">
        <v>2016</v>
      </c>
      <c r="AH35" s="3">
        <f t="shared" si="28"/>
        <v>-2500</v>
      </c>
      <c r="AI35" s="13">
        <f t="shared" si="20"/>
        <v>112.55919647216797</v>
      </c>
      <c r="AJ35" s="3">
        <f t="shared" si="21"/>
        <v>-2564</v>
      </c>
    </row>
    <row r="36" spans="1:36">
      <c r="A36">
        <v>2017</v>
      </c>
      <c r="B36" s="3">
        <f t="shared" si="17"/>
        <v>30</v>
      </c>
      <c r="C36" s="3">
        <f t="shared" si="18"/>
        <v>23131.703828902042</v>
      </c>
      <c r="D36">
        <v>20</v>
      </c>
      <c r="E36" s="3">
        <f t="shared" si="22"/>
        <v>4626.3407657804082</v>
      </c>
      <c r="F36" s="3">
        <f t="shared" si="26"/>
        <v>-2499.9999999999995</v>
      </c>
      <c r="G36" s="3">
        <f t="shared" si="23"/>
        <v>25258.044594682451</v>
      </c>
      <c r="H36" s="3">
        <v>1200</v>
      </c>
      <c r="I36" s="3">
        <f t="shared" si="24"/>
        <v>26458.044594682451</v>
      </c>
      <c r="K36" s="3">
        <f t="shared" si="27"/>
        <v>195</v>
      </c>
      <c r="L36" s="3">
        <f t="shared" si="19"/>
        <v>1150</v>
      </c>
      <c r="M36" s="3">
        <f t="shared" si="25"/>
        <v>1345</v>
      </c>
      <c r="AG36">
        <v>2017</v>
      </c>
      <c r="AH36" s="3">
        <f t="shared" si="28"/>
        <v>-2500</v>
      </c>
      <c r="AI36" s="13">
        <f t="shared" si="20"/>
        <v>115.44071190185548</v>
      </c>
      <c r="AJ36" s="3">
        <f t="shared" si="21"/>
        <v>-2499.9999999999995</v>
      </c>
    </row>
    <row r="37" spans="1:36">
      <c r="A37">
        <v>2018</v>
      </c>
      <c r="B37" s="3">
        <f t="shared" si="17"/>
        <v>30.592100851060948</v>
      </c>
      <c r="C37" s="3">
        <f t="shared" si="18"/>
        <v>24473.68068084876</v>
      </c>
      <c r="D37">
        <v>20</v>
      </c>
      <c r="E37" s="3">
        <f t="shared" si="22"/>
        <v>4894.7361361697522</v>
      </c>
      <c r="F37" s="3">
        <f t="shared" si="26"/>
        <v>-2437.5975039001555</v>
      </c>
      <c r="G37" s="3">
        <f t="shared" si="23"/>
        <v>26930.819313118354</v>
      </c>
      <c r="H37" s="3">
        <v>1200</v>
      </c>
      <c r="I37" s="3">
        <f t="shared" si="24"/>
        <v>28130.819313118354</v>
      </c>
      <c r="K37" s="3">
        <f t="shared" si="27"/>
        <v>195</v>
      </c>
      <c r="L37" s="3">
        <f t="shared" si="19"/>
        <v>1150</v>
      </c>
      <c r="M37" s="3">
        <f t="shared" si="25"/>
        <v>1345</v>
      </c>
      <c r="AG37">
        <v>2018</v>
      </c>
      <c r="AH37" s="3">
        <f t="shared" si="28"/>
        <v>-2500</v>
      </c>
      <c r="AI37" s="13">
        <f t="shared" si="20"/>
        <v>118.39599412654299</v>
      </c>
      <c r="AJ37" s="3">
        <f t="shared" ref="AJ37:AJ49" si="29">AH37*AI$11/AI37</f>
        <v>-2437.5975039001555</v>
      </c>
    </row>
    <row r="38" spans="1:36">
      <c r="A38">
        <v>2019</v>
      </c>
      <c r="B38" s="3">
        <f t="shared" si="17"/>
        <v>31.172994053473918</v>
      </c>
      <c r="C38" s="3">
        <f t="shared" si="18"/>
        <v>24938.395242779137</v>
      </c>
      <c r="D38">
        <v>20</v>
      </c>
      <c r="E38" s="3">
        <f t="shared" si="22"/>
        <v>4987.6790485558276</v>
      </c>
      <c r="F38" s="3">
        <f t="shared" si="26"/>
        <v>-2376.7526364081082</v>
      </c>
      <c r="G38" s="3">
        <f t="shared" si="23"/>
        <v>27549.321654926855</v>
      </c>
      <c r="H38" s="3">
        <v>1200</v>
      </c>
      <c r="I38" s="3">
        <f t="shared" si="24"/>
        <v>28749.321654926855</v>
      </c>
      <c r="K38" s="3">
        <f t="shared" si="27"/>
        <v>195</v>
      </c>
      <c r="L38" s="3">
        <f t="shared" si="19"/>
        <v>1150</v>
      </c>
      <c r="M38" s="3">
        <f t="shared" si="25"/>
        <v>1345</v>
      </c>
      <c r="AG38">
        <v>2019</v>
      </c>
      <c r="AH38" s="3">
        <f t="shared" si="28"/>
        <v>-2500</v>
      </c>
      <c r="AI38" s="20">
        <f t="shared" si="20"/>
        <v>121.42693157618248</v>
      </c>
      <c r="AJ38" s="3">
        <f t="shared" si="29"/>
        <v>-2376.7526364081082</v>
      </c>
    </row>
    <row r="39" spans="1:36">
      <c r="A39">
        <v>2020</v>
      </c>
      <c r="B39" s="3">
        <f t="shared" si="17"/>
        <v>30.985903123425071</v>
      </c>
      <c r="C39" s="3">
        <f t="shared" si="18"/>
        <v>24788.722498740059</v>
      </c>
      <c r="D39">
        <v>20</v>
      </c>
      <c r="E39" s="3">
        <f t="shared" si="22"/>
        <v>4957.7444997480115</v>
      </c>
      <c r="F39" s="3">
        <f t="shared" si="26"/>
        <v>-2317.4265175586079</v>
      </c>
      <c r="G39" s="3">
        <f t="shared" si="23"/>
        <v>27429.040480929463</v>
      </c>
      <c r="H39" s="3">
        <v>1200</v>
      </c>
      <c r="I39" s="3">
        <f t="shared" si="24"/>
        <v>28629.040480929463</v>
      </c>
      <c r="K39" s="3">
        <f t="shared" si="27"/>
        <v>195</v>
      </c>
      <c r="L39" s="3">
        <f t="shared" si="19"/>
        <v>1150</v>
      </c>
      <c r="M39" s="3">
        <f t="shared" si="25"/>
        <v>1345</v>
      </c>
      <c r="AG39">
        <v>2020</v>
      </c>
      <c r="AH39" s="3">
        <f t="shared" si="28"/>
        <v>-2500</v>
      </c>
      <c r="AI39" s="20">
        <f t="shared" si="20"/>
        <v>124.53546102453275</v>
      </c>
      <c r="AJ39" s="3">
        <f t="shared" si="29"/>
        <v>-2317.4265175586079</v>
      </c>
    </row>
    <row r="40" spans="1:36">
      <c r="A40">
        <v>2021</v>
      </c>
      <c r="B40" s="3">
        <f t="shared" si="17"/>
        <v>30.206708843097807</v>
      </c>
      <c r="C40" s="3">
        <f t="shared" si="18"/>
        <v>24165.367074478247</v>
      </c>
      <c r="D40">
        <v>20</v>
      </c>
      <c r="E40" s="3">
        <f t="shared" si="22"/>
        <v>4833.073414895649</v>
      </c>
      <c r="F40" s="3">
        <f t="shared" si="26"/>
        <v>-2259.5812378691576</v>
      </c>
      <c r="G40" s="3">
        <f t="shared" si="23"/>
        <v>26738.859251504738</v>
      </c>
      <c r="H40" s="3">
        <v>1200</v>
      </c>
      <c r="I40" s="3">
        <f t="shared" si="24"/>
        <v>27938.859251504738</v>
      </c>
      <c r="K40" s="3">
        <f t="shared" ref="K40:K49" si="30">AE13</f>
        <v>205</v>
      </c>
      <c r="L40" s="3">
        <f t="shared" si="19"/>
        <v>1150</v>
      </c>
      <c r="M40" s="3">
        <f t="shared" si="25"/>
        <v>1355</v>
      </c>
      <c r="AG40">
        <v>2021</v>
      </c>
      <c r="AH40" s="3">
        <f t="shared" si="28"/>
        <v>-2500</v>
      </c>
      <c r="AI40" s="20">
        <f t="shared" si="20"/>
        <v>127.72356882676078</v>
      </c>
      <c r="AJ40" s="3">
        <f t="shared" si="29"/>
        <v>-2259.5812378691576</v>
      </c>
    </row>
    <row r="41" spans="1:36">
      <c r="A41">
        <v>2022</v>
      </c>
      <c r="B41" s="3">
        <f t="shared" si="17"/>
        <v>30.642454642697771</v>
      </c>
      <c r="C41" s="3">
        <f t="shared" si="18"/>
        <v>24513.963714158221</v>
      </c>
      <c r="D41">
        <v>20</v>
      </c>
      <c r="E41" s="3">
        <f t="shared" si="22"/>
        <v>4902.7927428316443</v>
      </c>
      <c r="F41" s="3">
        <f t="shared" si="26"/>
        <v>-2203.1798341157933</v>
      </c>
      <c r="G41" s="3">
        <f t="shared" si="23"/>
        <v>27213.576622874072</v>
      </c>
      <c r="H41" s="3">
        <v>1200</v>
      </c>
      <c r="I41" s="3">
        <f t="shared" si="24"/>
        <v>28413.576622874072</v>
      </c>
      <c r="K41" s="3">
        <f t="shared" si="30"/>
        <v>205</v>
      </c>
      <c r="L41" s="3">
        <f t="shared" si="19"/>
        <v>1150</v>
      </c>
      <c r="M41" s="3">
        <f t="shared" si="25"/>
        <v>1355</v>
      </c>
      <c r="AG41">
        <v>2022</v>
      </c>
      <c r="AH41" s="3">
        <f t="shared" si="28"/>
        <v>-2500</v>
      </c>
      <c r="AI41" s="20">
        <f t="shared" si="20"/>
        <v>130.99329218872586</v>
      </c>
      <c r="AJ41" s="3">
        <f t="shared" si="29"/>
        <v>-2203.1798341157933</v>
      </c>
    </row>
    <row r="42" spans="1:36">
      <c r="A42">
        <v>2023</v>
      </c>
      <c r="B42" s="3">
        <f t="shared" si="17"/>
        <v>30.361546257811007</v>
      </c>
      <c r="C42" s="3">
        <f t="shared" si="18"/>
        <v>24289.237006248808</v>
      </c>
      <c r="D42">
        <v>20</v>
      </c>
      <c r="E42" s="3">
        <f t="shared" si="22"/>
        <v>4857.8474012497618</v>
      </c>
      <c r="F42" s="3">
        <f t="shared" si="26"/>
        <v>-2148.1862657135266</v>
      </c>
      <c r="G42" s="3">
        <f t="shared" si="23"/>
        <v>26998.898141785041</v>
      </c>
      <c r="H42" s="3">
        <v>1200</v>
      </c>
      <c r="I42" s="3">
        <f t="shared" si="24"/>
        <v>28198.898141785041</v>
      </c>
      <c r="K42" s="3">
        <f t="shared" si="30"/>
        <v>205</v>
      </c>
      <c r="L42" s="3">
        <f t="shared" si="19"/>
        <v>1150</v>
      </c>
      <c r="M42" s="3">
        <f t="shared" si="25"/>
        <v>1355</v>
      </c>
      <c r="AG42">
        <v>2023</v>
      </c>
      <c r="AH42" s="3">
        <f t="shared" si="28"/>
        <v>-2500</v>
      </c>
      <c r="AI42" s="20">
        <f t="shared" si="20"/>
        <v>134.34672046875727</v>
      </c>
      <c r="AJ42" s="3">
        <f t="shared" si="29"/>
        <v>-2148.1862657135266</v>
      </c>
    </row>
    <row r="43" spans="1:36">
      <c r="A43">
        <v>2024</v>
      </c>
      <c r="B43" s="3">
        <f t="shared" si="17"/>
        <v>29.275640447464834</v>
      </c>
      <c r="C43" s="3">
        <f t="shared" si="18"/>
        <v>23420.512357971871</v>
      </c>
      <c r="D43">
        <v>20</v>
      </c>
      <c r="E43" s="3">
        <f t="shared" si="22"/>
        <v>4684.102471594374</v>
      </c>
      <c r="F43" s="3">
        <f t="shared" si="26"/>
        <v>-2094.5653916863553</v>
      </c>
      <c r="G43" s="3">
        <f t="shared" si="23"/>
        <v>26010.04943787989</v>
      </c>
      <c r="H43" s="3">
        <v>1200</v>
      </c>
      <c r="I43" s="3">
        <f t="shared" si="24"/>
        <v>27210.04943787989</v>
      </c>
      <c r="K43" s="3">
        <f t="shared" si="30"/>
        <v>205</v>
      </c>
      <c r="L43" s="3">
        <f t="shared" si="19"/>
        <v>1150</v>
      </c>
      <c r="M43" s="3">
        <f t="shared" si="25"/>
        <v>1355</v>
      </c>
      <c r="AG43">
        <v>2024</v>
      </c>
      <c r="AH43" s="3">
        <f t="shared" si="28"/>
        <v>-2500</v>
      </c>
      <c r="AI43" s="20">
        <f t="shared" si="20"/>
        <v>137.78599651275749</v>
      </c>
      <c r="AJ43" s="3">
        <f t="shared" si="29"/>
        <v>-2094.5653916863553</v>
      </c>
    </row>
    <row r="44" spans="1:36">
      <c r="A44">
        <v>2025</v>
      </c>
      <c r="B44" s="3">
        <f t="shared" si="17"/>
        <v>28.343375828936317</v>
      </c>
      <c r="C44" s="3">
        <f t="shared" si="18"/>
        <v>22674.700663149055</v>
      </c>
      <c r="D44">
        <v>20</v>
      </c>
      <c r="E44" s="3">
        <f t="shared" si="22"/>
        <v>4534.9401326298112</v>
      </c>
      <c r="F44" s="3">
        <f t="shared" si="26"/>
        <v>-2042.2829482121242</v>
      </c>
      <c r="G44" s="3">
        <f t="shared" si="23"/>
        <v>25167.357847566742</v>
      </c>
      <c r="H44" s="3">
        <v>1200</v>
      </c>
      <c r="I44" s="3">
        <f t="shared" si="24"/>
        <v>26367.357847566742</v>
      </c>
      <c r="K44" s="3">
        <f t="shared" si="30"/>
        <v>205</v>
      </c>
      <c r="L44" s="3">
        <f t="shared" si="19"/>
        <v>1150</v>
      </c>
      <c r="M44" s="3">
        <f t="shared" si="25"/>
        <v>1355</v>
      </c>
      <c r="AG44">
        <v>2025</v>
      </c>
      <c r="AH44" s="3">
        <f t="shared" si="28"/>
        <v>-2500</v>
      </c>
      <c r="AI44" s="20">
        <f t="shared" si="20"/>
        <v>141.31331802348413</v>
      </c>
      <c r="AJ44" s="3">
        <f t="shared" si="29"/>
        <v>-2042.2829482121242</v>
      </c>
    </row>
    <row r="45" spans="1:36">
      <c r="A45">
        <v>2026</v>
      </c>
      <c r="B45" s="3">
        <f t="shared" si="17"/>
        <v>27.812270474504896</v>
      </c>
      <c r="C45" s="3">
        <f t="shared" si="18"/>
        <v>22249.816379603919</v>
      </c>
      <c r="D45">
        <v>20</v>
      </c>
      <c r="E45" s="3">
        <f t="shared" si="22"/>
        <v>4449.9632759207834</v>
      </c>
      <c r="F45" s="3">
        <f t="shared" si="26"/>
        <v>-1991.3055267278896</v>
      </c>
      <c r="G45" s="3">
        <f t="shared" si="23"/>
        <v>24708.474128796814</v>
      </c>
      <c r="H45" s="3">
        <v>1200</v>
      </c>
      <c r="I45" s="3">
        <f t="shared" si="24"/>
        <v>25908.474128796814</v>
      </c>
      <c r="K45" s="3">
        <f t="shared" si="30"/>
        <v>205</v>
      </c>
      <c r="L45" s="3">
        <f t="shared" si="19"/>
        <v>1150</v>
      </c>
      <c r="M45" s="3">
        <f t="shared" si="25"/>
        <v>1355</v>
      </c>
      <c r="AG45">
        <v>2026</v>
      </c>
      <c r="AH45" s="3">
        <f t="shared" si="28"/>
        <v>-2500</v>
      </c>
      <c r="AI45" s="20">
        <f t="shared" si="20"/>
        <v>144.93093896488537</v>
      </c>
      <c r="AJ45" s="3">
        <f t="shared" si="29"/>
        <v>-1991.3055267278896</v>
      </c>
    </row>
    <row r="46" spans="1:36">
      <c r="A46">
        <v>2027</v>
      </c>
      <c r="B46" s="3">
        <f t="shared" si="17"/>
        <v>27.281165120073478</v>
      </c>
      <c r="C46" s="3">
        <f t="shared" si="18"/>
        <v>21824.932096058783</v>
      </c>
      <c r="D46">
        <v>20</v>
      </c>
      <c r="E46" s="3">
        <f t="shared" si="22"/>
        <v>4364.9864192117566</v>
      </c>
      <c r="F46" s="3">
        <f t="shared" si="26"/>
        <v>-1941.6005525817948</v>
      </c>
      <c r="G46" s="3">
        <f t="shared" si="23"/>
        <v>24248.317962688743</v>
      </c>
      <c r="H46" s="3">
        <v>1200</v>
      </c>
      <c r="I46" s="3">
        <f t="shared" si="24"/>
        <v>25448.317962688743</v>
      </c>
      <c r="K46" s="3">
        <f t="shared" si="30"/>
        <v>205</v>
      </c>
      <c r="L46" s="3">
        <f t="shared" si="19"/>
        <v>1150</v>
      </c>
      <c r="M46" s="3">
        <f t="shared" si="25"/>
        <v>1355</v>
      </c>
      <c r="AG46">
        <v>2027</v>
      </c>
      <c r="AH46" s="3">
        <f t="shared" si="28"/>
        <v>-2500</v>
      </c>
      <c r="AI46" s="20">
        <f t="shared" si="20"/>
        <v>148.6411710023865</v>
      </c>
      <c r="AJ46" s="3">
        <f t="shared" si="29"/>
        <v>-1941.6005525817948</v>
      </c>
    </row>
    <row r="47" spans="1:36">
      <c r="A47">
        <v>2028</v>
      </c>
      <c r="B47" s="3">
        <f t="shared" si="17"/>
        <v>26.683671596338133</v>
      </c>
      <c r="C47" s="3">
        <f t="shared" si="18"/>
        <v>21346.937277070509</v>
      </c>
      <c r="D47">
        <v>20</v>
      </c>
      <c r="E47" s="3">
        <f t="shared" si="22"/>
        <v>4269.3874554141021</v>
      </c>
      <c r="F47" s="3">
        <f t="shared" si="26"/>
        <v>-1893.1362642178176</v>
      </c>
      <c r="G47" s="3">
        <f t="shared" si="23"/>
        <v>23723.188468266791</v>
      </c>
      <c r="H47" s="3">
        <v>1200</v>
      </c>
      <c r="I47" s="3">
        <f t="shared" si="24"/>
        <v>24923.188468266791</v>
      </c>
      <c r="K47" s="3">
        <f t="shared" si="30"/>
        <v>205</v>
      </c>
      <c r="L47" s="3">
        <f t="shared" si="19"/>
        <v>1150</v>
      </c>
      <c r="M47" s="3">
        <f t="shared" si="25"/>
        <v>1355</v>
      </c>
      <c r="AG47">
        <v>2028</v>
      </c>
      <c r="AH47" s="3">
        <f t="shared" si="28"/>
        <v>-2500</v>
      </c>
      <c r="AI47" s="20">
        <f t="shared" si="20"/>
        <v>152.44638498004767</v>
      </c>
      <c r="AJ47" s="3">
        <f t="shared" si="29"/>
        <v>-1893.1362642178176</v>
      </c>
    </row>
    <row r="48" spans="1:36">
      <c r="A48">
        <v>2029</v>
      </c>
      <c r="B48" s="3">
        <f t="shared" si="17"/>
        <v>26.152566241906715</v>
      </c>
      <c r="C48" s="3">
        <f t="shared" si="18"/>
        <v>20922.052993525373</v>
      </c>
      <c r="D48">
        <v>20</v>
      </c>
      <c r="E48" s="3">
        <f t="shared" si="22"/>
        <v>4184.4105987050743</v>
      </c>
      <c r="F48" s="3">
        <f t="shared" si="26"/>
        <v>-1845.8816928800866</v>
      </c>
      <c r="G48" s="3">
        <f t="shared" si="23"/>
        <v>23260.58189935036</v>
      </c>
      <c r="H48" s="3">
        <v>1200</v>
      </c>
      <c r="I48" s="3">
        <f t="shared" si="24"/>
        <v>24460.58189935036</v>
      </c>
      <c r="K48" s="3">
        <f t="shared" si="30"/>
        <v>205</v>
      </c>
      <c r="L48" s="3">
        <f t="shared" si="19"/>
        <v>1150</v>
      </c>
      <c r="M48" s="3">
        <f t="shared" si="25"/>
        <v>1355</v>
      </c>
      <c r="AG48">
        <v>2029</v>
      </c>
      <c r="AH48" s="3">
        <f t="shared" si="28"/>
        <v>-2500</v>
      </c>
      <c r="AI48" s="20">
        <f t="shared" si="20"/>
        <v>156.34901243553696</v>
      </c>
      <c r="AJ48" s="3">
        <f t="shared" si="29"/>
        <v>-1845.8816928800866</v>
      </c>
    </row>
    <row r="49" spans="1:36">
      <c r="A49">
        <v>2030</v>
      </c>
      <c r="B49" s="3">
        <f t="shared" si="17"/>
        <v>25.55507271817137</v>
      </c>
      <c r="C49" s="3">
        <f t="shared" si="18"/>
        <v>20444.058174537098</v>
      </c>
      <c r="D49">
        <v>20</v>
      </c>
      <c r="E49" s="3">
        <f t="shared" si="22"/>
        <v>4088.8116349074198</v>
      </c>
      <c r="F49" s="3">
        <f t="shared" si="26"/>
        <v>-1799.8066428237967</v>
      </c>
      <c r="G49" s="3">
        <f t="shared" si="23"/>
        <v>22733.063166620719</v>
      </c>
      <c r="H49" s="3">
        <v>1200</v>
      </c>
      <c r="I49" s="3">
        <f t="shared" si="24"/>
        <v>23933.063166620719</v>
      </c>
      <c r="K49" s="3">
        <f t="shared" si="30"/>
        <v>205</v>
      </c>
      <c r="L49" s="3">
        <f t="shared" si="19"/>
        <v>1150</v>
      </c>
      <c r="M49" s="3">
        <f t="shared" si="25"/>
        <v>1355</v>
      </c>
      <c r="AG49">
        <v>2030</v>
      </c>
      <c r="AH49" s="3">
        <f t="shared" si="28"/>
        <v>-2500</v>
      </c>
      <c r="AI49" s="20">
        <f t="shared" si="20"/>
        <v>160.35154715388677</v>
      </c>
      <c r="AJ49" s="3">
        <f t="shared" si="29"/>
        <v>-1799.8066428237967</v>
      </c>
    </row>
    <row r="51" spans="1:36">
      <c r="A51" t="s">
        <v>716</v>
      </c>
      <c r="B51" t="s">
        <v>1395</v>
      </c>
      <c r="C51" t="s">
        <v>731</v>
      </c>
      <c r="D51" t="s">
        <v>498</v>
      </c>
      <c r="E51" t="s">
        <v>731</v>
      </c>
      <c r="F51" t="s">
        <v>731</v>
      </c>
    </row>
    <row r="52" spans="1:36">
      <c r="B52" t="s">
        <v>724</v>
      </c>
      <c r="C52" t="s">
        <v>724</v>
      </c>
      <c r="D52" t="s">
        <v>714</v>
      </c>
      <c r="E52" t="s">
        <v>728</v>
      </c>
      <c r="F52" t="s">
        <v>725</v>
      </c>
    </row>
    <row r="53" spans="1:36">
      <c r="A53">
        <v>2009</v>
      </c>
      <c r="B53" s="3">
        <f t="shared" ref="B53:B74" si="31">U3</f>
        <v>23</v>
      </c>
      <c r="C53" s="3">
        <f t="shared" ref="C53:C74" si="32">B53*AC3*1000</f>
        <v>14764.137000000001</v>
      </c>
      <c r="D53">
        <v>15</v>
      </c>
      <c r="E53" s="3">
        <f>C53*D53/100</f>
        <v>2214.6205500000001</v>
      </c>
      <c r="F53" s="3">
        <f>C53+E53</f>
        <v>16978.757550000002</v>
      </c>
    </row>
    <row r="54" spans="1:36">
      <c r="A54">
        <v>2010</v>
      </c>
      <c r="B54" s="3">
        <f t="shared" si="31"/>
        <v>23</v>
      </c>
      <c r="C54" s="3">
        <f t="shared" si="32"/>
        <v>14909.487014575199</v>
      </c>
      <c r="D54">
        <v>17.5</v>
      </c>
      <c r="E54" s="3">
        <f t="shared" ref="E54:E74" si="33">C54*D54/100</f>
        <v>2609.1602275506598</v>
      </c>
      <c r="F54" s="3">
        <f t="shared" ref="F54:F74" si="34">C54+E54</f>
        <v>17518.647242125859</v>
      </c>
      <c r="H54" s="13"/>
      <c r="I54" s="13"/>
      <c r="J54" s="13"/>
    </row>
    <row r="55" spans="1:36">
      <c r="A55">
        <v>2011</v>
      </c>
      <c r="B55" s="3">
        <f t="shared" si="31"/>
        <v>23</v>
      </c>
      <c r="C55" s="3">
        <f t="shared" si="32"/>
        <v>14329.209407355804</v>
      </c>
      <c r="D55">
        <v>20</v>
      </c>
      <c r="E55" s="3">
        <f t="shared" si="33"/>
        <v>2865.8418814711608</v>
      </c>
      <c r="F55" s="3">
        <f t="shared" si="34"/>
        <v>17195.051288826966</v>
      </c>
    </row>
    <row r="56" spans="1:36">
      <c r="A56">
        <v>2012</v>
      </c>
      <c r="B56" s="3">
        <f t="shared" si="31"/>
        <v>23</v>
      </c>
      <c r="C56" s="3">
        <f t="shared" si="32"/>
        <v>14446.419693689359</v>
      </c>
      <c r="D56">
        <v>20</v>
      </c>
      <c r="E56" s="3">
        <f t="shared" si="33"/>
        <v>2889.2839387378717</v>
      </c>
      <c r="F56" s="3">
        <f t="shared" si="34"/>
        <v>17335.70363242723</v>
      </c>
    </row>
    <row r="57" spans="1:36">
      <c r="A57">
        <v>2013</v>
      </c>
      <c r="B57" s="3">
        <f t="shared" si="31"/>
        <v>23</v>
      </c>
      <c r="C57" s="3">
        <f t="shared" si="32"/>
        <v>14716.366477149428</v>
      </c>
      <c r="D57">
        <v>20</v>
      </c>
      <c r="E57" s="3">
        <f t="shared" si="33"/>
        <v>2943.2732954298858</v>
      </c>
      <c r="F57" s="3">
        <f t="shared" si="34"/>
        <v>17659.639772579314</v>
      </c>
    </row>
    <row r="58" spans="1:36">
      <c r="A58">
        <v>2014</v>
      </c>
      <c r="B58" s="3">
        <f t="shared" si="31"/>
        <v>23</v>
      </c>
      <c r="C58" s="3">
        <f t="shared" si="32"/>
        <v>13979.087875417126</v>
      </c>
      <c r="D58">
        <v>20</v>
      </c>
      <c r="E58" s="3">
        <f t="shared" si="33"/>
        <v>2795.8175750834253</v>
      </c>
      <c r="F58" s="3">
        <f t="shared" si="34"/>
        <v>16774.905450500552</v>
      </c>
    </row>
    <row r="59" spans="1:36">
      <c r="A59">
        <v>2015</v>
      </c>
      <c r="B59" s="3">
        <f t="shared" si="31"/>
        <v>23</v>
      </c>
      <c r="C59" s="3">
        <f t="shared" si="32"/>
        <v>15075.118890799076</v>
      </c>
      <c r="D59">
        <v>20</v>
      </c>
      <c r="E59" s="3">
        <f t="shared" si="33"/>
        <v>3015.0237781598153</v>
      </c>
      <c r="F59" s="3">
        <f t="shared" si="34"/>
        <v>18090.142668958892</v>
      </c>
    </row>
    <row r="60" spans="1:36">
      <c r="A60">
        <v>2016</v>
      </c>
      <c r="B60" s="3">
        <f t="shared" si="31"/>
        <v>23</v>
      </c>
      <c r="C60" s="3">
        <f t="shared" si="32"/>
        <v>17169.108498021498</v>
      </c>
      <c r="D60">
        <v>20</v>
      </c>
      <c r="E60" s="3">
        <f t="shared" si="33"/>
        <v>3433.8216996042993</v>
      </c>
      <c r="F60" s="3">
        <f t="shared" si="34"/>
        <v>20602.930197625799</v>
      </c>
    </row>
    <row r="61" spans="1:36">
      <c r="A61">
        <v>2017</v>
      </c>
      <c r="B61" s="3">
        <f t="shared" si="31"/>
        <v>23</v>
      </c>
      <c r="C61" s="3">
        <f t="shared" si="32"/>
        <v>17734.306268824897</v>
      </c>
      <c r="D61">
        <v>20</v>
      </c>
      <c r="E61" s="3">
        <f t="shared" si="33"/>
        <v>3546.8612537649797</v>
      </c>
      <c r="F61" s="3">
        <f t="shared" si="34"/>
        <v>21281.167522589876</v>
      </c>
    </row>
    <row r="62" spans="1:36">
      <c r="A62">
        <v>2018</v>
      </c>
      <c r="B62" s="3">
        <f t="shared" si="31"/>
        <v>23</v>
      </c>
      <c r="C62" s="3">
        <f t="shared" si="32"/>
        <v>18400.000000000004</v>
      </c>
      <c r="D62">
        <v>20</v>
      </c>
      <c r="E62" s="3">
        <f t="shared" si="33"/>
        <v>3680.0000000000005</v>
      </c>
      <c r="F62" s="3">
        <f t="shared" si="34"/>
        <v>22080.000000000004</v>
      </c>
    </row>
    <row r="63" spans="1:36">
      <c r="A63">
        <v>2019</v>
      </c>
      <c r="B63" s="3">
        <f t="shared" si="31"/>
        <v>23</v>
      </c>
      <c r="C63" s="3">
        <f t="shared" si="32"/>
        <v>18400.000000000004</v>
      </c>
      <c r="D63">
        <v>20</v>
      </c>
      <c r="E63" s="3">
        <f t="shared" si="33"/>
        <v>3680.0000000000005</v>
      </c>
      <c r="F63" s="3">
        <f t="shared" si="34"/>
        <v>22080.000000000004</v>
      </c>
    </row>
    <row r="64" spans="1:36">
      <c r="A64">
        <v>2020</v>
      </c>
      <c r="B64" s="3">
        <f t="shared" si="31"/>
        <v>23</v>
      </c>
      <c r="C64" s="3">
        <f t="shared" si="32"/>
        <v>18400.000000000004</v>
      </c>
      <c r="D64">
        <v>20</v>
      </c>
      <c r="E64" s="3">
        <f t="shared" si="33"/>
        <v>3680.0000000000005</v>
      </c>
      <c r="F64" s="3">
        <f t="shared" si="34"/>
        <v>22080.000000000004</v>
      </c>
    </row>
    <row r="65" spans="1:29">
      <c r="A65">
        <v>2021</v>
      </c>
      <c r="B65" s="3">
        <f t="shared" si="31"/>
        <v>23</v>
      </c>
      <c r="C65" s="3">
        <f t="shared" si="32"/>
        <v>18400.000000000004</v>
      </c>
      <c r="D65">
        <v>20</v>
      </c>
      <c r="E65" s="3">
        <f t="shared" si="33"/>
        <v>3680.0000000000005</v>
      </c>
      <c r="F65" s="3">
        <f t="shared" si="34"/>
        <v>22080.000000000004</v>
      </c>
    </row>
    <row r="66" spans="1:29">
      <c r="A66">
        <v>2022</v>
      </c>
      <c r="B66" s="3">
        <f t="shared" si="31"/>
        <v>23</v>
      </c>
      <c r="C66" s="3">
        <f t="shared" si="32"/>
        <v>18400.000000000004</v>
      </c>
      <c r="D66">
        <v>20</v>
      </c>
      <c r="E66" s="3">
        <f t="shared" si="33"/>
        <v>3680.0000000000005</v>
      </c>
      <c r="F66" s="3">
        <f t="shared" si="34"/>
        <v>22080.000000000004</v>
      </c>
    </row>
    <row r="67" spans="1:29">
      <c r="A67">
        <v>2023</v>
      </c>
      <c r="B67" s="3">
        <f t="shared" si="31"/>
        <v>23</v>
      </c>
      <c r="C67" s="3">
        <f t="shared" si="32"/>
        <v>18400.000000000004</v>
      </c>
      <c r="D67">
        <v>20</v>
      </c>
      <c r="E67" s="3">
        <f t="shared" si="33"/>
        <v>3680.0000000000005</v>
      </c>
      <c r="F67" s="3">
        <f t="shared" si="34"/>
        <v>22080.000000000004</v>
      </c>
    </row>
    <row r="68" spans="1:29">
      <c r="A68">
        <v>2024</v>
      </c>
      <c r="B68" s="3">
        <f t="shared" si="31"/>
        <v>23</v>
      </c>
      <c r="C68" s="3">
        <f t="shared" si="32"/>
        <v>18400.000000000004</v>
      </c>
      <c r="D68">
        <v>20</v>
      </c>
      <c r="E68" s="3">
        <f t="shared" si="33"/>
        <v>3680.0000000000005</v>
      </c>
      <c r="F68" s="3">
        <f t="shared" si="34"/>
        <v>22080.000000000004</v>
      </c>
    </row>
    <row r="69" spans="1:29">
      <c r="A69">
        <v>2025</v>
      </c>
      <c r="B69" s="3">
        <f t="shared" si="31"/>
        <v>23</v>
      </c>
      <c r="C69" s="3">
        <f t="shared" si="32"/>
        <v>18400.000000000004</v>
      </c>
      <c r="D69">
        <v>20</v>
      </c>
      <c r="E69" s="3">
        <f t="shared" si="33"/>
        <v>3680.0000000000005</v>
      </c>
      <c r="F69" s="3">
        <f t="shared" si="34"/>
        <v>22080.000000000004</v>
      </c>
    </row>
    <row r="70" spans="1:29">
      <c r="A70">
        <v>2026</v>
      </c>
      <c r="B70" s="3">
        <f t="shared" si="31"/>
        <v>23</v>
      </c>
      <c r="C70" s="3">
        <f t="shared" si="32"/>
        <v>18400.000000000004</v>
      </c>
      <c r="D70">
        <v>20</v>
      </c>
      <c r="E70" s="3">
        <f t="shared" si="33"/>
        <v>3680.0000000000005</v>
      </c>
      <c r="F70" s="3">
        <f t="shared" si="34"/>
        <v>22080.000000000004</v>
      </c>
    </row>
    <row r="71" spans="1:29">
      <c r="A71">
        <v>2027</v>
      </c>
      <c r="B71" s="3">
        <f t="shared" si="31"/>
        <v>23</v>
      </c>
      <c r="C71" s="3">
        <f t="shared" si="32"/>
        <v>18400.000000000004</v>
      </c>
      <c r="D71">
        <v>20</v>
      </c>
      <c r="E71" s="3">
        <f t="shared" si="33"/>
        <v>3680.0000000000005</v>
      </c>
      <c r="F71" s="3">
        <f t="shared" si="34"/>
        <v>22080.000000000004</v>
      </c>
    </row>
    <row r="72" spans="1:29">
      <c r="A72">
        <v>2028</v>
      </c>
      <c r="B72" s="3">
        <f t="shared" si="31"/>
        <v>23</v>
      </c>
      <c r="C72" s="3">
        <f t="shared" si="32"/>
        <v>18400.000000000004</v>
      </c>
      <c r="D72">
        <v>20</v>
      </c>
      <c r="E72" s="3">
        <f t="shared" si="33"/>
        <v>3680.0000000000005</v>
      </c>
      <c r="F72" s="3">
        <f t="shared" si="34"/>
        <v>22080.000000000004</v>
      </c>
    </row>
    <row r="73" spans="1:29">
      <c r="A73">
        <v>2029</v>
      </c>
      <c r="B73" s="3">
        <f t="shared" si="31"/>
        <v>23</v>
      </c>
      <c r="C73" s="3">
        <f t="shared" si="32"/>
        <v>18400.000000000004</v>
      </c>
      <c r="D73">
        <v>20</v>
      </c>
      <c r="E73" s="3">
        <f t="shared" si="33"/>
        <v>3680.0000000000005</v>
      </c>
      <c r="F73" s="3">
        <f t="shared" si="34"/>
        <v>22080.000000000004</v>
      </c>
    </row>
    <row r="74" spans="1:29">
      <c r="A74">
        <v>2030</v>
      </c>
      <c r="B74" s="3">
        <f t="shared" si="31"/>
        <v>23</v>
      </c>
      <c r="C74" s="3">
        <f t="shared" si="32"/>
        <v>18400.000000000004</v>
      </c>
      <c r="D74">
        <v>20</v>
      </c>
      <c r="E74" s="3">
        <f t="shared" si="33"/>
        <v>3680.0000000000005</v>
      </c>
      <c r="F74" s="3">
        <f t="shared" si="34"/>
        <v>22080.000000000004</v>
      </c>
    </row>
    <row r="75" spans="1:29">
      <c r="C75" s="3"/>
    </row>
    <row r="77" spans="1:29">
      <c r="Z77" s="87" t="s">
        <v>1221</v>
      </c>
      <c r="AA77" s="87"/>
      <c r="AB77" s="87"/>
      <c r="AC77" s="234"/>
    </row>
    <row r="78" spans="1:29">
      <c r="Z78" s="235" t="s">
        <v>1167</v>
      </c>
      <c r="AA78" s="235" t="s">
        <v>1168</v>
      </c>
      <c r="AB78" s="235" t="s">
        <v>1169</v>
      </c>
      <c r="AC78" s="235" t="s">
        <v>1170</v>
      </c>
    </row>
    <row r="79" spans="1:29">
      <c r="B79" t="s">
        <v>980</v>
      </c>
      <c r="C79" t="s">
        <v>980</v>
      </c>
      <c r="D79" t="s">
        <v>980</v>
      </c>
      <c r="E79" t="s">
        <v>980</v>
      </c>
      <c r="F79" t="s">
        <v>980</v>
      </c>
      <c r="J79" t="s">
        <v>812</v>
      </c>
      <c r="K79" t="s">
        <v>812</v>
      </c>
      <c r="L79" t="s">
        <v>812</v>
      </c>
      <c r="M79" t="s">
        <v>812</v>
      </c>
      <c r="N79" t="s">
        <v>812</v>
      </c>
      <c r="U79" t="s">
        <v>1043</v>
      </c>
      <c r="Y79">
        <v>2010</v>
      </c>
      <c r="Z79" s="13">
        <v>1.3495019221326905</v>
      </c>
      <c r="AA79" s="13">
        <f t="shared" ref="AA79:AC79" si="35">Z79</f>
        <v>1.3495019221326905</v>
      </c>
      <c r="AB79" s="13">
        <f t="shared" si="35"/>
        <v>1.3495019221326905</v>
      </c>
      <c r="AC79" s="13">
        <f t="shared" si="35"/>
        <v>1.3495019221326905</v>
      </c>
    </row>
    <row r="80" spans="1:29">
      <c r="B80" t="s">
        <v>978</v>
      </c>
      <c r="C80" t="s">
        <v>979</v>
      </c>
      <c r="D80" t="s">
        <v>916</v>
      </c>
      <c r="E80" t="s">
        <v>981</v>
      </c>
      <c r="F80" t="s">
        <v>983</v>
      </c>
      <c r="J80" t="s">
        <v>725</v>
      </c>
      <c r="K80" t="s">
        <v>979</v>
      </c>
      <c r="L80" t="s">
        <v>916</v>
      </c>
      <c r="M80" t="s">
        <v>985</v>
      </c>
      <c r="N80" t="s">
        <v>983</v>
      </c>
      <c r="R80" t="s">
        <v>997</v>
      </c>
      <c r="S80" t="s">
        <v>1086</v>
      </c>
      <c r="U80" t="s">
        <v>934</v>
      </c>
      <c r="V80" t="s">
        <v>986</v>
      </c>
      <c r="W80" t="s">
        <v>987</v>
      </c>
      <c r="Y80">
        <v>2011</v>
      </c>
      <c r="Z80" s="13">
        <v>1.4793256776388264</v>
      </c>
      <c r="AA80" s="13">
        <f t="shared" ref="AA80:AC80" si="36">Z80</f>
        <v>1.4793256776388264</v>
      </c>
      <c r="AB80" s="13">
        <f t="shared" si="36"/>
        <v>1.4793256776388264</v>
      </c>
      <c r="AC80" s="13">
        <f t="shared" si="36"/>
        <v>1.4793256776388264</v>
      </c>
    </row>
    <row r="81" spans="1:29">
      <c r="A81" s="3">
        <v>2012</v>
      </c>
      <c r="B81" s="3">
        <f t="shared" ref="B81:B99" si="37">MIN(I6,I31)</f>
        <v>19242.682907588252</v>
      </c>
      <c r="C81" s="3">
        <f>B81/5</f>
        <v>3848.5365815176506</v>
      </c>
      <c r="D81" s="3">
        <f>B81*0.13</f>
        <v>2501.5487779864729</v>
      </c>
      <c r="E81" s="3">
        <f t="shared" ref="E81:E99" si="38">AVERAGE(M6,M31)</f>
        <v>1000</v>
      </c>
      <c r="F81" s="3">
        <f>C81+D81-E81</f>
        <v>5350.0853595041235</v>
      </c>
      <c r="G81" s="3"/>
      <c r="H81" s="3"/>
      <c r="I81" s="3">
        <v>2012</v>
      </c>
      <c r="J81" s="3">
        <f>F56</f>
        <v>17335.70363242723</v>
      </c>
      <c r="K81" s="3">
        <f>J81/5</f>
        <v>3467.1407264854461</v>
      </c>
      <c r="L81" s="3">
        <f t="shared" ref="L81:L99" si="39">J81*0.13</f>
        <v>2253.64147221554</v>
      </c>
      <c r="M81" s="3">
        <f>W81/100*V81*U81</f>
        <v>1111.4169406727372</v>
      </c>
      <c r="N81" s="3">
        <f t="shared" ref="N81:N99" si="40">SUM(K81:M81)</f>
        <v>6832.1991393737235</v>
      </c>
      <c r="O81" s="3"/>
      <c r="P81" s="3"/>
      <c r="Q81" s="3">
        <v>2012</v>
      </c>
      <c r="R81" s="13">
        <f>N81/F81</f>
        <v>1.2770261930936688</v>
      </c>
      <c r="S81" s="13">
        <f>J81/B81</f>
        <v>0.90089847219750141</v>
      </c>
      <c r="T81" s="13"/>
      <c r="U81" s="13">
        <f>AB81</f>
        <v>1.4626861107519276</v>
      </c>
      <c r="V81" s="12">
        <f>'Country L per 100 km'!V7</f>
        <v>5.643961322634194</v>
      </c>
      <c r="W81" s="3">
        <f>'Country distance travelled'!V7</f>
        <v>13463</v>
      </c>
      <c r="Y81">
        <v>2012</v>
      </c>
      <c r="Z81" s="13">
        <v>1.4626861107519276</v>
      </c>
      <c r="AA81" s="13">
        <f t="shared" ref="AA81:AC81" si="41">Z81</f>
        <v>1.4626861107519276</v>
      </c>
      <c r="AB81" s="13">
        <f t="shared" si="41"/>
        <v>1.4626861107519276</v>
      </c>
      <c r="AC81" s="13">
        <f t="shared" si="41"/>
        <v>1.4626861107519276</v>
      </c>
    </row>
    <row r="82" spans="1:29">
      <c r="A82" s="3">
        <v>2013</v>
      </c>
      <c r="B82" s="3">
        <f t="shared" si="37"/>
        <v>19892.824287111252</v>
      </c>
      <c r="C82" s="3">
        <f t="shared" ref="C82:C99" si="42">B82/5</f>
        <v>3978.5648574222505</v>
      </c>
      <c r="D82" s="3">
        <f t="shared" ref="D82:D99" si="43">B82*0.13</f>
        <v>2586.0671573244631</v>
      </c>
      <c r="E82" s="3">
        <f t="shared" si="38"/>
        <v>1200</v>
      </c>
      <c r="F82" s="3">
        <f t="shared" ref="F82:F99" si="44">C82+D82-E82</f>
        <v>5364.632014746714</v>
      </c>
      <c r="G82" s="3"/>
      <c r="H82" s="3"/>
      <c r="I82" s="3">
        <v>2013</v>
      </c>
      <c r="J82" s="3">
        <f t="shared" ref="J82:J99" si="45">F57</f>
        <v>17659.639772579314</v>
      </c>
      <c r="K82" s="3">
        <f t="shared" ref="K82:K99" si="46">J82/5</f>
        <v>3531.9279545158629</v>
      </c>
      <c r="L82" s="3">
        <f t="shared" si="39"/>
        <v>2295.7531704353109</v>
      </c>
      <c r="M82" s="3">
        <f t="shared" ref="M82:M100" si="47">W82/100*V82*U82</f>
        <v>1058.0125921143497</v>
      </c>
      <c r="N82" s="3">
        <f t="shared" si="40"/>
        <v>6885.6937170655237</v>
      </c>
      <c r="O82" s="3"/>
      <c r="P82" s="3"/>
      <c r="Q82" s="3">
        <v>2013</v>
      </c>
      <c r="R82" s="13">
        <f t="shared" ref="R82:R99" si="48">N82/F82</f>
        <v>1.2835351424175223</v>
      </c>
      <c r="S82" s="13">
        <f t="shared" ref="S82:S99" si="49">J82/B82</f>
        <v>0.8877391926706536</v>
      </c>
      <c r="T82" s="13"/>
      <c r="U82" s="13">
        <f t="shared" ref="U82:U99" si="50">AB82</f>
        <v>1.4112479553346002</v>
      </c>
      <c r="V82" s="12">
        <f>'Country L per 100 km'!V8</f>
        <v>5.6</v>
      </c>
      <c r="W82" s="3">
        <f>'Country distance travelled'!V8</f>
        <v>13387.5</v>
      </c>
      <c r="Y82">
        <v>2013</v>
      </c>
      <c r="Z82" s="13">
        <v>1.4112479553346002</v>
      </c>
      <c r="AA82" s="13">
        <f t="shared" ref="AA82:AC82" si="51">Z82</f>
        <v>1.4112479553346002</v>
      </c>
      <c r="AB82" s="13">
        <f t="shared" si="51"/>
        <v>1.4112479553346002</v>
      </c>
      <c r="AC82" s="13">
        <f t="shared" si="51"/>
        <v>1.4112479553346002</v>
      </c>
    </row>
    <row r="83" spans="1:29">
      <c r="A83" s="3">
        <v>2014</v>
      </c>
      <c r="B83" s="3">
        <f t="shared" si="37"/>
        <v>20499.985476030302</v>
      </c>
      <c r="C83" s="3">
        <f t="shared" si="42"/>
        <v>4099.9970952060603</v>
      </c>
      <c r="D83" s="3">
        <f t="shared" si="43"/>
        <v>2664.9981118839396</v>
      </c>
      <c r="E83" s="3">
        <f t="shared" si="38"/>
        <v>1350</v>
      </c>
      <c r="F83" s="3">
        <f t="shared" si="44"/>
        <v>5414.9952070899999</v>
      </c>
      <c r="G83" s="3"/>
      <c r="H83" s="3"/>
      <c r="I83" s="3">
        <v>2014</v>
      </c>
      <c r="J83" s="3">
        <f t="shared" si="45"/>
        <v>16774.905450500552</v>
      </c>
      <c r="K83" s="3">
        <f t="shared" si="46"/>
        <v>3354.9810901001101</v>
      </c>
      <c r="L83" s="3">
        <f t="shared" si="39"/>
        <v>2180.7377085650719</v>
      </c>
      <c r="M83" s="3">
        <f t="shared" si="47"/>
        <v>968.42144564346552</v>
      </c>
      <c r="N83" s="3">
        <f t="shared" si="40"/>
        <v>6504.1402443086481</v>
      </c>
      <c r="O83" s="3"/>
      <c r="P83" s="3"/>
      <c r="Q83" s="3">
        <v>2014</v>
      </c>
      <c r="R83" s="13">
        <f t="shared" si="48"/>
        <v>1.2011349956122954</v>
      </c>
      <c r="S83" s="13">
        <f t="shared" si="49"/>
        <v>0.8182886505024447</v>
      </c>
      <c r="T83" s="13"/>
      <c r="U83" s="13">
        <f t="shared" si="50"/>
        <v>1.3146603802573231</v>
      </c>
      <c r="V83" s="12">
        <f>'Country L per 100 km'!V9</f>
        <v>5.5335968379446632</v>
      </c>
      <c r="W83" s="3">
        <f>'Country distance travelled'!V9</f>
        <v>13312</v>
      </c>
      <c r="Y83">
        <v>2014</v>
      </c>
      <c r="Z83" s="13">
        <v>1.3146603802573231</v>
      </c>
      <c r="AA83" s="13">
        <f t="shared" ref="AA83:AC83" si="52">Z83</f>
        <v>1.3146603802573231</v>
      </c>
      <c r="AB83" s="13">
        <f t="shared" si="52"/>
        <v>1.3146603802573231</v>
      </c>
      <c r="AC83" s="13">
        <f t="shared" si="52"/>
        <v>1.3146603802573231</v>
      </c>
    </row>
    <row r="84" spans="1:29">
      <c r="A84" s="3">
        <v>2015</v>
      </c>
      <c r="B84" s="3">
        <f t="shared" si="37"/>
        <v>19721.846308650463</v>
      </c>
      <c r="C84" s="3">
        <f t="shared" si="42"/>
        <v>3944.3692617300926</v>
      </c>
      <c r="D84" s="3">
        <f t="shared" si="43"/>
        <v>2563.8400201245604</v>
      </c>
      <c r="E84" s="3">
        <f t="shared" si="38"/>
        <v>1350</v>
      </c>
      <c r="F84" s="3">
        <f t="shared" si="44"/>
        <v>5158.2092818546535</v>
      </c>
      <c r="G84" s="3"/>
      <c r="H84" s="3"/>
      <c r="I84" s="3">
        <v>2015</v>
      </c>
      <c r="J84" s="3">
        <f t="shared" si="45"/>
        <v>18090.142668958892</v>
      </c>
      <c r="K84" s="3">
        <f t="shared" si="46"/>
        <v>3618.0285337917785</v>
      </c>
      <c r="L84" s="3">
        <f t="shared" si="39"/>
        <v>2351.7185469646561</v>
      </c>
      <c r="M84" s="3">
        <f t="shared" si="47"/>
        <v>827.03274526449263</v>
      </c>
      <c r="N84" s="3">
        <f t="shared" si="40"/>
        <v>6796.7798260209274</v>
      </c>
      <c r="O84" s="3"/>
      <c r="P84" s="3"/>
      <c r="Q84" s="3">
        <v>2015</v>
      </c>
      <c r="R84" s="13">
        <f t="shared" si="48"/>
        <v>1.3176626721855536</v>
      </c>
      <c r="S84" s="13">
        <f t="shared" si="49"/>
        <v>0.91726415396636229</v>
      </c>
      <c r="T84" s="13"/>
      <c r="U84" s="13">
        <f t="shared" si="50"/>
        <v>1.1466999679202272</v>
      </c>
      <c r="V84" s="12">
        <f>'Country L per 100 km'!V10</f>
        <v>5.4733895528631695</v>
      </c>
      <c r="W84" s="3">
        <f>'Country distance travelled'!V10</f>
        <v>13177</v>
      </c>
      <c r="Y84">
        <v>2015</v>
      </c>
      <c r="Z84" s="13">
        <v>1.1466999679202272</v>
      </c>
      <c r="AA84" s="13">
        <f t="shared" ref="AA84:AC84" si="53">Z84</f>
        <v>1.1466999679202272</v>
      </c>
      <c r="AB84" s="13">
        <f t="shared" si="53"/>
        <v>1.1466999679202272</v>
      </c>
      <c r="AC84" s="13">
        <f t="shared" si="53"/>
        <v>1.1466999679202272</v>
      </c>
    </row>
    <row r="85" spans="1:29">
      <c r="A85" s="3">
        <v>2016</v>
      </c>
      <c r="B85" s="3">
        <f t="shared" si="37"/>
        <v>22945.387214294511</v>
      </c>
      <c r="C85" s="3">
        <f t="shared" si="42"/>
        <v>4589.077442858902</v>
      </c>
      <c r="D85" s="3">
        <f t="shared" si="43"/>
        <v>2982.9003378582865</v>
      </c>
      <c r="E85" s="3">
        <f t="shared" si="38"/>
        <v>1350</v>
      </c>
      <c r="F85" s="3">
        <f t="shared" si="44"/>
        <v>6221.9777807171886</v>
      </c>
      <c r="G85" s="3"/>
      <c r="H85" s="3"/>
      <c r="I85" s="3">
        <v>2016</v>
      </c>
      <c r="J85" s="3">
        <f t="shared" si="45"/>
        <v>20602.930197625799</v>
      </c>
      <c r="K85" s="3">
        <f t="shared" si="46"/>
        <v>4120.5860395251602</v>
      </c>
      <c r="L85" s="3">
        <f t="shared" si="39"/>
        <v>2678.3809256913542</v>
      </c>
      <c r="M85" s="3">
        <f t="shared" si="47"/>
        <v>803.81271720732946</v>
      </c>
      <c r="N85" s="3">
        <f t="shared" si="40"/>
        <v>7602.779682423843</v>
      </c>
      <c r="O85" s="3"/>
      <c r="P85" s="3"/>
      <c r="Q85" s="3">
        <v>2016</v>
      </c>
      <c r="R85" s="13">
        <f t="shared" si="48"/>
        <v>1.2219233096566111</v>
      </c>
      <c r="S85" s="13">
        <f t="shared" si="49"/>
        <v>0.89791163710632838</v>
      </c>
      <c r="T85" s="13"/>
      <c r="U85" s="13">
        <f t="shared" si="50"/>
        <v>1.1236885526401341</v>
      </c>
      <c r="V85" s="12">
        <f>'Country L per 100 km'!V11</f>
        <v>5.4191975770922465</v>
      </c>
      <c r="W85" s="3">
        <f>'Country distance travelled'!V11</f>
        <v>13200</v>
      </c>
      <c r="Y85">
        <v>2016</v>
      </c>
      <c r="Z85" s="13">
        <v>1.1236885526401341</v>
      </c>
      <c r="AA85" s="13">
        <f t="shared" ref="AA85:AC85" si="54">Z85</f>
        <v>1.1236885526401341</v>
      </c>
      <c r="AB85" s="13">
        <f t="shared" si="54"/>
        <v>1.1236885526401341</v>
      </c>
      <c r="AC85" s="13">
        <f t="shared" si="54"/>
        <v>1.1236885526401341</v>
      </c>
    </row>
    <row r="86" spans="1:29">
      <c r="A86" s="3">
        <v>2017</v>
      </c>
      <c r="B86" s="3">
        <f t="shared" si="37"/>
        <v>23958.044594682451</v>
      </c>
      <c r="C86" s="3">
        <f t="shared" si="42"/>
        <v>4791.6089189364902</v>
      </c>
      <c r="D86" s="3">
        <f t="shared" si="43"/>
        <v>3114.5457973087186</v>
      </c>
      <c r="E86" s="3">
        <f t="shared" si="38"/>
        <v>1350</v>
      </c>
      <c r="F86" s="3">
        <f t="shared" si="44"/>
        <v>6556.1547162452089</v>
      </c>
      <c r="G86" s="3"/>
      <c r="H86" s="3"/>
      <c r="I86" s="3">
        <v>2017</v>
      </c>
      <c r="J86" s="3">
        <f t="shared" si="45"/>
        <v>21281.167522589876</v>
      </c>
      <c r="K86" s="3">
        <f t="shared" si="46"/>
        <v>4256.2335045179752</v>
      </c>
      <c r="L86" s="3">
        <f t="shared" si="39"/>
        <v>2766.5517779366842</v>
      </c>
      <c r="M86" s="3">
        <f t="shared" si="47"/>
        <v>830.92384638483577</v>
      </c>
      <c r="N86" s="3">
        <f t="shared" si="40"/>
        <v>7853.709128839495</v>
      </c>
      <c r="O86" s="3"/>
      <c r="P86" s="3"/>
      <c r="Q86" s="3">
        <v>2017</v>
      </c>
      <c r="R86" s="13">
        <f t="shared" si="48"/>
        <v>1.1979139402215651</v>
      </c>
      <c r="S86" s="13">
        <f t="shared" si="49"/>
        <v>0.88826813217107403</v>
      </c>
      <c r="T86" s="13"/>
      <c r="U86" s="13">
        <f t="shared" si="50"/>
        <v>1.1732043923337094</v>
      </c>
      <c r="V86" s="12">
        <f>'Country L per 100 km'!V12</f>
        <v>5.3655421555368772</v>
      </c>
      <c r="W86" s="3">
        <f>'Country distance travelled'!V12</f>
        <v>13200</v>
      </c>
      <c r="Y86">
        <v>2017</v>
      </c>
      <c r="Z86" s="13">
        <v>1.1732043923337094</v>
      </c>
      <c r="AA86" s="13">
        <f t="shared" ref="AA86:AC86" si="55">Z86</f>
        <v>1.1732043923337094</v>
      </c>
      <c r="AB86" s="13">
        <f t="shared" si="55"/>
        <v>1.1732043923337094</v>
      </c>
      <c r="AC86" s="13">
        <f t="shared" si="55"/>
        <v>1.1732043923337094</v>
      </c>
    </row>
    <row r="87" spans="1:29">
      <c r="A87" s="3">
        <v>2018</v>
      </c>
      <c r="B87" s="3">
        <f t="shared" si="37"/>
        <v>26180.74130999823</v>
      </c>
      <c r="C87" s="3">
        <f t="shared" si="42"/>
        <v>5236.1482619996459</v>
      </c>
      <c r="D87" s="3">
        <f t="shared" si="43"/>
        <v>3403.4963702997698</v>
      </c>
      <c r="E87" s="3">
        <f t="shared" si="38"/>
        <v>1350</v>
      </c>
      <c r="F87" s="3">
        <f t="shared" si="44"/>
        <v>7289.6446322994161</v>
      </c>
      <c r="G87" s="3"/>
      <c r="H87" s="3"/>
      <c r="I87" s="3">
        <v>2018</v>
      </c>
      <c r="J87" s="3">
        <f t="shared" si="45"/>
        <v>22080.000000000004</v>
      </c>
      <c r="K87" s="3">
        <f t="shared" si="46"/>
        <v>4416.0000000000009</v>
      </c>
      <c r="L87" s="3">
        <f t="shared" si="39"/>
        <v>2870.4000000000005</v>
      </c>
      <c r="M87" s="3">
        <f t="shared" si="47"/>
        <v>860.82696957121573</v>
      </c>
      <c r="N87" s="3">
        <f t="shared" si="40"/>
        <v>8147.2269695712175</v>
      </c>
      <c r="O87" s="3"/>
      <c r="P87" s="3"/>
      <c r="Q87" s="3">
        <v>2018</v>
      </c>
      <c r="R87" s="13">
        <f t="shared" si="48"/>
        <v>1.1176439155170845</v>
      </c>
      <c r="S87" s="13">
        <f t="shared" si="49"/>
        <v>0.84336802149936896</v>
      </c>
      <c r="T87" s="13"/>
      <c r="U87" s="13">
        <f t="shared" si="50"/>
        <v>1.2275796945719775</v>
      </c>
      <c r="V87" s="12">
        <f>'Country L per 100 km'!V13</f>
        <v>5.3124179757790868</v>
      </c>
      <c r="W87" s="3">
        <f>'Country distance travelled'!V13</f>
        <v>13200</v>
      </c>
      <c r="Y87">
        <v>2018</v>
      </c>
      <c r="Z87" s="13">
        <v>1.2275796945719775</v>
      </c>
      <c r="AA87" s="13">
        <f>Z87</f>
        <v>1.2275796945719775</v>
      </c>
      <c r="AB87" s="13">
        <f t="shared" ref="AB87:AC87" si="56">AA87</f>
        <v>1.2275796945719775</v>
      </c>
      <c r="AC87" s="13">
        <f t="shared" si="56"/>
        <v>1.2275796945719775</v>
      </c>
    </row>
    <row r="88" spans="1:29">
      <c r="A88" s="3">
        <v>2019</v>
      </c>
      <c r="B88" s="3">
        <f t="shared" si="37"/>
        <v>26847.919545800371</v>
      </c>
      <c r="C88" s="3">
        <f t="shared" si="42"/>
        <v>5369.5839091600737</v>
      </c>
      <c r="D88" s="3">
        <f t="shared" si="43"/>
        <v>3490.2295409540484</v>
      </c>
      <c r="E88" s="3">
        <f t="shared" si="38"/>
        <v>1350</v>
      </c>
      <c r="F88" s="3">
        <f t="shared" si="44"/>
        <v>7509.8134501141212</v>
      </c>
      <c r="G88" s="3"/>
      <c r="H88" s="3"/>
      <c r="I88" s="3">
        <v>2019</v>
      </c>
      <c r="J88" s="3">
        <f t="shared" si="45"/>
        <v>22080.000000000004</v>
      </c>
      <c r="K88" s="3">
        <f t="shared" si="46"/>
        <v>4416.0000000000009</v>
      </c>
      <c r="L88" s="3">
        <f t="shared" si="39"/>
        <v>2870.4000000000005</v>
      </c>
      <c r="M88" s="3">
        <f t="shared" si="47"/>
        <v>840.17558740387472</v>
      </c>
      <c r="N88" s="3">
        <f t="shared" si="40"/>
        <v>8126.5755874038759</v>
      </c>
      <c r="O88" s="3"/>
      <c r="P88" s="3"/>
      <c r="Q88" s="3">
        <v>2019</v>
      </c>
      <c r="R88" s="13">
        <f t="shared" si="48"/>
        <v>1.0821274911003791</v>
      </c>
      <c r="S88" s="13">
        <f t="shared" si="49"/>
        <v>0.8224100926082305</v>
      </c>
      <c r="T88" s="13"/>
      <c r="U88" s="13">
        <f t="shared" si="50"/>
        <v>1.2101111520712202</v>
      </c>
      <c r="V88" s="12">
        <f>'Country L per 100 km'!V14</f>
        <v>5.2598197779990956</v>
      </c>
      <c r="W88" s="3">
        <f>'Country distance travelled'!V14</f>
        <v>13200</v>
      </c>
      <c r="Y88">
        <v>2019</v>
      </c>
      <c r="Z88" s="13"/>
      <c r="AA88" s="13">
        <v>1.4188162058616496</v>
      </c>
      <c r="AB88" s="13">
        <v>1.2101111520712202</v>
      </c>
      <c r="AC88" s="13">
        <v>1.0283224019379131</v>
      </c>
    </row>
    <row r="89" spans="1:29">
      <c r="A89" s="3">
        <v>2020</v>
      </c>
      <c r="B89" s="3">
        <f t="shared" si="37"/>
        <v>26775.099266882578</v>
      </c>
      <c r="C89" s="3">
        <f t="shared" si="42"/>
        <v>5355.019853376516</v>
      </c>
      <c r="D89" s="3">
        <f t="shared" si="43"/>
        <v>3480.7629046947354</v>
      </c>
      <c r="E89" s="3">
        <f t="shared" si="38"/>
        <v>1350</v>
      </c>
      <c r="F89" s="3">
        <f t="shared" si="44"/>
        <v>7485.782758071251</v>
      </c>
      <c r="G89" s="3"/>
      <c r="H89" s="3"/>
      <c r="I89" s="3">
        <v>2020</v>
      </c>
      <c r="J89" s="3">
        <f t="shared" si="45"/>
        <v>22080.000000000004</v>
      </c>
      <c r="K89" s="3">
        <f t="shared" si="46"/>
        <v>4416.0000000000009</v>
      </c>
      <c r="L89" s="3">
        <f t="shared" si="39"/>
        <v>2870.4000000000005</v>
      </c>
      <c r="M89" s="3">
        <f t="shared" si="47"/>
        <v>832.81857884640726</v>
      </c>
      <c r="N89" s="3">
        <f t="shared" si="40"/>
        <v>8119.2185788464085</v>
      </c>
      <c r="O89" s="3"/>
      <c r="P89" s="3"/>
      <c r="Q89" s="3">
        <v>2020</v>
      </c>
      <c r="R89" s="13">
        <f t="shared" si="48"/>
        <v>1.0846185150233194</v>
      </c>
      <c r="S89" s="13">
        <f t="shared" si="49"/>
        <v>0.82464680260999734</v>
      </c>
      <c r="T89" s="13"/>
      <c r="U89" s="13">
        <f t="shared" si="50"/>
        <v>1.21150994586562</v>
      </c>
      <c r="V89" s="12">
        <f>'Country L per 100 km'!V15</f>
        <v>5.2077423544545498</v>
      </c>
      <c r="W89" s="3">
        <f>'Country distance travelled'!V15</f>
        <v>13200</v>
      </c>
      <c r="Y89">
        <v>2020</v>
      </c>
      <c r="Z89" s="13"/>
      <c r="AA89" s="13">
        <v>1.5073281347510301</v>
      </c>
      <c r="AB89" s="13">
        <v>1.21150994586562</v>
      </c>
      <c r="AC89" s="13">
        <v>1.0335289859902297</v>
      </c>
    </row>
    <row r="90" spans="1:29">
      <c r="A90" s="3">
        <v>2021</v>
      </c>
      <c r="B90" s="3">
        <f t="shared" si="37"/>
        <v>26131.194261209414</v>
      </c>
      <c r="C90" s="3">
        <f t="shared" si="42"/>
        <v>5226.2388522418823</v>
      </c>
      <c r="D90" s="3">
        <f t="shared" si="43"/>
        <v>3397.0552539572241</v>
      </c>
      <c r="E90" s="3">
        <f t="shared" si="38"/>
        <v>1355</v>
      </c>
      <c r="F90" s="3">
        <f t="shared" si="44"/>
        <v>7268.294106199106</v>
      </c>
      <c r="G90" s="3"/>
      <c r="H90" s="3"/>
      <c r="I90" s="3">
        <v>2021</v>
      </c>
      <c r="J90" s="3">
        <f t="shared" si="45"/>
        <v>22080.000000000004</v>
      </c>
      <c r="K90" s="3">
        <f t="shared" si="46"/>
        <v>4416.0000000000009</v>
      </c>
      <c r="L90" s="3">
        <f t="shared" si="39"/>
        <v>2870.4000000000005</v>
      </c>
      <c r="M90" s="3">
        <f t="shared" si="47"/>
        <v>852.6221661638524</v>
      </c>
      <c r="N90" s="3">
        <f t="shared" si="40"/>
        <v>8139.0221661638534</v>
      </c>
      <c r="O90" s="3"/>
      <c r="P90" s="3"/>
      <c r="Q90" s="3">
        <v>2021</v>
      </c>
      <c r="R90" s="13">
        <f t="shared" si="48"/>
        <v>1.1197981324423989</v>
      </c>
      <c r="S90" s="13">
        <f t="shared" si="49"/>
        <v>0.84496712164345178</v>
      </c>
      <c r="T90" s="13"/>
      <c r="U90" s="13">
        <f t="shared" si="50"/>
        <v>1.2527216169479034</v>
      </c>
      <c r="V90" s="12">
        <f>'Country L per 100 km'!V16</f>
        <v>5.1561805489649011</v>
      </c>
      <c r="W90" s="3">
        <f>'Country distance travelled'!V16</f>
        <v>13200</v>
      </c>
      <c r="Y90">
        <v>2021</v>
      </c>
      <c r="Z90" s="13"/>
      <c r="AA90" s="13">
        <v>1.6010466476927263</v>
      </c>
      <c r="AB90" s="13">
        <v>1.2527216169479034</v>
      </c>
      <c r="AC90" s="13">
        <v>1.0439421540948628</v>
      </c>
    </row>
    <row r="91" spans="1:29">
      <c r="A91" s="3">
        <v>2022</v>
      </c>
      <c r="B91" s="3">
        <f t="shared" si="37"/>
        <v>26651.032755581437</v>
      </c>
      <c r="C91" s="3">
        <f t="shared" si="42"/>
        <v>5330.2065511162873</v>
      </c>
      <c r="D91" s="3">
        <f t="shared" si="43"/>
        <v>3464.634258225587</v>
      </c>
      <c r="E91" s="3">
        <f t="shared" si="38"/>
        <v>1355</v>
      </c>
      <c r="F91" s="3">
        <f t="shared" si="44"/>
        <v>7439.8408093418748</v>
      </c>
      <c r="G91" s="3"/>
      <c r="H91" s="3"/>
      <c r="I91" s="3">
        <v>2022</v>
      </c>
      <c r="J91" s="3">
        <f t="shared" si="45"/>
        <v>22080.000000000004</v>
      </c>
      <c r="K91" s="3">
        <f t="shared" si="46"/>
        <v>4416.0000000000009</v>
      </c>
      <c r="L91" s="3">
        <f t="shared" si="39"/>
        <v>2870.4000000000005</v>
      </c>
      <c r="M91" s="3">
        <f t="shared" si="47"/>
        <v>864.85822818875329</v>
      </c>
      <c r="N91" s="3">
        <f t="shared" si="40"/>
        <v>8151.2582281887544</v>
      </c>
      <c r="O91" s="3"/>
      <c r="P91" s="3"/>
      <c r="Q91" s="3">
        <v>2022</v>
      </c>
      <c r="R91" s="13">
        <f t="shared" si="48"/>
        <v>1.0956226668121158</v>
      </c>
      <c r="S91" s="13">
        <f t="shared" si="49"/>
        <v>0.82848571770172263</v>
      </c>
      <c r="T91" s="13"/>
      <c r="U91" s="13">
        <f t="shared" si="50"/>
        <v>1.2834065397937329</v>
      </c>
      <c r="V91" s="12">
        <f>'Country L per 100 km'!V17</f>
        <v>5.1051292564008923</v>
      </c>
      <c r="W91" s="3">
        <f>'Country distance travelled'!V17</f>
        <v>13200</v>
      </c>
      <c r="Y91">
        <v>2022</v>
      </c>
      <c r="Z91" s="13"/>
      <c r="AA91" s="13">
        <v>1.642699320111259</v>
      </c>
      <c r="AB91" s="13">
        <v>1.2834065397937329</v>
      </c>
      <c r="AC91" s="13">
        <v>1.0491487381471791</v>
      </c>
    </row>
    <row r="92" spans="1:29">
      <c r="A92" s="3">
        <v>2023</v>
      </c>
      <c r="B92" s="3">
        <f t="shared" si="37"/>
        <v>26480.349129214221</v>
      </c>
      <c r="C92" s="3">
        <f t="shared" si="42"/>
        <v>5296.0698258428438</v>
      </c>
      <c r="D92" s="3">
        <f t="shared" si="43"/>
        <v>3442.4453867978486</v>
      </c>
      <c r="E92" s="3">
        <f t="shared" si="38"/>
        <v>1355</v>
      </c>
      <c r="F92" s="3">
        <f t="shared" si="44"/>
        <v>7383.515212640692</v>
      </c>
      <c r="G92" s="3"/>
      <c r="H92" s="3"/>
      <c r="I92" s="3">
        <v>2023</v>
      </c>
      <c r="J92" s="3">
        <f t="shared" si="45"/>
        <v>22080.000000000004</v>
      </c>
      <c r="K92" s="3">
        <f t="shared" si="46"/>
        <v>4416.0000000000009</v>
      </c>
      <c r="L92" s="3">
        <f t="shared" si="39"/>
        <v>2870.4000000000005</v>
      </c>
      <c r="M92" s="3">
        <f t="shared" si="47"/>
        <v>865.71632132162415</v>
      </c>
      <c r="N92" s="3">
        <f t="shared" si="40"/>
        <v>8152.1163213216259</v>
      </c>
      <c r="O92" s="3"/>
      <c r="P92" s="3"/>
      <c r="Q92" s="3">
        <v>2023</v>
      </c>
      <c r="R92" s="13">
        <f t="shared" si="48"/>
        <v>1.1040969086601293</v>
      </c>
      <c r="S92" s="13">
        <f t="shared" si="49"/>
        <v>0.83382586431386707</v>
      </c>
      <c r="T92" s="13"/>
      <c r="U92" s="13">
        <f t="shared" si="50"/>
        <v>1.2975267063416736</v>
      </c>
      <c r="V92" s="12">
        <f>'Country L per 100 km'!V18</f>
        <v>5.0545834221791015</v>
      </c>
      <c r="W92" s="3">
        <f>'Country distance travelled'!V18</f>
        <v>13200</v>
      </c>
      <c r="Y92">
        <v>2023</v>
      </c>
      <c r="Z92" s="13"/>
      <c r="AA92" s="13">
        <v>1.6739388244251572</v>
      </c>
      <c r="AB92" s="13">
        <v>1.2975267063416736</v>
      </c>
      <c r="AC92" s="13">
        <v>1.0491487381471791</v>
      </c>
    </row>
    <row r="93" spans="1:29">
      <c r="A93" s="3">
        <v>2024</v>
      </c>
      <c r="B93" s="3">
        <f t="shared" si="37"/>
        <v>25534.397124530806</v>
      </c>
      <c r="C93" s="3">
        <f t="shared" si="42"/>
        <v>5106.8794249061611</v>
      </c>
      <c r="D93" s="3">
        <f t="shared" si="43"/>
        <v>3319.4716261890048</v>
      </c>
      <c r="E93" s="3">
        <f t="shared" si="38"/>
        <v>1355</v>
      </c>
      <c r="F93" s="3">
        <f t="shared" si="44"/>
        <v>7071.3510510951655</v>
      </c>
      <c r="G93" s="3"/>
      <c r="H93" s="3"/>
      <c r="I93" s="3">
        <v>2024</v>
      </c>
      <c r="J93" s="3">
        <f t="shared" si="45"/>
        <v>22080.000000000004</v>
      </c>
      <c r="K93" s="3">
        <f t="shared" si="46"/>
        <v>4416.0000000000009</v>
      </c>
      <c r="L93" s="3">
        <f t="shared" si="39"/>
        <v>2870.4000000000005</v>
      </c>
      <c r="M93" s="3">
        <f t="shared" si="47"/>
        <v>859.61101782897333</v>
      </c>
      <c r="N93" s="3">
        <f t="shared" si="40"/>
        <v>8146.0110178289751</v>
      </c>
      <c r="O93" s="3"/>
      <c r="P93" s="3"/>
      <c r="Q93" s="3">
        <v>2024</v>
      </c>
      <c r="R93" s="13">
        <f t="shared" si="48"/>
        <v>1.1519737825160545</v>
      </c>
      <c r="S93" s="13">
        <f t="shared" si="49"/>
        <v>0.86471593170248873</v>
      </c>
      <c r="T93" s="13"/>
      <c r="U93" s="13">
        <f t="shared" si="50"/>
        <v>1.3012599017491677</v>
      </c>
      <c r="V93" s="12">
        <f>'Country L per 100 km'!V19</f>
        <v>5.0045380417614869</v>
      </c>
      <c r="W93" s="3">
        <f>'Country distance travelled'!V19</f>
        <v>13200</v>
      </c>
      <c r="Y93">
        <v>2024</v>
      </c>
      <c r="Z93" s="13"/>
      <c r="AA93" s="13">
        <v>1.6999717446867399</v>
      </c>
      <c r="AB93" s="13">
        <v>1.3012599017491677</v>
      </c>
      <c r="AC93" s="13">
        <v>1.0491487381471791</v>
      </c>
    </row>
    <row r="94" spans="1:29">
      <c r="A94" s="3">
        <v>2025</v>
      </c>
      <c r="B94" s="3">
        <f t="shared" si="37"/>
        <v>24733.53148899704</v>
      </c>
      <c r="C94" s="3">
        <f t="shared" si="42"/>
        <v>4946.7062977994083</v>
      </c>
      <c r="D94" s="3">
        <f t="shared" si="43"/>
        <v>3215.3590935696152</v>
      </c>
      <c r="E94" s="3">
        <f t="shared" si="38"/>
        <v>1355</v>
      </c>
      <c r="F94" s="3">
        <f t="shared" si="44"/>
        <v>6807.0653913690239</v>
      </c>
      <c r="G94" s="3"/>
      <c r="H94" s="3"/>
      <c r="I94" s="3">
        <v>2025</v>
      </c>
      <c r="J94" s="3">
        <f t="shared" si="45"/>
        <v>22080.000000000004</v>
      </c>
      <c r="K94" s="3">
        <f t="shared" si="46"/>
        <v>4416.0000000000009</v>
      </c>
      <c r="L94" s="3">
        <f t="shared" si="39"/>
        <v>2870.4000000000005</v>
      </c>
      <c r="M94" s="3">
        <f t="shared" si="47"/>
        <v>863.87617076853223</v>
      </c>
      <c r="N94" s="3">
        <f t="shared" si="40"/>
        <v>8150.276170768534</v>
      </c>
      <c r="O94" s="3"/>
      <c r="P94" s="3"/>
      <c r="Q94" s="3">
        <v>2025</v>
      </c>
      <c r="R94" s="13">
        <f t="shared" si="48"/>
        <v>1.1973259697347149</v>
      </c>
      <c r="S94" s="13">
        <f t="shared" si="49"/>
        <v>0.89271521981495094</v>
      </c>
      <c r="T94" s="13"/>
      <c r="U94" s="13">
        <f t="shared" si="50"/>
        <v>1.3207935586681552</v>
      </c>
      <c r="V94" s="12">
        <f>'Country L per 100 km'!V20</f>
        <v>4.9549881601598873</v>
      </c>
      <c r="W94" s="3">
        <f>'Country distance travelled'!V20</f>
        <v>13200</v>
      </c>
      <c r="Y94">
        <v>2025</v>
      </c>
      <c r="Z94" s="13"/>
      <c r="AA94" s="13">
        <v>1.7260046649483223</v>
      </c>
      <c r="AB94" s="13">
        <v>1.3207935586681552</v>
      </c>
      <c r="AC94" s="13">
        <v>1.0543553221994955</v>
      </c>
    </row>
    <row r="95" spans="1:29">
      <c r="A95" s="3">
        <v>2026</v>
      </c>
      <c r="B95" s="3">
        <f t="shared" si="37"/>
        <v>24315.429707414503</v>
      </c>
      <c r="C95" s="3">
        <f t="shared" si="42"/>
        <v>4863.085941482901</v>
      </c>
      <c r="D95" s="3">
        <f t="shared" si="43"/>
        <v>3161.0058619638858</v>
      </c>
      <c r="E95" s="3">
        <f t="shared" si="38"/>
        <v>1355</v>
      </c>
      <c r="F95" s="3">
        <f t="shared" si="44"/>
        <v>6669.0918034467868</v>
      </c>
      <c r="G95" s="3"/>
      <c r="H95" s="3"/>
      <c r="I95" s="3">
        <v>2026</v>
      </c>
      <c r="J95" s="3">
        <f t="shared" si="45"/>
        <v>22080.000000000004</v>
      </c>
      <c r="K95" s="3">
        <f t="shared" si="46"/>
        <v>4416.0000000000009</v>
      </c>
      <c r="L95" s="3">
        <f t="shared" si="39"/>
        <v>2870.4000000000005</v>
      </c>
      <c r="M95" s="3">
        <f t="shared" si="47"/>
        <v>877.5561866248762</v>
      </c>
      <c r="N95" s="3">
        <f t="shared" si="40"/>
        <v>8163.9561866248778</v>
      </c>
      <c r="O95" s="3"/>
      <c r="P95" s="3"/>
      <c r="Q95" s="3">
        <v>2026</v>
      </c>
      <c r="R95" s="13">
        <f t="shared" si="48"/>
        <v>1.2241481189995767</v>
      </c>
      <c r="S95" s="13">
        <f t="shared" si="49"/>
        <v>0.90806538340826237</v>
      </c>
      <c r="T95" s="13"/>
      <c r="U95" s="13">
        <f t="shared" si="50"/>
        <v>1.3551262366789247</v>
      </c>
      <c r="V95" s="12">
        <f>'Country L per 100 km'!V21</f>
        <v>4.9059288714454334</v>
      </c>
      <c r="W95" s="3">
        <f>'Country distance travelled'!V21</f>
        <v>13200</v>
      </c>
      <c r="Y95">
        <v>2026</v>
      </c>
      <c r="Z95" s="13"/>
      <c r="AA95" s="13">
        <v>1.752037585209905</v>
      </c>
      <c r="AB95" s="13">
        <v>1.3551262366789247</v>
      </c>
      <c r="AC95" s="13">
        <v>1.059561906251812</v>
      </c>
    </row>
    <row r="96" spans="1:29">
      <c r="A96" s="3">
        <v>2027</v>
      </c>
      <c r="B96" s="3">
        <f t="shared" si="37"/>
        <v>23895.037520623308</v>
      </c>
      <c r="C96" s="3">
        <f t="shared" si="42"/>
        <v>4779.0075041246619</v>
      </c>
      <c r="D96" s="3">
        <f t="shared" si="43"/>
        <v>3106.3548776810303</v>
      </c>
      <c r="E96" s="3">
        <f t="shared" si="38"/>
        <v>1355</v>
      </c>
      <c r="F96" s="3">
        <f t="shared" si="44"/>
        <v>6530.3623818056922</v>
      </c>
      <c r="G96" s="3"/>
      <c r="H96" s="3"/>
      <c r="I96" s="3">
        <v>2027</v>
      </c>
      <c r="J96" s="3">
        <f t="shared" si="45"/>
        <v>22080.000000000004</v>
      </c>
      <c r="K96" s="3">
        <f t="shared" si="46"/>
        <v>4416.0000000000009</v>
      </c>
      <c r="L96" s="3">
        <f t="shared" si="39"/>
        <v>2870.4000000000005</v>
      </c>
      <c r="M96" s="3">
        <f t="shared" si="47"/>
        <v>880.21251353488503</v>
      </c>
      <c r="N96" s="3">
        <f t="shared" si="40"/>
        <v>8166.6125135348866</v>
      </c>
      <c r="O96" s="3"/>
      <c r="P96" s="3"/>
      <c r="Q96" s="3">
        <v>2027</v>
      </c>
      <c r="R96" s="13">
        <f t="shared" si="48"/>
        <v>1.2505603879331364</v>
      </c>
      <c r="S96" s="13">
        <f t="shared" si="49"/>
        <v>0.92404123579815334</v>
      </c>
      <c r="T96" s="13"/>
      <c r="U96" s="13">
        <f t="shared" si="50"/>
        <v>1.3728204302075599</v>
      </c>
      <c r="V96" s="12">
        <f>'Country L per 100 km'!V22</f>
        <v>4.8573553182628046</v>
      </c>
      <c r="W96" s="3">
        <f>'Country distance travelled'!V22</f>
        <v>13200</v>
      </c>
      <c r="Y96">
        <v>2027</v>
      </c>
      <c r="Z96" s="13"/>
      <c r="AA96" s="13">
        <v>1.7780705054714869</v>
      </c>
      <c r="AB96" s="13">
        <v>1.3728204302075599</v>
      </c>
      <c r="AC96" s="13">
        <v>1.0647684903041286</v>
      </c>
    </row>
    <row r="97" spans="1:29">
      <c r="A97" s="3">
        <v>2028</v>
      </c>
      <c r="B97" s="3">
        <f t="shared" si="37"/>
        <v>23408.679456892536</v>
      </c>
      <c r="C97" s="3">
        <f t="shared" si="42"/>
        <v>4681.7358913785074</v>
      </c>
      <c r="D97" s="3">
        <f t="shared" si="43"/>
        <v>3043.1283293960296</v>
      </c>
      <c r="E97" s="3">
        <f t="shared" si="38"/>
        <v>1355</v>
      </c>
      <c r="F97" s="3">
        <f t="shared" si="44"/>
        <v>6369.864220774537</v>
      </c>
      <c r="G97" s="3"/>
      <c r="H97" s="3"/>
      <c r="I97" s="3">
        <v>2028</v>
      </c>
      <c r="J97" s="3">
        <f t="shared" si="45"/>
        <v>22080.000000000004</v>
      </c>
      <c r="K97" s="3">
        <f t="shared" si="46"/>
        <v>4416.0000000000009</v>
      </c>
      <c r="L97" s="3">
        <f t="shared" si="39"/>
        <v>2870.4000000000005</v>
      </c>
      <c r="M97" s="3">
        <f t="shared" si="47"/>
        <v>878.60810185492585</v>
      </c>
      <c r="N97" s="3">
        <f t="shared" si="40"/>
        <v>8165.0081018549272</v>
      </c>
      <c r="O97" s="3"/>
      <c r="P97" s="3"/>
      <c r="Q97" s="3">
        <v>2028</v>
      </c>
      <c r="R97" s="13">
        <f t="shared" si="48"/>
        <v>1.2818182333032699</v>
      </c>
      <c r="S97" s="13">
        <f t="shared" si="49"/>
        <v>0.94323987991978286</v>
      </c>
      <c r="T97" s="13"/>
      <c r="U97" s="13">
        <f t="shared" si="50"/>
        <v>1.3840212961795939</v>
      </c>
      <c r="V97" s="12">
        <f>'Country L per 100 km'!V23</f>
        <v>4.8092626913493124</v>
      </c>
      <c r="W97" s="3">
        <f>'Country distance travelled'!V23</f>
        <v>13200</v>
      </c>
      <c r="Y97">
        <v>2028</v>
      </c>
      <c r="Z97" s="13"/>
      <c r="AA97" s="13">
        <v>1.7988968416807529</v>
      </c>
      <c r="AB97" s="13">
        <v>1.3840212961795939</v>
      </c>
      <c r="AC97" s="13">
        <v>1.0647684903041286</v>
      </c>
    </row>
    <row r="98" spans="1:29">
      <c r="A98" s="3">
        <v>2029</v>
      </c>
      <c r="B98" s="3">
        <f t="shared" si="37"/>
        <v>22983.876545046292</v>
      </c>
      <c r="C98" s="3">
        <f t="shared" si="42"/>
        <v>4596.7753090092583</v>
      </c>
      <c r="D98" s="3">
        <f t="shared" si="43"/>
        <v>2987.9039508560181</v>
      </c>
      <c r="E98" s="3">
        <f t="shared" si="38"/>
        <v>1355</v>
      </c>
      <c r="F98" s="3">
        <f t="shared" si="44"/>
        <v>6229.6792598652764</v>
      </c>
      <c r="G98" s="3"/>
      <c r="H98" s="3"/>
      <c r="I98" s="3">
        <v>2029</v>
      </c>
      <c r="J98" s="3">
        <f t="shared" si="45"/>
        <v>22080.000000000004</v>
      </c>
      <c r="K98" s="3">
        <f t="shared" si="46"/>
        <v>4416.0000000000009</v>
      </c>
      <c r="L98" s="3">
        <f t="shared" si="39"/>
        <v>2870.4000000000005</v>
      </c>
      <c r="M98" s="3">
        <f t="shared" si="47"/>
        <v>879.45148174496478</v>
      </c>
      <c r="N98" s="3">
        <f t="shared" si="40"/>
        <v>8165.8514817449659</v>
      </c>
      <c r="O98" s="3"/>
      <c r="P98" s="3"/>
      <c r="Q98" s="3">
        <v>2029</v>
      </c>
      <c r="R98" s="13">
        <f t="shared" si="48"/>
        <v>1.3107980589552153</v>
      </c>
      <c r="S98" s="13">
        <f t="shared" si="49"/>
        <v>0.96067345109190894</v>
      </c>
      <c r="T98" s="13"/>
      <c r="U98" s="13">
        <f t="shared" si="50"/>
        <v>1.3992033227251488</v>
      </c>
      <c r="V98" s="12">
        <f>'Country L per 100 km'!V24</f>
        <v>4.7616462290587247</v>
      </c>
      <c r="W98" s="3">
        <f>'Country distance travelled'!V24</f>
        <v>13200</v>
      </c>
      <c r="Y98">
        <v>2029</v>
      </c>
      <c r="Z98" s="13"/>
      <c r="AA98" s="13">
        <v>1.8249297619423352</v>
      </c>
      <c r="AB98" s="13">
        <v>1.3992033227251488</v>
      </c>
      <c r="AC98" s="13">
        <v>1.0647684903041286</v>
      </c>
    </row>
    <row r="99" spans="1:29">
      <c r="A99" s="3">
        <v>2030</v>
      </c>
      <c r="B99" s="3">
        <f t="shared" si="37"/>
        <v>22493.217852361682</v>
      </c>
      <c r="C99" s="3">
        <f t="shared" si="42"/>
        <v>4498.6435704723363</v>
      </c>
      <c r="D99" s="3">
        <f t="shared" si="43"/>
        <v>2924.1183208070188</v>
      </c>
      <c r="E99" s="3">
        <f t="shared" si="38"/>
        <v>1355</v>
      </c>
      <c r="F99" s="3">
        <f t="shared" si="44"/>
        <v>6067.761891279355</v>
      </c>
      <c r="G99" s="3"/>
      <c r="H99" s="3"/>
      <c r="I99" s="3">
        <v>2030</v>
      </c>
      <c r="J99" s="3">
        <f t="shared" si="45"/>
        <v>22080.000000000004</v>
      </c>
      <c r="K99" s="3">
        <f t="shared" si="46"/>
        <v>4416.0000000000009</v>
      </c>
      <c r="L99" s="3">
        <f t="shared" si="39"/>
        <v>2870.4000000000005</v>
      </c>
      <c r="M99" s="3">
        <f t="shared" si="47"/>
        <v>877.96824902867309</v>
      </c>
      <c r="N99" s="3">
        <f t="shared" si="40"/>
        <v>8164.3682490286747</v>
      </c>
      <c r="O99" s="3"/>
      <c r="P99" s="3"/>
      <c r="Q99" s="3">
        <v>2030</v>
      </c>
      <c r="R99" s="13">
        <f t="shared" si="48"/>
        <v>1.3455320751400253</v>
      </c>
      <c r="S99" s="13">
        <f t="shared" si="49"/>
        <v>0.98162922463678126</v>
      </c>
      <c r="T99" s="13"/>
      <c r="U99" s="13">
        <f t="shared" si="50"/>
        <v>1.4108119412558884</v>
      </c>
      <c r="V99" s="12">
        <f>'Country L per 100 km'!V25</f>
        <v>4.7145012168898264</v>
      </c>
      <c r="W99" s="3">
        <f>'Country distance travelled'!V25</f>
        <v>13200</v>
      </c>
      <c r="Y99">
        <v>2030</v>
      </c>
      <c r="Z99" s="13"/>
      <c r="AA99" s="13">
        <v>1.8405495140992849</v>
      </c>
      <c r="AB99" s="13">
        <v>1.4108119412558884</v>
      </c>
      <c r="AC99" s="13">
        <v>1.0699750743564449</v>
      </c>
    </row>
    <row r="100" spans="1:29">
      <c r="A100" s="3">
        <v>2031</v>
      </c>
      <c r="B100" s="3"/>
      <c r="C100" s="3"/>
      <c r="D100" s="3"/>
      <c r="E100" s="3"/>
      <c r="F100" s="3"/>
      <c r="G100" s="3"/>
      <c r="H100" s="3"/>
      <c r="I100" s="3">
        <v>2031</v>
      </c>
      <c r="J100" s="3"/>
      <c r="K100" s="3"/>
      <c r="L100" s="3"/>
      <c r="M100" s="3">
        <f t="shared" si="47"/>
        <v>869.27549408779521</v>
      </c>
      <c r="N100" s="3"/>
      <c r="O100" s="3"/>
      <c r="P100" s="3"/>
      <c r="Q100" s="3">
        <v>2031</v>
      </c>
      <c r="R100" s="3"/>
      <c r="S100" s="3"/>
      <c r="T100" s="3"/>
      <c r="U100" s="13">
        <f>U99</f>
        <v>1.4108119412558884</v>
      </c>
      <c r="V100" s="12">
        <f>'Country L per 100 km'!V26</f>
        <v>4.6678229870196306</v>
      </c>
      <c r="W100" s="3">
        <f>'Country distance travelled'!V26</f>
        <v>13200</v>
      </c>
      <c r="Y100">
        <v>2031</v>
      </c>
      <c r="AA100" s="13">
        <f>AA99</f>
        <v>1.8405495140992849</v>
      </c>
      <c r="AB100" s="13">
        <f t="shared" ref="AB100:AC100" si="57">AB99</f>
        <v>1.4108119412558884</v>
      </c>
      <c r="AC100" s="13">
        <f t="shared" si="57"/>
        <v>1.0699750743564449</v>
      </c>
    </row>
    <row r="101" spans="1:29">
      <c r="A101" s="3">
        <v>2032</v>
      </c>
      <c r="B101" s="3"/>
      <c r="C101" s="3"/>
      <c r="D101" s="3"/>
      <c r="E101" s="3"/>
      <c r="F101" s="3"/>
      <c r="G101" s="3"/>
      <c r="H101" s="3"/>
      <c r="I101" s="3">
        <v>2032</v>
      </c>
      <c r="J101" s="3"/>
      <c r="K101" s="3"/>
      <c r="L101" s="3"/>
      <c r="M101" s="3"/>
      <c r="N101" s="3"/>
      <c r="O101" s="3"/>
      <c r="P101" s="3"/>
      <c r="Q101" s="3">
        <v>2032</v>
      </c>
      <c r="R101" s="3"/>
      <c r="S101" s="3"/>
      <c r="T101" s="3"/>
      <c r="U101" s="13">
        <f t="shared" ref="U101:U109" si="58">U100</f>
        <v>1.4108119412558884</v>
      </c>
      <c r="V101" s="12">
        <f>'Country L per 100 km'!V27</f>
        <v>4.621606917841218</v>
      </c>
      <c r="W101" s="3">
        <f>'Country distance travelled'!V27</f>
        <v>13200</v>
      </c>
      <c r="Y101">
        <v>2032</v>
      </c>
      <c r="AA101" s="13">
        <f t="shared" ref="AA101:AA109" si="59">AA100</f>
        <v>1.8405495140992849</v>
      </c>
      <c r="AB101" s="13">
        <f t="shared" ref="AB101:AB109" si="60">AB100</f>
        <v>1.4108119412558884</v>
      </c>
      <c r="AC101" s="13">
        <f t="shared" ref="AC101:AC109" si="61">AC100</f>
        <v>1.0699750743564449</v>
      </c>
    </row>
    <row r="102" spans="1:29">
      <c r="A102" s="3">
        <v>2033</v>
      </c>
      <c r="B102" s="3"/>
      <c r="C102" s="3"/>
      <c r="D102" s="3"/>
      <c r="E102" s="3"/>
      <c r="F102" s="3"/>
      <c r="G102" s="3"/>
      <c r="H102" s="3"/>
      <c r="I102" s="3">
        <v>2033</v>
      </c>
      <c r="J102" s="3"/>
      <c r="K102" s="3"/>
      <c r="L102" s="3"/>
      <c r="M102" s="3"/>
      <c r="N102" s="3"/>
      <c r="O102" s="3"/>
      <c r="P102" s="3"/>
      <c r="Q102" s="3">
        <v>2033</v>
      </c>
      <c r="R102" s="3"/>
      <c r="S102" s="3"/>
      <c r="T102" s="3"/>
      <c r="U102" s="13">
        <f t="shared" si="58"/>
        <v>1.4108119412558884</v>
      </c>
      <c r="V102" s="12">
        <f>'Country L per 100 km'!V28</f>
        <v>4.5758484335061569</v>
      </c>
      <c r="W102" s="3">
        <f>'Country distance travelled'!V28</f>
        <v>13200</v>
      </c>
      <c r="Y102">
        <v>2033</v>
      </c>
      <c r="AA102" s="13">
        <f t="shared" si="59"/>
        <v>1.8405495140992849</v>
      </c>
      <c r="AB102" s="13">
        <f t="shared" si="60"/>
        <v>1.4108119412558884</v>
      </c>
      <c r="AC102" s="13">
        <f t="shared" si="61"/>
        <v>1.0699750743564449</v>
      </c>
    </row>
    <row r="103" spans="1:29">
      <c r="A103" s="3">
        <v>2034</v>
      </c>
      <c r="B103" s="3"/>
      <c r="C103" s="3"/>
      <c r="D103" s="3"/>
      <c r="E103" s="3"/>
      <c r="F103" s="3"/>
      <c r="G103" s="3"/>
      <c r="H103" s="3"/>
      <c r="I103" s="3">
        <v>2034</v>
      </c>
      <c r="J103" s="3"/>
      <c r="K103" s="3"/>
      <c r="L103" s="3"/>
      <c r="M103" s="3"/>
      <c r="N103" s="3"/>
      <c r="O103" s="3"/>
      <c r="P103" s="3"/>
      <c r="Q103" s="3">
        <v>2034</v>
      </c>
      <c r="R103" s="3"/>
      <c r="S103" s="3"/>
      <c r="T103" s="3"/>
      <c r="U103" s="13">
        <f t="shared" si="58"/>
        <v>1.4108119412558884</v>
      </c>
      <c r="V103" s="12">
        <f>'Country L per 100 km'!V29</f>
        <v>4.5305430034714416</v>
      </c>
      <c r="W103" s="3">
        <f>'Country distance travelled'!V29</f>
        <v>13200</v>
      </c>
      <c r="Y103">
        <v>2034</v>
      </c>
      <c r="AA103" s="13">
        <f t="shared" si="59"/>
        <v>1.8405495140992849</v>
      </c>
      <c r="AB103" s="13">
        <f t="shared" si="60"/>
        <v>1.4108119412558884</v>
      </c>
      <c r="AC103" s="13">
        <f t="shared" si="61"/>
        <v>1.0699750743564449</v>
      </c>
    </row>
    <row r="104" spans="1:29">
      <c r="A104" s="3">
        <v>2035</v>
      </c>
      <c r="B104" s="3"/>
      <c r="C104" s="3"/>
      <c r="D104" s="3"/>
      <c r="E104" s="3"/>
      <c r="F104" s="3"/>
      <c r="G104" s="3"/>
      <c r="H104" s="3"/>
      <c r="I104" s="3">
        <v>2035</v>
      </c>
      <c r="J104" s="3"/>
      <c r="K104" s="3"/>
      <c r="L104" s="3"/>
      <c r="M104" s="3"/>
      <c r="N104" s="3"/>
      <c r="O104" s="3"/>
      <c r="P104" s="3"/>
      <c r="Q104" s="3">
        <v>2035</v>
      </c>
      <c r="R104" s="3"/>
      <c r="S104" s="3"/>
      <c r="T104" s="3"/>
      <c r="U104" s="13">
        <f t="shared" si="58"/>
        <v>1.4108119412558884</v>
      </c>
      <c r="V104" s="12">
        <f>'Country L per 100 km'!V30</f>
        <v>4.4856861420509313</v>
      </c>
      <c r="W104" s="3">
        <f>'Country distance travelled'!V30</f>
        <v>13200</v>
      </c>
      <c r="Y104">
        <v>2035</v>
      </c>
      <c r="AA104" s="13">
        <f t="shared" si="59"/>
        <v>1.8405495140992849</v>
      </c>
      <c r="AB104" s="13">
        <f t="shared" si="60"/>
        <v>1.4108119412558884</v>
      </c>
      <c r="AC104" s="13">
        <f t="shared" si="61"/>
        <v>1.0699750743564449</v>
      </c>
    </row>
    <row r="105" spans="1:29">
      <c r="A105" s="3">
        <v>2036</v>
      </c>
      <c r="B105" s="3"/>
      <c r="C105" s="3"/>
      <c r="D105" s="3"/>
      <c r="E105" s="3"/>
      <c r="F105" s="3"/>
      <c r="G105" s="3"/>
      <c r="H105" s="3"/>
      <c r="I105" s="3">
        <v>2036</v>
      </c>
      <c r="J105" s="3"/>
      <c r="K105" s="3"/>
      <c r="L105" s="3"/>
      <c r="M105" s="3"/>
      <c r="N105" s="3"/>
      <c r="O105" s="3"/>
      <c r="P105" s="3"/>
      <c r="Q105" s="3">
        <v>2036</v>
      </c>
      <c r="R105" s="3"/>
      <c r="S105" s="3"/>
      <c r="T105" s="3"/>
      <c r="U105" s="13">
        <f t="shared" si="58"/>
        <v>1.4108119412558884</v>
      </c>
      <c r="V105" s="12">
        <f>'Country L per 100 km'!V31</f>
        <v>4.4412734079712202</v>
      </c>
      <c r="W105" s="3">
        <f>'Country distance travelled'!V31</f>
        <v>13200</v>
      </c>
      <c r="Y105">
        <v>2036</v>
      </c>
      <c r="AA105" s="13">
        <f t="shared" si="59"/>
        <v>1.8405495140992849</v>
      </c>
      <c r="AB105" s="13">
        <f t="shared" si="60"/>
        <v>1.4108119412558884</v>
      </c>
      <c r="AC105" s="13">
        <f t="shared" si="61"/>
        <v>1.0699750743564449</v>
      </c>
    </row>
    <row r="106" spans="1:29">
      <c r="A106" s="3">
        <v>2037</v>
      </c>
      <c r="B106" s="3"/>
      <c r="C106" s="3"/>
      <c r="D106" s="3"/>
      <c r="E106" s="3"/>
      <c r="F106" s="3"/>
      <c r="G106" s="3"/>
      <c r="H106" s="3"/>
      <c r="I106" s="3">
        <v>2037</v>
      </c>
      <c r="J106" s="3"/>
      <c r="K106" s="3"/>
      <c r="L106" s="3"/>
      <c r="M106" s="3"/>
      <c r="N106" s="3"/>
      <c r="O106" s="3"/>
      <c r="P106" s="3"/>
      <c r="Q106" s="3">
        <v>2037</v>
      </c>
      <c r="R106" s="3"/>
      <c r="S106" s="3"/>
      <c r="T106" s="3"/>
      <c r="U106" s="13">
        <f t="shared" si="58"/>
        <v>1.4108119412558884</v>
      </c>
      <c r="V106" s="12">
        <f>'Country L per 100 km'!V32</f>
        <v>4.3973004039319017</v>
      </c>
      <c r="W106" s="3">
        <f>'Country distance travelled'!V32</f>
        <v>13200</v>
      </c>
      <c r="Y106">
        <v>2037</v>
      </c>
      <c r="AA106" s="13">
        <f t="shared" si="59"/>
        <v>1.8405495140992849</v>
      </c>
      <c r="AB106" s="13">
        <f t="shared" si="60"/>
        <v>1.4108119412558884</v>
      </c>
      <c r="AC106" s="13">
        <f t="shared" si="61"/>
        <v>1.0699750743564449</v>
      </c>
    </row>
    <row r="107" spans="1:29">
      <c r="A107" s="3">
        <v>2038</v>
      </c>
      <c r="B107" s="3"/>
      <c r="C107" s="3"/>
      <c r="D107" s="3"/>
      <c r="E107" s="3"/>
      <c r="F107" s="3"/>
      <c r="G107" s="3"/>
      <c r="H107" s="3"/>
      <c r="I107" s="3">
        <v>2038</v>
      </c>
      <c r="J107" s="3"/>
      <c r="K107" s="3"/>
      <c r="L107" s="3"/>
      <c r="M107" s="3"/>
      <c r="N107" s="3"/>
      <c r="O107" s="3"/>
      <c r="P107" s="3"/>
      <c r="Q107" s="3">
        <v>2038</v>
      </c>
      <c r="R107" s="3"/>
      <c r="S107" s="3"/>
      <c r="T107" s="3"/>
      <c r="U107" s="13">
        <f t="shared" si="58"/>
        <v>1.4108119412558884</v>
      </c>
      <c r="V107" s="12">
        <f>'Country L per 100 km'!V33</f>
        <v>4.3537627761701989</v>
      </c>
      <c r="W107" s="3">
        <f>'Country distance travelled'!V33</f>
        <v>13200</v>
      </c>
      <c r="Y107">
        <v>2038</v>
      </c>
      <c r="AA107" s="13">
        <f t="shared" si="59"/>
        <v>1.8405495140992849</v>
      </c>
      <c r="AB107" s="13">
        <f t="shared" si="60"/>
        <v>1.4108119412558884</v>
      </c>
      <c r="AC107" s="13">
        <f t="shared" si="61"/>
        <v>1.0699750743564449</v>
      </c>
    </row>
    <row r="108" spans="1:29">
      <c r="A108" s="3">
        <v>2039</v>
      </c>
      <c r="B108" s="3"/>
      <c r="C108" s="3"/>
      <c r="D108" s="3"/>
      <c r="E108" s="3"/>
      <c r="F108" s="3"/>
      <c r="G108" s="3"/>
      <c r="H108" s="3"/>
      <c r="I108" s="3">
        <v>2039</v>
      </c>
      <c r="J108" s="3"/>
      <c r="K108" s="3"/>
      <c r="L108" s="3"/>
      <c r="M108" s="3"/>
      <c r="N108" s="3"/>
      <c r="O108" s="3"/>
      <c r="P108" s="3"/>
      <c r="Q108" s="3">
        <v>2039</v>
      </c>
      <c r="R108" s="3"/>
      <c r="S108" s="3"/>
      <c r="T108" s="3"/>
      <c r="U108" s="13">
        <f t="shared" si="58"/>
        <v>1.4108119412558884</v>
      </c>
      <c r="V108" s="12">
        <f>'Country L per 100 km'!V34</f>
        <v>4.3106562140299003</v>
      </c>
      <c r="W108" s="3">
        <f>'Country distance travelled'!V34</f>
        <v>13200</v>
      </c>
      <c r="Y108">
        <v>2039</v>
      </c>
      <c r="AA108" s="13">
        <f t="shared" si="59"/>
        <v>1.8405495140992849</v>
      </c>
      <c r="AB108" s="13">
        <f t="shared" si="60"/>
        <v>1.4108119412558884</v>
      </c>
      <c r="AC108" s="13">
        <f t="shared" si="61"/>
        <v>1.0699750743564449</v>
      </c>
    </row>
    <row r="109" spans="1:29">
      <c r="A109" s="3">
        <v>2040</v>
      </c>
      <c r="B109" s="3"/>
      <c r="C109" s="3"/>
      <c r="D109" s="3"/>
      <c r="E109" s="3"/>
      <c r="F109" s="3"/>
      <c r="G109" s="3"/>
      <c r="H109" s="3"/>
      <c r="I109" s="3">
        <v>2040</v>
      </c>
      <c r="J109" s="3"/>
      <c r="K109" s="3"/>
      <c r="L109" s="3"/>
      <c r="M109" s="3"/>
      <c r="N109" s="3"/>
      <c r="O109" s="3"/>
      <c r="P109" s="3"/>
      <c r="Q109" s="3">
        <v>2040</v>
      </c>
      <c r="R109" s="3"/>
      <c r="S109" s="3"/>
      <c r="T109" s="3"/>
      <c r="U109" s="13">
        <f t="shared" si="58"/>
        <v>1.4108119412558884</v>
      </c>
      <c r="V109" s="12">
        <f>'Country L per 100 km'!V35</f>
        <v>4.2679764495345553</v>
      </c>
      <c r="W109" s="3">
        <f>'Country distance travelled'!V35</f>
        <v>13200</v>
      </c>
      <c r="Y109">
        <v>2040</v>
      </c>
      <c r="AA109" s="13">
        <f t="shared" si="59"/>
        <v>1.8405495140992849</v>
      </c>
      <c r="AB109" s="13">
        <f t="shared" si="60"/>
        <v>1.4108119412558884</v>
      </c>
      <c r="AC109" s="13">
        <f t="shared" si="61"/>
        <v>1.0699750743564449</v>
      </c>
    </row>
    <row r="117" spans="15:28">
      <c r="P117" s="87" t="s">
        <v>980</v>
      </c>
      <c r="Q117" s="87" t="s">
        <v>980</v>
      </c>
      <c r="R117" s="87" t="s">
        <v>980</v>
      </c>
      <c r="S117" s="87" t="s">
        <v>980</v>
      </c>
      <c r="T117" s="87" t="s">
        <v>980</v>
      </c>
      <c r="V117" s="14" t="s">
        <v>812</v>
      </c>
      <c r="W117" s="14" t="s">
        <v>812</v>
      </c>
      <c r="X117" s="14" t="s">
        <v>812</v>
      </c>
      <c r="Y117" s="14" t="s">
        <v>812</v>
      </c>
      <c r="Z117" s="14" t="s">
        <v>812</v>
      </c>
      <c r="AB117" s="248" t="s">
        <v>952</v>
      </c>
    </row>
    <row r="118" spans="15:28">
      <c r="P118" s="87" t="s">
        <v>978</v>
      </c>
      <c r="Q118" s="87" t="s">
        <v>979</v>
      </c>
      <c r="R118" s="87" t="s">
        <v>916</v>
      </c>
      <c r="S118" s="87" t="s">
        <v>981</v>
      </c>
      <c r="T118" s="87" t="s">
        <v>983</v>
      </c>
      <c r="V118" s="14" t="s">
        <v>725</v>
      </c>
      <c r="W118" s="14" t="s">
        <v>979</v>
      </c>
      <c r="X118" s="14" t="s">
        <v>916</v>
      </c>
      <c r="Y118" s="14" t="s">
        <v>985</v>
      </c>
      <c r="Z118" s="14" t="s">
        <v>983</v>
      </c>
      <c r="AB118" s="248" t="s">
        <v>1204</v>
      </c>
    </row>
    <row r="119" spans="15:28">
      <c r="O119">
        <v>2012</v>
      </c>
      <c r="P119" s="3">
        <f>B81</f>
        <v>19242.682907588252</v>
      </c>
      <c r="Q119" s="3">
        <f t="shared" ref="Q119:T119" si="62">C81</f>
        <v>3848.5365815176506</v>
      </c>
      <c r="R119" s="3">
        <f t="shared" si="62"/>
        <v>2501.5487779864729</v>
      </c>
      <c r="S119" s="3">
        <f t="shared" si="62"/>
        <v>1000</v>
      </c>
      <c r="T119" s="3">
        <f t="shared" si="62"/>
        <v>5350.0853595041235</v>
      </c>
      <c r="U119" s="3"/>
      <c r="V119" s="3">
        <f>J81</f>
        <v>17335.70363242723</v>
      </c>
      <c r="W119" s="3">
        <f t="shared" ref="W119:Z119" si="63">K81</f>
        <v>3467.1407264854461</v>
      </c>
      <c r="X119" s="3">
        <f t="shared" si="63"/>
        <v>2253.64147221554</v>
      </c>
      <c r="Y119" s="3">
        <f t="shared" si="63"/>
        <v>1111.4169406727372</v>
      </c>
      <c r="Z119" s="3">
        <f t="shared" si="63"/>
        <v>6832.1991393737235</v>
      </c>
      <c r="AB119" s="13">
        <f>T119/Z119</f>
        <v>0.78306929443431617</v>
      </c>
    </row>
    <row r="120" spans="15:28">
      <c r="O120">
        <v>2013</v>
      </c>
      <c r="P120" s="3">
        <f t="shared" ref="P120:P137" si="64">B82</f>
        <v>19892.824287111252</v>
      </c>
      <c r="Q120" s="3">
        <f t="shared" ref="Q120:Q137" si="65">C82</f>
        <v>3978.5648574222505</v>
      </c>
      <c r="R120" s="3">
        <f t="shared" ref="R120:R137" si="66">D82</f>
        <v>2586.0671573244631</v>
      </c>
      <c r="S120" s="3">
        <f t="shared" ref="S120:S137" si="67">E82</f>
        <v>1200</v>
      </c>
      <c r="T120" s="3">
        <f t="shared" ref="T120:T137" si="68">F82</f>
        <v>5364.632014746714</v>
      </c>
      <c r="U120" s="3"/>
      <c r="V120" s="3">
        <f t="shared" ref="V120:V137" si="69">J82</f>
        <v>17659.639772579314</v>
      </c>
      <c r="W120" s="3">
        <f t="shared" ref="W120:W137" si="70">K82</f>
        <v>3531.9279545158629</v>
      </c>
      <c r="X120" s="3">
        <f t="shared" ref="X120:X137" si="71">L82</f>
        <v>2295.7531704353109</v>
      </c>
      <c r="Y120" s="3">
        <f t="shared" ref="Y120:Y137" si="72">M82</f>
        <v>1058.0125921143497</v>
      </c>
      <c r="Z120" s="3">
        <f t="shared" ref="Z120:Z137" si="73">N82</f>
        <v>6885.6937170655237</v>
      </c>
      <c r="AB120" s="13">
        <f t="shared" ref="AB120:AB137" si="74">T120/Z120</f>
        <v>0.77909826303354068</v>
      </c>
    </row>
    <row r="121" spans="15:28">
      <c r="O121">
        <v>2014</v>
      </c>
      <c r="P121" s="3">
        <f t="shared" si="64"/>
        <v>20499.985476030302</v>
      </c>
      <c r="Q121" s="3">
        <f t="shared" si="65"/>
        <v>4099.9970952060603</v>
      </c>
      <c r="R121" s="3">
        <f t="shared" si="66"/>
        <v>2664.9981118839396</v>
      </c>
      <c r="S121" s="3">
        <f t="shared" si="67"/>
        <v>1350</v>
      </c>
      <c r="T121" s="3">
        <f t="shared" si="68"/>
        <v>5414.9952070899999</v>
      </c>
      <c r="U121" s="3"/>
      <c r="V121" s="3">
        <f t="shared" si="69"/>
        <v>16774.905450500552</v>
      </c>
      <c r="W121" s="3">
        <f t="shared" si="70"/>
        <v>3354.9810901001101</v>
      </c>
      <c r="X121" s="3">
        <f t="shared" si="71"/>
        <v>2180.7377085650719</v>
      </c>
      <c r="Y121" s="3">
        <f t="shared" si="72"/>
        <v>968.42144564346552</v>
      </c>
      <c r="Z121" s="3">
        <f t="shared" si="73"/>
        <v>6504.1402443086481</v>
      </c>
      <c r="AB121" s="13">
        <f t="shared" si="74"/>
        <v>0.83254588672627583</v>
      </c>
    </row>
    <row r="122" spans="15:28">
      <c r="O122">
        <v>2015</v>
      </c>
      <c r="P122" s="3">
        <f t="shared" si="64"/>
        <v>19721.846308650463</v>
      </c>
      <c r="Q122" s="3">
        <f t="shared" si="65"/>
        <v>3944.3692617300926</v>
      </c>
      <c r="R122" s="3">
        <f t="shared" si="66"/>
        <v>2563.8400201245604</v>
      </c>
      <c r="S122" s="3">
        <f t="shared" si="67"/>
        <v>1350</v>
      </c>
      <c r="T122" s="3">
        <f t="shared" si="68"/>
        <v>5158.2092818546535</v>
      </c>
      <c r="U122" s="3"/>
      <c r="V122" s="3">
        <f t="shared" si="69"/>
        <v>18090.142668958892</v>
      </c>
      <c r="W122" s="3">
        <f t="shared" si="70"/>
        <v>3618.0285337917785</v>
      </c>
      <c r="X122" s="3">
        <f t="shared" si="71"/>
        <v>2351.7185469646561</v>
      </c>
      <c r="Y122" s="3">
        <f t="shared" si="72"/>
        <v>827.03274526449263</v>
      </c>
      <c r="Z122" s="3">
        <f t="shared" si="73"/>
        <v>6796.7798260209274</v>
      </c>
      <c r="AB122" s="13">
        <f t="shared" si="74"/>
        <v>0.75891957866677717</v>
      </c>
    </row>
    <row r="123" spans="15:28">
      <c r="O123">
        <v>2016</v>
      </c>
      <c r="P123" s="3">
        <f t="shared" si="64"/>
        <v>22945.387214294511</v>
      </c>
      <c r="Q123" s="3">
        <f t="shared" si="65"/>
        <v>4589.077442858902</v>
      </c>
      <c r="R123" s="3">
        <f t="shared" si="66"/>
        <v>2982.9003378582865</v>
      </c>
      <c r="S123" s="3">
        <f t="shared" si="67"/>
        <v>1350</v>
      </c>
      <c r="T123" s="3">
        <f t="shared" si="68"/>
        <v>6221.9777807171886</v>
      </c>
      <c r="U123" s="3"/>
      <c r="V123" s="3">
        <f t="shared" si="69"/>
        <v>20602.930197625799</v>
      </c>
      <c r="W123" s="3">
        <f t="shared" si="70"/>
        <v>4120.5860395251602</v>
      </c>
      <c r="X123" s="3">
        <f t="shared" si="71"/>
        <v>2678.3809256913542</v>
      </c>
      <c r="Y123" s="3">
        <f t="shared" si="72"/>
        <v>803.81271720732946</v>
      </c>
      <c r="Z123" s="3">
        <f t="shared" si="73"/>
        <v>7602.779682423843</v>
      </c>
      <c r="AB123" s="13">
        <f t="shared" si="74"/>
        <v>0.81838196562517762</v>
      </c>
    </row>
    <row r="124" spans="15:28">
      <c r="O124">
        <v>2017</v>
      </c>
      <c r="P124" s="3">
        <f t="shared" si="64"/>
        <v>23958.044594682451</v>
      </c>
      <c r="Q124" s="3">
        <f t="shared" si="65"/>
        <v>4791.6089189364902</v>
      </c>
      <c r="R124" s="3">
        <f t="shared" si="66"/>
        <v>3114.5457973087186</v>
      </c>
      <c r="S124" s="3">
        <f t="shared" si="67"/>
        <v>1350</v>
      </c>
      <c r="T124" s="3">
        <f t="shared" si="68"/>
        <v>6556.1547162452089</v>
      </c>
      <c r="U124" s="3"/>
      <c r="V124" s="3">
        <f t="shared" si="69"/>
        <v>21281.167522589876</v>
      </c>
      <c r="W124" s="3">
        <f t="shared" si="70"/>
        <v>4256.2335045179752</v>
      </c>
      <c r="X124" s="3">
        <f t="shared" si="71"/>
        <v>2766.5517779366842</v>
      </c>
      <c r="Y124" s="3">
        <f t="shared" si="72"/>
        <v>830.92384638483577</v>
      </c>
      <c r="Z124" s="3">
        <f t="shared" si="73"/>
        <v>7853.709128839495</v>
      </c>
      <c r="AB124" s="13">
        <f t="shared" si="74"/>
        <v>0.8347845086559732</v>
      </c>
    </row>
    <row r="125" spans="15:28">
      <c r="O125">
        <v>2018</v>
      </c>
      <c r="P125" s="3">
        <f t="shared" si="64"/>
        <v>26180.74130999823</v>
      </c>
      <c r="Q125" s="3">
        <f t="shared" si="65"/>
        <v>5236.1482619996459</v>
      </c>
      <c r="R125" s="3">
        <f t="shared" si="66"/>
        <v>3403.4963702997698</v>
      </c>
      <c r="S125" s="3">
        <f t="shared" si="67"/>
        <v>1350</v>
      </c>
      <c r="T125" s="3">
        <f t="shared" si="68"/>
        <v>7289.6446322994161</v>
      </c>
      <c r="U125" s="3"/>
      <c r="V125" s="3">
        <f t="shared" si="69"/>
        <v>22080.000000000004</v>
      </c>
      <c r="W125" s="3">
        <f t="shared" si="70"/>
        <v>4416.0000000000009</v>
      </c>
      <c r="X125" s="3">
        <f t="shared" si="71"/>
        <v>2870.4000000000005</v>
      </c>
      <c r="Y125" s="3">
        <f t="shared" si="72"/>
        <v>860.82696957121573</v>
      </c>
      <c r="Z125" s="3">
        <f t="shared" si="73"/>
        <v>8147.2269695712175</v>
      </c>
      <c r="AB125" s="13">
        <f t="shared" si="74"/>
        <v>0.89473935849894026</v>
      </c>
    </row>
    <row r="126" spans="15:28">
      <c r="O126">
        <v>2019</v>
      </c>
      <c r="P126" s="3">
        <f t="shared" si="64"/>
        <v>26847.919545800371</v>
      </c>
      <c r="Q126" s="3">
        <f t="shared" si="65"/>
        <v>5369.5839091600737</v>
      </c>
      <c r="R126" s="3">
        <f t="shared" si="66"/>
        <v>3490.2295409540484</v>
      </c>
      <c r="S126" s="3">
        <f t="shared" si="67"/>
        <v>1350</v>
      </c>
      <c r="T126" s="3">
        <f t="shared" si="68"/>
        <v>7509.8134501141212</v>
      </c>
      <c r="U126" s="3"/>
      <c r="V126" s="3">
        <f t="shared" si="69"/>
        <v>22080.000000000004</v>
      </c>
      <c r="W126" s="3">
        <f t="shared" si="70"/>
        <v>4416.0000000000009</v>
      </c>
      <c r="X126" s="3">
        <f t="shared" si="71"/>
        <v>2870.4000000000005</v>
      </c>
      <c r="Y126" s="3">
        <f t="shared" si="72"/>
        <v>840.17558740387472</v>
      </c>
      <c r="Z126" s="3">
        <f t="shared" si="73"/>
        <v>8126.5755874038759</v>
      </c>
      <c r="AB126" s="13">
        <f t="shared" si="74"/>
        <v>0.92410553120975936</v>
      </c>
    </row>
    <row r="127" spans="15:28">
      <c r="O127">
        <v>2020</v>
      </c>
      <c r="P127" s="3">
        <f t="shared" si="64"/>
        <v>26775.099266882578</v>
      </c>
      <c r="Q127" s="3">
        <f t="shared" si="65"/>
        <v>5355.019853376516</v>
      </c>
      <c r="R127" s="3">
        <f t="shared" si="66"/>
        <v>3480.7629046947354</v>
      </c>
      <c r="S127" s="3">
        <f t="shared" si="67"/>
        <v>1350</v>
      </c>
      <c r="T127" s="3">
        <f t="shared" si="68"/>
        <v>7485.782758071251</v>
      </c>
      <c r="U127" s="3"/>
      <c r="V127" s="3">
        <f t="shared" si="69"/>
        <v>22080.000000000004</v>
      </c>
      <c r="W127" s="3">
        <f t="shared" si="70"/>
        <v>4416.0000000000009</v>
      </c>
      <c r="X127" s="3">
        <f t="shared" si="71"/>
        <v>2870.4000000000005</v>
      </c>
      <c r="Y127" s="3">
        <f t="shared" si="72"/>
        <v>832.81857884640726</v>
      </c>
      <c r="Z127" s="3">
        <f t="shared" si="73"/>
        <v>8119.2185788464085</v>
      </c>
      <c r="AB127" s="13">
        <f t="shared" si="74"/>
        <v>0.92198315458269664</v>
      </c>
    </row>
    <row r="128" spans="15:28">
      <c r="O128">
        <v>2021</v>
      </c>
      <c r="P128" s="3">
        <f t="shared" si="64"/>
        <v>26131.194261209414</v>
      </c>
      <c r="Q128" s="3">
        <f t="shared" si="65"/>
        <v>5226.2388522418823</v>
      </c>
      <c r="R128" s="3">
        <f t="shared" si="66"/>
        <v>3397.0552539572241</v>
      </c>
      <c r="S128" s="3">
        <f t="shared" si="67"/>
        <v>1355</v>
      </c>
      <c r="T128" s="3">
        <f t="shared" si="68"/>
        <v>7268.294106199106</v>
      </c>
      <c r="U128" s="3"/>
      <c r="V128" s="3">
        <f t="shared" si="69"/>
        <v>22080.000000000004</v>
      </c>
      <c r="W128" s="3">
        <f t="shared" si="70"/>
        <v>4416.0000000000009</v>
      </c>
      <c r="X128" s="3">
        <f t="shared" si="71"/>
        <v>2870.4000000000005</v>
      </c>
      <c r="Y128" s="3">
        <f t="shared" si="72"/>
        <v>852.6221661638524</v>
      </c>
      <c r="Z128" s="3">
        <f t="shared" si="73"/>
        <v>8139.0221661638534</v>
      </c>
      <c r="AB128" s="13">
        <f t="shared" si="74"/>
        <v>0.89301809944877619</v>
      </c>
    </row>
    <row r="129" spans="15:28">
      <c r="O129">
        <v>2022</v>
      </c>
      <c r="P129" s="3">
        <f t="shared" si="64"/>
        <v>26651.032755581437</v>
      </c>
      <c r="Q129" s="3">
        <f t="shared" si="65"/>
        <v>5330.2065511162873</v>
      </c>
      <c r="R129" s="3">
        <f t="shared" si="66"/>
        <v>3464.634258225587</v>
      </c>
      <c r="S129" s="3">
        <f t="shared" si="67"/>
        <v>1355</v>
      </c>
      <c r="T129" s="3">
        <f t="shared" si="68"/>
        <v>7439.8408093418748</v>
      </c>
      <c r="U129" s="3"/>
      <c r="V129" s="3">
        <f t="shared" si="69"/>
        <v>22080.000000000004</v>
      </c>
      <c r="W129" s="3">
        <f t="shared" si="70"/>
        <v>4416.0000000000009</v>
      </c>
      <c r="X129" s="3">
        <f t="shared" si="71"/>
        <v>2870.4000000000005</v>
      </c>
      <c r="Y129" s="3">
        <f t="shared" si="72"/>
        <v>864.85822818875329</v>
      </c>
      <c r="Z129" s="3">
        <f t="shared" si="73"/>
        <v>8151.2582281887544</v>
      </c>
      <c r="AB129" s="13">
        <f t="shared" si="74"/>
        <v>0.91272299331817885</v>
      </c>
    </row>
    <row r="130" spans="15:28">
      <c r="O130">
        <v>2023</v>
      </c>
      <c r="P130" s="3">
        <f t="shared" si="64"/>
        <v>26480.349129214221</v>
      </c>
      <c r="Q130" s="3">
        <f t="shared" si="65"/>
        <v>5296.0698258428438</v>
      </c>
      <c r="R130" s="3">
        <f t="shared" si="66"/>
        <v>3442.4453867978486</v>
      </c>
      <c r="S130" s="3">
        <f t="shared" si="67"/>
        <v>1355</v>
      </c>
      <c r="T130" s="3">
        <f t="shared" si="68"/>
        <v>7383.515212640692</v>
      </c>
      <c r="U130" s="3"/>
      <c r="V130" s="3">
        <f t="shared" si="69"/>
        <v>22080.000000000004</v>
      </c>
      <c r="W130" s="3">
        <f t="shared" si="70"/>
        <v>4416.0000000000009</v>
      </c>
      <c r="X130" s="3">
        <f t="shared" si="71"/>
        <v>2870.4000000000005</v>
      </c>
      <c r="Y130" s="3">
        <f t="shared" si="72"/>
        <v>865.71632132162415</v>
      </c>
      <c r="Z130" s="3">
        <f t="shared" si="73"/>
        <v>8152.1163213216259</v>
      </c>
      <c r="AB130" s="13">
        <f t="shared" si="74"/>
        <v>0.90571759793580475</v>
      </c>
    </row>
    <row r="131" spans="15:28">
      <c r="O131">
        <v>2024</v>
      </c>
      <c r="P131" s="3">
        <f t="shared" si="64"/>
        <v>25534.397124530806</v>
      </c>
      <c r="Q131" s="3">
        <f t="shared" si="65"/>
        <v>5106.8794249061611</v>
      </c>
      <c r="R131" s="3">
        <f t="shared" si="66"/>
        <v>3319.4716261890048</v>
      </c>
      <c r="S131" s="3">
        <f t="shared" si="67"/>
        <v>1355</v>
      </c>
      <c r="T131" s="3">
        <f t="shared" si="68"/>
        <v>7071.3510510951655</v>
      </c>
      <c r="U131" s="3"/>
      <c r="V131" s="3">
        <f t="shared" si="69"/>
        <v>22080.000000000004</v>
      </c>
      <c r="W131" s="3">
        <f t="shared" si="70"/>
        <v>4416.0000000000009</v>
      </c>
      <c r="X131" s="3">
        <f t="shared" si="71"/>
        <v>2870.4000000000005</v>
      </c>
      <c r="Y131" s="3">
        <f t="shared" si="72"/>
        <v>859.61101782897333</v>
      </c>
      <c r="Z131" s="3">
        <f t="shared" si="73"/>
        <v>8146.0110178289751</v>
      </c>
      <c r="AB131" s="13">
        <f t="shared" si="74"/>
        <v>0.86807531141539984</v>
      </c>
    </row>
    <row r="132" spans="15:28">
      <c r="O132">
        <v>2025</v>
      </c>
      <c r="P132" s="3">
        <f t="shared" si="64"/>
        <v>24733.53148899704</v>
      </c>
      <c r="Q132" s="3">
        <f t="shared" si="65"/>
        <v>4946.7062977994083</v>
      </c>
      <c r="R132" s="3">
        <f t="shared" si="66"/>
        <v>3215.3590935696152</v>
      </c>
      <c r="S132" s="3">
        <f t="shared" si="67"/>
        <v>1355</v>
      </c>
      <c r="T132" s="3">
        <f t="shared" si="68"/>
        <v>6807.0653913690239</v>
      </c>
      <c r="U132" s="3"/>
      <c r="V132" s="3">
        <f t="shared" si="69"/>
        <v>22080.000000000004</v>
      </c>
      <c r="W132" s="3">
        <f t="shared" si="70"/>
        <v>4416.0000000000009</v>
      </c>
      <c r="X132" s="3">
        <f t="shared" si="71"/>
        <v>2870.4000000000005</v>
      </c>
      <c r="Y132" s="3">
        <f t="shared" si="72"/>
        <v>863.87617076853223</v>
      </c>
      <c r="Z132" s="3">
        <f t="shared" si="73"/>
        <v>8150.276170768534</v>
      </c>
      <c r="AB132" s="13">
        <f t="shared" si="74"/>
        <v>0.83519444602171666</v>
      </c>
    </row>
    <row r="133" spans="15:28">
      <c r="O133">
        <v>2026</v>
      </c>
      <c r="P133" s="3">
        <f t="shared" si="64"/>
        <v>24315.429707414503</v>
      </c>
      <c r="Q133" s="3">
        <f t="shared" si="65"/>
        <v>4863.085941482901</v>
      </c>
      <c r="R133" s="3">
        <f t="shared" si="66"/>
        <v>3161.0058619638858</v>
      </c>
      <c r="S133" s="3">
        <f t="shared" si="67"/>
        <v>1355</v>
      </c>
      <c r="T133" s="3">
        <f t="shared" si="68"/>
        <v>6669.0918034467868</v>
      </c>
      <c r="U133" s="3"/>
      <c r="V133" s="3">
        <f t="shared" si="69"/>
        <v>22080.000000000004</v>
      </c>
      <c r="W133" s="3">
        <f t="shared" si="70"/>
        <v>4416.0000000000009</v>
      </c>
      <c r="X133" s="3">
        <f t="shared" si="71"/>
        <v>2870.4000000000005</v>
      </c>
      <c r="Y133" s="3">
        <f t="shared" si="72"/>
        <v>877.5561866248762</v>
      </c>
      <c r="Z133" s="3">
        <f t="shared" si="73"/>
        <v>8163.9561866248778</v>
      </c>
      <c r="AB133" s="13">
        <f t="shared" si="74"/>
        <v>0.81689460979382178</v>
      </c>
    </row>
    <row r="134" spans="15:28">
      <c r="O134">
        <v>2027</v>
      </c>
      <c r="P134" s="3">
        <f t="shared" si="64"/>
        <v>23895.037520623308</v>
      </c>
      <c r="Q134" s="3">
        <f t="shared" si="65"/>
        <v>4779.0075041246619</v>
      </c>
      <c r="R134" s="3">
        <f t="shared" si="66"/>
        <v>3106.3548776810303</v>
      </c>
      <c r="S134" s="3">
        <f t="shared" si="67"/>
        <v>1355</v>
      </c>
      <c r="T134" s="3">
        <f t="shared" si="68"/>
        <v>6530.3623818056922</v>
      </c>
      <c r="U134" s="3"/>
      <c r="V134" s="3">
        <f t="shared" si="69"/>
        <v>22080.000000000004</v>
      </c>
      <c r="W134" s="3">
        <f t="shared" si="70"/>
        <v>4416.0000000000009</v>
      </c>
      <c r="X134" s="3">
        <f t="shared" si="71"/>
        <v>2870.4000000000005</v>
      </c>
      <c r="Y134" s="3">
        <f t="shared" si="72"/>
        <v>880.21251353488503</v>
      </c>
      <c r="Z134" s="3">
        <f t="shared" si="73"/>
        <v>8166.6125135348866</v>
      </c>
      <c r="AB134" s="13">
        <f t="shared" si="74"/>
        <v>0.79964151243647652</v>
      </c>
    </row>
    <row r="135" spans="15:28">
      <c r="O135">
        <v>2028</v>
      </c>
      <c r="P135" s="3">
        <f t="shared" si="64"/>
        <v>23408.679456892536</v>
      </c>
      <c r="Q135" s="3">
        <f t="shared" si="65"/>
        <v>4681.7358913785074</v>
      </c>
      <c r="R135" s="3">
        <f t="shared" si="66"/>
        <v>3043.1283293960296</v>
      </c>
      <c r="S135" s="3">
        <f t="shared" si="67"/>
        <v>1355</v>
      </c>
      <c r="T135" s="3">
        <f t="shared" si="68"/>
        <v>6369.864220774537</v>
      </c>
      <c r="U135" s="3"/>
      <c r="V135" s="3">
        <f t="shared" si="69"/>
        <v>22080.000000000004</v>
      </c>
      <c r="W135" s="3">
        <f t="shared" si="70"/>
        <v>4416.0000000000009</v>
      </c>
      <c r="X135" s="3">
        <f t="shared" si="71"/>
        <v>2870.4000000000005</v>
      </c>
      <c r="Y135" s="3">
        <f t="shared" si="72"/>
        <v>878.60810185492585</v>
      </c>
      <c r="Z135" s="3">
        <f t="shared" si="73"/>
        <v>8165.0081018549272</v>
      </c>
      <c r="AB135" s="13">
        <f t="shared" si="74"/>
        <v>0.78014181263671134</v>
      </c>
    </row>
    <row r="136" spans="15:28">
      <c r="O136">
        <v>2029</v>
      </c>
      <c r="P136" s="3">
        <f t="shared" si="64"/>
        <v>22983.876545046292</v>
      </c>
      <c r="Q136" s="3">
        <f t="shared" si="65"/>
        <v>4596.7753090092583</v>
      </c>
      <c r="R136" s="3">
        <f t="shared" si="66"/>
        <v>2987.9039508560181</v>
      </c>
      <c r="S136" s="3">
        <f t="shared" si="67"/>
        <v>1355</v>
      </c>
      <c r="T136" s="3">
        <f t="shared" si="68"/>
        <v>6229.6792598652764</v>
      </c>
      <c r="U136" s="3"/>
      <c r="V136" s="3">
        <f t="shared" si="69"/>
        <v>22080.000000000004</v>
      </c>
      <c r="W136" s="3">
        <f t="shared" si="70"/>
        <v>4416.0000000000009</v>
      </c>
      <c r="X136" s="3">
        <f t="shared" si="71"/>
        <v>2870.4000000000005</v>
      </c>
      <c r="Y136" s="3">
        <f t="shared" si="72"/>
        <v>879.45148174496478</v>
      </c>
      <c r="Z136" s="3">
        <f t="shared" si="73"/>
        <v>8165.8514817449659</v>
      </c>
      <c r="AB136" s="13">
        <f t="shared" si="74"/>
        <v>0.76289401953879921</v>
      </c>
    </row>
    <row r="137" spans="15:28">
      <c r="O137">
        <v>2030</v>
      </c>
      <c r="P137" s="3">
        <f t="shared" si="64"/>
        <v>22493.217852361682</v>
      </c>
      <c r="Q137" s="3">
        <f t="shared" si="65"/>
        <v>4498.6435704723363</v>
      </c>
      <c r="R137" s="3">
        <f t="shared" si="66"/>
        <v>2924.1183208070188</v>
      </c>
      <c r="S137" s="3">
        <f t="shared" si="67"/>
        <v>1355</v>
      </c>
      <c r="T137" s="3">
        <f t="shared" si="68"/>
        <v>6067.761891279355</v>
      </c>
      <c r="U137" s="3"/>
      <c r="V137" s="3">
        <f t="shared" si="69"/>
        <v>22080.000000000004</v>
      </c>
      <c r="W137" s="3">
        <f t="shared" si="70"/>
        <v>4416.0000000000009</v>
      </c>
      <c r="X137" s="3">
        <f t="shared" si="71"/>
        <v>2870.4000000000005</v>
      </c>
      <c r="Y137" s="3">
        <f t="shared" si="72"/>
        <v>877.96824902867309</v>
      </c>
      <c r="Z137" s="3">
        <f t="shared" si="73"/>
        <v>8164.3682490286747</v>
      </c>
      <c r="AB137" s="13">
        <f t="shared" si="74"/>
        <v>0.74320041749724408</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L1" workbookViewId="0">
      <selection activeCell="K41" sqref="K40:K41"/>
    </sheetView>
  </sheetViews>
  <sheetFormatPr defaultRowHeight="15"/>
  <cols>
    <col min="4" max="4" width="11" customWidth="1"/>
    <col min="7" max="7" width="8.7109375" customWidth="1"/>
  </cols>
  <sheetData>
    <row r="1" spans="1:16">
      <c r="O1" t="s">
        <v>484</v>
      </c>
    </row>
    <row r="2" spans="1:16">
      <c r="B2" t="s">
        <v>376</v>
      </c>
    </row>
    <row r="3" spans="1:16">
      <c r="B3" t="s">
        <v>451</v>
      </c>
      <c r="I3" t="s">
        <v>375</v>
      </c>
      <c r="M3" t="s">
        <v>348</v>
      </c>
      <c r="N3" t="s">
        <v>348</v>
      </c>
      <c r="O3" t="s">
        <v>348</v>
      </c>
      <c r="P3" t="s">
        <v>375</v>
      </c>
    </row>
    <row r="4" spans="1:16">
      <c r="B4" t="s">
        <v>377</v>
      </c>
      <c r="I4" t="s">
        <v>251</v>
      </c>
      <c r="M4" t="s">
        <v>251</v>
      </c>
      <c r="N4" t="s">
        <v>251</v>
      </c>
      <c r="O4" t="s">
        <v>251</v>
      </c>
      <c r="P4" t="s">
        <v>251</v>
      </c>
    </row>
    <row r="5" spans="1:16">
      <c r="B5" t="s">
        <v>5</v>
      </c>
      <c r="C5" t="s">
        <v>324</v>
      </c>
      <c r="D5" t="s">
        <v>158</v>
      </c>
      <c r="H5" t="s">
        <v>452</v>
      </c>
      <c r="I5" t="s">
        <v>5</v>
      </c>
      <c r="J5" t="s">
        <v>324</v>
      </c>
      <c r="K5" t="s">
        <v>158</v>
      </c>
      <c r="M5" t="s">
        <v>5</v>
      </c>
      <c r="N5" t="s">
        <v>324</v>
      </c>
      <c r="O5" t="s">
        <v>3</v>
      </c>
      <c r="P5" t="s">
        <v>349</v>
      </c>
    </row>
    <row r="6" spans="1:16">
      <c r="A6">
        <v>2009</v>
      </c>
      <c r="F6">
        <v>2009</v>
      </c>
      <c r="M6" s="12">
        <v>0.18</v>
      </c>
      <c r="N6" s="12">
        <v>0</v>
      </c>
      <c r="O6" s="12">
        <f>M6+N6</f>
        <v>0.18</v>
      </c>
    </row>
    <row r="7" spans="1:16">
      <c r="A7">
        <v>2010</v>
      </c>
      <c r="F7">
        <v>2010</v>
      </c>
      <c r="H7">
        <v>0.05</v>
      </c>
      <c r="M7" s="12">
        <v>0.26</v>
      </c>
      <c r="N7" s="12">
        <v>2.0000000000000018E-2</v>
      </c>
      <c r="O7" s="12">
        <f t="shared" ref="O7:O13" si="0">M7+N7</f>
        <v>0.28000000000000003</v>
      </c>
    </row>
    <row r="8" spans="1:16">
      <c r="A8">
        <v>2011</v>
      </c>
      <c r="B8">
        <v>1082</v>
      </c>
      <c r="C8">
        <v>0</v>
      </c>
      <c r="D8">
        <f t="shared" ref="D8:D14" si="1">B8+C8</f>
        <v>1082</v>
      </c>
      <c r="F8">
        <v>2011</v>
      </c>
      <c r="G8" s="13"/>
      <c r="H8" s="13">
        <v>0.1</v>
      </c>
      <c r="I8" s="12">
        <f>B8/1000</f>
        <v>1.0820000000000001</v>
      </c>
      <c r="J8" s="12">
        <f>C8/1000</f>
        <v>0</v>
      </c>
      <c r="K8" s="12">
        <f>H8+I8+J8</f>
        <v>1.1820000000000002</v>
      </c>
      <c r="M8" s="12">
        <v>1.21</v>
      </c>
      <c r="N8" s="12">
        <v>1.0000000000000009E-2</v>
      </c>
      <c r="O8" s="12">
        <f t="shared" si="0"/>
        <v>1.22</v>
      </c>
      <c r="P8" s="12">
        <f t="shared" ref="P8:P14" si="2">I8+J8</f>
        <v>1.0820000000000001</v>
      </c>
    </row>
    <row r="9" spans="1:16">
      <c r="A9">
        <v>2012</v>
      </c>
      <c r="B9">
        <v>1262</v>
      </c>
      <c r="C9">
        <v>992</v>
      </c>
      <c r="D9">
        <f t="shared" si="1"/>
        <v>2254</v>
      </c>
      <c r="F9">
        <v>2012</v>
      </c>
      <c r="G9" s="13"/>
      <c r="H9" s="13">
        <v>0.2</v>
      </c>
      <c r="I9" s="12">
        <f t="shared" ref="I9:I14" si="3">B9/1000</f>
        <v>1.262</v>
      </c>
      <c r="J9" s="12">
        <f t="shared" ref="J9:J14" si="4">C9/1000</f>
        <v>0.99199999999999999</v>
      </c>
      <c r="K9" s="12">
        <f t="shared" ref="K9:K14" si="5">H9+I9+J9</f>
        <v>2.4539999999999997</v>
      </c>
      <c r="M9" s="12">
        <v>1.71</v>
      </c>
      <c r="N9" s="12">
        <v>0.98</v>
      </c>
      <c r="O9" s="12">
        <f t="shared" si="0"/>
        <v>2.69</v>
      </c>
      <c r="P9" s="12">
        <f t="shared" si="2"/>
        <v>2.254</v>
      </c>
    </row>
    <row r="10" spans="1:16">
      <c r="A10">
        <v>2013</v>
      </c>
      <c r="B10">
        <v>2512</v>
      </c>
      <c r="C10">
        <v>1074</v>
      </c>
      <c r="D10">
        <f t="shared" si="1"/>
        <v>3586</v>
      </c>
      <c r="F10">
        <v>2013</v>
      </c>
      <c r="G10" s="13"/>
      <c r="H10" s="13">
        <v>0.2</v>
      </c>
      <c r="I10" s="12">
        <f t="shared" si="3"/>
        <v>2.512</v>
      </c>
      <c r="J10" s="12">
        <f t="shared" si="4"/>
        <v>1.0740000000000001</v>
      </c>
      <c r="K10" s="12">
        <f t="shared" si="5"/>
        <v>3.7860000000000005</v>
      </c>
      <c r="M10" s="12">
        <v>2.68</v>
      </c>
      <c r="N10" s="12">
        <v>1.0699999999999998</v>
      </c>
      <c r="O10" s="12">
        <f t="shared" si="0"/>
        <v>3.75</v>
      </c>
      <c r="P10" s="12">
        <f t="shared" si="2"/>
        <v>3.5860000000000003</v>
      </c>
    </row>
    <row r="11" spans="1:16">
      <c r="A11">
        <v>2014</v>
      </c>
      <c r="B11">
        <v>6697</v>
      </c>
      <c r="C11">
        <v>7821</v>
      </c>
      <c r="D11">
        <f t="shared" si="1"/>
        <v>14518</v>
      </c>
      <c r="F11">
        <v>2014</v>
      </c>
      <c r="G11" s="13"/>
      <c r="H11" s="13">
        <v>0.7</v>
      </c>
      <c r="I11" s="12">
        <f t="shared" si="3"/>
        <v>6.6970000000000001</v>
      </c>
      <c r="J11" s="12">
        <f t="shared" si="4"/>
        <v>7.8209999999999997</v>
      </c>
      <c r="K11" s="12">
        <f t="shared" si="5"/>
        <v>15.218</v>
      </c>
      <c r="M11" s="12">
        <v>6.81</v>
      </c>
      <c r="N11" s="12">
        <v>7.9300000000000006</v>
      </c>
      <c r="O11" s="12">
        <f t="shared" si="0"/>
        <v>14.74</v>
      </c>
      <c r="P11" s="12">
        <f t="shared" si="2"/>
        <v>14.518000000000001</v>
      </c>
    </row>
    <row r="12" spans="1:16">
      <c r="A12">
        <v>2015</v>
      </c>
      <c r="B12">
        <v>9934</v>
      </c>
      <c r="C12">
        <v>18254</v>
      </c>
      <c r="D12">
        <f t="shared" si="1"/>
        <v>28188</v>
      </c>
      <c r="F12">
        <v>2015</v>
      </c>
      <c r="G12" s="13"/>
      <c r="H12" s="13">
        <v>1</v>
      </c>
      <c r="I12" s="12">
        <f t="shared" si="3"/>
        <v>9.9339999999999993</v>
      </c>
      <c r="J12" s="12">
        <f t="shared" si="4"/>
        <v>18.254000000000001</v>
      </c>
      <c r="K12" s="12">
        <f t="shared" si="5"/>
        <v>29.188000000000002</v>
      </c>
      <c r="M12" s="12">
        <v>10.1</v>
      </c>
      <c r="N12" s="12">
        <v>19.240000000000002</v>
      </c>
      <c r="O12" s="12">
        <f t="shared" si="0"/>
        <v>29.340000000000003</v>
      </c>
      <c r="P12" s="12">
        <f t="shared" si="2"/>
        <v>28.188000000000002</v>
      </c>
    </row>
    <row r="13" spans="1:16">
      <c r="A13">
        <v>2016</v>
      </c>
      <c r="B13">
        <v>10264</v>
      </c>
      <c r="C13">
        <v>26828</v>
      </c>
      <c r="D13">
        <f t="shared" si="1"/>
        <v>37092</v>
      </c>
      <c r="F13">
        <v>2016</v>
      </c>
      <c r="G13" s="13"/>
      <c r="H13" s="13">
        <v>1</v>
      </c>
      <c r="I13" s="12">
        <f t="shared" si="3"/>
        <v>10.263999999999999</v>
      </c>
      <c r="J13" s="12">
        <f t="shared" si="4"/>
        <v>26.827999999999999</v>
      </c>
      <c r="K13" s="12">
        <f t="shared" si="5"/>
        <v>38.091999999999999</v>
      </c>
      <c r="M13" s="12">
        <v>10.51</v>
      </c>
      <c r="N13" s="12">
        <v>27.4</v>
      </c>
      <c r="O13" s="12">
        <f t="shared" si="0"/>
        <v>37.909999999999997</v>
      </c>
      <c r="P13" s="12">
        <f t="shared" si="2"/>
        <v>37.091999999999999</v>
      </c>
    </row>
    <row r="14" spans="1:16">
      <c r="A14">
        <v>2017</v>
      </c>
      <c r="B14">
        <v>13597</v>
      </c>
      <c r="C14">
        <v>33666</v>
      </c>
      <c r="D14">
        <f t="shared" si="1"/>
        <v>47263</v>
      </c>
      <c r="F14">
        <v>2017</v>
      </c>
      <c r="G14" s="13"/>
      <c r="H14" s="13">
        <v>1</v>
      </c>
      <c r="I14" s="12">
        <f t="shared" si="3"/>
        <v>13.597</v>
      </c>
      <c r="J14" s="12">
        <f t="shared" si="4"/>
        <v>33.665999999999997</v>
      </c>
      <c r="K14" s="12">
        <f t="shared" si="5"/>
        <v>48.262999999999998</v>
      </c>
      <c r="M14" s="12">
        <v>14.43023</v>
      </c>
      <c r="N14" s="12">
        <v>32.832769999999996</v>
      </c>
      <c r="O14" s="12">
        <f>M14+N14</f>
        <v>47.262999999999998</v>
      </c>
      <c r="P14" s="12">
        <f t="shared" si="2"/>
        <v>47.262999999999998</v>
      </c>
    </row>
    <row r="17" spans="1:7">
      <c r="G17" s="12"/>
    </row>
    <row r="29" spans="1:7">
      <c r="A29" t="s">
        <v>378</v>
      </c>
    </row>
    <row r="30" spans="1:7">
      <c r="A30" t="s">
        <v>379</v>
      </c>
    </row>
    <row r="32" spans="1:7">
      <c r="D32" t="s">
        <v>380</v>
      </c>
      <c r="E32">
        <f>5100/137000</f>
        <v>3.7226277372262771E-2</v>
      </c>
    </row>
    <row r="36" spans="1:1" ht="34.5">
      <c r="A36" s="120" t="s">
        <v>448</v>
      </c>
    </row>
    <row r="37" spans="1:1">
      <c r="A37" s="104"/>
    </row>
    <row r="38" spans="1:1">
      <c r="A38" s="121" t="s">
        <v>449</v>
      </c>
    </row>
    <row r="39" spans="1:1">
      <c r="A39" s="122"/>
    </row>
    <row r="40" spans="1:1">
      <c r="A40" s="122"/>
    </row>
    <row r="41" spans="1:1">
      <c r="A41" s="104"/>
    </row>
    <row r="42" spans="1:1">
      <c r="A42" s="122" t="s">
        <v>450</v>
      </c>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A3" sqref="A3:G20"/>
    </sheetView>
  </sheetViews>
  <sheetFormatPr defaultRowHeight="15"/>
  <cols>
    <col min="1" max="1" width="18.28515625" customWidth="1"/>
    <col min="2" max="7" width="13.7109375" customWidth="1"/>
  </cols>
  <sheetData>
    <row r="1" spans="1:7">
      <c r="A1" t="s">
        <v>148</v>
      </c>
    </row>
    <row r="2" spans="1:7" ht="15.75" thickBot="1"/>
    <row r="3" spans="1:7">
      <c r="A3" s="44" t="s">
        <v>149</v>
      </c>
      <c r="B3" s="44"/>
    </row>
    <row r="4" spans="1:7">
      <c r="A4" s="41" t="s">
        <v>150</v>
      </c>
      <c r="B4" s="41">
        <v>0.99985488098451469</v>
      </c>
    </row>
    <row r="5" spans="1:7">
      <c r="A5" s="41" t="s">
        <v>151</v>
      </c>
      <c r="B5" s="41">
        <v>0.99970978302855806</v>
      </c>
    </row>
    <row r="6" spans="1:7">
      <c r="A6" s="41" t="s">
        <v>152</v>
      </c>
      <c r="B6" s="41">
        <v>0.99941956605711602</v>
      </c>
    </row>
    <row r="7" spans="1:7">
      <c r="A7" s="41" t="s">
        <v>153</v>
      </c>
      <c r="B7" s="41">
        <v>2.5103513287203082E-2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3</v>
      </c>
      <c r="C12" s="41">
        <v>6.5124050338760577</v>
      </c>
      <c r="D12" s="41">
        <v>2.1708016779586861</v>
      </c>
      <c r="E12" s="41">
        <v>3444.697868844135</v>
      </c>
      <c r="F12" s="41">
        <v>8.3925753348207381E-6</v>
      </c>
    </row>
    <row r="13" spans="1:7">
      <c r="A13" s="41" t="s">
        <v>157</v>
      </c>
      <c r="B13" s="41">
        <v>3</v>
      </c>
      <c r="C13" s="41">
        <v>1.890559138082345E-3</v>
      </c>
      <c r="D13" s="41">
        <v>6.3018637936078164E-4</v>
      </c>
      <c r="E13" s="41"/>
      <c r="F13" s="41"/>
    </row>
    <row r="14" spans="1:7" ht="15.75" thickBot="1">
      <c r="A14" s="42" t="s">
        <v>158</v>
      </c>
      <c r="B14" s="42">
        <v>6</v>
      </c>
      <c r="C14" s="42">
        <v>6.5142955930141397</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-6.7816229353884978</v>
      </c>
      <c r="C17" s="41">
        <v>3.9692139629931192E-2</v>
      </c>
      <c r="D17" s="41">
        <v>-170.85556482005791</v>
      </c>
      <c r="E17" s="41">
        <v>4.4210945680498503E-7</v>
      </c>
      <c r="F17" s="41">
        <v>-6.9079410385025772</v>
      </c>
      <c r="G17" s="41">
        <v>-6.6553048322744184</v>
      </c>
    </row>
    <row r="18" spans="1:7">
      <c r="A18" s="41" t="s">
        <v>329</v>
      </c>
      <c r="B18" s="41">
        <v>0.43373436471542437</v>
      </c>
      <c r="C18" s="41">
        <v>8.4823589520595828E-3</v>
      </c>
      <c r="D18" s="41">
        <v>51.133696082280309</v>
      </c>
      <c r="E18" s="41">
        <v>1.6472197896332585E-5</v>
      </c>
      <c r="F18" s="41">
        <v>0.40673971280835214</v>
      </c>
      <c r="G18" s="41">
        <v>0.4607290166224966</v>
      </c>
    </row>
    <row r="19" spans="1:7">
      <c r="A19" s="41" t="s">
        <v>1313</v>
      </c>
      <c r="B19" s="41">
        <v>-0.16501411010825756</v>
      </c>
      <c r="C19" s="41">
        <v>3.2280651632350409E-2</v>
      </c>
      <c r="D19" s="41">
        <v>-5.1118580872415498</v>
      </c>
      <c r="E19" s="41">
        <v>1.4485018808725821E-2</v>
      </c>
      <c r="F19" s="41">
        <v>-0.26774555062778166</v>
      </c>
      <c r="G19" s="41">
        <v>-6.2282669588733477E-2</v>
      </c>
    </row>
    <row r="20" spans="1:7" ht="15.75" thickBot="1">
      <c r="A20" s="42" t="s">
        <v>1257</v>
      </c>
      <c r="B20" s="42">
        <v>0.47746077873352599</v>
      </c>
      <c r="C20" s="42">
        <v>4.8599983520924275E-2</v>
      </c>
      <c r="D20" s="42">
        <v>9.824299189894985</v>
      </c>
      <c r="E20" s="42">
        <v>2.241815505441805E-3</v>
      </c>
      <c r="F20" s="42">
        <v>0.32279394074051138</v>
      </c>
      <c r="G20" s="42">
        <v>0.63212761672654061</v>
      </c>
    </row>
    <row r="42" spans="6:6">
      <c r="F42" t="s">
        <v>1294</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J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11" width="10.42578125" customWidth="1"/>
    <col min="12" max="12" width="15.7109375" customWidth="1"/>
    <col min="13" max="24" width="10.42578125" customWidth="1"/>
    <col min="25" max="25" width="7.7109375" customWidth="1"/>
    <col min="42" max="42" width="18.85546875" customWidth="1"/>
    <col min="43" max="43" width="12.140625" customWidth="1"/>
    <col min="44" max="44" width="16" customWidth="1"/>
    <col min="47" max="47" width="17.7109375" customWidth="1"/>
    <col min="54" max="54" width="11.140625" customWidth="1"/>
  </cols>
  <sheetData>
    <row r="1" spans="1:62">
      <c r="P1" s="14"/>
      <c r="R1" s="236" t="s">
        <v>1318</v>
      </c>
      <c r="S1" s="236"/>
      <c r="T1" s="236"/>
      <c r="U1" s="236"/>
      <c r="W1" s="236" t="s">
        <v>1318</v>
      </c>
      <c r="X1" s="236"/>
      <c r="Y1" s="236"/>
      <c r="Z1" s="236"/>
      <c r="AP1" t="s">
        <v>644</v>
      </c>
      <c r="BG1" t="s">
        <v>833</v>
      </c>
    </row>
    <row r="2" spans="1:62">
      <c r="B2" t="s">
        <v>238</v>
      </c>
      <c r="C2" t="s">
        <v>282</v>
      </c>
      <c r="L2" t="s">
        <v>282</v>
      </c>
      <c r="S2" t="s">
        <v>1172</v>
      </c>
      <c r="X2" t="s">
        <v>1184</v>
      </c>
      <c r="AB2" t="s">
        <v>960</v>
      </c>
      <c r="AD2" t="s">
        <v>1196</v>
      </c>
      <c r="BE2" t="s">
        <v>934</v>
      </c>
      <c r="BF2" t="s">
        <v>850</v>
      </c>
      <c r="BG2" t="s">
        <v>935</v>
      </c>
    </row>
    <row r="3" spans="1:62">
      <c r="B3" t="s">
        <v>1194</v>
      </c>
      <c r="C3" t="s">
        <v>1161</v>
      </c>
      <c r="D3" t="s">
        <v>1164</v>
      </c>
      <c r="E3" s="87" t="s">
        <v>1137</v>
      </c>
      <c r="F3" s="87" t="s">
        <v>1384</v>
      </c>
      <c r="G3" s="87" t="s">
        <v>1383</v>
      </c>
      <c r="H3" s="87" t="s">
        <v>1382</v>
      </c>
      <c r="I3" s="87" t="s">
        <v>1136</v>
      </c>
      <c r="J3" t="s">
        <v>1163</v>
      </c>
      <c r="L3" s="14" t="s">
        <v>1195</v>
      </c>
      <c r="M3" s="14" t="s">
        <v>1160</v>
      </c>
      <c r="N3" s="14" t="s">
        <v>944</v>
      </c>
      <c r="O3" s="78" t="s">
        <v>1153</v>
      </c>
      <c r="P3" s="14" t="s">
        <v>1152</v>
      </c>
      <c r="S3" s="236" t="s">
        <v>1173</v>
      </c>
      <c r="T3" s="236" t="s">
        <v>1147</v>
      </c>
      <c r="U3" s="236" t="s">
        <v>1174</v>
      </c>
      <c r="X3" s="236" t="s">
        <v>1173</v>
      </c>
      <c r="Y3" s="236" t="s">
        <v>1147</v>
      </c>
      <c r="Z3" s="236" t="s">
        <v>1174</v>
      </c>
      <c r="AB3" s="14" t="s">
        <v>1199</v>
      </c>
      <c r="AD3" t="s">
        <v>937</v>
      </c>
      <c r="AE3" t="s">
        <v>1197</v>
      </c>
      <c r="AG3" t="s">
        <v>329</v>
      </c>
      <c r="AH3" t="s">
        <v>1313</v>
      </c>
      <c r="AI3" t="s">
        <v>1257</v>
      </c>
      <c r="AL3" t="s">
        <v>941</v>
      </c>
      <c r="AM3" t="s">
        <v>942</v>
      </c>
      <c r="AP3">
        <v>2017</v>
      </c>
      <c r="AQ3">
        <v>2018</v>
      </c>
      <c r="AS3" t="s">
        <v>829</v>
      </c>
      <c r="AT3" t="s">
        <v>896</v>
      </c>
      <c r="AU3" t="s">
        <v>825</v>
      </c>
      <c r="BD3">
        <v>2008</v>
      </c>
      <c r="BE3" s="13">
        <f>'Country Petrol Prices'!E11</f>
        <v>115.2</v>
      </c>
      <c r="BF3" s="13">
        <f>CPIs!E47</f>
        <v>97.960789486664908</v>
      </c>
      <c r="BG3" s="13">
        <f>BG4</f>
        <v>1.3542592098542399</v>
      </c>
      <c r="BJ3" t="s">
        <v>1198</v>
      </c>
    </row>
    <row r="4" spans="1:62">
      <c r="A4">
        <v>2009</v>
      </c>
      <c r="B4" s="13">
        <f>'EV %sales'!E67</f>
        <v>0</v>
      </c>
      <c r="C4" s="20"/>
      <c r="D4" s="13"/>
      <c r="E4" s="13"/>
      <c r="F4" s="84"/>
      <c r="G4" s="84"/>
      <c r="H4" s="84"/>
      <c r="I4" s="13"/>
      <c r="J4" s="13"/>
      <c r="K4" s="13"/>
      <c r="L4" s="13"/>
      <c r="M4" s="13"/>
      <c r="N4" s="13"/>
      <c r="O4" s="13"/>
      <c r="P4" s="13"/>
      <c r="Q4" s="13"/>
      <c r="R4">
        <v>2009</v>
      </c>
      <c r="W4">
        <v>2009</v>
      </c>
      <c r="AA4" s="13"/>
      <c r="AB4" s="13">
        <v>0</v>
      </c>
      <c r="AC4" s="13"/>
      <c r="AK4">
        <v>2009</v>
      </c>
      <c r="AL4" s="3">
        <f>'EV %sales'!AH50</f>
        <v>747.67100000000005</v>
      </c>
      <c r="AM4" s="12">
        <f>AB4/100*AL4</f>
        <v>0</v>
      </c>
      <c r="AN4" s="12"/>
      <c r="AO4" s="12" t="s">
        <v>1245</v>
      </c>
      <c r="AP4" s="3">
        <v>1437</v>
      </c>
      <c r="AQ4" s="3">
        <v>1437</v>
      </c>
      <c r="AS4" s="13">
        <f>BG3</f>
        <v>1.3542592098542399</v>
      </c>
      <c r="AT4" s="13">
        <f>'Global EV uptake'!B60</f>
        <v>9.0944063654437145E-3</v>
      </c>
      <c r="AU4" s="3">
        <f>BE3*BF$12/BF3</f>
        <v>132.344160548383</v>
      </c>
      <c r="AV4" s="13"/>
      <c r="BC4" s="13"/>
      <c r="BD4">
        <v>2009</v>
      </c>
      <c r="BE4" s="13">
        <f>'Country Petrol Prices'!E12</f>
        <v>94.9</v>
      </c>
      <c r="BF4" s="13">
        <f>CPIs!E48</f>
        <v>98.254149528195356</v>
      </c>
      <c r="BG4" s="13">
        <f>'Country Vehicle Prices'!E81</f>
        <v>1.3542592098542399</v>
      </c>
      <c r="BJ4" s="13">
        <v>0</v>
      </c>
    </row>
    <row r="5" spans="1:62">
      <c r="A5">
        <v>2010</v>
      </c>
      <c r="B5" s="13">
        <f>'EV %sales'!E68</f>
        <v>0</v>
      </c>
      <c r="C5" s="20"/>
      <c r="D5" s="13"/>
      <c r="E5" s="13"/>
      <c r="F5" s="230"/>
      <c r="G5" s="230"/>
      <c r="H5" s="230"/>
      <c r="I5" s="13"/>
      <c r="J5" s="13"/>
      <c r="K5" s="13"/>
      <c r="L5" s="13"/>
      <c r="M5" s="13"/>
      <c r="N5" s="13"/>
      <c r="O5" s="13"/>
      <c r="P5" s="13"/>
      <c r="Q5" s="13"/>
      <c r="R5">
        <v>2010</v>
      </c>
      <c r="W5">
        <v>2010</v>
      </c>
      <c r="AA5" s="13"/>
      <c r="AB5" s="13">
        <f>65*EXP(AE5)/(1+EXP(AE5))</f>
        <v>0.11357973136349601</v>
      </c>
      <c r="AC5" s="13"/>
      <c r="AE5" s="33">
        <f t="shared" ref="AE5:AE50" si="0">AD$56+AD$57*AG5+AD$58*AH5+AD$59*AI5</f>
        <v>-6.3478885706730734</v>
      </c>
      <c r="AG5">
        <v>1</v>
      </c>
      <c r="AH5">
        <v>0</v>
      </c>
      <c r="AI5">
        <v>0</v>
      </c>
      <c r="AK5">
        <v>2010</v>
      </c>
      <c r="AL5" s="3">
        <f>'EV %sales'!AH51</f>
        <v>710</v>
      </c>
      <c r="AM5" s="12">
        <f>AB5/100*AL5</f>
        <v>0.80641609268082159</v>
      </c>
      <c r="AN5" s="12"/>
      <c r="AO5" s="12" t="s">
        <v>1246</v>
      </c>
      <c r="AP5" s="3">
        <v>830</v>
      </c>
      <c r="AQ5" s="3">
        <v>1813</v>
      </c>
      <c r="AS5" s="13">
        <f t="shared" ref="AS5:AS25" si="1">BG4</f>
        <v>1.3542592098542399</v>
      </c>
      <c r="AT5" s="13">
        <f>'Global EV uptake'!B61</f>
        <v>1.6964627629336562E-2</v>
      </c>
      <c r="AU5" s="3">
        <f t="shared" ref="AU5:AU13" si="2">BE4*BF$12/BF4</f>
        <v>108.69758435753008</v>
      </c>
      <c r="AV5" s="13"/>
      <c r="BC5" s="13"/>
      <c r="BD5">
        <v>2010</v>
      </c>
      <c r="BE5" s="13">
        <f>'Country Petrol Prices'!E13</f>
        <v>103.1</v>
      </c>
      <c r="BF5" s="13">
        <f>CPIs!E49</f>
        <v>100</v>
      </c>
      <c r="BG5" s="13">
        <f>'Country Vehicle Prices'!E82</f>
        <v>1.3067342481296691</v>
      </c>
      <c r="BJ5" s="72">
        <v>9.1729384142205401E-3</v>
      </c>
    </row>
    <row r="6" spans="1:62">
      <c r="A6">
        <v>2011</v>
      </c>
      <c r="B6" s="13">
        <f>'EV %sales'!E69</f>
        <v>7.5253256150506515E-2</v>
      </c>
      <c r="C6" s="20"/>
      <c r="D6" s="13"/>
      <c r="E6" s="13"/>
      <c r="F6" s="230"/>
      <c r="G6" s="230"/>
      <c r="H6" s="230"/>
      <c r="I6" s="13"/>
      <c r="J6" s="13"/>
      <c r="K6" s="13"/>
      <c r="L6" s="13"/>
      <c r="M6" s="13"/>
      <c r="N6" s="13"/>
      <c r="O6" s="13"/>
      <c r="P6" s="13"/>
      <c r="Q6" s="13"/>
      <c r="R6">
        <v>2011</v>
      </c>
      <c r="W6">
        <v>2011</v>
      </c>
      <c r="AA6" s="13"/>
      <c r="AB6" s="13">
        <f t="shared" ref="AB6:AB50" si="3">65*EXP(AE6)/(1+EXP(AE6))</f>
        <v>0.1750884089993836</v>
      </c>
      <c r="AC6" s="13"/>
      <c r="AD6">
        <f t="shared" ref="AD6:AD13" si="4">LN(B6/(65-B6))</f>
        <v>-6.7601249619781125</v>
      </c>
      <c r="AE6" s="33">
        <f t="shared" si="0"/>
        <v>-5.9141542059576491</v>
      </c>
      <c r="AG6">
        <v>2</v>
      </c>
      <c r="AH6">
        <v>0</v>
      </c>
      <c r="AI6">
        <v>0</v>
      </c>
      <c r="AK6">
        <v>2011</v>
      </c>
      <c r="AL6" s="3">
        <f>'EV %sales'!AH52</f>
        <v>691</v>
      </c>
      <c r="AM6" s="12">
        <f t="shared" ref="AM6:AM11" si="5">AB6/100*AL6</f>
        <v>1.2098609061857406</v>
      </c>
      <c r="AN6" s="12"/>
      <c r="AO6" s="12" t="s">
        <v>1247</v>
      </c>
      <c r="AP6" s="3">
        <v>1437</v>
      </c>
      <c r="AQ6" s="3">
        <v>3347</v>
      </c>
      <c r="AS6" s="13">
        <f t="shared" si="1"/>
        <v>1.3067342481296691</v>
      </c>
      <c r="AT6" s="13">
        <f>'Global EV uptake'!B62</f>
        <v>0.10234351891729328</v>
      </c>
      <c r="AU6" s="3">
        <f t="shared" si="2"/>
        <v>116.02811756301115</v>
      </c>
      <c r="AV6" s="13"/>
      <c r="BC6" s="13"/>
      <c r="BD6">
        <v>2011</v>
      </c>
      <c r="BE6" s="13">
        <f>'Country Petrol Prices'!E14</f>
        <v>122.68000000000002</v>
      </c>
      <c r="BF6" s="13">
        <f>CPIs!E50</f>
        <v>102.91212463378906</v>
      </c>
      <c r="BG6" s="13">
        <f>'Country Vehicle Prices'!E83</f>
        <v>1.3019081238128738</v>
      </c>
      <c r="BJ6" s="72">
        <v>1.7442395272183948E-2</v>
      </c>
    </row>
    <row r="7" spans="1:62">
      <c r="A7">
        <v>2012</v>
      </c>
      <c r="B7" s="13">
        <f>'EV %sales'!E70</f>
        <v>0.27595628415300544</v>
      </c>
      <c r="C7" s="13">
        <f>AB7</f>
        <v>0.26976839331369129</v>
      </c>
      <c r="D7" s="84">
        <f>65*EXP(E7)/(1+EXP(E7))</f>
        <v>0.26976839331369129</v>
      </c>
      <c r="E7" s="84">
        <f>J7-SUM(I7:I$7)</f>
        <v>-5.4804198412422247</v>
      </c>
      <c r="F7" s="13">
        <f>I7*G7</f>
        <v>0</v>
      </c>
      <c r="G7" s="13">
        <f>IF(H7&lt;0,0,H7)</f>
        <v>1</v>
      </c>
      <c r="H7" s="13">
        <f>IF((P7-0.6)/0.3&gt;1,1,(P7-0.6)/0.3)</f>
        <v>1</v>
      </c>
      <c r="I7" s="13">
        <v>0</v>
      </c>
      <c r="J7" s="13">
        <f>LN(L7/(65-L7))</f>
        <v>-5.4804198412422247</v>
      </c>
      <c r="K7" s="13"/>
      <c r="L7" s="84">
        <f t="shared" ref="L7:L12" si="6">M7</f>
        <v>0.26976839331369129</v>
      </c>
      <c r="M7" s="13">
        <f t="shared" ref="M7:M50" si="7">LOOKUP(ROUND(N7,0),A$4:A$50,AB$4:AB$50)</f>
        <v>0.26976839331369129</v>
      </c>
      <c r="N7" s="13">
        <f t="shared" ref="N7:N50" si="8">A7-(O7-O$7)</f>
        <v>2012</v>
      </c>
      <c r="O7" s="13">
        <f t="shared" ref="O7:O50" si="9">AA$56+AA$57*P7</f>
        <v>2017.0015547616606</v>
      </c>
      <c r="P7" s="13">
        <f>1/Canada!R80</f>
        <v>1.0113137360810047</v>
      </c>
      <c r="Q7" s="13"/>
      <c r="R7">
        <v>2012</v>
      </c>
      <c r="S7" s="13">
        <v>0.26976839331369129</v>
      </c>
      <c r="T7" s="13">
        <v>0.26976839331369129</v>
      </c>
      <c r="U7" s="13">
        <v>0.26976839331369129</v>
      </c>
      <c r="W7">
        <v>2012</v>
      </c>
      <c r="X7" s="12">
        <v>0.26976839331369129</v>
      </c>
      <c r="Y7" s="13">
        <f>T7</f>
        <v>0.26976839331369129</v>
      </c>
      <c r="Z7" s="12">
        <v>0.26976839331369129</v>
      </c>
      <c r="AA7" s="13"/>
      <c r="AB7" s="13">
        <f t="shared" si="3"/>
        <v>0.26976839331369129</v>
      </c>
      <c r="AC7" s="13"/>
      <c r="AD7">
        <f t="shared" si="4"/>
        <v>-5.4576455675168676</v>
      </c>
      <c r="AE7" s="33">
        <f t="shared" si="0"/>
        <v>-5.4804198412422247</v>
      </c>
      <c r="AG7">
        <v>3</v>
      </c>
      <c r="AH7">
        <v>0</v>
      </c>
      <c r="AI7">
        <v>0</v>
      </c>
      <c r="AK7">
        <v>2012</v>
      </c>
      <c r="AL7" s="3">
        <f>'EV %sales'!AH53</f>
        <v>732</v>
      </c>
      <c r="AM7" s="12">
        <f t="shared" si="5"/>
        <v>1.9747046390562204</v>
      </c>
      <c r="AN7" s="12"/>
      <c r="AO7" s="12" t="s">
        <v>1248</v>
      </c>
      <c r="AP7" s="3">
        <v>1216</v>
      </c>
      <c r="AQ7" s="3">
        <v>3124</v>
      </c>
      <c r="AS7" s="13">
        <f t="shared" si="1"/>
        <v>1.3019081238128738</v>
      </c>
      <c r="AT7" s="13">
        <f>'Global EV uptake'!B63</f>
        <v>0.23522435592921317</v>
      </c>
      <c r="AU7" s="3">
        <f t="shared" si="2"/>
        <v>134.15652610964364</v>
      </c>
      <c r="AV7" s="13"/>
      <c r="BC7" s="13"/>
      <c r="BD7">
        <v>2012</v>
      </c>
      <c r="BE7" s="13">
        <f>'Country Petrol Prices'!E15</f>
        <v>126.38</v>
      </c>
      <c r="BF7" s="13">
        <f>CPIs!E51</f>
        <v>104.47194671630859</v>
      </c>
      <c r="BG7" s="13">
        <f>'Country Vehicle Prices'!E84</f>
        <v>1.2358608905069175</v>
      </c>
      <c r="BJ7" s="72">
        <v>1.3136861011967399E-2</v>
      </c>
    </row>
    <row r="8" spans="1:62">
      <c r="A8">
        <v>2013</v>
      </c>
      <c r="B8" s="13">
        <f>'EV %sales'!E71</f>
        <v>0.41106719367588934</v>
      </c>
      <c r="C8" s="13">
        <f t="shared" ref="C8:C13" si="10">AB8</f>
        <v>0.4153190615900294</v>
      </c>
      <c r="D8" s="84">
        <f t="shared" ref="D8:D50" si="11">65*EXP(E8)/(1+EXP(E8))</f>
        <v>0.4153190615900294</v>
      </c>
      <c r="E8" s="84">
        <f>J8-SUM(I$7:I8)</f>
        <v>-5.0466854765268003</v>
      </c>
      <c r="F8" s="13">
        <f t="shared" ref="F8:F50" si="12">I8*G8</f>
        <v>0</v>
      </c>
      <c r="G8" s="13">
        <f t="shared" ref="G8:G50" si="13">IF(H8&lt;0,0,H8)</f>
        <v>1</v>
      </c>
      <c r="H8" s="13">
        <f t="shared" ref="H8:H50" si="14">IF((P8-0.6)/0.3&gt;1,1,(P8-0.6)/0.3)</f>
        <v>1</v>
      </c>
      <c r="I8" s="13">
        <v>0</v>
      </c>
      <c r="J8" s="13">
        <f t="shared" ref="J8:J50" si="15">LN(L8/(65-L8))</f>
        <v>-5.0466854765268003</v>
      </c>
      <c r="K8" s="13"/>
      <c r="L8" s="84">
        <f t="shared" si="6"/>
        <v>0.4153190615900294</v>
      </c>
      <c r="M8" s="13">
        <f t="shared" si="7"/>
        <v>0.4153190615900294</v>
      </c>
      <c r="N8" s="13">
        <f t="shared" si="8"/>
        <v>2012.742259485351</v>
      </c>
      <c r="O8" s="13">
        <f t="shared" si="9"/>
        <v>2017.2592952763096</v>
      </c>
      <c r="P8" s="13">
        <f>1/Canada!R81</f>
        <v>1.0352142188712621</v>
      </c>
      <c r="Q8" s="13"/>
      <c r="R8">
        <v>2013</v>
      </c>
      <c r="S8" s="13">
        <v>0.4153190615900294</v>
      </c>
      <c r="T8" s="13">
        <v>0.4153190615900294</v>
      </c>
      <c r="U8" s="13">
        <v>0.4153190615900294</v>
      </c>
      <c r="W8">
        <v>2013</v>
      </c>
      <c r="X8" s="12">
        <v>0.4153190615900294</v>
      </c>
      <c r="Y8" s="13">
        <f t="shared" ref="Y8:Y45" si="16">T8</f>
        <v>0.4153190615900294</v>
      </c>
      <c r="Z8" s="12">
        <v>0.4153190615900294</v>
      </c>
      <c r="AA8" s="13"/>
      <c r="AB8" s="13">
        <f t="shared" si="3"/>
        <v>0.4153190615900294</v>
      </c>
      <c r="AC8" s="13"/>
      <c r="AD8">
        <f t="shared" si="4"/>
        <v>-5.0570416669104112</v>
      </c>
      <c r="AE8" s="33">
        <f t="shared" si="0"/>
        <v>-5.0466854765268003</v>
      </c>
      <c r="AG8">
        <v>4</v>
      </c>
      <c r="AH8">
        <v>0</v>
      </c>
      <c r="AI8">
        <v>0</v>
      </c>
      <c r="AK8">
        <v>2013</v>
      </c>
      <c r="AL8" s="3">
        <f>'EV %sales'!AH54</f>
        <v>759</v>
      </c>
      <c r="AM8" s="12">
        <f t="shared" si="5"/>
        <v>3.152271677468323</v>
      </c>
      <c r="AN8" s="12"/>
      <c r="AO8" s="12" t="s">
        <v>1249</v>
      </c>
      <c r="AP8" s="3">
        <v>1619</v>
      </c>
      <c r="AQ8" s="3">
        <v>4743</v>
      </c>
      <c r="AS8" s="13">
        <f t="shared" si="1"/>
        <v>1.2358608905069175</v>
      </c>
      <c r="AT8" s="13">
        <f>'Global EV uptake'!B64</f>
        <v>0.38403986642724675</v>
      </c>
      <c r="AU8" s="3">
        <f t="shared" si="2"/>
        <v>136.13921582492722</v>
      </c>
      <c r="AV8" s="13"/>
      <c r="AX8" s="41" t="s">
        <v>159</v>
      </c>
      <c r="AY8" s="41">
        <v>2.6329778130002151</v>
      </c>
      <c r="BC8" s="13"/>
      <c r="BD8">
        <v>2013</v>
      </c>
      <c r="BE8" s="13">
        <f>'Country Petrol Prices'!E16</f>
        <v>126.76999999999998</v>
      </c>
      <c r="BF8" s="13">
        <f>CPIs!E52</f>
        <v>105.45220184326172</v>
      </c>
      <c r="BG8" s="13">
        <f>'Country Vehicle Prices'!E85</f>
        <v>1.2541333116177427</v>
      </c>
      <c r="BJ8" s="72">
        <v>3.9683975298314432E-2</v>
      </c>
    </row>
    <row r="9" spans="1:62">
      <c r="A9">
        <v>2014</v>
      </c>
      <c r="B9" s="13">
        <f>'EV %sales'!E72</f>
        <v>0.62903225806451613</v>
      </c>
      <c r="C9" s="13">
        <f t="shared" si="10"/>
        <v>0.63862526913926998</v>
      </c>
      <c r="D9" s="84">
        <f t="shared" si="11"/>
        <v>0.4153190615900294</v>
      </c>
      <c r="E9" s="84">
        <f>J9-SUM(I$7:I9)</f>
        <v>-5.0466854765268003</v>
      </c>
      <c r="F9" s="13">
        <f t="shared" si="12"/>
        <v>0</v>
      </c>
      <c r="G9" s="13">
        <f t="shared" si="13"/>
        <v>1</v>
      </c>
      <c r="H9" s="13">
        <f t="shared" si="14"/>
        <v>1</v>
      </c>
      <c r="I9" s="13">
        <v>0</v>
      </c>
      <c r="J9" s="13">
        <f t="shared" si="15"/>
        <v>-5.0466854765268003</v>
      </c>
      <c r="K9" s="13"/>
      <c r="L9" s="84">
        <f t="shared" si="6"/>
        <v>0.4153190615900294</v>
      </c>
      <c r="M9" s="13">
        <f t="shared" si="7"/>
        <v>0.4153190615900294</v>
      </c>
      <c r="N9" s="13">
        <f t="shared" si="8"/>
        <v>2012.5350801823388</v>
      </c>
      <c r="O9" s="13">
        <f t="shared" si="9"/>
        <v>2018.4664745793218</v>
      </c>
      <c r="P9" s="13">
        <f>1/Canada!R82</f>
        <v>1.1471569151744503</v>
      </c>
      <c r="Q9" s="13"/>
      <c r="R9">
        <v>2014</v>
      </c>
      <c r="S9" s="13">
        <v>0.63862526913926998</v>
      </c>
      <c r="T9" s="13">
        <v>0.63862526913926998</v>
      </c>
      <c r="U9" s="13">
        <v>0.63862526913926998</v>
      </c>
      <c r="W9">
        <v>2014</v>
      </c>
      <c r="X9" s="12">
        <v>0.63862526913926998</v>
      </c>
      <c r="Y9" s="13">
        <f t="shared" si="16"/>
        <v>0.63862526913926998</v>
      </c>
      <c r="Z9" s="12">
        <v>0.63862526913926998</v>
      </c>
      <c r="AA9" s="13"/>
      <c r="AB9" s="13">
        <f t="shared" si="3"/>
        <v>0.63862526913926998</v>
      </c>
      <c r="AC9" s="13"/>
      <c r="AD9">
        <f t="shared" si="4"/>
        <v>-4.6282354589190877</v>
      </c>
      <c r="AE9" s="33">
        <f t="shared" si="0"/>
        <v>-4.612951111811376</v>
      </c>
      <c r="AG9">
        <v>5</v>
      </c>
      <c r="AH9">
        <v>0</v>
      </c>
      <c r="AI9">
        <v>0</v>
      </c>
      <c r="AK9">
        <v>2014</v>
      </c>
      <c r="AL9" s="3">
        <f>'EV %sales'!AH55</f>
        <v>806</v>
      </c>
      <c r="AM9" s="12">
        <f t="shared" si="5"/>
        <v>5.1473196692625161</v>
      </c>
      <c r="AN9" s="12"/>
      <c r="AO9" s="12" t="s">
        <v>1250</v>
      </c>
      <c r="AP9" s="3">
        <v>1824</v>
      </c>
      <c r="AQ9" s="3">
        <v>6759</v>
      </c>
      <c r="AS9" s="13">
        <f t="shared" si="1"/>
        <v>1.2541333116177427</v>
      </c>
      <c r="AT9" s="13">
        <f>'Global EV uptake'!B65</f>
        <v>0.57247293705754376</v>
      </c>
      <c r="AU9" s="3">
        <f t="shared" si="2"/>
        <v>135.28991350427663</v>
      </c>
      <c r="AV9" s="13"/>
      <c r="AX9" t="s">
        <v>829</v>
      </c>
      <c r="AY9" s="41">
        <v>-2.0951701354411556</v>
      </c>
      <c r="BC9" s="13"/>
      <c r="BD9">
        <v>2014</v>
      </c>
      <c r="BE9" s="13">
        <f>'Country Petrol Prices'!E17</f>
        <v>127.35</v>
      </c>
      <c r="BF9" s="13">
        <f>CPIs!E53</f>
        <v>107.46279144287109</v>
      </c>
      <c r="BG9" s="13">
        <f>'Country Vehicle Prices'!E86</f>
        <v>1.3679139932532995</v>
      </c>
      <c r="BJ9" s="72">
        <v>0.11977891468935473</v>
      </c>
    </row>
    <row r="10" spans="1:62">
      <c r="A10">
        <v>2015</v>
      </c>
      <c r="B10" s="13">
        <f>'EV %sales'!E73</f>
        <v>0.81369611450384693</v>
      </c>
      <c r="C10" s="13">
        <f t="shared" si="10"/>
        <v>0.83298342165318717</v>
      </c>
      <c r="D10" s="84">
        <f t="shared" si="11"/>
        <v>0.63862526913926998</v>
      </c>
      <c r="E10" s="84">
        <f>J10-SUM(I$7:I10)</f>
        <v>-4.612951111811376</v>
      </c>
      <c r="F10" s="13">
        <f t="shared" si="12"/>
        <v>0</v>
      </c>
      <c r="G10" s="13">
        <f t="shared" si="13"/>
        <v>1</v>
      </c>
      <c r="H10" s="13">
        <f t="shared" si="14"/>
        <v>1</v>
      </c>
      <c r="I10" s="13">
        <v>0</v>
      </c>
      <c r="J10" s="13">
        <f t="shared" si="15"/>
        <v>-4.612951111811376</v>
      </c>
      <c r="K10" s="13"/>
      <c r="L10" s="84">
        <f t="shared" si="6"/>
        <v>0.63862526913926998</v>
      </c>
      <c r="M10" s="13">
        <f t="shared" si="7"/>
        <v>0.63862526913926998</v>
      </c>
      <c r="N10" s="13">
        <f t="shared" si="8"/>
        <v>2014.2353712656136</v>
      </c>
      <c r="O10" s="13">
        <f t="shared" si="9"/>
        <v>2017.766183496047</v>
      </c>
      <c r="P10" s="13">
        <f>1/Canada!R83</f>
        <v>1.0822183663911358</v>
      </c>
      <c r="Q10" s="13"/>
      <c r="R10">
        <v>2015</v>
      </c>
      <c r="S10" s="13">
        <v>0.83298342165318717</v>
      </c>
      <c r="T10" s="13">
        <v>0.83298342165318717</v>
      </c>
      <c r="U10" s="13">
        <v>0.83298342165318717</v>
      </c>
      <c r="W10">
        <v>2015</v>
      </c>
      <c r="X10" s="12">
        <v>0.83298342165318717</v>
      </c>
      <c r="Y10" s="13">
        <f t="shared" si="16"/>
        <v>0.83298342165318717</v>
      </c>
      <c r="Z10" s="12">
        <v>0.83298342165318717</v>
      </c>
      <c r="AA10" s="13"/>
      <c r="AB10" s="13">
        <f t="shared" si="3"/>
        <v>0.83298342165318717</v>
      </c>
      <c r="AC10" s="13"/>
      <c r="AD10">
        <f t="shared" si="4"/>
        <v>-4.3679581592074479</v>
      </c>
      <c r="AE10" s="33">
        <f t="shared" si="0"/>
        <v>-4.3442308572042094</v>
      </c>
      <c r="AG10">
        <v>6</v>
      </c>
      <c r="AH10">
        <v>1</v>
      </c>
      <c r="AI10">
        <v>0</v>
      </c>
      <c r="AK10">
        <v>2015</v>
      </c>
      <c r="AL10" s="3">
        <f>'EV %sales'!AH56</f>
        <v>855.35617977528091</v>
      </c>
      <c r="AM10" s="12">
        <f t="shared" si="5"/>
        <v>7.1249751736141222</v>
      </c>
      <c r="AN10" s="12"/>
      <c r="AO10" s="12" t="s">
        <v>1251</v>
      </c>
      <c r="AP10" s="3">
        <v>1434</v>
      </c>
      <c r="AQ10" s="3">
        <v>4500</v>
      </c>
      <c r="AS10" s="13">
        <f t="shared" si="1"/>
        <v>1.3679139932532995</v>
      </c>
      <c r="AT10" s="13">
        <f>'Global EV uptake'!B66</f>
        <v>0.90247796151091464</v>
      </c>
      <c r="AU10" s="3">
        <f t="shared" si="2"/>
        <v>133.36608814662068</v>
      </c>
      <c r="AV10" s="13"/>
      <c r="AX10" t="s">
        <v>896</v>
      </c>
      <c r="AY10" s="41">
        <v>1.1044206393260394</v>
      </c>
      <c r="BC10" s="13"/>
      <c r="BD10">
        <v>2015</v>
      </c>
      <c r="BE10" s="13">
        <f>'Country Petrol Prices'!E18</f>
        <v>106.11999999999998</v>
      </c>
      <c r="BF10" s="13">
        <f>CPIs!E54</f>
        <v>108.67200469970703</v>
      </c>
      <c r="BG10" s="13">
        <f>'Country Vehicle Prices'!E87</f>
        <v>1.2281104749924368</v>
      </c>
      <c r="BJ10" s="72">
        <v>0.22741139170051655</v>
      </c>
    </row>
    <row r="11" spans="1:62">
      <c r="A11">
        <v>2016</v>
      </c>
      <c r="B11" s="13">
        <f>'EV %sales'!E74</f>
        <v>1.302786412148317</v>
      </c>
      <c r="C11" s="13">
        <f t="shared" si="10"/>
        <v>1.2764186108823803</v>
      </c>
      <c r="D11" s="84">
        <f t="shared" si="11"/>
        <v>0.83298342165318717</v>
      </c>
      <c r="E11" s="84">
        <f>J11-SUM(I$7:I11)</f>
        <v>-4.3442308572042094</v>
      </c>
      <c r="F11" s="13">
        <f t="shared" si="12"/>
        <v>0</v>
      </c>
      <c r="G11" s="13">
        <f t="shared" si="13"/>
        <v>1</v>
      </c>
      <c r="H11" s="13">
        <f t="shared" si="14"/>
        <v>1</v>
      </c>
      <c r="I11" s="13">
        <v>0</v>
      </c>
      <c r="J11" s="13">
        <f t="shared" si="15"/>
        <v>-4.3442308572042094</v>
      </c>
      <c r="K11" s="13"/>
      <c r="L11" s="84">
        <f t="shared" si="6"/>
        <v>0.83298342165318717</v>
      </c>
      <c r="M11" s="13">
        <f t="shared" si="7"/>
        <v>0.83298342165318717</v>
      </c>
      <c r="N11" s="13">
        <f t="shared" si="8"/>
        <v>2015.2402589334692</v>
      </c>
      <c r="O11" s="13">
        <f t="shared" si="9"/>
        <v>2017.7612958281914</v>
      </c>
      <c r="P11" s="13">
        <f>1/Canada!R84</f>
        <v>1.0817651290658796</v>
      </c>
      <c r="Q11" s="13"/>
      <c r="R11">
        <v>2016</v>
      </c>
      <c r="S11" s="13">
        <v>1.2764186108823803</v>
      </c>
      <c r="T11" s="13">
        <v>1.2764186108823803</v>
      </c>
      <c r="U11" s="13">
        <v>1.2764186108823803</v>
      </c>
      <c r="W11">
        <v>2016</v>
      </c>
      <c r="X11" s="12">
        <v>1.2764186108823803</v>
      </c>
      <c r="Y11" s="13">
        <f t="shared" si="16"/>
        <v>1.2764186108823803</v>
      </c>
      <c r="Z11" s="12">
        <v>1.2764186108823803</v>
      </c>
      <c r="AA11" s="13"/>
      <c r="AB11" s="13">
        <f t="shared" si="3"/>
        <v>1.2764186108823803</v>
      </c>
      <c r="AC11" s="13"/>
      <c r="AD11">
        <f t="shared" si="4"/>
        <v>-3.8896354542515117</v>
      </c>
      <c r="AE11" s="33">
        <f t="shared" si="0"/>
        <v>-3.9104964924887846</v>
      </c>
      <c r="AG11">
        <v>7</v>
      </c>
      <c r="AH11">
        <v>1</v>
      </c>
      <c r="AI11">
        <v>0</v>
      </c>
      <c r="AK11">
        <v>2016</v>
      </c>
      <c r="AL11" s="3">
        <f>'EV %sales'!AH57</f>
        <v>888.8640449438202</v>
      </c>
      <c r="AM11" s="12">
        <f t="shared" si="5"/>
        <v>11.345626095104846</v>
      </c>
      <c r="AN11" s="12"/>
      <c r="AO11" s="12" t="s">
        <v>1252</v>
      </c>
      <c r="AP11" s="3">
        <v>1249</v>
      </c>
      <c r="AQ11" s="3">
        <v>4500</v>
      </c>
      <c r="AS11" s="13">
        <f t="shared" si="1"/>
        <v>1.2281104749924368</v>
      </c>
      <c r="AT11" s="13">
        <f>'Global EV uptake'!B67</f>
        <v>1.1362386310898671</v>
      </c>
      <c r="AU11" s="3">
        <f t="shared" si="2"/>
        <v>109.8965714864927</v>
      </c>
      <c r="AV11" s="13"/>
      <c r="AY11" s="41"/>
      <c r="BC11" s="13"/>
      <c r="BD11">
        <v>2016</v>
      </c>
      <c r="BE11" s="13">
        <f>'Country Petrol Prices'!E19</f>
        <v>100.55</v>
      </c>
      <c r="BF11" s="13">
        <f>CPIs!E55</f>
        <v>110.22467803955078</v>
      </c>
      <c r="BG11" s="13">
        <f>'Country Vehicle Prices'!E88</f>
        <v>1.2130651479613528</v>
      </c>
      <c r="BJ11" s="72">
        <v>0.15213068778818045</v>
      </c>
    </row>
    <row r="12" spans="1:62">
      <c r="A12">
        <v>2017</v>
      </c>
      <c r="B12" s="13">
        <f>'EV %sales'!E75</f>
        <v>2.1226462017393763</v>
      </c>
      <c r="C12" s="13">
        <f t="shared" si="10"/>
        <v>2.1109069198989259</v>
      </c>
      <c r="D12" s="84">
        <f t="shared" si="11"/>
        <v>1.2764186108823803</v>
      </c>
      <c r="E12" s="84">
        <f>J12-SUM(I$7:I12)</f>
        <v>-3.9104964924887846</v>
      </c>
      <c r="F12" s="13">
        <f t="shared" si="12"/>
        <v>0</v>
      </c>
      <c r="G12" s="13">
        <f t="shared" si="13"/>
        <v>1</v>
      </c>
      <c r="H12" s="13">
        <f t="shared" si="14"/>
        <v>1</v>
      </c>
      <c r="I12" s="13">
        <v>0</v>
      </c>
      <c r="J12" s="13">
        <f t="shared" si="15"/>
        <v>-3.9104964924887846</v>
      </c>
      <c r="K12" s="13"/>
      <c r="L12" s="84">
        <f t="shared" si="6"/>
        <v>1.2764186108823803</v>
      </c>
      <c r="M12" s="13">
        <f t="shared" si="7"/>
        <v>1.2764186108823803</v>
      </c>
      <c r="N12" s="13">
        <f t="shared" si="8"/>
        <v>2016.4393750442666</v>
      </c>
      <c r="O12" s="13">
        <f t="shared" si="9"/>
        <v>2017.562179717394</v>
      </c>
      <c r="P12" s="13">
        <f>1/Canada!R85</f>
        <v>1.063300933842815</v>
      </c>
      <c r="Q12" s="13"/>
      <c r="R12">
        <v>2017</v>
      </c>
      <c r="S12" s="13">
        <v>2.1109069198989259</v>
      </c>
      <c r="T12" s="13">
        <v>2.1109069198989259</v>
      </c>
      <c r="U12" s="13">
        <v>2.1109069198989259</v>
      </c>
      <c r="W12">
        <v>2017</v>
      </c>
      <c r="X12" s="12">
        <v>2.1109069198989259</v>
      </c>
      <c r="Y12" s="13">
        <f t="shared" si="16"/>
        <v>2.1109069198989259</v>
      </c>
      <c r="Z12" s="12">
        <v>2.1109069198989259</v>
      </c>
      <c r="AA12" s="13"/>
      <c r="AB12" s="13">
        <f t="shared" si="3"/>
        <v>2.1109069198989259</v>
      </c>
      <c r="AC12" s="13"/>
      <c r="AD12">
        <f t="shared" si="4"/>
        <v>-3.3885225451872993</v>
      </c>
      <c r="AE12" s="33">
        <f t="shared" si="0"/>
        <v>-3.3942550727192318</v>
      </c>
      <c r="AG12">
        <v>8</v>
      </c>
      <c r="AH12">
        <v>0.5</v>
      </c>
      <c r="AI12">
        <v>0</v>
      </c>
      <c r="AK12">
        <v>2017</v>
      </c>
      <c r="AL12" s="3">
        <f>'EV %sales'!AH58</f>
        <v>906.27444103668699</v>
      </c>
      <c r="AM12" s="12">
        <f>AB12/100*AL12</f>
        <v>19.130609889118737</v>
      </c>
      <c r="AN12" s="12"/>
      <c r="AO12" s="12" t="s">
        <v>1253</v>
      </c>
      <c r="AP12" s="3">
        <v>2251</v>
      </c>
      <c r="AQ12" s="3">
        <v>4500</v>
      </c>
      <c r="AS12" s="13">
        <f t="shared" si="1"/>
        <v>1.2130651479613528</v>
      </c>
      <c r="AT12" s="13">
        <f>'Global EV uptake'!B68</f>
        <v>1.6633518305579627</v>
      </c>
      <c r="AU12" s="3">
        <f t="shared" si="2"/>
        <v>102.66154999999999</v>
      </c>
      <c r="AV12" s="13"/>
      <c r="AY12" s="41"/>
      <c r="BC12" s="13"/>
      <c r="BD12">
        <v>2017</v>
      </c>
      <c r="BE12" s="13">
        <f>'Country Petrol Prices'!E20</f>
        <v>111.48662536798223</v>
      </c>
      <c r="BF12" s="13">
        <f>CPIs!E56</f>
        <v>112.53939627838133</v>
      </c>
      <c r="BG12" s="13">
        <f>'Country Vehicle Prices'!E89</f>
        <v>1.2050028554140417</v>
      </c>
      <c r="BJ12" s="72">
        <v>0.28870487613122398</v>
      </c>
    </row>
    <row r="13" spans="1:62">
      <c r="A13">
        <v>2018</v>
      </c>
      <c r="B13" s="13">
        <f>'EV %sales'!E76</f>
        <v>5.4034855410703155</v>
      </c>
      <c r="C13" s="13">
        <f t="shared" si="10"/>
        <v>5.4034855410703129</v>
      </c>
      <c r="D13" s="84">
        <f t="shared" si="11"/>
        <v>2.3469402826807455</v>
      </c>
      <c r="E13" s="84">
        <f>J13-SUM(I$7:I13)</f>
        <v>-3.2845000459766731</v>
      </c>
      <c r="F13" s="13">
        <f t="shared" si="12"/>
        <v>0</v>
      </c>
      <c r="G13" s="13">
        <f t="shared" si="13"/>
        <v>1</v>
      </c>
      <c r="H13" s="13">
        <f t="shared" si="14"/>
        <v>1</v>
      </c>
      <c r="I13" s="13">
        <v>0</v>
      </c>
      <c r="J13" s="13">
        <f t="shared" si="15"/>
        <v>-3.2845000459766731</v>
      </c>
      <c r="K13" s="13"/>
      <c r="L13" s="84">
        <f t="shared" ref="L13:L48" si="17">AVERAGE(M11:M15)</f>
        <v>2.3469402826807464</v>
      </c>
      <c r="M13" s="13">
        <f t="shared" si="7"/>
        <v>2.1109069198989259</v>
      </c>
      <c r="N13" s="13">
        <f t="shared" si="8"/>
        <v>2017.0766679620806</v>
      </c>
      <c r="O13" s="13">
        <f t="shared" si="9"/>
        <v>2017.92488679958</v>
      </c>
      <c r="P13" s="13">
        <f>1/Canada!R86</f>
        <v>1.0969350498741837</v>
      </c>
      <c r="Q13" s="13"/>
      <c r="R13">
        <v>2018</v>
      </c>
      <c r="S13" s="13">
        <v>5.4034855410703129</v>
      </c>
      <c r="T13" s="13">
        <v>5.4034855410703129</v>
      </c>
      <c r="U13" s="13">
        <v>5.4034855410703129</v>
      </c>
      <c r="W13">
        <v>2018</v>
      </c>
      <c r="X13" s="12">
        <v>5.4034855410703129</v>
      </c>
      <c r="Y13" s="13">
        <f t="shared" si="16"/>
        <v>5.4034855410703129</v>
      </c>
      <c r="Z13" s="12">
        <v>5.4034855410703129</v>
      </c>
      <c r="AA13" s="13"/>
      <c r="AB13" s="13">
        <f>65*EXP(AE13)/(1+EXP(AE13))</f>
        <v>5.4034855410703129</v>
      </c>
      <c r="AC13" s="13"/>
      <c r="AD13">
        <f t="shared" si="4"/>
        <v>-2.4005528742161522</v>
      </c>
      <c r="AE13" s="33">
        <f t="shared" si="0"/>
        <v>-2.4005528742161526</v>
      </c>
      <c r="AG13">
        <v>9</v>
      </c>
      <c r="AH13">
        <v>0</v>
      </c>
      <c r="AI13">
        <v>1</v>
      </c>
      <c r="AK13">
        <v>2018</v>
      </c>
      <c r="AL13" s="3">
        <f>'EV %sales'!AH59</f>
        <v>892.44247316794065</v>
      </c>
      <c r="AM13" s="12">
        <f>AB13/100*AL13</f>
        <v>48.222999999999985</v>
      </c>
      <c r="AO13" s="12" t="s">
        <v>1254</v>
      </c>
      <c r="AP13" s="3">
        <v>2241</v>
      </c>
      <c r="AQ13" s="3">
        <v>4500</v>
      </c>
      <c r="AS13" s="13">
        <f t="shared" si="1"/>
        <v>1.2050028554140417</v>
      </c>
      <c r="AT13" s="13">
        <f>'Global EV uptake'!C69</f>
        <v>2.8311667018084488</v>
      </c>
      <c r="AU13" s="3">
        <f t="shared" si="2"/>
        <v>111.48662536798223</v>
      </c>
      <c r="AV13" s="13"/>
      <c r="AY13" s="41"/>
      <c r="BC13" s="13"/>
      <c r="BD13">
        <v>2018</v>
      </c>
      <c r="BE13" s="13"/>
      <c r="BG13" s="13">
        <f>'Country Vehicle Prices'!E90</f>
        <v>1.2591281590761172</v>
      </c>
      <c r="BJ13" s="72">
        <v>0.60383239269322686</v>
      </c>
    </row>
    <row r="14" spans="1:62">
      <c r="A14">
        <v>2019</v>
      </c>
      <c r="B14" s="13"/>
      <c r="C14" s="13">
        <f>AVERAGE(D12:D16)</f>
        <v>3.5166388613865194</v>
      </c>
      <c r="D14" s="84">
        <f>65*EXP(E14)/(1+EXP(E14))</f>
        <v>3.7156463390427823</v>
      </c>
      <c r="E14" s="84">
        <f>J14-SUM(I$7:I14)</f>
        <v>-2.80297192435328</v>
      </c>
      <c r="F14" s="13">
        <f t="shared" si="12"/>
        <v>0</v>
      </c>
      <c r="G14" s="13">
        <f t="shared" si="13"/>
        <v>1</v>
      </c>
      <c r="H14" s="13">
        <f t="shared" si="14"/>
        <v>1</v>
      </c>
      <c r="I14" s="13">
        <v>0</v>
      </c>
      <c r="J14" s="13">
        <f t="shared" si="15"/>
        <v>-2.80297192435328</v>
      </c>
      <c r="K14" s="13"/>
      <c r="L14" s="84">
        <f t="shared" si="17"/>
        <v>3.7156463390427832</v>
      </c>
      <c r="M14" s="13">
        <f t="shared" si="7"/>
        <v>2.1109069198989259</v>
      </c>
      <c r="N14" s="13">
        <f t="shared" si="8"/>
        <v>2017.2327250839132</v>
      </c>
      <c r="O14" s="13">
        <f t="shared" si="9"/>
        <v>2018.7688296777474</v>
      </c>
      <c r="P14" s="13">
        <f>1/Canada!R87</f>
        <v>1.1751945437805107</v>
      </c>
      <c r="Q14" s="13"/>
      <c r="R14">
        <v>2019</v>
      </c>
      <c r="S14" s="13">
        <v>4.20078144745173</v>
      </c>
      <c r="T14" s="13">
        <v>3.5166388613865194</v>
      </c>
      <c r="U14" s="13">
        <v>3.1081721445927455</v>
      </c>
      <c r="W14">
        <v>2019</v>
      </c>
      <c r="X14" s="12">
        <v>2.836686388877073</v>
      </c>
      <c r="Y14" s="13">
        <f t="shared" si="16"/>
        <v>3.5166388613865194</v>
      </c>
      <c r="Z14" s="12">
        <v>5.0680119565142592</v>
      </c>
      <c r="AA14" s="13"/>
      <c r="AB14" s="13">
        <f t="shared" si="3"/>
        <v>5.1907636009319509</v>
      </c>
      <c r="AC14" s="13"/>
      <c r="AE14" s="33">
        <f t="shared" si="0"/>
        <v>-2.4442792882342541</v>
      </c>
      <c r="AG14">
        <v>10</v>
      </c>
      <c r="AH14">
        <v>0</v>
      </c>
      <c r="AI14">
        <v>0</v>
      </c>
      <c r="AK14">
        <v>2019</v>
      </c>
      <c r="AO14" s="12" t="s">
        <v>1255</v>
      </c>
      <c r="AP14" s="3">
        <v>1920</v>
      </c>
      <c r="AQ14" s="3">
        <v>4500</v>
      </c>
      <c r="AS14" s="13">
        <f t="shared" si="1"/>
        <v>1.2591281590761172</v>
      </c>
      <c r="AT14" s="13">
        <f>'Global EV uptake'!C70</f>
        <v>4.6657433283108087</v>
      </c>
      <c r="AU14" s="3">
        <v>140</v>
      </c>
      <c r="AV14" s="13"/>
      <c r="AY14" s="41"/>
      <c r="BC14" s="13"/>
      <c r="BD14">
        <v>2019</v>
      </c>
      <c r="BG14" s="13">
        <f>'Country Vehicle Prices'!E91</f>
        <v>1.3380894975164619</v>
      </c>
      <c r="BJ14" s="72">
        <v>1.138797195016551</v>
      </c>
    </row>
    <row r="15" spans="1:62">
      <c r="A15">
        <v>2020</v>
      </c>
      <c r="B15" s="13"/>
      <c r="C15" s="13">
        <f t="shared" ref="C15" si="18">AVERAGE(D13:D17)</f>
        <v>4.8401346420411286</v>
      </c>
      <c r="D15" s="84">
        <f>65*EXP(E15)/(1+EXP(E15))</f>
        <v>4.3463386716686676</v>
      </c>
      <c r="E15" s="84">
        <f>J15-SUM(I$7:I15)</f>
        <v>-2.6358461957072401</v>
      </c>
      <c r="F15" s="13">
        <f t="shared" si="12"/>
        <v>0.15</v>
      </c>
      <c r="G15" s="13">
        <f t="shared" si="13"/>
        <v>1</v>
      </c>
      <c r="H15" s="13">
        <f t="shared" si="14"/>
        <v>1</v>
      </c>
      <c r="I15" s="231">
        <v>0.15</v>
      </c>
      <c r="J15" s="13">
        <f t="shared" si="15"/>
        <v>-2.4858461957072402</v>
      </c>
      <c r="K15" s="13"/>
      <c r="L15" s="84">
        <f t="shared" si="17"/>
        <v>4.9956653575589813</v>
      </c>
      <c r="M15" s="13">
        <f t="shared" si="7"/>
        <v>5.4034855410703129</v>
      </c>
      <c r="N15" s="13">
        <f t="shared" si="8"/>
        <v>2018.2821340069006</v>
      </c>
      <c r="O15" s="13">
        <f t="shared" si="9"/>
        <v>2018.71942075476</v>
      </c>
      <c r="P15" s="13">
        <f>1/Canada!R88</f>
        <v>1.1706128150788622</v>
      </c>
      <c r="Q15" s="13"/>
      <c r="R15">
        <v>2020</v>
      </c>
      <c r="S15" s="13">
        <v>5.8150273109700432</v>
      </c>
      <c r="T15" s="13">
        <v>4.8401346420411286</v>
      </c>
      <c r="U15" s="13">
        <v>4.2273533844344113</v>
      </c>
      <c r="W15">
        <v>2020</v>
      </c>
      <c r="X15" s="12">
        <v>3.4990874151187965</v>
      </c>
      <c r="Y15" s="13">
        <f t="shared" si="16"/>
        <v>4.8401346420411286</v>
      </c>
      <c r="Z15" s="12">
        <v>7.3181049573507213</v>
      </c>
      <c r="AA15" s="13"/>
      <c r="AB15" s="13">
        <f t="shared" si="3"/>
        <v>7.6765137034633693</v>
      </c>
      <c r="AC15" s="13"/>
      <c r="AE15" s="33">
        <f t="shared" si="0"/>
        <v>-2.0105449235188297</v>
      </c>
      <c r="AG15">
        <v>11</v>
      </c>
      <c r="AH15">
        <v>0</v>
      </c>
      <c r="AI15">
        <v>0</v>
      </c>
      <c r="AK15">
        <v>2020</v>
      </c>
      <c r="AO15" s="251" t="s">
        <v>1256</v>
      </c>
      <c r="AP15" s="16">
        <v>1779</v>
      </c>
      <c r="AQ15" s="16">
        <v>4500</v>
      </c>
      <c r="AS15" s="13">
        <f t="shared" si="1"/>
        <v>1.3380894975164619</v>
      </c>
      <c r="AT15" s="13">
        <f>'Global EV uptake'!C71</f>
        <v>7.1311545047818807</v>
      </c>
      <c r="AU15" s="3">
        <v>140</v>
      </c>
      <c r="AV15" s="13"/>
      <c r="AY15" s="41"/>
      <c r="BC15" s="13"/>
      <c r="BD15">
        <v>2020</v>
      </c>
      <c r="BG15" s="13">
        <f>'Country Vehicle Prices'!E92</f>
        <v>1.3315123693988522</v>
      </c>
      <c r="BJ15" s="72">
        <v>2.1320220714704403</v>
      </c>
    </row>
    <row r="16" spans="1:62">
      <c r="A16">
        <v>2021</v>
      </c>
      <c r="B16" s="13"/>
      <c r="C16" s="13">
        <f>AVERAGE(D13:D19)</f>
        <v>6.7819588768419212</v>
      </c>
      <c r="D16" s="84">
        <f t="shared" si="11"/>
        <v>5.8978504026580225</v>
      </c>
      <c r="E16" s="84">
        <f>J16-SUM(I$7:I16)</f>
        <v>-2.3046793499643212</v>
      </c>
      <c r="F16" s="13">
        <f t="shared" si="12"/>
        <v>0.15</v>
      </c>
      <c r="G16" s="13">
        <f t="shared" si="13"/>
        <v>1</v>
      </c>
      <c r="H16" s="13">
        <f t="shared" si="14"/>
        <v>1</v>
      </c>
      <c r="I16" s="20">
        <f>I15+(I35-I15)/20</f>
        <v>0.15</v>
      </c>
      <c r="J16" s="13">
        <f t="shared" si="15"/>
        <v>-2.0046793499643214</v>
      </c>
      <c r="K16" s="13"/>
      <c r="L16" s="84">
        <f t="shared" si="17"/>
        <v>7.7163121795650085</v>
      </c>
      <c r="M16" s="13">
        <f t="shared" si="7"/>
        <v>7.6765137034633693</v>
      </c>
      <c r="N16" s="13">
        <f t="shared" si="8"/>
        <v>2019.64034894216</v>
      </c>
      <c r="O16" s="13">
        <f t="shared" si="9"/>
        <v>2018.3612058195006</v>
      </c>
      <c r="P16" s="13">
        <f>1/Canada!R89</f>
        <v>1.1373952594026182</v>
      </c>
      <c r="Q16" s="13"/>
      <c r="R16">
        <v>2021</v>
      </c>
      <c r="S16" s="13">
        <v>8.1877486644184021</v>
      </c>
      <c r="T16" s="13">
        <v>6.7819588768419212</v>
      </c>
      <c r="U16" s="13">
        <v>5.9787840771022092</v>
      </c>
      <c r="W16">
        <v>2021</v>
      </c>
      <c r="X16" s="12">
        <v>4.1664424571568066</v>
      </c>
      <c r="Y16" s="13">
        <f t="shared" si="16"/>
        <v>6.7819588768419212</v>
      </c>
      <c r="Z16" s="12">
        <v>10.690349158571669</v>
      </c>
      <c r="AA16" s="13"/>
      <c r="AB16" s="13">
        <f t="shared" si="3"/>
        <v>11.13109783917723</v>
      </c>
      <c r="AC16" s="13"/>
      <c r="AE16" s="33">
        <f t="shared" si="0"/>
        <v>-1.5768105588034054</v>
      </c>
      <c r="AG16">
        <v>12</v>
      </c>
      <c r="AH16">
        <v>0</v>
      </c>
      <c r="AI16">
        <v>0</v>
      </c>
      <c r="AK16">
        <v>2021</v>
      </c>
      <c r="AO16" s="12" t="s">
        <v>158</v>
      </c>
      <c r="AP16" s="3">
        <f>SUM(AP4:AP15)</f>
        <v>19237</v>
      </c>
      <c r="AQ16" s="3">
        <f>SUM(AQ4:AQ15)</f>
        <v>48223</v>
      </c>
      <c r="AS16" s="13">
        <f t="shared" si="1"/>
        <v>1.3315123693988522</v>
      </c>
      <c r="AT16" s="13">
        <f>'Global EV uptake'!C72</f>
        <v>10.80906767568065</v>
      </c>
      <c r="AU16" s="3">
        <v>140</v>
      </c>
      <c r="AV16" s="13"/>
      <c r="AY16" s="41"/>
      <c r="BC16" s="13"/>
      <c r="BD16">
        <v>2021</v>
      </c>
      <c r="BG16" s="13">
        <f>'Country Vehicle Prices'!E93</f>
        <v>1.2991595875196069</v>
      </c>
      <c r="BJ16" s="72">
        <v>3.9380888210517413</v>
      </c>
    </row>
    <row r="17" spans="1:62">
      <c r="A17">
        <v>2022</v>
      </c>
      <c r="B17" s="13"/>
      <c r="C17" s="13">
        <f t="shared" ref="C17:C50" si="19">AVERAGE(D14:D20)</f>
        <v>8.9554016993125423</v>
      </c>
      <c r="D17" s="84">
        <f t="shared" si="11"/>
        <v>7.8938975141554257</v>
      </c>
      <c r="E17" s="84">
        <f>J17-SUM(I$7:I17)</f>
        <v>-1.9788209902045628</v>
      </c>
      <c r="F17" s="13">
        <f t="shared" si="12"/>
        <v>0.15</v>
      </c>
      <c r="G17" s="13">
        <f t="shared" si="13"/>
        <v>1</v>
      </c>
      <c r="H17" s="13">
        <f t="shared" si="14"/>
        <v>1</v>
      </c>
      <c r="I17" s="20">
        <f>I16+(I35-I15)/20</f>
        <v>0.15</v>
      </c>
      <c r="J17" s="13">
        <f t="shared" si="15"/>
        <v>-1.5288209902045629</v>
      </c>
      <c r="K17" s="13"/>
      <c r="L17" s="84">
        <f>AVERAGE(M15:M19)</f>
        <v>11.580806541501097</v>
      </c>
      <c r="M17" s="13">
        <f t="shared" si="7"/>
        <v>7.6765137034633693</v>
      </c>
      <c r="N17" s="13">
        <f t="shared" si="8"/>
        <v>2020.4812600311125</v>
      </c>
      <c r="O17" s="13">
        <f t="shared" si="9"/>
        <v>2018.5202947305481</v>
      </c>
      <c r="P17" s="13">
        <f>1/Canada!R90</f>
        <v>1.1521477005769873</v>
      </c>
      <c r="Q17" s="13"/>
      <c r="R17">
        <v>2022</v>
      </c>
      <c r="S17" s="13">
        <v>10.592104675179069</v>
      </c>
      <c r="T17" s="13">
        <v>8.9554016993125423</v>
      </c>
      <c r="U17" s="13">
        <v>7.7767022225197424</v>
      </c>
      <c r="W17">
        <v>2022</v>
      </c>
      <c r="X17" s="12">
        <v>4.9837835457326616</v>
      </c>
      <c r="Y17" s="13">
        <f t="shared" si="16"/>
        <v>8.9554016993125423</v>
      </c>
      <c r="Z17" s="12">
        <v>14.150160885303743</v>
      </c>
      <c r="AA17" s="13"/>
      <c r="AB17" s="13">
        <f t="shared" si="3"/>
        <v>15.714141029929063</v>
      </c>
      <c r="AC17" s="13"/>
      <c r="AE17" s="33">
        <f t="shared" si="0"/>
        <v>-1.143076194087981</v>
      </c>
      <c r="AG17">
        <v>13</v>
      </c>
      <c r="AH17">
        <v>0</v>
      </c>
      <c r="AI17">
        <v>0</v>
      </c>
      <c r="AK17">
        <v>2022</v>
      </c>
      <c r="AS17" s="13">
        <f t="shared" si="1"/>
        <v>1.2991595875196069</v>
      </c>
      <c r="AT17" s="13">
        <f>'Global EV uptake'!C73</f>
        <v>16.220950988507798</v>
      </c>
      <c r="AU17" s="3">
        <v>140</v>
      </c>
      <c r="AV17" s="13"/>
      <c r="AY17" s="41"/>
      <c r="BC17" s="13"/>
      <c r="BD17">
        <v>2022</v>
      </c>
      <c r="BG17" s="13">
        <f>'Country Vehicle Prices'!E94</f>
        <v>1.3195989163317772</v>
      </c>
      <c r="BJ17" s="72">
        <v>7.1012850867310817</v>
      </c>
    </row>
    <row r="18" spans="1:62">
      <c r="A18">
        <v>2023</v>
      </c>
      <c r="B18" s="13"/>
      <c r="C18" s="13">
        <f>AVERAGE(D15:D21)</f>
        <v>11.538905194591692</v>
      </c>
      <c r="D18" s="84">
        <f t="shared" si="11"/>
        <v>9.9545315601313611</v>
      </c>
      <c r="E18" s="84">
        <f>J18-SUM(I$7:I18)</f>
        <v>-1.710131661940526</v>
      </c>
      <c r="F18" s="13">
        <f t="shared" si="12"/>
        <v>0.15</v>
      </c>
      <c r="G18" s="13">
        <f t="shared" si="13"/>
        <v>1</v>
      </c>
      <c r="H18" s="13">
        <f t="shared" si="14"/>
        <v>1</v>
      </c>
      <c r="I18" s="20">
        <f>I17+(I35-I15)/20</f>
        <v>0.15</v>
      </c>
      <c r="J18" s="13">
        <f t="shared" si="15"/>
        <v>-1.1101316619405261</v>
      </c>
      <c r="K18" s="13"/>
      <c r="L18" s="84">
        <f t="shared" si="17"/>
        <v>16.110012328781785</v>
      </c>
      <c r="M18" s="13">
        <f t="shared" si="7"/>
        <v>15.714141029929063</v>
      </c>
      <c r="N18" s="13">
        <f t="shared" si="8"/>
        <v>2021.5891648672186</v>
      </c>
      <c r="O18" s="13">
        <f t="shared" si="9"/>
        <v>2018.412389894442</v>
      </c>
      <c r="P18" s="13">
        <f>1/Canada!R91</f>
        <v>1.1421415993559607</v>
      </c>
      <c r="Q18" s="13"/>
      <c r="R18">
        <v>2023</v>
      </c>
      <c r="S18" s="13">
        <v>13.572722633787336</v>
      </c>
      <c r="T18" s="13">
        <v>11.538905194591692</v>
      </c>
      <c r="U18" s="13">
        <v>10.108046478983619</v>
      </c>
      <c r="W18">
        <v>2023</v>
      </c>
      <c r="X18" s="12">
        <v>5.9570066845389302</v>
      </c>
      <c r="Y18" s="13">
        <f t="shared" si="16"/>
        <v>11.538905194591692</v>
      </c>
      <c r="Z18" s="12">
        <v>18.324549425758669</v>
      </c>
      <c r="AA18" s="13"/>
      <c r="AB18" s="13">
        <f t="shared" si="3"/>
        <v>21.433378729579367</v>
      </c>
      <c r="AC18" s="13"/>
      <c r="AE18" s="33">
        <f t="shared" si="0"/>
        <v>-0.70934182937255663</v>
      </c>
      <c r="AG18">
        <v>14</v>
      </c>
      <c r="AH18">
        <v>0</v>
      </c>
      <c r="AI18">
        <v>0</v>
      </c>
      <c r="AK18">
        <v>2023</v>
      </c>
      <c r="AQ18">
        <f>AQ16/1000/AL13*100</f>
        <v>5.4034855410703155</v>
      </c>
      <c r="AS18" s="13">
        <f t="shared" si="1"/>
        <v>1.3195989163317772</v>
      </c>
      <c r="AT18" s="13">
        <f>'Global EV uptake'!C74</f>
        <v>23.06565896987421</v>
      </c>
      <c r="AU18" s="3">
        <v>140</v>
      </c>
      <c r="AV18" s="13"/>
      <c r="AY18" s="41"/>
      <c r="BC18" s="13"/>
      <c r="BD18">
        <v>2023</v>
      </c>
      <c r="BG18" s="13">
        <f>'Country Vehicle Prices'!E95</f>
        <v>1.3088486417548735</v>
      </c>
      <c r="BJ18" s="72">
        <v>12.293719555967861</v>
      </c>
    </row>
    <row r="19" spans="1:62">
      <c r="A19">
        <v>2024</v>
      </c>
      <c r="B19" s="13"/>
      <c r="C19" s="13">
        <f t="shared" si="19"/>
        <v>14.73318377422464</v>
      </c>
      <c r="D19" s="84">
        <f t="shared" si="11"/>
        <v>13.318507367556441</v>
      </c>
      <c r="E19" s="84">
        <f>J19-SUM(I$7:I19)</f>
        <v>-1.3559451419236395</v>
      </c>
      <c r="F19" s="13">
        <f t="shared" si="12"/>
        <v>0.15</v>
      </c>
      <c r="G19" s="13">
        <f t="shared" si="13"/>
        <v>1</v>
      </c>
      <c r="H19" s="13">
        <f t="shared" si="14"/>
        <v>1</v>
      </c>
      <c r="I19" s="20">
        <f>I18+(I35-I15)/20</f>
        <v>0.15</v>
      </c>
      <c r="J19" s="13">
        <f t="shared" si="15"/>
        <v>-0.60594514192363946</v>
      </c>
      <c r="K19" s="13"/>
      <c r="L19" s="84">
        <f t="shared" si="17"/>
        <v>22.944006786837907</v>
      </c>
      <c r="M19" s="13">
        <f t="shared" si="7"/>
        <v>21.433378729579367</v>
      </c>
      <c r="N19" s="13">
        <f t="shared" si="8"/>
        <v>2023.010572319427</v>
      </c>
      <c r="O19" s="13">
        <f t="shared" si="9"/>
        <v>2017.9909824422336</v>
      </c>
      <c r="P19" s="13">
        <f>1/Canada!R92</f>
        <v>1.1030641513540416</v>
      </c>
      <c r="Q19" s="13"/>
      <c r="R19">
        <v>2024</v>
      </c>
      <c r="S19" s="13">
        <v>17.071902937960569</v>
      </c>
      <c r="T19" s="13">
        <v>14.73318377422464</v>
      </c>
      <c r="U19" s="13">
        <v>12.966505021792452</v>
      </c>
      <c r="W19">
        <v>2024</v>
      </c>
      <c r="X19" s="12">
        <v>7.2217494057188967</v>
      </c>
      <c r="Y19" s="13">
        <f t="shared" si="16"/>
        <v>14.73318377422464</v>
      </c>
      <c r="Z19" s="12">
        <v>23.107724070919321</v>
      </c>
      <c r="AA19" s="13"/>
      <c r="AB19" s="13">
        <f t="shared" si="3"/>
        <v>28.049514477473753</v>
      </c>
      <c r="AC19" s="13"/>
      <c r="AE19" s="33">
        <f t="shared" si="0"/>
        <v>-0.27560746465713226</v>
      </c>
      <c r="AG19">
        <v>15</v>
      </c>
      <c r="AH19">
        <v>0</v>
      </c>
      <c r="AI19">
        <v>0</v>
      </c>
      <c r="AK19">
        <v>2024</v>
      </c>
      <c r="AS19" s="13">
        <f t="shared" si="1"/>
        <v>1.3088486417548735</v>
      </c>
      <c r="AT19" s="13">
        <f>'Global EV uptake'!C75</f>
        <v>30.766875783016317</v>
      </c>
      <c r="AU19" s="3">
        <v>140</v>
      </c>
      <c r="AV19" s="13"/>
      <c r="AY19" s="41"/>
      <c r="BC19" s="13"/>
      <c r="BD19">
        <v>2024</v>
      </c>
      <c r="BG19" s="13">
        <f>'Country Vehicle Prices'!E96</f>
        <v>1.2630683852822986</v>
      </c>
      <c r="BJ19" s="72">
        <v>19.973113198536648</v>
      </c>
    </row>
    <row r="20" spans="1:62">
      <c r="A20" s="14">
        <v>2025</v>
      </c>
      <c r="B20" s="13"/>
      <c r="C20" s="20">
        <f t="shared" si="19"/>
        <v>18.62032881779167</v>
      </c>
      <c r="D20" s="84">
        <f t="shared" si="11"/>
        <v>17.561040039975094</v>
      </c>
      <c r="E20" s="84">
        <f>J20-SUM(I$7:I20)</f>
        <v>-0.99376101693608687</v>
      </c>
      <c r="F20" s="13">
        <f t="shared" si="12"/>
        <v>0.15</v>
      </c>
      <c r="G20" s="13">
        <f t="shared" si="13"/>
        <v>1</v>
      </c>
      <c r="H20" s="13">
        <f t="shared" si="14"/>
        <v>1</v>
      </c>
      <c r="I20" s="20">
        <f>I19+(I35-I15)/20</f>
        <v>0.15</v>
      </c>
      <c r="J20" s="13">
        <f t="shared" si="15"/>
        <v>-9.3761016936086891E-2</v>
      </c>
      <c r="K20" s="13"/>
      <c r="L20" s="84">
        <f t="shared" si="17"/>
        <v>30.977498686764058</v>
      </c>
      <c r="M20" s="13">
        <f t="shared" si="7"/>
        <v>28.049514477473753</v>
      </c>
      <c r="N20" s="13">
        <f t="shared" si="8"/>
        <v>2024.3927466605469</v>
      </c>
      <c r="O20" s="13">
        <f t="shared" si="9"/>
        <v>2017.6088081011137</v>
      </c>
      <c r="P20" s="13">
        <f>1/Canada!R93</f>
        <v>1.0676248209280474</v>
      </c>
      <c r="Q20" s="13"/>
      <c r="R20" s="87">
        <v>2025</v>
      </c>
      <c r="S20" s="13">
        <v>21.111133127094273</v>
      </c>
      <c r="T20" s="13">
        <v>18.62032881779167</v>
      </c>
      <c r="U20" s="13">
        <v>16.405710325774656</v>
      </c>
      <c r="W20" s="87">
        <v>2025</v>
      </c>
      <c r="X20" s="12">
        <v>8.8099030842553905</v>
      </c>
      <c r="Y20" s="13">
        <f t="shared" si="16"/>
        <v>18.62032881779167</v>
      </c>
      <c r="Z20" s="12">
        <v>28.588893697232745</v>
      </c>
      <c r="AA20" s="13"/>
      <c r="AB20" s="13">
        <f t="shared" si="3"/>
        <v>35.064221343803105</v>
      </c>
      <c r="AC20" s="13"/>
      <c r="AE20" s="33">
        <f t="shared" si="0"/>
        <v>0.15812690005829211</v>
      </c>
      <c r="AG20">
        <v>16</v>
      </c>
      <c r="AH20">
        <v>0</v>
      </c>
      <c r="AI20">
        <v>0</v>
      </c>
      <c r="AK20">
        <v>2025</v>
      </c>
      <c r="AS20" s="13">
        <f t="shared" si="1"/>
        <v>1.2630683852822986</v>
      </c>
      <c r="AT20" s="13">
        <f>'Global EV uptake'!C76</f>
        <v>38.544427268869043</v>
      </c>
      <c r="AU20" s="3">
        <v>140</v>
      </c>
      <c r="AV20" s="13"/>
      <c r="AY20" s="41"/>
      <c r="BC20" s="13"/>
      <c r="BD20">
        <v>2025</v>
      </c>
      <c r="BG20" s="13">
        <f>'Country Vehicle Prices'!E97</f>
        <v>1.223938705767728</v>
      </c>
      <c r="BJ20" s="72">
        <v>29.742529601594811</v>
      </c>
    </row>
    <row r="21" spans="1:62">
      <c r="A21">
        <v>2026</v>
      </c>
      <c r="B21" s="13"/>
      <c r="C21" s="13">
        <f t="shared" si="19"/>
        <v>22.928622096889296</v>
      </c>
      <c r="D21" s="84">
        <f t="shared" si="11"/>
        <v>21.800170805996828</v>
      </c>
      <c r="E21" s="84">
        <f>J21-SUM(I$7:I21)</f>
        <v>-0.68391873649791102</v>
      </c>
      <c r="F21" s="13">
        <f t="shared" si="12"/>
        <v>0.15</v>
      </c>
      <c r="G21" s="13">
        <f>IF(H21&lt;0,0,H21)</f>
        <v>1</v>
      </c>
      <c r="H21" s="13">
        <f t="shared" si="14"/>
        <v>1</v>
      </c>
      <c r="I21" s="20">
        <f>I20+(I35-I15)/20</f>
        <v>0.15</v>
      </c>
      <c r="J21" s="13">
        <f t="shared" si="15"/>
        <v>0.36608126350208903</v>
      </c>
      <c r="K21" s="13"/>
      <c r="L21" s="84">
        <f t="shared" si="17"/>
        <v>38.383262791613319</v>
      </c>
      <c r="M21" s="13">
        <f t="shared" si="7"/>
        <v>41.846485993743983</v>
      </c>
      <c r="N21" s="13">
        <f t="shared" si="8"/>
        <v>2025.6306028496226</v>
      </c>
      <c r="O21" s="13">
        <f t="shared" si="9"/>
        <v>2017.370951912038</v>
      </c>
      <c r="P21" s="13">
        <f>1/Canada!R94</f>
        <v>1.0455682274534055</v>
      </c>
      <c r="Q21" s="13"/>
      <c r="R21">
        <v>2026</v>
      </c>
      <c r="S21" s="13">
        <v>25.611704015140031</v>
      </c>
      <c r="T21" s="13">
        <v>22.928622096889296</v>
      </c>
      <c r="U21" s="13">
        <v>20.351520423760228</v>
      </c>
      <c r="W21">
        <v>2026</v>
      </c>
      <c r="X21" s="12">
        <v>10.730548676468574</v>
      </c>
      <c r="Y21" s="13">
        <f>T21</f>
        <v>22.928622096889296</v>
      </c>
      <c r="Z21" s="12">
        <v>34.266296508125741</v>
      </c>
      <c r="AA21" s="13"/>
      <c r="AB21" s="13">
        <f t="shared" si="3"/>
        <v>41.846485993743983</v>
      </c>
      <c r="AC21" s="13"/>
      <c r="AE21" s="33">
        <f t="shared" si="0"/>
        <v>0.59186126477371648</v>
      </c>
      <c r="AG21">
        <v>17</v>
      </c>
      <c r="AH21">
        <v>0</v>
      </c>
      <c r="AI21">
        <v>0</v>
      </c>
      <c r="AK21">
        <v>2026</v>
      </c>
      <c r="AS21" s="13">
        <f t="shared" si="1"/>
        <v>1.223938705767728</v>
      </c>
      <c r="AT21" s="13">
        <f>'Global EV uptake'!C77</f>
        <v>45.825790417369525</v>
      </c>
      <c r="AU21" s="3">
        <v>140</v>
      </c>
      <c r="AV21" s="13"/>
      <c r="AY21" s="41"/>
      <c r="BC21" s="13"/>
      <c r="BD21">
        <v>2026</v>
      </c>
      <c r="BG21" s="13">
        <f>'Country Vehicle Prices'!E98</f>
        <v>1.2022218647686613</v>
      </c>
      <c r="BJ21" s="72">
        <v>40.041068257453986</v>
      </c>
    </row>
    <row r="22" spans="1:62">
      <c r="A22">
        <v>2027</v>
      </c>
      <c r="B22" s="13"/>
      <c r="C22" s="13">
        <f t="shared" si="19"/>
        <v>27.665322089276572</v>
      </c>
      <c r="D22" s="84">
        <f t="shared" si="11"/>
        <v>26.70628872909931</v>
      </c>
      <c r="E22" s="84">
        <f>J22-SUM(I$7:I22)</f>
        <v>-0.3603866155248916</v>
      </c>
      <c r="F22" s="13">
        <f t="shared" si="12"/>
        <v>0.15</v>
      </c>
      <c r="G22" s="13">
        <f t="shared" si="13"/>
        <v>1</v>
      </c>
      <c r="H22" s="13">
        <f t="shared" si="14"/>
        <v>1</v>
      </c>
      <c r="I22" s="20">
        <f>I21+(I35-I15)/20</f>
        <v>0.15</v>
      </c>
      <c r="J22" s="13">
        <f t="shared" si="15"/>
        <v>0.83961338447510836</v>
      </c>
      <c r="K22" s="13"/>
      <c r="L22" s="84">
        <f t="shared" si="17"/>
        <v>45.394945963720787</v>
      </c>
      <c r="M22" s="13">
        <f t="shared" si="7"/>
        <v>47.843973203094116</v>
      </c>
      <c r="N22" s="13">
        <f t="shared" si="8"/>
        <v>2026.8441466443101</v>
      </c>
      <c r="O22" s="13">
        <f t="shared" si="9"/>
        <v>2017.1574081173505</v>
      </c>
      <c r="P22" s="13">
        <f>1/Canada!R95</f>
        <v>1.0257661416352613</v>
      </c>
      <c r="Q22" s="13"/>
      <c r="R22">
        <v>2027</v>
      </c>
      <c r="S22" s="13">
        <v>30.543217175725403</v>
      </c>
      <c r="T22" s="13">
        <v>27.665322089276572</v>
      </c>
      <c r="U22" s="13">
        <v>24.916159195143528</v>
      </c>
      <c r="W22">
        <v>2027</v>
      </c>
      <c r="X22" s="12">
        <v>13.049030893359852</v>
      </c>
      <c r="Y22" s="13">
        <f t="shared" si="16"/>
        <v>27.665322089276572</v>
      </c>
      <c r="Z22" s="12">
        <v>40.011407234990422</v>
      </c>
      <c r="AA22" s="13"/>
      <c r="AB22" s="13">
        <f t="shared" si="3"/>
        <v>47.843973203094116</v>
      </c>
      <c r="AC22" s="13"/>
      <c r="AE22" s="33">
        <f t="shared" si="0"/>
        <v>1.0255956294891408</v>
      </c>
      <c r="AG22">
        <v>18</v>
      </c>
      <c r="AH22">
        <v>0</v>
      </c>
      <c r="AI22">
        <v>0</v>
      </c>
      <c r="AK22">
        <v>2027</v>
      </c>
      <c r="AS22" s="13">
        <f t="shared" si="1"/>
        <v>1.2022218647686613</v>
      </c>
      <c r="AT22" s="13">
        <f>'Global EV uptake'!C78</f>
        <v>51.906454915807629</v>
      </c>
      <c r="AU22" s="3">
        <v>140</v>
      </c>
      <c r="AV22" s="13"/>
      <c r="AY22" s="41"/>
      <c r="BC22" s="13"/>
      <c r="BD22">
        <v>2027</v>
      </c>
      <c r="BG22" s="13">
        <f>'Country Vehicle Prices'!E99</f>
        <v>1.1804767489222365</v>
      </c>
      <c r="BJ22" s="72">
        <v>48.954310991016101</v>
      </c>
    </row>
    <row r="23" spans="1:62">
      <c r="A23">
        <v>2028</v>
      </c>
      <c r="B23" s="13"/>
      <c r="C23" s="13">
        <f t="shared" si="19"/>
        <v>32.647000337788334</v>
      </c>
      <c r="D23" s="84">
        <f t="shared" si="11"/>
        <v>33.107865707627234</v>
      </c>
      <c r="E23" s="84">
        <f>J23-SUM(I$7:I23)</f>
        <v>3.7411483344243601E-2</v>
      </c>
      <c r="F23" s="13">
        <f t="shared" si="12"/>
        <v>0.15</v>
      </c>
      <c r="G23" s="13">
        <f t="shared" si="13"/>
        <v>1</v>
      </c>
      <c r="H23" s="13">
        <f t="shared" si="14"/>
        <v>1</v>
      </c>
      <c r="I23" s="20">
        <f>I22+(I35-I15)/20</f>
        <v>0.15</v>
      </c>
      <c r="J23" s="13">
        <f t="shared" si="15"/>
        <v>1.3874114833442435</v>
      </c>
      <c r="K23" s="13"/>
      <c r="L23" s="84">
        <f t="shared" si="17"/>
        <v>52.011614177588662</v>
      </c>
      <c r="M23" s="13">
        <f t="shared" si="7"/>
        <v>52.742961554175409</v>
      </c>
      <c r="N23" s="13">
        <f t="shared" si="8"/>
        <v>2028.0758020463109</v>
      </c>
      <c r="O23" s="13">
        <f t="shared" si="9"/>
        <v>2016.9257527153497</v>
      </c>
      <c r="P23" s="13">
        <f>1/Canada!R96</f>
        <v>1.0042845520748136</v>
      </c>
      <c r="Q23" s="13"/>
      <c r="R23">
        <v>2028</v>
      </c>
      <c r="S23" s="13">
        <v>35.464273615517129</v>
      </c>
      <c r="T23" s="13">
        <v>32.647000337788334</v>
      </c>
      <c r="U23" s="13">
        <v>29.6537841443654</v>
      </c>
      <c r="W23">
        <v>2028</v>
      </c>
      <c r="X23" s="12">
        <v>15.750532097733316</v>
      </c>
      <c r="Y23" s="13">
        <f t="shared" si="16"/>
        <v>32.647000337788334</v>
      </c>
      <c r="Z23" s="12">
        <v>45.386098871457811</v>
      </c>
      <c r="AA23" s="13"/>
      <c r="AB23" s="13">
        <f t="shared" si="3"/>
        <v>52.742961554175409</v>
      </c>
      <c r="AC23" s="13"/>
      <c r="AE23" s="33">
        <f t="shared" si="0"/>
        <v>1.4593299942045661</v>
      </c>
      <c r="AG23">
        <v>19</v>
      </c>
      <c r="AH23">
        <v>0</v>
      </c>
      <c r="AI23">
        <v>0</v>
      </c>
      <c r="AK23">
        <v>2028</v>
      </c>
      <c r="AS23" s="13">
        <f t="shared" si="1"/>
        <v>1.1804767489222365</v>
      </c>
      <c r="AT23" s="13">
        <f>'Global EV uptake'!C79</f>
        <v>56.326745165258494</v>
      </c>
      <c r="AU23" s="3">
        <v>140</v>
      </c>
      <c r="AV23" s="13"/>
      <c r="AY23" s="41"/>
      <c r="BC23" s="13"/>
      <c r="BD23">
        <v>2028</v>
      </c>
      <c r="BG23" s="13">
        <f>'Country Vehicle Prices'!E100</f>
        <v>1.1558174976438589</v>
      </c>
      <c r="BJ23" s="72">
        <v>55.444132650328918</v>
      </c>
    </row>
    <row r="24" spans="1:62">
      <c r="A24">
        <v>2029</v>
      </c>
      <c r="B24" s="13"/>
      <c r="C24" s="13">
        <f t="shared" si="19"/>
        <v>37.740478997781011</v>
      </c>
      <c r="D24" s="84">
        <f t="shared" si="11"/>
        <v>38.051950467838822</v>
      </c>
      <c r="E24" s="84">
        <f>J24-SUM(I$7:I24)</f>
        <v>0.34504142248551872</v>
      </c>
      <c r="F24" s="13">
        <f t="shared" si="12"/>
        <v>0.15</v>
      </c>
      <c r="G24" s="13">
        <f t="shared" si="13"/>
        <v>1</v>
      </c>
      <c r="H24" s="13">
        <f t="shared" si="14"/>
        <v>1</v>
      </c>
      <c r="I24" s="20">
        <f>I23+(I35-I15)/20</f>
        <v>0.15</v>
      </c>
      <c r="J24" s="13">
        <f t="shared" si="15"/>
        <v>1.8450414224855185</v>
      </c>
      <c r="K24" s="13"/>
      <c r="L24" s="84">
        <f t="shared" si="17"/>
        <v>56.130350725484881</v>
      </c>
      <c r="M24" s="13">
        <f t="shared" si="7"/>
        <v>56.491794590116669</v>
      </c>
      <c r="N24" s="13">
        <f t="shared" si="8"/>
        <v>2029.2855447119948</v>
      </c>
      <c r="O24" s="13">
        <f t="shared" si="9"/>
        <v>2016.7160100496658</v>
      </c>
      <c r="P24" s="13">
        <f>1/Canada!R97</f>
        <v>0.98483494797053583</v>
      </c>
      <c r="Q24" s="13"/>
      <c r="R24">
        <v>2029</v>
      </c>
      <c r="S24" s="13">
        <v>40.23884318204739</v>
      </c>
      <c r="T24" s="13">
        <v>37.740478997781011</v>
      </c>
      <c r="U24" s="13">
        <v>34.450965595294917</v>
      </c>
      <c r="W24">
        <v>2029</v>
      </c>
      <c r="X24" s="12">
        <v>18.808840329094295</v>
      </c>
      <c r="Y24" s="13">
        <f t="shared" si="16"/>
        <v>37.740478997781011</v>
      </c>
      <c r="Z24" s="12">
        <v>50.257016981380318</v>
      </c>
      <c r="AA24" s="13"/>
      <c r="AB24" s="13">
        <f t="shared" si="3"/>
        <v>56.491794590116669</v>
      </c>
      <c r="AC24" s="13"/>
      <c r="AE24" s="33">
        <f t="shared" si="0"/>
        <v>1.8930643589199896</v>
      </c>
      <c r="AG24">
        <v>20</v>
      </c>
      <c r="AH24">
        <v>0</v>
      </c>
      <c r="AI24">
        <v>0</v>
      </c>
      <c r="AK24">
        <v>2029</v>
      </c>
      <c r="AS24" s="13">
        <f t="shared" si="1"/>
        <v>1.1558174976438589</v>
      </c>
      <c r="AT24" s="13">
        <f>'Global EV uptake'!C80</f>
        <v>59.39095758619905</v>
      </c>
      <c r="AU24" s="3">
        <v>140</v>
      </c>
      <c r="AV24" s="13"/>
      <c r="AY24" s="41"/>
      <c r="BC24" s="13"/>
      <c r="BD24">
        <v>2029</v>
      </c>
      <c r="BG24" s="13">
        <f>'Country Vehicle Prices'!E101</f>
        <v>1.1340175648183337</v>
      </c>
      <c r="BJ24" s="72">
        <v>59.598698904763168</v>
      </c>
    </row>
    <row r="25" spans="1:62">
      <c r="A25" s="14">
        <v>2030</v>
      </c>
      <c r="B25" s="13"/>
      <c r="C25" s="20">
        <f t="shared" si="19"/>
        <v>42.580692937590193</v>
      </c>
      <c r="D25" s="84">
        <f t="shared" si="11"/>
        <v>43.111431506842273</v>
      </c>
      <c r="E25" s="84">
        <f>J25-SUM(I$7:I25)</f>
        <v>0.67782368019296801</v>
      </c>
      <c r="F25" s="13">
        <f t="shared" si="12"/>
        <v>0.15</v>
      </c>
      <c r="G25" s="13">
        <f t="shared" si="13"/>
        <v>1</v>
      </c>
      <c r="H25" s="13">
        <f t="shared" si="14"/>
        <v>1</v>
      </c>
      <c r="I25" s="20">
        <f>I24+(I35-I15)/20</f>
        <v>0.15</v>
      </c>
      <c r="J25" s="13">
        <f t="shared" si="15"/>
        <v>2.3278236801929677</v>
      </c>
      <c r="K25" s="13"/>
      <c r="L25" s="84">
        <f t="shared" si="17"/>
        <v>59.225095695368147</v>
      </c>
      <c r="M25" s="13">
        <f t="shared" si="7"/>
        <v>61.132855546813104</v>
      </c>
      <c r="N25" s="13">
        <f t="shared" si="8"/>
        <v>2030.5177129984165</v>
      </c>
      <c r="O25" s="13">
        <f t="shared" si="9"/>
        <v>2016.4838417632441</v>
      </c>
      <c r="P25" s="13">
        <f>1/Canada!R98</f>
        <v>0.96330579823007001</v>
      </c>
      <c r="Q25" s="13"/>
      <c r="R25" s="87">
        <v>2030</v>
      </c>
      <c r="S25" s="13">
        <v>44.593946753355077</v>
      </c>
      <c r="T25" s="13">
        <v>42.580692937590193</v>
      </c>
      <c r="U25" s="13">
        <v>39.045338128789645</v>
      </c>
      <c r="W25" s="87">
        <v>2030</v>
      </c>
      <c r="X25" s="12">
        <v>22.207024093723611</v>
      </c>
      <c r="Y25" s="13">
        <f t="shared" si="16"/>
        <v>42.580692937590193</v>
      </c>
      <c r="Z25" s="12">
        <v>54.24433230615103</v>
      </c>
      <c r="AA25" s="13"/>
      <c r="AB25" s="13">
        <f t="shared" si="3"/>
        <v>59.219700270067449</v>
      </c>
      <c r="AC25" s="13"/>
      <c r="AE25" s="33">
        <f t="shared" si="0"/>
        <v>2.3267987236354131</v>
      </c>
      <c r="AG25">
        <v>21</v>
      </c>
      <c r="AH25">
        <v>0</v>
      </c>
      <c r="AI25">
        <v>0</v>
      </c>
      <c r="AK25">
        <v>2030</v>
      </c>
      <c r="AS25" s="13">
        <f t="shared" si="1"/>
        <v>1.1340175648183337</v>
      </c>
      <c r="AT25" s="13">
        <f>'Global EV uptake'!C81</f>
        <v>61.451030793898077</v>
      </c>
      <c r="AU25" s="3">
        <v>140</v>
      </c>
      <c r="AV25" s="13"/>
      <c r="AY25" s="41"/>
      <c r="BC25" s="13"/>
      <c r="BD25">
        <v>2030</v>
      </c>
      <c r="BG25" s="13">
        <f>'Country Vehicle Prices'!E102</f>
        <v>1.109304624040347</v>
      </c>
      <c r="BJ25" s="72">
        <v>62.043323866853413</v>
      </c>
    </row>
    <row r="26" spans="1:62">
      <c r="A26">
        <v>2031</v>
      </c>
      <c r="C26" s="13">
        <f t="shared" si="19"/>
        <v>47.009867346596209</v>
      </c>
      <c r="D26" s="84">
        <f>65*EXP(E26)/(1+EXP(E26))</f>
        <v>48.190255107138803</v>
      </c>
      <c r="E26" s="84">
        <f>J26-SUM(I$7:I26)</f>
        <v>1.0531980530258382</v>
      </c>
      <c r="F26" s="13">
        <f t="shared" si="12"/>
        <v>0.15</v>
      </c>
      <c r="G26" s="13">
        <f t="shared" si="13"/>
        <v>1</v>
      </c>
      <c r="H26" s="13">
        <f t="shared" si="14"/>
        <v>1</v>
      </c>
      <c r="I26" s="20">
        <f>I25+(I35-I15)/20</f>
        <v>0.15</v>
      </c>
      <c r="J26" s="13">
        <f t="shared" si="15"/>
        <v>2.8531980530258378</v>
      </c>
      <c r="K26" s="13"/>
      <c r="L26" s="84">
        <f t="shared" si="17"/>
        <v>61.456444333344301</v>
      </c>
      <c r="M26" s="13">
        <f t="shared" si="7"/>
        <v>62.440168733225129</v>
      </c>
      <c r="N26" s="13">
        <f t="shared" si="8"/>
        <v>2031.5177129984165</v>
      </c>
      <c r="O26" s="13">
        <f t="shared" si="9"/>
        <v>2016.4838417632441</v>
      </c>
      <c r="P26" s="13">
        <f>P25</f>
        <v>0.96330579823007001</v>
      </c>
      <c r="R26">
        <v>2031</v>
      </c>
      <c r="S26" s="13">
        <v>48.553563954375612</v>
      </c>
      <c r="T26" s="13">
        <v>47.009867346596209</v>
      </c>
      <c r="U26" s="13">
        <v>43.402526254635013</v>
      </c>
      <c r="W26">
        <v>2031</v>
      </c>
      <c r="X26" s="12">
        <v>25.900970682546212</v>
      </c>
      <c r="Y26" s="13">
        <f t="shared" si="16"/>
        <v>47.009867346596209</v>
      </c>
      <c r="Z26" s="12">
        <v>57.447859031727312</v>
      </c>
      <c r="AB26" s="13">
        <f t="shared" si="3"/>
        <v>61.132855546813104</v>
      </c>
      <c r="AC26" s="13"/>
      <c r="AE26" s="33">
        <f t="shared" si="0"/>
        <v>2.7605330883508383</v>
      </c>
      <c r="AG26">
        <v>22</v>
      </c>
      <c r="AH26">
        <v>0</v>
      </c>
      <c r="AI26">
        <v>0</v>
      </c>
      <c r="AK26">
        <v>2031</v>
      </c>
      <c r="BJ26" s="72">
        <v>63.411012512288153</v>
      </c>
    </row>
    <row r="27" spans="1:62">
      <c r="A27">
        <v>2032</v>
      </c>
      <c r="C27" s="13">
        <f t="shared" si="19"/>
        <v>50.758278508185988</v>
      </c>
      <c r="D27" s="84">
        <f t="shared" si="11"/>
        <v>53.215390659923848</v>
      </c>
      <c r="E27" s="84">
        <f>J27-SUM(I$7:I27)</f>
        <v>1.5075532657008333</v>
      </c>
      <c r="F27" s="13">
        <f t="shared" si="12"/>
        <v>0.15</v>
      </c>
      <c r="G27" s="13">
        <f t="shared" si="13"/>
        <v>1</v>
      </c>
      <c r="H27" s="13">
        <f t="shared" si="14"/>
        <v>1</v>
      </c>
      <c r="I27" s="20">
        <f>I26+(I35-I15)/20</f>
        <v>0.15</v>
      </c>
      <c r="J27" s="13">
        <f t="shared" si="15"/>
        <v>3.4575532657008328</v>
      </c>
      <c r="K27" s="13"/>
      <c r="L27" s="84">
        <f t="shared" si="17"/>
        <v>63.014613906897566</v>
      </c>
      <c r="M27" s="13">
        <f t="shared" si="7"/>
        <v>63.317698052510366</v>
      </c>
      <c r="N27" s="13">
        <f t="shared" si="8"/>
        <v>2032.5177129984165</v>
      </c>
      <c r="O27" s="13">
        <f t="shared" si="9"/>
        <v>2016.4838417632441</v>
      </c>
      <c r="P27" s="13">
        <f t="shared" ref="P27:P50" si="20">P26</f>
        <v>0.96330579823007001</v>
      </c>
      <c r="R27">
        <v>2032</v>
      </c>
      <c r="S27" s="13">
        <v>52.001863988427786</v>
      </c>
      <c r="T27" s="13">
        <v>50.758278508185988</v>
      </c>
      <c r="U27" s="13">
        <v>47.376518045897377</v>
      </c>
      <c r="W27">
        <v>2032</v>
      </c>
      <c r="X27" s="12">
        <v>29.817486207603622</v>
      </c>
      <c r="Y27" s="13">
        <f t="shared" si="16"/>
        <v>50.758278508185988</v>
      </c>
      <c r="Z27" s="12">
        <v>59.709720076335614</v>
      </c>
      <c r="AB27" s="13">
        <f t="shared" si="3"/>
        <v>62.440168733225129</v>
      </c>
      <c r="AC27" s="13"/>
      <c r="AE27" s="33">
        <f t="shared" si="0"/>
        <v>3.1942674530662636</v>
      </c>
      <c r="AG27">
        <v>23</v>
      </c>
      <c r="AH27">
        <v>0</v>
      </c>
      <c r="AI27">
        <v>0</v>
      </c>
      <c r="AK27">
        <v>2032</v>
      </c>
      <c r="BJ27" s="72">
        <v>64.154660637553505</v>
      </c>
    </row>
    <row r="28" spans="1:62">
      <c r="A28">
        <v>2033</v>
      </c>
      <c r="C28" s="13">
        <f t="shared" si="19"/>
        <v>53.985948552210502</v>
      </c>
      <c r="D28" s="84">
        <f t="shared" si="11"/>
        <v>55.681668384661094</v>
      </c>
      <c r="E28" s="84">
        <f>J28-SUM(I$7:I28)</f>
        <v>1.7876673779388885</v>
      </c>
      <c r="F28" s="13">
        <f t="shared" si="12"/>
        <v>0.15</v>
      </c>
      <c r="G28" s="13">
        <f t="shared" si="13"/>
        <v>1</v>
      </c>
      <c r="H28" s="13">
        <f t="shared" si="14"/>
        <v>1</v>
      </c>
      <c r="I28" s="20">
        <f>I27+(I35-I15)/20</f>
        <v>0.15</v>
      </c>
      <c r="J28" s="13">
        <f t="shared" si="15"/>
        <v>3.8876673779388882</v>
      </c>
      <c r="K28" s="13"/>
      <c r="L28" s="84">
        <f t="shared" si="17"/>
        <v>63.694698619539771</v>
      </c>
      <c r="M28" s="13">
        <f t="shared" si="7"/>
        <v>63.899704744056265</v>
      </c>
      <c r="N28" s="13">
        <f t="shared" si="8"/>
        <v>2033.5177129984165</v>
      </c>
      <c r="O28" s="13">
        <f t="shared" si="9"/>
        <v>2016.4838417632441</v>
      </c>
      <c r="P28" s="13">
        <f t="shared" si="20"/>
        <v>0.96330579823007001</v>
      </c>
      <c r="R28">
        <v>2033</v>
      </c>
      <c r="S28" s="13">
        <v>54.829577792887257</v>
      </c>
      <c r="T28" s="13">
        <v>53.985948552210502</v>
      </c>
      <c r="U28" s="13">
        <v>50.809378469558929</v>
      </c>
      <c r="W28">
        <v>2033</v>
      </c>
      <c r="X28" s="12">
        <v>33.85741573612561</v>
      </c>
      <c r="Y28" s="13">
        <f t="shared" si="16"/>
        <v>53.985948552210502</v>
      </c>
      <c r="Z28" s="12">
        <v>61.350230108796254</v>
      </c>
      <c r="AB28" s="13">
        <f t="shared" si="3"/>
        <v>63.317698052510366</v>
      </c>
      <c r="AC28" s="13"/>
      <c r="AE28" s="33">
        <f t="shared" si="0"/>
        <v>3.6280018177816871</v>
      </c>
      <c r="AG28">
        <v>24</v>
      </c>
      <c r="AH28">
        <v>0</v>
      </c>
      <c r="AI28">
        <v>0</v>
      </c>
      <c r="AK28">
        <v>2033</v>
      </c>
      <c r="BJ28" s="72">
        <v>64.552735303550847</v>
      </c>
    </row>
    <row r="29" spans="1:62">
      <c r="A29">
        <v>2034</v>
      </c>
      <c r="C29" s="13">
        <f t="shared" si="19"/>
        <v>56.636318021438015</v>
      </c>
      <c r="D29" s="84">
        <f t="shared" si="11"/>
        <v>57.710509592141378</v>
      </c>
      <c r="E29" s="84">
        <f>J29-SUM(I$7:I29)</f>
        <v>2.0690056582292118</v>
      </c>
      <c r="F29" s="13">
        <f t="shared" si="12"/>
        <v>0.15</v>
      </c>
      <c r="G29" s="13">
        <f t="shared" si="13"/>
        <v>1</v>
      </c>
      <c r="H29" s="13">
        <f t="shared" si="14"/>
        <v>1</v>
      </c>
      <c r="I29" s="20">
        <f>I28+(I35-I15)/20</f>
        <v>0.15</v>
      </c>
      <c r="J29" s="13">
        <f t="shared" si="15"/>
        <v>4.3190056582292113</v>
      </c>
      <c r="K29" s="13"/>
      <c r="L29" s="84">
        <f t="shared" si="17"/>
        <v>64.146016718714691</v>
      </c>
      <c r="M29" s="13">
        <f t="shared" si="7"/>
        <v>64.282642457883</v>
      </c>
      <c r="N29" s="13">
        <f t="shared" si="8"/>
        <v>2034.5177129984165</v>
      </c>
      <c r="O29" s="13">
        <f t="shared" si="9"/>
        <v>2016.4838417632441</v>
      </c>
      <c r="P29" s="13">
        <f t="shared" si="20"/>
        <v>0.96330579823007001</v>
      </c>
      <c r="R29">
        <v>2034</v>
      </c>
      <c r="S29" s="13">
        <v>56.936202614384847</v>
      </c>
      <c r="T29" s="13">
        <v>56.636318021438015</v>
      </c>
      <c r="U29" s="13">
        <v>53.53238211065068</v>
      </c>
      <c r="W29">
        <v>2034</v>
      </c>
      <c r="X29" s="12">
        <v>37.903887220261318</v>
      </c>
      <c r="Y29" s="13">
        <f t="shared" si="16"/>
        <v>56.636318021438015</v>
      </c>
      <c r="Z29" s="12">
        <v>62.380014669106593</v>
      </c>
      <c r="AB29" s="13">
        <f t="shared" si="3"/>
        <v>63.899704744056265</v>
      </c>
      <c r="AC29" s="13"/>
      <c r="AE29" s="33">
        <f t="shared" si="0"/>
        <v>4.0617361824971105</v>
      </c>
      <c r="AG29">
        <v>25</v>
      </c>
      <c r="AH29">
        <v>0</v>
      </c>
      <c r="AI29">
        <v>0</v>
      </c>
      <c r="AK29">
        <v>2034</v>
      </c>
      <c r="BJ29" s="72">
        <v>64.764044002934043</v>
      </c>
    </row>
    <row r="30" spans="1:62">
      <c r="A30">
        <v>2035</v>
      </c>
      <c r="C30" s="13">
        <f t="shared" si="19"/>
        <v>58.674109188170284</v>
      </c>
      <c r="D30" s="84">
        <f t="shared" si="11"/>
        <v>59.3467438387557</v>
      </c>
      <c r="E30" s="84">
        <f>J30-SUM(I$7:I30)</f>
        <v>2.3511655649604899</v>
      </c>
      <c r="F30" s="13">
        <f t="shared" si="12"/>
        <v>0.15</v>
      </c>
      <c r="G30" s="13">
        <f t="shared" si="13"/>
        <v>1</v>
      </c>
      <c r="H30" s="13">
        <f t="shared" si="14"/>
        <v>1</v>
      </c>
      <c r="I30" s="20">
        <f>I29+(I35-I15)/20</f>
        <v>0.15</v>
      </c>
      <c r="J30" s="13">
        <f t="shared" si="15"/>
        <v>4.7511655649604894</v>
      </c>
      <c r="K30" s="13"/>
      <c r="L30" s="84">
        <f t="shared" si="17"/>
        <v>64.443107350250898</v>
      </c>
      <c r="M30" s="13">
        <f t="shared" si="7"/>
        <v>64.533279110024068</v>
      </c>
      <c r="N30" s="13">
        <f t="shared" si="8"/>
        <v>2035.5177129984165</v>
      </c>
      <c r="O30" s="13">
        <f t="shared" si="9"/>
        <v>2016.4838417632441</v>
      </c>
      <c r="P30" s="13">
        <f t="shared" si="20"/>
        <v>0.96330579823007001</v>
      </c>
      <c r="R30">
        <v>2035</v>
      </c>
      <c r="S30" s="13">
        <v>58.674109188170284</v>
      </c>
      <c r="T30" s="13">
        <v>58.674109188170284</v>
      </c>
      <c r="U30" s="13">
        <v>55.85519497996065</v>
      </c>
      <c r="W30">
        <v>2035</v>
      </c>
      <c r="X30" s="12">
        <v>41.834614920764189</v>
      </c>
      <c r="Y30" s="13">
        <f t="shared" si="16"/>
        <v>58.674109188170284</v>
      </c>
      <c r="Z30" s="12">
        <v>63.101911063603417</v>
      </c>
      <c r="AB30" s="13">
        <f t="shared" si="3"/>
        <v>64.282642457883</v>
      </c>
      <c r="AC30" s="13"/>
      <c r="AE30" s="33">
        <f t="shared" si="0"/>
        <v>4.4954705472125358</v>
      </c>
      <c r="AG30">
        <v>26</v>
      </c>
      <c r="AH30">
        <v>0</v>
      </c>
      <c r="AI30">
        <v>0</v>
      </c>
      <c r="AK30">
        <v>2035</v>
      </c>
      <c r="BJ30" s="72">
        <v>64.875712831579733</v>
      </c>
    </row>
    <row r="31" spans="1:62">
      <c r="A31">
        <v>2036</v>
      </c>
      <c r="C31" s="13">
        <f t="shared" si="19"/>
        <v>60.081095148379987</v>
      </c>
      <c r="D31" s="84">
        <f t="shared" si="11"/>
        <v>60.645640776010424</v>
      </c>
      <c r="E31" s="84">
        <f>J31-SUM(I$7:I31)</f>
        <v>2.6338702939500647</v>
      </c>
      <c r="F31" s="13">
        <f t="shared" si="12"/>
        <v>0.15</v>
      </c>
      <c r="G31" s="13">
        <f t="shared" si="13"/>
        <v>1</v>
      </c>
      <c r="H31" s="13">
        <f t="shared" si="14"/>
        <v>1</v>
      </c>
      <c r="I31" s="20">
        <f>I30+(I35-I15)/20</f>
        <v>0.15</v>
      </c>
      <c r="J31" s="13">
        <f t="shared" si="15"/>
        <v>5.183870293950064</v>
      </c>
      <c r="K31" s="13"/>
      <c r="L31" s="84">
        <f t="shared" si="17"/>
        <v>64.637624254290955</v>
      </c>
      <c r="M31" s="13">
        <f t="shared" si="7"/>
        <v>64.696759229099783</v>
      </c>
      <c r="N31" s="13">
        <f t="shared" si="8"/>
        <v>2036.5177129984165</v>
      </c>
      <c r="O31" s="13">
        <f t="shared" si="9"/>
        <v>2016.4838417632441</v>
      </c>
      <c r="P31" s="13">
        <f t="shared" si="20"/>
        <v>0.96330579823007001</v>
      </c>
      <c r="R31">
        <v>2036</v>
      </c>
      <c r="S31" s="13">
        <v>60.081095148379987</v>
      </c>
      <c r="T31" s="13">
        <v>60.081095148379987</v>
      </c>
      <c r="U31" s="13">
        <v>57.790748587744524</v>
      </c>
      <c r="W31">
        <v>2036</v>
      </c>
      <c r="X31" s="12">
        <v>45.536043271274707</v>
      </c>
      <c r="Y31" s="13">
        <f t="shared" si="16"/>
        <v>60.081095148379987</v>
      </c>
      <c r="Z31" s="12">
        <v>63.556653239966387</v>
      </c>
      <c r="AB31" s="13">
        <f t="shared" si="3"/>
        <v>64.533279110024068</v>
      </c>
      <c r="AC31" s="13"/>
      <c r="AE31" s="33">
        <f t="shared" si="0"/>
        <v>4.9292049119279611</v>
      </c>
      <c r="AG31">
        <v>27</v>
      </c>
      <c r="AH31">
        <v>0</v>
      </c>
      <c r="AI31">
        <v>0</v>
      </c>
      <c r="AK31">
        <v>2036</v>
      </c>
      <c r="BJ31" s="13">
        <v>64.934586509977976</v>
      </c>
    </row>
    <row r="32" spans="1:62">
      <c r="A32">
        <v>2037</v>
      </c>
      <c r="C32" s="13">
        <f t="shared" si="19"/>
        <v>61.202486867669677</v>
      </c>
      <c r="D32" s="84">
        <f t="shared" si="11"/>
        <v>61.66401779143483</v>
      </c>
      <c r="E32" s="84">
        <f>J32-SUM(I$7:I32)</f>
        <v>2.9169334294357849</v>
      </c>
      <c r="F32" s="13">
        <f t="shared" si="12"/>
        <v>0.15</v>
      </c>
      <c r="G32" s="13">
        <f t="shared" si="13"/>
        <v>1</v>
      </c>
      <c r="H32" s="13">
        <f t="shared" si="14"/>
        <v>1</v>
      </c>
      <c r="I32" s="20">
        <f>I31+(I35-I15)/20</f>
        <v>0.15</v>
      </c>
      <c r="J32" s="13">
        <f t="shared" si="15"/>
        <v>5.6169334294357842</v>
      </c>
      <c r="K32" s="13"/>
      <c r="L32" s="84">
        <f t="shared" si="17"/>
        <v>64.76453084234636</v>
      </c>
      <c r="M32" s="13">
        <f t="shared" si="7"/>
        <v>64.80315121019143</v>
      </c>
      <c r="N32" s="13">
        <f t="shared" si="8"/>
        <v>2037.5177129984165</v>
      </c>
      <c r="O32" s="13">
        <f t="shared" si="9"/>
        <v>2016.4838417632441</v>
      </c>
      <c r="P32" s="13">
        <f t="shared" si="20"/>
        <v>0.96330579823007001</v>
      </c>
      <c r="R32">
        <v>2037</v>
      </c>
      <c r="S32" s="13">
        <v>61.202486867669677</v>
      </c>
      <c r="T32" s="13">
        <v>61.202486867669677</v>
      </c>
      <c r="U32" s="13">
        <v>59.371220239027245</v>
      </c>
      <c r="W32">
        <v>2037</v>
      </c>
      <c r="X32" s="12">
        <v>48.916279153071677</v>
      </c>
      <c r="Y32" s="13">
        <f t="shared" si="16"/>
        <v>61.202486867669677</v>
      </c>
      <c r="Z32" s="12">
        <v>63.905081688676411</v>
      </c>
      <c r="AB32" s="13">
        <f t="shared" si="3"/>
        <v>64.696759229099783</v>
      </c>
      <c r="AC32" s="13"/>
      <c r="AE32" s="33">
        <f t="shared" si="0"/>
        <v>5.3629392766433845</v>
      </c>
      <c r="AG32">
        <v>28</v>
      </c>
      <c r="AH32">
        <v>0</v>
      </c>
      <c r="AI32">
        <v>0</v>
      </c>
      <c r="AK32">
        <v>2037</v>
      </c>
      <c r="BJ32" s="13">
        <v>64.965587066195937</v>
      </c>
    </row>
    <row r="33" spans="1:62">
      <c r="A33">
        <v>2038</v>
      </c>
      <c r="C33" s="13">
        <f t="shared" si="19"/>
        <v>62.084966056047946</v>
      </c>
      <c r="D33" s="84">
        <f t="shared" si="11"/>
        <v>62.454793274264681</v>
      </c>
      <c r="E33" s="84">
        <f>J33-SUM(I$7:I33)</f>
        <v>3.2002311125270109</v>
      </c>
      <c r="F33" s="13">
        <f t="shared" si="12"/>
        <v>0.15</v>
      </c>
      <c r="G33" s="13">
        <f t="shared" si="13"/>
        <v>1</v>
      </c>
      <c r="H33" s="13">
        <f t="shared" si="14"/>
        <v>1</v>
      </c>
      <c r="I33" s="20">
        <f>I32+(I35-I15)/20</f>
        <v>0.15</v>
      </c>
      <c r="J33" s="13">
        <f t="shared" si="15"/>
        <v>6.0502311125270101</v>
      </c>
      <c r="K33" s="13"/>
      <c r="L33" s="84">
        <f t="shared" si="17"/>
        <v>64.847134737931498</v>
      </c>
      <c r="M33" s="13">
        <f t="shared" si="7"/>
        <v>64.872289264256466</v>
      </c>
      <c r="N33" s="13">
        <f t="shared" si="8"/>
        <v>2038.5177129984165</v>
      </c>
      <c r="O33" s="13">
        <f t="shared" si="9"/>
        <v>2016.4838417632441</v>
      </c>
      <c r="P33" s="13">
        <f t="shared" si="20"/>
        <v>0.96330579823007001</v>
      </c>
      <c r="R33">
        <v>2038</v>
      </c>
      <c r="S33" s="13">
        <v>62.084966056047946</v>
      </c>
      <c r="T33" s="13">
        <v>62.084966056047946</v>
      </c>
      <c r="U33" s="13">
        <v>60.639910918459165</v>
      </c>
      <c r="W33">
        <v>2038</v>
      </c>
      <c r="X33" s="12">
        <v>51.913838686137524</v>
      </c>
      <c r="Y33" s="13">
        <f t="shared" si="16"/>
        <v>62.084966056047946</v>
      </c>
      <c r="Z33" s="12">
        <v>64.170914783896464</v>
      </c>
      <c r="AB33" s="13">
        <f t="shared" si="3"/>
        <v>64.80315121019143</v>
      </c>
      <c r="AC33" s="13"/>
      <c r="AE33" s="33">
        <f t="shared" si="0"/>
        <v>5.796673641358808</v>
      </c>
      <c r="AG33">
        <v>29</v>
      </c>
      <c r="AH33">
        <v>0</v>
      </c>
      <c r="AI33">
        <v>0</v>
      </c>
      <c r="AK33">
        <v>2038</v>
      </c>
      <c r="BJ33" s="13">
        <v>64.981900031135197</v>
      </c>
    </row>
    <row r="34" spans="1:62">
      <c r="A34">
        <v>2039</v>
      </c>
      <c r="C34" s="13">
        <f t="shared" si="19"/>
        <v>62.772428344001469</v>
      </c>
      <c r="D34" s="84">
        <f t="shared" si="11"/>
        <v>63.06429238139183</v>
      </c>
      <c r="E34" s="84">
        <f>J34-SUM(I$7:I34)</f>
        <v>3.4836817660084769</v>
      </c>
      <c r="F34" s="13">
        <f t="shared" si="12"/>
        <v>0.15</v>
      </c>
      <c r="G34" s="13">
        <f t="shared" si="13"/>
        <v>1</v>
      </c>
      <c r="H34" s="13">
        <f t="shared" si="14"/>
        <v>1</v>
      </c>
      <c r="I34" s="20">
        <f>I33+(I35-I15)/20</f>
        <v>0.15</v>
      </c>
      <c r="J34" s="13">
        <f t="shared" si="15"/>
        <v>6.483681766008476</v>
      </c>
      <c r="K34" s="13"/>
      <c r="L34" s="84">
        <f t="shared" si="17"/>
        <v>64.900820258428269</v>
      </c>
      <c r="M34" s="13">
        <f t="shared" si="7"/>
        <v>64.917175398160026</v>
      </c>
      <c r="N34" s="13">
        <f t="shared" si="8"/>
        <v>2039.5177129984165</v>
      </c>
      <c r="O34" s="13">
        <f t="shared" si="9"/>
        <v>2016.4838417632441</v>
      </c>
      <c r="P34" s="13">
        <f t="shared" si="20"/>
        <v>0.96330579823007001</v>
      </c>
      <c r="R34">
        <v>2039</v>
      </c>
      <c r="S34" s="13">
        <v>62.772428344001469</v>
      </c>
      <c r="T34" s="13">
        <v>62.772428344001469</v>
      </c>
      <c r="U34" s="13">
        <v>61.644148339538731</v>
      </c>
      <c r="W34">
        <v>2039</v>
      </c>
      <c r="X34" s="12">
        <v>54.500481853008289</v>
      </c>
      <c r="Y34" s="13">
        <f t="shared" si="16"/>
        <v>62.772428344001469</v>
      </c>
      <c r="Z34" s="12">
        <v>64.373075568735302</v>
      </c>
      <c r="AB34" s="13">
        <f t="shared" si="3"/>
        <v>64.872289264256466</v>
      </c>
      <c r="AC34" s="13"/>
      <c r="AE34" s="33">
        <f t="shared" si="0"/>
        <v>6.2304080060742333</v>
      </c>
      <c r="AG34">
        <v>30</v>
      </c>
      <c r="AH34">
        <v>0</v>
      </c>
      <c r="AI34">
        <v>0</v>
      </c>
      <c r="AK34">
        <v>2039</v>
      </c>
      <c r="BJ34" s="13">
        <v>64.990481198617289</v>
      </c>
    </row>
    <row r="35" spans="1:62">
      <c r="A35">
        <v>2040</v>
      </c>
      <c r="C35" s="13">
        <f t="shared" si="19"/>
        <v>63.303719333515723</v>
      </c>
      <c r="D35" s="84">
        <f>65*EXP(E35)/(1+EXP(E35))</f>
        <v>63.531410419688868</v>
      </c>
      <c r="E35" s="84">
        <f>J35-SUM(I$7:I35)</f>
        <v>3.7672319648477406</v>
      </c>
      <c r="F35" s="13">
        <f t="shared" si="12"/>
        <v>0.15</v>
      </c>
      <c r="G35" s="13">
        <f t="shared" si="13"/>
        <v>1</v>
      </c>
      <c r="H35" s="13">
        <f t="shared" si="14"/>
        <v>1</v>
      </c>
      <c r="I35" s="89">
        <v>0.15</v>
      </c>
      <c r="J35" s="13">
        <f t="shared" si="15"/>
        <v>6.9172319648477396</v>
      </c>
      <c r="K35" s="13"/>
      <c r="L35" s="84">
        <f t="shared" si="17"/>
        <v>64.935676791550151</v>
      </c>
      <c r="M35" s="13">
        <f t="shared" si="7"/>
        <v>64.946298587949784</v>
      </c>
      <c r="N35" s="13">
        <f t="shared" si="8"/>
        <v>2040.5177129984165</v>
      </c>
      <c r="O35" s="13">
        <f t="shared" si="9"/>
        <v>2016.4838417632441</v>
      </c>
      <c r="P35" s="13">
        <f t="shared" si="20"/>
        <v>0.96330579823007001</v>
      </c>
      <c r="R35" s="87">
        <v>2040</v>
      </c>
      <c r="S35" s="13">
        <v>63.303719333515723</v>
      </c>
      <c r="T35" s="13">
        <v>63.303719333515723</v>
      </c>
      <c r="U35" s="13">
        <v>62.430133667924515</v>
      </c>
      <c r="W35" s="87">
        <v>2040</v>
      </c>
      <c r="X35" s="12">
        <v>56.678303357288677</v>
      </c>
      <c r="Y35" s="13">
        <f t="shared" si="16"/>
        <v>63.303719333515723</v>
      </c>
      <c r="Z35" s="12">
        <v>64.52643819960835</v>
      </c>
      <c r="AB35" s="13">
        <f t="shared" si="3"/>
        <v>64.917175398160026</v>
      </c>
      <c r="AC35" s="13"/>
      <c r="AE35" s="33">
        <f t="shared" si="0"/>
        <v>6.6641423707896585</v>
      </c>
      <c r="AG35">
        <v>31</v>
      </c>
      <c r="AH35">
        <v>0</v>
      </c>
      <c r="AI35">
        <v>0</v>
      </c>
      <c r="AK35">
        <v>2040</v>
      </c>
      <c r="BJ35" s="13">
        <v>64.994994361143299</v>
      </c>
    </row>
    <row r="36" spans="1:62">
      <c r="A36">
        <v>2041</v>
      </c>
      <c r="C36" s="13">
        <f t="shared" si="19"/>
        <v>63.711781098477203</v>
      </c>
      <c r="D36" s="84">
        <f t="shared" si="11"/>
        <v>63.88786391078925</v>
      </c>
      <c r="E36" s="84">
        <f>J36-SUM(I$7:I36)</f>
        <v>4.0508468494729177</v>
      </c>
      <c r="F36" s="13">
        <f t="shared" si="12"/>
        <v>0.15</v>
      </c>
      <c r="G36" s="13">
        <f t="shared" si="13"/>
        <v>1</v>
      </c>
      <c r="H36" s="13">
        <f t="shared" si="14"/>
        <v>1</v>
      </c>
      <c r="I36" s="89">
        <f>I35</f>
        <v>0.15</v>
      </c>
      <c r="J36" s="13">
        <f t="shared" si="15"/>
        <v>7.3508468494729167</v>
      </c>
      <c r="K36" s="13"/>
      <c r="L36" s="84">
        <f t="shared" si="17"/>
        <v>64.958293630747136</v>
      </c>
      <c r="M36" s="13">
        <f t="shared" si="7"/>
        <v>64.965186831583651</v>
      </c>
      <c r="N36" s="13">
        <f t="shared" si="8"/>
        <v>2041.5177129984165</v>
      </c>
      <c r="O36" s="13">
        <f t="shared" si="9"/>
        <v>2016.4838417632441</v>
      </c>
      <c r="P36" s="13">
        <f t="shared" si="20"/>
        <v>0.96330579823007001</v>
      </c>
      <c r="R36">
        <v>2041</v>
      </c>
      <c r="S36" s="13">
        <v>63.711781098477203</v>
      </c>
      <c r="T36" s="13">
        <v>63.711781098477203</v>
      </c>
      <c r="U36" s="13">
        <v>63.039821071030715</v>
      </c>
      <c r="W36">
        <v>2041</v>
      </c>
      <c r="X36" s="12">
        <v>58.472848877702063</v>
      </c>
      <c r="Y36" s="13">
        <f t="shared" si="16"/>
        <v>63.711781098477203</v>
      </c>
      <c r="Z36" s="12">
        <v>64.64256651645961</v>
      </c>
      <c r="AB36" s="13">
        <f t="shared" si="3"/>
        <v>64.946298587949784</v>
      </c>
      <c r="AE36" s="33">
        <f t="shared" si="0"/>
        <v>7.097876735505082</v>
      </c>
      <c r="AG36">
        <v>32</v>
      </c>
      <c r="AH36">
        <v>0</v>
      </c>
      <c r="AI36">
        <v>0</v>
      </c>
      <c r="BJ36" s="13">
        <v>64.997367778316516</v>
      </c>
    </row>
    <row r="37" spans="1:62">
      <c r="A37">
        <v>2042</v>
      </c>
      <c r="C37" s="13">
        <f t="shared" si="19"/>
        <v>64.0237032128707</v>
      </c>
      <c r="D37" s="84">
        <f t="shared" si="11"/>
        <v>64.158979854430441</v>
      </c>
      <c r="E37" s="84">
        <f>J37-SUM(I$7:I37)</f>
        <v>4.3345037283996071</v>
      </c>
      <c r="F37" s="13">
        <f t="shared" si="12"/>
        <v>0.15</v>
      </c>
      <c r="G37" s="13">
        <f t="shared" si="13"/>
        <v>1</v>
      </c>
      <c r="H37" s="13">
        <f t="shared" si="14"/>
        <v>1</v>
      </c>
      <c r="I37" s="89">
        <f t="shared" ref="I37:I50" si="21">I36</f>
        <v>0.15</v>
      </c>
      <c r="J37" s="13">
        <f t="shared" si="15"/>
        <v>7.7845037283996064</v>
      </c>
      <c r="K37" s="13"/>
      <c r="L37" s="84">
        <f t="shared" si="17"/>
        <v>64.972962554562585</v>
      </c>
      <c r="M37" s="13">
        <f t="shared" si="7"/>
        <v>64.97743387580077</v>
      </c>
      <c r="N37" s="13">
        <f t="shared" si="8"/>
        <v>2042.5177129984165</v>
      </c>
      <c r="O37" s="13">
        <f t="shared" si="9"/>
        <v>2016.4838417632441</v>
      </c>
      <c r="P37" s="13">
        <f t="shared" si="20"/>
        <v>0.96330579823007001</v>
      </c>
      <c r="R37">
        <v>2042</v>
      </c>
      <c r="S37" s="13">
        <v>64.0237032128707</v>
      </c>
      <c r="T37" s="13">
        <v>64.0237032128707</v>
      </c>
      <c r="U37" s="13">
        <v>63.509455139262002</v>
      </c>
      <c r="W37">
        <v>2042</v>
      </c>
      <c r="X37" s="12">
        <v>59.924671991975238</v>
      </c>
      <c r="Y37" s="13">
        <f t="shared" si="16"/>
        <v>64.0237032128707</v>
      </c>
      <c r="Z37" s="12">
        <v>64.730377910114129</v>
      </c>
      <c r="AB37" s="13">
        <f t="shared" si="3"/>
        <v>64.965186831583651</v>
      </c>
      <c r="AE37" s="33">
        <f t="shared" si="0"/>
        <v>7.5316111002205055</v>
      </c>
      <c r="AG37">
        <v>33</v>
      </c>
      <c r="AH37">
        <v>0</v>
      </c>
      <c r="AI37">
        <v>0</v>
      </c>
      <c r="BJ37" s="13">
        <v>64.998615866780113</v>
      </c>
    </row>
    <row r="38" spans="1:62">
      <c r="A38">
        <v>2043</v>
      </c>
      <c r="C38" s="13">
        <f t="shared" si="19"/>
        <v>64.261266322583921</v>
      </c>
      <c r="D38" s="84">
        <f t="shared" si="11"/>
        <v>64.364677702610166</v>
      </c>
      <c r="E38" s="84">
        <f>J38-SUM(I$7:I38)</f>
        <v>4.6181878536670924</v>
      </c>
      <c r="F38" s="13">
        <f t="shared" si="12"/>
        <v>0.15</v>
      </c>
      <c r="G38" s="13">
        <f t="shared" si="13"/>
        <v>1</v>
      </c>
      <c r="H38" s="13">
        <f t="shared" si="14"/>
        <v>1</v>
      </c>
      <c r="I38" s="89">
        <f t="shared" si="21"/>
        <v>0.15</v>
      </c>
      <c r="J38" s="13">
        <f t="shared" si="15"/>
        <v>8.2181878536670911</v>
      </c>
      <c r="K38" s="13"/>
      <c r="L38" s="84">
        <f t="shared" si="17"/>
        <v>64.982474008139491</v>
      </c>
      <c r="M38" s="13">
        <f t="shared" si="7"/>
        <v>64.985373460241391</v>
      </c>
      <c r="N38" s="13">
        <f t="shared" si="8"/>
        <v>2043.5177129984165</v>
      </c>
      <c r="O38" s="13">
        <f t="shared" si="9"/>
        <v>2016.4838417632441</v>
      </c>
      <c r="P38" s="13">
        <f t="shared" si="20"/>
        <v>0.96330579823007001</v>
      </c>
      <c r="R38">
        <v>2043</v>
      </c>
      <c r="S38" s="13">
        <v>64.261266322583921</v>
      </c>
      <c r="T38" s="13">
        <v>64.261266322583921</v>
      </c>
      <c r="U38" s="13">
        <v>63.86925081407211</v>
      </c>
      <c r="W38">
        <v>2043</v>
      </c>
      <c r="X38" s="12">
        <v>61.081415806546481</v>
      </c>
      <c r="Y38" s="13">
        <f t="shared" si="16"/>
        <v>64.261266322583921</v>
      </c>
      <c r="Z38" s="12">
        <v>64.796707550575192</v>
      </c>
      <c r="AB38" s="13">
        <f t="shared" si="3"/>
        <v>64.97743387580077</v>
      </c>
      <c r="AE38" s="33">
        <f t="shared" si="0"/>
        <v>7.9653454649359308</v>
      </c>
      <c r="AG38">
        <v>34</v>
      </c>
      <c r="AH38">
        <v>0</v>
      </c>
      <c r="AI38">
        <v>0</v>
      </c>
      <c r="BJ38" s="13">
        <v>64.99927217098039</v>
      </c>
    </row>
    <row r="39" spans="1:62">
      <c r="A39">
        <v>2044</v>
      </c>
      <c r="C39" s="13">
        <f t="shared" si="19"/>
        <v>64.44169361497849</v>
      </c>
      <c r="D39" s="84">
        <f t="shared" si="11"/>
        <v>64.520450146165231</v>
      </c>
      <c r="E39" s="84">
        <f>J39-SUM(I$7:I39)</f>
        <v>4.9018896496845077</v>
      </c>
      <c r="F39" s="13">
        <f t="shared" si="12"/>
        <v>0.15</v>
      </c>
      <c r="G39" s="13">
        <f t="shared" si="13"/>
        <v>1</v>
      </c>
      <c r="H39" s="13">
        <f t="shared" si="14"/>
        <v>1</v>
      </c>
      <c r="I39" s="89">
        <f t="shared" si="21"/>
        <v>0.15</v>
      </c>
      <c r="J39" s="13">
        <f t="shared" si="15"/>
        <v>8.6518896496845059</v>
      </c>
      <c r="K39" s="13"/>
      <c r="L39" s="84">
        <f t="shared" si="17"/>
        <v>64.988640230549507</v>
      </c>
      <c r="M39" s="13">
        <f t="shared" si="7"/>
        <v>64.990520017237287</v>
      </c>
      <c r="N39" s="13">
        <f t="shared" si="8"/>
        <v>2044.5177129984165</v>
      </c>
      <c r="O39" s="13">
        <f t="shared" si="9"/>
        <v>2016.4838417632441</v>
      </c>
      <c r="P39" s="13">
        <f t="shared" si="20"/>
        <v>0.96330579823007001</v>
      </c>
      <c r="R39">
        <v>2044</v>
      </c>
      <c r="S39" s="13">
        <v>64.44169361497849</v>
      </c>
      <c r="T39" s="13">
        <v>64.44169361497849</v>
      </c>
      <c r="U39" s="13">
        <v>64.143749522719105</v>
      </c>
      <c r="W39">
        <v>2044</v>
      </c>
      <c r="X39" s="12">
        <v>61.991644312161931</v>
      </c>
      <c r="Y39" s="13">
        <f t="shared" si="16"/>
        <v>64.44169361497849</v>
      </c>
      <c r="Z39" s="12">
        <v>64.846771084405617</v>
      </c>
      <c r="AB39" s="13">
        <f t="shared" si="3"/>
        <v>64.985373460241391</v>
      </c>
      <c r="AE39" s="33">
        <f t="shared" si="0"/>
        <v>8.399079829651356</v>
      </c>
      <c r="AG39">
        <v>35</v>
      </c>
      <c r="AH39">
        <v>0</v>
      </c>
      <c r="AI39">
        <v>0</v>
      </c>
      <c r="BJ39" s="13">
        <v>64.999617282109867</v>
      </c>
    </row>
    <row r="40" spans="1:62">
      <c r="A40">
        <v>2045</v>
      </c>
      <c r="C40" s="13">
        <f t="shared" si="19"/>
        <v>64.578437230149547</v>
      </c>
      <c r="D40" s="84">
        <f t="shared" si="11"/>
        <v>64.638248075019135</v>
      </c>
      <c r="E40" s="84">
        <f>J40-SUM(I$7:I40)</f>
        <v>5.1856029032288191</v>
      </c>
      <c r="F40" s="13">
        <f t="shared" si="12"/>
        <v>0.15</v>
      </c>
      <c r="G40" s="13">
        <f t="shared" si="13"/>
        <v>1</v>
      </c>
      <c r="H40" s="13">
        <f t="shared" si="14"/>
        <v>1</v>
      </c>
      <c r="I40" s="89">
        <f t="shared" si="21"/>
        <v>0.15</v>
      </c>
      <c r="J40" s="13">
        <f t="shared" si="15"/>
        <v>9.0856029032288177</v>
      </c>
      <c r="K40" s="13"/>
      <c r="L40" s="84">
        <f t="shared" si="17"/>
        <v>64.992637302549923</v>
      </c>
      <c r="M40" s="13">
        <f t="shared" si="7"/>
        <v>64.99385585583434</v>
      </c>
      <c r="N40" s="13">
        <f t="shared" si="8"/>
        <v>2045.5177129984165</v>
      </c>
      <c r="O40" s="13">
        <f t="shared" si="9"/>
        <v>2016.4838417632441</v>
      </c>
      <c r="P40" s="13">
        <f t="shared" si="20"/>
        <v>0.96330579823007001</v>
      </c>
      <c r="R40">
        <v>2045</v>
      </c>
      <c r="S40" s="13">
        <v>64.578437230149547</v>
      </c>
      <c r="T40" s="13">
        <v>64.578437230149547</v>
      </c>
      <c r="U40" s="13">
        <v>64.352505576054611</v>
      </c>
      <c r="W40">
        <v>2045</v>
      </c>
      <c r="X40" s="12">
        <v>62.700777923815807</v>
      </c>
      <c r="Y40" s="13">
        <f t="shared" si="16"/>
        <v>64.578437230149547</v>
      </c>
      <c r="Z40" s="12">
        <v>64.884535048612648</v>
      </c>
      <c r="AB40" s="13">
        <f t="shared" si="3"/>
        <v>64.990520017237287</v>
      </c>
      <c r="AE40" s="33">
        <f t="shared" si="0"/>
        <v>8.8328141943667795</v>
      </c>
      <c r="AG40">
        <v>36</v>
      </c>
      <c r="AH40">
        <v>0</v>
      </c>
      <c r="AI40">
        <v>0</v>
      </c>
      <c r="BJ40" s="13">
        <v>64.999798754088218</v>
      </c>
    </row>
    <row r="41" spans="1:62">
      <c r="A41">
        <v>2046</v>
      </c>
      <c r="C41" s="13">
        <f t="shared" si="19"/>
        <v>64.681907697445993</v>
      </c>
      <c r="D41" s="84">
        <f t="shared" si="11"/>
        <v>64.727234149384358</v>
      </c>
      <c r="E41" s="84">
        <f>J41-SUM(I$7:I41)</f>
        <v>5.4693235844830443</v>
      </c>
      <c r="F41" s="13">
        <f t="shared" si="12"/>
        <v>0.15</v>
      </c>
      <c r="G41" s="13">
        <f t="shared" si="13"/>
        <v>1</v>
      </c>
      <c r="H41" s="13">
        <f t="shared" si="14"/>
        <v>1</v>
      </c>
      <c r="I41" s="89">
        <f t="shared" si="21"/>
        <v>0.15</v>
      </c>
      <c r="J41" s="13">
        <f t="shared" si="15"/>
        <v>9.5193235844830433</v>
      </c>
      <c r="K41" s="13"/>
      <c r="L41" s="84">
        <f t="shared" si="17"/>
        <v>64.995228095231255</v>
      </c>
      <c r="M41" s="13">
        <f t="shared" si="7"/>
        <v>64.99601794363376</v>
      </c>
      <c r="N41" s="13">
        <f t="shared" si="8"/>
        <v>2046.5177129984165</v>
      </c>
      <c r="O41" s="13">
        <f t="shared" si="9"/>
        <v>2016.4838417632441</v>
      </c>
      <c r="P41" s="13">
        <f t="shared" si="20"/>
        <v>0.96330579823007001</v>
      </c>
      <c r="R41">
        <v>2046</v>
      </c>
      <c r="S41" s="13">
        <v>64.681907697445993</v>
      </c>
      <c r="T41" s="13">
        <v>64.681907697445993</v>
      </c>
      <c r="U41" s="13">
        <v>64.510879201886013</v>
      </c>
      <c r="W41">
        <v>2046</v>
      </c>
      <c r="X41" s="12">
        <v>63.248903324774737</v>
      </c>
      <c r="Y41" s="13">
        <f t="shared" si="16"/>
        <v>64.681907697445993</v>
      </c>
      <c r="Z41" s="12">
        <v>64.913008486622942</v>
      </c>
      <c r="AB41" s="13">
        <f t="shared" si="3"/>
        <v>64.99385585583434</v>
      </c>
      <c r="AE41" s="33">
        <f t="shared" si="0"/>
        <v>9.266548559082203</v>
      </c>
      <c r="AG41">
        <v>37</v>
      </c>
      <c r="AH41">
        <v>0</v>
      </c>
      <c r="AI41">
        <v>0</v>
      </c>
      <c r="BJ41" s="13">
        <v>64.99989417828526</v>
      </c>
    </row>
    <row r="42" spans="1:62">
      <c r="A42">
        <v>2047</v>
      </c>
      <c r="C42" s="13">
        <f t="shared" si="19"/>
        <v>64.760106502570267</v>
      </c>
      <c r="D42" s="84">
        <f t="shared" si="11"/>
        <v>64.794401466450921</v>
      </c>
      <c r="E42" s="84">
        <f>J42-SUM(I$7:I42)</f>
        <v>5.7530490804730974</v>
      </c>
      <c r="F42" s="13">
        <f t="shared" si="12"/>
        <v>0.15</v>
      </c>
      <c r="G42" s="13">
        <f t="shared" si="13"/>
        <v>1</v>
      </c>
      <c r="H42" s="13">
        <f t="shared" si="14"/>
        <v>1</v>
      </c>
      <c r="I42" s="89">
        <f t="shared" si="21"/>
        <v>0.15</v>
      </c>
      <c r="J42" s="13">
        <f t="shared" si="15"/>
        <v>9.9530490804730967</v>
      </c>
      <c r="K42" s="13"/>
      <c r="L42" s="84">
        <f t="shared" si="17"/>
        <v>64.996907295696758</v>
      </c>
      <c r="M42" s="13">
        <f t="shared" si="7"/>
        <v>64.997419235802866</v>
      </c>
      <c r="N42" s="13">
        <f t="shared" si="8"/>
        <v>2047.5177129984165</v>
      </c>
      <c r="O42" s="13">
        <f t="shared" si="9"/>
        <v>2016.4838417632441</v>
      </c>
      <c r="P42" s="13">
        <f t="shared" si="20"/>
        <v>0.96330579823007001</v>
      </c>
      <c r="R42">
        <v>2047</v>
      </c>
      <c r="S42" s="13">
        <v>64.760106502570267</v>
      </c>
      <c r="T42" s="13">
        <v>64.760106502570267</v>
      </c>
      <c r="U42" s="13">
        <v>64.630808682129882</v>
      </c>
      <c r="W42">
        <v>2047</v>
      </c>
      <c r="X42" s="12">
        <v>63.669974305163876</v>
      </c>
      <c r="Y42" s="13">
        <f t="shared" si="16"/>
        <v>64.760106502570267</v>
      </c>
      <c r="Z42" s="12">
        <v>64.934339589698425</v>
      </c>
      <c r="AB42" s="13">
        <f t="shared" si="3"/>
        <v>64.99601794363376</v>
      </c>
      <c r="AE42" s="33">
        <f t="shared" si="0"/>
        <v>9.70028292379763</v>
      </c>
      <c r="AG42">
        <v>38</v>
      </c>
      <c r="AH42">
        <v>0</v>
      </c>
      <c r="AI42">
        <v>0</v>
      </c>
      <c r="BJ42" s="13">
        <v>64.999944355503089</v>
      </c>
    </row>
    <row r="43" spans="1:62">
      <c r="A43">
        <v>2048</v>
      </c>
      <c r="C43" s="13">
        <f t="shared" si="19"/>
        <v>64.819152040143607</v>
      </c>
      <c r="D43" s="84">
        <f t="shared" si="11"/>
        <v>64.845069216986573</v>
      </c>
      <c r="E43" s="84">
        <f>J43-SUM(I$7:I43)</f>
        <v>6.0367776972139584</v>
      </c>
      <c r="F43" s="13">
        <f t="shared" si="12"/>
        <v>0.15</v>
      </c>
      <c r="G43" s="13">
        <f t="shared" si="13"/>
        <v>1</v>
      </c>
      <c r="H43" s="13">
        <f t="shared" si="14"/>
        <v>1</v>
      </c>
      <c r="I43" s="89">
        <f t="shared" si="21"/>
        <v>0.15</v>
      </c>
      <c r="J43" s="13">
        <f t="shared" si="15"/>
        <v>10.386777697213958</v>
      </c>
      <c r="K43" s="13"/>
      <c r="L43" s="84">
        <f t="shared" si="17"/>
        <v>64.997995621546195</v>
      </c>
      <c r="M43" s="13">
        <f t="shared" si="7"/>
        <v>64.998327423648036</v>
      </c>
      <c r="N43" s="13">
        <f t="shared" si="8"/>
        <v>2048.5177129984168</v>
      </c>
      <c r="O43" s="13">
        <f t="shared" si="9"/>
        <v>2016.4838417632441</v>
      </c>
      <c r="P43" s="13">
        <f t="shared" si="20"/>
        <v>0.96330579823007001</v>
      </c>
      <c r="R43">
        <v>2048</v>
      </c>
      <c r="S43" s="13">
        <v>64.819152040143607</v>
      </c>
      <c r="T43" s="13">
        <v>64.819152040143607</v>
      </c>
      <c r="U43" s="13">
        <v>64.721499391272587</v>
      </c>
      <c r="W43">
        <v>2048</v>
      </c>
      <c r="X43" s="12">
        <v>63.991901868607101</v>
      </c>
      <c r="Y43" s="13">
        <f t="shared" si="16"/>
        <v>64.819152040143607</v>
      </c>
      <c r="Z43" s="12">
        <v>64.950110875408612</v>
      </c>
      <c r="AB43" s="13">
        <f t="shared" si="3"/>
        <v>64.997419235802866</v>
      </c>
      <c r="AE43" s="33">
        <f t="shared" si="0"/>
        <v>10.134017288513054</v>
      </c>
      <c r="AG43">
        <v>39</v>
      </c>
      <c r="AH43">
        <v>0</v>
      </c>
      <c r="AI43">
        <v>0</v>
      </c>
      <c r="BJ43" s="13">
        <v>64.99997074032575</v>
      </c>
    </row>
    <row r="44" spans="1:62">
      <c r="A44">
        <v>2049</v>
      </c>
      <c r="C44" s="13">
        <f t="shared" si="19"/>
        <v>64.863704828287354</v>
      </c>
      <c r="D44" s="84">
        <f t="shared" si="11"/>
        <v>64.883273125505497</v>
      </c>
      <c r="E44" s="84">
        <f>J44-SUM(I$7:I44)</f>
        <v>6.3205083366359851</v>
      </c>
      <c r="F44" s="13">
        <f t="shared" si="12"/>
        <v>0.15</v>
      </c>
      <c r="G44" s="13">
        <f t="shared" si="13"/>
        <v>1</v>
      </c>
      <c r="H44" s="13">
        <f t="shared" si="14"/>
        <v>1</v>
      </c>
      <c r="I44" s="89">
        <f t="shared" si="21"/>
        <v>0.15</v>
      </c>
      <c r="J44" s="13">
        <f t="shared" si="15"/>
        <v>10.820508336635985</v>
      </c>
      <c r="K44" s="13"/>
      <c r="L44" s="84">
        <f t="shared" si="17"/>
        <v>64.998700974683089</v>
      </c>
      <c r="M44" s="13">
        <f t="shared" si="7"/>
        <v>64.998916019564774</v>
      </c>
      <c r="N44" s="13">
        <f t="shared" si="8"/>
        <v>2049.5177129984168</v>
      </c>
      <c r="O44" s="13">
        <f t="shared" si="9"/>
        <v>2016.4838417632441</v>
      </c>
      <c r="P44" s="13">
        <f t="shared" si="20"/>
        <v>0.96330579823007001</v>
      </c>
      <c r="R44">
        <v>2049</v>
      </c>
      <c r="S44" s="13">
        <v>64.863704828287354</v>
      </c>
      <c r="T44" s="13">
        <v>64.863704828287354</v>
      </c>
      <c r="U44" s="13">
        <v>64.790007412254312</v>
      </c>
      <c r="W44">
        <v>2049</v>
      </c>
      <c r="X44" s="12">
        <v>64.237128262720546</v>
      </c>
      <c r="Y44" s="13">
        <f t="shared" si="16"/>
        <v>64.863704828287354</v>
      </c>
      <c r="Z44" s="12">
        <v>64.961465600986728</v>
      </c>
      <c r="AB44" s="13">
        <f t="shared" si="3"/>
        <v>64.998327423648036</v>
      </c>
      <c r="AE44" s="33">
        <f t="shared" si="0"/>
        <v>10.567751653228477</v>
      </c>
      <c r="AG44">
        <v>40</v>
      </c>
      <c r="AH44">
        <v>0</v>
      </c>
      <c r="AI44">
        <v>0</v>
      </c>
      <c r="BJ44" s="13">
        <v>64.999984614320908</v>
      </c>
    </row>
    <row r="45" spans="1:62">
      <c r="A45">
        <v>2050</v>
      </c>
      <c r="C45" s="13">
        <f t="shared" si="19"/>
        <v>64.897100523564987</v>
      </c>
      <c r="D45" s="84">
        <f t="shared" si="11"/>
        <v>64.912069338480222</v>
      </c>
      <c r="E45" s="84">
        <f>J45-SUM(I$7:I45)</f>
        <v>6.6042402870204828</v>
      </c>
      <c r="F45" s="13">
        <f t="shared" si="12"/>
        <v>0.15</v>
      </c>
      <c r="G45" s="13">
        <f t="shared" si="13"/>
        <v>1</v>
      </c>
      <c r="H45" s="13">
        <f t="shared" si="14"/>
        <v>1</v>
      </c>
      <c r="I45" s="89">
        <f t="shared" si="21"/>
        <v>0.15</v>
      </c>
      <c r="J45" s="13">
        <f t="shared" si="15"/>
        <v>11.254240287020483</v>
      </c>
      <c r="K45" s="13"/>
      <c r="L45" s="84">
        <f t="shared" si="17"/>
        <v>64.999158114020616</v>
      </c>
      <c r="M45" s="13">
        <f t="shared" si="7"/>
        <v>64.999297485081541</v>
      </c>
      <c r="N45" s="13">
        <f t="shared" si="8"/>
        <v>2050.5177129984168</v>
      </c>
      <c r="O45" s="13">
        <f t="shared" si="9"/>
        <v>2016.4838417632441</v>
      </c>
      <c r="P45" s="13">
        <f t="shared" si="20"/>
        <v>0.96330579823007001</v>
      </c>
      <c r="R45">
        <v>2050</v>
      </c>
      <c r="S45" s="13">
        <v>64.897100523564987</v>
      </c>
      <c r="T45" s="13">
        <v>64.897100523564987</v>
      </c>
      <c r="U45" s="13">
        <v>64.841717365380291</v>
      </c>
      <c r="W45">
        <v>2050</v>
      </c>
      <c r="X45" s="12">
        <v>64.423404353288007</v>
      </c>
      <c r="Y45" s="13">
        <f t="shared" si="16"/>
        <v>64.897100523564987</v>
      </c>
      <c r="Z45" s="12">
        <v>64.969202094912077</v>
      </c>
      <c r="AB45" s="13">
        <f t="shared" si="3"/>
        <v>64.998916019564774</v>
      </c>
      <c r="AE45" s="33">
        <f t="shared" si="0"/>
        <v>11.0014860179439</v>
      </c>
      <c r="AG45">
        <v>41</v>
      </c>
      <c r="AH45">
        <v>0</v>
      </c>
      <c r="AI45">
        <v>0</v>
      </c>
      <c r="BJ45" s="13">
        <v>64.99999190971522</v>
      </c>
    </row>
    <row r="46" spans="1:62">
      <c r="A46">
        <v>2051</v>
      </c>
      <c r="C46" s="20">
        <f t="shared" si="19"/>
        <v>64.917895221457883</v>
      </c>
      <c r="D46" s="84">
        <f t="shared" si="11"/>
        <v>64.933768909178511</v>
      </c>
      <c r="E46" s="84">
        <f>J46-SUM(I$7:I46)</f>
        <v>6.8879730869833669</v>
      </c>
      <c r="F46" s="13">
        <f t="shared" si="12"/>
        <v>0.15</v>
      </c>
      <c r="G46" s="13">
        <f t="shared" si="13"/>
        <v>1</v>
      </c>
      <c r="H46" s="13">
        <f t="shared" si="14"/>
        <v>1</v>
      </c>
      <c r="I46" s="89">
        <f t="shared" si="21"/>
        <v>0.15</v>
      </c>
      <c r="J46" s="13">
        <f t="shared" si="15"/>
        <v>11.687973086983368</v>
      </c>
      <c r="K46" s="13"/>
      <c r="L46" s="84">
        <f t="shared" si="17"/>
        <v>64.999454383500691</v>
      </c>
      <c r="M46" s="13">
        <f t="shared" si="7"/>
        <v>64.999544709318229</v>
      </c>
      <c r="N46" s="13">
        <f t="shared" si="8"/>
        <v>2051.5177129984168</v>
      </c>
      <c r="O46" s="13">
        <f t="shared" si="9"/>
        <v>2016.4838417632441</v>
      </c>
      <c r="P46" s="13">
        <f t="shared" si="20"/>
        <v>0.96330579823007001</v>
      </c>
      <c r="AB46" s="13">
        <f t="shared" si="3"/>
        <v>64.999297485081541</v>
      </c>
      <c r="AE46" s="33">
        <f t="shared" si="0"/>
        <v>11.435220382659324</v>
      </c>
      <c r="AG46">
        <v>42</v>
      </c>
      <c r="AH46">
        <v>0</v>
      </c>
      <c r="AI46">
        <v>0</v>
      </c>
      <c r="BJ46" s="13">
        <v>64.999995745868361</v>
      </c>
    </row>
    <row r="47" spans="1:62">
      <c r="A47">
        <v>2052</v>
      </c>
      <c r="C47" s="20">
        <f t="shared" si="19"/>
        <v>64.930065183675524</v>
      </c>
      <c r="D47" s="84">
        <f t="shared" si="11"/>
        <v>64.950117592025293</v>
      </c>
      <c r="E47" s="84">
        <f>J47-SUM(I$7:I47)</f>
        <v>7.1717064375963098</v>
      </c>
      <c r="F47" s="13">
        <f t="shared" si="12"/>
        <v>0.15</v>
      </c>
      <c r="G47" s="13">
        <f t="shared" si="13"/>
        <v>1</v>
      </c>
      <c r="H47" s="13">
        <f t="shared" si="14"/>
        <v>1</v>
      </c>
      <c r="I47" s="89">
        <f t="shared" si="21"/>
        <v>0.15</v>
      </c>
      <c r="J47" s="13">
        <f t="shared" si="15"/>
        <v>12.121706437596311</v>
      </c>
      <c r="K47" s="13"/>
      <c r="L47" s="84">
        <f t="shared" si="17"/>
        <v>64.99964639306252</v>
      </c>
      <c r="M47" s="13">
        <f t="shared" si="7"/>
        <v>64.999704932490403</v>
      </c>
      <c r="N47" s="13">
        <f t="shared" si="8"/>
        <v>2052.5177129984168</v>
      </c>
      <c r="O47" s="13">
        <f t="shared" si="9"/>
        <v>2016.4838417632441</v>
      </c>
      <c r="P47" s="13">
        <f t="shared" si="20"/>
        <v>0.96330579823007001</v>
      </c>
      <c r="AB47" s="13">
        <f t="shared" si="3"/>
        <v>64.999544709318229</v>
      </c>
      <c r="AE47" s="33">
        <f t="shared" si="0"/>
        <v>11.868954747374751</v>
      </c>
      <c r="AG47">
        <v>43</v>
      </c>
      <c r="AH47">
        <v>0</v>
      </c>
      <c r="AI47">
        <v>0</v>
      </c>
      <c r="BJ47" s="13">
        <v>64.99999776304098</v>
      </c>
    </row>
    <row r="48" spans="1:62">
      <c r="A48">
        <v>2053</v>
      </c>
      <c r="C48" s="20">
        <f t="shared" si="19"/>
        <v>64.937863860037197</v>
      </c>
      <c r="D48" s="84">
        <f t="shared" si="11"/>
        <v>64.961004016327863</v>
      </c>
      <c r="E48" s="84">
        <f>J48-SUM(I$7:I48)</f>
        <v>7.4180837725717748</v>
      </c>
      <c r="F48" s="13">
        <f t="shared" si="12"/>
        <v>0.15</v>
      </c>
      <c r="G48" s="13">
        <f t="shared" si="13"/>
        <v>1</v>
      </c>
      <c r="H48" s="13">
        <f t="shared" si="14"/>
        <v>1</v>
      </c>
      <c r="I48" s="89">
        <f t="shared" si="21"/>
        <v>0.15</v>
      </c>
      <c r="J48" s="13">
        <f t="shared" si="15"/>
        <v>12.518083772571776</v>
      </c>
      <c r="K48" s="13"/>
      <c r="L48" s="84">
        <f t="shared" si="17"/>
        <v>64.999762109521015</v>
      </c>
      <c r="M48" s="13">
        <f t="shared" si="7"/>
        <v>64.999808771048507</v>
      </c>
      <c r="N48" s="13">
        <f t="shared" si="8"/>
        <v>2053.5177129984168</v>
      </c>
      <c r="O48" s="13">
        <f t="shared" si="9"/>
        <v>2016.4838417632441</v>
      </c>
      <c r="P48" s="13">
        <f t="shared" si="20"/>
        <v>0.96330579823007001</v>
      </c>
      <c r="AB48" s="13">
        <f t="shared" si="3"/>
        <v>64.999704932490403</v>
      </c>
      <c r="AE48" s="33">
        <f t="shared" si="0"/>
        <v>12.302689112090174</v>
      </c>
      <c r="AG48">
        <v>44</v>
      </c>
      <c r="AH48">
        <v>0</v>
      </c>
      <c r="AI48">
        <v>0</v>
      </c>
      <c r="BJ48" s="13">
        <v>64.999998823735126</v>
      </c>
    </row>
    <row r="49" spans="1:62">
      <c r="A49">
        <v>2054</v>
      </c>
      <c r="C49" s="20">
        <f t="shared" si="19"/>
        <v>64.943022764348584</v>
      </c>
      <c r="D49" s="84">
        <f t="shared" si="11"/>
        <v>64.939964351701207</v>
      </c>
      <c r="E49" s="84">
        <f>J49-SUM(I$7:I49)</f>
        <v>6.9862799726095837</v>
      </c>
      <c r="F49" s="13">
        <f t="shared" si="12"/>
        <v>0.15</v>
      </c>
      <c r="G49" s="13">
        <f t="shared" si="13"/>
        <v>1</v>
      </c>
      <c r="H49" s="13">
        <f t="shared" si="14"/>
        <v>1</v>
      </c>
      <c r="I49" s="89">
        <f t="shared" si="21"/>
        <v>0.15</v>
      </c>
      <c r="J49" s="13">
        <f t="shared" si="15"/>
        <v>12.236279972609585</v>
      </c>
      <c r="K49" s="13"/>
      <c r="L49" s="84">
        <f>AVERAGE(M45:M50)</f>
        <v>64.999684672114427</v>
      </c>
      <c r="M49" s="13">
        <f t="shared" si="7"/>
        <v>64.999876067373947</v>
      </c>
      <c r="N49" s="13">
        <f t="shared" si="8"/>
        <v>2054.5177129984168</v>
      </c>
      <c r="O49" s="13">
        <f t="shared" si="9"/>
        <v>2016.4838417632441</v>
      </c>
      <c r="P49" s="13">
        <f t="shared" si="20"/>
        <v>0.96330579823007001</v>
      </c>
      <c r="AB49" s="13">
        <f t="shared" si="3"/>
        <v>64.999808771048507</v>
      </c>
      <c r="AE49" s="33">
        <f t="shared" si="0"/>
        <v>12.736423476805598</v>
      </c>
      <c r="AG49">
        <v>45</v>
      </c>
      <c r="AH49">
        <v>0</v>
      </c>
      <c r="AI49">
        <v>0</v>
      </c>
      <c r="BJ49" s="13">
        <v>64.999999381482183</v>
      </c>
    </row>
    <row r="50" spans="1:62">
      <c r="A50">
        <v>2055</v>
      </c>
      <c r="C50" s="20">
        <f t="shared" si="19"/>
        <v>64.945336228141102</v>
      </c>
      <c r="D50" s="84">
        <f t="shared" si="11"/>
        <v>64.930258952510073</v>
      </c>
      <c r="E50" s="84">
        <f>J50-SUM(I$7:I50)</f>
        <v>6.8362799726095833</v>
      </c>
      <c r="F50" s="13">
        <f t="shared" si="12"/>
        <v>0.15</v>
      </c>
      <c r="G50" s="13">
        <f t="shared" si="13"/>
        <v>1</v>
      </c>
      <c r="H50" s="13">
        <f t="shared" si="14"/>
        <v>1</v>
      </c>
      <c r="I50" s="89">
        <f t="shared" si="21"/>
        <v>0.15</v>
      </c>
      <c r="J50" s="13">
        <f t="shared" si="15"/>
        <v>12.236279972609585</v>
      </c>
      <c r="K50" s="13"/>
      <c r="L50" s="84">
        <f>AVERAGE(M45:M50)</f>
        <v>64.999684672114427</v>
      </c>
      <c r="M50" s="13">
        <f t="shared" si="7"/>
        <v>64.999876067373947</v>
      </c>
      <c r="N50" s="13">
        <f t="shared" si="8"/>
        <v>2055.5177129984168</v>
      </c>
      <c r="O50" s="13">
        <f t="shared" si="9"/>
        <v>2016.4838417632441</v>
      </c>
      <c r="P50" s="13">
        <f t="shared" si="20"/>
        <v>0.96330579823007001</v>
      </c>
      <c r="AB50" s="13">
        <f t="shared" si="3"/>
        <v>64.999876067373947</v>
      </c>
      <c r="AE50" s="33">
        <f t="shared" si="0"/>
        <v>13.170157841521025</v>
      </c>
      <c r="AG50">
        <v>46</v>
      </c>
      <c r="AH50">
        <v>0</v>
      </c>
      <c r="AI50">
        <v>0</v>
      </c>
      <c r="BJ50" s="13">
        <v>64.999999674763473</v>
      </c>
    </row>
    <row r="56" spans="1:62">
      <c r="Z56" s="41" t="str">
        <f>' All EV uptake'!D46</f>
        <v>Intercept</v>
      </c>
      <c r="AA56" s="41">
        <f>' All EV uptake'!E46</f>
        <v>2006.0956444042549</v>
      </c>
      <c r="AC56" s="41" t="s">
        <v>159</v>
      </c>
      <c r="AD56" s="41">
        <v>-6.7816229353884978</v>
      </c>
    </row>
    <row r="57" spans="1:62">
      <c r="Z57" s="41" t="str">
        <f>' All EV uptake'!D47</f>
        <v>EV/FFV cost ratio</v>
      </c>
      <c r="AA57" s="41">
        <f>' All EV uptake'!E47</f>
        <v>10.783904112355547</v>
      </c>
      <c r="AC57" t="s">
        <v>329</v>
      </c>
      <c r="AD57" s="41">
        <v>0.43373436471542437</v>
      </c>
    </row>
    <row r="58" spans="1:62">
      <c r="Z58" s="41" t="str">
        <f>' All EV uptake'!D48</f>
        <v>dumKorea</v>
      </c>
      <c r="AA58" s="41">
        <f>' All EV uptake'!E48</f>
        <v>3.2747008164932261</v>
      </c>
      <c r="AC58" t="s">
        <v>1313</v>
      </c>
      <c r="AD58" s="41">
        <v>-0.16501411010825756</v>
      </c>
    </row>
    <row r="59" spans="1:62" ht="15.75" thickBot="1">
      <c r="Z59" s="41" t="str">
        <f>' All EV uptake'!D49</f>
        <v>dumUK</v>
      </c>
      <c r="AA59" s="41">
        <f>' All EV uptake'!E49</f>
        <v>2.7276845521810786</v>
      </c>
      <c r="AC59" t="s">
        <v>1257</v>
      </c>
      <c r="AD59" s="42">
        <v>0.47746077873352599</v>
      </c>
    </row>
    <row r="60" spans="1:62">
      <c r="Z60" s="41" t="str">
        <f>' All EV uptake'!D50</f>
        <v>dumNeth</v>
      </c>
      <c r="AA60" s="41">
        <f>' All EV uptake'!E50</f>
        <v>-1.2544269368470402</v>
      </c>
    </row>
    <row r="61" spans="1:62">
      <c r="Z61" s="41" t="str">
        <f>' All EV uptake'!D51</f>
        <v>dumChina</v>
      </c>
      <c r="AA61" s="41">
        <f>' All EV uptake'!E51</f>
        <v>1.6840641661301363</v>
      </c>
    </row>
    <row r="62" spans="1:62">
      <c r="Z62" s="41" t="str">
        <f>' All EV uptake'!D52</f>
        <v>dumDenmark</v>
      </c>
      <c r="AA62" s="41">
        <f>' All EV uptake'!E52</f>
        <v>3.2654872236791634</v>
      </c>
    </row>
    <row r="63" spans="1:62">
      <c r="Z63" s="41" t="str">
        <f>' All EV uptake'!D53</f>
        <v>dumIreland</v>
      </c>
      <c r="AA63" s="41">
        <f>' All EV uptake'!E53</f>
        <v>3.5582490934682056</v>
      </c>
    </row>
    <row r="64" spans="1:62">
      <c r="Z64" s="41" t="str">
        <f>' All EV uptake'!D54</f>
        <v>dumNZ</v>
      </c>
      <c r="AA64" s="41">
        <f>' All EV uptake'!E54</f>
        <v>1.900474768762227</v>
      </c>
    </row>
    <row r="65" spans="26:27">
      <c r="Z65" s="41" t="str">
        <f>' All EV uptake'!D55</f>
        <v>dumSwitzerland</v>
      </c>
      <c r="AA65" s="41">
        <f>' All EV uptake'!E55</f>
        <v>-2.1041729879229703</v>
      </c>
    </row>
    <row r="66" spans="26:27">
      <c r="Z66" s="41" t="str">
        <f>' All EV uptake'!D56</f>
        <v>dumSpain</v>
      </c>
      <c r="AA66" s="41">
        <f>' All EV uptake'!E56</f>
        <v>4.4168133039283006</v>
      </c>
    </row>
    <row r="67" spans="26:27">
      <c r="Z67" s="41" t="str">
        <f>' All EV uptake'!D57</f>
        <v>dumIndia</v>
      </c>
      <c r="AA67" s="41">
        <f>' All EV uptake'!E57</f>
        <v>8.3918907463589623</v>
      </c>
    </row>
    <row r="68" spans="26:27">
      <c r="Z68" s="41" t="str">
        <f>' All EV uptake'!D58</f>
        <v>dumUSA</v>
      </c>
      <c r="AA68" s="41">
        <f>' All EV uptake'!E58</f>
        <v>2.1386885311349126</v>
      </c>
    </row>
    <row r="69" spans="26:27">
      <c r="Z69" s="41" t="str">
        <f>' All EV uptake'!D59</f>
        <v>dumAustria</v>
      </c>
      <c r="AA69" s="41">
        <f>' All EV uptake'!E59</f>
        <v>-0.86657486911619475</v>
      </c>
    </row>
    <row r="70" spans="26:27">
      <c r="Z70" s="41" t="str">
        <f>' All EV uptake'!D60</f>
        <v>dumItaly</v>
      </c>
      <c r="AA70" s="41">
        <f>' All EV uptake'!E60</f>
        <v>2.0513905871244105</v>
      </c>
    </row>
    <row r="71" spans="26:27">
      <c r="Z71" s="41" t="str">
        <f>' All EV uptake'!D61</f>
        <v>dumJapan</v>
      </c>
      <c r="AA71" s="41">
        <f>' All EV uptake'!E61</f>
        <v>4.0948893434577212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J37"/>
  <sheetViews>
    <sheetView topLeftCell="F1" zoomScale="75" zoomScaleNormal="75" workbookViewId="0">
      <selection activeCell="AU50" sqref="AU50"/>
    </sheetView>
  </sheetViews>
  <sheetFormatPr defaultRowHeight="15"/>
  <cols>
    <col min="1" max="1" width="13.7109375" customWidth="1"/>
    <col min="11" max="13" width="13.140625" customWidth="1"/>
    <col min="15" max="15" width="13.28515625" customWidth="1"/>
    <col min="16" max="16" width="14.28515625" customWidth="1"/>
    <col min="18" max="20" width="26.140625" customWidth="1"/>
    <col min="21" max="22" width="34.5703125" customWidth="1"/>
    <col min="23" max="24" width="26.140625" customWidth="1"/>
    <col min="30" max="30" width="13.28515625" customWidth="1"/>
    <col min="40" max="40" width="13.85546875" customWidth="1"/>
    <col min="41" max="41" width="13.140625" customWidth="1"/>
    <col min="43" max="43" width="13.140625" customWidth="1"/>
    <col min="44" max="44" width="13.5703125" customWidth="1"/>
    <col min="46" max="46" width="14.42578125" customWidth="1"/>
    <col min="47" max="47" width="13.42578125" customWidth="1"/>
  </cols>
  <sheetData>
    <row r="1" spans="1:62">
      <c r="A1" s="14" t="s">
        <v>223</v>
      </c>
      <c r="B1" s="14"/>
      <c r="C1" s="82"/>
      <c r="J1" s="14" t="s">
        <v>223</v>
      </c>
      <c r="K1" s="14"/>
      <c r="L1" s="82" t="s">
        <v>216</v>
      </c>
      <c r="M1" s="87" t="s">
        <v>199</v>
      </c>
    </row>
    <row r="2" spans="1:62">
      <c r="K2" s="82"/>
      <c r="L2" s="82"/>
      <c r="M2" s="87" t="s">
        <v>215</v>
      </c>
      <c r="O2" s="12">
        <f>SUM(M5:P5)</f>
        <v>21</v>
      </c>
      <c r="R2" s="174" t="s">
        <v>1179</v>
      </c>
      <c r="T2" s="174" t="s">
        <v>199</v>
      </c>
      <c r="U2" s="14"/>
      <c r="V2" s="14"/>
      <c r="AA2" s="14" t="s">
        <v>199</v>
      </c>
      <c r="AF2" s="7"/>
      <c r="AI2" s="7"/>
      <c r="AM2" s="14" t="s">
        <v>223</v>
      </c>
      <c r="AN2" s="14"/>
      <c r="AO2" s="245" t="s">
        <v>1191</v>
      </c>
      <c r="AQ2" s="12"/>
      <c r="AT2" s="33"/>
      <c r="AU2" s="33"/>
    </row>
    <row r="3" spans="1:62">
      <c r="B3" s="7" t="s">
        <v>218</v>
      </c>
      <c r="C3" s="7"/>
      <c r="F3" s="7" t="s">
        <v>217</v>
      </c>
      <c r="G3" s="7"/>
      <c r="H3" s="7"/>
      <c r="I3" s="7"/>
      <c r="K3" s="7" t="s">
        <v>218</v>
      </c>
      <c r="L3" s="7" t="s">
        <v>220</v>
      </c>
      <c r="R3" t="s">
        <v>259</v>
      </c>
      <c r="S3" t="s">
        <v>259</v>
      </c>
      <c r="T3" s="14" t="s">
        <v>197</v>
      </c>
      <c r="U3" s="14"/>
      <c r="V3" s="14"/>
      <c r="AA3" s="14" t="s">
        <v>215</v>
      </c>
      <c r="AE3" s="22"/>
      <c r="AN3" s="7"/>
      <c r="AT3" s="244"/>
      <c r="AU3" s="244"/>
    </row>
    <row r="4" spans="1:62">
      <c r="A4" t="s">
        <v>224</v>
      </c>
      <c r="B4" s="3">
        <f>AA13</f>
        <v>345.55555555555554</v>
      </c>
      <c r="C4" s="3">
        <f>AA21</f>
        <v>750</v>
      </c>
      <c r="D4" s="3">
        <f>AA26</f>
        <v>750</v>
      </c>
      <c r="E4" s="80"/>
      <c r="F4" s="3">
        <f>B4</f>
        <v>345.55555555555554</v>
      </c>
      <c r="G4" s="3">
        <f>F4</f>
        <v>345.55555555555554</v>
      </c>
      <c r="H4" s="3">
        <f>G4</f>
        <v>345.55555555555554</v>
      </c>
      <c r="J4" s="22"/>
      <c r="K4" t="s">
        <v>207</v>
      </c>
      <c r="L4" t="s">
        <v>207</v>
      </c>
      <c r="M4" t="s">
        <v>208</v>
      </c>
      <c r="N4" t="s">
        <v>209</v>
      </c>
      <c r="O4" t="s">
        <v>210</v>
      </c>
      <c r="P4" t="s">
        <v>211</v>
      </c>
      <c r="Q4" t="s">
        <v>212</v>
      </c>
      <c r="R4" s="241" t="s">
        <v>262</v>
      </c>
      <c r="S4" s="7" t="s">
        <v>265</v>
      </c>
      <c r="T4" s="240" t="s">
        <v>261</v>
      </c>
      <c r="U4" s="78" t="s">
        <v>260</v>
      </c>
      <c r="V4" s="78" t="s">
        <v>266</v>
      </c>
      <c r="W4" s="7" t="s">
        <v>263</v>
      </c>
      <c r="X4" s="174" t="s">
        <v>1208</v>
      </c>
      <c r="Y4" s="22"/>
      <c r="Z4" s="22"/>
      <c r="AA4" s="14" t="s">
        <v>224</v>
      </c>
      <c r="AB4" s="78" t="s">
        <v>42</v>
      </c>
      <c r="AC4" s="14" t="s">
        <v>214</v>
      </c>
      <c r="AD4" t="s">
        <v>1180</v>
      </c>
      <c r="AM4" s="22"/>
      <c r="AN4" t="s">
        <v>207</v>
      </c>
      <c r="AO4" t="s">
        <v>208</v>
      </c>
      <c r="AP4" t="s">
        <v>209</v>
      </c>
      <c r="AQ4" t="s">
        <v>210</v>
      </c>
      <c r="AR4" t="s">
        <v>211</v>
      </c>
      <c r="AS4" t="s">
        <v>212</v>
      </c>
      <c r="AT4" s="241" t="s">
        <v>1192</v>
      </c>
      <c r="AU4" s="243" t="s">
        <v>1193</v>
      </c>
      <c r="BJ4" t="s">
        <v>1361</v>
      </c>
    </row>
    <row r="5" spans="1:62">
      <c r="A5" t="s">
        <v>42</v>
      </c>
      <c r="B5" s="3">
        <f>AB13</f>
        <v>59.988390175516578</v>
      </c>
      <c r="C5" s="3">
        <f>AB21</f>
        <v>154.3864585425319</v>
      </c>
      <c r="D5" s="3">
        <f>AB26</f>
        <v>154.3864585425319</v>
      </c>
      <c r="F5" s="3">
        <f>B5</f>
        <v>59.988390175516578</v>
      </c>
      <c r="G5" s="3">
        <f>F5</f>
        <v>59.988390175516578</v>
      </c>
      <c r="H5" s="3">
        <f>G5</f>
        <v>59.988390175516578</v>
      </c>
      <c r="J5">
        <v>2009</v>
      </c>
      <c r="K5" s="12">
        <f t="shared" ref="K5:K26" si="0">AB5*AC5/1000</f>
        <v>21.556134512510269</v>
      </c>
      <c r="M5" s="88">
        <f>M13*2/3</f>
        <v>2.3333333333333335</v>
      </c>
      <c r="N5" s="88">
        <f>N13*2/3</f>
        <v>8.6666666666666661</v>
      </c>
      <c r="O5" s="88">
        <f>O13*2/3</f>
        <v>7</v>
      </c>
      <c r="P5" s="88">
        <f>P13*2/3</f>
        <v>3</v>
      </c>
      <c r="Q5" s="88">
        <f t="shared" ref="Q5:Q12" si="1">Q6</f>
        <v>-6.2</v>
      </c>
      <c r="R5" s="3">
        <f t="shared" ref="R5:R26" si="2">K5+SUM(M5:Q5)</f>
        <v>36.356134512510266</v>
      </c>
      <c r="S5" s="3">
        <f>'BEV time series'!U4</f>
        <v>29.592572886961211</v>
      </c>
      <c r="T5" s="3">
        <f>'BEV time series'!X4</f>
        <v>29.592572886961211</v>
      </c>
      <c r="U5" s="3"/>
      <c r="V5" s="3"/>
      <c r="X5" s="3">
        <v>23</v>
      </c>
      <c r="Z5">
        <v>2009</v>
      </c>
      <c r="AA5" s="3">
        <f>'BEV time series'!D4</f>
        <v>110</v>
      </c>
      <c r="AB5" s="3">
        <f>'BEV time series'!G4</f>
        <v>16.581641932700208</v>
      </c>
      <c r="AC5" s="3">
        <f>'BEV time series'!O4</f>
        <v>1300</v>
      </c>
      <c r="AD5" s="3">
        <f>AB5*AC5</f>
        <v>21556.134512510271</v>
      </c>
      <c r="AM5">
        <v>2009</v>
      </c>
      <c r="AN5" s="12">
        <v>21.556134512510269</v>
      </c>
      <c r="AO5" s="88">
        <v>2.3333333333333335</v>
      </c>
      <c r="AP5" s="88">
        <v>8.6666666666666661</v>
      </c>
      <c r="AQ5" s="88">
        <v>7</v>
      </c>
      <c r="AR5" s="88">
        <v>3</v>
      </c>
      <c r="AS5" s="88">
        <v>-6.2</v>
      </c>
      <c r="AT5" s="3">
        <v>36.356134512510266</v>
      </c>
      <c r="AU5" s="3">
        <v>29.592572886961211</v>
      </c>
    </row>
    <row r="6" spans="1:62">
      <c r="A6" t="s">
        <v>214</v>
      </c>
      <c r="B6" s="3">
        <f>AC13</f>
        <v>188.81666666666666</v>
      </c>
      <c r="C6" s="3">
        <f>AC21</f>
        <v>71.925000000000011</v>
      </c>
      <c r="D6" s="3">
        <f>AC26</f>
        <v>49.875000000000007</v>
      </c>
      <c r="F6" s="3">
        <f>B6</f>
        <v>188.81666666666666</v>
      </c>
      <c r="G6" s="3">
        <f>C6</f>
        <v>71.925000000000011</v>
      </c>
      <c r="H6" s="3">
        <f>D6</f>
        <v>49.875000000000007</v>
      </c>
      <c r="J6">
        <v>2010</v>
      </c>
      <c r="K6" s="12">
        <f t="shared" si="0"/>
        <v>16.581641932700208</v>
      </c>
      <c r="M6" s="89">
        <f>M5+(M13-M5)/8</f>
        <v>2.479166666666667</v>
      </c>
      <c r="N6" s="89">
        <f>N5+(N13-N5)/8</f>
        <v>9.2083333333333321</v>
      </c>
      <c r="O6" s="89">
        <f>O5+(O13-O5)/8</f>
        <v>7.4375</v>
      </c>
      <c r="P6" s="89">
        <f>P5+(P13-P5)/8</f>
        <v>3.1875</v>
      </c>
      <c r="Q6" s="88">
        <f t="shared" si="1"/>
        <v>-6.2</v>
      </c>
      <c r="R6" s="15">
        <v>36</v>
      </c>
      <c r="S6" s="3">
        <f>'BEV time series'!U5</f>
        <v>29.592572886961211</v>
      </c>
      <c r="T6" s="3">
        <f>'BEV time series'!X5</f>
        <v>30</v>
      </c>
      <c r="U6" s="3"/>
      <c r="V6" s="3"/>
      <c r="X6" s="3">
        <v>23</v>
      </c>
      <c r="Z6">
        <v>2010</v>
      </c>
      <c r="AA6" s="3">
        <f>'BEV time series'!D5</f>
        <v>110</v>
      </c>
      <c r="AB6" s="3">
        <f>'BEV time series'!G5</f>
        <v>16.581641932700208</v>
      </c>
      <c r="AC6" s="3">
        <f>'BEV time series'!O5</f>
        <v>1000</v>
      </c>
      <c r="AD6" s="3">
        <f t="shared" ref="AD6:AD26" si="3">AB6*AC6</f>
        <v>16581.641932700208</v>
      </c>
      <c r="AM6">
        <v>2010</v>
      </c>
      <c r="AN6" s="12">
        <v>16.581641932700208</v>
      </c>
      <c r="AO6" s="89">
        <v>2.479166666666667</v>
      </c>
      <c r="AP6" s="89">
        <v>9.2083333333333321</v>
      </c>
      <c r="AQ6" s="89">
        <v>7.4375</v>
      </c>
      <c r="AR6" s="89">
        <v>3.1875</v>
      </c>
      <c r="AS6" s="88">
        <v>-6.2</v>
      </c>
      <c r="AT6" s="61">
        <v>36</v>
      </c>
      <c r="AU6" s="3">
        <v>30</v>
      </c>
    </row>
    <row r="7" spans="1:62">
      <c r="B7" s="3"/>
      <c r="J7">
        <v>2011</v>
      </c>
      <c r="K7" s="12">
        <f t="shared" si="0"/>
        <v>15.081757048787779</v>
      </c>
      <c r="M7" s="89">
        <f>M6+(M13-M5)/8</f>
        <v>2.6250000000000004</v>
      </c>
      <c r="N7" s="89">
        <f>N6+(N13-N5)/8</f>
        <v>9.7499999999999982</v>
      </c>
      <c r="O7" s="89">
        <f>O6+(O13-O5)/8</f>
        <v>7.875</v>
      </c>
      <c r="P7" s="89">
        <f>P6+(P13-P5)/8</f>
        <v>3.375</v>
      </c>
      <c r="Q7" s="88">
        <f t="shared" si="1"/>
        <v>-6.2</v>
      </c>
      <c r="R7" s="15">
        <v>36</v>
      </c>
      <c r="S7" s="3">
        <f>'BEV time series'!U6</f>
        <v>31.480731780282646</v>
      </c>
      <c r="T7" s="3">
        <f>'BEV time series'!X6</f>
        <v>30</v>
      </c>
      <c r="U7" s="3"/>
      <c r="V7" s="3"/>
      <c r="X7" s="3">
        <v>23</v>
      </c>
      <c r="Z7">
        <v>2011</v>
      </c>
      <c r="AA7" s="3">
        <f>'BEV time series'!D6</f>
        <v>120</v>
      </c>
      <c r="AB7" s="3">
        <f>'BEV time series'!G6</f>
        <v>18.089063926582043</v>
      </c>
      <c r="AC7" s="3">
        <f>'BEV time series'!O6</f>
        <v>833.75</v>
      </c>
      <c r="AD7" s="3">
        <f t="shared" si="3"/>
        <v>15081.757048787778</v>
      </c>
      <c r="AM7">
        <v>2011</v>
      </c>
      <c r="AN7" s="12">
        <v>15.081757048787779</v>
      </c>
      <c r="AO7" s="89">
        <v>2.6250000000000004</v>
      </c>
      <c r="AP7" s="89">
        <v>9.7499999999999982</v>
      </c>
      <c r="AQ7" s="89">
        <v>7.875</v>
      </c>
      <c r="AR7" s="89">
        <v>3.375</v>
      </c>
      <c r="AS7" s="88">
        <v>-6.2</v>
      </c>
      <c r="AT7" s="61">
        <v>36</v>
      </c>
      <c r="AU7" s="3">
        <v>30</v>
      </c>
    </row>
    <row r="8" spans="1:62">
      <c r="B8" s="81" t="s">
        <v>216</v>
      </c>
      <c r="C8" s="81" t="s">
        <v>216</v>
      </c>
      <c r="D8" s="81" t="s">
        <v>216</v>
      </c>
      <c r="F8" s="81" t="s">
        <v>216</v>
      </c>
      <c r="G8" s="81" t="s">
        <v>216</v>
      </c>
      <c r="H8" s="81" t="s">
        <v>216</v>
      </c>
      <c r="J8">
        <v>2012</v>
      </c>
      <c r="K8" s="12">
        <f t="shared" si="0"/>
        <v>14.315647505947183</v>
      </c>
      <c r="M8" s="89">
        <f>M13</f>
        <v>3.5</v>
      </c>
      <c r="N8" s="89">
        <f>N13</f>
        <v>13</v>
      </c>
      <c r="O8" s="89">
        <f>O13</f>
        <v>10.5</v>
      </c>
      <c r="P8" s="89">
        <f>P13</f>
        <v>4.5</v>
      </c>
      <c r="Q8" s="88">
        <f t="shared" si="1"/>
        <v>-6.2</v>
      </c>
      <c r="R8" s="3">
        <f t="shared" si="2"/>
        <v>39.61564750594718</v>
      </c>
      <c r="S8" s="3">
        <f>'BEV time series'!U7</f>
        <v>34.883963278792592</v>
      </c>
      <c r="T8" s="3">
        <f>'BEV time series'!X7</f>
        <v>30.842462459493706</v>
      </c>
      <c r="U8" s="3"/>
      <c r="V8" s="3"/>
      <c r="X8" s="3">
        <v>23</v>
      </c>
      <c r="Z8">
        <v>2012</v>
      </c>
      <c r="AA8" s="3">
        <f>'BEV time series'!D7</f>
        <v>145</v>
      </c>
      <c r="AB8" s="3">
        <f>'BEV time series'!G7</f>
        <v>21.857618911286636</v>
      </c>
      <c r="AC8" s="3">
        <f>'BEV time series'!O7</f>
        <v>654.95000000000005</v>
      </c>
      <c r="AD8" s="3">
        <f t="shared" si="3"/>
        <v>14315.647505947183</v>
      </c>
      <c r="AM8">
        <v>2012</v>
      </c>
      <c r="AN8" s="12">
        <v>14.315647505947183</v>
      </c>
      <c r="AO8" s="89">
        <v>3.5</v>
      </c>
      <c r="AP8" s="89">
        <v>13</v>
      </c>
      <c r="AQ8" s="89">
        <v>10.5</v>
      </c>
      <c r="AR8" s="89">
        <v>4.5</v>
      </c>
      <c r="AS8" s="88">
        <v>-6.2</v>
      </c>
      <c r="AT8" s="3">
        <v>39.61564750594718</v>
      </c>
      <c r="AU8" s="3">
        <v>30.842462459493706</v>
      </c>
    </row>
    <row r="9" spans="1:62">
      <c r="B9" s="18">
        <v>2017</v>
      </c>
      <c r="C9" s="18">
        <v>2025</v>
      </c>
      <c r="D9" s="18">
        <v>2030</v>
      </c>
      <c r="F9" s="18">
        <v>2017</v>
      </c>
      <c r="G9" s="18">
        <v>2025</v>
      </c>
      <c r="H9" s="18">
        <v>2030</v>
      </c>
      <c r="J9">
        <v>2013</v>
      </c>
      <c r="K9" s="12">
        <f t="shared" si="0"/>
        <v>12.5282982366355</v>
      </c>
      <c r="M9" s="89">
        <f>M8+(M13-M5)/8</f>
        <v>3.6458333333333335</v>
      </c>
      <c r="N9" s="89">
        <f>N8+(N13-N5)/8</f>
        <v>13.541666666666666</v>
      </c>
      <c r="O9" s="89">
        <f>O8+(O13-O5)/8</f>
        <v>10.9375</v>
      </c>
      <c r="P9" s="89">
        <f>P8+(P13-P5)/8</f>
        <v>4.6875</v>
      </c>
      <c r="Q9" s="88">
        <f t="shared" si="1"/>
        <v>-6.2</v>
      </c>
      <c r="R9" s="3">
        <f t="shared" si="2"/>
        <v>39.140798236635504</v>
      </c>
      <c r="S9" s="3">
        <f>'BEV time series'!U8</f>
        <v>37.5</v>
      </c>
      <c r="T9" s="3">
        <f>'BEV time series'!X8</f>
        <v>31.143929334439989</v>
      </c>
      <c r="U9" s="3"/>
      <c r="V9" s="3"/>
      <c r="X9" s="3">
        <v>23</v>
      </c>
      <c r="Z9">
        <v>2013</v>
      </c>
      <c r="AA9" s="3">
        <f>'BEV time series'!D8</f>
        <v>170</v>
      </c>
      <c r="AB9" s="3">
        <f>'BEV time series'!G8</f>
        <v>25.626173895991229</v>
      </c>
      <c r="AC9" s="3">
        <f>'BEV time series'!O8</f>
        <v>488.88680329275905</v>
      </c>
      <c r="AD9" s="3">
        <f t="shared" si="3"/>
        <v>12528.298236635501</v>
      </c>
      <c r="AM9">
        <v>2013</v>
      </c>
      <c r="AN9" s="12">
        <v>12.5282982366355</v>
      </c>
      <c r="AO9" s="89">
        <v>3.6458333333333335</v>
      </c>
      <c r="AP9" s="89">
        <v>13.541666666666666</v>
      </c>
      <c r="AQ9" s="89">
        <v>10.9375</v>
      </c>
      <c r="AR9" s="89">
        <v>4.6875</v>
      </c>
      <c r="AS9" s="88">
        <v>-6.2</v>
      </c>
      <c r="AT9" s="3">
        <v>39.140798236635504</v>
      </c>
      <c r="AU9" s="3">
        <v>31.143929334439989</v>
      </c>
    </row>
    <row r="10" spans="1:62">
      <c r="A10" t="s">
        <v>207</v>
      </c>
      <c r="B10" s="12">
        <f>B5*B6/1000</f>
        <v>11.326807871640455</v>
      </c>
      <c r="C10" s="12">
        <f>C5*C6/1000</f>
        <v>11.104246030671609</v>
      </c>
      <c r="D10" s="12">
        <f>D5*D6/1000</f>
        <v>7.7000246198087794</v>
      </c>
      <c r="F10" s="12">
        <f>F5*F6/1000</f>
        <v>11.326807871640455</v>
      </c>
      <c r="G10" s="12">
        <f>G5*G6/1000</f>
        <v>4.3146649633740308</v>
      </c>
      <c r="H10" s="12">
        <f>H5*H6/1000</f>
        <v>2.9919209600038896</v>
      </c>
      <c r="J10">
        <v>2014</v>
      </c>
      <c r="K10" s="12">
        <f t="shared" si="0"/>
        <v>10.272702779444144</v>
      </c>
      <c r="M10" s="89">
        <f>M9+(M13-M5)/8</f>
        <v>3.791666666666667</v>
      </c>
      <c r="N10" s="89">
        <f>N9+(N13-N5)/8</f>
        <v>14.083333333333332</v>
      </c>
      <c r="O10" s="89">
        <f>O9+(O13-O5)/8</f>
        <v>11.375</v>
      </c>
      <c r="P10" s="89">
        <f>P9+(P13-P5)/8</f>
        <v>4.875</v>
      </c>
      <c r="Q10" s="88">
        <f t="shared" si="1"/>
        <v>-6.2</v>
      </c>
      <c r="R10" s="3">
        <f t="shared" si="2"/>
        <v>38.197702779444143</v>
      </c>
      <c r="S10" s="3">
        <f>'BEV time series'!U9</f>
        <v>41.819246327530593</v>
      </c>
      <c r="T10" s="3">
        <f>'BEV time series'!X9</f>
        <v>33.541755956678692</v>
      </c>
      <c r="U10" s="3"/>
      <c r="V10" s="3"/>
      <c r="X10" s="3">
        <v>23</v>
      </c>
      <c r="Z10">
        <v>2014</v>
      </c>
      <c r="AA10" s="3">
        <f>'BEV time series'!D9</f>
        <v>210</v>
      </c>
      <c r="AB10" s="3">
        <f>'BEV time series'!G9</f>
        <v>31.655861871518578</v>
      </c>
      <c r="AC10" s="3">
        <f>'BEV time series'!O9</f>
        <v>324.51186516853937</v>
      </c>
      <c r="AD10" s="3">
        <f t="shared" si="3"/>
        <v>10272.702779444144</v>
      </c>
      <c r="AM10">
        <v>2014</v>
      </c>
      <c r="AN10" s="12">
        <v>10.272702779444144</v>
      </c>
      <c r="AO10" s="89">
        <v>3.791666666666667</v>
      </c>
      <c r="AP10" s="89">
        <v>14.083333333333332</v>
      </c>
      <c r="AQ10" s="89">
        <v>11.375</v>
      </c>
      <c r="AR10" s="89">
        <v>4.875</v>
      </c>
      <c r="AS10" s="88">
        <v>-6.2</v>
      </c>
      <c r="AT10" s="3">
        <v>38.197702779444143</v>
      </c>
      <c r="AU10" s="3">
        <v>31.974883429537538</v>
      </c>
    </row>
    <row r="11" spans="1:62">
      <c r="A11" t="s">
        <v>208</v>
      </c>
      <c r="B11">
        <v>3.5</v>
      </c>
      <c r="C11">
        <v>3</v>
      </c>
      <c r="D11">
        <f>C11</f>
        <v>3</v>
      </c>
      <c r="F11">
        <v>3.5</v>
      </c>
      <c r="G11">
        <v>3</v>
      </c>
      <c r="H11">
        <f>G11</f>
        <v>3</v>
      </c>
      <c r="J11">
        <v>2015</v>
      </c>
      <c r="K11" s="12">
        <f t="shared" si="0"/>
        <v>10.143267295509121</v>
      </c>
      <c r="M11" s="89">
        <f>M10+(M13-M5)/8</f>
        <v>3.9375000000000004</v>
      </c>
      <c r="N11" s="89">
        <f>N10+(N13-N5)/8</f>
        <v>14.624999999999998</v>
      </c>
      <c r="O11" s="89">
        <f>O10+(O13-O5)/8</f>
        <v>11.8125</v>
      </c>
      <c r="P11" s="89">
        <f>P10+(P13-P5)/8</f>
        <v>5.0625</v>
      </c>
      <c r="Q11" s="88">
        <f t="shared" si="1"/>
        <v>-6.2</v>
      </c>
      <c r="R11" s="3">
        <f t="shared" si="2"/>
        <v>39.380767295509123</v>
      </c>
      <c r="S11" s="3">
        <f>'BEV time series'!U10</f>
        <v>42.289361955194806</v>
      </c>
      <c r="T11" s="3">
        <f>'BEV time series'!X10</f>
        <v>30</v>
      </c>
      <c r="U11" s="3"/>
      <c r="V11" s="3"/>
      <c r="X11" s="3">
        <v>23</v>
      </c>
      <c r="Z11">
        <v>2015</v>
      </c>
      <c r="AA11" s="3">
        <f>'BEV time series'!D10</f>
        <v>250</v>
      </c>
      <c r="AB11" s="3">
        <f>'BEV time series'!G10</f>
        <v>37.685549847045927</v>
      </c>
      <c r="AC11" s="3">
        <f>'BEV time series'!O10</f>
        <v>269.15534831460673</v>
      </c>
      <c r="AD11" s="3">
        <f t="shared" si="3"/>
        <v>10143.26729550912</v>
      </c>
      <c r="AM11">
        <v>2015</v>
      </c>
      <c r="AN11" s="12">
        <v>10.143267295509121</v>
      </c>
      <c r="AO11" s="89">
        <v>3.9375000000000004</v>
      </c>
      <c r="AP11" s="89">
        <v>14.624999999999998</v>
      </c>
      <c r="AQ11" s="89">
        <v>11.8125</v>
      </c>
      <c r="AR11" s="89">
        <v>5.0625</v>
      </c>
      <c r="AS11" s="88">
        <v>-6.2</v>
      </c>
      <c r="AT11" s="3">
        <v>39.380767295509123</v>
      </c>
      <c r="AU11" s="3">
        <v>30</v>
      </c>
    </row>
    <row r="12" spans="1:62">
      <c r="A12" t="s">
        <v>209</v>
      </c>
      <c r="B12">
        <v>13</v>
      </c>
      <c r="C12">
        <v>12</v>
      </c>
      <c r="D12">
        <f>C12</f>
        <v>12</v>
      </c>
      <c r="F12">
        <v>13</v>
      </c>
      <c r="G12">
        <v>12</v>
      </c>
      <c r="H12">
        <f>G12</f>
        <v>12</v>
      </c>
      <c r="J12">
        <v>2016</v>
      </c>
      <c r="K12" s="12">
        <f t="shared" si="0"/>
        <v>11.636215957687941</v>
      </c>
      <c r="M12" s="89">
        <f>M11+(M13-M5)/8</f>
        <v>4.0833333333333339</v>
      </c>
      <c r="N12" s="89">
        <f>N11+(N13-N5)/8</f>
        <v>15.166666666666664</v>
      </c>
      <c r="O12" s="89">
        <f>O11+(O13-O5)/8</f>
        <v>12.25</v>
      </c>
      <c r="P12" s="89">
        <f>P11+(P13-P5)/8</f>
        <v>5.25</v>
      </c>
      <c r="Q12" s="88">
        <f t="shared" si="1"/>
        <v>-6.2</v>
      </c>
      <c r="R12" s="3">
        <f t="shared" si="2"/>
        <v>42.186215957687942</v>
      </c>
      <c r="S12" s="3">
        <f>'BEV time series'!U11</f>
        <v>37.555</v>
      </c>
      <c r="T12" s="3">
        <f>'BEV time series'!X11</f>
        <v>30</v>
      </c>
      <c r="U12" s="3"/>
      <c r="V12" s="3"/>
      <c r="X12" s="3">
        <v>23</v>
      </c>
      <c r="Z12">
        <v>2016</v>
      </c>
      <c r="AA12" s="3">
        <f>'BEV time series'!D11</f>
        <v>297.77777777777777</v>
      </c>
      <c r="AB12" s="3">
        <f>'BEV time series'!G11</f>
        <v>48.836970011281245</v>
      </c>
      <c r="AC12" s="3">
        <f>'BEV time series'!O11</f>
        <v>238.26654182272159</v>
      </c>
      <c r="AD12" s="3">
        <f t="shared" si="3"/>
        <v>11636.215957687942</v>
      </c>
      <c r="AF12" s="12"/>
      <c r="AI12" s="12"/>
      <c r="AM12">
        <v>2016</v>
      </c>
      <c r="AN12" s="12">
        <v>11.636215957687941</v>
      </c>
      <c r="AO12" s="89">
        <v>4.0833333333333339</v>
      </c>
      <c r="AP12" s="89">
        <v>15.166666666666664</v>
      </c>
      <c r="AQ12" s="89">
        <v>12.25</v>
      </c>
      <c r="AR12" s="89">
        <v>5.25</v>
      </c>
      <c r="AS12" s="88">
        <v>-6.2</v>
      </c>
      <c r="AT12" s="3">
        <v>42.186215957687942</v>
      </c>
      <c r="AU12" s="3">
        <v>30</v>
      </c>
    </row>
    <row r="13" spans="1:62">
      <c r="A13" t="s">
        <v>210</v>
      </c>
      <c r="B13">
        <v>10.5</v>
      </c>
      <c r="C13">
        <v>3.5</v>
      </c>
      <c r="D13">
        <f>C13</f>
        <v>3.5</v>
      </c>
      <c r="F13">
        <v>10.5</v>
      </c>
      <c r="G13">
        <v>3.5</v>
      </c>
      <c r="H13">
        <f>G13</f>
        <v>3.5</v>
      </c>
      <c r="J13">
        <v>2017</v>
      </c>
      <c r="K13" s="12">
        <f>AB13*AC13/1000</f>
        <v>11.326807871640455</v>
      </c>
      <c r="L13" s="12">
        <f t="shared" ref="L13:L26" si="4">AB$13*AC13/1000</f>
        <v>11.326807871640455</v>
      </c>
      <c r="M13" s="12">
        <v>3.5</v>
      </c>
      <c r="N13" s="12">
        <v>13</v>
      </c>
      <c r="O13" s="12">
        <v>10.5</v>
      </c>
      <c r="P13" s="12">
        <v>4.5</v>
      </c>
      <c r="Q13" s="62">
        <v>-6.2</v>
      </c>
      <c r="R13" s="3">
        <f>K13+SUM(M13:Q13)</f>
        <v>36.626807871640452</v>
      </c>
      <c r="S13" s="3">
        <f>'BEV time series'!U12</f>
        <v>37.416249999999998</v>
      </c>
      <c r="T13" s="3">
        <f>'BEV time series'!X12</f>
        <v>30</v>
      </c>
      <c r="U13" s="3">
        <v>30</v>
      </c>
      <c r="V13" s="3">
        <f>U13</f>
        <v>30</v>
      </c>
      <c r="W13" s="3">
        <f t="shared" ref="W13:W26" si="5">SUM(L13:Q13)</f>
        <v>36.626807871640452</v>
      </c>
      <c r="X13" s="3">
        <v>23</v>
      </c>
      <c r="Z13">
        <v>2017</v>
      </c>
      <c r="AA13" s="3">
        <f>'BEV time series'!D12</f>
        <v>345.55555555555554</v>
      </c>
      <c r="AB13" s="3">
        <f>'BEV time series'!G12</f>
        <v>59.988390175516578</v>
      </c>
      <c r="AC13" s="3">
        <f>'BEV time series'!O12</f>
        <v>188.81666666666666</v>
      </c>
      <c r="AD13" s="3">
        <f t="shared" si="3"/>
        <v>11326.807871640454</v>
      </c>
      <c r="AM13">
        <v>2017</v>
      </c>
      <c r="AN13" s="12">
        <v>11.326807871640455</v>
      </c>
      <c r="AO13" s="12">
        <v>3.5</v>
      </c>
      <c r="AP13" s="12">
        <v>13</v>
      </c>
      <c r="AQ13" s="12">
        <v>10.5</v>
      </c>
      <c r="AR13" s="12">
        <v>4.5</v>
      </c>
      <c r="AS13" s="62">
        <v>-6.2</v>
      </c>
      <c r="AT13" s="3">
        <v>36.626807871640452</v>
      </c>
      <c r="AU13" s="3">
        <v>30</v>
      </c>
    </row>
    <row r="14" spans="1:62">
      <c r="A14" t="s">
        <v>211</v>
      </c>
      <c r="B14">
        <v>4.5</v>
      </c>
      <c r="C14">
        <v>3.5</v>
      </c>
      <c r="D14">
        <f>C14</f>
        <v>3.5</v>
      </c>
      <c r="F14">
        <v>4.5</v>
      </c>
      <c r="G14">
        <v>3.5</v>
      </c>
      <c r="H14">
        <f>G14</f>
        <v>3.5</v>
      </c>
      <c r="J14">
        <v>2018</v>
      </c>
      <c r="K14" s="12">
        <f>AB14*AC14/1000</f>
        <v>12.274700008721927</v>
      </c>
      <c r="L14" s="12">
        <f t="shared" si="4"/>
        <v>10.350596802184217</v>
      </c>
      <c r="M14" s="21">
        <f>M13+(M21-M13)/8</f>
        <v>3.4375</v>
      </c>
      <c r="N14" s="21">
        <f>N13+(N21-N13)/8</f>
        <v>12.875</v>
      </c>
      <c r="O14" s="21">
        <f>O13+(O21-O13)/8</f>
        <v>9.625</v>
      </c>
      <c r="P14" s="21">
        <f>P13+(P21-P13)/8</f>
        <v>4.375</v>
      </c>
      <c r="Q14" s="21">
        <f>Q13+(Q21-Q13)/8</f>
        <v>-5.2374999999999998</v>
      </c>
      <c r="R14" s="3">
        <f t="shared" si="2"/>
        <v>37.349700008721925</v>
      </c>
      <c r="S14" s="3"/>
      <c r="T14" s="3">
        <f>R14*T$13/R$13</f>
        <v>30.592100851060948</v>
      </c>
      <c r="U14" s="3">
        <f t="shared" ref="U14:U26" si="6">R14*T$13/R$13</f>
        <v>30.592100851060948</v>
      </c>
      <c r="V14" s="3">
        <f>W14*V$13/W$13</f>
        <v>29.016121410034494</v>
      </c>
      <c r="W14" s="3">
        <f t="shared" si="5"/>
        <v>35.425596802184216</v>
      </c>
      <c r="X14" s="3">
        <v>23</v>
      </c>
      <c r="Z14">
        <v>2018</v>
      </c>
      <c r="AA14" s="3">
        <f>'BEV time series'!D13</f>
        <v>393.33333333333331</v>
      </c>
      <c r="AB14" s="3">
        <f>'BEV time series'!G13</f>
        <v>71.139810339751904</v>
      </c>
      <c r="AC14" s="3">
        <f>'BEV time series'!O13</f>
        <v>172.54333333333335</v>
      </c>
      <c r="AD14" s="3">
        <f t="shared" si="3"/>
        <v>12274.700008721928</v>
      </c>
      <c r="AM14">
        <v>2018</v>
      </c>
      <c r="AN14" s="12">
        <v>12.274700008721927</v>
      </c>
      <c r="AO14" s="21">
        <v>3.4375</v>
      </c>
      <c r="AP14" s="21">
        <v>12.875</v>
      </c>
      <c r="AQ14" s="21">
        <v>9.625</v>
      </c>
      <c r="AR14" s="21">
        <v>4.375</v>
      </c>
      <c r="AS14" s="21">
        <v>-5.2374999999999998</v>
      </c>
      <c r="AT14" s="3">
        <v>37.349700008721925</v>
      </c>
      <c r="AU14" s="3">
        <v>30.592100851060948</v>
      </c>
    </row>
    <row r="15" spans="1:62">
      <c r="A15" t="s">
        <v>212</v>
      </c>
      <c r="B15" s="18">
        <v>-6.2</v>
      </c>
      <c r="C15" s="18">
        <v>1.5</v>
      </c>
      <c r="D15" s="18">
        <f>C15</f>
        <v>1.5</v>
      </c>
      <c r="F15" s="18">
        <v>-6.2</v>
      </c>
      <c r="G15" s="18">
        <v>1.5</v>
      </c>
      <c r="H15" s="18">
        <f>G15</f>
        <v>1.5</v>
      </c>
      <c r="J15">
        <v>2019</v>
      </c>
      <c r="K15" s="12">
        <f t="shared" si="0"/>
        <v>13.208908799345981</v>
      </c>
      <c r="L15" s="12">
        <f t="shared" si="4"/>
        <v>8.8868217598556072</v>
      </c>
      <c r="M15" s="21">
        <f>M14+(M21-M13)/8</f>
        <v>3.375</v>
      </c>
      <c r="N15" s="21">
        <f>N14+(N21-N13)/8</f>
        <v>12.75</v>
      </c>
      <c r="O15" s="21">
        <f>O14+(O21-O13)/8</f>
        <v>8.75</v>
      </c>
      <c r="P15" s="21">
        <f>P14+(P21-P13)/8</f>
        <v>4.25</v>
      </c>
      <c r="Q15" s="21">
        <f>Q14+(Q21-Q13)/8</f>
        <v>-4.2749999999999995</v>
      </c>
      <c r="R15" s="3">
        <f t="shared" si="2"/>
        <v>38.058908799345986</v>
      </c>
      <c r="S15" s="3"/>
      <c r="T15" s="3">
        <f t="shared" ref="T15:T26" si="7">R15*T$13/R$13</f>
        <v>31.172994053473918</v>
      </c>
      <c r="U15" s="3">
        <f t="shared" si="6"/>
        <v>31.172994053473918</v>
      </c>
      <c r="V15" s="3">
        <f t="shared" ref="V15:V26" si="8">W15*V$13/W$13</f>
        <v>27.632892725530816</v>
      </c>
      <c r="W15" s="3">
        <f t="shared" si="5"/>
        <v>33.736821759855609</v>
      </c>
      <c r="X15" s="3">
        <v>23</v>
      </c>
      <c r="Z15">
        <v>2019</v>
      </c>
      <c r="AA15" s="3">
        <f>'BEV time series'!D14</f>
        <v>470.55555555555554</v>
      </c>
      <c r="AB15" s="3">
        <f>'BEV time series'!G14</f>
        <v>89.163617349388076</v>
      </c>
      <c r="AC15" s="3">
        <f>'BEV time series'!O14</f>
        <v>148.14236111111111</v>
      </c>
      <c r="AD15" s="3">
        <f t="shared" si="3"/>
        <v>13208.90879934598</v>
      </c>
      <c r="AM15">
        <v>2019</v>
      </c>
      <c r="AN15" s="12">
        <v>13.208908799345981</v>
      </c>
      <c r="AO15" s="21">
        <v>3.375</v>
      </c>
      <c r="AP15" s="21">
        <v>12.75</v>
      </c>
      <c r="AQ15" s="21">
        <v>8.75</v>
      </c>
      <c r="AR15" s="21">
        <v>4.25</v>
      </c>
      <c r="AS15" s="21">
        <v>-4.2749999999999995</v>
      </c>
      <c r="AT15" s="3">
        <v>38.058908799345986</v>
      </c>
      <c r="AU15" s="3">
        <v>31.172994053473918</v>
      </c>
    </row>
    <row r="16" spans="1:62">
      <c r="A16" t="s">
        <v>213</v>
      </c>
      <c r="B16" s="12">
        <f>SUM(B10:B15)</f>
        <v>36.626807871640452</v>
      </c>
      <c r="C16" s="12">
        <f>SUM(C10:C15)</f>
        <v>34.604246030671611</v>
      </c>
      <c r="D16" s="12">
        <f>SUM(D10:D15)</f>
        <v>31.200024619808779</v>
      </c>
      <c r="F16" s="12">
        <f>SUM(F10:F15)</f>
        <v>36.626807871640452</v>
      </c>
      <c r="G16" s="12">
        <f>SUM(G10:G15)</f>
        <v>27.814664963374032</v>
      </c>
      <c r="H16" s="12">
        <f>SUM(H10:H15)</f>
        <v>26.491920960003888</v>
      </c>
      <c r="J16">
        <v>2020</v>
      </c>
      <c r="K16" s="12">
        <f t="shared" si="0"/>
        <v>13.205490681031788</v>
      </c>
      <c r="L16" s="12">
        <f t="shared" si="4"/>
        <v>7.3905696696236429</v>
      </c>
      <c r="M16" s="21">
        <f>M15+(M21-M13)/8</f>
        <v>3.3125</v>
      </c>
      <c r="N16" s="21">
        <f>N15+(N21-N13)/8</f>
        <v>12.625</v>
      </c>
      <c r="O16" s="21">
        <f>O15+(O21-O13)/8</f>
        <v>7.875</v>
      </c>
      <c r="P16" s="21">
        <f>P15+(P21-P13)/8</f>
        <v>4.125</v>
      </c>
      <c r="Q16" s="21">
        <f>Q15+(Q21-Q13)/8</f>
        <v>-3.3124999999999996</v>
      </c>
      <c r="R16" s="3">
        <f t="shared" si="2"/>
        <v>37.83049068103179</v>
      </c>
      <c r="S16" s="3"/>
      <c r="T16" s="3">
        <f t="shared" si="7"/>
        <v>30.985903123425071</v>
      </c>
      <c r="U16" s="3">
        <f t="shared" si="6"/>
        <v>30.985903123425071</v>
      </c>
      <c r="V16" s="3">
        <f t="shared" si="8"/>
        <v>26.22306299404223</v>
      </c>
      <c r="W16" s="3">
        <f t="shared" si="5"/>
        <v>32.015569669623645</v>
      </c>
      <c r="X16" s="3">
        <v>23</v>
      </c>
      <c r="Z16">
        <v>2020</v>
      </c>
      <c r="AA16" s="3">
        <f>'BEV time series'!D15</f>
        <v>547.77777777777783</v>
      </c>
      <c r="AB16" s="3">
        <f>'BEV time series'!G15</f>
        <v>107.18742435902425</v>
      </c>
      <c r="AC16" s="3">
        <f>'BEV time series'!O15</f>
        <v>123.2</v>
      </c>
      <c r="AD16" s="3">
        <f t="shared" si="3"/>
        <v>13205.490681031788</v>
      </c>
      <c r="AM16">
        <v>2020</v>
      </c>
      <c r="AN16" s="12">
        <v>13.205490681031788</v>
      </c>
      <c r="AO16" s="21">
        <v>3.3125</v>
      </c>
      <c r="AP16" s="21">
        <v>12.625</v>
      </c>
      <c r="AQ16" s="21">
        <v>7.875</v>
      </c>
      <c r="AR16" s="21">
        <v>4.125</v>
      </c>
      <c r="AS16" s="21">
        <v>-3.3124999999999996</v>
      </c>
      <c r="AT16" s="3">
        <v>37.83049068103179</v>
      </c>
      <c r="AU16" s="3">
        <v>30.985903123425071</v>
      </c>
    </row>
    <row r="17" spans="10:47">
      <c r="J17">
        <v>2021</v>
      </c>
      <c r="K17" s="12">
        <f t="shared" si="0"/>
        <v>12.479177374357537</v>
      </c>
      <c r="L17" s="12">
        <f t="shared" si="4"/>
        <v>5.978742906842859</v>
      </c>
      <c r="M17" s="21">
        <f>M16+(M21-M13)/8</f>
        <v>3.25</v>
      </c>
      <c r="N17" s="21">
        <f>N16+(N21-N13)/8</f>
        <v>12.5</v>
      </c>
      <c r="O17" s="21">
        <f>O16+(O21-O13)/8</f>
        <v>7</v>
      </c>
      <c r="P17" s="21">
        <f>P16+(P21-P13)/8</f>
        <v>4</v>
      </c>
      <c r="Q17" s="21">
        <f>Q16+(Q21-Q13)/8</f>
        <v>-2.3499999999999996</v>
      </c>
      <c r="R17" s="3">
        <f t="shared" si="2"/>
        <v>36.879177374357539</v>
      </c>
      <c r="S17" s="3"/>
      <c r="T17" s="3">
        <f t="shared" si="7"/>
        <v>30.206708843097807</v>
      </c>
      <c r="U17" s="3">
        <f t="shared" si="6"/>
        <v>30.206708843097807</v>
      </c>
      <c r="V17" s="3">
        <f t="shared" si="8"/>
        <v>24.882383701008763</v>
      </c>
      <c r="W17" s="3">
        <f t="shared" si="5"/>
        <v>30.378742906842859</v>
      </c>
      <c r="X17" s="3">
        <v>23</v>
      </c>
      <c r="Z17">
        <v>2021</v>
      </c>
      <c r="AA17" s="3">
        <f>'BEV time series'!D16</f>
        <v>625</v>
      </c>
      <c r="AB17" s="3">
        <f>'BEV time series'!G16</f>
        <v>125.21123136866039</v>
      </c>
      <c r="AC17" s="3">
        <f>'BEV time series'!O16</f>
        <v>99.664999999999992</v>
      </c>
      <c r="AD17" s="3">
        <f t="shared" si="3"/>
        <v>12479.177374357538</v>
      </c>
      <c r="AM17">
        <v>2021</v>
      </c>
      <c r="AN17" s="12">
        <v>12.479177374357537</v>
      </c>
      <c r="AO17" s="21">
        <v>3.25</v>
      </c>
      <c r="AP17" s="21">
        <v>12.5</v>
      </c>
      <c r="AQ17" s="21">
        <v>7</v>
      </c>
      <c r="AR17" s="21">
        <v>4</v>
      </c>
      <c r="AS17" s="21">
        <v>-2.3499999999999996</v>
      </c>
      <c r="AT17" s="3">
        <v>36.879177374357539</v>
      </c>
      <c r="AU17" s="3">
        <v>30.206708843097807</v>
      </c>
    </row>
    <row r="18" spans="10:47">
      <c r="J18">
        <v>2022</v>
      </c>
      <c r="K18" s="12">
        <f t="shared" si="0"/>
        <v>13.236176630451602</v>
      </c>
      <c r="L18" s="12">
        <f t="shared" si="4"/>
        <v>5.5339289936914033</v>
      </c>
      <c r="M18" s="21">
        <f>M17+(M21-M13)/8</f>
        <v>3.1875</v>
      </c>
      <c r="N18" s="21">
        <f>N17+(N21-N13)/8</f>
        <v>12.375</v>
      </c>
      <c r="O18" s="21">
        <f>O17+(O21-O13)/8</f>
        <v>6.125</v>
      </c>
      <c r="P18" s="21">
        <f>P17+(P21-P13)/8</f>
        <v>3.875</v>
      </c>
      <c r="Q18" s="21">
        <f>Q17+(Q21-Q13)/8</f>
        <v>-1.3874999999999997</v>
      </c>
      <c r="R18" s="3">
        <f t="shared" si="2"/>
        <v>37.411176630451607</v>
      </c>
      <c r="S18" s="3"/>
      <c r="T18" s="3">
        <f t="shared" si="7"/>
        <v>30.642454642697771</v>
      </c>
      <c r="U18" s="3">
        <f t="shared" si="6"/>
        <v>30.642454642697771</v>
      </c>
      <c r="V18" s="3">
        <f t="shared" si="8"/>
        <v>24.333757747445869</v>
      </c>
      <c r="W18" s="3">
        <f t="shared" si="5"/>
        <v>29.708928993691405</v>
      </c>
      <c r="X18" s="3">
        <v>23</v>
      </c>
      <c r="Z18">
        <v>2022</v>
      </c>
      <c r="AA18" s="3">
        <f>'BEV time series'!D17</f>
        <v>703.27855980540699</v>
      </c>
      <c r="AB18" s="3">
        <f>'BEV time series'!G17</f>
        <v>143.48158948999028</v>
      </c>
      <c r="AC18" s="3">
        <f>'BEV time series'!O17</f>
        <v>92.249999999999986</v>
      </c>
      <c r="AD18" s="3">
        <f t="shared" si="3"/>
        <v>13236.176630451602</v>
      </c>
      <c r="AM18">
        <v>2022</v>
      </c>
      <c r="AN18" s="12">
        <v>13.236176630451602</v>
      </c>
      <c r="AO18" s="21">
        <v>3.1875</v>
      </c>
      <c r="AP18" s="21">
        <v>12.375</v>
      </c>
      <c r="AQ18" s="21">
        <v>6.125</v>
      </c>
      <c r="AR18" s="21">
        <v>3.875</v>
      </c>
      <c r="AS18" s="21">
        <v>-1.3874999999999997</v>
      </c>
      <c r="AT18" s="3">
        <v>37.411176630451607</v>
      </c>
      <c r="AU18" s="3">
        <v>30.642454642697771</v>
      </c>
    </row>
    <row r="19" spans="10:47">
      <c r="J19">
        <v>2023</v>
      </c>
      <c r="K19" s="12">
        <f t="shared" si="0"/>
        <v>13.118217382358933</v>
      </c>
      <c r="L19" s="12">
        <f t="shared" si="4"/>
        <v>5.0972135132136431</v>
      </c>
      <c r="M19" s="21">
        <f>M18+(M21-M13)/8</f>
        <v>3.125</v>
      </c>
      <c r="N19" s="21">
        <f>N18+(N21-N13)/8</f>
        <v>12.25</v>
      </c>
      <c r="O19" s="21">
        <f>O18+(O21-O13)/8</f>
        <v>5.25</v>
      </c>
      <c r="P19" s="21">
        <f>P18+(P21-P13)/8</f>
        <v>3.75</v>
      </c>
      <c r="Q19" s="21">
        <f>Q18+(Q21-Q13)/8</f>
        <v>-0.42499999999999971</v>
      </c>
      <c r="R19" s="3">
        <f t="shared" si="2"/>
        <v>37.068217382358931</v>
      </c>
      <c r="S19" s="3"/>
      <c r="T19" s="3">
        <f t="shared" si="7"/>
        <v>30.361546257811007</v>
      </c>
      <c r="U19" s="3">
        <f t="shared" si="6"/>
        <v>30.361546257811007</v>
      </c>
      <c r="V19" s="3">
        <f t="shared" si="8"/>
        <v>23.791764994926925</v>
      </c>
      <c r="W19" s="3">
        <f t="shared" si="5"/>
        <v>29.047213513213642</v>
      </c>
      <c r="X19" s="3">
        <v>23</v>
      </c>
      <c r="Z19">
        <v>2023</v>
      </c>
      <c r="AA19" s="3">
        <f>'BEV time series'!D18</f>
        <v>750</v>
      </c>
      <c r="AB19" s="3">
        <f>'BEV time series'!G18</f>
        <v>154.3864585425319</v>
      </c>
      <c r="AC19" s="3">
        <f>'BEV time series'!O18</f>
        <v>84.969999999999985</v>
      </c>
      <c r="AD19" s="3">
        <f t="shared" si="3"/>
        <v>13118.217382358933</v>
      </c>
      <c r="AM19">
        <v>2023</v>
      </c>
      <c r="AN19" s="12">
        <v>13.118217382358933</v>
      </c>
      <c r="AO19" s="21">
        <v>3.125</v>
      </c>
      <c r="AP19" s="21">
        <v>12.25</v>
      </c>
      <c r="AQ19" s="21">
        <v>5.25</v>
      </c>
      <c r="AR19" s="21">
        <v>3.75</v>
      </c>
      <c r="AS19" s="21">
        <v>-0.42499999999999971</v>
      </c>
      <c r="AT19" s="3">
        <v>37.068217382358931</v>
      </c>
      <c r="AU19" s="3">
        <v>30.361546257811007</v>
      </c>
    </row>
    <row r="20" spans="10:47">
      <c r="J20">
        <v>2024</v>
      </c>
      <c r="K20" s="12">
        <f t="shared" si="0"/>
        <v>12.017441932950678</v>
      </c>
      <c r="L20" s="12">
        <f t="shared" si="4"/>
        <v>4.6694962912622087</v>
      </c>
      <c r="M20" s="21">
        <f>M19+(M21-M13)/8</f>
        <v>3.0625</v>
      </c>
      <c r="N20" s="21">
        <f>N19+(N21-N13)/8</f>
        <v>12.125</v>
      </c>
      <c r="O20" s="21">
        <f>O19+(O21-O13)/8</f>
        <v>4.375</v>
      </c>
      <c r="P20" s="21">
        <f>P19+(P21-P13)/8</f>
        <v>3.625</v>
      </c>
      <c r="Q20" s="21">
        <f>Q19+(Q21-Q13)/8</f>
        <v>0.53750000000000031</v>
      </c>
      <c r="R20" s="3">
        <f t="shared" si="2"/>
        <v>35.742441932950683</v>
      </c>
      <c r="S20" s="3"/>
      <c r="T20" s="3">
        <f t="shared" si="7"/>
        <v>29.275640447464834</v>
      </c>
      <c r="U20" s="3">
        <f t="shared" si="6"/>
        <v>29.275640447464834</v>
      </c>
      <c r="V20" s="3">
        <f t="shared" si="8"/>
        <v>23.257142465790157</v>
      </c>
      <c r="W20" s="3">
        <f t="shared" si="5"/>
        <v>28.394496291262211</v>
      </c>
      <c r="X20" s="3">
        <v>23</v>
      </c>
      <c r="Z20">
        <v>2024</v>
      </c>
      <c r="AA20" s="3">
        <f>'BEV time series'!D19</f>
        <v>750</v>
      </c>
      <c r="AB20" s="3">
        <f>'BEV time series'!G19</f>
        <v>154.3864585425319</v>
      </c>
      <c r="AC20" s="3">
        <f>'BEV time series'!O19</f>
        <v>77.839999999999975</v>
      </c>
      <c r="AD20" s="3">
        <f t="shared" si="3"/>
        <v>12017.441932950678</v>
      </c>
      <c r="AF20" s="12"/>
      <c r="AI20" s="12"/>
      <c r="AM20">
        <v>2024</v>
      </c>
      <c r="AN20" s="12">
        <v>12.017441932950678</v>
      </c>
      <c r="AO20" s="21">
        <v>3.0625</v>
      </c>
      <c r="AP20" s="21">
        <v>12.125</v>
      </c>
      <c r="AQ20" s="21">
        <v>4.375</v>
      </c>
      <c r="AR20" s="21">
        <v>3.625</v>
      </c>
      <c r="AS20" s="21">
        <v>0.53750000000000031</v>
      </c>
      <c r="AT20" s="3">
        <v>35.742441932950683</v>
      </c>
      <c r="AU20" s="3">
        <v>29.275640447464834</v>
      </c>
    </row>
    <row r="21" spans="10:47">
      <c r="J21">
        <v>2025</v>
      </c>
      <c r="K21" s="12">
        <f t="shared" si="0"/>
        <v>11.104246030671609</v>
      </c>
      <c r="L21" s="12">
        <f t="shared" si="4"/>
        <v>4.3146649633740308</v>
      </c>
      <c r="M21" s="12">
        <v>3</v>
      </c>
      <c r="N21" s="12">
        <v>12</v>
      </c>
      <c r="O21" s="12">
        <v>3.5</v>
      </c>
      <c r="P21" s="12">
        <v>3.5</v>
      </c>
      <c r="Q21" s="62">
        <v>1.5</v>
      </c>
      <c r="R21" s="3">
        <f t="shared" si="2"/>
        <v>34.604246030671611</v>
      </c>
      <c r="S21" s="3"/>
      <c r="T21" s="3">
        <f t="shared" si="7"/>
        <v>28.343375828936317</v>
      </c>
      <c r="U21" s="3">
        <f t="shared" si="6"/>
        <v>28.343375828936317</v>
      </c>
      <c r="V21" s="3">
        <f t="shared" si="8"/>
        <v>22.782218746048969</v>
      </c>
      <c r="W21" s="3">
        <f t="shared" si="5"/>
        <v>27.814664963374032</v>
      </c>
      <c r="X21" s="3">
        <v>23</v>
      </c>
      <c r="Z21">
        <v>2025</v>
      </c>
      <c r="AA21" s="3">
        <f>'BEV time series'!D20</f>
        <v>750</v>
      </c>
      <c r="AB21" s="3">
        <f>'BEV time series'!G20</f>
        <v>154.3864585425319</v>
      </c>
      <c r="AC21" s="3">
        <f>'BEV time series'!O20</f>
        <v>71.925000000000011</v>
      </c>
      <c r="AD21" s="3">
        <f t="shared" si="3"/>
        <v>11104.246030671609</v>
      </c>
      <c r="AF21" s="12">
        <f>AB21/AB13</f>
        <v>2.5736056275359522</v>
      </c>
      <c r="AG21">
        <f>(AC21/AC13)</f>
        <v>0.38092505958160477</v>
      </c>
      <c r="AM21">
        <v>2025</v>
      </c>
      <c r="AN21" s="12">
        <v>11.104246030671609</v>
      </c>
      <c r="AO21" s="12">
        <v>3</v>
      </c>
      <c r="AP21" s="12">
        <v>12</v>
      </c>
      <c r="AQ21" s="12">
        <v>3.5</v>
      </c>
      <c r="AR21" s="12">
        <v>3.5</v>
      </c>
      <c r="AS21" s="62">
        <v>1.5</v>
      </c>
      <c r="AT21" s="3">
        <v>34.604246030671611</v>
      </c>
      <c r="AU21" s="3">
        <v>28.343375828936317</v>
      </c>
    </row>
    <row r="22" spans="10:47">
      <c r="J22">
        <v>2026</v>
      </c>
      <c r="K22" s="12">
        <f>AB22*AC22/1000</f>
        <v>10.455822904792974</v>
      </c>
      <c r="L22" s="12">
        <f t="shared" si="4"/>
        <v>4.0627137246368603</v>
      </c>
      <c r="M22" s="21">
        <f>M21+(M26-M21)/5</f>
        <v>3</v>
      </c>
      <c r="N22" s="21">
        <f>N21+(N26-N21)/5</f>
        <v>12</v>
      </c>
      <c r="O22" s="21">
        <f>O21+(O26-O21)/5</f>
        <v>3.5</v>
      </c>
      <c r="P22" s="21">
        <f>P21+(P26-P21)/5</f>
        <v>3.5</v>
      </c>
      <c r="Q22" s="21">
        <f>Q21+(Q26-Q21)/5</f>
        <v>1.5</v>
      </c>
      <c r="R22" s="3">
        <f t="shared" si="2"/>
        <v>33.955822904792974</v>
      </c>
      <c r="S22" s="3"/>
      <c r="T22" s="3">
        <f t="shared" si="7"/>
        <v>27.812270474504896</v>
      </c>
      <c r="U22" s="3">
        <f t="shared" si="6"/>
        <v>27.812270474504896</v>
      </c>
      <c r="V22" s="3">
        <f t="shared" si="8"/>
        <v>22.575852491348197</v>
      </c>
      <c r="W22" s="3">
        <f t="shared" si="5"/>
        <v>27.562713724636861</v>
      </c>
      <c r="X22" s="3">
        <v>23</v>
      </c>
      <c r="Z22">
        <v>2026</v>
      </c>
      <c r="AA22" s="3">
        <f>'BEV time series'!D21</f>
        <v>750</v>
      </c>
      <c r="AB22" s="3">
        <f>'BEV time series'!G21</f>
        <v>154.3864585425319</v>
      </c>
      <c r="AC22" s="3">
        <f>'BEV time series'!O21</f>
        <v>67.725000000000009</v>
      </c>
      <c r="AD22" s="3">
        <f t="shared" si="3"/>
        <v>10455.822904792974</v>
      </c>
      <c r="AF22" s="12"/>
      <c r="AM22">
        <v>2026</v>
      </c>
      <c r="AN22" s="12">
        <v>10.455822904792974</v>
      </c>
      <c r="AO22" s="21">
        <v>3</v>
      </c>
      <c r="AP22" s="21">
        <v>12</v>
      </c>
      <c r="AQ22" s="21">
        <v>3.5</v>
      </c>
      <c r="AR22" s="21">
        <v>3.5</v>
      </c>
      <c r="AS22" s="21">
        <v>1.5</v>
      </c>
      <c r="AT22" s="3">
        <v>33.955822904792974</v>
      </c>
      <c r="AU22" s="3">
        <v>27.812270474504896</v>
      </c>
    </row>
    <row r="23" spans="10:47">
      <c r="J23">
        <v>2027</v>
      </c>
      <c r="K23" s="12">
        <f t="shared" si="0"/>
        <v>9.8073997789143377</v>
      </c>
      <c r="L23" s="12">
        <f t="shared" si="4"/>
        <v>3.8107624858996907</v>
      </c>
      <c r="M23" s="21">
        <f>M22+(M26-M21)/5</f>
        <v>3</v>
      </c>
      <c r="N23" s="21">
        <f>N22+(N26-N21)/5</f>
        <v>12</v>
      </c>
      <c r="O23" s="21">
        <f>O22+(O26-O21)/5</f>
        <v>3.5</v>
      </c>
      <c r="P23" s="21">
        <f>P22+(P26-P21)/5</f>
        <v>3.5</v>
      </c>
      <c r="Q23" s="21">
        <f>Q22+(Q26-Q21)/5</f>
        <v>1.5</v>
      </c>
      <c r="R23" s="3">
        <f t="shared" si="2"/>
        <v>33.307399778914338</v>
      </c>
      <c r="S23" s="3"/>
      <c r="T23" s="3">
        <f t="shared" si="7"/>
        <v>27.281165120073478</v>
      </c>
      <c r="U23" s="3">
        <f t="shared" si="6"/>
        <v>27.281165120073478</v>
      </c>
      <c r="V23" s="3">
        <f t="shared" si="8"/>
        <v>22.369486236647425</v>
      </c>
      <c r="W23" s="3">
        <f t="shared" si="5"/>
        <v>27.310762485899691</v>
      </c>
      <c r="X23" s="3">
        <v>23</v>
      </c>
      <c r="Z23">
        <v>2027</v>
      </c>
      <c r="AA23" s="3">
        <f>'BEV time series'!D22</f>
        <v>750</v>
      </c>
      <c r="AB23" s="3">
        <f>'BEV time series'!G22</f>
        <v>154.3864585425319</v>
      </c>
      <c r="AC23" s="3">
        <f>'BEV time series'!O22</f>
        <v>63.524999999999999</v>
      </c>
      <c r="AD23" s="3">
        <f t="shared" si="3"/>
        <v>9807.3997789143377</v>
      </c>
      <c r="AF23" s="12"/>
      <c r="AM23">
        <v>2027</v>
      </c>
      <c r="AN23" s="12">
        <v>9.8073997789143377</v>
      </c>
      <c r="AO23" s="21">
        <v>3</v>
      </c>
      <c r="AP23" s="21">
        <v>12</v>
      </c>
      <c r="AQ23" s="21">
        <v>3.5</v>
      </c>
      <c r="AR23" s="21">
        <v>3.5</v>
      </c>
      <c r="AS23" s="21">
        <v>1.5</v>
      </c>
      <c r="AT23" s="3">
        <v>33.307399778914338</v>
      </c>
      <c r="AU23" s="3">
        <v>27.281165120073478</v>
      </c>
    </row>
    <row r="24" spans="10:47">
      <c r="J24">
        <v>2028</v>
      </c>
      <c r="K24" s="12">
        <f t="shared" si="0"/>
        <v>9.0779237623008751</v>
      </c>
      <c r="L24" s="12">
        <f t="shared" si="4"/>
        <v>3.5273173423203747</v>
      </c>
      <c r="M24" s="21">
        <f>M23+(M26-M21)/5</f>
        <v>3</v>
      </c>
      <c r="N24" s="21">
        <f>N23+(N26-N21)/5</f>
        <v>12</v>
      </c>
      <c r="O24" s="21">
        <f>O23+(O26-O21)/5</f>
        <v>3.5</v>
      </c>
      <c r="P24" s="21">
        <f>P23+(P26-P21)/5</f>
        <v>3.5</v>
      </c>
      <c r="Q24" s="21">
        <f>Q23+(Q26-Q21)/5</f>
        <v>1.5</v>
      </c>
      <c r="R24" s="3">
        <f t="shared" si="2"/>
        <v>32.577923762300877</v>
      </c>
      <c r="S24" s="3"/>
      <c r="T24" s="3">
        <f t="shared" si="7"/>
        <v>26.683671596338133</v>
      </c>
      <c r="U24" s="3">
        <f t="shared" si="6"/>
        <v>26.683671596338133</v>
      </c>
      <c r="V24" s="3">
        <f t="shared" si="8"/>
        <v>22.13732420010906</v>
      </c>
      <c r="W24" s="3">
        <f t="shared" si="5"/>
        <v>27.027317342320373</v>
      </c>
      <c r="X24" s="3">
        <v>23</v>
      </c>
      <c r="Z24">
        <v>2028</v>
      </c>
      <c r="AA24" s="3">
        <f>'BEV time series'!D23</f>
        <v>750</v>
      </c>
      <c r="AB24" s="3">
        <f>'BEV time series'!G23</f>
        <v>154.3864585425319</v>
      </c>
      <c r="AC24" s="3">
        <f>'BEV time series'!O23</f>
        <v>58.8</v>
      </c>
      <c r="AD24" s="3">
        <f t="shared" si="3"/>
        <v>9077.9237623008758</v>
      </c>
      <c r="AF24" s="12"/>
      <c r="AM24">
        <v>2028</v>
      </c>
      <c r="AN24" s="12">
        <v>9.0779237623008751</v>
      </c>
      <c r="AO24" s="21">
        <v>3</v>
      </c>
      <c r="AP24" s="21">
        <v>12</v>
      </c>
      <c r="AQ24" s="21">
        <v>3.5</v>
      </c>
      <c r="AR24" s="21">
        <v>3.5</v>
      </c>
      <c r="AS24" s="21">
        <v>1.5</v>
      </c>
      <c r="AT24" s="3">
        <v>32.577923762300877</v>
      </c>
      <c r="AU24" s="3">
        <v>26.683671596338133</v>
      </c>
    </row>
    <row r="25" spans="10:47">
      <c r="J25">
        <v>2029</v>
      </c>
      <c r="K25" s="12">
        <f t="shared" si="0"/>
        <v>8.429500636422242</v>
      </c>
      <c r="L25" s="12">
        <f t="shared" si="4"/>
        <v>3.2753661035832051</v>
      </c>
      <c r="M25" s="21">
        <f>M24+(M26-M21)/5</f>
        <v>3</v>
      </c>
      <c r="N25" s="21">
        <f>N24+(N26-N21)/5</f>
        <v>12</v>
      </c>
      <c r="O25" s="21">
        <f>O24+(O26-O21)/5</f>
        <v>3.5</v>
      </c>
      <c r="P25" s="21">
        <f>P24+(P26-P21)/5</f>
        <v>3.5</v>
      </c>
      <c r="Q25" s="21">
        <f>Q24+(Q26-Q21)/5</f>
        <v>1.5</v>
      </c>
      <c r="R25" s="3">
        <f t="shared" si="2"/>
        <v>31.92950063642224</v>
      </c>
      <c r="S25" s="3"/>
      <c r="T25" s="3">
        <f t="shared" si="7"/>
        <v>26.152566241906715</v>
      </c>
      <c r="U25" s="3">
        <f t="shared" si="6"/>
        <v>26.152566241906715</v>
      </c>
      <c r="V25" s="3">
        <f t="shared" si="8"/>
        <v>21.930957945408291</v>
      </c>
      <c r="W25" s="3">
        <f t="shared" si="5"/>
        <v>26.775366103583206</v>
      </c>
      <c r="X25" s="3">
        <v>23</v>
      </c>
      <c r="Z25">
        <v>2029</v>
      </c>
      <c r="AA25" s="3">
        <f>'BEV time series'!D24</f>
        <v>750</v>
      </c>
      <c r="AB25" s="3">
        <f>'BEV time series'!G24</f>
        <v>154.3864585425319</v>
      </c>
      <c r="AC25" s="3">
        <f>'BEV time series'!O24</f>
        <v>54.6</v>
      </c>
      <c r="AD25" s="3">
        <f t="shared" si="3"/>
        <v>8429.5006364222427</v>
      </c>
      <c r="AE25" t="s">
        <v>264</v>
      </c>
      <c r="AF25" s="12"/>
      <c r="AI25" s="7"/>
      <c r="AJ25" s="7"/>
      <c r="AK25" s="7"/>
      <c r="AM25">
        <v>2029</v>
      </c>
      <c r="AN25" s="12">
        <v>8.429500636422242</v>
      </c>
      <c r="AO25" s="21">
        <v>3</v>
      </c>
      <c r="AP25" s="21">
        <v>12</v>
      </c>
      <c r="AQ25" s="21">
        <v>3.5</v>
      </c>
      <c r="AR25" s="21">
        <v>3.5</v>
      </c>
      <c r="AS25" s="21">
        <v>1.5</v>
      </c>
      <c r="AT25" s="3">
        <v>31.92950063642224</v>
      </c>
      <c r="AU25" s="3">
        <v>26.152566241906715</v>
      </c>
    </row>
    <row r="26" spans="10:47">
      <c r="J26">
        <v>2030</v>
      </c>
      <c r="K26" s="12">
        <f t="shared" si="0"/>
        <v>7.7000246198087794</v>
      </c>
      <c r="L26" s="12">
        <f t="shared" si="4"/>
        <v>2.9919209600038896</v>
      </c>
      <c r="M26" s="12">
        <v>3</v>
      </c>
      <c r="N26" s="12">
        <v>12</v>
      </c>
      <c r="O26" s="12">
        <v>3.5</v>
      </c>
      <c r="P26" s="12">
        <v>3.5</v>
      </c>
      <c r="Q26" s="62">
        <v>1.5</v>
      </c>
      <c r="R26" s="3">
        <f t="shared" si="2"/>
        <v>31.200024619808779</v>
      </c>
      <c r="S26" s="3"/>
      <c r="T26" s="3">
        <f t="shared" si="7"/>
        <v>25.55507271817137</v>
      </c>
      <c r="U26" s="3">
        <f t="shared" si="6"/>
        <v>25.55507271817137</v>
      </c>
      <c r="V26" s="3">
        <f t="shared" si="8"/>
        <v>21.698795908869926</v>
      </c>
      <c r="W26" s="3">
        <f t="shared" si="5"/>
        <v>26.491920960003888</v>
      </c>
      <c r="X26" s="3">
        <v>23</v>
      </c>
      <c r="Z26">
        <v>2030</v>
      </c>
      <c r="AA26" s="3">
        <f>'BEV time series'!D25</f>
        <v>750</v>
      </c>
      <c r="AB26" s="3">
        <f>'BEV time series'!G25</f>
        <v>154.3864585425319</v>
      </c>
      <c r="AC26" s="3">
        <f>'BEV time series'!O25</f>
        <v>49.875000000000007</v>
      </c>
      <c r="AD26" s="3">
        <f t="shared" si="3"/>
        <v>7700.0246198087798</v>
      </c>
      <c r="AF26" s="12"/>
      <c r="AM26">
        <v>2030</v>
      </c>
      <c r="AN26" s="12">
        <v>7.7000246198087794</v>
      </c>
      <c r="AO26" s="12">
        <v>3</v>
      </c>
      <c r="AP26" s="12">
        <v>12</v>
      </c>
      <c r="AQ26" s="12">
        <v>3.5</v>
      </c>
      <c r="AR26" s="12">
        <v>3.5</v>
      </c>
      <c r="AS26" s="62">
        <v>1.5</v>
      </c>
      <c r="AT26" s="3">
        <v>31.200024619808779</v>
      </c>
      <c r="AU26" s="3">
        <v>25.55507271817137</v>
      </c>
    </row>
    <row r="27" spans="10:47">
      <c r="AE27" s="12"/>
    </row>
    <row r="28" spans="10:47">
      <c r="AE28" s="12"/>
    </row>
    <row r="29" spans="10:47">
      <c r="AE29" s="12"/>
    </row>
    <row r="30" spans="10:47">
      <c r="AE30" s="12"/>
    </row>
    <row r="31" spans="10:47">
      <c r="AE31" s="12"/>
    </row>
    <row r="32" spans="10:47">
      <c r="AE32" s="12"/>
    </row>
    <row r="33" spans="31:31">
      <c r="AE33" s="12"/>
    </row>
    <row r="34" spans="31:31">
      <c r="AE34" s="12"/>
    </row>
    <row r="35" spans="31:31">
      <c r="AE35" s="12"/>
    </row>
    <row r="36" spans="31:31">
      <c r="AE36" s="12"/>
    </row>
    <row r="37" spans="31:31">
      <c r="AE37" s="12"/>
    </row>
  </sheetData>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36"/>
  <sheetViews>
    <sheetView topLeftCell="A91" zoomScale="75" zoomScaleNormal="75" workbookViewId="0">
      <selection activeCell="P116" sqref="P116:AC136"/>
    </sheetView>
  </sheetViews>
  <sheetFormatPr defaultRowHeight="15"/>
  <cols>
    <col min="2" max="2" width="12.42578125" customWidth="1"/>
    <col min="4" max="4" width="12.28515625" customWidth="1"/>
    <col min="5" max="5" width="10" customWidth="1"/>
    <col min="6" max="6" width="9.42578125" customWidth="1"/>
    <col min="7" max="7" width="10.85546875" customWidth="1"/>
    <col min="8" max="8" width="16.85546875" customWidth="1"/>
    <col min="9" max="9" width="15" customWidth="1"/>
    <col min="12" max="12" width="11.140625" customWidth="1"/>
    <col min="18" max="18" width="11" customWidth="1"/>
    <col min="19" max="19" width="11.5703125" customWidth="1"/>
    <col min="20" max="20" width="14.7109375" customWidth="1"/>
    <col min="21" max="21" width="12.7109375" customWidth="1"/>
    <col min="22" max="22" width="11.140625" customWidth="1"/>
    <col min="23" max="23" width="12.42578125" customWidth="1"/>
  </cols>
  <sheetData>
    <row r="1" spans="1:40">
      <c r="A1" t="s">
        <v>5</v>
      </c>
      <c r="B1" t="s">
        <v>1395</v>
      </c>
      <c r="C1" t="s">
        <v>758</v>
      </c>
      <c r="D1" t="s">
        <v>758</v>
      </c>
      <c r="E1" t="s">
        <v>498</v>
      </c>
      <c r="F1" t="s">
        <v>758</v>
      </c>
      <c r="G1" t="s">
        <v>758</v>
      </c>
      <c r="H1" t="s">
        <v>758</v>
      </c>
      <c r="I1" t="s">
        <v>758</v>
      </c>
      <c r="J1" t="s">
        <v>758</v>
      </c>
      <c r="O1" t="s">
        <v>758</v>
      </c>
      <c r="P1" t="s">
        <v>758</v>
      </c>
      <c r="Q1" t="s">
        <v>758</v>
      </c>
      <c r="U1" t="s">
        <v>730</v>
      </c>
      <c r="V1" s="33" t="s">
        <v>715</v>
      </c>
      <c r="W1" s="87" t="s">
        <v>1181</v>
      </c>
      <c r="X1" s="87" t="s">
        <v>1181</v>
      </c>
      <c r="Y1" s="87" t="s">
        <v>1181</v>
      </c>
      <c r="AD1" t="s">
        <v>747</v>
      </c>
    </row>
    <row r="2" spans="1:40">
      <c r="B2" t="s">
        <v>710</v>
      </c>
      <c r="C2" t="s">
        <v>710</v>
      </c>
      <c r="D2" t="s">
        <v>749</v>
      </c>
      <c r="E2" t="s">
        <v>714</v>
      </c>
      <c r="F2" t="s">
        <v>728</v>
      </c>
      <c r="G2" t="s">
        <v>269</v>
      </c>
      <c r="H2" t="s">
        <v>750</v>
      </c>
      <c r="I2" t="s">
        <v>755</v>
      </c>
      <c r="J2" t="s">
        <v>269</v>
      </c>
      <c r="O2" t="s">
        <v>269</v>
      </c>
      <c r="P2" t="s">
        <v>717</v>
      </c>
      <c r="Q2" t="s">
        <v>725</v>
      </c>
      <c r="V2" s="33"/>
      <c r="W2" s="87" t="s">
        <v>338</v>
      </c>
      <c r="X2" s="87" t="s">
        <v>1182</v>
      </c>
      <c r="Y2" s="87" t="s">
        <v>1183</v>
      </c>
      <c r="AE2" t="s">
        <v>757</v>
      </c>
      <c r="AF2" t="s">
        <v>850</v>
      </c>
    </row>
    <row r="3" spans="1:40">
      <c r="A3">
        <v>2009</v>
      </c>
      <c r="B3" s="3">
        <f>X3</f>
        <v>29.592572886961211</v>
      </c>
      <c r="C3" s="3">
        <f t="shared" ref="C3:C24" si="0">B3*AE3*1000</f>
        <v>33827.286538306398</v>
      </c>
      <c r="D3" s="61">
        <v>0</v>
      </c>
      <c r="E3" s="33">
        <v>13</v>
      </c>
      <c r="F3" s="61">
        <f>E3/100*C3</f>
        <v>4397.5472499798316</v>
      </c>
      <c r="G3" s="3">
        <f t="shared" ref="G3:G24" si="1">C3+F3+D3</f>
        <v>38224.833788286232</v>
      </c>
      <c r="H3" s="3">
        <f t="shared" ref="H3:H13" si="2">-(Q54+T54)*AF$11/AF3</f>
        <v>-190.89846216636823</v>
      </c>
      <c r="I3" s="3">
        <f>Australia!I3-S54</f>
        <v>2200</v>
      </c>
      <c r="J3" s="3">
        <f>G3+H3+I3</f>
        <v>40233.935326119863</v>
      </c>
      <c r="N3">
        <v>2009</v>
      </c>
      <c r="O3" s="3">
        <f>J3</f>
        <v>40233.935326119863</v>
      </c>
      <c r="P3" s="3">
        <f>J28</f>
        <v>40233.935326119863</v>
      </c>
      <c r="Q3" s="3">
        <f>G53</f>
        <v>29709.183466029579</v>
      </c>
      <c r="R3" s="3"/>
      <c r="S3" s="3"/>
      <c r="T3">
        <v>2009</v>
      </c>
      <c r="U3" s="3">
        <f>'Vehicle price'!X5</f>
        <v>23</v>
      </c>
      <c r="V3">
        <v>1</v>
      </c>
      <c r="W3" s="3">
        <f t="shared" ref="W3:W24" si="3">X3*V3</f>
        <v>29.592572886961211</v>
      </c>
      <c r="X3" s="3">
        <f>'Vehicle price'!T5</f>
        <v>29.592572886961211</v>
      </c>
      <c r="Y3" s="3">
        <f>X3*Z3</f>
        <v>29.592572886961211</v>
      </c>
      <c r="Z3">
        <v>1</v>
      </c>
      <c r="AD3">
        <v>2009</v>
      </c>
      <c r="AE3" s="156">
        <v>1.14310055659983</v>
      </c>
      <c r="AF3" s="13">
        <f>CPIs!E48</f>
        <v>98.254149528195356</v>
      </c>
    </row>
    <row r="4" spans="1:40">
      <c r="A4">
        <v>2010</v>
      </c>
      <c r="B4" s="3">
        <f t="shared" ref="B4:B24" si="4">X4</f>
        <v>30</v>
      </c>
      <c r="C4" s="3">
        <f t="shared" si="0"/>
        <v>30904.883488612802</v>
      </c>
      <c r="D4" s="61">
        <v>0</v>
      </c>
      <c r="E4" s="33">
        <v>13</v>
      </c>
      <c r="F4" s="61">
        <f t="shared" ref="F4:F11" si="5">E4/100*C4</f>
        <v>4017.6348535196644</v>
      </c>
      <c r="G4" s="3">
        <f t="shared" si="1"/>
        <v>34922.518342132469</v>
      </c>
      <c r="H4" s="3">
        <f t="shared" si="2"/>
        <v>-1969.4394348716733</v>
      </c>
      <c r="I4" s="3">
        <f>Australia!I4-S55</f>
        <v>2033.3333333333333</v>
      </c>
      <c r="J4" s="3">
        <f t="shared" ref="J4:J11" si="6">G4+H4+I4</f>
        <v>34986.412240594131</v>
      </c>
      <c r="N4">
        <v>2010</v>
      </c>
      <c r="O4" s="3">
        <f t="shared" ref="O4:O24" si="7">J4</f>
        <v>34986.412240594131</v>
      </c>
      <c r="P4" s="3">
        <f t="shared" ref="P4:P12" si="8">J29</f>
        <v>35642.89205221802</v>
      </c>
      <c r="Q4" s="3">
        <f t="shared" ref="Q4:Q12" si="9">G54</f>
        <v>26773.930728968222</v>
      </c>
      <c r="R4" s="3"/>
      <c r="S4" s="3"/>
      <c r="T4">
        <v>2010</v>
      </c>
      <c r="U4" s="3">
        <f>'Vehicle price'!X6</f>
        <v>23</v>
      </c>
      <c r="V4">
        <v>1</v>
      </c>
      <c r="W4" s="3">
        <f t="shared" si="3"/>
        <v>30</v>
      </c>
      <c r="X4" s="3">
        <f>'Vehicle price'!T6</f>
        <v>30</v>
      </c>
      <c r="Y4" s="3">
        <f t="shared" ref="Y4:Y24" si="10">X4*Z4</f>
        <v>30</v>
      </c>
      <c r="Z4">
        <v>1</v>
      </c>
      <c r="AD4">
        <v>2010</v>
      </c>
      <c r="AE4" s="156">
        <v>1.0301627829537601</v>
      </c>
      <c r="AF4" s="13">
        <f>CPIs!E49</f>
        <v>100</v>
      </c>
    </row>
    <row r="5" spans="1:40">
      <c r="A5">
        <v>2011</v>
      </c>
      <c r="B5" s="3">
        <f t="shared" si="4"/>
        <v>30</v>
      </c>
      <c r="C5" s="3">
        <f t="shared" si="0"/>
        <v>29634.131693372085</v>
      </c>
      <c r="D5" s="61">
        <v>0</v>
      </c>
      <c r="E5" s="33">
        <v>13</v>
      </c>
      <c r="F5" s="61">
        <f t="shared" si="5"/>
        <v>3852.437120138371</v>
      </c>
      <c r="G5" s="3">
        <f t="shared" si="1"/>
        <v>33486.568813510457</v>
      </c>
      <c r="H5" s="3">
        <f t="shared" si="2"/>
        <v>-2095.9678978655879</v>
      </c>
      <c r="I5" s="3">
        <f>Australia!I5-S56</f>
        <v>2033.3333333333333</v>
      </c>
      <c r="J5" s="3">
        <f t="shared" si="6"/>
        <v>33423.934248978207</v>
      </c>
      <c r="N5">
        <v>2011</v>
      </c>
      <c r="O5" s="3">
        <f t="shared" si="7"/>
        <v>33423.934248978207</v>
      </c>
      <c r="P5" s="3">
        <f t="shared" si="8"/>
        <v>34061.837522241643</v>
      </c>
      <c r="Q5" s="3">
        <f t="shared" si="9"/>
        <v>25673.036090358019</v>
      </c>
      <c r="R5" s="3"/>
      <c r="S5" s="3"/>
      <c r="T5">
        <v>2011</v>
      </c>
      <c r="U5" s="3">
        <f>'Vehicle price'!X7</f>
        <v>23</v>
      </c>
      <c r="V5">
        <v>1</v>
      </c>
      <c r="W5" s="3">
        <f t="shared" si="3"/>
        <v>30</v>
      </c>
      <c r="X5" s="3">
        <f>'Vehicle price'!T7</f>
        <v>30</v>
      </c>
      <c r="Y5" s="3">
        <f t="shared" si="10"/>
        <v>30</v>
      </c>
      <c r="Z5">
        <v>1</v>
      </c>
      <c r="AD5">
        <v>2011</v>
      </c>
      <c r="AE5" s="156">
        <v>0.98780438977906948</v>
      </c>
      <c r="AF5" s="13">
        <f>CPIs!E50</f>
        <v>102.91212463378906</v>
      </c>
    </row>
    <row r="6" spans="1:40">
      <c r="A6">
        <v>2012</v>
      </c>
      <c r="B6" s="3">
        <f t="shared" si="4"/>
        <v>30.842462459493706</v>
      </c>
      <c r="C6" s="3">
        <f t="shared" si="0"/>
        <v>30799.924543183595</v>
      </c>
      <c r="D6" s="61">
        <v>0</v>
      </c>
      <c r="E6" s="33">
        <v>13</v>
      </c>
      <c r="F6" s="61">
        <f t="shared" si="5"/>
        <v>4003.9901906138675</v>
      </c>
      <c r="G6" s="3">
        <f t="shared" si="1"/>
        <v>34803.914733797465</v>
      </c>
      <c r="H6" s="3">
        <f t="shared" si="2"/>
        <v>-4578.190119132305</v>
      </c>
      <c r="I6" s="3">
        <f>Australia!I6-S57</f>
        <v>1850</v>
      </c>
      <c r="J6" s="3">
        <f t="shared" si="6"/>
        <v>32075.72461466516</v>
      </c>
      <c r="N6">
        <v>2012</v>
      </c>
      <c r="O6" s="3">
        <f t="shared" si="7"/>
        <v>32075.72461466516</v>
      </c>
      <c r="P6" s="3">
        <f t="shared" si="8"/>
        <v>34409.703891085548</v>
      </c>
      <c r="Q6" s="3">
        <f t="shared" si="9"/>
        <v>25954.154598668905</v>
      </c>
      <c r="R6" s="3"/>
      <c r="S6" s="3"/>
      <c r="T6">
        <v>2012</v>
      </c>
      <c r="U6" s="3">
        <f>'Vehicle price'!X8</f>
        <v>23</v>
      </c>
      <c r="V6">
        <v>1</v>
      </c>
      <c r="W6" s="3">
        <f t="shared" si="3"/>
        <v>30.842462459493706</v>
      </c>
      <c r="X6" s="3">
        <f>'Vehicle price'!T8</f>
        <v>30.842462459493706</v>
      </c>
      <c r="Y6" s="3">
        <f t="shared" si="10"/>
        <v>30.842462459493706</v>
      </c>
      <c r="Z6">
        <v>1</v>
      </c>
      <c r="AD6">
        <v>2012</v>
      </c>
      <c r="AE6" s="156">
        <v>0.99862080025659505</v>
      </c>
      <c r="AF6" s="13">
        <f>CPIs!E51</f>
        <v>104.47194671630859</v>
      </c>
    </row>
    <row r="7" spans="1:40">
      <c r="A7">
        <v>2013</v>
      </c>
      <c r="B7" s="3">
        <f t="shared" si="4"/>
        <v>31.143929334439989</v>
      </c>
      <c r="C7" s="3">
        <f t="shared" si="0"/>
        <v>32197.965014097819</v>
      </c>
      <c r="D7" s="61">
        <v>0</v>
      </c>
      <c r="E7" s="33">
        <v>13</v>
      </c>
      <c r="F7" s="61">
        <f t="shared" si="5"/>
        <v>4185.7354518327165</v>
      </c>
      <c r="G7" s="3">
        <f t="shared" si="1"/>
        <v>36383.700465930538</v>
      </c>
      <c r="H7" s="3">
        <f t="shared" si="2"/>
        <v>-4535.6325029042819</v>
      </c>
      <c r="I7" s="3">
        <f>Australia!I7-S58</f>
        <v>1850</v>
      </c>
      <c r="J7" s="3">
        <f t="shared" si="6"/>
        <v>33698.06796302626</v>
      </c>
      <c r="N7">
        <v>2013</v>
      </c>
      <c r="O7" s="3">
        <f t="shared" si="7"/>
        <v>33698.06796302626</v>
      </c>
      <c r="P7" s="3">
        <f t="shared" si="8"/>
        <v>36010.351199800985</v>
      </c>
      <c r="Q7" s="3">
        <f t="shared" si="9"/>
        <v>26869.606006683731</v>
      </c>
      <c r="R7" s="3"/>
      <c r="S7" s="3"/>
      <c r="T7">
        <v>2013</v>
      </c>
      <c r="U7" s="3">
        <f>'Vehicle price'!X9</f>
        <v>23</v>
      </c>
      <c r="V7">
        <v>1</v>
      </c>
      <c r="W7" s="3">
        <f t="shared" si="3"/>
        <v>31.143929334439989</v>
      </c>
      <c r="X7" s="3">
        <f>'Vehicle price'!T9</f>
        <v>31.143929334439989</v>
      </c>
      <c r="Y7" s="3">
        <f t="shared" si="10"/>
        <v>31.143929334439989</v>
      </c>
      <c r="Z7">
        <v>1</v>
      </c>
      <c r="AD7">
        <v>2013</v>
      </c>
      <c r="AE7" s="156">
        <v>1.0338440171867538</v>
      </c>
      <c r="AF7" s="13">
        <f>CPIs!E52</f>
        <v>105.45220184326172</v>
      </c>
    </row>
    <row r="8" spans="1:40">
      <c r="A8">
        <v>2014</v>
      </c>
      <c r="B8" s="3">
        <f t="shared" si="4"/>
        <v>33.541755956678692</v>
      </c>
      <c r="C8" s="3">
        <f t="shared" si="0"/>
        <v>37119.481075268814</v>
      </c>
      <c r="D8" s="61">
        <v>0</v>
      </c>
      <c r="E8" s="33">
        <v>13</v>
      </c>
      <c r="F8" s="61">
        <f t="shared" si="5"/>
        <v>4825.5325397849456</v>
      </c>
      <c r="G8" s="3">
        <f t="shared" si="1"/>
        <v>41945.013615053758</v>
      </c>
      <c r="H8" s="3">
        <f t="shared" si="2"/>
        <v>-4450.7724744651587</v>
      </c>
      <c r="I8" s="3">
        <f>Australia!I8-S59</f>
        <v>1850</v>
      </c>
      <c r="J8" s="3">
        <f t="shared" si="6"/>
        <v>39344.241140588601</v>
      </c>
      <c r="N8">
        <v>2014</v>
      </c>
      <c r="O8" s="3">
        <f t="shared" si="7"/>
        <v>39344.241140588601</v>
      </c>
      <c r="P8" s="3">
        <f t="shared" si="8"/>
        <v>41613.26240208064</v>
      </c>
      <c r="Q8" s="3">
        <f t="shared" si="9"/>
        <v>28762.218483500186</v>
      </c>
      <c r="R8" s="3"/>
      <c r="S8" s="3"/>
      <c r="T8">
        <v>2014</v>
      </c>
      <c r="U8" s="3">
        <f>'Vehicle price'!X10</f>
        <v>23</v>
      </c>
      <c r="V8">
        <v>1</v>
      </c>
      <c r="W8" s="3">
        <f t="shared" si="3"/>
        <v>33.541755956678692</v>
      </c>
      <c r="X8" s="3">
        <f>'Vehicle price'!T10</f>
        <v>33.541755956678692</v>
      </c>
      <c r="Y8" s="3">
        <f t="shared" si="10"/>
        <v>33.541755956678692</v>
      </c>
      <c r="Z8">
        <v>1</v>
      </c>
      <c r="AD8">
        <v>2014</v>
      </c>
      <c r="AE8" s="156">
        <v>1.106664812754913</v>
      </c>
      <c r="AF8" s="13">
        <f>CPIs!E53</f>
        <v>107.46279144287109</v>
      </c>
    </row>
    <row r="9" spans="1:40">
      <c r="A9">
        <v>2015</v>
      </c>
      <c r="B9" s="3">
        <f t="shared" si="4"/>
        <v>30</v>
      </c>
      <c r="C9" s="3">
        <f t="shared" si="0"/>
        <v>38627.788072964344</v>
      </c>
      <c r="D9" s="61">
        <v>0</v>
      </c>
      <c r="E9" s="33">
        <v>13</v>
      </c>
      <c r="F9" s="61">
        <f t="shared" si="5"/>
        <v>5021.6124494853648</v>
      </c>
      <c r="G9" s="3">
        <f t="shared" si="1"/>
        <v>43649.400522449709</v>
      </c>
      <c r="H9" s="3">
        <f t="shared" si="2"/>
        <v>-4401.2479157330763</v>
      </c>
      <c r="I9" s="3">
        <f>Australia!I9-S60</f>
        <v>1850</v>
      </c>
      <c r="J9" s="3">
        <f t="shared" si="6"/>
        <v>41098.152606716634</v>
      </c>
      <c r="N9">
        <v>2015</v>
      </c>
      <c r="O9" s="3">
        <f t="shared" si="7"/>
        <v>41098.152606716634</v>
      </c>
      <c r="P9" s="3">
        <f t="shared" si="8"/>
        <v>43341.926053953102</v>
      </c>
      <c r="Q9" s="3">
        <f t="shared" si="9"/>
        <v>33464.540400544778</v>
      </c>
      <c r="R9" s="3"/>
      <c r="S9" s="3"/>
      <c r="T9">
        <v>2015</v>
      </c>
      <c r="U9" s="3">
        <f>'Vehicle price'!X11</f>
        <v>23</v>
      </c>
      <c r="V9">
        <v>1</v>
      </c>
      <c r="W9" s="3">
        <f t="shared" si="3"/>
        <v>30</v>
      </c>
      <c r="X9" s="3">
        <f>'Vehicle price'!T11</f>
        <v>30</v>
      </c>
      <c r="Y9" s="3">
        <f t="shared" si="10"/>
        <v>30</v>
      </c>
      <c r="Z9">
        <v>1</v>
      </c>
      <c r="AD9">
        <v>2015</v>
      </c>
      <c r="AE9" s="156">
        <v>1.2875929357654781</v>
      </c>
      <c r="AF9" s="13">
        <f>CPIs!E54</f>
        <v>108.67200469970703</v>
      </c>
      <c r="AM9" s="13"/>
      <c r="AN9" s="13"/>
    </row>
    <row r="10" spans="1:40">
      <c r="A10">
        <v>2016</v>
      </c>
      <c r="B10" s="3">
        <f t="shared" si="4"/>
        <v>30</v>
      </c>
      <c r="C10" s="3">
        <f t="shared" si="0"/>
        <v>39681.422278021273</v>
      </c>
      <c r="D10" s="61">
        <v>0</v>
      </c>
      <c r="E10" s="33">
        <v>13</v>
      </c>
      <c r="F10" s="61">
        <f t="shared" si="5"/>
        <v>5158.5848961427655</v>
      </c>
      <c r="G10" s="3">
        <f t="shared" si="1"/>
        <v>44840.007174164042</v>
      </c>
      <c r="H10" s="3">
        <f t="shared" si="2"/>
        <v>-4821.3888888888887</v>
      </c>
      <c r="I10" s="3">
        <f>Australia!I10-S61</f>
        <v>1683.3333333333335</v>
      </c>
      <c r="J10" s="3">
        <f t="shared" si="6"/>
        <v>41701.951618608487</v>
      </c>
      <c r="N10">
        <v>2016</v>
      </c>
      <c r="O10" s="3">
        <f t="shared" si="7"/>
        <v>41701.951618608487</v>
      </c>
      <c r="P10" s="3">
        <f t="shared" si="8"/>
        <v>44226.090507497378</v>
      </c>
      <c r="Q10" s="3">
        <f t="shared" si="9"/>
        <v>34377.338833525762</v>
      </c>
      <c r="R10" s="3"/>
      <c r="S10" s="3"/>
      <c r="T10">
        <v>2016</v>
      </c>
      <c r="U10" s="3">
        <f>'Vehicle price'!X12</f>
        <v>23</v>
      </c>
      <c r="V10">
        <v>1</v>
      </c>
      <c r="W10" s="3">
        <f t="shared" si="3"/>
        <v>30</v>
      </c>
      <c r="X10" s="3">
        <f>'Vehicle price'!T12</f>
        <v>30</v>
      </c>
      <c r="Y10" s="3">
        <f t="shared" si="10"/>
        <v>30</v>
      </c>
      <c r="Z10">
        <v>1</v>
      </c>
      <c r="AD10">
        <v>2016</v>
      </c>
      <c r="AE10" s="156">
        <v>1.3227140759340423</v>
      </c>
      <c r="AF10" s="13">
        <f>CPIs!E55</f>
        <v>110.22467803955078</v>
      </c>
      <c r="AM10" s="13"/>
      <c r="AN10" s="13"/>
    </row>
    <row r="11" spans="1:40">
      <c r="A11">
        <v>2017</v>
      </c>
      <c r="B11" s="3">
        <f t="shared" si="4"/>
        <v>30</v>
      </c>
      <c r="C11" s="3">
        <f t="shared" si="0"/>
        <v>38859.130208671915</v>
      </c>
      <c r="D11" s="61">
        <v>0</v>
      </c>
      <c r="E11" s="33">
        <v>13</v>
      </c>
      <c r="F11" s="61">
        <f t="shared" si="5"/>
        <v>5051.686927127349</v>
      </c>
      <c r="G11" s="3">
        <f t="shared" si="1"/>
        <v>43910.817135799261</v>
      </c>
      <c r="H11" s="3">
        <f t="shared" si="2"/>
        <v>-5027.7777777777765</v>
      </c>
      <c r="I11" s="3">
        <f>Australia!I11-S62</f>
        <v>1683.3333333333335</v>
      </c>
      <c r="J11" s="3">
        <f t="shared" si="6"/>
        <v>40566.372691354823</v>
      </c>
      <c r="N11">
        <v>2017</v>
      </c>
      <c r="O11" s="3">
        <f t="shared" si="7"/>
        <v>40566.372691354823</v>
      </c>
      <c r="P11" s="3">
        <f t="shared" si="8"/>
        <v>43344.150469132597</v>
      </c>
      <c r="Q11" s="3">
        <f t="shared" si="9"/>
        <v>33664.959804112768</v>
      </c>
      <c r="R11" s="3"/>
      <c r="S11" s="3"/>
      <c r="T11">
        <v>2017</v>
      </c>
      <c r="U11" s="3">
        <f>'Vehicle price'!X13</f>
        <v>23</v>
      </c>
      <c r="V11">
        <v>1</v>
      </c>
      <c r="W11" s="3">
        <f t="shared" si="3"/>
        <v>30</v>
      </c>
      <c r="X11" s="3">
        <f>'Vehicle price'!T13</f>
        <v>30</v>
      </c>
      <c r="Y11" s="3">
        <f t="shared" si="10"/>
        <v>30</v>
      </c>
      <c r="Z11">
        <v>1</v>
      </c>
      <c r="AD11">
        <v>2017</v>
      </c>
      <c r="AE11" s="156">
        <v>1.2953043402890638</v>
      </c>
      <c r="AF11" s="13">
        <f>CPIs!E56</f>
        <v>112.53939627838133</v>
      </c>
      <c r="AM11" s="13"/>
      <c r="AN11" s="13"/>
    </row>
    <row r="12" spans="1:40">
      <c r="A12">
        <v>2018</v>
      </c>
      <c r="B12" s="3">
        <f t="shared" si="4"/>
        <v>30.592100851060948</v>
      </c>
      <c r="C12" s="3">
        <f t="shared" si="0"/>
        <v>39769.731106379229</v>
      </c>
      <c r="D12" s="61">
        <v>0</v>
      </c>
      <c r="E12" s="33">
        <v>13</v>
      </c>
      <c r="F12" s="61">
        <f>E12/100*C12</f>
        <v>5170.0650438292996</v>
      </c>
      <c r="G12" s="3">
        <f t="shared" si="1"/>
        <v>44939.796150208531</v>
      </c>
      <c r="H12" s="3">
        <f t="shared" si="2"/>
        <v>-4080.9663728370888</v>
      </c>
      <c r="I12" s="3">
        <f>Australia!I12-S63</f>
        <v>1683.3333333333335</v>
      </c>
      <c r="J12" s="3">
        <f>G12+H12+I12</f>
        <v>42542.16311070478</v>
      </c>
      <c r="N12">
        <v>2018</v>
      </c>
      <c r="O12" s="3">
        <f t="shared" si="7"/>
        <v>42542.16311070478</v>
      </c>
      <c r="P12" s="3">
        <f t="shared" si="8"/>
        <v>44827.504279493551</v>
      </c>
      <c r="Q12" s="3">
        <f t="shared" si="9"/>
        <v>33787.000000000007</v>
      </c>
      <c r="R12" s="3"/>
      <c r="S12" s="3"/>
      <c r="T12">
        <v>2018</v>
      </c>
      <c r="U12" s="3">
        <f>'Vehicle price'!X14</f>
        <v>23</v>
      </c>
      <c r="V12">
        <v>1</v>
      </c>
      <c r="W12" s="3">
        <f t="shared" si="3"/>
        <v>30.592100851060948</v>
      </c>
      <c r="X12" s="3">
        <f>'Vehicle price'!T14</f>
        <v>30.592100851060948</v>
      </c>
      <c r="Y12" s="3">
        <f t="shared" si="10"/>
        <v>30.592100851060948</v>
      </c>
      <c r="Z12">
        <v>1</v>
      </c>
      <c r="AD12">
        <v>2018</v>
      </c>
      <c r="AE12" s="14">
        <v>1.3</v>
      </c>
      <c r="AF12" s="20">
        <f>AF11*AF11/AF10</f>
        <v>114.90272360022732</v>
      </c>
      <c r="AM12" s="13"/>
      <c r="AN12" s="13"/>
    </row>
    <row r="13" spans="1:40">
      <c r="A13">
        <v>2019</v>
      </c>
      <c r="B13" s="3">
        <f t="shared" si="4"/>
        <v>31.172994053473918</v>
      </c>
      <c r="C13" s="3">
        <f t="shared" si="0"/>
        <v>40524.892269516095</v>
      </c>
      <c r="D13" s="61">
        <v>0</v>
      </c>
      <c r="E13" s="33">
        <v>13</v>
      </c>
      <c r="F13" s="61">
        <f t="shared" ref="F13:F24" si="11">E13/100*C13</f>
        <v>5268.2359950370928</v>
      </c>
      <c r="G13" s="3">
        <f t="shared" si="1"/>
        <v>45793.12826455319</v>
      </c>
      <c r="H13" s="3">
        <f t="shared" si="2"/>
        <v>-2558.0984119644827</v>
      </c>
      <c r="I13" s="3">
        <f>Australia!I13-S64</f>
        <v>1975</v>
      </c>
      <c r="J13" s="3">
        <f>G13+H13+I13</f>
        <v>45210.029852588705</v>
      </c>
      <c r="N13">
        <v>2019</v>
      </c>
      <c r="O13" s="3">
        <f t="shared" si="7"/>
        <v>45210.029852588705</v>
      </c>
      <c r="P13" s="3">
        <f t="shared" ref="P13:P24" si="12">J38</f>
        <v>46728.900784692618</v>
      </c>
      <c r="Q13" s="3">
        <f t="shared" ref="Q13:Q24" si="13">G63</f>
        <v>33787.000000000007</v>
      </c>
      <c r="R13" s="3"/>
      <c r="S13" s="3"/>
      <c r="T13">
        <v>2019</v>
      </c>
      <c r="U13" s="3">
        <f>'Vehicle price'!X15</f>
        <v>23</v>
      </c>
      <c r="V13" s="20">
        <f>V12+(V24-V12)/12</f>
        <v>1.0249999999999999</v>
      </c>
      <c r="W13" s="3">
        <f t="shared" si="3"/>
        <v>31.952318904810763</v>
      </c>
      <c r="X13" s="3">
        <f>'Vehicle price'!T15</f>
        <v>31.172994053473918</v>
      </c>
      <c r="Y13" s="3">
        <f t="shared" si="10"/>
        <v>30.393669202137069</v>
      </c>
      <c r="Z13" s="20">
        <f>Z12+(Z24-Z12)/12</f>
        <v>0.97499999999999998</v>
      </c>
      <c r="AD13">
        <v>2019</v>
      </c>
      <c r="AE13" s="14">
        <v>1.3</v>
      </c>
      <c r="AF13" s="20">
        <f t="shared" ref="AF13:AF24" si="14">AF12*AF12/AF11</f>
        <v>117.31568079583208</v>
      </c>
      <c r="AM13" s="13"/>
      <c r="AN13" s="13"/>
    </row>
    <row r="14" spans="1:40">
      <c r="A14">
        <v>2020</v>
      </c>
      <c r="B14" s="3">
        <f t="shared" si="4"/>
        <v>30.985903123425071</v>
      </c>
      <c r="C14" s="3">
        <f t="shared" si="0"/>
        <v>40281.674060452591</v>
      </c>
      <c r="D14" s="61">
        <v>0</v>
      </c>
      <c r="E14" s="33">
        <v>13</v>
      </c>
      <c r="F14" s="61">
        <f t="shared" si="11"/>
        <v>5236.6176278588373</v>
      </c>
      <c r="G14" s="3">
        <f t="shared" si="1"/>
        <v>45518.29168831143</v>
      </c>
      <c r="H14" s="3">
        <f t="shared" ref="H14:H24" si="15">H13*AF13/AF14</f>
        <v>-2505.483263432403</v>
      </c>
      <c r="I14" s="3">
        <f t="shared" ref="I14:I24" si="16">I13</f>
        <v>1975</v>
      </c>
      <c r="J14" s="3">
        <f t="shared" ref="J14:J24" si="17">G14+H14+I14</f>
        <v>44987.808424879026</v>
      </c>
      <c r="N14">
        <v>2020</v>
      </c>
      <c r="O14" s="3">
        <f t="shared" si="7"/>
        <v>44987.808424879026</v>
      </c>
      <c r="P14" s="3">
        <f t="shared" si="12"/>
        <v>46475.439112542015</v>
      </c>
      <c r="Q14" s="3">
        <f t="shared" si="13"/>
        <v>33787.000000000007</v>
      </c>
      <c r="R14" s="3"/>
      <c r="S14" s="3"/>
      <c r="T14">
        <v>2020</v>
      </c>
      <c r="U14" s="3">
        <f>'Vehicle price'!X16</f>
        <v>23</v>
      </c>
      <c r="V14" s="20">
        <f>V13+(V24-V12)/12</f>
        <v>1.0499999999999998</v>
      </c>
      <c r="W14" s="3">
        <f t="shared" si="3"/>
        <v>32.535198279596322</v>
      </c>
      <c r="X14" s="3">
        <f>'Vehicle price'!T16</f>
        <v>30.985903123425071</v>
      </c>
      <c r="Y14" s="3">
        <f t="shared" si="10"/>
        <v>29.436607967253817</v>
      </c>
      <c r="Z14" s="20">
        <f>Z13+(Z24-Z12)/12</f>
        <v>0.95</v>
      </c>
      <c r="AD14">
        <v>2020</v>
      </c>
      <c r="AE14" s="14">
        <v>1.3</v>
      </c>
      <c r="AF14" s="20">
        <f t="shared" si="14"/>
        <v>119.77931009254453</v>
      </c>
      <c r="AM14" s="13"/>
      <c r="AN14" s="13"/>
    </row>
    <row r="15" spans="1:40">
      <c r="A15">
        <v>2021</v>
      </c>
      <c r="B15" s="3">
        <f t="shared" si="4"/>
        <v>30.206708843097807</v>
      </c>
      <c r="C15" s="3">
        <f t="shared" si="0"/>
        <v>39268.721496027145</v>
      </c>
      <c r="D15" s="61">
        <v>0</v>
      </c>
      <c r="E15" s="33">
        <v>13</v>
      </c>
      <c r="F15" s="61">
        <f t="shared" si="11"/>
        <v>5104.9337944835288</v>
      </c>
      <c r="G15" s="3">
        <f t="shared" si="1"/>
        <v>44373.655290510673</v>
      </c>
      <c r="H15" s="3">
        <f t="shared" si="15"/>
        <v>-2453.9503069857033</v>
      </c>
      <c r="I15" s="3">
        <f t="shared" si="16"/>
        <v>1975</v>
      </c>
      <c r="J15" s="3">
        <f t="shared" si="17"/>
        <v>43894.704983524971</v>
      </c>
      <c r="N15">
        <v>2021</v>
      </c>
      <c r="O15" s="3">
        <f t="shared" si="7"/>
        <v>43894.704983524971</v>
      </c>
      <c r="P15" s="3">
        <f t="shared" si="12"/>
        <v>45351.73797829773</v>
      </c>
      <c r="Q15" s="3">
        <f t="shared" si="13"/>
        <v>33787.000000000007</v>
      </c>
      <c r="R15" s="3"/>
      <c r="S15" s="3"/>
      <c r="T15">
        <v>2021</v>
      </c>
      <c r="U15" s="3">
        <f>'Vehicle price'!X17</f>
        <v>23</v>
      </c>
      <c r="V15" s="20">
        <f>V14+(V24-V12)/12</f>
        <v>1.0749999999999997</v>
      </c>
      <c r="W15" s="3">
        <f t="shared" si="3"/>
        <v>32.472212006330132</v>
      </c>
      <c r="X15" s="3">
        <f>'Vehicle price'!T17</f>
        <v>30.206708843097807</v>
      </c>
      <c r="Y15" s="3">
        <f t="shared" si="10"/>
        <v>27.941205679865469</v>
      </c>
      <c r="Z15" s="20">
        <f>Z14+(Z24-Z12)/12</f>
        <v>0.92499999999999993</v>
      </c>
      <c r="AD15">
        <v>2021</v>
      </c>
      <c r="AE15" s="14">
        <v>1.3</v>
      </c>
      <c r="AF15" s="20">
        <f t="shared" si="14"/>
        <v>122.29467560448795</v>
      </c>
      <c r="AM15" s="13"/>
      <c r="AN15" s="13"/>
    </row>
    <row r="16" spans="1:40">
      <c r="A16">
        <v>2022</v>
      </c>
      <c r="B16" s="3">
        <f t="shared" si="4"/>
        <v>30.642454642697771</v>
      </c>
      <c r="C16" s="3">
        <f t="shared" si="0"/>
        <v>39835.191035507101</v>
      </c>
      <c r="D16" s="61">
        <v>0</v>
      </c>
      <c r="E16" s="33">
        <v>13</v>
      </c>
      <c r="F16" s="61">
        <f t="shared" si="11"/>
        <v>5178.5748346159235</v>
      </c>
      <c r="G16" s="3">
        <f t="shared" si="1"/>
        <v>45013.765870123025</v>
      </c>
      <c r="H16" s="3">
        <f t="shared" si="15"/>
        <v>-2403.4772840212577</v>
      </c>
      <c r="I16" s="3">
        <f t="shared" si="16"/>
        <v>1975</v>
      </c>
      <c r="J16" s="3">
        <f t="shared" si="17"/>
        <v>44585.288586101764</v>
      </c>
      <c r="N16">
        <v>2022</v>
      </c>
      <c r="O16" s="3">
        <f t="shared" si="7"/>
        <v>44585.288586101764</v>
      </c>
      <c r="P16" s="3">
        <f t="shared" si="12"/>
        <v>46012.353223489386</v>
      </c>
      <c r="Q16" s="3">
        <f t="shared" si="13"/>
        <v>33787.000000000007</v>
      </c>
      <c r="R16" s="3"/>
      <c r="S16" s="3"/>
      <c r="T16">
        <v>2022</v>
      </c>
      <c r="U16" s="3">
        <f>'Vehicle price'!X18</f>
        <v>23</v>
      </c>
      <c r="V16" s="20">
        <f>V15+(V24-V12)/12</f>
        <v>1.0999999999999996</v>
      </c>
      <c r="W16" s="3">
        <f t="shared" si="3"/>
        <v>33.706700106967538</v>
      </c>
      <c r="X16" s="3">
        <f>'Vehicle price'!T18</f>
        <v>30.642454642697771</v>
      </c>
      <c r="Y16" s="3">
        <f t="shared" si="10"/>
        <v>27.57820917842799</v>
      </c>
      <c r="Z16" s="20">
        <f>Z15+(Z24-Z12)/12</f>
        <v>0.89999999999999991</v>
      </c>
      <c r="AD16">
        <v>2022</v>
      </c>
      <c r="AE16" s="14">
        <v>1.3</v>
      </c>
      <c r="AF16" s="20">
        <f t="shared" si="14"/>
        <v>124.86286379218217</v>
      </c>
      <c r="AM16" s="13"/>
      <c r="AN16" s="13"/>
    </row>
    <row r="17" spans="1:40">
      <c r="A17">
        <v>2023</v>
      </c>
      <c r="B17" s="3">
        <f t="shared" si="4"/>
        <v>30.361546257811007</v>
      </c>
      <c r="C17" s="3">
        <f t="shared" si="0"/>
        <v>39470.010135154313</v>
      </c>
      <c r="D17" s="61">
        <v>0</v>
      </c>
      <c r="E17" s="33">
        <v>13</v>
      </c>
      <c r="F17" s="61">
        <f t="shared" si="11"/>
        <v>5131.1013175700609</v>
      </c>
      <c r="G17" s="3">
        <f t="shared" si="1"/>
        <v>44601.111452724377</v>
      </c>
      <c r="H17" s="3">
        <f t="shared" si="15"/>
        <v>-2354.0423937524565</v>
      </c>
      <c r="I17" s="3">
        <f t="shared" si="16"/>
        <v>1975</v>
      </c>
      <c r="J17" s="3">
        <f t="shared" si="17"/>
        <v>44222.069058971923</v>
      </c>
      <c r="N17">
        <v>2023</v>
      </c>
      <c r="O17" s="3">
        <f t="shared" si="7"/>
        <v>44222.069058971923</v>
      </c>
      <c r="P17" s="3">
        <f t="shared" si="12"/>
        <v>45619.781730262439</v>
      </c>
      <c r="Q17" s="3">
        <f t="shared" si="13"/>
        <v>33787.000000000007</v>
      </c>
      <c r="R17" s="3"/>
      <c r="S17" s="3"/>
      <c r="T17">
        <v>2023</v>
      </c>
      <c r="U17" s="3">
        <f>'Vehicle price'!X19</f>
        <v>23</v>
      </c>
      <c r="V17" s="20">
        <f>V16+(V24-V12)/12</f>
        <v>1.1249999999999996</v>
      </c>
      <c r="W17" s="3">
        <f t="shared" si="3"/>
        <v>34.156739540037371</v>
      </c>
      <c r="X17" s="3">
        <f>'Vehicle price'!T19</f>
        <v>30.361546257811007</v>
      </c>
      <c r="Y17" s="3">
        <f t="shared" si="10"/>
        <v>26.566352975584628</v>
      </c>
      <c r="Z17" s="20">
        <f>Z16+(Z24-Z12)/12</f>
        <v>0.87499999999999989</v>
      </c>
      <c r="AD17">
        <v>2023</v>
      </c>
      <c r="AE17" s="14">
        <v>1.3</v>
      </c>
      <c r="AF17" s="20">
        <f t="shared" si="14"/>
        <v>127.48498393181796</v>
      </c>
      <c r="AM17" s="13"/>
      <c r="AN17" s="13"/>
    </row>
    <row r="18" spans="1:40">
      <c r="A18">
        <v>2024</v>
      </c>
      <c r="B18" s="3">
        <f t="shared" si="4"/>
        <v>29.275640447464834</v>
      </c>
      <c r="C18" s="3">
        <f t="shared" si="0"/>
        <v>38058.332581704286</v>
      </c>
      <c r="D18" s="61">
        <v>0</v>
      </c>
      <c r="E18" s="33">
        <v>13</v>
      </c>
      <c r="F18" s="61">
        <f t="shared" si="11"/>
        <v>4947.5832356215569</v>
      </c>
      <c r="G18" s="3">
        <f t="shared" si="1"/>
        <v>43005.91581732584</v>
      </c>
      <c r="H18" s="3">
        <f t="shared" si="15"/>
        <v>-2305.624283792808</v>
      </c>
      <c r="I18" s="3">
        <f t="shared" si="16"/>
        <v>1975</v>
      </c>
      <c r="J18" s="3">
        <f t="shared" si="17"/>
        <v>42675.291533533033</v>
      </c>
      <c r="N18">
        <v>2024</v>
      </c>
      <c r="O18" s="3">
        <f t="shared" si="7"/>
        <v>42675.291533533033</v>
      </c>
      <c r="P18" s="3">
        <f t="shared" si="12"/>
        <v>44044.255952035011</v>
      </c>
      <c r="Q18" s="3">
        <f t="shared" si="13"/>
        <v>33787.000000000007</v>
      </c>
      <c r="R18" s="3"/>
      <c r="S18" s="3"/>
      <c r="T18">
        <v>2024</v>
      </c>
      <c r="U18" s="3">
        <f>'Vehicle price'!X20</f>
        <v>23</v>
      </c>
      <c r="V18" s="20">
        <f>V17+(V24-V12)/12</f>
        <v>1.1499999999999995</v>
      </c>
      <c r="W18" s="3">
        <f t="shared" si="3"/>
        <v>33.666986514584543</v>
      </c>
      <c r="X18" s="3">
        <f>'Vehicle price'!T20</f>
        <v>29.275640447464834</v>
      </c>
      <c r="Y18" s="3">
        <f t="shared" si="10"/>
        <v>24.884294380345104</v>
      </c>
      <c r="Z18" s="20">
        <f>Z17+(Z24-Z12)/12</f>
        <v>0.84999999999999987</v>
      </c>
      <c r="AD18">
        <v>2024</v>
      </c>
      <c r="AE18" s="14">
        <v>1.3</v>
      </c>
      <c r="AF18" s="20">
        <f t="shared" si="14"/>
        <v>130.16216859438612</v>
      </c>
      <c r="AM18" s="13"/>
      <c r="AN18" s="13"/>
    </row>
    <row r="19" spans="1:40">
      <c r="A19">
        <v>2025</v>
      </c>
      <c r="B19" s="3">
        <f t="shared" si="4"/>
        <v>28.343375828936317</v>
      </c>
      <c r="C19" s="3">
        <f t="shared" si="0"/>
        <v>36846.38857761721</v>
      </c>
      <c r="D19" s="61">
        <v>0</v>
      </c>
      <c r="E19" s="33">
        <v>13</v>
      </c>
      <c r="F19" s="61">
        <f t="shared" si="11"/>
        <v>4790.0305150902377</v>
      </c>
      <c r="G19" s="3">
        <f t="shared" si="1"/>
        <v>41636.419092707445</v>
      </c>
      <c r="H19" s="3">
        <f t="shared" si="15"/>
        <v>-2258.2020409332113</v>
      </c>
      <c r="I19" s="3">
        <f t="shared" si="16"/>
        <v>1975</v>
      </c>
      <c r="J19" s="3">
        <f t="shared" si="17"/>
        <v>41353.217051774234</v>
      </c>
      <c r="N19">
        <v>2025</v>
      </c>
      <c r="O19" s="3">
        <f t="shared" si="7"/>
        <v>41353.217051774234</v>
      </c>
      <c r="P19" s="3">
        <f t="shared" si="12"/>
        <v>42694.024513578326</v>
      </c>
      <c r="Q19" s="3">
        <f t="shared" si="13"/>
        <v>33787.000000000007</v>
      </c>
      <c r="R19" s="3"/>
      <c r="S19" s="3"/>
      <c r="T19">
        <v>2025</v>
      </c>
      <c r="U19" s="3">
        <f>'Vehicle price'!X21</f>
        <v>23</v>
      </c>
      <c r="V19" s="20">
        <f>V18+(V24-V12)/12</f>
        <v>1.1749999999999994</v>
      </c>
      <c r="W19" s="3">
        <f t="shared" si="3"/>
        <v>33.303466599000153</v>
      </c>
      <c r="X19" s="3">
        <f>'Vehicle price'!T21</f>
        <v>28.343375828936317</v>
      </c>
      <c r="Y19" s="3">
        <f t="shared" si="10"/>
        <v>23.383285058872456</v>
      </c>
      <c r="Z19" s="20">
        <f>Z18+(Z24-Z12)/12</f>
        <v>0.82499999999999984</v>
      </c>
      <c r="AD19">
        <v>2025</v>
      </c>
      <c r="AE19" s="14">
        <v>1.3</v>
      </c>
      <c r="AF19" s="20">
        <f t="shared" si="14"/>
        <v>132.89557413486818</v>
      </c>
      <c r="AM19" s="13"/>
      <c r="AN19" s="13"/>
    </row>
    <row r="20" spans="1:40">
      <c r="A20">
        <v>2026</v>
      </c>
      <c r="B20" s="3">
        <f t="shared" si="4"/>
        <v>27.812270474504896</v>
      </c>
      <c r="C20" s="3">
        <f t="shared" si="0"/>
        <v>36155.951616856364</v>
      </c>
      <c r="D20" s="61">
        <v>0</v>
      </c>
      <c r="E20" s="33">
        <v>13</v>
      </c>
      <c r="F20" s="61">
        <f t="shared" si="11"/>
        <v>4700.2737101913272</v>
      </c>
      <c r="G20" s="3">
        <f t="shared" si="1"/>
        <v>40856.225327047694</v>
      </c>
      <c r="H20" s="3">
        <f t="shared" si="15"/>
        <v>-2211.7551821089246</v>
      </c>
      <c r="I20" s="3">
        <f t="shared" si="16"/>
        <v>1975</v>
      </c>
      <c r="J20" s="3">
        <f t="shared" si="17"/>
        <v>40619.470144938772</v>
      </c>
      <c r="N20">
        <v>2026</v>
      </c>
      <c r="O20" s="3">
        <f t="shared" si="7"/>
        <v>40619.470144938772</v>
      </c>
      <c r="P20" s="3">
        <f t="shared" si="12"/>
        <v>41932.699784315941</v>
      </c>
      <c r="Q20" s="3">
        <f t="shared" si="13"/>
        <v>33787.000000000007</v>
      </c>
      <c r="R20" s="3"/>
      <c r="S20" s="3"/>
      <c r="T20">
        <v>2026</v>
      </c>
      <c r="U20" s="3">
        <f>'Vehicle price'!X22</f>
        <v>23</v>
      </c>
      <c r="V20" s="20">
        <f>V19+(V24-V12)/12</f>
        <v>1.1999999999999993</v>
      </c>
      <c r="W20" s="3">
        <f t="shared" si="3"/>
        <v>33.374724569405856</v>
      </c>
      <c r="X20" s="3">
        <f>'Vehicle price'!T22</f>
        <v>27.812270474504896</v>
      </c>
      <c r="Y20" s="3">
        <f t="shared" si="10"/>
        <v>22.24981637960391</v>
      </c>
      <c r="Z20" s="20">
        <f>Z19+(Z24-Z12)/12</f>
        <v>0.79999999999999982</v>
      </c>
      <c r="AD20">
        <v>2026</v>
      </c>
      <c r="AE20" s="14">
        <v>1.3</v>
      </c>
      <c r="AF20" s="20">
        <f t="shared" si="14"/>
        <v>135.68638119170038</v>
      </c>
      <c r="AM20" s="13"/>
      <c r="AN20" s="13"/>
    </row>
    <row r="21" spans="1:40">
      <c r="A21">
        <v>2027</v>
      </c>
      <c r="B21" s="3">
        <f t="shared" si="4"/>
        <v>27.281165120073478</v>
      </c>
      <c r="C21" s="3">
        <f t="shared" si="0"/>
        <v>35465.514656095518</v>
      </c>
      <c r="D21" s="61">
        <v>0</v>
      </c>
      <c r="E21" s="33">
        <v>13</v>
      </c>
      <c r="F21" s="61">
        <f t="shared" si="11"/>
        <v>4610.5169052924175</v>
      </c>
      <c r="G21" s="3">
        <f t="shared" si="1"/>
        <v>40076.031561387936</v>
      </c>
      <c r="H21" s="3">
        <f t="shared" si="15"/>
        <v>-2166.2636455523266</v>
      </c>
      <c r="I21" s="3">
        <f t="shared" si="16"/>
        <v>1975</v>
      </c>
      <c r="J21" s="3">
        <f t="shared" si="17"/>
        <v>39884.767915835611</v>
      </c>
      <c r="N21">
        <v>2027</v>
      </c>
      <c r="O21" s="3">
        <f t="shared" si="7"/>
        <v>39884.767915835611</v>
      </c>
      <c r="P21" s="3">
        <f t="shared" si="12"/>
        <v>41170.986955382301</v>
      </c>
      <c r="Q21" s="3">
        <f t="shared" si="13"/>
        <v>33787.000000000007</v>
      </c>
      <c r="R21" s="3"/>
      <c r="S21" s="3"/>
      <c r="T21">
        <v>2027</v>
      </c>
      <c r="U21" s="3">
        <f>'Vehicle price'!X23</f>
        <v>23</v>
      </c>
      <c r="V21" s="20">
        <f>V20+(V24-V12)/12</f>
        <v>1.2249999999999992</v>
      </c>
      <c r="W21" s="3">
        <f t="shared" si="3"/>
        <v>33.41942727208999</v>
      </c>
      <c r="X21" s="3">
        <f>'Vehicle price'!T23</f>
        <v>27.281165120073478</v>
      </c>
      <c r="Y21" s="3">
        <f t="shared" si="10"/>
        <v>21.142902968056941</v>
      </c>
      <c r="Z21" s="20">
        <f>Z20+(Z24-Z12)/12</f>
        <v>0.7749999999999998</v>
      </c>
      <c r="AD21">
        <v>2027</v>
      </c>
      <c r="AE21" s="14">
        <v>1.3</v>
      </c>
      <c r="AF21" s="20">
        <f t="shared" si="14"/>
        <v>138.53579519672604</v>
      </c>
      <c r="AM21" s="13"/>
      <c r="AN21" s="13"/>
    </row>
    <row r="22" spans="1:40">
      <c r="A22">
        <v>2028</v>
      </c>
      <c r="B22" s="3">
        <f t="shared" si="4"/>
        <v>26.683671596338133</v>
      </c>
      <c r="C22" s="3">
        <f t="shared" si="0"/>
        <v>34688.773075239573</v>
      </c>
      <c r="D22" s="61">
        <v>0</v>
      </c>
      <c r="E22" s="33">
        <v>13</v>
      </c>
      <c r="F22" s="61">
        <f t="shared" si="11"/>
        <v>4509.5404997811447</v>
      </c>
      <c r="G22" s="3">
        <f t="shared" si="1"/>
        <v>39198.313575020715</v>
      </c>
      <c r="H22" s="3">
        <f t="shared" si="15"/>
        <v>-2121.7077821276466</v>
      </c>
      <c r="I22" s="3">
        <f t="shared" si="16"/>
        <v>1975</v>
      </c>
      <c r="J22" s="3">
        <f t="shared" si="17"/>
        <v>39051.605792893068</v>
      </c>
      <c r="N22">
        <v>2028</v>
      </c>
      <c r="O22" s="3">
        <f t="shared" si="7"/>
        <v>39051.605792893068</v>
      </c>
      <c r="P22" s="3">
        <f t="shared" si="12"/>
        <v>40311.36978853136</v>
      </c>
      <c r="Q22" s="3">
        <f t="shared" si="13"/>
        <v>33787.000000000007</v>
      </c>
      <c r="R22" s="3"/>
      <c r="S22" s="3"/>
      <c r="T22">
        <v>2028</v>
      </c>
      <c r="U22" s="3">
        <f>'Vehicle price'!X24</f>
        <v>23</v>
      </c>
      <c r="V22" s="20">
        <f>V21+(V24-V12)/12</f>
        <v>1.2499999999999991</v>
      </c>
      <c r="W22" s="3">
        <f t="shared" si="3"/>
        <v>33.354589495422644</v>
      </c>
      <c r="X22" s="3">
        <f>'Vehicle price'!T24</f>
        <v>26.683671596338133</v>
      </c>
      <c r="Y22" s="3">
        <f t="shared" si="10"/>
        <v>20.012753697253594</v>
      </c>
      <c r="Z22" s="20">
        <f>Z21+(Z24-Z12)/12</f>
        <v>0.74999999999999978</v>
      </c>
      <c r="AD22">
        <v>2028</v>
      </c>
      <c r="AE22" s="14">
        <v>1.3</v>
      </c>
      <c r="AF22" s="20">
        <f t="shared" si="14"/>
        <v>141.44504689585725</v>
      </c>
      <c r="AM22" s="13"/>
      <c r="AN22" s="13"/>
    </row>
    <row r="23" spans="1:40">
      <c r="A23">
        <v>2029</v>
      </c>
      <c r="B23" s="3">
        <f t="shared" si="4"/>
        <v>26.152566241906715</v>
      </c>
      <c r="C23" s="3">
        <f t="shared" si="0"/>
        <v>33998.336114478734</v>
      </c>
      <c r="D23" s="61">
        <v>0</v>
      </c>
      <c r="E23" s="33">
        <v>13</v>
      </c>
      <c r="F23" s="61">
        <f t="shared" si="11"/>
        <v>4419.783694882236</v>
      </c>
      <c r="G23" s="3">
        <f t="shared" si="1"/>
        <v>38418.119809360971</v>
      </c>
      <c r="H23" s="3">
        <f t="shared" si="15"/>
        <v>-2078.0683468439242</v>
      </c>
      <c r="I23" s="3">
        <f t="shared" si="16"/>
        <v>1975</v>
      </c>
      <c r="J23" s="3">
        <f t="shared" si="17"/>
        <v>38315.051462517047</v>
      </c>
      <c r="N23">
        <v>2029</v>
      </c>
      <c r="O23" s="3">
        <f t="shared" si="7"/>
        <v>38315.051462517047</v>
      </c>
      <c r="P23" s="3">
        <f t="shared" si="12"/>
        <v>39548.904543455625</v>
      </c>
      <c r="Q23" s="3">
        <f t="shared" si="13"/>
        <v>33787.000000000007</v>
      </c>
      <c r="R23" s="3"/>
      <c r="S23" s="3"/>
      <c r="T23">
        <v>2029</v>
      </c>
      <c r="U23" s="3">
        <f>'Vehicle price'!X25</f>
        <v>23</v>
      </c>
      <c r="V23" s="20">
        <f>V22+(V24-V12)/12</f>
        <v>1.274999999999999</v>
      </c>
      <c r="W23" s="3">
        <f t="shared" si="3"/>
        <v>33.344521958431038</v>
      </c>
      <c r="X23" s="3">
        <f>'Vehicle price'!T25</f>
        <v>26.152566241906715</v>
      </c>
      <c r="Y23" s="3">
        <f t="shared" si="10"/>
        <v>18.960610525382361</v>
      </c>
      <c r="Z23" s="20">
        <f>Z22+(Z24-Z12)/12</f>
        <v>0.72499999999999976</v>
      </c>
      <c r="AD23">
        <v>2029</v>
      </c>
      <c r="AE23" s="14">
        <v>1.3</v>
      </c>
      <c r="AF23" s="20">
        <f t="shared" si="14"/>
        <v>144.41539288067023</v>
      </c>
      <c r="AM23" s="13"/>
      <c r="AN23" s="13"/>
    </row>
    <row r="24" spans="1:40">
      <c r="A24">
        <v>2030</v>
      </c>
      <c r="B24" s="3">
        <f t="shared" si="4"/>
        <v>25.55507271817137</v>
      </c>
      <c r="C24" s="3">
        <f t="shared" si="0"/>
        <v>33221.594533622781</v>
      </c>
      <c r="D24" s="61">
        <v>0</v>
      </c>
      <c r="E24" s="33">
        <v>13</v>
      </c>
      <c r="F24" s="61">
        <f t="shared" si="11"/>
        <v>4318.8072893709614</v>
      </c>
      <c r="G24" s="3">
        <f t="shared" si="1"/>
        <v>37540.401822993743</v>
      </c>
      <c r="H24" s="3">
        <f t="shared" si="15"/>
        <v>-2035.3264905425315</v>
      </c>
      <c r="I24" s="3">
        <f t="shared" si="16"/>
        <v>1975</v>
      </c>
      <c r="J24" s="3">
        <f t="shared" si="17"/>
        <v>37480.075332451212</v>
      </c>
      <c r="N24">
        <v>2030</v>
      </c>
      <c r="O24" s="3">
        <f t="shared" si="7"/>
        <v>37480.075332451212</v>
      </c>
      <c r="P24" s="3">
        <f t="shared" si="12"/>
        <v>38688.55043621084</v>
      </c>
      <c r="Q24" s="3">
        <f t="shared" si="13"/>
        <v>33787.000000000007</v>
      </c>
      <c r="R24" s="3"/>
      <c r="S24" s="3"/>
      <c r="T24">
        <v>2030</v>
      </c>
      <c r="U24" s="3">
        <f>'Vehicle price'!X26</f>
        <v>23</v>
      </c>
      <c r="V24">
        <v>1.3</v>
      </c>
      <c r="W24" s="3">
        <f t="shared" si="3"/>
        <v>33.221594533622785</v>
      </c>
      <c r="X24" s="3">
        <f>'Vehicle price'!T26</f>
        <v>25.55507271817137</v>
      </c>
      <c r="Y24" s="3">
        <f t="shared" si="10"/>
        <v>17.88855090271996</v>
      </c>
      <c r="Z24">
        <v>0.7</v>
      </c>
      <c r="AD24">
        <v>2030</v>
      </c>
      <c r="AE24" s="14">
        <v>1.3</v>
      </c>
      <c r="AF24" s="20">
        <f t="shared" si="14"/>
        <v>147.44811613116428</v>
      </c>
      <c r="AM24" s="13"/>
      <c r="AN24" s="13"/>
    </row>
    <row r="25" spans="1:40">
      <c r="F25" s="3"/>
      <c r="AD25" s="13"/>
      <c r="AE25" s="13"/>
    </row>
    <row r="26" spans="1:40">
      <c r="A26" t="s">
        <v>324</v>
      </c>
      <c r="B26" t="s">
        <v>1395</v>
      </c>
      <c r="C26" t="s">
        <v>758</v>
      </c>
      <c r="D26" t="s">
        <v>758</v>
      </c>
      <c r="E26" t="s">
        <v>498</v>
      </c>
      <c r="F26" t="s">
        <v>758</v>
      </c>
      <c r="G26" t="s">
        <v>758</v>
      </c>
      <c r="H26" t="s">
        <v>758</v>
      </c>
      <c r="I26" t="s">
        <v>758</v>
      </c>
      <c r="J26" t="s">
        <v>758</v>
      </c>
      <c r="AD26" s="13"/>
      <c r="AE26" s="13"/>
    </row>
    <row r="27" spans="1:40">
      <c r="B27" t="s">
        <v>711</v>
      </c>
      <c r="C27" t="s">
        <v>711</v>
      </c>
      <c r="D27" t="s">
        <v>749</v>
      </c>
      <c r="E27" t="s">
        <v>714</v>
      </c>
      <c r="F27" s="3" t="s">
        <v>728</v>
      </c>
      <c r="G27" t="s">
        <v>717</v>
      </c>
      <c r="H27" t="s">
        <v>750</v>
      </c>
      <c r="I27" t="s">
        <v>755</v>
      </c>
      <c r="J27" t="s">
        <v>717</v>
      </c>
      <c r="AE27" s="13"/>
    </row>
    <row r="28" spans="1:40">
      <c r="A28">
        <v>2009</v>
      </c>
      <c r="B28" s="3">
        <f t="shared" ref="B28:B49" si="18">B3</f>
        <v>29.592572886961211</v>
      </c>
      <c r="C28" s="3">
        <f t="shared" ref="C28:C49" si="19">B28*AE3*1000</f>
        <v>33827.286538306398</v>
      </c>
      <c r="D28" s="61">
        <v>0</v>
      </c>
      <c r="E28" s="33">
        <v>13</v>
      </c>
      <c r="F28" s="61">
        <f>E28/100*C28</f>
        <v>4397.5472499798316</v>
      </c>
      <c r="G28" s="3">
        <f t="shared" ref="G28:G49" si="20">C28+F28+D28</f>
        <v>38224.833788286232</v>
      </c>
      <c r="H28" s="3">
        <f t="shared" ref="H28:H38" si="21">-(R54+T54)*AF$11/AF3</f>
        <v>-190.89846216636823</v>
      </c>
      <c r="I28" s="3">
        <f>Australia!I49-S54</f>
        <v>2200</v>
      </c>
      <c r="J28" s="3">
        <f>G28+H28+I28</f>
        <v>40233.935326119863</v>
      </c>
      <c r="AE28" s="72"/>
    </row>
    <row r="29" spans="1:40">
      <c r="A29">
        <v>2010</v>
      </c>
      <c r="B29" s="3">
        <f t="shared" si="18"/>
        <v>30</v>
      </c>
      <c r="C29" s="3">
        <f t="shared" si="19"/>
        <v>30904.883488612802</v>
      </c>
      <c r="D29" s="61">
        <v>0</v>
      </c>
      <c r="E29" s="33">
        <v>13</v>
      </c>
      <c r="F29" s="61">
        <f t="shared" ref="F29:F49" si="22">E29/100*C29</f>
        <v>4017.6348535196644</v>
      </c>
      <c r="G29" s="3">
        <f t="shared" si="20"/>
        <v>34922.518342132469</v>
      </c>
      <c r="H29" s="3">
        <f t="shared" si="21"/>
        <v>-1312.9596232477822</v>
      </c>
      <c r="I29" s="3">
        <f>Australia!I50-S55</f>
        <v>2033.3333333333333</v>
      </c>
      <c r="J29" s="3">
        <f t="shared" ref="J29:J49" si="23">G29+H29+I29</f>
        <v>35642.89205221802</v>
      </c>
    </row>
    <row r="30" spans="1:40">
      <c r="A30">
        <v>2011</v>
      </c>
      <c r="B30" s="3">
        <f t="shared" si="18"/>
        <v>30</v>
      </c>
      <c r="C30" s="3">
        <f t="shared" si="19"/>
        <v>29634.131693372085</v>
      </c>
      <c r="D30" s="61">
        <v>0</v>
      </c>
      <c r="E30" s="33">
        <v>13</v>
      </c>
      <c r="F30" s="61">
        <f t="shared" si="22"/>
        <v>3852.437120138371</v>
      </c>
      <c r="G30" s="3">
        <f t="shared" si="20"/>
        <v>33486.568813510457</v>
      </c>
      <c r="H30" s="3">
        <f t="shared" si="21"/>
        <v>-1458.0646246021481</v>
      </c>
      <c r="I30" s="3">
        <f>Australia!I51-S56</f>
        <v>2033.3333333333333</v>
      </c>
      <c r="J30" s="3">
        <f t="shared" si="23"/>
        <v>34061.837522241643</v>
      </c>
    </row>
    <row r="31" spans="1:40">
      <c r="A31">
        <v>2012</v>
      </c>
      <c r="B31" s="3">
        <f t="shared" si="18"/>
        <v>30.842462459493706</v>
      </c>
      <c r="C31" s="3">
        <f t="shared" si="19"/>
        <v>30799.924543183595</v>
      </c>
      <c r="D31" s="61">
        <v>0</v>
      </c>
      <c r="E31" s="33">
        <v>13</v>
      </c>
      <c r="F31" s="61">
        <f t="shared" si="22"/>
        <v>4003.9901906138675</v>
      </c>
      <c r="G31" s="3">
        <f t="shared" si="20"/>
        <v>34803.914733797465</v>
      </c>
      <c r="H31" s="3">
        <f t="shared" si="21"/>
        <v>-2244.2108427119142</v>
      </c>
      <c r="I31" s="3">
        <f>Australia!I52-S57</f>
        <v>1850</v>
      </c>
      <c r="J31" s="3">
        <f t="shared" si="23"/>
        <v>34409.703891085548</v>
      </c>
    </row>
    <row r="32" spans="1:40">
      <c r="A32">
        <v>2013</v>
      </c>
      <c r="B32" s="3">
        <f t="shared" si="18"/>
        <v>31.143929334439989</v>
      </c>
      <c r="C32" s="3">
        <f t="shared" si="19"/>
        <v>32197.965014097819</v>
      </c>
      <c r="D32" s="61">
        <v>0</v>
      </c>
      <c r="E32" s="33">
        <v>13</v>
      </c>
      <c r="F32" s="61">
        <f t="shared" si="22"/>
        <v>4185.7354518327165</v>
      </c>
      <c r="G32" s="3">
        <f t="shared" si="20"/>
        <v>36383.700465930538</v>
      </c>
      <c r="H32" s="3">
        <f t="shared" si="21"/>
        <v>-2223.34926612955</v>
      </c>
      <c r="I32" s="3">
        <f>Australia!I53-S58</f>
        <v>1850</v>
      </c>
      <c r="J32" s="3">
        <f t="shared" si="23"/>
        <v>36010.351199800985</v>
      </c>
    </row>
    <row r="33" spans="1:22">
      <c r="A33">
        <v>2014</v>
      </c>
      <c r="B33" s="3">
        <f t="shared" si="18"/>
        <v>33.541755956678692</v>
      </c>
      <c r="C33" s="3">
        <f t="shared" si="19"/>
        <v>37119.481075268814</v>
      </c>
      <c r="D33" s="61">
        <v>0</v>
      </c>
      <c r="E33" s="33">
        <v>13</v>
      </c>
      <c r="F33" s="61">
        <f t="shared" si="22"/>
        <v>4825.5325397849456</v>
      </c>
      <c r="G33" s="3">
        <f t="shared" si="20"/>
        <v>41945.013615053758</v>
      </c>
      <c r="H33" s="3">
        <f t="shared" si="21"/>
        <v>-2181.7512129731172</v>
      </c>
      <c r="I33" s="3">
        <f>Australia!I54-S59</f>
        <v>1850</v>
      </c>
      <c r="J33" s="3">
        <f t="shared" si="23"/>
        <v>41613.26240208064</v>
      </c>
      <c r="V33" s="167"/>
    </row>
    <row r="34" spans="1:22">
      <c r="A34">
        <v>2015</v>
      </c>
      <c r="B34" s="3">
        <f t="shared" si="18"/>
        <v>30</v>
      </c>
      <c r="C34" s="3">
        <f t="shared" si="19"/>
        <v>38627.788072964344</v>
      </c>
      <c r="D34" s="61">
        <v>0</v>
      </c>
      <c r="E34" s="33">
        <v>13</v>
      </c>
      <c r="F34" s="61">
        <f t="shared" si="22"/>
        <v>5021.6124494853648</v>
      </c>
      <c r="G34" s="3">
        <f t="shared" si="20"/>
        <v>43649.400522449709</v>
      </c>
      <c r="H34" s="3">
        <f t="shared" si="21"/>
        <v>-2157.4744684966063</v>
      </c>
      <c r="I34" s="3">
        <f>Australia!I55-S60</f>
        <v>1850</v>
      </c>
      <c r="J34" s="3">
        <f t="shared" si="23"/>
        <v>43341.926053953102</v>
      </c>
    </row>
    <row r="35" spans="1:22">
      <c r="A35">
        <v>2016</v>
      </c>
      <c r="B35" s="3">
        <f t="shared" si="18"/>
        <v>30</v>
      </c>
      <c r="C35" s="3">
        <f t="shared" si="19"/>
        <v>39681.422278021273</v>
      </c>
      <c r="D35" s="61">
        <v>0</v>
      </c>
      <c r="E35" s="33">
        <v>13</v>
      </c>
      <c r="F35" s="61">
        <f t="shared" si="22"/>
        <v>5158.5848961427655</v>
      </c>
      <c r="G35" s="3">
        <f t="shared" si="20"/>
        <v>44840.007174164042</v>
      </c>
      <c r="H35" s="3">
        <f t="shared" si="21"/>
        <v>-2297.2499999999995</v>
      </c>
      <c r="I35" s="3">
        <f>Australia!I56-S61</f>
        <v>1683.3333333333335</v>
      </c>
      <c r="J35" s="3">
        <f t="shared" si="23"/>
        <v>44226.090507497378</v>
      </c>
      <c r="V35" s="167"/>
    </row>
    <row r="36" spans="1:22">
      <c r="A36">
        <v>2017</v>
      </c>
      <c r="B36" s="3">
        <f t="shared" si="18"/>
        <v>30</v>
      </c>
      <c r="C36" s="3">
        <f t="shared" si="19"/>
        <v>38859.130208671915</v>
      </c>
      <c r="D36" s="61">
        <v>0</v>
      </c>
      <c r="E36" s="33">
        <v>13</v>
      </c>
      <c r="F36" s="61">
        <f t="shared" si="22"/>
        <v>5051.686927127349</v>
      </c>
      <c r="G36" s="3">
        <f t="shared" si="20"/>
        <v>43910.817135799261</v>
      </c>
      <c r="H36" s="3">
        <f t="shared" si="21"/>
        <v>-2250</v>
      </c>
      <c r="I36" s="3">
        <f>Australia!I57-S62</f>
        <v>1683.3333333333335</v>
      </c>
      <c r="J36" s="3">
        <f t="shared" si="23"/>
        <v>43344.150469132597</v>
      </c>
      <c r="V36" s="167"/>
    </row>
    <row r="37" spans="1:22">
      <c r="A37">
        <v>2018</v>
      </c>
      <c r="B37" s="3">
        <f t="shared" si="18"/>
        <v>30.592100851060948</v>
      </c>
      <c r="C37" s="3">
        <f t="shared" si="19"/>
        <v>39769.731106379229</v>
      </c>
      <c r="D37" s="61">
        <v>0</v>
      </c>
      <c r="E37" s="33">
        <v>13</v>
      </c>
      <c r="F37" s="61">
        <f t="shared" si="22"/>
        <v>5170.0650438292996</v>
      </c>
      <c r="G37" s="3">
        <f t="shared" si="20"/>
        <v>44939.796150208531</v>
      </c>
      <c r="H37" s="3">
        <f t="shared" si="21"/>
        <v>-1795.6252040483191</v>
      </c>
      <c r="I37" s="3">
        <f>Australia!I58-S63</f>
        <v>1683.3333333333335</v>
      </c>
      <c r="J37" s="3">
        <f t="shared" si="23"/>
        <v>44827.504279493551</v>
      </c>
      <c r="V37" s="105"/>
    </row>
    <row r="38" spans="1:22">
      <c r="A38">
        <v>2019</v>
      </c>
      <c r="B38" s="3">
        <f t="shared" si="18"/>
        <v>31.172994053473918</v>
      </c>
      <c r="C38" s="3">
        <f t="shared" si="19"/>
        <v>40524.892269516095</v>
      </c>
      <c r="D38" s="61">
        <v>0</v>
      </c>
      <c r="E38" s="33">
        <v>13</v>
      </c>
      <c r="F38" s="61">
        <f t="shared" si="22"/>
        <v>5268.2359950370928</v>
      </c>
      <c r="G38" s="3">
        <f t="shared" si="20"/>
        <v>45793.12826455319</v>
      </c>
      <c r="H38" s="3">
        <f t="shared" si="21"/>
        <v>-1039.2274798605713</v>
      </c>
      <c r="I38" s="3">
        <f>Australia!I59-S64</f>
        <v>1975</v>
      </c>
      <c r="J38" s="3">
        <f t="shared" si="23"/>
        <v>46728.900784692618</v>
      </c>
      <c r="V38" s="105"/>
    </row>
    <row r="39" spans="1:22">
      <c r="A39">
        <v>2020</v>
      </c>
      <c r="B39" s="3">
        <f t="shared" si="18"/>
        <v>30.985903123425071</v>
      </c>
      <c r="C39" s="3">
        <f t="shared" si="19"/>
        <v>40281.674060452591</v>
      </c>
      <c r="D39" s="61">
        <v>0</v>
      </c>
      <c r="E39" s="33">
        <v>13</v>
      </c>
      <c r="F39" s="61">
        <f t="shared" si="22"/>
        <v>5236.6176278588373</v>
      </c>
      <c r="G39" s="3">
        <f t="shared" si="20"/>
        <v>45518.29168831143</v>
      </c>
      <c r="H39" s="3">
        <f t="shared" ref="H39:H49" si="24">H38*AF13/AF14</f>
        <v>-1017.8525757694138</v>
      </c>
      <c r="I39" s="3">
        <f t="shared" ref="I39:I49" si="25">I38</f>
        <v>1975</v>
      </c>
      <c r="J39" s="3">
        <f t="shared" si="23"/>
        <v>46475.439112542015</v>
      </c>
      <c r="V39" s="105"/>
    </row>
    <row r="40" spans="1:22">
      <c r="A40">
        <v>2021</v>
      </c>
      <c r="B40" s="3">
        <f t="shared" si="18"/>
        <v>30.206708843097807</v>
      </c>
      <c r="C40" s="3">
        <f t="shared" si="19"/>
        <v>39268.721496027145</v>
      </c>
      <c r="D40" s="61">
        <v>0</v>
      </c>
      <c r="E40" s="33">
        <v>13</v>
      </c>
      <c r="F40" s="61">
        <f t="shared" si="22"/>
        <v>5104.9337944835288</v>
      </c>
      <c r="G40" s="3">
        <f t="shared" si="20"/>
        <v>44373.655290510673</v>
      </c>
      <c r="H40" s="3">
        <f t="shared" si="24"/>
        <v>-996.91731221294208</v>
      </c>
      <c r="I40" s="3">
        <f t="shared" si="25"/>
        <v>1975</v>
      </c>
      <c r="J40" s="3">
        <f t="shared" si="23"/>
        <v>45351.73797829773</v>
      </c>
      <c r="V40" s="105"/>
    </row>
    <row r="41" spans="1:22">
      <c r="A41">
        <v>2022</v>
      </c>
      <c r="B41" s="3">
        <f t="shared" si="18"/>
        <v>30.642454642697771</v>
      </c>
      <c r="C41" s="3">
        <f t="shared" si="19"/>
        <v>39835.191035507101</v>
      </c>
      <c r="D41" s="61">
        <v>0</v>
      </c>
      <c r="E41" s="33">
        <v>13</v>
      </c>
      <c r="F41" s="61">
        <f t="shared" si="22"/>
        <v>5178.5748346159235</v>
      </c>
      <c r="G41" s="3">
        <f t="shared" si="20"/>
        <v>45013.765870123025</v>
      </c>
      <c r="H41" s="3">
        <f t="shared" si="24"/>
        <v>-976.41264663363597</v>
      </c>
      <c r="I41" s="3">
        <f t="shared" si="25"/>
        <v>1975</v>
      </c>
      <c r="J41" s="3">
        <f t="shared" si="23"/>
        <v>46012.353223489386</v>
      </c>
      <c r="V41" s="105"/>
    </row>
    <row r="42" spans="1:22">
      <c r="A42">
        <v>2023</v>
      </c>
      <c r="B42" s="3">
        <f t="shared" si="18"/>
        <v>30.361546257811007</v>
      </c>
      <c r="C42" s="3">
        <f t="shared" si="19"/>
        <v>39470.010135154313</v>
      </c>
      <c r="D42" s="61">
        <v>0</v>
      </c>
      <c r="E42" s="33">
        <v>13</v>
      </c>
      <c r="F42" s="61">
        <f t="shared" si="22"/>
        <v>5131.1013175700609</v>
      </c>
      <c r="G42" s="3">
        <f t="shared" si="20"/>
        <v>44601.111452724377</v>
      </c>
      <c r="H42" s="3">
        <f t="shared" si="24"/>
        <v>-956.3297224619356</v>
      </c>
      <c r="I42" s="3">
        <f t="shared" si="25"/>
        <v>1975</v>
      </c>
      <c r="J42" s="3">
        <f t="shared" si="23"/>
        <v>45619.781730262439</v>
      </c>
      <c r="V42" s="105"/>
    </row>
    <row r="43" spans="1:22">
      <c r="A43">
        <v>2024</v>
      </c>
      <c r="B43" s="3">
        <f t="shared" si="18"/>
        <v>29.275640447464834</v>
      </c>
      <c r="C43" s="3">
        <f t="shared" si="19"/>
        <v>38058.332581704286</v>
      </c>
      <c r="D43" s="61">
        <v>0</v>
      </c>
      <c r="E43" s="33">
        <v>13</v>
      </c>
      <c r="F43" s="61">
        <f t="shared" si="22"/>
        <v>4947.5832356215569</v>
      </c>
      <c r="G43" s="3">
        <f t="shared" si="20"/>
        <v>43005.91581732584</v>
      </c>
      <c r="H43" s="3">
        <f t="shared" si="24"/>
        <v>-936.65986529082829</v>
      </c>
      <c r="I43" s="3">
        <f t="shared" si="25"/>
        <v>1975</v>
      </c>
      <c r="J43" s="3">
        <f t="shared" si="23"/>
        <v>44044.255952035011</v>
      </c>
      <c r="V43" s="105"/>
    </row>
    <row r="44" spans="1:22">
      <c r="A44">
        <v>2025</v>
      </c>
      <c r="B44" s="3">
        <f t="shared" si="18"/>
        <v>28.343375828936317</v>
      </c>
      <c r="C44" s="3">
        <f t="shared" si="19"/>
        <v>36846.38857761721</v>
      </c>
      <c r="D44" s="61">
        <v>0</v>
      </c>
      <c r="E44" s="33">
        <v>13</v>
      </c>
      <c r="F44" s="61">
        <f t="shared" si="22"/>
        <v>4790.0305150902377</v>
      </c>
      <c r="G44" s="3">
        <f t="shared" si="20"/>
        <v>41636.419092707445</v>
      </c>
      <c r="H44" s="3">
        <f t="shared" si="24"/>
        <v>-917.39457912911712</v>
      </c>
      <c r="I44" s="3">
        <f t="shared" si="25"/>
        <v>1975</v>
      </c>
      <c r="J44" s="3">
        <f t="shared" si="23"/>
        <v>42694.024513578326</v>
      </c>
      <c r="V44" s="105"/>
    </row>
    <row r="45" spans="1:22">
      <c r="A45">
        <v>2026</v>
      </c>
      <c r="B45" s="3">
        <f t="shared" si="18"/>
        <v>27.812270474504896</v>
      </c>
      <c r="C45" s="3">
        <f t="shared" si="19"/>
        <v>36155.951616856364</v>
      </c>
      <c r="D45" s="61">
        <v>0</v>
      </c>
      <c r="E45" s="33">
        <v>13</v>
      </c>
      <c r="F45" s="61">
        <f t="shared" si="22"/>
        <v>4700.2737101913272</v>
      </c>
      <c r="G45" s="3">
        <f t="shared" si="20"/>
        <v>40856.225327047694</v>
      </c>
      <c r="H45" s="3">
        <f t="shared" si="24"/>
        <v>-898.52554273175053</v>
      </c>
      <c r="I45" s="3">
        <f t="shared" si="25"/>
        <v>1975</v>
      </c>
      <c r="J45" s="3">
        <f t="shared" si="23"/>
        <v>41932.699784315941</v>
      </c>
      <c r="V45" s="105"/>
    </row>
    <row r="46" spans="1:22">
      <c r="A46">
        <v>2027</v>
      </c>
      <c r="B46" s="3">
        <f t="shared" si="18"/>
        <v>27.281165120073478</v>
      </c>
      <c r="C46" s="3">
        <f t="shared" si="19"/>
        <v>35465.514656095518</v>
      </c>
      <c r="D46" s="61">
        <v>0</v>
      </c>
      <c r="E46" s="33">
        <v>13</v>
      </c>
      <c r="F46" s="61">
        <f t="shared" si="22"/>
        <v>4610.5169052924175</v>
      </c>
      <c r="G46" s="3">
        <f t="shared" si="20"/>
        <v>40076.031561387936</v>
      </c>
      <c r="H46" s="3">
        <f t="shared" si="24"/>
        <v>-880.04460600563255</v>
      </c>
      <c r="I46" s="3">
        <f t="shared" si="25"/>
        <v>1975</v>
      </c>
      <c r="J46" s="3">
        <f t="shared" si="23"/>
        <v>41170.986955382301</v>
      </c>
      <c r="V46" s="105"/>
    </row>
    <row r="47" spans="1:22">
      <c r="A47">
        <v>2028</v>
      </c>
      <c r="B47" s="3">
        <f t="shared" si="18"/>
        <v>26.683671596338133</v>
      </c>
      <c r="C47" s="3">
        <f t="shared" si="19"/>
        <v>34688.773075239573</v>
      </c>
      <c r="D47" s="61">
        <v>0</v>
      </c>
      <c r="E47" s="33">
        <v>13</v>
      </c>
      <c r="F47" s="61">
        <f t="shared" si="22"/>
        <v>4509.5404997811447</v>
      </c>
      <c r="G47" s="3">
        <f t="shared" si="20"/>
        <v>39198.313575020715</v>
      </c>
      <c r="H47" s="3">
        <f t="shared" si="24"/>
        <v>-861.9437864893564</v>
      </c>
      <c r="I47" s="3">
        <f t="shared" si="25"/>
        <v>1975</v>
      </c>
      <c r="J47" s="3">
        <f t="shared" si="23"/>
        <v>40311.36978853136</v>
      </c>
      <c r="V47" s="105"/>
    </row>
    <row r="48" spans="1:22">
      <c r="A48">
        <v>2029</v>
      </c>
      <c r="B48" s="3">
        <f t="shared" si="18"/>
        <v>26.152566241906715</v>
      </c>
      <c r="C48" s="3">
        <f t="shared" si="19"/>
        <v>33998.336114478734</v>
      </c>
      <c r="D48" s="61">
        <v>0</v>
      </c>
      <c r="E48" s="33">
        <v>13</v>
      </c>
      <c r="F48" s="61">
        <f t="shared" si="22"/>
        <v>4419.783694882236</v>
      </c>
      <c r="G48" s="3">
        <f t="shared" si="20"/>
        <v>38418.119809360971</v>
      </c>
      <c r="H48" s="3">
        <f t="shared" si="24"/>
        <v>-844.21526590534427</v>
      </c>
      <c r="I48" s="3">
        <f t="shared" si="25"/>
        <v>1975</v>
      </c>
      <c r="J48" s="3">
        <f t="shared" si="23"/>
        <v>39548.904543455625</v>
      </c>
      <c r="V48" s="105"/>
    </row>
    <row r="49" spans="1:40">
      <c r="A49">
        <v>2030</v>
      </c>
      <c r="B49" s="3">
        <f t="shared" si="18"/>
        <v>25.55507271817137</v>
      </c>
      <c r="C49" s="3">
        <f t="shared" si="19"/>
        <v>33221.594533622781</v>
      </c>
      <c r="D49" s="61">
        <v>0</v>
      </c>
      <c r="E49" s="33">
        <v>13</v>
      </c>
      <c r="F49" s="61">
        <f t="shared" si="22"/>
        <v>4318.8072893709614</v>
      </c>
      <c r="G49" s="3">
        <f t="shared" si="20"/>
        <v>37540.401822993743</v>
      </c>
      <c r="H49" s="3">
        <f t="shared" si="24"/>
        <v>-826.85138678290343</v>
      </c>
      <c r="I49" s="3">
        <f t="shared" si="25"/>
        <v>1975</v>
      </c>
      <c r="J49" s="3">
        <f t="shared" si="23"/>
        <v>38688.55043621084</v>
      </c>
      <c r="V49" s="105"/>
    </row>
    <row r="50" spans="1:40">
      <c r="V50" s="167"/>
    </row>
    <row r="51" spans="1:40">
      <c r="A51" t="s">
        <v>716</v>
      </c>
      <c r="B51" t="s">
        <v>1395</v>
      </c>
      <c r="C51" t="s">
        <v>758</v>
      </c>
      <c r="D51" t="s">
        <v>758</v>
      </c>
      <c r="E51" t="s">
        <v>498</v>
      </c>
      <c r="F51" t="s">
        <v>758</v>
      </c>
      <c r="G51" t="s">
        <v>758</v>
      </c>
    </row>
    <row r="52" spans="1:40">
      <c r="B52" t="s">
        <v>724</v>
      </c>
      <c r="C52" t="s">
        <v>724</v>
      </c>
      <c r="D52" t="s">
        <v>749</v>
      </c>
      <c r="E52" t="s">
        <v>714</v>
      </c>
      <c r="F52" t="s">
        <v>728</v>
      </c>
      <c r="G52" t="s">
        <v>725</v>
      </c>
      <c r="Q52" t="s">
        <v>238</v>
      </c>
      <c r="AA52" t="s">
        <v>759</v>
      </c>
      <c r="AF52" t="s">
        <v>764</v>
      </c>
      <c r="AK52" t="s">
        <v>765</v>
      </c>
    </row>
    <row r="53" spans="1:40">
      <c r="A53">
        <v>2009</v>
      </c>
      <c r="B53" s="3">
        <f t="shared" ref="B53:B74" si="26">U3</f>
        <v>23</v>
      </c>
      <c r="C53" s="3">
        <f t="shared" ref="C53:C74" si="27">B53*AE3*1000</f>
        <v>26291.312801796088</v>
      </c>
      <c r="D53" s="61">
        <v>0</v>
      </c>
      <c r="E53" s="33">
        <v>13</v>
      </c>
      <c r="F53" s="61">
        <f>E53/100*C53</f>
        <v>3417.8706642334914</v>
      </c>
      <c r="G53" s="3">
        <f t="shared" ref="G53:G62" si="28">C53+F53+D53</f>
        <v>29709.183466029579</v>
      </c>
      <c r="H53" s="3"/>
      <c r="I53" s="3"/>
      <c r="J53" s="3"/>
      <c r="K53" s="3"/>
      <c r="L53" s="3"/>
      <c r="M53" s="3"/>
      <c r="N53" s="3"/>
      <c r="Q53" t="s">
        <v>760</v>
      </c>
      <c r="R53" t="s">
        <v>761</v>
      </c>
      <c r="S53" t="s">
        <v>762</v>
      </c>
      <c r="T53" t="s">
        <v>763</v>
      </c>
      <c r="AA53" t="s">
        <v>760</v>
      </c>
      <c r="AB53" t="s">
        <v>761</v>
      </c>
      <c r="AC53" t="s">
        <v>762</v>
      </c>
      <c r="AD53" t="s">
        <v>763</v>
      </c>
      <c r="AF53" t="s">
        <v>760</v>
      </c>
      <c r="AG53" t="s">
        <v>761</v>
      </c>
      <c r="AH53" t="s">
        <v>762</v>
      </c>
      <c r="AI53" t="s">
        <v>763</v>
      </c>
      <c r="AK53" t="s">
        <v>760</v>
      </c>
      <c r="AL53" t="s">
        <v>761</v>
      </c>
      <c r="AM53" t="s">
        <v>762</v>
      </c>
      <c r="AN53" t="s">
        <v>763</v>
      </c>
    </row>
    <row r="54" spans="1:40">
      <c r="A54">
        <v>2010</v>
      </c>
      <c r="B54" s="3">
        <f t="shared" si="26"/>
        <v>23</v>
      </c>
      <c r="C54" s="3">
        <f t="shared" si="27"/>
        <v>23693.744007936479</v>
      </c>
      <c r="D54" s="61">
        <v>0</v>
      </c>
      <c r="E54" s="33">
        <v>13</v>
      </c>
      <c r="F54" s="61">
        <f t="shared" ref="F54:F62" si="29">E54/100*C54</f>
        <v>3080.1867210317423</v>
      </c>
      <c r="G54" s="3">
        <f t="shared" si="28"/>
        <v>26773.930728968222</v>
      </c>
      <c r="H54" s="3"/>
      <c r="I54" s="3"/>
      <c r="J54" s="3"/>
      <c r="K54" s="3"/>
      <c r="L54" s="3"/>
      <c r="M54" s="3"/>
      <c r="N54" s="3"/>
      <c r="P54">
        <v>2009</v>
      </c>
      <c r="Q54" s="3">
        <f>AVERAGE(AA54,AF54,AK54)/2</f>
        <v>0</v>
      </c>
      <c r="R54" s="3">
        <f>AVERAGE(AB54,AG54,AL54)/2</f>
        <v>0</v>
      </c>
      <c r="S54" s="3">
        <f>AVERAGE(AC54,AH54,AM54)/2</f>
        <v>0</v>
      </c>
      <c r="T54" s="3">
        <f>AVERAGE(AD54,AI54,AN54)/2</f>
        <v>166.66666666666666</v>
      </c>
      <c r="Z54">
        <v>2009</v>
      </c>
      <c r="AA54">
        <v>0</v>
      </c>
      <c r="AB54">
        <v>0</v>
      </c>
      <c r="AC54">
        <v>0</v>
      </c>
      <c r="AD54">
        <v>0</v>
      </c>
      <c r="AF54">
        <v>0</v>
      </c>
      <c r="AG54">
        <v>0</v>
      </c>
      <c r="AH54">
        <v>0</v>
      </c>
      <c r="AI54">
        <v>0</v>
      </c>
      <c r="AK54">
        <v>0</v>
      </c>
      <c r="AL54">
        <v>0</v>
      </c>
      <c r="AM54">
        <v>0</v>
      </c>
      <c r="AN54">
        <v>1000</v>
      </c>
    </row>
    <row r="55" spans="1:40">
      <c r="A55">
        <v>2011</v>
      </c>
      <c r="B55" s="3">
        <f t="shared" si="26"/>
        <v>23</v>
      </c>
      <c r="C55" s="3">
        <f t="shared" si="27"/>
        <v>22719.500964918599</v>
      </c>
      <c r="D55" s="61">
        <v>0</v>
      </c>
      <c r="E55" s="33">
        <v>13</v>
      </c>
      <c r="F55" s="61">
        <f t="shared" si="29"/>
        <v>2953.5351254394182</v>
      </c>
      <c r="G55" s="3">
        <f t="shared" si="28"/>
        <v>25673.036090358019</v>
      </c>
      <c r="H55" s="3"/>
      <c r="I55" s="3"/>
      <c r="J55" s="3"/>
      <c r="K55" s="3"/>
      <c r="L55" s="3"/>
      <c r="M55" s="3"/>
      <c r="N55" s="3"/>
      <c r="P55">
        <v>2010</v>
      </c>
      <c r="Q55" s="3">
        <f>AVERAGE(AA55,AF55,AK55)/2</f>
        <v>1416.6666666666667</v>
      </c>
      <c r="R55" s="3">
        <f t="shared" ref="R55:R63" si="30">AVERAGE(AB55,AG55,AL55)/2</f>
        <v>833.33333333333337</v>
      </c>
      <c r="S55" s="3">
        <f t="shared" ref="S55:S63" si="31">AVERAGE(AC55,AH55,AM55)/2</f>
        <v>166.66666666666666</v>
      </c>
      <c r="T55" s="3">
        <f t="shared" ref="T55:T63" si="32">AVERAGE(AD55,AI55,AN55)/2</f>
        <v>333.33333333333331</v>
      </c>
      <c r="Z55">
        <v>2010</v>
      </c>
      <c r="AA55">
        <v>0</v>
      </c>
      <c r="AB55">
        <v>0</v>
      </c>
      <c r="AC55">
        <v>0</v>
      </c>
      <c r="AD55">
        <v>0</v>
      </c>
      <c r="AF55">
        <v>8500</v>
      </c>
      <c r="AG55">
        <v>5000</v>
      </c>
      <c r="AH55">
        <v>1000</v>
      </c>
      <c r="AI55">
        <v>1000</v>
      </c>
      <c r="AK55">
        <v>0</v>
      </c>
      <c r="AL55">
        <v>0</v>
      </c>
      <c r="AM55">
        <v>0</v>
      </c>
      <c r="AN55">
        <v>1000</v>
      </c>
    </row>
    <row r="56" spans="1:40">
      <c r="A56">
        <v>2012</v>
      </c>
      <c r="B56" s="3">
        <f t="shared" si="26"/>
        <v>23</v>
      </c>
      <c r="C56" s="3">
        <f t="shared" si="27"/>
        <v>22968.278405901685</v>
      </c>
      <c r="D56" s="61">
        <v>0</v>
      </c>
      <c r="E56" s="33">
        <v>13</v>
      </c>
      <c r="F56" s="61">
        <f t="shared" si="29"/>
        <v>2985.876192767219</v>
      </c>
      <c r="G56" s="3">
        <f t="shared" si="28"/>
        <v>25954.154598668905</v>
      </c>
      <c r="H56" s="3"/>
      <c r="I56" s="3"/>
      <c r="J56" s="3"/>
      <c r="K56" s="3"/>
      <c r="L56" s="3"/>
      <c r="M56" s="3"/>
      <c r="N56" s="3"/>
      <c r="P56">
        <v>2011</v>
      </c>
      <c r="Q56" s="3">
        <f t="shared" ref="Q56:Q63" si="33">AVERAGE(AA56,AF56,AK56)/2</f>
        <v>1416.6666666666667</v>
      </c>
      <c r="R56" s="3">
        <f t="shared" si="30"/>
        <v>833.33333333333337</v>
      </c>
      <c r="S56" s="3">
        <f t="shared" si="31"/>
        <v>166.66666666666666</v>
      </c>
      <c r="T56" s="3">
        <f t="shared" si="32"/>
        <v>500</v>
      </c>
      <c r="Z56">
        <v>2011</v>
      </c>
      <c r="AA56">
        <v>0</v>
      </c>
      <c r="AB56">
        <v>0</v>
      </c>
      <c r="AC56">
        <v>0</v>
      </c>
      <c r="AD56">
        <v>0</v>
      </c>
      <c r="AF56">
        <v>8500</v>
      </c>
      <c r="AG56">
        <v>5000</v>
      </c>
      <c r="AH56">
        <v>1000</v>
      </c>
      <c r="AI56">
        <v>1000</v>
      </c>
      <c r="AK56">
        <v>0</v>
      </c>
      <c r="AL56">
        <v>0</v>
      </c>
      <c r="AM56">
        <v>0</v>
      </c>
      <c r="AN56">
        <v>2000</v>
      </c>
    </row>
    <row r="57" spans="1:40">
      <c r="A57">
        <v>2013</v>
      </c>
      <c r="B57" s="3">
        <f t="shared" si="26"/>
        <v>23</v>
      </c>
      <c r="C57" s="3">
        <f t="shared" si="27"/>
        <v>23778.412395295338</v>
      </c>
      <c r="D57" s="61">
        <v>0</v>
      </c>
      <c r="E57" s="33">
        <v>13</v>
      </c>
      <c r="F57" s="61">
        <f t="shared" si="29"/>
        <v>3091.1936113883939</v>
      </c>
      <c r="G57" s="3">
        <f t="shared" si="28"/>
        <v>26869.606006683731</v>
      </c>
      <c r="H57" s="3"/>
      <c r="I57" s="3"/>
      <c r="J57" s="3"/>
      <c r="K57" s="3"/>
      <c r="L57" s="3"/>
      <c r="M57" s="3"/>
      <c r="N57" s="3"/>
      <c r="P57">
        <v>2012</v>
      </c>
      <c r="Q57" s="3">
        <f t="shared" si="33"/>
        <v>3583.3333333333335</v>
      </c>
      <c r="R57" s="3">
        <f t="shared" si="30"/>
        <v>1416.6666666666667</v>
      </c>
      <c r="S57" s="3">
        <f t="shared" si="31"/>
        <v>350</v>
      </c>
      <c r="T57" s="3">
        <f t="shared" si="32"/>
        <v>666.66666666666663</v>
      </c>
      <c r="Z57">
        <v>2012</v>
      </c>
      <c r="AA57">
        <v>8000</v>
      </c>
      <c r="AB57">
        <v>1000</v>
      </c>
      <c r="AC57">
        <v>600</v>
      </c>
      <c r="AD57">
        <v>1000</v>
      </c>
      <c r="AF57">
        <v>8500</v>
      </c>
      <c r="AG57">
        <v>5000</v>
      </c>
      <c r="AH57">
        <v>1000</v>
      </c>
      <c r="AI57">
        <v>1000</v>
      </c>
      <c r="AK57">
        <v>5000</v>
      </c>
      <c r="AL57">
        <v>2500</v>
      </c>
      <c r="AM57">
        <v>500</v>
      </c>
      <c r="AN57">
        <v>2000</v>
      </c>
    </row>
    <row r="58" spans="1:40">
      <c r="A58">
        <v>2014</v>
      </c>
      <c r="B58" s="3">
        <f t="shared" si="26"/>
        <v>23</v>
      </c>
      <c r="C58" s="3">
        <f t="shared" si="27"/>
        <v>25453.290693362997</v>
      </c>
      <c r="D58" s="61">
        <v>0</v>
      </c>
      <c r="E58" s="33">
        <v>13</v>
      </c>
      <c r="F58" s="61">
        <f t="shared" si="29"/>
        <v>3308.9277901371897</v>
      </c>
      <c r="G58" s="3">
        <f t="shared" si="28"/>
        <v>28762.218483500186</v>
      </c>
      <c r="H58" s="3"/>
      <c r="I58" s="3"/>
      <c r="J58" s="3"/>
      <c r="K58" s="3"/>
      <c r="L58" s="3"/>
      <c r="M58" s="3"/>
      <c r="N58" s="3"/>
      <c r="O58">
        <f>G58/C58</f>
        <v>1.1300000000000001</v>
      </c>
      <c r="P58">
        <v>2013</v>
      </c>
      <c r="Q58" s="3">
        <f t="shared" si="33"/>
        <v>3583.3333333333335</v>
      </c>
      <c r="R58" s="3">
        <f t="shared" si="30"/>
        <v>1416.6666666666667</v>
      </c>
      <c r="S58" s="3">
        <f t="shared" si="31"/>
        <v>350</v>
      </c>
      <c r="T58" s="3">
        <f t="shared" si="32"/>
        <v>666.66666666666663</v>
      </c>
      <c r="Z58">
        <v>2013</v>
      </c>
      <c r="AA58">
        <v>8000</v>
      </c>
      <c r="AB58">
        <v>1000</v>
      </c>
      <c r="AC58">
        <v>600</v>
      </c>
      <c r="AD58">
        <v>1000</v>
      </c>
      <c r="AF58">
        <v>8500</v>
      </c>
      <c r="AG58">
        <v>5000</v>
      </c>
      <c r="AH58">
        <v>1000</v>
      </c>
      <c r="AI58">
        <v>1000</v>
      </c>
      <c r="AK58">
        <v>5000</v>
      </c>
      <c r="AL58">
        <v>2500</v>
      </c>
      <c r="AM58">
        <v>500</v>
      </c>
      <c r="AN58">
        <v>2000</v>
      </c>
    </row>
    <row r="59" spans="1:40">
      <c r="A59">
        <v>2015</v>
      </c>
      <c r="B59" s="3">
        <f t="shared" si="26"/>
        <v>23</v>
      </c>
      <c r="C59" s="3">
        <f t="shared" si="27"/>
        <v>29614.637522605997</v>
      </c>
      <c r="D59" s="61">
        <v>0</v>
      </c>
      <c r="E59" s="33">
        <v>13</v>
      </c>
      <c r="F59" s="61">
        <f t="shared" si="29"/>
        <v>3849.90287793878</v>
      </c>
      <c r="G59" s="3">
        <f t="shared" si="28"/>
        <v>33464.540400544778</v>
      </c>
      <c r="H59" s="3"/>
      <c r="I59" s="3"/>
      <c r="J59" s="3"/>
      <c r="K59" s="3"/>
      <c r="L59" s="3"/>
      <c r="M59" s="3"/>
      <c r="N59" s="3"/>
      <c r="P59">
        <v>2014</v>
      </c>
      <c r="Q59" s="3">
        <f t="shared" si="33"/>
        <v>3583.3333333333335</v>
      </c>
      <c r="R59" s="3">
        <f t="shared" si="30"/>
        <v>1416.6666666666667</v>
      </c>
      <c r="S59" s="3">
        <f t="shared" si="31"/>
        <v>350</v>
      </c>
      <c r="T59" s="3">
        <f t="shared" si="32"/>
        <v>666.66666666666663</v>
      </c>
      <c r="Z59">
        <v>2014</v>
      </c>
      <c r="AA59">
        <v>8000</v>
      </c>
      <c r="AB59">
        <v>1000</v>
      </c>
      <c r="AC59">
        <v>600</v>
      </c>
      <c r="AD59">
        <v>1000</v>
      </c>
      <c r="AF59">
        <v>8500</v>
      </c>
      <c r="AG59">
        <v>5000</v>
      </c>
      <c r="AH59">
        <v>1000</v>
      </c>
      <c r="AI59">
        <v>1000</v>
      </c>
      <c r="AK59">
        <v>5000</v>
      </c>
      <c r="AL59">
        <v>2500</v>
      </c>
      <c r="AM59">
        <v>500</v>
      </c>
      <c r="AN59">
        <v>2000</v>
      </c>
    </row>
    <row r="60" spans="1:40">
      <c r="A60">
        <v>2016</v>
      </c>
      <c r="B60" s="3">
        <f t="shared" si="26"/>
        <v>23</v>
      </c>
      <c r="C60" s="3">
        <f t="shared" si="27"/>
        <v>30422.423746482975</v>
      </c>
      <c r="D60" s="61">
        <v>0</v>
      </c>
      <c r="E60" s="33">
        <v>13</v>
      </c>
      <c r="F60" s="61">
        <f t="shared" si="29"/>
        <v>3954.915087042787</v>
      </c>
      <c r="G60" s="3">
        <f t="shared" si="28"/>
        <v>34377.338833525762</v>
      </c>
      <c r="H60" s="3"/>
      <c r="I60" s="3"/>
      <c r="J60" s="3"/>
      <c r="K60" s="3"/>
      <c r="L60" s="3"/>
      <c r="M60" s="3"/>
      <c r="N60" s="3"/>
      <c r="P60">
        <v>2015</v>
      </c>
      <c r="Q60" s="3">
        <f t="shared" si="33"/>
        <v>3583.3333333333335</v>
      </c>
      <c r="R60" s="3">
        <f t="shared" si="30"/>
        <v>1416.6666666666667</v>
      </c>
      <c r="S60" s="3">
        <f t="shared" si="31"/>
        <v>350</v>
      </c>
      <c r="T60" s="3">
        <f t="shared" si="32"/>
        <v>666.66666666666663</v>
      </c>
      <c r="Z60">
        <v>2015</v>
      </c>
      <c r="AA60">
        <v>8000</v>
      </c>
      <c r="AB60">
        <v>1000</v>
      </c>
      <c r="AC60">
        <v>600</v>
      </c>
      <c r="AD60">
        <v>1000</v>
      </c>
      <c r="AF60">
        <v>8500</v>
      </c>
      <c r="AG60">
        <v>5000</v>
      </c>
      <c r="AH60">
        <v>1000</v>
      </c>
      <c r="AI60">
        <v>1000</v>
      </c>
      <c r="AK60">
        <v>5000</v>
      </c>
      <c r="AL60">
        <v>2500</v>
      </c>
      <c r="AM60">
        <v>500</v>
      </c>
      <c r="AN60">
        <v>2000</v>
      </c>
    </row>
    <row r="61" spans="1:40">
      <c r="A61">
        <v>2017</v>
      </c>
      <c r="B61" s="3">
        <f t="shared" si="26"/>
        <v>23</v>
      </c>
      <c r="C61" s="3">
        <f t="shared" si="27"/>
        <v>29791.999826648469</v>
      </c>
      <c r="D61" s="61">
        <v>0</v>
      </c>
      <c r="E61" s="33">
        <v>13</v>
      </c>
      <c r="F61" s="61">
        <f t="shared" si="29"/>
        <v>3872.9599774643011</v>
      </c>
      <c r="G61" s="3">
        <f t="shared" si="28"/>
        <v>33664.959804112768</v>
      </c>
      <c r="H61" s="3"/>
      <c r="I61" s="3"/>
      <c r="J61" s="3"/>
      <c r="K61" s="3"/>
      <c r="L61" s="3"/>
      <c r="M61" s="3"/>
      <c r="N61" s="3"/>
      <c r="P61">
        <v>2016</v>
      </c>
      <c r="Q61" s="3">
        <f t="shared" si="33"/>
        <v>3888.8888888888891</v>
      </c>
      <c r="R61" s="3">
        <f t="shared" si="30"/>
        <v>1416.6666666666667</v>
      </c>
      <c r="S61" s="3">
        <f t="shared" si="31"/>
        <v>516.66666666666663</v>
      </c>
      <c r="T61" s="3">
        <f t="shared" si="32"/>
        <v>833.33333333333337</v>
      </c>
      <c r="Z61">
        <v>2016</v>
      </c>
      <c r="AA61">
        <v>8000</v>
      </c>
      <c r="AB61">
        <v>1000</v>
      </c>
      <c r="AC61">
        <v>600</v>
      </c>
      <c r="AD61">
        <v>1000</v>
      </c>
      <c r="AF61" s="15">
        <v>10333.333333333334</v>
      </c>
      <c r="AG61">
        <v>5000</v>
      </c>
      <c r="AH61">
        <v>2000</v>
      </c>
      <c r="AI61">
        <v>2000</v>
      </c>
      <c r="AK61">
        <v>5000</v>
      </c>
      <c r="AL61">
        <v>2500</v>
      </c>
      <c r="AM61">
        <v>500</v>
      </c>
      <c r="AN61">
        <v>2000</v>
      </c>
    </row>
    <row r="62" spans="1:40">
      <c r="A62">
        <v>2018</v>
      </c>
      <c r="B62" s="3">
        <f t="shared" si="26"/>
        <v>23</v>
      </c>
      <c r="C62" s="3">
        <f t="shared" si="27"/>
        <v>29900.000000000004</v>
      </c>
      <c r="D62" s="61">
        <v>0</v>
      </c>
      <c r="E62" s="33">
        <v>13</v>
      </c>
      <c r="F62" s="61">
        <f t="shared" si="29"/>
        <v>3887.0000000000005</v>
      </c>
      <c r="G62" s="3">
        <f t="shared" si="28"/>
        <v>33787.000000000007</v>
      </c>
      <c r="H62" s="3"/>
      <c r="I62" s="3"/>
      <c r="J62" s="3"/>
      <c r="K62" s="3"/>
      <c r="L62" s="3"/>
      <c r="M62" s="3"/>
      <c r="N62" s="3"/>
      <c r="P62">
        <v>2017</v>
      </c>
      <c r="Q62" s="3">
        <f t="shared" si="33"/>
        <v>4194.4444444444443</v>
      </c>
      <c r="R62" s="3">
        <f t="shared" si="30"/>
        <v>1416.6666666666667</v>
      </c>
      <c r="S62" s="3">
        <f t="shared" si="31"/>
        <v>516.66666666666663</v>
      </c>
      <c r="T62" s="3">
        <f t="shared" si="32"/>
        <v>833.33333333333337</v>
      </c>
      <c r="Z62">
        <v>2017</v>
      </c>
      <c r="AA62">
        <v>8000</v>
      </c>
      <c r="AB62">
        <v>1000</v>
      </c>
      <c r="AC62">
        <v>600</v>
      </c>
      <c r="AD62">
        <v>1000</v>
      </c>
      <c r="AF62" s="15">
        <v>12166.666666666668</v>
      </c>
      <c r="AG62">
        <v>5000</v>
      </c>
      <c r="AH62">
        <v>2000</v>
      </c>
      <c r="AI62">
        <v>2000</v>
      </c>
      <c r="AK62">
        <v>5000</v>
      </c>
      <c r="AL62">
        <v>2500</v>
      </c>
      <c r="AM62">
        <v>500</v>
      </c>
      <c r="AN62">
        <v>2000</v>
      </c>
    </row>
    <row r="63" spans="1:40">
      <c r="A63">
        <v>2019</v>
      </c>
      <c r="B63" s="3">
        <f t="shared" si="26"/>
        <v>23</v>
      </c>
      <c r="C63" s="3">
        <f t="shared" si="27"/>
        <v>29900.000000000004</v>
      </c>
      <c r="D63" s="61">
        <v>0</v>
      </c>
      <c r="E63" s="33">
        <v>13</v>
      </c>
      <c r="F63" s="61">
        <f t="shared" ref="F63:F74" si="34">E63/100*C63</f>
        <v>3887.0000000000005</v>
      </c>
      <c r="G63" s="3">
        <f t="shared" ref="G63:G74" si="35">C63+F63+D63</f>
        <v>33787.000000000007</v>
      </c>
      <c r="H63" s="3"/>
      <c r="I63" s="3"/>
      <c r="J63" s="3"/>
      <c r="K63" s="3"/>
      <c r="L63" s="3"/>
      <c r="M63" s="3"/>
      <c r="N63" s="3"/>
      <c r="P63">
        <v>2018</v>
      </c>
      <c r="Q63" s="3">
        <f t="shared" si="33"/>
        <v>3333.3333333333335</v>
      </c>
      <c r="R63" s="3">
        <f t="shared" si="30"/>
        <v>1000</v>
      </c>
      <c r="S63" s="3">
        <f t="shared" si="31"/>
        <v>516.66666666666663</v>
      </c>
      <c r="T63" s="3">
        <f t="shared" si="32"/>
        <v>833.33333333333337</v>
      </c>
      <c r="Z63">
        <v>2018</v>
      </c>
      <c r="AA63">
        <v>8000</v>
      </c>
      <c r="AB63">
        <v>1000</v>
      </c>
      <c r="AC63">
        <v>600</v>
      </c>
      <c r="AD63">
        <v>1000</v>
      </c>
      <c r="AF63">
        <v>7000</v>
      </c>
      <c r="AG63">
        <v>2500</v>
      </c>
      <c r="AH63">
        <v>2000</v>
      </c>
      <c r="AI63">
        <v>2000</v>
      </c>
      <c r="AK63">
        <v>5000</v>
      </c>
      <c r="AL63">
        <v>2500</v>
      </c>
      <c r="AM63">
        <v>500</v>
      </c>
      <c r="AN63">
        <v>2000</v>
      </c>
    </row>
    <row r="64" spans="1:40">
      <c r="A64">
        <v>2020</v>
      </c>
      <c r="B64" s="3">
        <f t="shared" si="26"/>
        <v>23</v>
      </c>
      <c r="C64" s="3">
        <f t="shared" si="27"/>
        <v>29900.000000000004</v>
      </c>
      <c r="D64" s="61">
        <v>0</v>
      </c>
      <c r="E64" s="33">
        <v>13</v>
      </c>
      <c r="F64" s="61">
        <f t="shared" si="34"/>
        <v>3887.0000000000005</v>
      </c>
      <c r="G64" s="3">
        <f t="shared" si="35"/>
        <v>33787.000000000007</v>
      </c>
      <c r="H64" s="3"/>
      <c r="I64" s="3"/>
      <c r="J64" s="3"/>
      <c r="K64" s="3"/>
      <c r="L64" s="3"/>
      <c r="M64" s="3"/>
      <c r="N64" s="3"/>
      <c r="P64">
        <v>2019</v>
      </c>
      <c r="Q64" s="3">
        <f t="shared" ref="Q64" si="36">AVERAGE(AA64,AF64,AK64)/2</f>
        <v>2166.6666666666665</v>
      </c>
      <c r="R64" s="3">
        <f t="shared" ref="R64" si="37">AVERAGE(AB64,AG64,AL64)/2</f>
        <v>583.33333333333337</v>
      </c>
      <c r="S64" s="3">
        <f t="shared" ref="S64" si="38">AVERAGE(AC64,AH64,AM64)/2</f>
        <v>225</v>
      </c>
      <c r="T64" s="3">
        <f t="shared" ref="T64" si="39">AVERAGE(AD64,AI64,AN64)/2</f>
        <v>500</v>
      </c>
      <c r="Z64">
        <v>2019</v>
      </c>
      <c r="AA64">
        <v>8000</v>
      </c>
      <c r="AB64">
        <v>1000</v>
      </c>
      <c r="AC64">
        <v>600</v>
      </c>
      <c r="AD64">
        <v>1000</v>
      </c>
      <c r="AF64">
        <v>0</v>
      </c>
      <c r="AG64">
        <v>0</v>
      </c>
      <c r="AH64">
        <v>0</v>
      </c>
      <c r="AI64">
        <v>0</v>
      </c>
      <c r="AK64">
        <v>5000</v>
      </c>
      <c r="AL64">
        <v>2500</v>
      </c>
      <c r="AM64">
        <v>750</v>
      </c>
      <c r="AN64">
        <v>2000</v>
      </c>
    </row>
    <row r="65" spans="1:29">
      <c r="A65">
        <v>2021</v>
      </c>
      <c r="B65" s="3">
        <f t="shared" si="26"/>
        <v>23</v>
      </c>
      <c r="C65" s="3">
        <f t="shared" si="27"/>
        <v>29900.000000000004</v>
      </c>
      <c r="D65" s="61">
        <v>0</v>
      </c>
      <c r="E65" s="33">
        <v>13</v>
      </c>
      <c r="F65" s="61">
        <f t="shared" si="34"/>
        <v>3887.0000000000005</v>
      </c>
      <c r="G65" s="3">
        <f t="shared" si="35"/>
        <v>33787.000000000007</v>
      </c>
      <c r="H65" s="3"/>
      <c r="I65" s="3"/>
      <c r="J65" s="3"/>
      <c r="K65" s="3"/>
      <c r="L65" s="3"/>
      <c r="M65" s="3"/>
      <c r="N65" s="3"/>
    </row>
    <row r="66" spans="1:29">
      <c r="A66">
        <v>2022</v>
      </c>
      <c r="B66" s="3">
        <f t="shared" si="26"/>
        <v>23</v>
      </c>
      <c r="C66" s="3">
        <f t="shared" si="27"/>
        <v>29900.000000000004</v>
      </c>
      <c r="D66" s="61">
        <v>0</v>
      </c>
      <c r="E66" s="33">
        <v>13</v>
      </c>
      <c r="F66" s="61">
        <f t="shared" si="34"/>
        <v>3887.0000000000005</v>
      </c>
      <c r="G66" s="3">
        <f t="shared" si="35"/>
        <v>33787.000000000007</v>
      </c>
      <c r="H66" s="3"/>
      <c r="I66" s="3"/>
      <c r="J66" s="3"/>
      <c r="K66" s="3"/>
      <c r="L66" s="3"/>
      <c r="M66" s="3"/>
      <c r="N66" s="3"/>
    </row>
    <row r="67" spans="1:29">
      <c r="A67">
        <v>2023</v>
      </c>
      <c r="B67" s="3">
        <f t="shared" si="26"/>
        <v>23</v>
      </c>
      <c r="C67" s="3">
        <f t="shared" si="27"/>
        <v>29900.000000000004</v>
      </c>
      <c r="D67" s="61">
        <v>0</v>
      </c>
      <c r="E67" s="33">
        <v>13</v>
      </c>
      <c r="F67" s="61">
        <f t="shared" si="34"/>
        <v>3887.0000000000005</v>
      </c>
      <c r="G67" s="3">
        <f t="shared" si="35"/>
        <v>33787.000000000007</v>
      </c>
      <c r="H67" s="3"/>
      <c r="I67" s="3"/>
      <c r="J67" s="3"/>
      <c r="K67" s="3"/>
      <c r="L67" s="3"/>
      <c r="M67" s="3"/>
      <c r="N67" s="3"/>
    </row>
    <row r="68" spans="1:29">
      <c r="A68">
        <v>2024</v>
      </c>
      <c r="B68" s="3">
        <f t="shared" si="26"/>
        <v>23</v>
      </c>
      <c r="C68" s="3">
        <f t="shared" si="27"/>
        <v>29900.000000000004</v>
      </c>
      <c r="D68" s="61">
        <v>0</v>
      </c>
      <c r="E68" s="33">
        <v>13</v>
      </c>
      <c r="F68" s="61">
        <f t="shared" si="34"/>
        <v>3887.0000000000005</v>
      </c>
      <c r="G68" s="3">
        <f t="shared" si="35"/>
        <v>33787.000000000007</v>
      </c>
      <c r="H68" s="3"/>
      <c r="I68" s="3"/>
      <c r="J68" s="3"/>
      <c r="K68" s="3"/>
      <c r="L68" s="3"/>
      <c r="M68" s="3"/>
      <c r="N68" s="3"/>
    </row>
    <row r="69" spans="1:29">
      <c r="A69">
        <v>2025</v>
      </c>
      <c r="B69" s="3">
        <f t="shared" si="26"/>
        <v>23</v>
      </c>
      <c r="C69" s="3">
        <f t="shared" si="27"/>
        <v>29900.000000000004</v>
      </c>
      <c r="D69" s="61">
        <v>0</v>
      </c>
      <c r="E69" s="33">
        <v>13</v>
      </c>
      <c r="F69" s="61">
        <f t="shared" si="34"/>
        <v>3887.0000000000005</v>
      </c>
      <c r="G69" s="3">
        <f t="shared" si="35"/>
        <v>33787.000000000007</v>
      </c>
      <c r="H69" s="3"/>
      <c r="I69" s="3"/>
      <c r="J69" s="3"/>
      <c r="K69" s="3"/>
      <c r="L69" s="3"/>
      <c r="M69" s="3"/>
      <c r="N69" s="3"/>
    </row>
    <row r="70" spans="1:29">
      <c r="A70">
        <v>2026</v>
      </c>
      <c r="B70" s="3">
        <f t="shared" si="26"/>
        <v>23</v>
      </c>
      <c r="C70" s="3">
        <f t="shared" si="27"/>
        <v>29900.000000000004</v>
      </c>
      <c r="D70" s="61">
        <v>0</v>
      </c>
      <c r="E70" s="33">
        <v>13</v>
      </c>
      <c r="F70" s="61">
        <f t="shared" si="34"/>
        <v>3887.0000000000005</v>
      </c>
      <c r="G70" s="3">
        <f t="shared" si="35"/>
        <v>33787.000000000007</v>
      </c>
      <c r="H70" s="3"/>
      <c r="I70" s="3"/>
      <c r="J70" s="3"/>
      <c r="K70" s="3"/>
      <c r="L70" s="3"/>
      <c r="M70" s="3"/>
      <c r="N70" s="3"/>
    </row>
    <row r="71" spans="1:29">
      <c r="A71">
        <v>2027</v>
      </c>
      <c r="B71" s="3">
        <f t="shared" si="26"/>
        <v>23</v>
      </c>
      <c r="C71" s="3">
        <f t="shared" si="27"/>
        <v>29900.000000000004</v>
      </c>
      <c r="D71" s="61">
        <v>0</v>
      </c>
      <c r="E71" s="33">
        <v>13</v>
      </c>
      <c r="F71" s="61">
        <f t="shared" si="34"/>
        <v>3887.0000000000005</v>
      </c>
      <c r="G71" s="3">
        <f t="shared" si="35"/>
        <v>33787.000000000007</v>
      </c>
      <c r="H71" s="3"/>
      <c r="I71" s="3"/>
      <c r="J71" s="3"/>
      <c r="K71" s="3"/>
      <c r="L71" s="3"/>
      <c r="M71" s="3"/>
      <c r="N71" s="3"/>
    </row>
    <row r="72" spans="1:29">
      <c r="A72">
        <v>2028</v>
      </c>
      <c r="B72" s="3">
        <f t="shared" si="26"/>
        <v>23</v>
      </c>
      <c r="C72" s="3">
        <f t="shared" si="27"/>
        <v>29900.000000000004</v>
      </c>
      <c r="D72" s="61">
        <v>0</v>
      </c>
      <c r="E72" s="33">
        <v>13</v>
      </c>
      <c r="F72" s="61">
        <f t="shared" si="34"/>
        <v>3887.0000000000005</v>
      </c>
      <c r="G72" s="3">
        <f t="shared" si="35"/>
        <v>33787.000000000007</v>
      </c>
      <c r="H72" s="3"/>
      <c r="I72" s="3"/>
      <c r="J72" s="3"/>
      <c r="K72" s="3"/>
      <c r="L72" s="3"/>
      <c r="M72" s="3"/>
      <c r="N72" s="3"/>
    </row>
    <row r="73" spans="1:29">
      <c r="A73">
        <v>2029</v>
      </c>
      <c r="B73" s="3">
        <f t="shared" si="26"/>
        <v>23</v>
      </c>
      <c r="C73" s="3">
        <f t="shared" si="27"/>
        <v>29900.000000000004</v>
      </c>
      <c r="D73" s="61">
        <v>0</v>
      </c>
      <c r="E73" s="33">
        <v>13</v>
      </c>
      <c r="F73" s="61">
        <f t="shared" si="34"/>
        <v>3887.0000000000005</v>
      </c>
      <c r="G73" s="3">
        <f t="shared" si="35"/>
        <v>33787.000000000007</v>
      </c>
      <c r="H73" s="3"/>
      <c r="I73" s="3"/>
      <c r="J73" s="3"/>
      <c r="K73" s="3"/>
      <c r="L73" s="3"/>
      <c r="M73" s="3"/>
      <c r="N73" s="3"/>
    </row>
    <row r="74" spans="1:29">
      <c r="A74">
        <v>2030</v>
      </c>
      <c r="B74" s="3">
        <f t="shared" si="26"/>
        <v>23</v>
      </c>
      <c r="C74" s="3">
        <f t="shared" si="27"/>
        <v>29900.000000000004</v>
      </c>
      <c r="D74" s="61">
        <v>0</v>
      </c>
      <c r="E74" s="33">
        <v>13</v>
      </c>
      <c r="F74" s="61">
        <f t="shared" si="34"/>
        <v>3887.0000000000005</v>
      </c>
      <c r="G74" s="3">
        <f t="shared" si="35"/>
        <v>33787.000000000007</v>
      </c>
      <c r="H74" s="3"/>
      <c r="I74" s="3"/>
      <c r="J74" s="3"/>
      <c r="K74" s="3"/>
      <c r="L74" s="3"/>
      <c r="M74" s="3"/>
      <c r="N74" s="3"/>
    </row>
    <row r="76" spans="1:29">
      <c r="Z76" s="87" t="s">
        <v>1221</v>
      </c>
      <c r="AA76" s="87"/>
      <c r="AB76" s="87"/>
      <c r="AC76" s="234"/>
    </row>
    <row r="77" spans="1:29">
      <c r="Z77" s="235" t="s">
        <v>1167</v>
      </c>
      <c r="AA77" s="235" t="s">
        <v>1168</v>
      </c>
      <c r="AB77" s="235" t="s">
        <v>1169</v>
      </c>
      <c r="AC77" s="235" t="s">
        <v>1170</v>
      </c>
    </row>
    <row r="78" spans="1:29">
      <c r="B78" t="s">
        <v>980</v>
      </c>
      <c r="C78" t="s">
        <v>980</v>
      </c>
      <c r="D78" t="s">
        <v>980</v>
      </c>
      <c r="E78" t="s">
        <v>980</v>
      </c>
      <c r="F78" t="s">
        <v>980</v>
      </c>
      <c r="J78" t="s">
        <v>812</v>
      </c>
      <c r="K78" t="s">
        <v>812</v>
      </c>
      <c r="L78" t="s">
        <v>812</v>
      </c>
      <c r="M78" t="s">
        <v>812</v>
      </c>
      <c r="N78" t="s">
        <v>812</v>
      </c>
      <c r="U78" t="s">
        <v>1044</v>
      </c>
      <c r="Y78">
        <v>2010</v>
      </c>
      <c r="Z78" s="13">
        <v>1.1602811756301115</v>
      </c>
      <c r="AA78" s="13">
        <f t="shared" ref="AA78:AC78" si="40">Z78</f>
        <v>1.1602811756301115</v>
      </c>
      <c r="AB78" s="13">
        <f t="shared" si="40"/>
        <v>1.1602811756301115</v>
      </c>
      <c r="AC78" s="13">
        <f t="shared" si="40"/>
        <v>1.1602811756301115</v>
      </c>
    </row>
    <row r="79" spans="1:29">
      <c r="B79" t="s">
        <v>978</v>
      </c>
      <c r="C79" t="s">
        <v>979</v>
      </c>
      <c r="D79" t="s">
        <v>916</v>
      </c>
      <c r="E79" t="s">
        <v>792</v>
      </c>
      <c r="F79" t="s">
        <v>983</v>
      </c>
      <c r="J79" t="s">
        <v>725</v>
      </c>
      <c r="K79" t="s">
        <v>979</v>
      </c>
      <c r="L79" t="s">
        <v>916</v>
      </c>
      <c r="M79" t="s">
        <v>985</v>
      </c>
      <c r="N79" t="s">
        <v>983</v>
      </c>
      <c r="R79" t="s">
        <v>997</v>
      </c>
      <c r="S79" t="s">
        <v>1087</v>
      </c>
      <c r="U79" t="s">
        <v>934</v>
      </c>
      <c r="V79" t="s">
        <v>986</v>
      </c>
      <c r="W79" t="s">
        <v>987</v>
      </c>
      <c r="Y79">
        <v>2011</v>
      </c>
      <c r="Z79" s="13">
        <v>1.3415652610964366</v>
      </c>
      <c r="AA79" s="13">
        <f t="shared" ref="AA79:AC79" si="41">Z79</f>
        <v>1.3415652610964366</v>
      </c>
      <c r="AB79" s="13">
        <f t="shared" si="41"/>
        <v>1.3415652610964366</v>
      </c>
      <c r="AC79" s="13">
        <f t="shared" si="41"/>
        <v>1.3415652610964366</v>
      </c>
    </row>
    <row r="80" spans="1:29">
      <c r="A80" s="3">
        <v>2012</v>
      </c>
      <c r="B80" s="3">
        <f t="shared" ref="B80:B98" si="42">MIN(J6,J31)</f>
        <v>32075.72461466516</v>
      </c>
      <c r="C80" s="3">
        <f>B80/5</f>
        <v>6415.1449229330319</v>
      </c>
      <c r="D80" s="3">
        <f>B80*0.13</f>
        <v>4169.8441999064707</v>
      </c>
      <c r="E80" s="3">
        <v>0</v>
      </c>
      <c r="F80" s="3">
        <f>C80+D80-E80</f>
        <v>10584.989122839503</v>
      </c>
      <c r="G80" s="3"/>
      <c r="H80" s="3"/>
      <c r="I80" s="3">
        <v>2012</v>
      </c>
      <c r="J80" s="3">
        <f>G56</f>
        <v>25954.154598668905</v>
      </c>
      <c r="K80" s="3">
        <f>J80/5</f>
        <v>5190.8309197337812</v>
      </c>
      <c r="L80" s="3">
        <f>J80*0.13</f>
        <v>3374.0400978269577</v>
      </c>
      <c r="M80" s="3">
        <f t="shared" ref="M80:M98" si="43">W80/100*V80*U80</f>
        <v>1901.7020598088545</v>
      </c>
      <c r="N80" s="3">
        <f>SUM(K80:M80)</f>
        <v>10466.573077369594</v>
      </c>
      <c r="O80" s="3"/>
      <c r="P80" s="3"/>
      <c r="Q80" s="3">
        <v>2012</v>
      </c>
      <c r="R80" s="13">
        <f>N80/F80</f>
        <v>0.98881283257869401</v>
      </c>
      <c r="S80" s="13">
        <f>J80/B80</f>
        <v>0.80915255728322821</v>
      </c>
      <c r="T80" s="3"/>
      <c r="U80" s="13">
        <f>AB80</f>
        <v>1.3613921582492723</v>
      </c>
      <c r="V80" s="12">
        <f>'Country L per 100 km'!E7</f>
        <v>9.0706521256620967</v>
      </c>
      <c r="W80" s="3">
        <f>'Country distance travelled'!E7</f>
        <v>15400</v>
      </c>
      <c r="X80" s="3"/>
      <c r="Y80">
        <v>2012</v>
      </c>
      <c r="Z80" s="13">
        <v>1.3613921582492723</v>
      </c>
      <c r="AA80" s="13">
        <f t="shared" ref="AA80:AC80" si="44">Z80</f>
        <v>1.3613921582492723</v>
      </c>
      <c r="AB80" s="13">
        <f t="shared" si="44"/>
        <v>1.3613921582492723</v>
      </c>
      <c r="AC80" s="13">
        <f t="shared" si="44"/>
        <v>1.3613921582492723</v>
      </c>
    </row>
    <row r="81" spans="1:29">
      <c r="A81" s="3">
        <v>2013</v>
      </c>
      <c r="B81" s="3">
        <f t="shared" si="42"/>
        <v>33698.06796302626</v>
      </c>
      <c r="C81" s="3">
        <f t="shared" ref="C81:C98" si="45">B81/5</f>
        <v>6739.6135926052521</v>
      </c>
      <c r="D81" s="3">
        <f t="shared" ref="D81:D98" si="46">B81*0.13</f>
        <v>4380.7488351934144</v>
      </c>
      <c r="E81" s="3">
        <v>0</v>
      </c>
      <c r="F81" s="3">
        <f t="shared" ref="F81:F98" si="47">C81+D81-E81</f>
        <v>11120.362427798667</v>
      </c>
      <c r="G81" s="3"/>
      <c r="H81" s="3"/>
      <c r="I81" s="3">
        <v>2013</v>
      </c>
      <c r="J81" s="3">
        <f t="shared" ref="J81:J98" si="48">G57</f>
        <v>26869.606006683731</v>
      </c>
      <c r="K81" s="3">
        <f t="shared" ref="K81:K98" si="49">J81/5</f>
        <v>5373.921201336746</v>
      </c>
      <c r="L81" s="3">
        <f t="shared" ref="L81:L98" si="50">J81*0.13</f>
        <v>3493.0487808688849</v>
      </c>
      <c r="M81" s="3">
        <f t="shared" si="43"/>
        <v>1875.1182011692738</v>
      </c>
      <c r="N81" s="3">
        <f t="shared" ref="N81:N97" si="51">SUM(K81:M81)</f>
        <v>10742.088183374906</v>
      </c>
      <c r="O81" s="3"/>
      <c r="P81" s="3"/>
      <c r="Q81" s="3">
        <v>2013</v>
      </c>
      <c r="R81" s="13">
        <f t="shared" ref="R81:R98" si="52">N81/F81</f>
        <v>0.96598364065202125</v>
      </c>
      <c r="S81" s="13">
        <f t="shared" ref="S81:S98" si="53">J81/B81</f>
        <v>0.79736339887987751</v>
      </c>
      <c r="T81" s="3"/>
      <c r="U81" s="13">
        <f t="shared" ref="U81:U98" si="54">AB81</f>
        <v>1.3528991350427662</v>
      </c>
      <c r="V81" s="12">
        <f>'Country L per 100 km'!E8</f>
        <v>9</v>
      </c>
      <c r="W81" s="3">
        <f>'Country distance travelled'!E8</f>
        <v>15400</v>
      </c>
      <c r="X81" s="3"/>
      <c r="Y81">
        <v>2013</v>
      </c>
      <c r="Z81" s="13">
        <v>1.3528991350427662</v>
      </c>
      <c r="AA81" s="13">
        <f t="shared" ref="AA81:AC81" si="55">Z81</f>
        <v>1.3528991350427662</v>
      </c>
      <c r="AB81" s="13">
        <f t="shared" si="55"/>
        <v>1.3528991350427662</v>
      </c>
      <c r="AC81" s="13">
        <f t="shared" si="55"/>
        <v>1.3528991350427662</v>
      </c>
    </row>
    <row r="82" spans="1:29">
      <c r="A82" s="3">
        <v>2014</v>
      </c>
      <c r="B82" s="3">
        <f t="shared" si="42"/>
        <v>39344.241140588601</v>
      </c>
      <c r="C82" s="3">
        <f t="shared" si="45"/>
        <v>7868.8482281177203</v>
      </c>
      <c r="D82" s="3">
        <f t="shared" si="46"/>
        <v>5114.751348276518</v>
      </c>
      <c r="E82" s="3">
        <v>0</v>
      </c>
      <c r="F82" s="3">
        <f t="shared" si="47"/>
        <v>12983.599576394237</v>
      </c>
      <c r="G82" s="3"/>
      <c r="H82" s="3"/>
      <c r="I82" s="3">
        <v>2014</v>
      </c>
      <c r="J82" s="3">
        <f t="shared" si="48"/>
        <v>28762.218483500186</v>
      </c>
      <c r="K82" s="3">
        <f t="shared" si="49"/>
        <v>5752.4436967000374</v>
      </c>
      <c r="L82" s="3">
        <f t="shared" si="50"/>
        <v>3739.0884028550245</v>
      </c>
      <c r="M82" s="3">
        <f t="shared" si="43"/>
        <v>1826.535555051544</v>
      </c>
      <c r="N82" s="3">
        <f t="shared" si="51"/>
        <v>11318.067654606604</v>
      </c>
      <c r="O82" s="3"/>
      <c r="P82" s="3"/>
      <c r="Q82" s="3">
        <v>2014</v>
      </c>
      <c r="R82" s="13">
        <f t="shared" si="52"/>
        <v>0.87172032593982851</v>
      </c>
      <c r="S82" s="13">
        <f t="shared" si="53"/>
        <v>0.73104011285220316</v>
      </c>
      <c r="T82" s="3"/>
      <c r="U82" s="13">
        <f t="shared" si="54"/>
        <v>1.3336608814662068</v>
      </c>
      <c r="V82" s="12">
        <f>'Country L per 100 km'!E9</f>
        <v>8.8932806324110665</v>
      </c>
      <c r="W82" s="3">
        <f>'Country distance travelled'!E9</f>
        <v>15400</v>
      </c>
      <c r="X82" s="3"/>
      <c r="Y82">
        <v>2014</v>
      </c>
      <c r="Z82" s="13">
        <v>1.3336608814662068</v>
      </c>
      <c r="AA82" s="13">
        <f t="shared" ref="AA82:AC82" si="56">Z82</f>
        <v>1.3336608814662068</v>
      </c>
      <c r="AB82" s="13">
        <f t="shared" si="56"/>
        <v>1.3336608814662068</v>
      </c>
      <c r="AC82" s="13">
        <f t="shared" si="56"/>
        <v>1.3336608814662068</v>
      </c>
    </row>
    <row r="83" spans="1:29">
      <c r="A83" s="3">
        <v>2015</v>
      </c>
      <c r="B83" s="3">
        <f t="shared" si="42"/>
        <v>41098.152606716634</v>
      </c>
      <c r="C83" s="3">
        <f t="shared" si="45"/>
        <v>8219.6305213433261</v>
      </c>
      <c r="D83" s="3">
        <f t="shared" si="46"/>
        <v>5342.7598388731631</v>
      </c>
      <c r="E83" s="3">
        <v>0</v>
      </c>
      <c r="F83" s="3">
        <f t="shared" si="47"/>
        <v>13562.39036021649</v>
      </c>
      <c r="G83" s="3"/>
      <c r="H83" s="3"/>
      <c r="I83" s="3">
        <v>2015</v>
      </c>
      <c r="J83" s="3">
        <f t="shared" si="48"/>
        <v>33464.540400544778</v>
      </c>
      <c r="K83" s="3">
        <f t="shared" si="49"/>
        <v>6692.9080801089558</v>
      </c>
      <c r="L83" s="3">
        <f t="shared" si="50"/>
        <v>4350.3902520708216</v>
      </c>
      <c r="M83" s="3">
        <f t="shared" si="43"/>
        <v>1488.7291970173828</v>
      </c>
      <c r="N83" s="3">
        <f t="shared" si="51"/>
        <v>12532.027529197159</v>
      </c>
      <c r="O83" s="3"/>
      <c r="P83" s="3"/>
      <c r="Q83" s="3">
        <v>2015</v>
      </c>
      <c r="R83" s="13">
        <f t="shared" si="52"/>
        <v>0.92402793286043683</v>
      </c>
      <c r="S83" s="13">
        <f t="shared" si="53"/>
        <v>0.8142589940910312</v>
      </c>
      <c r="T83" s="3"/>
      <c r="U83" s="13">
        <f t="shared" si="54"/>
        <v>1.098965714864927</v>
      </c>
      <c r="V83" s="12">
        <f>'Country L per 100 km'!E10</f>
        <v>8.7965189242443795</v>
      </c>
      <c r="W83" s="3">
        <f>'Country distance travelled'!E10</f>
        <v>15400</v>
      </c>
      <c r="X83" s="3"/>
      <c r="Y83">
        <v>2015</v>
      </c>
      <c r="Z83" s="13">
        <v>1.098965714864927</v>
      </c>
      <c r="AA83" s="13">
        <f t="shared" ref="AA83:AC83" si="57">Z83</f>
        <v>1.098965714864927</v>
      </c>
      <c r="AB83" s="13">
        <f t="shared" si="57"/>
        <v>1.098965714864927</v>
      </c>
      <c r="AC83" s="13">
        <f t="shared" si="57"/>
        <v>1.098965714864927</v>
      </c>
    </row>
    <row r="84" spans="1:29">
      <c r="A84" s="3">
        <v>2016</v>
      </c>
      <c r="B84" s="3">
        <f t="shared" si="42"/>
        <v>41701.951618608487</v>
      </c>
      <c r="C84" s="3">
        <f t="shared" si="45"/>
        <v>8340.3903237216982</v>
      </c>
      <c r="D84" s="3">
        <f t="shared" si="46"/>
        <v>5421.2537104191033</v>
      </c>
      <c r="E84" s="3">
        <v>0</v>
      </c>
      <c r="F84" s="3">
        <f t="shared" si="47"/>
        <v>13761.644034140802</v>
      </c>
      <c r="G84" s="3"/>
      <c r="H84" s="3"/>
      <c r="I84" s="3">
        <v>2016</v>
      </c>
      <c r="J84" s="3">
        <f t="shared" si="48"/>
        <v>34377.338833525762</v>
      </c>
      <c r="K84" s="3">
        <f t="shared" si="49"/>
        <v>6875.4677667051528</v>
      </c>
      <c r="L84" s="3">
        <f t="shared" si="50"/>
        <v>4469.0540483583491</v>
      </c>
      <c r="M84" s="3">
        <f t="shared" si="43"/>
        <v>1376.9494769758226</v>
      </c>
      <c r="N84" s="3">
        <f t="shared" si="51"/>
        <v>12721.471292039323</v>
      </c>
      <c r="O84" s="3"/>
      <c r="P84" s="3"/>
      <c r="Q84" s="3">
        <v>2016</v>
      </c>
      <c r="R84" s="13">
        <f t="shared" si="52"/>
        <v>0.92441508154687413</v>
      </c>
      <c r="S84" s="13">
        <f t="shared" si="53"/>
        <v>0.82435803359825743</v>
      </c>
      <c r="T84" s="3"/>
      <c r="U84" s="13">
        <f t="shared" si="54"/>
        <v>1.0266154999999999</v>
      </c>
      <c r="V84" s="12">
        <f>'Country L per 100 km'!E11</f>
        <v>8.7094246774696806</v>
      </c>
      <c r="W84" s="3">
        <f>'Country distance travelled'!E11</f>
        <v>15400</v>
      </c>
      <c r="X84" s="3"/>
      <c r="Y84">
        <v>2016</v>
      </c>
      <c r="Z84" s="13">
        <v>1.0266154999999999</v>
      </c>
      <c r="AA84" s="13">
        <f t="shared" ref="AA84:AC84" si="58">Z84</f>
        <v>1.0266154999999999</v>
      </c>
      <c r="AB84" s="13">
        <f t="shared" si="58"/>
        <v>1.0266154999999999</v>
      </c>
      <c r="AC84" s="13">
        <f t="shared" si="58"/>
        <v>1.0266154999999999</v>
      </c>
    </row>
    <row r="85" spans="1:29">
      <c r="A85" s="3">
        <v>2017</v>
      </c>
      <c r="B85" s="3">
        <f t="shared" si="42"/>
        <v>40566.372691354823</v>
      </c>
      <c r="C85" s="3">
        <f t="shared" si="45"/>
        <v>8113.2745382709645</v>
      </c>
      <c r="D85" s="3">
        <f t="shared" si="46"/>
        <v>5273.628449876127</v>
      </c>
      <c r="E85" s="3">
        <v>0</v>
      </c>
      <c r="F85" s="3">
        <f t="shared" si="47"/>
        <v>13386.902988147092</v>
      </c>
      <c r="G85" s="3"/>
      <c r="H85" s="3"/>
      <c r="I85" s="3">
        <v>2017</v>
      </c>
      <c r="J85" s="3">
        <f t="shared" si="48"/>
        <v>33664.959804112768</v>
      </c>
      <c r="K85" s="3">
        <f t="shared" si="49"/>
        <v>6732.9919608225537</v>
      </c>
      <c r="L85" s="3">
        <f t="shared" si="50"/>
        <v>4376.4447745346597</v>
      </c>
      <c r="M85" s="3">
        <f t="shared" si="43"/>
        <v>1480.510815771378</v>
      </c>
      <c r="N85" s="3">
        <f t="shared" si="51"/>
        <v>12589.947551128591</v>
      </c>
      <c r="O85" s="3"/>
      <c r="P85" s="3"/>
      <c r="Q85" s="3">
        <v>2017</v>
      </c>
      <c r="R85" s="13">
        <f t="shared" si="52"/>
        <v>0.94046752727467031</v>
      </c>
      <c r="S85" s="13">
        <f t="shared" si="53"/>
        <v>0.82987355217212144</v>
      </c>
      <c r="T85" s="3"/>
      <c r="U85" s="13">
        <f t="shared" si="54"/>
        <v>1.1148662536798222</v>
      </c>
      <c r="V85" s="12">
        <f>'Country L per 100 km'!E12</f>
        <v>8.6231927499699825</v>
      </c>
      <c r="W85" s="3">
        <f>'Country distance travelled'!E12</f>
        <v>15400</v>
      </c>
      <c r="X85" s="3"/>
      <c r="Y85">
        <v>2017</v>
      </c>
      <c r="Z85" s="13">
        <v>1.1148662536798222</v>
      </c>
      <c r="AA85" s="13">
        <f t="shared" ref="AA85:AC85" si="59">Z85</f>
        <v>1.1148662536798222</v>
      </c>
      <c r="AB85" s="13">
        <f t="shared" si="59"/>
        <v>1.1148662536798222</v>
      </c>
      <c r="AC85" s="13">
        <f t="shared" si="59"/>
        <v>1.1148662536798222</v>
      </c>
    </row>
    <row r="86" spans="1:29">
      <c r="A86" s="3">
        <v>2018</v>
      </c>
      <c r="B86" s="3">
        <f t="shared" si="42"/>
        <v>42542.16311070478</v>
      </c>
      <c r="C86" s="3">
        <f t="shared" si="45"/>
        <v>8508.4326221409556</v>
      </c>
      <c r="D86" s="3">
        <f t="shared" si="46"/>
        <v>5530.4812043916218</v>
      </c>
      <c r="E86" s="3">
        <v>0</v>
      </c>
      <c r="F86" s="3">
        <f t="shared" si="47"/>
        <v>14038.913826532578</v>
      </c>
      <c r="G86" s="3"/>
      <c r="H86" s="3"/>
      <c r="I86" s="3">
        <v>2018</v>
      </c>
      <c r="J86" s="3">
        <f t="shared" si="48"/>
        <v>33787.000000000007</v>
      </c>
      <c r="K86" s="3">
        <f t="shared" si="49"/>
        <v>6757.4000000000015</v>
      </c>
      <c r="L86" s="3">
        <f t="shared" si="50"/>
        <v>4392.3100000000013</v>
      </c>
      <c r="M86" s="3">
        <f t="shared" si="43"/>
        <v>1648.5990960060133</v>
      </c>
      <c r="N86" s="3">
        <f t="shared" si="51"/>
        <v>12798.309096006016</v>
      </c>
      <c r="O86" s="3"/>
      <c r="P86" s="3"/>
      <c r="Q86" s="3">
        <v>2018</v>
      </c>
      <c r="R86" s="13">
        <f t="shared" si="52"/>
        <v>0.91163100323460178</v>
      </c>
      <c r="S86" s="13">
        <f t="shared" si="53"/>
        <v>0.7942003304363775</v>
      </c>
      <c r="T86" s="3"/>
      <c r="U86" s="13">
        <f t="shared" si="54"/>
        <v>1.2538558673053735</v>
      </c>
      <c r="V86" s="12">
        <f>'Country L per 100 km'!E13</f>
        <v>8.537814603930677</v>
      </c>
      <c r="W86" s="3">
        <f>'Country distance travelled'!E13</f>
        <v>15400</v>
      </c>
      <c r="X86" s="3"/>
      <c r="Y86">
        <v>2018</v>
      </c>
      <c r="Z86" s="13">
        <v>1.2538558673053735</v>
      </c>
      <c r="AA86" s="13">
        <f>Z86</f>
        <v>1.2538558673053735</v>
      </c>
      <c r="AB86" s="13">
        <f t="shared" ref="AB86:AC86" si="60">AA86</f>
        <v>1.2538558673053735</v>
      </c>
      <c r="AC86" s="13">
        <f t="shared" si="60"/>
        <v>1.2538558673053735</v>
      </c>
    </row>
    <row r="87" spans="1:29">
      <c r="A87" s="3">
        <v>2019</v>
      </c>
      <c r="B87" s="3">
        <f t="shared" si="42"/>
        <v>45210.029852588705</v>
      </c>
      <c r="C87" s="3">
        <f t="shared" si="45"/>
        <v>9042.0059705177409</v>
      </c>
      <c r="D87" s="3">
        <f t="shared" si="46"/>
        <v>5877.3038808365318</v>
      </c>
      <c r="E87" s="3">
        <v>0</v>
      </c>
      <c r="F87" s="3">
        <f t="shared" si="47"/>
        <v>14919.309851354272</v>
      </c>
      <c r="G87" s="3"/>
      <c r="H87" s="3"/>
      <c r="I87" s="3">
        <v>2019</v>
      </c>
      <c r="J87" s="3">
        <f t="shared" si="48"/>
        <v>33787.000000000007</v>
      </c>
      <c r="K87" s="3">
        <f t="shared" si="49"/>
        <v>6757.4000000000015</v>
      </c>
      <c r="L87" s="3">
        <f t="shared" si="50"/>
        <v>4392.3100000000013</v>
      </c>
      <c r="M87" s="3">
        <f t="shared" si="43"/>
        <v>1545.4730488933292</v>
      </c>
      <c r="N87" s="3">
        <f t="shared" si="51"/>
        <v>12695.183048893332</v>
      </c>
      <c r="O87" s="3"/>
      <c r="P87" s="3"/>
      <c r="Q87" s="3">
        <v>2019</v>
      </c>
      <c r="R87" s="13">
        <f t="shared" si="52"/>
        <v>0.85092294317762629</v>
      </c>
      <c r="S87" s="13">
        <f t="shared" si="53"/>
        <v>0.7473341670015593</v>
      </c>
      <c r="T87" s="3"/>
      <c r="U87" s="13">
        <f t="shared" si="54"/>
        <v>1.1871767122522181</v>
      </c>
      <c r="V87" s="12">
        <f>'Country L per 100 km'!E14</f>
        <v>8.4532817860699758</v>
      </c>
      <c r="W87" s="3">
        <f>'Country distance travelled'!E14</f>
        <v>15400</v>
      </c>
      <c r="X87" s="3"/>
      <c r="Y87">
        <v>2019</v>
      </c>
      <c r="Z87" s="13"/>
      <c r="AA87" s="13">
        <v>1.4586421374810055</v>
      </c>
      <c r="AB87" s="13">
        <v>1.1871767122522181</v>
      </c>
      <c r="AC87" s="13">
        <v>0.9507216793697757</v>
      </c>
    </row>
    <row r="88" spans="1:29">
      <c r="A88" s="3">
        <v>2020</v>
      </c>
      <c r="B88" s="3">
        <f t="shared" si="42"/>
        <v>44987.808424879026</v>
      </c>
      <c r="C88" s="3">
        <f t="shared" si="45"/>
        <v>8997.5616849758044</v>
      </c>
      <c r="D88" s="3">
        <f t="shared" si="46"/>
        <v>5848.4150952342734</v>
      </c>
      <c r="E88" s="3">
        <v>0</v>
      </c>
      <c r="F88" s="3">
        <f t="shared" si="47"/>
        <v>14845.976780210078</v>
      </c>
      <c r="G88" s="3"/>
      <c r="H88" s="3"/>
      <c r="I88" s="3">
        <v>2020</v>
      </c>
      <c r="J88" s="3">
        <f t="shared" si="48"/>
        <v>33787.000000000007</v>
      </c>
      <c r="K88" s="3">
        <f t="shared" si="49"/>
        <v>6757.4000000000015</v>
      </c>
      <c r="L88" s="3">
        <f t="shared" si="50"/>
        <v>4392.3100000000013</v>
      </c>
      <c r="M88" s="3">
        <f t="shared" si="43"/>
        <v>1532.5164278816449</v>
      </c>
      <c r="N88" s="3">
        <f t="shared" si="51"/>
        <v>12682.226427881647</v>
      </c>
      <c r="O88" s="3"/>
      <c r="P88" s="3"/>
      <c r="Q88" s="3">
        <v>2020</v>
      </c>
      <c r="R88" s="13">
        <f t="shared" si="52"/>
        <v>0.85425341933629162</v>
      </c>
      <c r="S88" s="13">
        <f t="shared" si="53"/>
        <v>0.75102569302565136</v>
      </c>
      <c r="T88" s="3"/>
      <c r="U88" s="13">
        <f t="shared" si="54"/>
        <v>1.1889961418506281</v>
      </c>
      <c r="V88" s="12">
        <f>'Country L per 100 km'!E15</f>
        <v>8.369585926801955</v>
      </c>
      <c r="W88" s="3">
        <f>'Country distance travelled'!E15</f>
        <v>15400</v>
      </c>
      <c r="X88" s="3"/>
      <c r="Y88">
        <v>2020</v>
      </c>
      <c r="Z88" s="13"/>
      <c r="AA88" s="13">
        <v>1.5737707746528842</v>
      </c>
      <c r="AB88" s="13">
        <v>1.1889961418506281</v>
      </c>
      <c r="AC88" s="13">
        <v>0.95749395214459199</v>
      </c>
    </row>
    <row r="89" spans="1:29">
      <c r="A89" s="3">
        <v>2021</v>
      </c>
      <c r="B89" s="3">
        <f t="shared" si="42"/>
        <v>43894.704983524971</v>
      </c>
      <c r="C89" s="3">
        <f t="shared" si="45"/>
        <v>8778.9409967049942</v>
      </c>
      <c r="D89" s="3">
        <f t="shared" si="46"/>
        <v>5706.311647858246</v>
      </c>
      <c r="E89" s="3">
        <v>0</v>
      </c>
      <c r="F89" s="3">
        <f t="shared" si="47"/>
        <v>14485.252644563239</v>
      </c>
      <c r="G89" s="3"/>
      <c r="H89" s="3"/>
      <c r="I89" s="3">
        <v>2021</v>
      </c>
      <c r="J89" s="3">
        <f t="shared" si="48"/>
        <v>33787.000000000007</v>
      </c>
      <c r="K89" s="3">
        <f t="shared" si="49"/>
        <v>6757.4000000000015</v>
      </c>
      <c r="L89" s="3">
        <f t="shared" si="50"/>
        <v>4392.3100000000013</v>
      </c>
      <c r="M89" s="3">
        <f t="shared" si="43"/>
        <v>1585.7507158914743</v>
      </c>
      <c r="N89" s="3">
        <f t="shared" si="51"/>
        <v>12735.460715891477</v>
      </c>
      <c r="O89" s="3"/>
      <c r="P89" s="3"/>
      <c r="Q89" s="3">
        <v>2021</v>
      </c>
      <c r="R89" s="13">
        <f t="shared" si="52"/>
        <v>0.87920183571471822</v>
      </c>
      <c r="S89" s="13">
        <f t="shared" si="53"/>
        <v>0.76972837641080638</v>
      </c>
      <c r="T89" s="3"/>
      <c r="U89" s="13">
        <f t="shared" si="54"/>
        <v>1.2426007077753951</v>
      </c>
      <c r="V89" s="12">
        <f>'Country L per 100 km'!E16</f>
        <v>8.2867187394078776</v>
      </c>
      <c r="W89" s="3">
        <f>'Country distance travelled'!E16</f>
        <v>15400</v>
      </c>
      <c r="X89" s="3"/>
      <c r="Y89">
        <v>2021</v>
      </c>
      <c r="Z89" s="13"/>
      <c r="AA89" s="13">
        <v>1.6956716845995787</v>
      </c>
      <c r="AB89" s="13">
        <v>1.2426007077753951</v>
      </c>
      <c r="AC89" s="13">
        <v>0.97103849769422479</v>
      </c>
    </row>
    <row r="90" spans="1:29">
      <c r="A90" s="3">
        <v>2022</v>
      </c>
      <c r="B90" s="3">
        <f t="shared" si="42"/>
        <v>44585.288586101764</v>
      </c>
      <c r="C90" s="3">
        <f t="shared" si="45"/>
        <v>8917.0577172203521</v>
      </c>
      <c r="D90" s="3">
        <f t="shared" si="46"/>
        <v>5796.0875161932299</v>
      </c>
      <c r="E90" s="3">
        <v>0</v>
      </c>
      <c r="F90" s="3">
        <f t="shared" si="47"/>
        <v>14713.145233413583</v>
      </c>
      <c r="G90" s="3"/>
      <c r="H90" s="3"/>
      <c r="I90" s="3">
        <v>2022</v>
      </c>
      <c r="J90" s="3">
        <f t="shared" si="48"/>
        <v>33787.000000000007</v>
      </c>
      <c r="K90" s="3">
        <f t="shared" si="49"/>
        <v>6757.4000000000015</v>
      </c>
      <c r="L90" s="3">
        <f t="shared" si="50"/>
        <v>4392.3100000000013</v>
      </c>
      <c r="M90" s="3">
        <f t="shared" si="43"/>
        <v>1620.4801640261417</v>
      </c>
      <c r="N90" s="3">
        <f t="shared" si="51"/>
        <v>12770.190164026144</v>
      </c>
      <c r="O90" s="3"/>
      <c r="P90" s="3"/>
      <c r="Q90" s="3">
        <v>2022</v>
      </c>
      <c r="R90" s="13">
        <f t="shared" si="52"/>
        <v>0.86794427441829469</v>
      </c>
      <c r="S90" s="13">
        <f t="shared" si="53"/>
        <v>0.75780601789201329</v>
      </c>
      <c r="T90" s="3"/>
      <c r="U90" s="13">
        <f t="shared" si="54"/>
        <v>1.2825129929700794</v>
      </c>
      <c r="V90" s="12">
        <f>'Country L per 100 km'!E17</f>
        <v>8.204672019215721</v>
      </c>
      <c r="W90" s="3">
        <f>'Country distance travelled'!E17</f>
        <v>15400</v>
      </c>
      <c r="X90" s="3"/>
      <c r="Y90">
        <v>2022</v>
      </c>
      <c r="Z90" s="13"/>
      <c r="AA90" s="13">
        <v>1.7498498667981104</v>
      </c>
      <c r="AB90" s="13">
        <v>1.2825129929700794</v>
      </c>
      <c r="AC90" s="13">
        <v>0.97781077046904119</v>
      </c>
    </row>
    <row r="91" spans="1:29">
      <c r="A91" s="3">
        <v>2023</v>
      </c>
      <c r="B91" s="3">
        <f t="shared" si="42"/>
        <v>44222.069058971923</v>
      </c>
      <c r="C91" s="3">
        <f t="shared" si="45"/>
        <v>8844.4138117943839</v>
      </c>
      <c r="D91" s="3">
        <f t="shared" si="46"/>
        <v>5748.8689776663505</v>
      </c>
      <c r="E91" s="3">
        <v>0</v>
      </c>
      <c r="F91" s="3">
        <f t="shared" si="47"/>
        <v>14593.282789460734</v>
      </c>
      <c r="G91" s="3"/>
      <c r="H91" s="3"/>
      <c r="I91" s="3">
        <v>2023</v>
      </c>
      <c r="J91" s="3">
        <f t="shared" si="48"/>
        <v>33787.000000000007</v>
      </c>
      <c r="K91" s="3">
        <f t="shared" si="49"/>
        <v>6757.4000000000015</v>
      </c>
      <c r="L91" s="3">
        <f t="shared" si="50"/>
        <v>4392.3100000000013</v>
      </c>
      <c r="M91" s="3">
        <f t="shared" si="43"/>
        <v>1627.4122041905298</v>
      </c>
      <c r="N91" s="3">
        <f t="shared" si="51"/>
        <v>12777.122204190533</v>
      </c>
      <c r="O91" s="3"/>
      <c r="P91" s="3"/>
      <c r="Q91" s="3">
        <v>2023</v>
      </c>
      <c r="R91" s="13">
        <f t="shared" si="52"/>
        <v>0.87554818120965683</v>
      </c>
      <c r="S91" s="13">
        <f t="shared" si="53"/>
        <v>0.76403028440265131</v>
      </c>
      <c r="T91" s="3"/>
      <c r="U91" s="13">
        <f t="shared" si="54"/>
        <v>1.300879280449093</v>
      </c>
      <c r="V91" s="12">
        <f>'Country L per 100 km'!E18</f>
        <v>8.1234376427878399</v>
      </c>
      <c r="W91" s="3">
        <f>'Country distance travelled'!E18</f>
        <v>15400</v>
      </c>
      <c r="X91" s="3"/>
      <c r="Y91">
        <v>2023</v>
      </c>
      <c r="Z91" s="13"/>
      <c r="AA91" s="13">
        <v>1.7904835034470088</v>
      </c>
      <c r="AB91" s="13">
        <v>1.300879280449093</v>
      </c>
      <c r="AC91" s="13">
        <v>0.97781077046904119</v>
      </c>
    </row>
    <row r="92" spans="1:29">
      <c r="A92" s="3">
        <v>2024</v>
      </c>
      <c r="B92" s="3">
        <f t="shared" si="42"/>
        <v>42675.291533533033</v>
      </c>
      <c r="C92" s="3">
        <f t="shared" si="45"/>
        <v>8535.0583067066073</v>
      </c>
      <c r="D92" s="3">
        <f t="shared" si="46"/>
        <v>5547.787899359294</v>
      </c>
      <c r="E92" s="3">
        <v>0</v>
      </c>
      <c r="F92" s="3">
        <f t="shared" si="47"/>
        <v>14082.8462060659</v>
      </c>
      <c r="G92" s="3"/>
      <c r="H92" s="3"/>
      <c r="I92" s="3">
        <v>2024</v>
      </c>
      <c r="J92" s="3">
        <f t="shared" si="48"/>
        <v>33787.000000000007</v>
      </c>
      <c r="K92" s="3">
        <f t="shared" si="49"/>
        <v>6757.4000000000015</v>
      </c>
      <c r="L92" s="3">
        <f t="shared" si="50"/>
        <v>4392.3100000000013</v>
      </c>
      <c r="M92" s="3">
        <f t="shared" si="43"/>
        <v>1617.3137390806471</v>
      </c>
      <c r="N92" s="3">
        <f t="shared" si="51"/>
        <v>12767.023739080651</v>
      </c>
      <c r="O92" s="3"/>
      <c r="P92" s="3"/>
      <c r="Q92" s="3">
        <v>2024</v>
      </c>
      <c r="R92" s="13">
        <f t="shared" si="52"/>
        <v>0.90656558711700719</v>
      </c>
      <c r="S92" s="13">
        <f t="shared" si="53"/>
        <v>0.79172276944965081</v>
      </c>
      <c r="T92" s="3"/>
      <c r="U92" s="13">
        <f t="shared" si="54"/>
        <v>1.3057350971164519</v>
      </c>
      <c r="V92" s="12">
        <f>'Country L per 100 km'!E19</f>
        <v>8.0430075671166747</v>
      </c>
      <c r="W92" s="3">
        <f>'Country distance travelled'!E19</f>
        <v>15400</v>
      </c>
      <c r="X92" s="3"/>
      <c r="Y92">
        <v>2024</v>
      </c>
      <c r="Z92" s="13"/>
      <c r="AA92" s="13">
        <v>1.8243448673210907</v>
      </c>
      <c r="AB92" s="13">
        <v>1.3057350971164519</v>
      </c>
      <c r="AC92" s="13">
        <v>0.97781077046904119</v>
      </c>
    </row>
    <row r="93" spans="1:29">
      <c r="A93" s="3">
        <v>2025</v>
      </c>
      <c r="B93" s="3">
        <f t="shared" si="42"/>
        <v>41353.217051774234</v>
      </c>
      <c r="C93" s="3">
        <f t="shared" si="45"/>
        <v>8270.6434103548472</v>
      </c>
      <c r="D93" s="3">
        <f t="shared" si="46"/>
        <v>5375.9182167306508</v>
      </c>
      <c r="E93" s="3">
        <v>0</v>
      </c>
      <c r="F93" s="3">
        <f t="shared" si="47"/>
        <v>13646.561627085499</v>
      </c>
      <c r="G93" s="3"/>
      <c r="H93" s="3"/>
      <c r="I93" s="3">
        <v>2025</v>
      </c>
      <c r="J93" s="3">
        <f t="shared" si="48"/>
        <v>33787.000000000007</v>
      </c>
      <c r="K93" s="3">
        <f t="shared" si="49"/>
        <v>6757.4000000000015</v>
      </c>
      <c r="L93" s="3">
        <f t="shared" si="50"/>
        <v>4392.3100000000013</v>
      </c>
      <c r="M93" s="3">
        <f t="shared" si="43"/>
        <v>1632.4596906812601</v>
      </c>
      <c r="N93" s="3">
        <f t="shared" si="51"/>
        <v>12782.169690681263</v>
      </c>
      <c r="O93" s="3"/>
      <c r="P93" s="3"/>
      <c r="Q93" s="3">
        <v>2025</v>
      </c>
      <c r="R93" s="13">
        <f t="shared" si="52"/>
        <v>0.93665862801010602</v>
      </c>
      <c r="S93" s="13">
        <f t="shared" si="53"/>
        <v>0.81703437867236972</v>
      </c>
      <c r="T93" s="3"/>
      <c r="U93" s="13">
        <f t="shared" si="54"/>
        <v>1.3311427831570155</v>
      </c>
      <c r="V93" s="12">
        <f>'Country L per 100 km'!E20</f>
        <v>7.9633738288283915</v>
      </c>
      <c r="W93" s="3">
        <f>'Country distance travelled'!E20</f>
        <v>15400</v>
      </c>
      <c r="X93" s="3"/>
      <c r="Y93">
        <v>2025</v>
      </c>
      <c r="Z93" s="13"/>
      <c r="AA93" s="13">
        <v>1.8582062311951728</v>
      </c>
      <c r="AB93" s="13">
        <v>1.3311427831570155</v>
      </c>
      <c r="AC93" s="13">
        <v>0.98458304324385748</v>
      </c>
    </row>
    <row r="94" spans="1:29">
      <c r="A94" s="3">
        <v>2026</v>
      </c>
      <c r="B94" s="3">
        <f t="shared" si="42"/>
        <v>40619.470144938772</v>
      </c>
      <c r="C94" s="3">
        <f t="shared" si="45"/>
        <v>8123.8940289877546</v>
      </c>
      <c r="D94" s="3">
        <f t="shared" si="46"/>
        <v>5280.531118842041</v>
      </c>
      <c r="E94" s="3">
        <v>0</v>
      </c>
      <c r="F94" s="3">
        <f t="shared" si="47"/>
        <v>13404.425147829796</v>
      </c>
      <c r="G94" s="3"/>
      <c r="H94" s="3"/>
      <c r="I94" s="3">
        <v>2026</v>
      </c>
      <c r="J94" s="3">
        <f t="shared" si="48"/>
        <v>33787.000000000007</v>
      </c>
      <c r="K94" s="3">
        <f t="shared" si="49"/>
        <v>6757.4000000000015</v>
      </c>
      <c r="L94" s="3">
        <f t="shared" si="50"/>
        <v>4392.3100000000013</v>
      </c>
      <c r="M94" s="3">
        <f t="shared" si="43"/>
        <v>1670.519991569005</v>
      </c>
      <c r="N94" s="3">
        <f t="shared" si="51"/>
        <v>12820.229991569007</v>
      </c>
      <c r="O94" s="3"/>
      <c r="P94" s="3"/>
      <c r="Q94" s="3">
        <v>2026</v>
      </c>
      <c r="R94" s="13">
        <f t="shared" si="52"/>
        <v>0.9564177389318802</v>
      </c>
      <c r="S94" s="13">
        <f t="shared" si="53"/>
        <v>0.83179322328530925</v>
      </c>
      <c r="T94" s="3"/>
      <c r="U94" s="13">
        <f t="shared" si="54"/>
        <v>1.3757997517649505</v>
      </c>
      <c r="V94" s="12">
        <f>'Country L per 100 km'!E21</f>
        <v>7.8845285433944472</v>
      </c>
      <c r="W94" s="3">
        <f>'Country distance travelled'!E21</f>
        <v>15400</v>
      </c>
      <c r="X94" s="3"/>
      <c r="Y94">
        <v>2026</v>
      </c>
      <c r="Z94" s="13"/>
      <c r="AA94" s="13">
        <v>1.8920675950692547</v>
      </c>
      <c r="AB94" s="13">
        <v>1.3757997517649505</v>
      </c>
      <c r="AC94" s="13">
        <v>0.99135531601867388</v>
      </c>
    </row>
    <row r="95" spans="1:29">
      <c r="A95" s="3">
        <v>2027</v>
      </c>
      <c r="B95" s="3">
        <f t="shared" si="42"/>
        <v>39884.767915835611</v>
      </c>
      <c r="C95" s="3">
        <f t="shared" si="45"/>
        <v>7976.9535831671219</v>
      </c>
      <c r="D95" s="3">
        <f t="shared" si="46"/>
        <v>5185.0198290586295</v>
      </c>
      <c r="E95" s="3">
        <v>0</v>
      </c>
      <c r="F95" s="3">
        <f t="shared" si="47"/>
        <v>13161.973412225751</v>
      </c>
      <c r="G95" s="3"/>
      <c r="H95" s="3"/>
      <c r="I95" s="3">
        <v>2027</v>
      </c>
      <c r="J95" s="3">
        <f t="shared" si="48"/>
        <v>33787.000000000007</v>
      </c>
      <c r="K95" s="3">
        <f t="shared" si="49"/>
        <v>6757.4000000000015</v>
      </c>
      <c r="L95" s="3">
        <f t="shared" si="50"/>
        <v>4392.3100000000013</v>
      </c>
      <c r="M95" s="3">
        <f t="shared" si="43"/>
        <v>1681.6488039113115</v>
      </c>
      <c r="N95" s="3">
        <f t="shared" si="51"/>
        <v>12831.358803911315</v>
      </c>
      <c r="O95" s="3"/>
      <c r="P95" s="3"/>
      <c r="Q95" s="3">
        <v>2027</v>
      </c>
      <c r="R95" s="13">
        <f t="shared" si="52"/>
        <v>0.97488107611527786</v>
      </c>
      <c r="S95" s="13">
        <f t="shared" si="53"/>
        <v>0.8471153717453479</v>
      </c>
      <c r="T95" s="3"/>
      <c r="U95" s="13">
        <f t="shared" si="54"/>
        <v>1.3988148234323317</v>
      </c>
      <c r="V95" s="12">
        <f>'Country L per 100 km'!E22</f>
        <v>7.8064639043509381</v>
      </c>
      <c r="W95" s="3">
        <f>'Country distance travelled'!E22</f>
        <v>15400</v>
      </c>
      <c r="X95" s="3"/>
      <c r="Y95">
        <v>2027</v>
      </c>
      <c r="Z95" s="13"/>
      <c r="AA95" s="13">
        <v>1.9259289589433366</v>
      </c>
      <c r="AB95" s="13">
        <v>1.3988148234323317</v>
      </c>
      <c r="AC95" s="13">
        <v>0.99812758879349051</v>
      </c>
    </row>
    <row r="96" spans="1:29">
      <c r="A96" s="3">
        <v>2028</v>
      </c>
      <c r="B96" s="3">
        <f t="shared" si="42"/>
        <v>39051.605792893068</v>
      </c>
      <c r="C96" s="3">
        <f t="shared" si="45"/>
        <v>7810.3211585786139</v>
      </c>
      <c r="D96" s="3">
        <f t="shared" si="46"/>
        <v>5076.7087530760991</v>
      </c>
      <c r="E96" s="3">
        <v>0</v>
      </c>
      <c r="F96" s="3">
        <f t="shared" si="47"/>
        <v>12887.029911654714</v>
      </c>
      <c r="G96" s="3"/>
      <c r="H96" s="3"/>
      <c r="I96" s="3">
        <v>2028</v>
      </c>
      <c r="J96" s="3">
        <f t="shared" si="48"/>
        <v>33787.000000000007</v>
      </c>
      <c r="K96" s="3">
        <f t="shared" si="49"/>
        <v>6757.4000000000015</v>
      </c>
      <c r="L96" s="3">
        <f t="shared" si="50"/>
        <v>4392.3100000000013</v>
      </c>
      <c r="M96" s="3">
        <f t="shared" si="43"/>
        <v>1682.3403238156941</v>
      </c>
      <c r="N96" s="3">
        <f t="shared" si="51"/>
        <v>12832.050323815696</v>
      </c>
      <c r="O96" s="3"/>
      <c r="P96" s="3"/>
      <c r="Q96" s="3">
        <v>2028</v>
      </c>
      <c r="R96" s="13">
        <f t="shared" si="52"/>
        <v>0.99573372699404572</v>
      </c>
      <c r="S96" s="13">
        <f t="shared" si="53"/>
        <v>0.86518849389155827</v>
      </c>
      <c r="T96" s="3"/>
      <c r="U96" s="13">
        <f t="shared" si="54"/>
        <v>1.4133839380215838</v>
      </c>
      <c r="V96" s="12">
        <f>'Country L per 100 km'!E23</f>
        <v>7.7291721825256818</v>
      </c>
      <c r="W96" s="3">
        <f>'Country distance travelled'!E23</f>
        <v>15400</v>
      </c>
      <c r="X96" s="3"/>
      <c r="Y96">
        <v>2028</v>
      </c>
      <c r="Z96" s="13"/>
      <c r="AA96" s="13">
        <v>1.9530180500426022</v>
      </c>
      <c r="AB96" s="13">
        <v>1.4133839380215838</v>
      </c>
      <c r="AC96" s="13">
        <v>0.99812758879349051</v>
      </c>
    </row>
    <row r="97" spans="1:29">
      <c r="A97" s="3">
        <v>2029</v>
      </c>
      <c r="B97" s="3">
        <f t="shared" si="42"/>
        <v>38315.051462517047</v>
      </c>
      <c r="C97" s="3">
        <f t="shared" si="45"/>
        <v>7663.0102925034098</v>
      </c>
      <c r="D97" s="3">
        <f t="shared" si="46"/>
        <v>4980.9566901272165</v>
      </c>
      <c r="E97" s="3">
        <v>0</v>
      </c>
      <c r="F97" s="3">
        <f t="shared" si="47"/>
        <v>12643.966982630627</v>
      </c>
      <c r="G97" s="3"/>
      <c r="H97" s="3"/>
      <c r="I97" s="3">
        <v>2029</v>
      </c>
      <c r="J97" s="3">
        <f t="shared" si="48"/>
        <v>33787.000000000007</v>
      </c>
      <c r="K97" s="3">
        <f t="shared" si="49"/>
        <v>6757.4000000000015</v>
      </c>
      <c r="L97" s="3">
        <f t="shared" si="50"/>
        <v>4392.3100000000013</v>
      </c>
      <c r="M97" s="3">
        <f t="shared" si="43"/>
        <v>1688.9560208253549</v>
      </c>
      <c r="N97" s="3">
        <f t="shared" si="51"/>
        <v>12838.666020825358</v>
      </c>
      <c r="O97" s="3"/>
      <c r="P97" s="3"/>
      <c r="Q97" s="3">
        <v>2029</v>
      </c>
      <c r="R97" s="13">
        <f t="shared" si="52"/>
        <v>1.0153985721777188</v>
      </c>
      <c r="S97" s="13">
        <f t="shared" si="53"/>
        <v>0.88182055642162571</v>
      </c>
      <c r="T97" s="3"/>
      <c r="U97" s="13">
        <f t="shared" si="54"/>
        <v>1.4331314008509333</v>
      </c>
      <c r="V97" s="12">
        <f>'Country L per 100 km'!E24</f>
        <v>7.6526457252729516</v>
      </c>
      <c r="W97" s="3">
        <f>'Country distance travelled'!E24</f>
        <v>15400</v>
      </c>
      <c r="X97" s="3"/>
      <c r="Y97">
        <v>2029</v>
      </c>
      <c r="Z97" s="13"/>
      <c r="AA97" s="13">
        <v>1.9868794139166843</v>
      </c>
      <c r="AB97" s="13">
        <v>1.4331314008509333</v>
      </c>
      <c r="AC97" s="13">
        <v>0.99812758879349051</v>
      </c>
    </row>
    <row r="98" spans="1:29">
      <c r="A98" s="3">
        <v>2030</v>
      </c>
      <c r="B98" s="3">
        <f t="shared" si="42"/>
        <v>37480.075332451212</v>
      </c>
      <c r="C98" s="3">
        <f t="shared" si="45"/>
        <v>7496.0150664902421</v>
      </c>
      <c r="D98" s="3">
        <f t="shared" si="46"/>
        <v>4872.4097932186578</v>
      </c>
      <c r="E98" s="3">
        <v>0</v>
      </c>
      <c r="F98" s="3">
        <f t="shared" si="47"/>
        <v>12368.424859708899</v>
      </c>
      <c r="G98" s="3"/>
      <c r="H98" s="3"/>
      <c r="I98" s="3">
        <v>2030</v>
      </c>
      <c r="J98" s="3">
        <f t="shared" si="48"/>
        <v>33787.000000000007</v>
      </c>
      <c r="K98" s="3">
        <f t="shared" si="49"/>
        <v>6757.4000000000015</v>
      </c>
      <c r="L98" s="3">
        <f t="shared" si="50"/>
        <v>4392.3100000000013</v>
      </c>
      <c r="M98" s="3">
        <f t="shared" si="43"/>
        <v>1689.8523512637653</v>
      </c>
      <c r="N98" s="3">
        <f>SUM(K98:M98)</f>
        <v>12839.562351263769</v>
      </c>
      <c r="O98" s="3"/>
      <c r="P98" s="3"/>
      <c r="Q98" s="3">
        <v>2030</v>
      </c>
      <c r="R98" s="13">
        <f t="shared" si="52"/>
        <v>1.0380919556773665</v>
      </c>
      <c r="S98" s="13">
        <f t="shared" si="53"/>
        <v>0.90146563741685848</v>
      </c>
      <c r="T98" s="3"/>
      <c r="U98" s="13">
        <f t="shared" si="54"/>
        <v>1.4482308845890242</v>
      </c>
      <c r="V98" s="12">
        <f>'Country L per 100 km'!E25</f>
        <v>7.5768769557157931</v>
      </c>
      <c r="W98" s="3">
        <f>'Country distance travelled'!E25</f>
        <v>15400</v>
      </c>
      <c r="X98" s="3"/>
      <c r="Y98">
        <v>2030</v>
      </c>
      <c r="Z98" s="13"/>
      <c r="AA98" s="13">
        <v>2.0071962322411334</v>
      </c>
      <c r="AB98" s="13">
        <v>1.4482308845890242</v>
      </c>
      <c r="AC98" s="13">
        <v>1.0048998615683069</v>
      </c>
    </row>
    <row r="99" spans="1:29">
      <c r="A99" s="3">
        <v>2031</v>
      </c>
      <c r="B99" s="3"/>
      <c r="C99" s="3"/>
      <c r="D99" s="3"/>
      <c r="E99" s="3"/>
      <c r="F99" s="3"/>
      <c r="G99" s="3"/>
      <c r="H99" s="3"/>
      <c r="I99" s="3">
        <v>2031</v>
      </c>
      <c r="J99" s="3"/>
      <c r="K99" s="3"/>
      <c r="L99" s="3"/>
      <c r="M99" s="3"/>
      <c r="N99" s="3"/>
      <c r="O99" s="3"/>
      <c r="P99" s="3"/>
      <c r="Q99" s="3">
        <v>2031</v>
      </c>
      <c r="R99" s="3"/>
      <c r="S99" s="3"/>
      <c r="T99" s="3"/>
      <c r="U99" s="13">
        <f>U98</f>
        <v>1.4482308845890242</v>
      </c>
      <c r="V99" s="12">
        <f>'Country L per 100 km'!E26</f>
        <v>7.5018583719958345</v>
      </c>
      <c r="W99" s="3">
        <f>'Country distance travelled'!E26</f>
        <v>15400</v>
      </c>
      <c r="X99" s="3"/>
      <c r="Y99">
        <v>2031</v>
      </c>
      <c r="AA99" s="13">
        <f>AA98</f>
        <v>2.0071962322411334</v>
      </c>
      <c r="AB99" s="13">
        <f t="shared" ref="AB99:AC108" si="61">AB98</f>
        <v>1.4482308845890242</v>
      </c>
      <c r="AC99" s="13">
        <f t="shared" si="61"/>
        <v>1.0048998615683069</v>
      </c>
    </row>
    <row r="100" spans="1:29">
      <c r="A100" s="3">
        <v>2032</v>
      </c>
      <c r="B100" s="3"/>
      <c r="C100" s="3"/>
      <c r="D100" s="3"/>
      <c r="E100" s="3"/>
      <c r="F100" s="3"/>
      <c r="G100" s="3"/>
      <c r="H100" s="3"/>
      <c r="I100" s="3">
        <v>2032</v>
      </c>
      <c r="J100" s="3"/>
      <c r="K100" s="3"/>
      <c r="L100" s="3"/>
      <c r="M100" s="3"/>
      <c r="N100" s="3"/>
      <c r="O100" s="3"/>
      <c r="P100" s="3"/>
      <c r="Q100" s="3">
        <v>2032</v>
      </c>
      <c r="R100" s="3"/>
      <c r="S100" s="3"/>
      <c r="T100" s="3"/>
      <c r="U100" s="13">
        <f t="shared" ref="U100:U108" si="62">U99</f>
        <v>1.4482308845890242</v>
      </c>
      <c r="V100" s="12">
        <f>'Country L per 100 km'!E27</f>
        <v>7.4275825465305294</v>
      </c>
      <c r="W100" s="3">
        <f>'Country distance travelled'!E27</f>
        <v>15400</v>
      </c>
      <c r="X100" s="3"/>
      <c r="Y100">
        <v>2032</v>
      </c>
      <c r="AA100" s="13">
        <f t="shared" ref="AA100:AA108" si="63">AA99</f>
        <v>2.0071962322411334</v>
      </c>
      <c r="AB100" s="13">
        <f t="shared" si="61"/>
        <v>1.4482308845890242</v>
      </c>
      <c r="AC100" s="13">
        <f t="shared" si="61"/>
        <v>1.0048998615683069</v>
      </c>
    </row>
    <row r="101" spans="1:29">
      <c r="A101" s="3">
        <v>2033</v>
      </c>
      <c r="B101" s="3"/>
      <c r="C101" s="3"/>
      <c r="D101" s="3"/>
      <c r="E101" s="3"/>
      <c r="F101" s="3"/>
      <c r="G101" s="3"/>
      <c r="H101" s="3"/>
      <c r="I101" s="3">
        <v>2033</v>
      </c>
      <c r="J101" s="3"/>
      <c r="K101" s="3"/>
      <c r="L101" s="3"/>
      <c r="M101" s="3"/>
      <c r="N101" s="3"/>
      <c r="O101" s="3"/>
      <c r="P101" s="3"/>
      <c r="Q101" s="3">
        <v>2033</v>
      </c>
      <c r="R101" s="3"/>
      <c r="S101" s="3"/>
      <c r="T101" s="3"/>
      <c r="U101" s="13">
        <f t="shared" si="62"/>
        <v>1.4482308845890242</v>
      </c>
      <c r="V101" s="12">
        <f>'Country L per 100 km'!E28</f>
        <v>7.3540421252777515</v>
      </c>
      <c r="W101" s="3">
        <f>'Country distance travelled'!E28</f>
        <v>15400</v>
      </c>
      <c r="X101" s="3"/>
      <c r="Y101">
        <v>2033</v>
      </c>
      <c r="AA101" s="13">
        <f t="shared" si="63"/>
        <v>2.0071962322411334</v>
      </c>
      <c r="AB101" s="13">
        <f t="shared" si="61"/>
        <v>1.4482308845890242</v>
      </c>
      <c r="AC101" s="13">
        <f t="shared" si="61"/>
        <v>1.0048998615683069</v>
      </c>
    </row>
    <row r="102" spans="1:29">
      <c r="A102" s="3">
        <v>2034</v>
      </c>
      <c r="B102" s="3"/>
      <c r="C102" s="3"/>
      <c r="D102" s="3"/>
      <c r="E102" s="3"/>
      <c r="F102" s="3"/>
      <c r="G102" s="3"/>
      <c r="H102" s="3"/>
      <c r="I102" s="3">
        <v>2034</v>
      </c>
      <c r="J102" s="3"/>
      <c r="K102" s="3"/>
      <c r="L102" s="3"/>
      <c r="M102" s="3"/>
      <c r="N102" s="3"/>
      <c r="O102" s="3"/>
      <c r="P102" s="3"/>
      <c r="Q102" s="3">
        <v>2034</v>
      </c>
      <c r="R102" s="3"/>
      <c r="S102" s="3"/>
      <c r="T102" s="3"/>
      <c r="U102" s="13">
        <f t="shared" si="62"/>
        <v>1.4482308845890242</v>
      </c>
      <c r="V102" s="12">
        <f>'Country L per 100 km'!E29</f>
        <v>7.2812298270076745</v>
      </c>
      <c r="W102" s="3">
        <f>'Country distance travelled'!E29</f>
        <v>15400</v>
      </c>
      <c r="X102" s="3"/>
      <c r="Y102">
        <v>2034</v>
      </c>
      <c r="AA102" s="13">
        <f t="shared" si="63"/>
        <v>2.0071962322411334</v>
      </c>
      <c r="AB102" s="13">
        <f t="shared" si="61"/>
        <v>1.4482308845890242</v>
      </c>
      <c r="AC102" s="13">
        <f t="shared" si="61"/>
        <v>1.0048998615683069</v>
      </c>
    </row>
    <row r="103" spans="1:29">
      <c r="A103" s="3">
        <v>2035</v>
      </c>
      <c r="B103" s="3"/>
      <c r="C103" s="3"/>
      <c r="D103" s="3"/>
      <c r="E103" s="3"/>
      <c r="F103" s="3"/>
      <c r="G103" s="3"/>
      <c r="H103" s="3"/>
      <c r="I103" s="3">
        <v>2035</v>
      </c>
      <c r="J103" s="3"/>
      <c r="K103" s="3"/>
      <c r="L103" s="3"/>
      <c r="M103" s="3"/>
      <c r="N103" s="3"/>
      <c r="O103" s="3"/>
      <c r="P103" s="3"/>
      <c r="Q103" s="3">
        <v>2035</v>
      </c>
      <c r="R103" s="3"/>
      <c r="S103" s="3"/>
      <c r="T103" s="3"/>
      <c r="U103" s="13">
        <f t="shared" si="62"/>
        <v>1.4482308845890242</v>
      </c>
      <c r="V103" s="12">
        <f>'Country L per 100 km'!E30</f>
        <v>7.2091384425818559</v>
      </c>
      <c r="W103" s="3">
        <f>'Country distance travelled'!E30</f>
        <v>15400</v>
      </c>
      <c r="X103" s="3"/>
      <c r="Y103">
        <v>2035</v>
      </c>
      <c r="AA103" s="13">
        <f t="shared" si="63"/>
        <v>2.0071962322411334</v>
      </c>
      <c r="AB103" s="13">
        <f t="shared" si="61"/>
        <v>1.4482308845890242</v>
      </c>
      <c r="AC103" s="13">
        <f t="shared" si="61"/>
        <v>1.0048998615683069</v>
      </c>
    </row>
    <row r="104" spans="1:29">
      <c r="A104" s="3">
        <v>2036</v>
      </c>
      <c r="B104" s="3"/>
      <c r="C104" s="3"/>
      <c r="D104" s="3"/>
      <c r="E104" s="3"/>
      <c r="F104" s="3"/>
      <c r="G104" s="3"/>
      <c r="H104" s="3"/>
      <c r="I104" s="3">
        <v>2036</v>
      </c>
      <c r="J104" s="3"/>
      <c r="K104" s="3"/>
      <c r="L104" s="3"/>
      <c r="M104" s="3"/>
      <c r="N104" s="3"/>
      <c r="O104" s="3"/>
      <c r="P104" s="3"/>
      <c r="Q104" s="3">
        <v>2036</v>
      </c>
      <c r="R104" s="3"/>
      <c r="S104" s="3"/>
      <c r="T104" s="3"/>
      <c r="U104" s="13">
        <f t="shared" si="62"/>
        <v>1.4482308845890242</v>
      </c>
      <c r="V104" s="12">
        <f>'Country L per 100 km'!E31</f>
        <v>7.1377608342394607</v>
      </c>
      <c r="W104" s="3">
        <f>'Country distance travelled'!E31</f>
        <v>15400</v>
      </c>
      <c r="X104" s="3"/>
      <c r="Y104">
        <v>2036</v>
      </c>
      <c r="AA104" s="13">
        <f t="shared" si="63"/>
        <v>2.0071962322411334</v>
      </c>
      <c r="AB104" s="13">
        <f t="shared" si="61"/>
        <v>1.4482308845890242</v>
      </c>
      <c r="AC104" s="13">
        <f t="shared" si="61"/>
        <v>1.0048998615683069</v>
      </c>
    </row>
    <row r="105" spans="1:29">
      <c r="A105" s="3">
        <v>2037</v>
      </c>
      <c r="B105" s="3"/>
      <c r="C105" s="3"/>
      <c r="D105" s="3"/>
      <c r="E105" s="3"/>
      <c r="F105" s="3"/>
      <c r="G105" s="3"/>
      <c r="H105" s="3"/>
      <c r="I105" s="3">
        <v>2037</v>
      </c>
      <c r="J105" s="3"/>
      <c r="K105" s="3"/>
      <c r="L105" s="3"/>
      <c r="M105" s="3"/>
      <c r="N105" s="3"/>
      <c r="O105" s="3"/>
      <c r="P105" s="3"/>
      <c r="Q105" s="3">
        <v>2037</v>
      </c>
      <c r="R105" s="3"/>
      <c r="S105" s="3"/>
      <c r="T105" s="3"/>
      <c r="U105" s="13">
        <f t="shared" si="62"/>
        <v>1.4482308845890242</v>
      </c>
      <c r="V105" s="12">
        <f>'Country L per 100 km'!E32</f>
        <v>7.0670899348905554</v>
      </c>
      <c r="W105" s="3">
        <f>'Country distance travelled'!E32</f>
        <v>15400</v>
      </c>
      <c r="X105" s="3"/>
      <c r="Y105">
        <v>2037</v>
      </c>
      <c r="AA105" s="13">
        <f t="shared" si="63"/>
        <v>2.0071962322411334</v>
      </c>
      <c r="AB105" s="13">
        <f t="shared" si="61"/>
        <v>1.4482308845890242</v>
      </c>
      <c r="AC105" s="13">
        <f t="shared" si="61"/>
        <v>1.0048998615683069</v>
      </c>
    </row>
    <row r="106" spans="1:29">
      <c r="A106" s="3">
        <v>2038</v>
      </c>
      <c r="B106" s="3"/>
      <c r="C106" s="3"/>
      <c r="D106" s="3"/>
      <c r="E106" s="3"/>
      <c r="F106" s="3"/>
      <c r="G106" s="3"/>
      <c r="H106" s="3"/>
      <c r="I106" s="3">
        <v>2038</v>
      </c>
      <c r="J106" s="3"/>
      <c r="K106" s="3"/>
      <c r="L106" s="3"/>
      <c r="M106" s="3"/>
      <c r="N106" s="3"/>
      <c r="O106" s="3"/>
      <c r="P106" s="3"/>
      <c r="Q106" s="3">
        <v>2038</v>
      </c>
      <c r="R106" s="3"/>
      <c r="S106" s="3"/>
      <c r="T106" s="3"/>
      <c r="U106" s="13">
        <f t="shared" si="62"/>
        <v>1.4482308845890242</v>
      </c>
      <c r="V106" s="12">
        <f>'Country L per 100 km'!E33</f>
        <v>6.9971187474163923</v>
      </c>
      <c r="W106" s="3">
        <f>'Country distance travelled'!E33</f>
        <v>15400</v>
      </c>
      <c r="X106" s="3"/>
      <c r="Y106">
        <v>2038</v>
      </c>
      <c r="AA106" s="13">
        <f t="shared" si="63"/>
        <v>2.0071962322411334</v>
      </c>
      <c r="AB106" s="13">
        <f t="shared" si="61"/>
        <v>1.4482308845890242</v>
      </c>
      <c r="AC106" s="13">
        <f t="shared" si="61"/>
        <v>1.0048998615683069</v>
      </c>
    </row>
    <row r="107" spans="1:29">
      <c r="A107" s="3">
        <v>2039</v>
      </c>
      <c r="B107" s="3"/>
      <c r="C107" s="3"/>
      <c r="D107" s="3"/>
      <c r="E107" s="3"/>
      <c r="F107" s="3"/>
      <c r="G107" s="3"/>
      <c r="H107" s="3"/>
      <c r="I107" s="3">
        <v>2039</v>
      </c>
      <c r="J107" s="3"/>
      <c r="K107" s="3"/>
      <c r="L107" s="3"/>
      <c r="M107" s="3"/>
      <c r="N107" s="3"/>
      <c r="O107" s="3"/>
      <c r="P107" s="3"/>
      <c r="Q107" s="3">
        <v>2039</v>
      </c>
      <c r="R107" s="3"/>
      <c r="S107" s="3"/>
      <c r="T107" s="3"/>
      <c r="U107" s="13">
        <f t="shared" si="62"/>
        <v>1.4482308845890242</v>
      </c>
      <c r="V107" s="12">
        <f>'Country L per 100 km'!E34</f>
        <v>6.9278403439766265</v>
      </c>
      <c r="W107" s="3">
        <f>'Country distance travelled'!E34</f>
        <v>15400</v>
      </c>
      <c r="X107" s="3"/>
      <c r="Y107">
        <v>2039</v>
      </c>
      <c r="AA107" s="13">
        <f t="shared" si="63"/>
        <v>2.0071962322411334</v>
      </c>
      <c r="AB107" s="13">
        <f t="shared" si="61"/>
        <v>1.4482308845890242</v>
      </c>
      <c r="AC107" s="13">
        <f t="shared" si="61"/>
        <v>1.0048998615683069</v>
      </c>
    </row>
    <row r="108" spans="1:29">
      <c r="A108" s="3">
        <v>2040</v>
      </c>
      <c r="B108" s="3"/>
      <c r="C108" s="3"/>
      <c r="D108" s="3"/>
      <c r="E108" s="3"/>
      <c r="F108" s="3"/>
      <c r="G108" s="3"/>
      <c r="H108" s="3"/>
      <c r="I108" s="3">
        <v>2040</v>
      </c>
      <c r="J108" s="3"/>
      <c r="K108" s="3"/>
      <c r="L108" s="3"/>
      <c r="M108" s="3"/>
      <c r="N108" s="3"/>
      <c r="O108" s="3"/>
      <c r="P108" s="3"/>
      <c r="Q108" s="3">
        <v>2040</v>
      </c>
      <c r="R108" s="3"/>
      <c r="S108" s="3"/>
      <c r="T108" s="3"/>
      <c r="U108" s="13">
        <f t="shared" si="62"/>
        <v>1.4482308845890242</v>
      </c>
      <c r="V108" s="12">
        <f>'Country L per 100 km'!E35</f>
        <v>6.8592478653233924</v>
      </c>
      <c r="W108" s="3">
        <f>'Country distance travelled'!E35</f>
        <v>15400</v>
      </c>
      <c r="X108" s="3"/>
      <c r="Y108">
        <v>2040</v>
      </c>
      <c r="AA108" s="13">
        <f t="shared" si="63"/>
        <v>2.0071962322411334</v>
      </c>
      <c r="AB108" s="13">
        <f t="shared" si="61"/>
        <v>1.4482308845890242</v>
      </c>
      <c r="AC108" s="13">
        <f t="shared" si="61"/>
        <v>1.0048998615683069</v>
      </c>
    </row>
    <row r="116" spans="16:29">
      <c r="Q116" s="87" t="s">
        <v>980</v>
      </c>
      <c r="R116" s="87" t="s">
        <v>980</v>
      </c>
      <c r="S116" s="87" t="s">
        <v>980</v>
      </c>
      <c r="T116" s="87" t="s">
        <v>980</v>
      </c>
      <c r="U116" s="87" t="s">
        <v>980</v>
      </c>
      <c r="W116" s="14" t="s">
        <v>812</v>
      </c>
      <c r="X116" s="14" t="s">
        <v>812</v>
      </c>
      <c r="Y116" s="14" t="s">
        <v>812</v>
      </c>
      <c r="Z116" s="14" t="s">
        <v>812</v>
      </c>
      <c r="AA116" s="14" t="s">
        <v>812</v>
      </c>
      <c r="AC116" s="248" t="s">
        <v>952</v>
      </c>
    </row>
    <row r="117" spans="16:29">
      <c r="Q117" s="87" t="s">
        <v>978</v>
      </c>
      <c r="R117" s="87" t="s">
        <v>979</v>
      </c>
      <c r="S117" s="87" t="s">
        <v>916</v>
      </c>
      <c r="T117" s="87" t="s">
        <v>981</v>
      </c>
      <c r="U117" s="87" t="s">
        <v>983</v>
      </c>
      <c r="W117" s="14" t="s">
        <v>725</v>
      </c>
      <c r="X117" s="14" t="s">
        <v>979</v>
      </c>
      <c r="Y117" s="14" t="s">
        <v>916</v>
      </c>
      <c r="Z117" s="14" t="s">
        <v>985</v>
      </c>
      <c r="AA117" s="14" t="s">
        <v>983</v>
      </c>
      <c r="AC117" s="248" t="s">
        <v>1204</v>
      </c>
    </row>
    <row r="118" spans="16:29">
      <c r="P118">
        <v>2012</v>
      </c>
      <c r="Q118" s="3">
        <f>B80</f>
        <v>32075.72461466516</v>
      </c>
      <c r="R118" s="3">
        <f t="shared" ref="R118:U118" si="64">C80</f>
        <v>6415.1449229330319</v>
      </c>
      <c r="S118" s="3">
        <f t="shared" si="64"/>
        <v>4169.8441999064707</v>
      </c>
      <c r="T118" s="3">
        <f t="shared" si="64"/>
        <v>0</v>
      </c>
      <c r="U118" s="3">
        <f t="shared" si="64"/>
        <v>10584.989122839503</v>
      </c>
      <c r="V118" s="3"/>
      <c r="W118" s="3">
        <f>J80</f>
        <v>25954.154598668905</v>
      </c>
      <c r="X118" s="3">
        <f t="shared" ref="X118:AA118" si="65">K80</f>
        <v>5190.8309197337812</v>
      </c>
      <c r="Y118" s="3">
        <f t="shared" si="65"/>
        <v>3374.0400978269577</v>
      </c>
      <c r="Z118" s="3">
        <f t="shared" si="65"/>
        <v>1901.7020598088545</v>
      </c>
      <c r="AA118" s="3">
        <f t="shared" si="65"/>
        <v>10466.573077369594</v>
      </c>
      <c r="AC118" s="13">
        <f>U118/AA118</f>
        <v>1.0113137360810047</v>
      </c>
    </row>
    <row r="119" spans="16:29">
      <c r="P119">
        <v>2013</v>
      </c>
      <c r="Q119" s="3">
        <f t="shared" ref="Q119:Q136" si="66">B81</f>
        <v>33698.06796302626</v>
      </c>
      <c r="R119" s="3">
        <f t="shared" ref="R119:R136" si="67">C81</f>
        <v>6739.6135926052521</v>
      </c>
      <c r="S119" s="3">
        <f t="shared" ref="S119:S136" si="68">D81</f>
        <v>4380.7488351934144</v>
      </c>
      <c r="T119" s="3">
        <f t="shared" ref="T119:T136" si="69">E81</f>
        <v>0</v>
      </c>
      <c r="U119" s="3">
        <f t="shared" ref="U119:U136" si="70">F81</f>
        <v>11120.362427798667</v>
      </c>
      <c r="V119" s="3"/>
      <c r="W119" s="3">
        <f t="shared" ref="W119:W133" si="71">J81</f>
        <v>26869.606006683731</v>
      </c>
      <c r="X119" s="3">
        <f t="shared" ref="X119:X133" si="72">K81</f>
        <v>5373.921201336746</v>
      </c>
      <c r="Y119" s="3">
        <f t="shared" ref="Y119:Y133" si="73">L81</f>
        <v>3493.0487808688849</v>
      </c>
      <c r="Z119" s="3">
        <f t="shared" ref="Z119:Z133" si="74">M81</f>
        <v>1875.1182011692738</v>
      </c>
      <c r="AA119" s="3">
        <f t="shared" ref="AA119:AA133" si="75">N81</f>
        <v>10742.088183374906</v>
      </c>
      <c r="AC119" s="13">
        <f t="shared" ref="AC119:AC136" si="76">U119/AA119</f>
        <v>1.0352142188712621</v>
      </c>
    </row>
    <row r="120" spans="16:29">
      <c r="P120">
        <v>2014</v>
      </c>
      <c r="Q120" s="3">
        <f t="shared" si="66"/>
        <v>39344.241140588601</v>
      </c>
      <c r="R120" s="3">
        <f t="shared" si="67"/>
        <v>7868.8482281177203</v>
      </c>
      <c r="S120" s="3">
        <f t="shared" si="68"/>
        <v>5114.751348276518</v>
      </c>
      <c r="T120" s="3">
        <f t="shared" si="69"/>
        <v>0</v>
      </c>
      <c r="U120" s="3">
        <f t="shared" si="70"/>
        <v>12983.599576394237</v>
      </c>
      <c r="V120" s="3"/>
      <c r="W120" s="3">
        <f t="shared" si="71"/>
        <v>28762.218483500186</v>
      </c>
      <c r="X120" s="3">
        <f t="shared" si="72"/>
        <v>5752.4436967000374</v>
      </c>
      <c r="Y120" s="3">
        <f t="shared" si="73"/>
        <v>3739.0884028550245</v>
      </c>
      <c r="Z120" s="3">
        <f t="shared" si="74"/>
        <v>1826.535555051544</v>
      </c>
      <c r="AA120" s="3">
        <f t="shared" si="75"/>
        <v>11318.067654606604</v>
      </c>
      <c r="AC120" s="13">
        <f t="shared" si="76"/>
        <v>1.1471569151744503</v>
      </c>
    </row>
    <row r="121" spans="16:29">
      <c r="P121">
        <v>2015</v>
      </c>
      <c r="Q121" s="3">
        <f t="shared" si="66"/>
        <v>41098.152606716634</v>
      </c>
      <c r="R121" s="3">
        <f t="shared" si="67"/>
        <v>8219.6305213433261</v>
      </c>
      <c r="S121" s="3">
        <f t="shared" si="68"/>
        <v>5342.7598388731631</v>
      </c>
      <c r="T121" s="3">
        <f t="shared" si="69"/>
        <v>0</v>
      </c>
      <c r="U121" s="3">
        <f t="shared" si="70"/>
        <v>13562.39036021649</v>
      </c>
      <c r="V121" s="3"/>
      <c r="W121" s="3">
        <f t="shared" si="71"/>
        <v>33464.540400544778</v>
      </c>
      <c r="X121" s="3">
        <f t="shared" si="72"/>
        <v>6692.9080801089558</v>
      </c>
      <c r="Y121" s="3">
        <f t="shared" si="73"/>
        <v>4350.3902520708216</v>
      </c>
      <c r="Z121" s="3">
        <f t="shared" si="74"/>
        <v>1488.7291970173828</v>
      </c>
      <c r="AA121" s="3">
        <f t="shared" si="75"/>
        <v>12532.027529197159</v>
      </c>
      <c r="AC121" s="13">
        <f t="shared" si="76"/>
        <v>1.0822183663911358</v>
      </c>
    </row>
    <row r="122" spans="16:29">
      <c r="P122">
        <v>2016</v>
      </c>
      <c r="Q122" s="3">
        <f t="shared" si="66"/>
        <v>41701.951618608487</v>
      </c>
      <c r="R122" s="3">
        <f t="shared" si="67"/>
        <v>8340.3903237216982</v>
      </c>
      <c r="S122" s="3">
        <f t="shared" si="68"/>
        <v>5421.2537104191033</v>
      </c>
      <c r="T122" s="3">
        <f t="shared" si="69"/>
        <v>0</v>
      </c>
      <c r="U122" s="3">
        <f t="shared" si="70"/>
        <v>13761.644034140802</v>
      </c>
      <c r="V122" s="3"/>
      <c r="W122" s="3">
        <f t="shared" si="71"/>
        <v>34377.338833525762</v>
      </c>
      <c r="X122" s="3">
        <f t="shared" si="72"/>
        <v>6875.4677667051528</v>
      </c>
      <c r="Y122" s="3">
        <f t="shared" si="73"/>
        <v>4469.0540483583491</v>
      </c>
      <c r="Z122" s="3">
        <f t="shared" si="74"/>
        <v>1376.9494769758226</v>
      </c>
      <c r="AA122" s="3">
        <f t="shared" si="75"/>
        <v>12721.471292039323</v>
      </c>
      <c r="AC122" s="13">
        <f t="shared" si="76"/>
        <v>1.0817651290658796</v>
      </c>
    </row>
    <row r="123" spans="16:29">
      <c r="P123">
        <v>2017</v>
      </c>
      <c r="Q123" s="3">
        <f t="shared" si="66"/>
        <v>40566.372691354823</v>
      </c>
      <c r="R123" s="3">
        <f t="shared" si="67"/>
        <v>8113.2745382709645</v>
      </c>
      <c r="S123" s="3">
        <f t="shared" si="68"/>
        <v>5273.628449876127</v>
      </c>
      <c r="T123" s="3">
        <f t="shared" si="69"/>
        <v>0</v>
      </c>
      <c r="U123" s="3">
        <f t="shared" si="70"/>
        <v>13386.902988147092</v>
      </c>
      <c r="V123" s="3"/>
      <c r="W123" s="3">
        <f t="shared" si="71"/>
        <v>33664.959804112768</v>
      </c>
      <c r="X123" s="3">
        <f t="shared" si="72"/>
        <v>6732.9919608225537</v>
      </c>
      <c r="Y123" s="3">
        <f t="shared" si="73"/>
        <v>4376.4447745346597</v>
      </c>
      <c r="Z123" s="3">
        <f t="shared" si="74"/>
        <v>1480.510815771378</v>
      </c>
      <c r="AA123" s="3">
        <f t="shared" si="75"/>
        <v>12589.947551128591</v>
      </c>
      <c r="AC123" s="13">
        <f t="shared" si="76"/>
        <v>1.063300933842815</v>
      </c>
    </row>
    <row r="124" spans="16:29">
      <c r="P124">
        <v>2018</v>
      </c>
      <c r="Q124" s="3">
        <f t="shared" si="66"/>
        <v>42542.16311070478</v>
      </c>
      <c r="R124" s="3">
        <f t="shared" si="67"/>
        <v>8508.4326221409556</v>
      </c>
      <c r="S124" s="3">
        <f t="shared" si="68"/>
        <v>5530.4812043916218</v>
      </c>
      <c r="T124" s="3">
        <f t="shared" si="69"/>
        <v>0</v>
      </c>
      <c r="U124" s="3">
        <f t="shared" si="70"/>
        <v>14038.913826532578</v>
      </c>
      <c r="V124" s="3"/>
      <c r="W124" s="3">
        <f t="shared" si="71"/>
        <v>33787.000000000007</v>
      </c>
      <c r="X124" s="3">
        <f t="shared" si="72"/>
        <v>6757.4000000000015</v>
      </c>
      <c r="Y124" s="3">
        <f t="shared" si="73"/>
        <v>4392.3100000000013</v>
      </c>
      <c r="Z124" s="3">
        <f t="shared" si="74"/>
        <v>1648.5990960060133</v>
      </c>
      <c r="AA124" s="3">
        <f t="shared" si="75"/>
        <v>12798.309096006016</v>
      </c>
      <c r="AC124" s="13">
        <f t="shared" si="76"/>
        <v>1.0969350498741837</v>
      </c>
    </row>
    <row r="125" spans="16:29">
      <c r="P125">
        <v>2019</v>
      </c>
      <c r="Q125" s="3">
        <f t="shared" si="66"/>
        <v>45210.029852588705</v>
      </c>
      <c r="R125" s="3">
        <f t="shared" si="67"/>
        <v>9042.0059705177409</v>
      </c>
      <c r="S125" s="3">
        <f t="shared" si="68"/>
        <v>5877.3038808365318</v>
      </c>
      <c r="T125" s="3">
        <f t="shared" si="69"/>
        <v>0</v>
      </c>
      <c r="U125" s="3">
        <f t="shared" si="70"/>
        <v>14919.309851354272</v>
      </c>
      <c r="V125" s="3"/>
      <c r="W125" s="3">
        <f t="shared" si="71"/>
        <v>33787.000000000007</v>
      </c>
      <c r="X125" s="3">
        <f t="shared" si="72"/>
        <v>6757.4000000000015</v>
      </c>
      <c r="Y125" s="3">
        <f t="shared" si="73"/>
        <v>4392.3100000000013</v>
      </c>
      <c r="Z125" s="3">
        <f t="shared" si="74"/>
        <v>1545.4730488933292</v>
      </c>
      <c r="AA125" s="3">
        <f t="shared" si="75"/>
        <v>12695.183048893332</v>
      </c>
      <c r="AC125" s="13">
        <f t="shared" si="76"/>
        <v>1.1751945437805107</v>
      </c>
    </row>
    <row r="126" spans="16:29">
      <c r="P126">
        <v>2020</v>
      </c>
      <c r="Q126" s="3">
        <f t="shared" si="66"/>
        <v>44987.808424879026</v>
      </c>
      <c r="R126" s="3">
        <f t="shared" si="67"/>
        <v>8997.5616849758044</v>
      </c>
      <c r="S126" s="3">
        <f t="shared" si="68"/>
        <v>5848.4150952342734</v>
      </c>
      <c r="T126" s="3">
        <f t="shared" si="69"/>
        <v>0</v>
      </c>
      <c r="U126" s="3">
        <f t="shared" si="70"/>
        <v>14845.976780210078</v>
      </c>
      <c r="V126" s="3"/>
      <c r="W126" s="3">
        <f t="shared" si="71"/>
        <v>33787.000000000007</v>
      </c>
      <c r="X126" s="3">
        <f t="shared" si="72"/>
        <v>6757.4000000000015</v>
      </c>
      <c r="Y126" s="3">
        <f t="shared" si="73"/>
        <v>4392.3100000000013</v>
      </c>
      <c r="Z126" s="3">
        <f t="shared" si="74"/>
        <v>1532.5164278816449</v>
      </c>
      <c r="AA126" s="3">
        <f t="shared" si="75"/>
        <v>12682.226427881647</v>
      </c>
      <c r="AC126" s="13">
        <f t="shared" si="76"/>
        <v>1.1706128150788622</v>
      </c>
    </row>
    <row r="127" spans="16:29">
      <c r="P127">
        <v>2021</v>
      </c>
      <c r="Q127" s="3">
        <f t="shared" si="66"/>
        <v>43894.704983524971</v>
      </c>
      <c r="R127" s="3">
        <f t="shared" si="67"/>
        <v>8778.9409967049942</v>
      </c>
      <c r="S127" s="3">
        <f t="shared" si="68"/>
        <v>5706.311647858246</v>
      </c>
      <c r="T127" s="3">
        <f t="shared" si="69"/>
        <v>0</v>
      </c>
      <c r="U127" s="3">
        <f t="shared" si="70"/>
        <v>14485.252644563239</v>
      </c>
      <c r="V127" s="3"/>
      <c r="W127" s="3">
        <f t="shared" si="71"/>
        <v>33787.000000000007</v>
      </c>
      <c r="X127" s="3">
        <f t="shared" si="72"/>
        <v>6757.4000000000015</v>
      </c>
      <c r="Y127" s="3">
        <f t="shared" si="73"/>
        <v>4392.3100000000013</v>
      </c>
      <c r="Z127" s="3">
        <f t="shared" si="74"/>
        <v>1585.7507158914743</v>
      </c>
      <c r="AA127" s="3">
        <f t="shared" si="75"/>
        <v>12735.460715891477</v>
      </c>
      <c r="AC127" s="13">
        <f t="shared" si="76"/>
        <v>1.1373952594026182</v>
      </c>
    </row>
    <row r="128" spans="16:29">
      <c r="P128">
        <v>2022</v>
      </c>
      <c r="Q128" s="3">
        <f t="shared" si="66"/>
        <v>44585.288586101764</v>
      </c>
      <c r="R128" s="3">
        <f t="shared" si="67"/>
        <v>8917.0577172203521</v>
      </c>
      <c r="S128" s="3">
        <f t="shared" si="68"/>
        <v>5796.0875161932299</v>
      </c>
      <c r="T128" s="3">
        <f t="shared" si="69"/>
        <v>0</v>
      </c>
      <c r="U128" s="3">
        <f t="shared" si="70"/>
        <v>14713.145233413583</v>
      </c>
      <c r="V128" s="3"/>
      <c r="W128" s="3">
        <f t="shared" si="71"/>
        <v>33787.000000000007</v>
      </c>
      <c r="X128" s="3">
        <f t="shared" si="72"/>
        <v>6757.4000000000015</v>
      </c>
      <c r="Y128" s="3">
        <f t="shared" si="73"/>
        <v>4392.3100000000013</v>
      </c>
      <c r="Z128" s="3">
        <f t="shared" si="74"/>
        <v>1620.4801640261417</v>
      </c>
      <c r="AA128" s="3">
        <f t="shared" si="75"/>
        <v>12770.190164026144</v>
      </c>
      <c r="AC128" s="13">
        <f t="shared" si="76"/>
        <v>1.1521477005769873</v>
      </c>
    </row>
    <row r="129" spans="16:29">
      <c r="P129">
        <v>2023</v>
      </c>
      <c r="Q129" s="3">
        <f t="shared" si="66"/>
        <v>44222.069058971923</v>
      </c>
      <c r="R129" s="3">
        <f t="shared" si="67"/>
        <v>8844.4138117943839</v>
      </c>
      <c r="S129" s="3">
        <f t="shared" si="68"/>
        <v>5748.8689776663505</v>
      </c>
      <c r="T129" s="3">
        <f t="shared" si="69"/>
        <v>0</v>
      </c>
      <c r="U129" s="3">
        <f t="shared" si="70"/>
        <v>14593.282789460734</v>
      </c>
      <c r="V129" s="3"/>
      <c r="W129" s="3">
        <f t="shared" si="71"/>
        <v>33787.000000000007</v>
      </c>
      <c r="X129" s="3">
        <f t="shared" si="72"/>
        <v>6757.4000000000015</v>
      </c>
      <c r="Y129" s="3">
        <f t="shared" si="73"/>
        <v>4392.3100000000013</v>
      </c>
      <c r="Z129" s="3">
        <f t="shared" si="74"/>
        <v>1627.4122041905298</v>
      </c>
      <c r="AA129" s="3">
        <f t="shared" si="75"/>
        <v>12777.122204190533</v>
      </c>
      <c r="AC129" s="13">
        <f t="shared" si="76"/>
        <v>1.1421415993559607</v>
      </c>
    </row>
    <row r="130" spans="16:29">
      <c r="P130">
        <v>2024</v>
      </c>
      <c r="Q130" s="3">
        <f t="shared" si="66"/>
        <v>42675.291533533033</v>
      </c>
      <c r="R130" s="3">
        <f t="shared" si="67"/>
        <v>8535.0583067066073</v>
      </c>
      <c r="S130" s="3">
        <f t="shared" si="68"/>
        <v>5547.787899359294</v>
      </c>
      <c r="T130" s="3">
        <f t="shared" si="69"/>
        <v>0</v>
      </c>
      <c r="U130" s="3">
        <f t="shared" si="70"/>
        <v>14082.8462060659</v>
      </c>
      <c r="V130" s="3"/>
      <c r="W130" s="3">
        <f t="shared" si="71"/>
        <v>33787.000000000007</v>
      </c>
      <c r="X130" s="3">
        <f t="shared" si="72"/>
        <v>6757.4000000000015</v>
      </c>
      <c r="Y130" s="3">
        <f t="shared" si="73"/>
        <v>4392.3100000000013</v>
      </c>
      <c r="Z130" s="3">
        <f t="shared" si="74"/>
        <v>1617.3137390806471</v>
      </c>
      <c r="AA130" s="3">
        <f t="shared" si="75"/>
        <v>12767.023739080651</v>
      </c>
      <c r="AC130" s="13">
        <f t="shared" si="76"/>
        <v>1.1030641513540416</v>
      </c>
    </row>
    <row r="131" spans="16:29">
      <c r="P131">
        <v>2025</v>
      </c>
      <c r="Q131" s="3">
        <f t="shared" si="66"/>
        <v>41353.217051774234</v>
      </c>
      <c r="R131" s="3">
        <f t="shared" si="67"/>
        <v>8270.6434103548472</v>
      </c>
      <c r="S131" s="3">
        <f t="shared" si="68"/>
        <v>5375.9182167306508</v>
      </c>
      <c r="T131" s="3">
        <f t="shared" si="69"/>
        <v>0</v>
      </c>
      <c r="U131" s="3">
        <f t="shared" si="70"/>
        <v>13646.561627085499</v>
      </c>
      <c r="V131" s="3"/>
      <c r="W131" s="3">
        <f t="shared" si="71"/>
        <v>33787.000000000007</v>
      </c>
      <c r="X131" s="3">
        <f t="shared" si="72"/>
        <v>6757.4000000000015</v>
      </c>
      <c r="Y131" s="3">
        <f t="shared" si="73"/>
        <v>4392.3100000000013</v>
      </c>
      <c r="Z131" s="3">
        <f t="shared" si="74"/>
        <v>1632.4596906812601</v>
      </c>
      <c r="AA131" s="3">
        <f t="shared" si="75"/>
        <v>12782.169690681263</v>
      </c>
      <c r="AC131" s="13">
        <f t="shared" si="76"/>
        <v>1.0676248209280474</v>
      </c>
    </row>
    <row r="132" spans="16:29">
      <c r="P132">
        <v>2026</v>
      </c>
      <c r="Q132" s="3">
        <f t="shared" si="66"/>
        <v>40619.470144938772</v>
      </c>
      <c r="R132" s="3">
        <f t="shared" si="67"/>
        <v>8123.8940289877546</v>
      </c>
      <c r="S132" s="3">
        <f t="shared" si="68"/>
        <v>5280.531118842041</v>
      </c>
      <c r="T132" s="3">
        <f t="shared" si="69"/>
        <v>0</v>
      </c>
      <c r="U132" s="3">
        <f t="shared" si="70"/>
        <v>13404.425147829796</v>
      </c>
      <c r="V132" s="3"/>
      <c r="W132" s="3">
        <f t="shared" si="71"/>
        <v>33787.000000000007</v>
      </c>
      <c r="X132" s="3">
        <f t="shared" si="72"/>
        <v>6757.4000000000015</v>
      </c>
      <c r="Y132" s="3">
        <f t="shared" si="73"/>
        <v>4392.3100000000013</v>
      </c>
      <c r="Z132" s="3">
        <f t="shared" si="74"/>
        <v>1670.519991569005</v>
      </c>
      <c r="AA132" s="3">
        <f t="shared" si="75"/>
        <v>12820.229991569007</v>
      </c>
      <c r="AC132" s="13">
        <f t="shared" si="76"/>
        <v>1.0455682274534055</v>
      </c>
    </row>
    <row r="133" spans="16:29">
      <c r="P133">
        <v>2027</v>
      </c>
      <c r="Q133" s="3">
        <f t="shared" si="66"/>
        <v>39884.767915835611</v>
      </c>
      <c r="R133" s="3">
        <f t="shared" si="67"/>
        <v>7976.9535831671219</v>
      </c>
      <c r="S133" s="3">
        <f t="shared" si="68"/>
        <v>5185.0198290586295</v>
      </c>
      <c r="T133" s="3">
        <f t="shared" si="69"/>
        <v>0</v>
      </c>
      <c r="U133" s="3">
        <f t="shared" si="70"/>
        <v>13161.973412225751</v>
      </c>
      <c r="V133" s="3"/>
      <c r="W133" s="3">
        <f t="shared" si="71"/>
        <v>33787.000000000007</v>
      </c>
      <c r="X133" s="3">
        <f t="shared" si="72"/>
        <v>6757.4000000000015</v>
      </c>
      <c r="Y133" s="3">
        <f t="shared" si="73"/>
        <v>4392.3100000000013</v>
      </c>
      <c r="Z133" s="3">
        <f t="shared" si="74"/>
        <v>1681.6488039113115</v>
      </c>
      <c r="AA133" s="3">
        <f t="shared" si="75"/>
        <v>12831.358803911315</v>
      </c>
      <c r="AC133" s="13">
        <f t="shared" si="76"/>
        <v>1.0257661416352613</v>
      </c>
    </row>
    <row r="134" spans="16:29">
      <c r="P134">
        <v>2028</v>
      </c>
      <c r="Q134" s="3">
        <f t="shared" si="66"/>
        <v>39051.605792893068</v>
      </c>
      <c r="R134" s="3">
        <f t="shared" si="67"/>
        <v>7810.3211585786139</v>
      </c>
      <c r="S134" s="3">
        <f t="shared" si="68"/>
        <v>5076.7087530760991</v>
      </c>
      <c r="T134" s="3">
        <f t="shared" si="69"/>
        <v>0</v>
      </c>
      <c r="U134" s="3">
        <f t="shared" si="70"/>
        <v>12887.029911654714</v>
      </c>
      <c r="V134" s="3"/>
      <c r="W134" s="3">
        <f t="shared" ref="W134:W136" si="77">J96</f>
        <v>33787.000000000007</v>
      </c>
      <c r="X134" s="3">
        <f t="shared" ref="X134:X136" si="78">K96</f>
        <v>6757.4000000000015</v>
      </c>
      <c r="Y134" s="3">
        <f t="shared" ref="Y134:Y136" si="79">L96</f>
        <v>4392.3100000000013</v>
      </c>
      <c r="Z134" s="3">
        <f t="shared" ref="Z134:Z136" si="80">M96</f>
        <v>1682.3403238156941</v>
      </c>
      <c r="AA134" s="3">
        <f t="shared" ref="AA134:AA136" si="81">N96</f>
        <v>12832.050323815696</v>
      </c>
      <c r="AC134" s="13">
        <f t="shared" si="76"/>
        <v>1.0042845520748136</v>
      </c>
    </row>
    <row r="135" spans="16:29">
      <c r="P135">
        <v>2029</v>
      </c>
      <c r="Q135" s="3">
        <f t="shared" si="66"/>
        <v>38315.051462517047</v>
      </c>
      <c r="R135" s="3">
        <f t="shared" si="67"/>
        <v>7663.0102925034098</v>
      </c>
      <c r="S135" s="3">
        <f t="shared" si="68"/>
        <v>4980.9566901272165</v>
      </c>
      <c r="T135" s="3">
        <f t="shared" si="69"/>
        <v>0</v>
      </c>
      <c r="U135" s="3">
        <f t="shared" si="70"/>
        <v>12643.966982630627</v>
      </c>
      <c r="V135" s="3"/>
      <c r="W135" s="3">
        <f t="shared" si="77"/>
        <v>33787.000000000007</v>
      </c>
      <c r="X135" s="3">
        <f t="shared" si="78"/>
        <v>6757.4000000000015</v>
      </c>
      <c r="Y135" s="3">
        <f t="shared" si="79"/>
        <v>4392.3100000000013</v>
      </c>
      <c r="Z135" s="3">
        <f t="shared" si="80"/>
        <v>1688.9560208253549</v>
      </c>
      <c r="AA135" s="3">
        <f t="shared" si="81"/>
        <v>12838.666020825358</v>
      </c>
      <c r="AC135" s="13">
        <f t="shared" si="76"/>
        <v>0.98483494797053583</v>
      </c>
    </row>
    <row r="136" spans="16:29">
      <c r="P136">
        <v>2030</v>
      </c>
      <c r="Q136" s="3">
        <f t="shared" si="66"/>
        <v>37480.075332451212</v>
      </c>
      <c r="R136" s="3">
        <f t="shared" si="67"/>
        <v>7496.0150664902421</v>
      </c>
      <c r="S136" s="3">
        <f t="shared" si="68"/>
        <v>4872.4097932186578</v>
      </c>
      <c r="T136" s="3">
        <f t="shared" si="69"/>
        <v>0</v>
      </c>
      <c r="U136" s="3">
        <f t="shared" si="70"/>
        <v>12368.424859708899</v>
      </c>
      <c r="V136" s="3"/>
      <c r="W136" s="3">
        <f t="shared" si="77"/>
        <v>33787.000000000007</v>
      </c>
      <c r="X136" s="3">
        <f t="shared" si="78"/>
        <v>6757.4000000000015</v>
      </c>
      <c r="Y136" s="3">
        <f t="shared" si="79"/>
        <v>4392.3100000000013</v>
      </c>
      <c r="Z136" s="3">
        <f t="shared" si="80"/>
        <v>1689.8523512637653</v>
      </c>
      <c r="AA136" s="3">
        <f t="shared" si="81"/>
        <v>12839.562351263769</v>
      </c>
      <c r="AC136" s="13">
        <f t="shared" si="76"/>
        <v>0.96330579823007001</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A3" sqref="A3:G20"/>
    </sheetView>
  </sheetViews>
  <sheetFormatPr defaultRowHeight="15"/>
  <cols>
    <col min="1" max="1" width="18.5703125" customWidth="1"/>
    <col min="2" max="7" width="12.42578125" customWidth="1"/>
  </cols>
  <sheetData>
    <row r="1" spans="1:7">
      <c r="A1" t="s">
        <v>148</v>
      </c>
    </row>
    <row r="2" spans="1:7" ht="15.75" thickBot="1"/>
    <row r="3" spans="1:7">
      <c r="A3" s="44" t="s">
        <v>149</v>
      </c>
      <c r="B3" s="44"/>
    </row>
    <row r="4" spans="1:7">
      <c r="A4" s="41" t="s">
        <v>150</v>
      </c>
      <c r="B4" s="41">
        <v>0.99988220755224444</v>
      </c>
    </row>
    <row r="5" spans="1:7">
      <c r="A5" s="41" t="s">
        <v>151</v>
      </c>
      <c r="B5" s="41">
        <v>0.99976442897954954</v>
      </c>
    </row>
    <row r="6" spans="1:7">
      <c r="A6" s="41" t="s">
        <v>152</v>
      </c>
      <c r="B6" s="41">
        <v>0.99958775071421169</v>
      </c>
    </row>
    <row r="7" spans="1:7">
      <c r="A7" s="41" t="s">
        <v>153</v>
      </c>
      <c r="B7" s="41">
        <v>3.6021533890931795E-2</v>
      </c>
    </row>
    <row r="8" spans="1:7" ht="15.75" thickBot="1">
      <c r="A8" s="42" t="s">
        <v>154</v>
      </c>
      <c r="B8" s="42">
        <v>8</v>
      </c>
    </row>
    <row r="10" spans="1:7" ht="15.75" thickBot="1">
      <c r="A10" t="s">
        <v>155</v>
      </c>
    </row>
    <row r="11" spans="1:7">
      <c r="A11" s="43"/>
      <c r="B11" s="43" t="s">
        <v>160</v>
      </c>
      <c r="C11" s="43" t="s">
        <v>161</v>
      </c>
      <c r="D11" s="43" t="s">
        <v>162</v>
      </c>
      <c r="E11" s="43" t="s">
        <v>163</v>
      </c>
      <c r="F11" s="43" t="s">
        <v>164</v>
      </c>
    </row>
    <row r="12" spans="1:7">
      <c r="A12" s="41" t="s">
        <v>156</v>
      </c>
      <c r="B12" s="41">
        <v>3</v>
      </c>
      <c r="C12" s="41">
        <v>22.027246577016278</v>
      </c>
      <c r="D12" s="41">
        <v>7.3424155256720924</v>
      </c>
      <c r="E12" s="41">
        <v>5658.672429617066</v>
      </c>
      <c r="F12" s="41">
        <v>1.0404252733860867E-7</v>
      </c>
    </row>
    <row r="13" spans="1:7">
      <c r="A13" s="41" t="s">
        <v>157</v>
      </c>
      <c r="B13" s="41">
        <v>4</v>
      </c>
      <c r="C13" s="41">
        <v>5.1902036154221906E-3</v>
      </c>
      <c r="D13" s="41">
        <v>1.2975509038555477E-3</v>
      </c>
      <c r="E13" s="41"/>
      <c r="F13" s="41"/>
    </row>
    <row r="14" spans="1:7" ht="15.75" thickBot="1">
      <c r="A14" s="42" t="s">
        <v>158</v>
      </c>
      <c r="B14" s="42">
        <v>7</v>
      </c>
      <c r="C14" s="42">
        <v>22.032436780631702</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-7.0624337315002386</v>
      </c>
      <c r="C17" s="41">
        <v>9.184958982172306E-2</v>
      </c>
      <c r="D17" s="41">
        <v>-76.891293093504103</v>
      </c>
      <c r="E17" s="41">
        <v>1.7145613955551065E-7</v>
      </c>
      <c r="F17" s="41">
        <v>-7.3174490755751869</v>
      </c>
      <c r="G17" s="41">
        <v>-6.8074183874252903</v>
      </c>
    </row>
    <row r="18" spans="1:7">
      <c r="A18" s="41" t="s">
        <v>329</v>
      </c>
      <c r="B18" s="41">
        <v>0.48145638226095933</v>
      </c>
      <c r="C18" s="41">
        <v>1.2283049798381428E-2</v>
      </c>
      <c r="D18" s="41">
        <v>39.196811065961988</v>
      </c>
      <c r="E18" s="41">
        <v>2.5308486533844464E-6</v>
      </c>
      <c r="F18" s="41">
        <v>0.44735316877134246</v>
      </c>
      <c r="G18" s="41">
        <v>0.51555959575057619</v>
      </c>
    </row>
    <row r="19" spans="1:7">
      <c r="A19" s="41" t="s">
        <v>1344</v>
      </c>
      <c r="B19" s="41">
        <v>-1.4719606294770196</v>
      </c>
      <c r="C19" s="41">
        <v>6.5893932701653737E-2</v>
      </c>
      <c r="D19" s="41">
        <v>-22.338333274803581</v>
      </c>
      <c r="E19" s="41">
        <v>2.3777608487901941E-5</v>
      </c>
      <c r="F19" s="41">
        <v>-1.6549115163887589</v>
      </c>
      <c r="G19" s="41">
        <v>-1.2890097425652802</v>
      </c>
    </row>
    <row r="20" spans="1:7" ht="15.75" thickBot="1">
      <c r="A20" s="42" t="s">
        <v>1234</v>
      </c>
      <c r="B20" s="42">
        <v>-0.16743070364779786</v>
      </c>
      <c r="C20" s="42">
        <v>3.4703464982857236E-2</v>
      </c>
      <c r="D20" s="42">
        <v>-4.8246105606602976</v>
      </c>
      <c r="E20" s="42">
        <v>8.4944873038067959E-3</v>
      </c>
      <c r="F20" s="42">
        <v>-0.26378296913285487</v>
      </c>
      <c r="G20" s="42">
        <v>-7.1078438162740856E-2</v>
      </c>
    </row>
    <row r="42" spans="3:3">
      <c r="C42" t="s">
        <v>1315</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3" max="4" width="15.85546875" customWidth="1"/>
    <col min="6" max="6" width="10.7109375" customWidth="1"/>
    <col min="11" max="11" width="12" customWidth="1"/>
    <col min="25" max="25" width="7.7109375" customWidth="1"/>
  </cols>
  <sheetData>
    <row r="1" spans="1:37">
      <c r="P1" s="14"/>
      <c r="R1" s="236" t="s">
        <v>1318</v>
      </c>
      <c r="S1" s="236"/>
      <c r="T1" s="236"/>
      <c r="U1" s="236"/>
      <c r="W1" s="236" t="s">
        <v>1318</v>
      </c>
      <c r="X1" s="236"/>
      <c r="Y1" s="236"/>
      <c r="Z1" s="236"/>
    </row>
    <row r="2" spans="1:37">
      <c r="B2" t="s">
        <v>239</v>
      </c>
      <c r="C2" t="s">
        <v>282</v>
      </c>
      <c r="L2" t="s">
        <v>282</v>
      </c>
      <c r="S2" t="s">
        <v>1172</v>
      </c>
      <c r="X2" t="s">
        <v>1184</v>
      </c>
      <c r="AB2" t="s">
        <v>960</v>
      </c>
    </row>
    <row r="3" spans="1:37">
      <c r="B3" t="s">
        <v>938</v>
      </c>
      <c r="C3" t="s">
        <v>1306</v>
      </c>
      <c r="D3" t="s">
        <v>1164</v>
      </c>
      <c r="E3" s="87" t="s">
        <v>1137</v>
      </c>
      <c r="F3" s="87" t="s">
        <v>1384</v>
      </c>
      <c r="G3" s="87" t="s">
        <v>1383</v>
      </c>
      <c r="H3" s="87" t="s">
        <v>1382</v>
      </c>
      <c r="I3" s="87" t="s">
        <v>1136</v>
      </c>
      <c r="J3" t="s">
        <v>1163</v>
      </c>
      <c r="L3" s="14" t="s">
        <v>1195</v>
      </c>
      <c r="M3" s="14" t="s">
        <v>1160</v>
      </c>
      <c r="N3" s="14" t="s">
        <v>944</v>
      </c>
      <c r="O3" s="78" t="s">
        <v>1153</v>
      </c>
      <c r="P3" s="14" t="s">
        <v>1152</v>
      </c>
      <c r="S3" s="236" t="s">
        <v>1173</v>
      </c>
      <c r="T3" s="236" t="s">
        <v>1147</v>
      </c>
      <c r="U3" s="236" t="s">
        <v>1174</v>
      </c>
      <c r="X3" s="236" t="s">
        <v>1173</v>
      </c>
      <c r="Y3" s="236" t="s">
        <v>1147</v>
      </c>
      <c r="Z3" s="236" t="s">
        <v>1174</v>
      </c>
      <c r="AB3" s="14" t="s">
        <v>1317</v>
      </c>
      <c r="AD3" t="s">
        <v>1316</v>
      </c>
      <c r="AE3" t="s">
        <v>1296</v>
      </c>
      <c r="AG3" t="s">
        <v>329</v>
      </c>
      <c r="AH3" t="s">
        <v>1344</v>
      </c>
      <c r="AI3" t="s">
        <v>1234</v>
      </c>
    </row>
    <row r="4" spans="1:37">
      <c r="A4">
        <v>2009</v>
      </c>
      <c r="B4" s="13">
        <f>'EV %sales'!F67</f>
        <v>0</v>
      </c>
      <c r="C4" s="20"/>
      <c r="D4" s="13"/>
      <c r="E4" s="13"/>
      <c r="F4" s="84"/>
      <c r="G4" s="84"/>
      <c r="H4" s="84"/>
      <c r="I4" s="13"/>
      <c r="J4" s="13"/>
      <c r="K4" s="13"/>
      <c r="L4" s="13"/>
      <c r="M4" s="13"/>
      <c r="N4" s="13"/>
      <c r="O4" s="13"/>
      <c r="P4" s="13"/>
      <c r="R4">
        <v>2009</v>
      </c>
      <c r="W4">
        <v>2009</v>
      </c>
      <c r="AB4" s="13">
        <v>0</v>
      </c>
      <c r="AC4" s="13"/>
    </row>
    <row r="5" spans="1:37">
      <c r="A5">
        <v>2010</v>
      </c>
      <c r="B5" s="13">
        <f>'EV %sales'!F68</f>
        <v>1.1397146728301586E-2</v>
      </c>
      <c r="C5" s="20"/>
      <c r="D5" s="13"/>
      <c r="E5" s="13"/>
      <c r="F5" s="230"/>
      <c r="G5" s="230"/>
      <c r="H5" s="230"/>
      <c r="I5" s="13"/>
      <c r="J5" s="13"/>
      <c r="K5" s="13"/>
      <c r="L5" s="13"/>
      <c r="M5" s="13"/>
      <c r="N5" s="13"/>
      <c r="O5" s="13"/>
      <c r="P5" s="13"/>
      <c r="R5">
        <v>2010</v>
      </c>
      <c r="W5">
        <v>2010</v>
      </c>
      <c r="AB5" s="13">
        <f>65*EXP(AE5)/(1+EXP(AE5))</f>
        <v>2.3951527012398163E-2</v>
      </c>
      <c r="AC5" s="13"/>
      <c r="AD5">
        <f t="shared" ref="AD5:AD13" si="0">LN(B5/(65-B5))</f>
        <v>-8.6486041557025519</v>
      </c>
      <c r="AE5">
        <f t="shared" ref="AE5:AE50" si="1">AD$58+AD$59*AG5+AD$60*AH5+AD$61*AI5</f>
        <v>-7.9057419157685969</v>
      </c>
      <c r="AG5">
        <v>1</v>
      </c>
      <c r="AH5">
        <v>0.9</v>
      </c>
      <c r="AI5">
        <v>0</v>
      </c>
      <c r="AK5" s="13"/>
    </row>
    <row r="6" spans="1:37">
      <c r="A6">
        <v>2011</v>
      </c>
      <c r="B6" s="13">
        <f>'EV %sales'!F69</f>
        <v>3.7020810514786423E-2</v>
      </c>
      <c r="C6" s="20"/>
      <c r="D6" s="13"/>
      <c r="E6" s="13"/>
      <c r="F6" s="230"/>
      <c r="G6" s="230"/>
      <c r="H6" s="230"/>
      <c r="I6" s="13"/>
      <c r="J6" s="13"/>
      <c r="K6" s="13"/>
      <c r="L6" s="13"/>
      <c r="M6" s="13"/>
      <c r="N6" s="13"/>
      <c r="O6" s="13"/>
      <c r="P6" s="13"/>
      <c r="R6">
        <v>2011</v>
      </c>
      <c r="W6">
        <v>2011</v>
      </c>
      <c r="AB6" s="13">
        <f>65*EXP(AE6)/(1+EXP(AE6))</f>
        <v>3.8755032033271214E-2</v>
      </c>
      <c r="AC6" s="13"/>
      <c r="AD6">
        <f t="shared" si="0"/>
        <v>-7.4700926348148924</v>
      </c>
      <c r="AE6">
        <f t="shared" si="1"/>
        <v>-7.4242855335076374</v>
      </c>
      <c r="AG6">
        <v>2</v>
      </c>
      <c r="AH6">
        <v>0.9</v>
      </c>
      <c r="AI6">
        <v>0</v>
      </c>
      <c r="AK6" s="13"/>
    </row>
    <row r="7" spans="1:37">
      <c r="A7">
        <v>2012</v>
      </c>
      <c r="B7" s="13">
        <f>'EV %sales'!F70</f>
        <v>6.4922289986228607E-2</v>
      </c>
      <c r="C7" s="13">
        <f t="shared" ref="C7:C13" si="2">D7</f>
        <v>3.8755032033271214E-2</v>
      </c>
      <c r="D7" s="84">
        <f>65*EXP(E7)/(1+EXP(E7))</f>
        <v>3.8755032033271214E-2</v>
      </c>
      <c r="E7" s="84">
        <f>J7-SUM(F$7:F7)</f>
        <v>-7.4242855335076374</v>
      </c>
      <c r="F7" s="13">
        <f>I7*G7</f>
        <v>0</v>
      </c>
      <c r="G7" s="13">
        <f>IF(H7&lt;0,0,H7)</f>
        <v>0.97904218407155241</v>
      </c>
      <c r="H7" s="13">
        <f>IF((P7-0.6)/0.3&gt;1,1,(P7-0.6)/0.3)</f>
        <v>0.97904218407155241</v>
      </c>
      <c r="I7" s="13">
        <v>0</v>
      </c>
      <c r="J7" s="13">
        <f>LN(L7/(65-L7))</f>
        <v>-7.4242855335076374</v>
      </c>
      <c r="K7" s="13"/>
      <c r="L7" s="13">
        <f t="shared" ref="L7:L13" si="3">M7</f>
        <v>3.8755032033271214E-2</v>
      </c>
      <c r="M7" s="13">
        <f t="shared" ref="M7:M50" si="4">LOOKUP(ROUND(N7,0),A$4:A$50,AB$4:AB$50)</f>
        <v>3.8755032033271214E-2</v>
      </c>
      <c r="N7" s="13">
        <f t="shared" ref="N7:N9" si="5">A7-(O7-O$10)</f>
        <v>2011.1215215177458</v>
      </c>
      <c r="O7" s="13">
        <f t="shared" ref="O7:O50" si="6">M$56+M$57*P7+M$61*1</f>
        <v>2017.417420148292</v>
      </c>
      <c r="P7" s="13">
        <f>1/China!R79</f>
        <v>0.8937126552214657</v>
      </c>
      <c r="R7">
        <v>2012</v>
      </c>
      <c r="S7" s="13">
        <v>3.8755032033271214E-2</v>
      </c>
      <c r="T7" s="13">
        <v>3.8755032033271214E-2</v>
      </c>
      <c r="U7" s="13">
        <v>3.8755032033271214E-2</v>
      </c>
      <c r="W7">
        <v>2012</v>
      </c>
      <c r="X7" s="12">
        <v>3.8755032033271214E-2</v>
      </c>
      <c r="Y7" s="13">
        <f>T7</f>
        <v>3.8755032033271214E-2</v>
      </c>
      <c r="Z7" s="12">
        <v>3.8755032033271214E-2</v>
      </c>
      <c r="AB7" s="13">
        <f t="shared" ref="AB7:AB12" si="7">65*EXP(AE7)/(1+EXP(AE7))</f>
        <v>6.269917749005402E-2</v>
      </c>
      <c r="AC7" s="13"/>
      <c r="AD7">
        <f t="shared" si="0"/>
        <v>-6.907952229283123</v>
      </c>
      <c r="AE7">
        <f t="shared" si="1"/>
        <v>-6.9428291512466789</v>
      </c>
      <c r="AG7">
        <v>3</v>
      </c>
      <c r="AH7">
        <v>0.9</v>
      </c>
      <c r="AI7">
        <v>0</v>
      </c>
      <c r="AK7" s="13"/>
    </row>
    <row r="8" spans="1:37">
      <c r="A8">
        <v>2013</v>
      </c>
      <c r="B8" s="13">
        <f>'EV %sales'!F71</f>
        <v>8.7542087542087546E-2</v>
      </c>
      <c r="C8" s="13">
        <f t="shared" si="2"/>
        <v>8.7551383817578696E-2</v>
      </c>
      <c r="D8" s="84">
        <f t="shared" ref="D8:D50" si="8">65*EXP(E8)/(1+EXP(E8))</f>
        <v>8.7551383817578696E-2</v>
      </c>
      <c r="E8" s="84">
        <f>J8-SUM(F$7:F8)</f>
        <v>-6.6085688319334199</v>
      </c>
      <c r="F8" s="13">
        <f t="shared" ref="F8:F50" si="9">I8*G8</f>
        <v>0</v>
      </c>
      <c r="G8" s="13">
        <f t="shared" ref="G8:G50" si="10">IF(H8&lt;0,0,H8)</f>
        <v>0.68380583006537154</v>
      </c>
      <c r="H8" s="13">
        <f t="shared" ref="H8:H50" si="11">IF((P8-0.6)/0.3&gt;1,1,(P8-0.6)/0.3)</f>
        <v>0.68380583006537154</v>
      </c>
      <c r="I8" s="13">
        <v>0</v>
      </c>
      <c r="J8" s="13">
        <f t="shared" ref="J8:J50" si="12">LN(L8/(65-L8))</f>
        <v>-6.6085688319334199</v>
      </c>
      <c r="K8" s="13"/>
      <c r="L8" s="13">
        <f t="shared" si="3"/>
        <v>8.7551383817578696E-2</v>
      </c>
      <c r="M8" s="13">
        <f t="shared" si="4"/>
        <v>8.7551383817578696E-2</v>
      </c>
      <c r="N8" s="13">
        <f t="shared" si="5"/>
        <v>2013.076661677371</v>
      </c>
      <c r="O8" s="13">
        <f t="shared" si="6"/>
        <v>2016.4622799886668</v>
      </c>
      <c r="P8" s="13">
        <f>1/China!R80</f>
        <v>0.80514174901961144</v>
      </c>
      <c r="R8">
        <v>2013</v>
      </c>
      <c r="S8" s="13">
        <v>8.7551383817578696E-2</v>
      </c>
      <c r="T8" s="13">
        <v>8.7551383817578696E-2</v>
      </c>
      <c r="U8" s="13">
        <v>8.7551383817578696E-2</v>
      </c>
      <c r="W8">
        <v>2013</v>
      </c>
      <c r="X8" s="12">
        <v>8.7551383817578696E-2</v>
      </c>
      <c r="Y8" s="13">
        <f t="shared" ref="Y8:Y45" si="13">T8</f>
        <v>8.7551383817578696E-2</v>
      </c>
      <c r="Z8" s="12">
        <v>8.7551383817578696E-2</v>
      </c>
      <c r="AB8" s="13">
        <f t="shared" si="7"/>
        <v>8.7551383817578696E-2</v>
      </c>
      <c r="AC8" s="13"/>
      <c r="AD8">
        <f t="shared" si="0"/>
        <v>-6.6086751615779864</v>
      </c>
      <c r="AE8">
        <f t="shared" si="1"/>
        <v>-6.6085688319334199</v>
      </c>
      <c r="AG8">
        <v>4</v>
      </c>
      <c r="AH8">
        <v>1</v>
      </c>
      <c r="AI8">
        <v>0</v>
      </c>
      <c r="AK8" s="13"/>
    </row>
    <row r="9" spans="1:37">
      <c r="A9">
        <v>2014</v>
      </c>
      <c r="B9" s="13">
        <f>'EV %sales'!F72</f>
        <v>0.37780761088449427</v>
      </c>
      <c r="C9" s="13">
        <f t="shared" si="2"/>
        <v>8.7551383817578696E-2</v>
      </c>
      <c r="D9" s="84">
        <f t="shared" si="8"/>
        <v>8.7551383817578696E-2</v>
      </c>
      <c r="E9" s="84">
        <f>J9-SUM(F$7:F9)</f>
        <v>-6.6085688319334199</v>
      </c>
      <c r="F9" s="13">
        <f t="shared" si="9"/>
        <v>0</v>
      </c>
      <c r="G9" s="13">
        <f t="shared" si="10"/>
        <v>1</v>
      </c>
      <c r="H9" s="13">
        <f t="shared" si="11"/>
        <v>1</v>
      </c>
      <c r="I9" s="13">
        <v>0</v>
      </c>
      <c r="J9" s="13">
        <f t="shared" si="12"/>
        <v>-6.6085688319334199</v>
      </c>
      <c r="K9" s="13"/>
      <c r="L9" s="13">
        <f t="shared" si="3"/>
        <v>8.7551383817578696E-2</v>
      </c>
      <c r="M9" s="13">
        <f t="shared" si="4"/>
        <v>8.7551383817578696E-2</v>
      </c>
      <c r="N9" s="13">
        <f t="shared" si="5"/>
        <v>2012.9136000711433</v>
      </c>
      <c r="O9" s="13">
        <f t="shared" si="6"/>
        <v>2017.6253415948945</v>
      </c>
      <c r="P9" s="13">
        <f>1/China!R81</f>
        <v>0.91299337623271781</v>
      </c>
      <c r="R9">
        <v>2014</v>
      </c>
      <c r="S9" s="13">
        <v>8.7551383817578696E-2</v>
      </c>
      <c r="T9" s="13">
        <v>8.7551383817578696E-2</v>
      </c>
      <c r="U9" s="13">
        <v>8.7551383817578696E-2</v>
      </c>
      <c r="W9">
        <v>2014</v>
      </c>
      <c r="X9" s="12">
        <v>8.7551383817578696E-2</v>
      </c>
      <c r="Y9" s="13">
        <f t="shared" si="13"/>
        <v>8.7551383817578696E-2</v>
      </c>
      <c r="Z9" s="12">
        <v>8.7551383817578696E-2</v>
      </c>
      <c r="AB9" s="13">
        <f t="shared" si="7"/>
        <v>0.36728493856347377</v>
      </c>
      <c r="AC9" s="13"/>
      <c r="AD9">
        <f t="shared" si="0"/>
        <v>-5.1419280660726958</v>
      </c>
      <c r="AE9">
        <f t="shared" si="1"/>
        <v>-5.1703380405123989</v>
      </c>
      <c r="AG9">
        <v>5</v>
      </c>
      <c r="AH9">
        <v>0.35</v>
      </c>
      <c r="AI9">
        <v>0</v>
      </c>
      <c r="AK9" s="13"/>
    </row>
    <row r="10" spans="1:37">
      <c r="A10">
        <v>2015</v>
      </c>
      <c r="B10" s="13">
        <f>'EV %sales'!F73</f>
        <v>0.97806914115926991</v>
      </c>
      <c r="C10" s="13">
        <f t="shared" si="2"/>
        <v>0.98551973616104327</v>
      </c>
      <c r="D10" s="84">
        <f t="shared" si="8"/>
        <v>0.98551973616104327</v>
      </c>
      <c r="E10" s="84">
        <f>J10-SUM(F$7:F10)</f>
        <v>-4.1736954379344828</v>
      </c>
      <c r="F10" s="13">
        <f t="shared" si="9"/>
        <v>0</v>
      </c>
      <c r="G10" s="13">
        <f t="shared" si="10"/>
        <v>0.70750215765763835</v>
      </c>
      <c r="H10" s="13">
        <f t="shared" si="11"/>
        <v>0.70750215765763835</v>
      </c>
      <c r="I10" s="13">
        <v>0</v>
      </c>
      <c r="J10" s="13">
        <f t="shared" si="12"/>
        <v>-4.1736954379344828</v>
      </c>
      <c r="K10" s="13"/>
      <c r="L10" s="13">
        <f t="shared" si="3"/>
        <v>0.98551973616104327</v>
      </c>
      <c r="M10" s="13">
        <f t="shared" si="4"/>
        <v>0.98551973616104327</v>
      </c>
      <c r="N10" s="13">
        <f>A10-(O10-O$10)</f>
        <v>2015</v>
      </c>
      <c r="O10" s="13">
        <f t="shared" si="6"/>
        <v>2016.5389416660378</v>
      </c>
      <c r="P10" s="13">
        <f>1/China!R82</f>
        <v>0.81225064729729146</v>
      </c>
      <c r="R10">
        <v>2015</v>
      </c>
      <c r="S10" s="13">
        <v>0.98551973616104327</v>
      </c>
      <c r="T10" s="13">
        <v>0.98551973616104327</v>
      </c>
      <c r="U10" s="13">
        <v>0.98551973616104327</v>
      </c>
      <c r="W10">
        <v>2015</v>
      </c>
      <c r="X10" s="12">
        <v>0.98551973616104327</v>
      </c>
      <c r="Y10" s="13">
        <f t="shared" si="13"/>
        <v>0.98551973616104327</v>
      </c>
      <c r="Z10" s="12">
        <v>0.98551973616104327</v>
      </c>
      <c r="AB10" s="13">
        <f t="shared" si="7"/>
        <v>0.98551973616104327</v>
      </c>
      <c r="AC10" s="13"/>
      <c r="AD10">
        <f t="shared" si="0"/>
        <v>-4.1814006092955429</v>
      </c>
      <c r="AE10">
        <f t="shared" si="1"/>
        <v>-4.1736954379344828</v>
      </c>
      <c r="AG10">
        <v>6</v>
      </c>
      <c r="AH10">
        <v>0</v>
      </c>
      <c r="AI10">
        <v>0</v>
      </c>
    </row>
    <row r="11" spans="1:37">
      <c r="A11">
        <v>2016</v>
      </c>
      <c r="B11" s="13">
        <f>'EV %sales'!F74</f>
        <v>1.37</v>
      </c>
      <c r="C11" s="13">
        <f t="shared" si="2"/>
        <v>1.3415981568072222</v>
      </c>
      <c r="D11" s="84">
        <f t="shared" si="8"/>
        <v>1.3415981568072222</v>
      </c>
      <c r="E11" s="84">
        <f>J11-SUM(F$7:F11)</f>
        <v>-3.8596697593213212</v>
      </c>
      <c r="F11" s="13">
        <f t="shared" si="9"/>
        <v>0</v>
      </c>
      <c r="G11" s="13">
        <f t="shared" si="10"/>
        <v>0.75865294676197259</v>
      </c>
      <c r="H11" s="13">
        <f t="shared" si="11"/>
        <v>0.75865294676197259</v>
      </c>
      <c r="I11" s="13">
        <v>0</v>
      </c>
      <c r="J11" s="13">
        <f t="shared" si="12"/>
        <v>-3.8596697593213212</v>
      </c>
      <c r="K11" s="13"/>
      <c r="L11" s="13">
        <f t="shared" si="3"/>
        <v>1.3415981568072222</v>
      </c>
      <c r="M11" s="13">
        <f t="shared" si="4"/>
        <v>1.3415981568072222</v>
      </c>
      <c r="N11" s="13">
        <f t="shared" ref="N11:N50" si="14">A11-(O11-O$10)</f>
        <v>2015.8345184385082</v>
      </c>
      <c r="O11" s="13">
        <f t="shared" si="6"/>
        <v>2016.7044232275296</v>
      </c>
      <c r="P11" s="13">
        <f>1/China!R83</f>
        <v>0.82759588402859174</v>
      </c>
      <c r="R11">
        <v>2016</v>
      </c>
      <c r="S11" s="13">
        <v>1.3415981568072222</v>
      </c>
      <c r="T11" s="13">
        <v>1.3415981568072222</v>
      </c>
      <c r="U11" s="13">
        <v>1.3415981568072222</v>
      </c>
      <c r="W11">
        <v>2016</v>
      </c>
      <c r="X11" s="12">
        <v>1.3415981568072222</v>
      </c>
      <c r="Y11" s="13">
        <f t="shared" si="13"/>
        <v>1.3415981568072222</v>
      </c>
      <c r="Z11" s="12">
        <v>1.3415981568072222</v>
      </c>
      <c r="AB11" s="13">
        <f t="shared" si="7"/>
        <v>1.3415981568072222</v>
      </c>
      <c r="AC11" s="13"/>
      <c r="AD11">
        <f t="shared" si="0"/>
        <v>-3.8382743174046672</v>
      </c>
      <c r="AE11">
        <f t="shared" si="1"/>
        <v>-3.8596697593213212</v>
      </c>
      <c r="AG11">
        <v>7</v>
      </c>
      <c r="AH11">
        <v>0</v>
      </c>
      <c r="AI11">
        <v>1</v>
      </c>
    </row>
    <row r="12" spans="1:37">
      <c r="A12">
        <v>2017</v>
      </c>
      <c r="B12" s="13">
        <f>'EV %sales'!F75</f>
        <v>2.0999999999999996</v>
      </c>
      <c r="C12" s="13">
        <f t="shared" si="2"/>
        <v>2.1439166050925254</v>
      </c>
      <c r="D12" s="84">
        <f t="shared" si="8"/>
        <v>2.1439166050925254</v>
      </c>
      <c r="E12" s="84">
        <f>J12-SUM(F$7:F12)</f>
        <v>-3.3782133770603617</v>
      </c>
      <c r="F12" s="13">
        <f t="shared" si="9"/>
        <v>0</v>
      </c>
      <c r="G12" s="13">
        <f t="shared" si="10"/>
        <v>0.81065285118833708</v>
      </c>
      <c r="H12" s="13">
        <f t="shared" si="11"/>
        <v>0.81065285118833708</v>
      </c>
      <c r="I12" s="13">
        <v>0</v>
      </c>
      <c r="J12" s="13">
        <f t="shared" si="12"/>
        <v>-3.3782133770603617</v>
      </c>
      <c r="K12" s="13"/>
      <c r="L12" s="13">
        <f t="shared" si="3"/>
        <v>2.1439166050925254</v>
      </c>
      <c r="M12" s="13">
        <f t="shared" si="4"/>
        <v>2.1439166050925254</v>
      </c>
      <c r="N12" s="13">
        <f t="shared" si="14"/>
        <v>2016.6662898435525</v>
      </c>
      <c r="O12" s="13">
        <f t="shared" si="6"/>
        <v>2016.8726518224853</v>
      </c>
      <c r="P12" s="13">
        <f>1/China!R84</f>
        <v>0.8431958553565011</v>
      </c>
      <c r="R12">
        <v>2017</v>
      </c>
      <c r="S12" s="13">
        <v>2.1439166050925254</v>
      </c>
      <c r="T12" s="13">
        <v>2.1439166050925254</v>
      </c>
      <c r="U12" s="13">
        <v>2.1439166050925254</v>
      </c>
      <c r="W12">
        <v>2017</v>
      </c>
      <c r="X12" s="12">
        <v>2.1439166050925254</v>
      </c>
      <c r="Y12" s="13">
        <f t="shared" si="13"/>
        <v>2.1439166050925254</v>
      </c>
      <c r="Z12" s="12">
        <v>2.1439166050925254</v>
      </c>
      <c r="AB12" s="13">
        <f t="shared" si="7"/>
        <v>2.1439166050925254</v>
      </c>
      <c r="AC12" s="13"/>
      <c r="AD12">
        <f t="shared" si="0"/>
        <v>-3.3996088189770175</v>
      </c>
      <c r="AE12">
        <f t="shared" si="1"/>
        <v>-3.3782133770603617</v>
      </c>
      <c r="AG12">
        <v>8</v>
      </c>
      <c r="AH12">
        <v>0</v>
      </c>
      <c r="AI12">
        <v>1</v>
      </c>
    </row>
    <row r="13" spans="1:37">
      <c r="A13">
        <v>2018</v>
      </c>
      <c r="B13" s="13">
        <f>'EV %sales'!F76</f>
        <v>3.9462287890202599</v>
      </c>
      <c r="C13" s="13">
        <f t="shared" si="2"/>
        <v>3.9822183298483407</v>
      </c>
      <c r="D13" s="84">
        <f>65*EXP(E13)/(1+EXP(E13))</f>
        <v>3.9822183298483407</v>
      </c>
      <c r="E13" s="84">
        <f>J13-SUM(F$7:F13)</f>
        <v>-2.7293262911516045</v>
      </c>
      <c r="F13" s="13">
        <f t="shared" si="9"/>
        <v>0</v>
      </c>
      <c r="G13" s="13">
        <f t="shared" si="10"/>
        <v>0.85787910680137514</v>
      </c>
      <c r="H13" s="13">
        <f t="shared" si="11"/>
        <v>0.85787910680137514</v>
      </c>
      <c r="I13" s="13">
        <v>0</v>
      </c>
      <c r="J13" s="13">
        <f>LN(L13/(65-L13))</f>
        <v>-2.7293262911516045</v>
      </c>
      <c r="K13" s="13"/>
      <c r="L13" s="13">
        <f t="shared" si="3"/>
        <v>3.9822183298483407</v>
      </c>
      <c r="M13" s="13">
        <f t="shared" si="4"/>
        <v>3.9822183298483407</v>
      </c>
      <c r="N13" s="13">
        <f t="shared" si="14"/>
        <v>2017.5135048199177</v>
      </c>
      <c r="O13" s="13">
        <f t="shared" si="6"/>
        <v>2017.0254368461201</v>
      </c>
      <c r="P13" s="13">
        <f>1/China!R85</f>
        <v>0.8573637320404125</v>
      </c>
      <c r="R13">
        <v>2018</v>
      </c>
      <c r="S13" s="13">
        <v>3.9822183298483407</v>
      </c>
      <c r="T13" s="13">
        <v>3.9822183298483407</v>
      </c>
      <c r="U13" s="13">
        <v>3.9822183298483407</v>
      </c>
      <c r="W13">
        <v>2018</v>
      </c>
      <c r="X13" s="12">
        <v>3.9822183298483407</v>
      </c>
      <c r="Y13" s="13">
        <f t="shared" si="13"/>
        <v>3.9822183298483407</v>
      </c>
      <c r="Z13" s="12">
        <v>3.9822183298483407</v>
      </c>
      <c r="AB13" s="13">
        <f t="shared" ref="AB13:AB50" si="15">65*EXP(AE13)/(1+EXP(AE13))</f>
        <v>3.9822183298483407</v>
      </c>
      <c r="AC13" s="13"/>
      <c r="AD13">
        <f t="shared" si="0"/>
        <v>-2.7389945852419824</v>
      </c>
      <c r="AE13">
        <f t="shared" si="1"/>
        <v>-2.7293262911516045</v>
      </c>
      <c r="AG13">
        <v>9</v>
      </c>
      <c r="AH13">
        <v>0</v>
      </c>
      <c r="AI13">
        <v>0</v>
      </c>
    </row>
    <row r="14" spans="1:37">
      <c r="A14">
        <v>2019</v>
      </c>
      <c r="B14" s="13"/>
      <c r="C14" s="13">
        <f>AVERAGE(D13:D15)</f>
        <v>6.1024878315413114</v>
      </c>
      <c r="D14" s="84">
        <f>65*EXP(E14)/(1+EXP(E14))</f>
        <v>6.0808030040892351</v>
      </c>
      <c r="E14" s="84">
        <f>J14-SUM(F$7:F14)</f>
        <v>-2.2710302024849467</v>
      </c>
      <c r="F14" s="13">
        <f>I14*G14</f>
        <v>0</v>
      </c>
      <c r="G14" s="13">
        <f t="shared" si="10"/>
        <v>0.94720281655041316</v>
      </c>
      <c r="H14" s="13">
        <f t="shared" si="11"/>
        <v>0.94720281655041316</v>
      </c>
      <c r="I14" s="13">
        <v>0</v>
      </c>
      <c r="J14" s="13">
        <f t="shared" si="12"/>
        <v>-2.2710302024849467</v>
      </c>
      <c r="K14" s="13"/>
      <c r="L14" s="13">
        <f t="shared" ref="L14:L48" si="16">AVERAGE(M12:M16)</f>
        <v>6.0808030040892369</v>
      </c>
      <c r="M14" s="13">
        <f t="shared" si="4"/>
        <v>3.9822183298483407</v>
      </c>
      <c r="N14" s="13">
        <f t="shared" si="14"/>
        <v>2018.2245273236495</v>
      </c>
      <c r="O14" s="13">
        <f t="shared" si="6"/>
        <v>2017.3144143423883</v>
      </c>
      <c r="P14" s="13">
        <f>1/China!R86</f>
        <v>0.88416084496512393</v>
      </c>
      <c r="R14">
        <v>2019</v>
      </c>
      <c r="S14" s="13">
        <v>6.8591800104532448</v>
      </c>
      <c r="T14" s="13">
        <v>6.1024878315413114</v>
      </c>
      <c r="U14" s="13">
        <v>5.1526463560894591</v>
      </c>
      <c r="W14">
        <v>2019</v>
      </c>
      <c r="X14" s="12">
        <v>4.8915236446165009</v>
      </c>
      <c r="Y14" s="13">
        <f t="shared" si="13"/>
        <v>6.1024878315413114</v>
      </c>
      <c r="Z14" s="12">
        <v>8.1058017711114942</v>
      </c>
      <c r="AB14" s="13">
        <f t="shared" si="15"/>
        <v>6.209668440149346</v>
      </c>
      <c r="AC14" s="13"/>
      <c r="AE14">
        <f t="shared" si="1"/>
        <v>-2.2478699088906451</v>
      </c>
      <c r="AG14">
        <v>10</v>
      </c>
      <c r="AH14">
        <v>0</v>
      </c>
      <c r="AI14">
        <v>0</v>
      </c>
    </row>
    <row r="15" spans="1:37">
      <c r="A15">
        <v>2020</v>
      </c>
      <c r="B15" s="13"/>
      <c r="C15" s="13">
        <f>AVERAGE(D13:D17)</f>
        <v>8.6348881204181804</v>
      </c>
      <c r="D15" s="84">
        <f>65*EXP(E15)/(1+EXP(E15))</f>
        <v>8.2444421606863596</v>
      </c>
      <c r="E15" s="84">
        <f>J15-SUM(F$7:F15)</f>
        <v>-1.9292142912292789</v>
      </c>
      <c r="F15" s="13">
        <f t="shared" si="9"/>
        <v>0.18524595348562356</v>
      </c>
      <c r="G15" s="13">
        <f t="shared" si="10"/>
        <v>0.92622976742811769</v>
      </c>
      <c r="H15" s="13">
        <f t="shared" si="11"/>
        <v>0.92622976742811769</v>
      </c>
      <c r="I15" s="231">
        <v>0.2</v>
      </c>
      <c r="J15" s="13">
        <f t="shared" si="12"/>
        <v>-1.7439683377436552</v>
      </c>
      <c r="K15" s="13"/>
      <c r="L15" s="13">
        <f t="shared" si="16"/>
        <v>9.67262289787889</v>
      </c>
      <c r="M15" s="13">
        <f t="shared" si="4"/>
        <v>6.209668440149346</v>
      </c>
      <c r="N15" s="13">
        <f t="shared" si="14"/>
        <v>2019.292378728853</v>
      </c>
      <c r="O15" s="13">
        <f t="shared" si="6"/>
        <v>2017.2465629371848</v>
      </c>
      <c r="P15" s="13">
        <f>1/China!R87</f>
        <v>0.87786893022843526</v>
      </c>
      <c r="R15">
        <v>2020</v>
      </c>
      <c r="S15" s="13">
        <v>9.9141969174068496</v>
      </c>
      <c r="T15" s="13">
        <v>8.6348881204181804</v>
      </c>
      <c r="U15" s="13">
        <v>6.8111100168191001</v>
      </c>
      <c r="W15">
        <v>2020</v>
      </c>
      <c r="X15" s="12">
        <v>5.5685458982760521</v>
      </c>
      <c r="Y15" s="13">
        <f t="shared" si="13"/>
        <v>8.6348881204181804</v>
      </c>
      <c r="Z15" s="12">
        <v>12.749247224772509</v>
      </c>
      <c r="AB15" s="13">
        <f t="shared" si="15"/>
        <v>9.4892790941138845</v>
      </c>
      <c r="AC15" s="13"/>
      <c r="AE15">
        <f t="shared" si="1"/>
        <v>-1.7664135266296856</v>
      </c>
      <c r="AG15">
        <v>11</v>
      </c>
      <c r="AH15">
        <v>0</v>
      </c>
      <c r="AI15">
        <v>0</v>
      </c>
    </row>
    <row r="16" spans="1:37">
      <c r="A16">
        <v>2021</v>
      </c>
      <c r="B16" s="13"/>
      <c r="C16" s="13">
        <f>AVERAGE(D14:D18)</f>
        <v>11.405845874630028</v>
      </c>
      <c r="D16" s="84">
        <f t="shared" si="8"/>
        <v>10.833967771427337</v>
      </c>
      <c r="E16" s="84">
        <f>J16-SUM(F$7:F16)</f>
        <v>-1.6093676378606385</v>
      </c>
      <c r="F16" s="13">
        <f t="shared" si="9"/>
        <v>0.16190258476265579</v>
      </c>
      <c r="G16" s="13">
        <f t="shared" si="10"/>
        <v>0.80951292381327888</v>
      </c>
      <c r="H16" s="13">
        <f t="shared" si="11"/>
        <v>0.80951292381327888</v>
      </c>
      <c r="I16" s="20">
        <f>I15+(I35-I15)/20</f>
        <v>0.2</v>
      </c>
      <c r="J16" s="13">
        <f t="shared" si="12"/>
        <v>-1.2622190996123592</v>
      </c>
      <c r="K16" s="13"/>
      <c r="L16" s="13">
        <f t="shared" si="16"/>
        <v>14.33848800297655</v>
      </c>
      <c r="M16" s="13">
        <f t="shared" si="4"/>
        <v>14.085993315507633</v>
      </c>
      <c r="N16" s="13">
        <f t="shared" si="14"/>
        <v>2020.6699777038048</v>
      </c>
      <c r="O16" s="13">
        <f t="shared" si="6"/>
        <v>2016.868963962233</v>
      </c>
      <c r="P16" s="13">
        <f>1/China!R88</f>
        <v>0.84285387714398363</v>
      </c>
      <c r="R16">
        <v>2021</v>
      </c>
      <c r="S16" s="13">
        <v>13.466737684274957</v>
      </c>
      <c r="T16" s="13">
        <v>11.405845874630028</v>
      </c>
      <c r="U16" s="13">
        <v>8.8534728018559292</v>
      </c>
      <c r="W16">
        <v>2021</v>
      </c>
      <c r="X16" s="12">
        <v>6.4469511141600462</v>
      </c>
      <c r="Y16" s="13">
        <f t="shared" si="13"/>
        <v>11.405845874630028</v>
      </c>
      <c r="Z16" s="12">
        <v>18.233273067539692</v>
      </c>
      <c r="AB16" s="13">
        <f t="shared" si="15"/>
        <v>14.085993315507633</v>
      </c>
      <c r="AC16" s="13"/>
      <c r="AE16">
        <f t="shared" si="1"/>
        <v>-1.2849571443687271</v>
      </c>
      <c r="AG16">
        <v>12</v>
      </c>
      <c r="AH16">
        <v>0</v>
      </c>
      <c r="AI16">
        <v>0</v>
      </c>
    </row>
    <row r="17" spans="1:35">
      <c r="A17">
        <v>2022</v>
      </c>
      <c r="B17" s="13"/>
      <c r="C17" s="13">
        <f t="shared" ref="C17:C50" si="17">AVERAGE(D15:D19)</f>
        <v>14.757399435374293</v>
      </c>
      <c r="D17" s="84">
        <f t="shared" si="8"/>
        <v>14.033009336039635</v>
      </c>
      <c r="E17" s="84">
        <f>J17-SUM(F$7:F17)</f>
        <v>-1.289765817229179</v>
      </c>
      <c r="F17" s="13">
        <f t="shared" si="9"/>
        <v>0.1717563864593874</v>
      </c>
      <c r="G17" s="13">
        <f t="shared" si="10"/>
        <v>0.858781932296937</v>
      </c>
      <c r="H17" s="13">
        <f t="shared" si="11"/>
        <v>0.858781932296937</v>
      </c>
      <c r="I17" s="20">
        <f>I16+(I35-I15)/20</f>
        <v>0.2</v>
      </c>
      <c r="J17" s="13">
        <f t="shared" si="12"/>
        <v>-0.77086089252151224</v>
      </c>
      <c r="K17" s="13"/>
      <c r="L17" s="13">
        <f>AVERAGE(M15:M19)</f>
        <v>20.559038977919588</v>
      </c>
      <c r="M17" s="13">
        <f t="shared" si="4"/>
        <v>20.103016074040784</v>
      </c>
      <c r="N17" s="13">
        <f t="shared" si="14"/>
        <v>2021.5105840248452</v>
      </c>
      <c r="O17" s="13">
        <f t="shared" si="6"/>
        <v>2017.0283576411925</v>
      </c>
      <c r="P17" s="13">
        <f>1/China!R89</f>
        <v>0.85763457968908108</v>
      </c>
      <c r="R17">
        <v>2022</v>
      </c>
      <c r="S17" s="13">
        <v>17.569427958674822</v>
      </c>
      <c r="T17" s="13">
        <v>14.757399435374293</v>
      </c>
      <c r="U17" s="13">
        <v>11.49092052711995</v>
      </c>
      <c r="W17">
        <v>2022</v>
      </c>
      <c r="X17" s="12">
        <v>7.3813180636636515</v>
      </c>
      <c r="Y17" s="13">
        <f t="shared" si="13"/>
        <v>14.757399435374293</v>
      </c>
      <c r="Z17" s="12">
        <v>24.51641951758976</v>
      </c>
      <c r="AB17" s="13">
        <f t="shared" si="15"/>
        <v>20.103016074040784</v>
      </c>
      <c r="AC17" s="13"/>
      <c r="AE17">
        <f t="shared" si="1"/>
        <v>-0.80350076210776766</v>
      </c>
      <c r="AG17">
        <v>13</v>
      </c>
      <c r="AH17">
        <v>0</v>
      </c>
      <c r="AI17">
        <v>0</v>
      </c>
    </row>
    <row r="18" spans="1:35">
      <c r="A18">
        <v>2023</v>
      </c>
      <c r="B18" s="13"/>
      <c r="C18" s="13">
        <f t="shared" si="17"/>
        <v>18.852198102158244</v>
      </c>
      <c r="D18" s="84">
        <f t="shared" si="8"/>
        <v>17.83700710090757</v>
      </c>
      <c r="E18" s="84">
        <f>J18-SUM(F$7:F18)</f>
        <v>-0.97233418664052595</v>
      </c>
      <c r="F18" s="13">
        <f t="shared" si="9"/>
        <v>0.16413307947846367</v>
      </c>
      <c r="G18" s="13">
        <f t="shared" si="10"/>
        <v>0.82066539739231836</v>
      </c>
      <c r="H18" s="13">
        <f t="shared" si="11"/>
        <v>0.82066539739231836</v>
      </c>
      <c r="I18" s="20">
        <f>I17+(I35-I15)/20</f>
        <v>0.2</v>
      </c>
      <c r="J18" s="13">
        <f t="shared" si="12"/>
        <v>-0.28929618245439553</v>
      </c>
      <c r="K18" s="13"/>
      <c r="L18" s="13">
        <f t="shared" si="16"/>
        <v>27.831451828771133</v>
      </c>
      <c r="M18" s="13">
        <f t="shared" si="4"/>
        <v>27.311543855336645</v>
      </c>
      <c r="N18" s="13">
        <f t="shared" si="14"/>
        <v>2022.6338975420972</v>
      </c>
      <c r="O18" s="13">
        <f t="shared" si="6"/>
        <v>2016.9050441239406</v>
      </c>
      <c r="P18" s="13">
        <f>1/China!R90</f>
        <v>0.84619961921769549</v>
      </c>
      <c r="R18">
        <v>2023</v>
      </c>
      <c r="S18" s="13">
        <v>22.620495655435157</v>
      </c>
      <c r="T18" s="13">
        <v>18.852198102158244</v>
      </c>
      <c r="U18" s="13">
        <v>15.095073792202138</v>
      </c>
      <c r="W18">
        <v>2023</v>
      </c>
      <c r="X18" s="12">
        <v>8.6674956458866816</v>
      </c>
      <c r="Y18" s="13">
        <f t="shared" si="13"/>
        <v>18.852198102158244</v>
      </c>
      <c r="Z18" s="12">
        <v>31.8143513953212</v>
      </c>
      <c r="AB18" s="13">
        <f t="shared" si="15"/>
        <v>27.311543855336645</v>
      </c>
      <c r="AC18" s="13"/>
      <c r="AE18">
        <f t="shared" si="1"/>
        <v>-0.32204437984680823</v>
      </c>
      <c r="AG18">
        <v>14</v>
      </c>
      <c r="AH18">
        <v>0</v>
      </c>
      <c r="AI18">
        <v>0</v>
      </c>
    </row>
    <row r="19" spans="1:35">
      <c r="A19">
        <v>2024</v>
      </c>
      <c r="B19" s="13"/>
      <c r="C19" s="13">
        <f t="shared" si="17"/>
        <v>23.760830088439658</v>
      </c>
      <c r="D19" s="84">
        <f t="shared" si="8"/>
        <v>22.838570807810559</v>
      </c>
      <c r="E19" s="84">
        <f>J19-SUM(F$7:F19)</f>
        <v>-0.61305499416290576</v>
      </c>
      <c r="F19" s="13">
        <f t="shared" si="9"/>
        <v>0.13611908052074834</v>
      </c>
      <c r="G19" s="13">
        <f t="shared" si="10"/>
        <v>0.68059540260374163</v>
      </c>
      <c r="H19" s="13">
        <f t="shared" si="11"/>
        <v>0.68059540260374163</v>
      </c>
      <c r="I19" s="20">
        <f>I18+(I35-I15)/20</f>
        <v>0.2</v>
      </c>
      <c r="J19" s="13">
        <f t="shared" si="12"/>
        <v>0.20610209054397302</v>
      </c>
      <c r="K19" s="13"/>
      <c r="L19" s="13">
        <f t="shared" si="16"/>
        <v>35.837353631030091</v>
      </c>
      <c r="M19" s="13">
        <f t="shared" si="4"/>
        <v>35.084973204563525</v>
      </c>
      <c r="N19" s="13">
        <f t="shared" si="14"/>
        <v>2024.0870479599428</v>
      </c>
      <c r="O19" s="13">
        <f t="shared" si="6"/>
        <v>2016.451893706095</v>
      </c>
      <c r="P19" s="13">
        <f>1/China!R91</f>
        <v>0.80417862078112246</v>
      </c>
      <c r="R19">
        <v>2024</v>
      </c>
      <c r="S19" s="13">
        <v>28.753201913425794</v>
      </c>
      <c r="T19" s="13">
        <v>23.760830088439658</v>
      </c>
      <c r="U19" s="13">
        <v>19.900602949604135</v>
      </c>
      <c r="W19">
        <v>2024</v>
      </c>
      <c r="X19" s="12">
        <v>10.334086134410846</v>
      </c>
      <c r="Y19" s="13">
        <f t="shared" si="13"/>
        <v>23.760830088439658</v>
      </c>
      <c r="Z19" s="12">
        <v>39.738268359200482</v>
      </c>
      <c r="AB19" s="13">
        <f t="shared" si="15"/>
        <v>35.084973204563525</v>
      </c>
      <c r="AC19" s="13"/>
      <c r="AE19">
        <f t="shared" si="1"/>
        <v>0.15941200241415121</v>
      </c>
      <c r="AG19">
        <v>15</v>
      </c>
      <c r="AH19">
        <v>0</v>
      </c>
      <c r="AI19">
        <v>0</v>
      </c>
    </row>
    <row r="20" spans="1:35">
      <c r="A20" s="14">
        <v>2025</v>
      </c>
      <c r="B20" s="13"/>
      <c r="C20" s="20">
        <f t="shared" si="17"/>
        <v>29.477995640258456</v>
      </c>
      <c r="D20" s="84">
        <f t="shared" si="8"/>
        <v>28.718435494606112</v>
      </c>
      <c r="E20" s="84">
        <f>J20-SUM(F$7:F20)</f>
        <v>-0.23377047912413618</v>
      </c>
      <c r="F20" s="13">
        <f t="shared" si="9"/>
        <v>0.11097444305920562</v>
      </c>
      <c r="G20" s="13">
        <f t="shared" si="10"/>
        <v>0.55487221529602804</v>
      </c>
      <c r="H20" s="13">
        <f t="shared" si="11"/>
        <v>0.55487221529602804</v>
      </c>
      <c r="I20" s="20">
        <f>I19+(I35-I15)/20</f>
        <v>0.2</v>
      </c>
      <c r="J20" s="13">
        <f t="shared" si="12"/>
        <v>0.69636104864194825</v>
      </c>
      <c r="K20" s="13"/>
      <c r="L20" s="13">
        <f t="shared" si="16"/>
        <v>43.379730979706572</v>
      </c>
      <c r="M20" s="13">
        <f t="shared" si="4"/>
        <v>42.571732694407068</v>
      </c>
      <c r="N20" s="13">
        <f t="shared" si="14"/>
        <v>2025.4937839989307</v>
      </c>
      <c r="O20" s="13">
        <f t="shared" si="6"/>
        <v>2016.0451576671071</v>
      </c>
      <c r="P20" s="13">
        <f>1/China!R92</f>
        <v>0.76646166458880838</v>
      </c>
      <c r="R20" s="87">
        <v>2025</v>
      </c>
      <c r="S20" s="13">
        <v>35.176091950613952</v>
      </c>
      <c r="T20" s="13">
        <v>29.477995640258456</v>
      </c>
      <c r="U20" s="13">
        <v>25.425380243941852</v>
      </c>
      <c r="W20" s="87">
        <v>2025</v>
      </c>
      <c r="X20" s="12">
        <v>12.351225146650222</v>
      </c>
      <c r="Y20" s="13">
        <f t="shared" si="13"/>
        <v>29.477995640258456</v>
      </c>
      <c r="Z20" s="12">
        <v>47.231563315895997</v>
      </c>
      <c r="AB20" s="13">
        <f t="shared" si="15"/>
        <v>42.571732694407068</v>
      </c>
      <c r="AC20" s="13"/>
      <c r="AE20">
        <f t="shared" si="1"/>
        <v>0.64086838467511065</v>
      </c>
      <c r="AG20">
        <v>16</v>
      </c>
      <c r="AH20">
        <v>0</v>
      </c>
      <c r="AI20">
        <v>0</v>
      </c>
    </row>
    <row r="21" spans="1:35">
      <c r="A21">
        <v>2026</v>
      </c>
      <c r="B21" s="13"/>
      <c r="C21" s="13">
        <f t="shared" si="17"/>
        <v>35.985260366750502</v>
      </c>
      <c r="D21" s="84">
        <f t="shared" si="8"/>
        <v>35.377127702834414</v>
      </c>
      <c r="E21" s="84">
        <f>J21-SUM(F$7:F21)</f>
        <v>0.17751872554792247</v>
      </c>
      <c r="F21" s="13">
        <f t="shared" si="9"/>
        <v>9.5486742934869223E-2</v>
      </c>
      <c r="G21" s="13">
        <f>IF(H21&lt;0,0,H21)</f>
        <v>0.47743371467434609</v>
      </c>
      <c r="H21" s="13">
        <f t="shared" si="11"/>
        <v>0.47743371467434609</v>
      </c>
      <c r="I21" s="20">
        <f>I20+(I35-I15)/20</f>
        <v>0.2</v>
      </c>
      <c r="J21" s="13">
        <f t="shared" si="12"/>
        <v>1.203136996248876</v>
      </c>
      <c r="K21" s="13"/>
      <c r="L21" s="13">
        <f t="shared" si="16"/>
        <v>49.990353890592658</v>
      </c>
      <c r="M21" s="13">
        <f t="shared" si="4"/>
        <v>54.1155023268024</v>
      </c>
      <c r="N21" s="13">
        <f t="shared" si="14"/>
        <v>2026.7443108085231</v>
      </c>
      <c r="O21" s="13">
        <f t="shared" si="6"/>
        <v>2015.7946308575147</v>
      </c>
      <c r="P21" s="13">
        <f>1/China!R93</f>
        <v>0.7432301144023038</v>
      </c>
      <c r="R21">
        <v>2026</v>
      </c>
      <c r="S21" s="13">
        <v>41.636849104537013</v>
      </c>
      <c r="T21" s="13">
        <v>35.985260366750502</v>
      </c>
      <c r="U21" s="13">
        <v>31.68488907342487</v>
      </c>
      <c r="W21">
        <v>2026</v>
      </c>
      <c r="X21" s="12">
        <v>14.751854589035924</v>
      </c>
      <c r="Y21" s="13">
        <f>T21</f>
        <v>35.985260366750502</v>
      </c>
      <c r="Z21" s="12">
        <v>53.447879591290203</v>
      </c>
      <c r="AB21" s="13">
        <f t="shared" si="15"/>
        <v>49.037279341738675</v>
      </c>
      <c r="AC21" s="13"/>
      <c r="AE21">
        <f t="shared" si="1"/>
        <v>1.1223247669360692</v>
      </c>
      <c r="AG21">
        <v>17</v>
      </c>
      <c r="AH21">
        <v>0</v>
      </c>
      <c r="AI21">
        <v>0</v>
      </c>
    </row>
    <row r="22" spans="1:35">
      <c r="A22">
        <v>2027</v>
      </c>
      <c r="B22" s="13"/>
      <c r="C22" s="13">
        <f t="shared" si="17"/>
        <v>42.401460558894172</v>
      </c>
      <c r="D22" s="84">
        <f t="shared" si="8"/>
        <v>42.618837095133635</v>
      </c>
      <c r="E22" s="84">
        <f>J22-SUM(F$7:F22)</f>
        <v>0.64407667754788922</v>
      </c>
      <c r="F22" s="13">
        <f t="shared" si="9"/>
        <v>8.1227598536923296E-2</v>
      </c>
      <c r="G22" s="13">
        <f t="shared" si="10"/>
        <v>0.40613799268461648</v>
      </c>
      <c r="H22" s="13">
        <f t="shared" si="11"/>
        <v>0.40613799268461648</v>
      </c>
      <c r="I22" s="20">
        <f>I21+(I35-I15)/20</f>
        <v>0.2</v>
      </c>
      <c r="J22" s="13">
        <f t="shared" si="12"/>
        <v>1.7509225467857661</v>
      </c>
      <c r="K22" s="13"/>
      <c r="L22" s="13">
        <f t="shared" si="16"/>
        <v>55.384493079650056</v>
      </c>
      <c r="M22" s="13">
        <f t="shared" si="4"/>
        <v>57.814902817423203</v>
      </c>
      <c r="N22" s="13">
        <f t="shared" si="14"/>
        <v>2027.9749646773907</v>
      </c>
      <c r="O22" s="13">
        <f t="shared" si="6"/>
        <v>2015.563976988647</v>
      </c>
      <c r="P22" s="13">
        <f>1/China!R94</f>
        <v>0.72184139780538492</v>
      </c>
      <c r="R22">
        <v>2027</v>
      </c>
      <c r="S22" s="13">
        <v>47.743358151662619</v>
      </c>
      <c r="T22" s="13">
        <v>42.401460558894172</v>
      </c>
      <c r="U22" s="13">
        <v>38.505276369123131</v>
      </c>
      <c r="W22">
        <v>2027</v>
      </c>
      <c r="X22" s="12">
        <v>17.581135467615365</v>
      </c>
      <c r="Y22" s="13">
        <f t="shared" si="13"/>
        <v>42.401460558894172</v>
      </c>
      <c r="Z22" s="12">
        <v>58.251233034327882</v>
      </c>
      <c r="AB22" s="13">
        <f t="shared" si="15"/>
        <v>54.1155023268024</v>
      </c>
      <c r="AC22" s="13"/>
      <c r="AE22">
        <f t="shared" si="1"/>
        <v>1.6037811491970295</v>
      </c>
      <c r="AG22">
        <v>18</v>
      </c>
      <c r="AH22">
        <v>0</v>
      </c>
      <c r="AI22">
        <v>0</v>
      </c>
    </row>
    <row r="23" spans="1:35">
      <c r="A23">
        <v>2028</v>
      </c>
      <c r="B23" s="13"/>
      <c r="C23" s="13">
        <f t="shared" si="17"/>
        <v>48.360946904840048</v>
      </c>
      <c r="D23" s="84">
        <f t="shared" si="8"/>
        <v>50.373330733367801</v>
      </c>
      <c r="E23" s="84">
        <f>J23-SUM(F$7:F23)</f>
        <v>1.2366153584171482</v>
      </c>
      <c r="F23" s="13">
        <f t="shared" si="9"/>
        <v>6.566799544063473E-2</v>
      </c>
      <c r="G23" s="13">
        <f t="shared" si="10"/>
        <v>0.32833997720317365</v>
      </c>
      <c r="H23" s="13">
        <f t="shared" si="11"/>
        <v>0.32833997720317365</v>
      </c>
      <c r="I23" s="20">
        <f>I22+(I35-I15)/20</f>
        <v>0.2</v>
      </c>
      <c r="J23" s="13">
        <f t="shared" si="12"/>
        <v>2.4091292230956598</v>
      </c>
      <c r="K23" s="13"/>
      <c r="L23" s="13">
        <f t="shared" si="16"/>
        <v>59.638852558129294</v>
      </c>
      <c r="M23" s="13">
        <f t="shared" si="4"/>
        <v>60.364658409767081</v>
      </c>
      <c r="N23" s="13">
        <f t="shared" si="14"/>
        <v>2029.2266545791158</v>
      </c>
      <c r="O23" s="13">
        <f t="shared" si="6"/>
        <v>2015.312287086922</v>
      </c>
      <c r="P23" s="13">
        <f>1/China!R95</f>
        <v>0.69850199316095207</v>
      </c>
      <c r="R23">
        <v>2028</v>
      </c>
      <c r="S23" s="13">
        <v>53.082166765331955</v>
      </c>
      <c r="T23" s="13">
        <v>48.360946904840048</v>
      </c>
      <c r="U23" s="13">
        <v>44.868330068890472</v>
      </c>
      <c r="W23">
        <v>2028</v>
      </c>
      <c r="X23" s="12">
        <v>20.77967119660007</v>
      </c>
      <c r="Y23" s="13">
        <f t="shared" si="13"/>
        <v>48.360946904840048</v>
      </c>
      <c r="Z23" s="12">
        <v>61.432382352177434</v>
      </c>
      <c r="AB23" s="13">
        <f t="shared" si="15"/>
        <v>57.814902817423203</v>
      </c>
      <c r="AC23" s="13"/>
      <c r="AE23">
        <f t="shared" si="1"/>
        <v>2.0852375314579881</v>
      </c>
      <c r="AG23">
        <v>19</v>
      </c>
      <c r="AH23">
        <v>0</v>
      </c>
      <c r="AI23">
        <v>0</v>
      </c>
    </row>
    <row r="24" spans="1:35">
      <c r="A24">
        <v>2029</v>
      </c>
      <c r="B24" s="13"/>
      <c r="C24" s="13">
        <f t="shared" si="17"/>
        <v>53.510082101162276</v>
      </c>
      <c r="D24" s="84">
        <f t="shared" si="8"/>
        <v>54.919571768528897</v>
      </c>
      <c r="E24" s="84">
        <f>J24-SUM(F$7:F24)</f>
        <v>1.6952740384792995</v>
      </c>
      <c r="F24" s="13">
        <f t="shared" si="9"/>
        <v>5.1626653314474691E-2</v>
      </c>
      <c r="G24" s="13">
        <f t="shared" si="10"/>
        <v>0.25813326657237345</v>
      </c>
      <c r="H24" s="13">
        <f t="shared" si="11"/>
        <v>0.25813326657237345</v>
      </c>
      <c r="I24" s="20">
        <f>I23+(I35-I15)/20</f>
        <v>0.2</v>
      </c>
      <c r="J24" s="13">
        <f t="shared" si="12"/>
        <v>2.9194145564722858</v>
      </c>
      <c r="K24" s="13"/>
      <c r="L24" s="13">
        <f t="shared" si="16"/>
        <v>61.671861252904783</v>
      </c>
      <c r="M24" s="13">
        <f t="shared" si="4"/>
        <v>62.055669149850516</v>
      </c>
      <c r="N24" s="13">
        <f t="shared" si="14"/>
        <v>2030.4537853097618</v>
      </c>
      <c r="O24" s="13">
        <f t="shared" si="6"/>
        <v>2015.085156356276</v>
      </c>
      <c r="P24" s="13">
        <f>1/China!R96</f>
        <v>0.67743997997171201</v>
      </c>
      <c r="R24">
        <v>2029</v>
      </c>
      <c r="S24" s="13">
        <v>57.032519822665577</v>
      </c>
      <c r="T24" s="13">
        <v>53.510082101162276</v>
      </c>
      <c r="U24" s="13">
        <v>50.288401893981607</v>
      </c>
      <c r="W24">
        <v>2029</v>
      </c>
      <c r="X24" s="12">
        <v>24.338947252121045</v>
      </c>
      <c r="Y24" s="13">
        <f t="shared" si="13"/>
        <v>53.510082101162276</v>
      </c>
      <c r="Z24" s="12">
        <v>63.155794886049776</v>
      </c>
      <c r="AB24" s="13">
        <f t="shared" si="15"/>
        <v>60.364658409767081</v>
      </c>
      <c r="AC24" s="13"/>
      <c r="AE24">
        <f t="shared" si="1"/>
        <v>2.5666939137189484</v>
      </c>
      <c r="AG24">
        <v>20</v>
      </c>
      <c r="AH24">
        <v>0</v>
      </c>
      <c r="AI24">
        <v>0</v>
      </c>
    </row>
    <row r="25" spans="1:35">
      <c r="A25" s="14">
        <v>2030</v>
      </c>
      <c r="B25" s="13"/>
      <c r="C25" s="20">
        <f t="shared" si="17"/>
        <v>57.576138176176222</v>
      </c>
      <c r="D25" s="84">
        <f t="shared" si="8"/>
        <v>58.51586722433553</v>
      </c>
      <c r="E25" s="84">
        <f>J25-SUM(F$7:F25)</f>
        <v>2.199939870969323</v>
      </c>
      <c r="F25" s="13">
        <f t="shared" si="9"/>
        <v>3.6064147145161859E-2</v>
      </c>
      <c r="G25" s="13">
        <f t="shared" si="10"/>
        <v>0.18032073572580928</v>
      </c>
      <c r="H25" s="13">
        <f t="shared" si="11"/>
        <v>0.18032073572580928</v>
      </c>
      <c r="I25" s="20">
        <f>I24+(I35-I15)/20</f>
        <v>0.2</v>
      </c>
      <c r="J25" s="13">
        <f t="shared" si="12"/>
        <v>3.460144536107471</v>
      </c>
      <c r="K25" s="13"/>
      <c r="L25" s="13">
        <f t="shared" si="16"/>
        <v>63.019595375516339</v>
      </c>
      <c r="M25" s="13">
        <f t="shared" si="4"/>
        <v>63.843530086803234</v>
      </c>
      <c r="N25" s="13">
        <f t="shared" si="14"/>
        <v>2031.7055221711785</v>
      </c>
      <c r="O25" s="13">
        <f t="shared" si="6"/>
        <v>2014.8334194948593</v>
      </c>
      <c r="P25" s="13">
        <f>1/China!R97</f>
        <v>0.65409622071774276</v>
      </c>
      <c r="R25" s="87">
        <v>2030</v>
      </c>
      <c r="S25" s="13">
        <v>59.963800123024271</v>
      </c>
      <c r="T25" s="13">
        <v>57.576138176176222</v>
      </c>
      <c r="U25" s="13">
        <v>54.77310029966916</v>
      </c>
      <c r="W25" s="87">
        <v>2030</v>
      </c>
      <c r="X25" s="12">
        <v>28.209314526981387</v>
      </c>
      <c r="Y25" s="13">
        <f t="shared" si="13"/>
        <v>57.576138176176222</v>
      </c>
      <c r="Z25" s="12">
        <v>64.024402737082852</v>
      </c>
      <c r="AB25" s="13">
        <f t="shared" si="15"/>
        <v>62.055669149850516</v>
      </c>
      <c r="AC25" s="13"/>
      <c r="AE25">
        <f t="shared" si="1"/>
        <v>3.0481502959799069</v>
      </c>
      <c r="AG25">
        <v>21</v>
      </c>
      <c r="AH25">
        <v>0</v>
      </c>
      <c r="AI25">
        <v>0</v>
      </c>
    </row>
    <row r="26" spans="1:35">
      <c r="A26">
        <v>2031</v>
      </c>
      <c r="C26" s="13">
        <f t="shared" si="17"/>
        <v>60.235360003673044</v>
      </c>
      <c r="D26" s="84">
        <f>65*EXP(E26)/(1+EXP(E26))</f>
        <v>61.122803684445543</v>
      </c>
      <c r="E26" s="84">
        <f>J26-SUM(F$7:F26)</f>
        <v>2.7577727222559458</v>
      </c>
      <c r="F26" s="13">
        <f t="shared" si="9"/>
        <v>3.6064147145161859E-2</v>
      </c>
      <c r="G26" s="13">
        <f t="shared" si="10"/>
        <v>0.18032073572580928</v>
      </c>
      <c r="H26" s="13">
        <f t="shared" si="11"/>
        <v>0.18032073572580928</v>
      </c>
      <c r="I26" s="20">
        <f>I25+(I35-I15)/20</f>
        <v>0.2</v>
      </c>
      <c r="J26" s="13">
        <f t="shared" si="12"/>
        <v>4.0540415345392562</v>
      </c>
      <c r="K26" s="13"/>
      <c r="L26" s="13">
        <f t="shared" si="16"/>
        <v>63.891350663649497</v>
      </c>
      <c r="M26" s="13">
        <f t="shared" si="4"/>
        <v>64.280545800679874</v>
      </c>
      <c r="N26" s="13">
        <f t="shared" si="14"/>
        <v>2032.7055221711785</v>
      </c>
      <c r="O26" s="13">
        <f t="shared" si="6"/>
        <v>2014.8334194948593</v>
      </c>
      <c r="P26" s="13">
        <f>P25</f>
        <v>0.65409622071774276</v>
      </c>
      <c r="R26">
        <v>2031</v>
      </c>
      <c r="S26" s="13">
        <v>61.966100412201698</v>
      </c>
      <c r="T26" s="13">
        <v>60.235360003673044</v>
      </c>
      <c r="U26" s="13">
        <v>58.121937706815615</v>
      </c>
      <c r="W26">
        <v>2031</v>
      </c>
      <c r="X26" s="12">
        <v>32.295881356572167</v>
      </c>
      <c r="Y26" s="13">
        <f t="shared" si="13"/>
        <v>60.235360003673044</v>
      </c>
      <c r="Z26" s="12">
        <v>64.502764823198248</v>
      </c>
      <c r="AB26" s="13">
        <f t="shared" si="15"/>
        <v>63.148704515446354</v>
      </c>
      <c r="AC26" s="13"/>
      <c r="AE26">
        <f t="shared" si="1"/>
        <v>3.5296066782408673</v>
      </c>
      <c r="AG26">
        <v>22</v>
      </c>
      <c r="AH26">
        <v>0</v>
      </c>
      <c r="AI26">
        <v>0</v>
      </c>
    </row>
    <row r="27" spans="1:35">
      <c r="A27">
        <v>2032</v>
      </c>
      <c r="C27" s="13">
        <f t="shared" si="17"/>
        <v>62.079576288656014</v>
      </c>
      <c r="D27" s="84">
        <f t="shared" si="8"/>
        <v>62.949117470203355</v>
      </c>
      <c r="E27" s="84">
        <f>J27-SUM(F$7:F27)</f>
        <v>3.4240565380053942</v>
      </c>
      <c r="F27" s="13">
        <f t="shared" si="9"/>
        <v>3.6064147145161859E-2</v>
      </c>
      <c r="G27" s="13">
        <f t="shared" si="10"/>
        <v>0.18032073572580928</v>
      </c>
      <c r="H27" s="13">
        <f t="shared" si="11"/>
        <v>0.18032073572580928</v>
      </c>
      <c r="I27" s="20">
        <f>I26+(I35-I15)/20</f>
        <v>0.2</v>
      </c>
      <c r="J27" s="13">
        <f t="shared" si="12"/>
        <v>4.7563894974338661</v>
      </c>
      <c r="K27" s="13"/>
      <c r="L27" s="13">
        <f t="shared" si="16"/>
        <v>64.445984203279551</v>
      </c>
      <c r="M27" s="13">
        <f t="shared" si="4"/>
        <v>64.553573430480995</v>
      </c>
      <c r="N27" s="13">
        <f t="shared" si="14"/>
        <v>2033.7055221711785</v>
      </c>
      <c r="O27" s="13">
        <f t="shared" si="6"/>
        <v>2014.8334194948593</v>
      </c>
      <c r="P27" s="13">
        <f t="shared" ref="P27:P50" si="18">P26</f>
        <v>0.65409622071774276</v>
      </c>
      <c r="R27">
        <v>2032</v>
      </c>
      <c r="S27" s="13">
        <v>63.201985479051061</v>
      </c>
      <c r="T27" s="13">
        <v>62.079576288656014</v>
      </c>
      <c r="U27" s="13">
        <v>60.264792335595828</v>
      </c>
      <c r="W27">
        <v>2032</v>
      </c>
      <c r="X27" s="12">
        <v>36.466986291701531</v>
      </c>
      <c r="Y27" s="13">
        <f t="shared" si="13"/>
        <v>62.079576288656014</v>
      </c>
      <c r="Z27" s="12">
        <v>64.723771006916408</v>
      </c>
      <c r="AB27" s="13">
        <f t="shared" si="15"/>
        <v>63.843530086803234</v>
      </c>
      <c r="AC27" s="13"/>
      <c r="AE27">
        <f t="shared" si="1"/>
        <v>4.0110630605018258</v>
      </c>
      <c r="AG27">
        <v>23</v>
      </c>
      <c r="AH27">
        <v>0</v>
      </c>
      <c r="AI27">
        <v>0</v>
      </c>
    </row>
    <row r="28" spans="1:35">
      <c r="A28">
        <v>2033</v>
      </c>
      <c r="C28" s="13">
        <f t="shared" si="17"/>
        <v>63.265725435003688</v>
      </c>
      <c r="D28" s="84">
        <f t="shared" si="8"/>
        <v>63.669439870851853</v>
      </c>
      <c r="E28" s="84">
        <f>J28-SUM(F$7:F28)</f>
        <v>3.8681046933003529</v>
      </c>
      <c r="F28" s="13">
        <f t="shared" si="9"/>
        <v>3.6064147145161859E-2</v>
      </c>
      <c r="G28" s="13">
        <f t="shared" si="10"/>
        <v>0.18032073572580928</v>
      </c>
      <c r="H28" s="13">
        <f t="shared" si="11"/>
        <v>0.18032073572580928</v>
      </c>
      <c r="I28" s="20">
        <f>I27+(I35-I15)/20</f>
        <v>0.2</v>
      </c>
      <c r="J28" s="13">
        <f t="shared" si="12"/>
        <v>5.2365017998739871</v>
      </c>
      <c r="K28" s="13"/>
      <c r="L28" s="13">
        <f t="shared" si="16"/>
        <v>64.656105125473346</v>
      </c>
      <c r="M28" s="13">
        <f t="shared" si="4"/>
        <v>64.723434850432866</v>
      </c>
      <c r="N28" s="13">
        <f t="shared" si="14"/>
        <v>2034.7055221711785</v>
      </c>
      <c r="O28" s="13">
        <f t="shared" si="6"/>
        <v>2014.8334194948593</v>
      </c>
      <c r="P28" s="13">
        <f t="shared" si="18"/>
        <v>0.65409622071774276</v>
      </c>
      <c r="R28">
        <v>2033</v>
      </c>
      <c r="S28" s="13">
        <v>63.854985900933954</v>
      </c>
      <c r="T28" s="13">
        <v>63.265725435003688</v>
      </c>
      <c r="U28" s="13">
        <v>61.792418575089165</v>
      </c>
      <c r="W28">
        <v>2033</v>
      </c>
      <c r="X28" s="12">
        <v>40.573342382742844</v>
      </c>
      <c r="Y28" s="13">
        <f t="shared" si="13"/>
        <v>63.265725435003688</v>
      </c>
      <c r="Z28" s="12">
        <v>64.845274048673502</v>
      </c>
      <c r="AB28" s="13">
        <f t="shared" si="15"/>
        <v>64.280545800679874</v>
      </c>
      <c r="AC28" s="13"/>
      <c r="AE28">
        <f t="shared" si="1"/>
        <v>4.4925194427627844</v>
      </c>
      <c r="AG28">
        <v>24</v>
      </c>
      <c r="AH28">
        <v>0</v>
      </c>
      <c r="AI28">
        <v>0</v>
      </c>
    </row>
    <row r="29" spans="1:35">
      <c r="A29">
        <v>2034</v>
      </c>
      <c r="C29" s="13">
        <f t="shared" si="17"/>
        <v>63.970027409325859</v>
      </c>
      <c r="D29" s="84">
        <f t="shared" si="8"/>
        <v>64.140653193443768</v>
      </c>
      <c r="E29" s="84">
        <f>J29-SUM(F$7:F29)</f>
        <v>4.3126610836652475</v>
      </c>
      <c r="F29" s="13">
        <f t="shared" si="9"/>
        <v>3.6064147145161859E-2</v>
      </c>
      <c r="G29" s="13">
        <f t="shared" si="10"/>
        <v>0.18032073572580928</v>
      </c>
      <c r="H29" s="13">
        <f t="shared" si="11"/>
        <v>0.18032073572580928</v>
      </c>
      <c r="I29" s="20">
        <f>I28+(I35-I15)/20</f>
        <v>0.2</v>
      </c>
      <c r="J29" s="13">
        <f t="shared" si="12"/>
        <v>5.7171223373840432</v>
      </c>
      <c r="K29" s="13"/>
      <c r="L29" s="13">
        <f t="shared" si="16"/>
        <v>64.786905347154203</v>
      </c>
      <c r="M29" s="13">
        <f t="shared" si="4"/>
        <v>64.828836848000762</v>
      </c>
      <c r="N29" s="13">
        <f t="shared" si="14"/>
        <v>2035.7055221711785</v>
      </c>
      <c r="O29" s="13">
        <f t="shared" si="6"/>
        <v>2014.8334194948593</v>
      </c>
      <c r="P29" s="13">
        <f t="shared" si="18"/>
        <v>0.65409622071774276</v>
      </c>
      <c r="R29">
        <v>2034</v>
      </c>
      <c r="S29" s="13">
        <v>64.27517525143837</v>
      </c>
      <c r="T29" s="13">
        <v>63.970027409325859</v>
      </c>
      <c r="U29" s="13">
        <v>62.852439195251705</v>
      </c>
      <c r="W29">
        <v>2034</v>
      </c>
      <c r="X29" s="12">
        <v>44.471661034172513</v>
      </c>
      <c r="Y29" s="13">
        <f t="shared" si="13"/>
        <v>63.970027409325859</v>
      </c>
      <c r="Z29" s="12">
        <v>64.904241112469521</v>
      </c>
      <c r="AB29" s="13">
        <f t="shared" si="15"/>
        <v>64.553573430480995</v>
      </c>
      <c r="AC29" s="13"/>
      <c r="AE29">
        <f t="shared" si="1"/>
        <v>4.9739758250237447</v>
      </c>
      <c r="AG29">
        <v>25</v>
      </c>
      <c r="AH29">
        <v>0</v>
      </c>
      <c r="AI29">
        <v>0</v>
      </c>
    </row>
    <row r="30" spans="1:35">
      <c r="A30">
        <v>2035</v>
      </c>
      <c r="C30" s="13">
        <f t="shared" si="17"/>
        <v>64.334536445063151</v>
      </c>
      <c r="D30" s="84">
        <f t="shared" si="8"/>
        <v>64.44661295607392</v>
      </c>
      <c r="E30" s="84">
        <f>J30-SUM(F$7:F30)</f>
        <v>4.7575347986306218</v>
      </c>
      <c r="F30" s="13">
        <f t="shared" si="9"/>
        <v>3.6064147145161859E-2</v>
      </c>
      <c r="G30" s="13">
        <f t="shared" si="10"/>
        <v>0.18032073572580928</v>
      </c>
      <c r="H30" s="13">
        <f t="shared" si="11"/>
        <v>0.18032073572580928</v>
      </c>
      <c r="I30" s="20">
        <f>I29+(I35-I15)/20</f>
        <v>0.2</v>
      </c>
      <c r="J30" s="13">
        <f t="shared" si="12"/>
        <v>6.1980601994945799</v>
      </c>
      <c r="K30" s="13"/>
      <c r="L30" s="13">
        <f t="shared" si="16"/>
        <v>64.86809907893732</v>
      </c>
      <c r="M30" s="13">
        <f t="shared" si="4"/>
        <v>64.89413469777223</v>
      </c>
      <c r="N30" s="13">
        <f t="shared" si="14"/>
        <v>2036.7055221711785</v>
      </c>
      <c r="O30" s="13">
        <f t="shared" si="6"/>
        <v>2014.8334194948593</v>
      </c>
      <c r="P30" s="13">
        <f t="shared" si="18"/>
        <v>0.65409622071774276</v>
      </c>
      <c r="R30">
        <v>2035</v>
      </c>
      <c r="S30" s="13">
        <v>64.542935681383256</v>
      </c>
      <c r="T30" s="13">
        <v>64.334536445063151</v>
      </c>
      <c r="U30" s="13">
        <v>63.573821853515561</v>
      </c>
      <c r="W30">
        <v>2035</v>
      </c>
      <c r="X30" s="12">
        <v>48.04533621641464</v>
      </c>
      <c r="Y30" s="13">
        <f t="shared" si="13"/>
        <v>64.334536445063151</v>
      </c>
      <c r="Z30" s="12">
        <v>64.940772311474262</v>
      </c>
      <c r="AB30" s="13">
        <f t="shared" si="15"/>
        <v>64.723434850432866</v>
      </c>
      <c r="AC30" s="13"/>
      <c r="AE30">
        <f t="shared" si="1"/>
        <v>5.4554322072847032</v>
      </c>
      <c r="AG30">
        <v>26</v>
      </c>
      <c r="AH30">
        <v>0</v>
      </c>
      <c r="AI30">
        <v>0</v>
      </c>
    </row>
    <row r="31" spans="1:35">
      <c r="A31">
        <v>2036</v>
      </c>
      <c r="C31" s="13">
        <f t="shared" si="17"/>
        <v>64.571354548520972</v>
      </c>
      <c r="D31" s="84">
        <f t="shared" si="8"/>
        <v>64.644313556056417</v>
      </c>
      <c r="E31" s="84">
        <f>J31-SUM(F$7:F31)</f>
        <v>5.2026058556598853</v>
      </c>
      <c r="F31" s="13">
        <f t="shared" si="9"/>
        <v>3.6064147145161859E-2</v>
      </c>
      <c r="G31" s="13">
        <f t="shared" si="10"/>
        <v>0.18032073572580928</v>
      </c>
      <c r="H31" s="13">
        <f t="shared" si="11"/>
        <v>0.18032073572580928</v>
      </c>
      <c r="I31" s="20">
        <f>I30+(I35-I15)/20</f>
        <v>0.2</v>
      </c>
      <c r="J31" s="13">
        <f t="shared" si="12"/>
        <v>6.6791954036690049</v>
      </c>
      <c r="K31" s="13"/>
      <c r="L31" s="13">
        <f t="shared" si="16"/>
        <v>64.918411269522977</v>
      </c>
      <c r="M31" s="13">
        <f t="shared" si="4"/>
        <v>64.93454690908419</v>
      </c>
      <c r="N31" s="13">
        <f t="shared" si="14"/>
        <v>2037.7055221711785</v>
      </c>
      <c r="O31" s="13">
        <f t="shared" si="6"/>
        <v>2014.8334194948593</v>
      </c>
      <c r="P31" s="13">
        <f t="shared" si="18"/>
        <v>0.65409622071774276</v>
      </c>
      <c r="R31">
        <v>2036</v>
      </c>
      <c r="S31" s="13">
        <v>64.71249193607359</v>
      </c>
      <c r="T31" s="13">
        <v>64.571354548520972</v>
      </c>
      <c r="U31" s="13">
        <v>64.058136829245115</v>
      </c>
      <c r="W31">
        <v>2036</v>
      </c>
      <c r="X31" s="12">
        <v>51.216914573380642</v>
      </c>
      <c r="Y31" s="13">
        <f t="shared" si="13"/>
        <v>64.571354548520972</v>
      </c>
      <c r="Z31" s="12">
        <v>64.963381302306487</v>
      </c>
      <c r="AB31" s="13">
        <f t="shared" si="15"/>
        <v>64.828836848000762</v>
      </c>
      <c r="AC31" s="13"/>
      <c r="AE31">
        <f t="shared" si="1"/>
        <v>5.9368885895456636</v>
      </c>
      <c r="AG31">
        <v>27</v>
      </c>
      <c r="AH31">
        <v>0</v>
      </c>
      <c r="AI31">
        <v>0</v>
      </c>
    </row>
    <row r="32" spans="1:35">
      <c r="A32">
        <v>2037</v>
      </c>
      <c r="C32" s="13">
        <f t="shared" si="17"/>
        <v>64.724442379232826</v>
      </c>
      <c r="D32" s="84">
        <f t="shared" si="8"/>
        <v>64.771662648889787</v>
      </c>
      <c r="E32" s="84">
        <f>J32-SUM(F$7:F32)</f>
        <v>5.6477993363512198</v>
      </c>
      <c r="F32" s="13">
        <f t="shared" si="9"/>
        <v>3.6064147145161859E-2</v>
      </c>
      <c r="G32" s="13">
        <f t="shared" si="10"/>
        <v>0.18032073572580928</v>
      </c>
      <c r="H32" s="13">
        <f t="shared" si="11"/>
        <v>0.18032073572580928</v>
      </c>
      <c r="I32" s="20">
        <f>I31+(I35-I15)/20</f>
        <v>0.2</v>
      </c>
      <c r="J32" s="13">
        <f t="shared" si="12"/>
        <v>7.1604530315055017</v>
      </c>
      <c r="K32" s="13"/>
      <c r="L32" s="13">
        <f t="shared" si="16"/>
        <v>64.949553512739087</v>
      </c>
      <c r="M32" s="13">
        <f t="shared" si="4"/>
        <v>64.959542089396493</v>
      </c>
      <c r="N32" s="13">
        <f t="shared" si="14"/>
        <v>2038.7055221711785</v>
      </c>
      <c r="O32" s="13">
        <f t="shared" si="6"/>
        <v>2014.8334194948593</v>
      </c>
      <c r="P32" s="13">
        <f t="shared" si="18"/>
        <v>0.65409622071774276</v>
      </c>
      <c r="R32">
        <v>2037</v>
      </c>
      <c r="S32" s="13">
        <v>64.819430796716006</v>
      </c>
      <c r="T32" s="13">
        <v>64.724442379232826</v>
      </c>
      <c r="U32" s="13">
        <v>64.380300612160838</v>
      </c>
      <c r="W32">
        <v>2037</v>
      </c>
      <c r="X32" s="12">
        <v>53.950847129396017</v>
      </c>
      <c r="Y32" s="13">
        <f t="shared" si="13"/>
        <v>64.724442379232826</v>
      </c>
      <c r="Z32" s="12">
        <v>64.977365170418338</v>
      </c>
      <c r="AB32" s="13">
        <f t="shared" si="15"/>
        <v>64.89413469777223</v>
      </c>
      <c r="AC32" s="13"/>
      <c r="AE32">
        <f t="shared" si="1"/>
        <v>6.4183449718066221</v>
      </c>
      <c r="AG32">
        <v>28</v>
      </c>
      <c r="AH32">
        <v>0</v>
      </c>
      <c r="AI32">
        <v>0</v>
      </c>
    </row>
    <row r="33" spans="1:35">
      <c r="A33">
        <v>2038</v>
      </c>
      <c r="C33" s="13">
        <f t="shared" si="17"/>
        <v>64.823082031600762</v>
      </c>
      <c r="D33" s="84">
        <f t="shared" si="8"/>
        <v>64.853530388140925</v>
      </c>
      <c r="E33" s="84">
        <f>J33-SUM(F$7:F33)</f>
        <v>6.0930686481977423</v>
      </c>
      <c r="F33" s="13">
        <f t="shared" si="9"/>
        <v>3.6064147145161859E-2</v>
      </c>
      <c r="G33" s="13">
        <f t="shared" si="10"/>
        <v>0.18032073572580928</v>
      </c>
      <c r="H33" s="13">
        <f t="shared" si="11"/>
        <v>0.18032073572580928</v>
      </c>
      <c r="I33" s="20">
        <f>I32+(I35-I15)/20</f>
        <v>0.2</v>
      </c>
      <c r="J33" s="13">
        <f t="shared" si="12"/>
        <v>7.6417864904971857</v>
      </c>
      <c r="K33" s="13"/>
      <c r="L33" s="13">
        <f t="shared" si="16"/>
        <v>64.968816902435037</v>
      </c>
      <c r="M33" s="13">
        <f t="shared" si="4"/>
        <v>64.97499580336121</v>
      </c>
      <c r="N33" s="13">
        <f t="shared" si="14"/>
        <v>2039.7055221711785</v>
      </c>
      <c r="O33" s="13">
        <f t="shared" si="6"/>
        <v>2014.8334194948593</v>
      </c>
      <c r="P33" s="13">
        <f t="shared" si="18"/>
        <v>0.65409622071774276</v>
      </c>
      <c r="R33">
        <v>2038</v>
      </c>
      <c r="S33" s="13">
        <v>64.886705415468398</v>
      </c>
      <c r="T33" s="13">
        <v>64.823082031600762</v>
      </c>
      <c r="U33" s="13">
        <v>64.593277853261625</v>
      </c>
      <c r="W33">
        <v>2038</v>
      </c>
      <c r="X33" s="12">
        <v>56.24831456383906</v>
      </c>
      <c r="Y33" s="13">
        <f t="shared" si="13"/>
        <v>64.823082031600762</v>
      </c>
      <c r="Z33" s="12">
        <v>64.986010978036475</v>
      </c>
      <c r="AB33" s="13">
        <f t="shared" si="15"/>
        <v>64.93454690908419</v>
      </c>
      <c r="AC33" s="13"/>
      <c r="AE33">
        <f t="shared" si="1"/>
        <v>6.8998013540675824</v>
      </c>
      <c r="AG33">
        <v>29</v>
      </c>
      <c r="AH33">
        <v>0</v>
      </c>
      <c r="AI33">
        <v>0</v>
      </c>
    </row>
    <row r="34" spans="1:35">
      <c r="A34">
        <v>2039</v>
      </c>
      <c r="C34" s="13">
        <f t="shared" si="17"/>
        <v>64.886505467915768</v>
      </c>
      <c r="D34" s="84">
        <f t="shared" si="8"/>
        <v>64.906092347003039</v>
      </c>
      <c r="E34" s="84">
        <f>J34-SUM(F$7:F34)</f>
        <v>6.5383848866633798</v>
      </c>
      <c r="F34" s="13">
        <f t="shared" si="9"/>
        <v>3.6064147145161859E-2</v>
      </c>
      <c r="G34" s="13">
        <f t="shared" si="10"/>
        <v>0.18032073572580928</v>
      </c>
      <c r="H34" s="13">
        <f t="shared" si="11"/>
        <v>0.18032073572580928</v>
      </c>
      <c r="I34" s="20">
        <f>I33+(I35-I15)/20</f>
        <v>0.2</v>
      </c>
      <c r="J34" s="13">
        <f t="shared" si="12"/>
        <v>8.1231668761079856</v>
      </c>
      <c r="K34" s="13"/>
      <c r="L34" s="13">
        <f t="shared" si="16"/>
        <v>64.980727501551868</v>
      </c>
      <c r="M34" s="13">
        <f t="shared" si="4"/>
        <v>64.984548064081295</v>
      </c>
      <c r="N34" s="13">
        <f t="shared" si="14"/>
        <v>2040.7055221711785</v>
      </c>
      <c r="O34" s="13">
        <f t="shared" si="6"/>
        <v>2014.8334194948593</v>
      </c>
      <c r="P34" s="13">
        <f t="shared" si="18"/>
        <v>0.65409622071774276</v>
      </c>
      <c r="R34">
        <v>2039</v>
      </c>
      <c r="S34" s="13">
        <v>64.928959587727746</v>
      </c>
      <c r="T34" s="13">
        <v>64.886505467915768</v>
      </c>
      <c r="U34" s="13">
        <v>64.733495448652803</v>
      </c>
      <c r="W34">
        <v>2039</v>
      </c>
      <c r="X34" s="12">
        <v>58.137587929167992</v>
      </c>
      <c r="Y34" s="13">
        <f t="shared" si="13"/>
        <v>64.886505467915768</v>
      </c>
      <c r="Z34" s="12">
        <v>64.991355143946635</v>
      </c>
      <c r="AB34" s="13">
        <f t="shared" si="15"/>
        <v>64.959542089396493</v>
      </c>
      <c r="AC34" s="13"/>
      <c r="AE34">
        <f t="shared" si="1"/>
        <v>7.381257736328541</v>
      </c>
      <c r="AG34">
        <v>30</v>
      </c>
      <c r="AH34">
        <v>0</v>
      </c>
      <c r="AI34">
        <v>0</v>
      </c>
    </row>
    <row r="35" spans="1:35">
      <c r="A35">
        <v>2040</v>
      </c>
      <c r="C35" s="13">
        <f t="shared" si="17"/>
        <v>64.927230510028664</v>
      </c>
      <c r="D35" s="84">
        <f>65*EXP(E35)/(1+EXP(E35))</f>
        <v>64.939811217913658</v>
      </c>
      <c r="E35" s="84">
        <f>J35-SUM(F$7:F35)</f>
        <v>6.983730147759557</v>
      </c>
      <c r="F35" s="13">
        <f t="shared" si="9"/>
        <v>3.6064147145161859E-2</v>
      </c>
      <c r="G35" s="13">
        <f t="shared" si="10"/>
        <v>0.18032073572580928</v>
      </c>
      <c r="H35" s="13">
        <f t="shared" si="11"/>
        <v>0.18032073572580928</v>
      </c>
      <c r="I35" s="89">
        <v>0.2</v>
      </c>
      <c r="J35" s="13">
        <f t="shared" si="12"/>
        <v>8.6045762843493243</v>
      </c>
      <c r="K35" s="13"/>
      <c r="L35" s="13">
        <f t="shared" si="16"/>
        <v>64.98808994482377</v>
      </c>
      <c r="M35" s="13">
        <f t="shared" si="4"/>
        <v>64.990451646251984</v>
      </c>
      <c r="N35" s="13">
        <f t="shared" si="14"/>
        <v>2041.7055221711785</v>
      </c>
      <c r="O35" s="13">
        <f t="shared" si="6"/>
        <v>2014.8334194948593</v>
      </c>
      <c r="P35" s="13">
        <f t="shared" si="18"/>
        <v>0.65409622071774276</v>
      </c>
      <c r="R35" s="87">
        <v>2040</v>
      </c>
      <c r="S35" s="13">
        <v>64.955472024928582</v>
      </c>
      <c r="T35" s="13">
        <v>64.927230510028664</v>
      </c>
      <c r="U35" s="13">
        <v>64.825560276301559</v>
      </c>
      <c r="W35" s="87">
        <v>2040</v>
      </c>
      <c r="X35" s="12">
        <v>59.663374838955839</v>
      </c>
      <c r="Y35" s="13">
        <f t="shared" si="13"/>
        <v>64.927230510028664</v>
      </c>
      <c r="Z35" s="12">
        <v>64.994658003097314</v>
      </c>
      <c r="AB35" s="13">
        <f t="shared" si="15"/>
        <v>64.97499580336121</v>
      </c>
      <c r="AC35" s="13"/>
      <c r="AE35">
        <f t="shared" si="1"/>
        <v>7.8627141185895013</v>
      </c>
      <c r="AG35">
        <v>31</v>
      </c>
      <c r="AH35">
        <v>0</v>
      </c>
      <c r="AI35">
        <v>0</v>
      </c>
    </row>
    <row r="36" spans="1:35">
      <c r="A36">
        <v>2041</v>
      </c>
      <c r="C36" s="13">
        <f t="shared" si="17"/>
        <v>64.9533579787566</v>
      </c>
      <c r="D36" s="84">
        <f t="shared" si="8"/>
        <v>64.961430737631417</v>
      </c>
      <c r="E36" s="84">
        <f>J36-SUM(F$7:F36)</f>
        <v>7.4290933519435223</v>
      </c>
      <c r="F36" s="13">
        <f t="shared" si="9"/>
        <v>3.6064147145161859E-2</v>
      </c>
      <c r="G36" s="13">
        <f t="shared" si="10"/>
        <v>0.18032073572580928</v>
      </c>
      <c r="H36" s="13">
        <f t="shared" si="11"/>
        <v>0.18032073572580928</v>
      </c>
      <c r="I36" s="89">
        <f>I35</f>
        <v>0.2</v>
      </c>
      <c r="J36" s="13">
        <f t="shared" si="12"/>
        <v>9.0860036356784519</v>
      </c>
      <c r="K36" s="13"/>
      <c r="L36" s="13">
        <f t="shared" si="16"/>
        <v>64.992640252096606</v>
      </c>
      <c r="M36" s="13">
        <f t="shared" si="4"/>
        <v>64.994099904668346</v>
      </c>
      <c r="N36" s="13">
        <f t="shared" si="14"/>
        <v>2042.7055221711785</v>
      </c>
      <c r="O36" s="13">
        <f t="shared" si="6"/>
        <v>2014.8334194948593</v>
      </c>
      <c r="P36" s="13">
        <f t="shared" si="18"/>
        <v>0.65409622071774276</v>
      </c>
      <c r="R36">
        <v>2041</v>
      </c>
      <c r="S36" s="13">
        <v>64.972096760897514</v>
      </c>
      <c r="T36" s="13">
        <v>64.9533579787566</v>
      </c>
      <c r="U36" s="13">
        <v>64.885901190255154</v>
      </c>
      <c r="W36">
        <v>2041</v>
      </c>
      <c r="X36" s="12">
        <v>60.877547315043088</v>
      </c>
      <c r="Y36" s="13">
        <f t="shared" si="13"/>
        <v>64.9533579787566</v>
      </c>
      <c r="Z36" s="12">
        <v>64.996699085126437</v>
      </c>
      <c r="AB36" s="13">
        <f t="shared" si="15"/>
        <v>64.984548064081295</v>
      </c>
      <c r="AE36">
        <f t="shared" si="1"/>
        <v>8.3441705008504599</v>
      </c>
      <c r="AG36">
        <v>32</v>
      </c>
      <c r="AH36">
        <v>0</v>
      </c>
      <c r="AI36">
        <v>0</v>
      </c>
    </row>
    <row r="37" spans="1:35">
      <c r="A37">
        <v>2042</v>
      </c>
      <c r="C37" s="13">
        <f t="shared" si="17"/>
        <v>64.97011097325182</v>
      </c>
      <c r="D37" s="84">
        <f t="shared" si="8"/>
        <v>64.975287859454284</v>
      </c>
      <c r="E37" s="84">
        <f>J37-SUM(F$7:F37)</f>
        <v>7.8744676468640771</v>
      </c>
      <c r="F37" s="13">
        <f t="shared" si="9"/>
        <v>3.6064147145161859E-2</v>
      </c>
      <c r="G37" s="13">
        <f t="shared" si="10"/>
        <v>0.18032073572580928</v>
      </c>
      <c r="H37" s="13">
        <f t="shared" si="11"/>
        <v>0.18032073572580928</v>
      </c>
      <c r="I37" s="89">
        <f t="shared" ref="I37:I50" si="19">I36</f>
        <v>0.2</v>
      </c>
      <c r="J37" s="13">
        <f t="shared" si="12"/>
        <v>9.5674420777441682</v>
      </c>
      <c r="K37" s="13"/>
      <c r="L37" s="13">
        <f t="shared" si="16"/>
        <v>64.99545225955805</v>
      </c>
      <c r="M37" s="13">
        <f t="shared" si="4"/>
        <v>64.996354305756</v>
      </c>
      <c r="N37" s="13">
        <f t="shared" si="14"/>
        <v>2043.7055221711785</v>
      </c>
      <c r="O37" s="13">
        <f t="shared" si="6"/>
        <v>2014.8334194948593</v>
      </c>
      <c r="P37" s="13">
        <f t="shared" si="18"/>
        <v>0.65409622071774276</v>
      </c>
      <c r="R37">
        <v>2042</v>
      </c>
      <c r="S37" s="13">
        <v>64.982517237638532</v>
      </c>
      <c r="T37" s="13">
        <v>64.97011097325182</v>
      </c>
      <c r="U37" s="13">
        <v>64.925403652767358</v>
      </c>
      <c r="W37">
        <v>2042</v>
      </c>
      <c r="X37" s="12">
        <v>61.832345930966632</v>
      </c>
      <c r="Y37" s="13">
        <f t="shared" si="13"/>
        <v>64.97011097325182</v>
      </c>
      <c r="Z37" s="12">
        <v>64.997960350044693</v>
      </c>
      <c r="AB37" s="13">
        <f t="shared" si="15"/>
        <v>64.990451646251984</v>
      </c>
      <c r="AE37">
        <f t="shared" si="1"/>
        <v>8.8256268831114184</v>
      </c>
      <c r="AG37">
        <v>33</v>
      </c>
      <c r="AH37">
        <v>0</v>
      </c>
      <c r="AI37">
        <v>0</v>
      </c>
    </row>
    <row r="38" spans="1:35">
      <c r="A38">
        <v>2043</v>
      </c>
      <c r="C38" s="13">
        <f t="shared" si="17"/>
        <v>64.980849225886175</v>
      </c>
      <c r="D38" s="84">
        <f t="shared" si="8"/>
        <v>64.984167731780559</v>
      </c>
      <c r="E38" s="84">
        <f>J38-SUM(F$7:F38)</f>
        <v>8.3198487960929537</v>
      </c>
      <c r="F38" s="13">
        <f t="shared" si="9"/>
        <v>3.6064147145161859E-2</v>
      </c>
      <c r="G38" s="13">
        <f t="shared" si="10"/>
        <v>0.18032073572580928</v>
      </c>
      <c r="H38" s="13">
        <f t="shared" si="11"/>
        <v>0.18032073572580928</v>
      </c>
      <c r="I38" s="89">
        <f t="shared" si="19"/>
        <v>0.2</v>
      </c>
      <c r="J38" s="13">
        <f t="shared" si="12"/>
        <v>10.048887374118207</v>
      </c>
      <c r="K38" s="13"/>
      <c r="L38" s="13">
        <f t="shared" si="16"/>
        <v>64.997189922840491</v>
      </c>
      <c r="M38" s="13">
        <f t="shared" si="4"/>
        <v>64.997747339725379</v>
      </c>
      <c r="N38" s="13">
        <f t="shared" si="14"/>
        <v>2044.7055221711785</v>
      </c>
      <c r="O38" s="13">
        <f t="shared" si="6"/>
        <v>2014.8334194948593</v>
      </c>
      <c r="P38" s="13">
        <f t="shared" si="18"/>
        <v>0.65409622071774276</v>
      </c>
      <c r="R38">
        <v>2043</v>
      </c>
      <c r="S38" s="13">
        <v>64.98904722834493</v>
      </c>
      <c r="T38" s="13">
        <v>64.980849225886175</v>
      </c>
      <c r="U38" s="13">
        <v>64.951244459331264</v>
      </c>
      <c r="W38">
        <v>2043</v>
      </c>
      <c r="X38" s="12">
        <v>62.576144374485274</v>
      </c>
      <c r="Y38" s="13">
        <f t="shared" si="13"/>
        <v>64.980849225886175</v>
      </c>
      <c r="Z38" s="12">
        <v>64.998739708053023</v>
      </c>
      <c r="AB38" s="13">
        <f t="shared" si="15"/>
        <v>64.994099904668346</v>
      </c>
      <c r="AE38">
        <f t="shared" si="1"/>
        <v>9.307083265372377</v>
      </c>
      <c r="AG38">
        <v>34</v>
      </c>
      <c r="AH38">
        <v>0</v>
      </c>
      <c r="AI38">
        <v>0</v>
      </c>
    </row>
    <row r="39" spans="1:35">
      <c r="A39">
        <v>2044</v>
      </c>
      <c r="C39" s="13">
        <f t="shared" si="17"/>
        <v>64.987730619273762</v>
      </c>
      <c r="D39" s="84">
        <f t="shared" si="8"/>
        <v>64.989857319479214</v>
      </c>
      <c r="E39" s="84">
        <f>J39-SUM(F$7:F39)</f>
        <v>8.7652341810723637</v>
      </c>
      <c r="F39" s="13">
        <f t="shared" si="9"/>
        <v>3.6064147145161859E-2</v>
      </c>
      <c r="G39" s="13">
        <f t="shared" si="10"/>
        <v>0.18032073572580928</v>
      </c>
      <c r="H39" s="13">
        <f t="shared" si="11"/>
        <v>0.18032073572580928</v>
      </c>
      <c r="I39" s="89">
        <f t="shared" si="19"/>
        <v>0.2</v>
      </c>
      <c r="J39" s="13">
        <f t="shared" si="12"/>
        <v>10.530336906242779</v>
      </c>
      <c r="K39" s="13"/>
      <c r="L39" s="13">
        <f t="shared" si="16"/>
        <v>64.998263660903291</v>
      </c>
      <c r="M39" s="13">
        <f t="shared" si="4"/>
        <v>64.998608101388541</v>
      </c>
      <c r="N39" s="13">
        <f t="shared" si="14"/>
        <v>2045.7055221711785</v>
      </c>
      <c r="O39" s="13">
        <f t="shared" si="6"/>
        <v>2014.8334194948593</v>
      </c>
      <c r="P39" s="13">
        <f t="shared" si="18"/>
        <v>0.65409622071774276</v>
      </c>
      <c r="R39">
        <v>2044</v>
      </c>
      <c r="S39" s="13">
        <v>64.99313861044422</v>
      </c>
      <c r="T39" s="13">
        <v>64.987730619273762</v>
      </c>
      <c r="U39" s="13">
        <v>64.968140012473611</v>
      </c>
      <c r="W39">
        <v>2044</v>
      </c>
      <c r="X39" s="12">
        <v>63.151309992837639</v>
      </c>
      <c r="Y39" s="13">
        <f t="shared" si="13"/>
        <v>64.987730619273762</v>
      </c>
      <c r="Z39" s="12">
        <v>64.999221276821544</v>
      </c>
      <c r="AB39" s="13">
        <f t="shared" si="15"/>
        <v>64.996354305756</v>
      </c>
      <c r="AE39">
        <f t="shared" si="1"/>
        <v>9.7885396476333391</v>
      </c>
      <c r="AG39">
        <v>35</v>
      </c>
      <c r="AH39">
        <v>0</v>
      </c>
      <c r="AI39">
        <v>0</v>
      </c>
    </row>
    <row r="40" spans="1:35">
      <c r="A40">
        <v>2045</v>
      </c>
      <c r="C40" s="13">
        <f t="shared" si="17"/>
        <v>64.992139783457077</v>
      </c>
      <c r="D40" s="84">
        <f t="shared" si="8"/>
        <v>64.993502481085372</v>
      </c>
      <c r="E40" s="84">
        <f>J40-SUM(F$7:F40)</f>
        <v>9.2106221834591633</v>
      </c>
      <c r="F40" s="13">
        <f t="shared" si="9"/>
        <v>3.6064147145161859E-2</v>
      </c>
      <c r="G40" s="13">
        <f t="shared" si="10"/>
        <v>0.18032073572580928</v>
      </c>
      <c r="H40" s="13">
        <f t="shared" si="11"/>
        <v>0.18032073572580928</v>
      </c>
      <c r="I40" s="89">
        <f t="shared" si="19"/>
        <v>0.2</v>
      </c>
      <c r="J40" s="13">
        <f t="shared" si="12"/>
        <v>11.01178905577474</v>
      </c>
      <c r="K40" s="13"/>
      <c r="L40" s="13">
        <f t="shared" si="16"/>
        <v>64.998927130336227</v>
      </c>
      <c r="M40" s="13">
        <f t="shared" si="4"/>
        <v>64.999139962664216</v>
      </c>
      <c r="N40" s="13">
        <f t="shared" si="14"/>
        <v>2046.7055221711785</v>
      </c>
      <c r="O40" s="13">
        <f t="shared" si="6"/>
        <v>2014.8334194948593</v>
      </c>
      <c r="P40" s="13">
        <f t="shared" si="18"/>
        <v>0.65409622071774276</v>
      </c>
      <c r="R40">
        <v>2045</v>
      </c>
      <c r="S40" s="13">
        <v>64.995701826945862</v>
      </c>
      <c r="T40" s="13">
        <v>64.992139783457077</v>
      </c>
      <c r="U40" s="13">
        <v>64.979183296379219</v>
      </c>
      <c r="W40">
        <v>2045</v>
      </c>
      <c r="X40" s="12">
        <v>63.593530299264117</v>
      </c>
      <c r="Y40" s="13">
        <f t="shared" si="13"/>
        <v>64.992139783457077</v>
      </c>
      <c r="Z40" s="12">
        <v>64.999518836329401</v>
      </c>
      <c r="AB40" s="13">
        <f t="shared" si="15"/>
        <v>64.997747339725379</v>
      </c>
      <c r="AE40">
        <f t="shared" si="1"/>
        <v>10.269996029894298</v>
      </c>
      <c r="AG40">
        <v>36</v>
      </c>
      <c r="AH40">
        <v>0</v>
      </c>
      <c r="AI40">
        <v>0</v>
      </c>
    </row>
    <row r="41" spans="1:35">
      <c r="A41">
        <v>2046</v>
      </c>
      <c r="C41" s="13">
        <f t="shared" si="17"/>
        <v>64.994964637265838</v>
      </c>
      <c r="D41" s="84">
        <f t="shared" si="8"/>
        <v>64.99583770456934</v>
      </c>
      <c r="E41" s="84">
        <f>J41-SUM(F$7:F41)</f>
        <v>9.6560118032026203</v>
      </c>
      <c r="F41" s="13">
        <f t="shared" si="9"/>
        <v>3.6064147145161859E-2</v>
      </c>
      <c r="G41" s="13">
        <f t="shared" si="10"/>
        <v>0.18032073572580928</v>
      </c>
      <c r="H41" s="13">
        <f t="shared" si="11"/>
        <v>0.18032073572580928</v>
      </c>
      <c r="I41" s="89">
        <f t="shared" si="19"/>
        <v>0.2</v>
      </c>
      <c r="J41" s="13">
        <f t="shared" si="12"/>
        <v>11.49324282266336</v>
      </c>
      <c r="K41" s="13"/>
      <c r="L41" s="13">
        <f t="shared" si="16"/>
        <v>64.999337086306184</v>
      </c>
      <c r="M41" s="13">
        <f t="shared" si="4"/>
        <v>64.999468594982304</v>
      </c>
      <c r="N41" s="13">
        <f t="shared" si="14"/>
        <v>2047.7055221711785</v>
      </c>
      <c r="O41" s="13">
        <f t="shared" si="6"/>
        <v>2014.8334194948593</v>
      </c>
      <c r="P41" s="13">
        <f t="shared" si="18"/>
        <v>0.65409622071774276</v>
      </c>
      <c r="R41">
        <v>2046</v>
      </c>
      <c r="S41" s="13">
        <v>64.997307562877069</v>
      </c>
      <c r="T41" s="13">
        <v>64.994964637265838</v>
      </c>
      <c r="U41" s="13">
        <v>64.98639989377412</v>
      </c>
      <c r="W41">
        <v>2046</v>
      </c>
      <c r="X41" s="12">
        <v>63.932032091664198</v>
      </c>
      <c r="Y41" s="13">
        <f t="shared" si="13"/>
        <v>64.994964637265838</v>
      </c>
      <c r="Z41" s="12">
        <v>64.999702695700449</v>
      </c>
      <c r="AB41" s="13">
        <f t="shared" si="15"/>
        <v>64.998608101388541</v>
      </c>
      <c r="AE41">
        <f t="shared" si="1"/>
        <v>10.751452412155256</v>
      </c>
      <c r="AG41">
        <v>37</v>
      </c>
      <c r="AH41">
        <v>0</v>
      </c>
      <c r="AI41">
        <v>0</v>
      </c>
    </row>
    <row r="42" spans="1:35">
      <c r="A42">
        <v>2047</v>
      </c>
      <c r="C42" s="13">
        <f t="shared" si="17"/>
        <v>64.996774351546833</v>
      </c>
      <c r="D42" s="84">
        <f t="shared" si="8"/>
        <v>64.997333680370886</v>
      </c>
      <c r="E42" s="84">
        <f>J42-SUM(F$7:F42)</f>
        <v>10.101402422274852</v>
      </c>
      <c r="F42" s="13">
        <f t="shared" si="9"/>
        <v>3.6064147145161859E-2</v>
      </c>
      <c r="G42" s="13">
        <f t="shared" si="10"/>
        <v>0.18032073572580928</v>
      </c>
      <c r="H42" s="13">
        <f t="shared" si="11"/>
        <v>0.18032073572580928</v>
      </c>
      <c r="I42" s="89">
        <f t="shared" si="19"/>
        <v>0.2</v>
      </c>
      <c r="J42" s="13">
        <f t="shared" si="12"/>
        <v>11.974697588880753</v>
      </c>
      <c r="K42" s="13"/>
      <c r="L42" s="13">
        <f t="shared" si="16"/>
        <v>64.99959039473103</v>
      </c>
      <c r="M42" s="13">
        <f t="shared" si="4"/>
        <v>64.999671652920739</v>
      </c>
      <c r="N42" s="13">
        <f t="shared" si="14"/>
        <v>2048.7055221711785</v>
      </c>
      <c r="O42" s="13">
        <f t="shared" si="6"/>
        <v>2014.8334194948593</v>
      </c>
      <c r="P42" s="13">
        <f t="shared" si="18"/>
        <v>0.65409622071774276</v>
      </c>
      <c r="R42">
        <v>2047</v>
      </c>
      <c r="S42" s="13">
        <v>64.998313443494482</v>
      </c>
      <c r="T42" s="13">
        <v>64.996774351546833</v>
      </c>
      <c r="U42" s="13">
        <v>64.99111516895762</v>
      </c>
      <c r="W42">
        <v>2047</v>
      </c>
      <c r="X42" s="12">
        <v>64.190262025829497</v>
      </c>
      <c r="Y42" s="13">
        <f t="shared" si="13"/>
        <v>64.996774351546833</v>
      </c>
      <c r="Z42" s="12">
        <v>64.999815874575205</v>
      </c>
      <c r="AB42" s="13">
        <f t="shared" si="15"/>
        <v>64.999139962664216</v>
      </c>
      <c r="AE42">
        <f t="shared" si="1"/>
        <v>11.232908794416215</v>
      </c>
      <c r="AG42">
        <v>38</v>
      </c>
      <c r="AH42">
        <v>0</v>
      </c>
      <c r="AI42">
        <v>0</v>
      </c>
    </row>
    <row r="43" spans="1:35">
      <c r="A43">
        <v>2048</v>
      </c>
      <c r="C43" s="13">
        <f t="shared" si="17"/>
        <v>64.997933683082792</v>
      </c>
      <c r="D43" s="84">
        <f t="shared" si="8"/>
        <v>64.998292000824321</v>
      </c>
      <c r="E43" s="84">
        <f>J43-SUM(F$7:F43)</f>
        <v>10.546793658881594</v>
      </c>
      <c r="F43" s="13">
        <f t="shared" si="9"/>
        <v>3.6064147145161859E-2</v>
      </c>
      <c r="G43" s="13">
        <f t="shared" si="10"/>
        <v>0.18032073572580928</v>
      </c>
      <c r="H43" s="13">
        <f t="shared" si="11"/>
        <v>0.18032073572580928</v>
      </c>
      <c r="I43" s="89">
        <f t="shared" si="19"/>
        <v>0.2</v>
      </c>
      <c r="J43" s="13">
        <f t="shared" si="12"/>
        <v>12.456152972632657</v>
      </c>
      <c r="K43" s="13"/>
      <c r="L43" s="13">
        <f t="shared" si="16"/>
        <v>64.999746911061749</v>
      </c>
      <c r="M43" s="13">
        <f t="shared" si="4"/>
        <v>64.999797119575135</v>
      </c>
      <c r="N43" s="13">
        <f t="shared" si="14"/>
        <v>2049.7055221711785</v>
      </c>
      <c r="O43" s="13">
        <f t="shared" si="6"/>
        <v>2014.8334194948593</v>
      </c>
      <c r="P43" s="13">
        <f t="shared" si="18"/>
        <v>0.65409622071774276</v>
      </c>
      <c r="R43">
        <v>2048</v>
      </c>
      <c r="S43" s="13">
        <v>64.998943541958653</v>
      </c>
      <c r="T43" s="13">
        <v>64.997933683082792</v>
      </c>
      <c r="U43" s="13">
        <v>64.994195821580405</v>
      </c>
      <c r="W43">
        <v>2048</v>
      </c>
      <c r="X43" s="12">
        <v>64.386744246674269</v>
      </c>
      <c r="Y43" s="13">
        <f t="shared" si="13"/>
        <v>64.997933683082792</v>
      </c>
      <c r="Z43" s="12">
        <v>64.999884954988488</v>
      </c>
      <c r="AB43" s="13">
        <f t="shared" si="15"/>
        <v>64.999468594982304</v>
      </c>
      <c r="AE43">
        <f t="shared" si="1"/>
        <v>11.714365176677177</v>
      </c>
      <c r="AG43">
        <v>39</v>
      </c>
      <c r="AH43">
        <v>0</v>
      </c>
      <c r="AI43">
        <v>0</v>
      </c>
    </row>
    <row r="44" spans="1:35">
      <c r="A44">
        <v>2049</v>
      </c>
      <c r="C44" s="13">
        <f t="shared" si="17"/>
        <v>64.998676351247013</v>
      </c>
      <c r="D44" s="84">
        <f t="shared" si="8"/>
        <v>64.998905890884217</v>
      </c>
      <c r="E44" s="84">
        <f>J44-SUM(F$7:F44)</f>
        <v>10.992185277050968</v>
      </c>
      <c r="F44" s="13">
        <f t="shared" si="9"/>
        <v>3.6064147145161859E-2</v>
      </c>
      <c r="G44" s="13">
        <f t="shared" si="10"/>
        <v>0.18032073572580928</v>
      </c>
      <c r="H44" s="13">
        <f t="shared" si="11"/>
        <v>0.18032073572580928</v>
      </c>
      <c r="I44" s="89">
        <f t="shared" si="19"/>
        <v>0.2</v>
      </c>
      <c r="J44" s="13">
        <f t="shared" si="12"/>
        <v>12.937608737947192</v>
      </c>
      <c r="K44" s="13"/>
      <c r="L44" s="13">
        <f t="shared" si="16"/>
        <v>64.999843620353204</v>
      </c>
      <c r="M44" s="13">
        <f t="shared" si="4"/>
        <v>64.999874643512811</v>
      </c>
      <c r="N44" s="13">
        <f t="shared" si="14"/>
        <v>2050.7055221711785</v>
      </c>
      <c r="O44" s="13">
        <f t="shared" si="6"/>
        <v>2014.8334194948593</v>
      </c>
      <c r="P44" s="13">
        <f t="shared" si="18"/>
        <v>0.65409622071774276</v>
      </c>
      <c r="R44">
        <v>2049</v>
      </c>
      <c r="S44" s="13">
        <v>64.999338239062894</v>
      </c>
      <c r="T44" s="13">
        <v>64.998676351247013</v>
      </c>
      <c r="U44" s="13">
        <v>64.99620840126515</v>
      </c>
      <c r="W44">
        <v>2049</v>
      </c>
      <c r="X44" s="12">
        <v>64.535947950357439</v>
      </c>
      <c r="Y44" s="13">
        <f t="shared" si="13"/>
        <v>64.998676351247013</v>
      </c>
      <c r="Z44" s="12">
        <v>64.999926361881649</v>
      </c>
      <c r="AB44" s="13">
        <f t="shared" si="15"/>
        <v>64.999671652920739</v>
      </c>
      <c r="AE44">
        <f t="shared" si="1"/>
        <v>12.195821558938135</v>
      </c>
      <c r="AG44">
        <v>40</v>
      </c>
      <c r="AH44">
        <v>0</v>
      </c>
      <c r="AI44">
        <v>0</v>
      </c>
    </row>
    <row r="45" spans="1:35">
      <c r="A45">
        <v>2050</v>
      </c>
      <c r="C45" s="13">
        <f t="shared" si="17"/>
        <v>64.999149920179633</v>
      </c>
      <c r="D45" s="84">
        <f t="shared" si="8"/>
        <v>64.999299138765181</v>
      </c>
      <c r="E45" s="84">
        <f>J45-SUM(F$7:F45)</f>
        <v>11.437577131078205</v>
      </c>
      <c r="F45" s="13">
        <f t="shared" si="9"/>
        <v>3.6064147145161859E-2</v>
      </c>
      <c r="G45" s="13">
        <f t="shared" si="10"/>
        <v>0.18032073572580928</v>
      </c>
      <c r="H45" s="13">
        <f t="shared" si="11"/>
        <v>0.18032073572580928</v>
      </c>
      <c r="I45" s="89">
        <f t="shared" si="19"/>
        <v>0.2</v>
      </c>
      <c r="J45" s="13">
        <f t="shared" si="12"/>
        <v>13.419064739119593</v>
      </c>
      <c r="K45" s="13"/>
      <c r="L45" s="13">
        <f t="shared" si="16"/>
        <v>64.99990337557054</v>
      </c>
      <c r="M45" s="13">
        <f t="shared" si="4"/>
        <v>64.999922544317783</v>
      </c>
      <c r="N45" s="13">
        <f t="shared" si="14"/>
        <v>2051.7055221711785</v>
      </c>
      <c r="O45" s="13">
        <f t="shared" si="6"/>
        <v>2014.8334194948593</v>
      </c>
      <c r="P45" s="13">
        <f t="shared" si="18"/>
        <v>0.65409622071774276</v>
      </c>
      <c r="R45">
        <v>2050</v>
      </c>
      <c r="S45" s="13">
        <v>64.999584478355288</v>
      </c>
      <c r="T45" s="13">
        <v>64.999149920179633</v>
      </c>
      <c r="U45" s="13">
        <v>64.997523162632163</v>
      </c>
      <c r="W45">
        <v>2050</v>
      </c>
      <c r="X45" s="12">
        <v>64.649079025246621</v>
      </c>
      <c r="Y45" s="13">
        <f t="shared" si="13"/>
        <v>64.999149920179633</v>
      </c>
      <c r="Z45" s="12">
        <v>64.99995024408102</v>
      </c>
      <c r="AB45" s="13">
        <f t="shared" si="15"/>
        <v>64.999797119575135</v>
      </c>
      <c r="AE45">
        <f t="shared" si="1"/>
        <v>12.677277941199094</v>
      </c>
      <c r="AG45">
        <v>41</v>
      </c>
      <c r="AH45">
        <v>0</v>
      </c>
      <c r="AI45">
        <v>0</v>
      </c>
    </row>
    <row r="46" spans="1:35">
      <c r="A46">
        <v>2051</v>
      </c>
      <c r="C46" s="20">
        <f t="shared" si="17"/>
        <v>64.999448766625818</v>
      </c>
      <c r="D46" s="84">
        <f t="shared" si="8"/>
        <v>64.999551045390419</v>
      </c>
      <c r="E46" s="84">
        <f>J46-SUM(F$7:F46)</f>
        <v>11.882969130461563</v>
      </c>
      <c r="F46" s="13">
        <f t="shared" si="9"/>
        <v>3.6064147145161859E-2</v>
      </c>
      <c r="G46" s="13">
        <f t="shared" si="10"/>
        <v>0.18032073572580928</v>
      </c>
      <c r="H46" s="13">
        <f t="shared" si="11"/>
        <v>0.18032073572580928</v>
      </c>
      <c r="I46" s="89">
        <f t="shared" si="19"/>
        <v>0.2</v>
      </c>
      <c r="J46" s="13">
        <f t="shared" si="12"/>
        <v>13.900520885648112</v>
      </c>
      <c r="K46" s="13"/>
      <c r="L46" s="13">
        <f t="shared" si="16"/>
        <v>64.999940297372945</v>
      </c>
      <c r="M46" s="13">
        <f t="shared" si="4"/>
        <v>64.99995214143955</v>
      </c>
      <c r="N46" s="13">
        <f t="shared" si="14"/>
        <v>2052.7055221711785</v>
      </c>
      <c r="O46" s="13">
        <f t="shared" si="6"/>
        <v>2014.8334194948593</v>
      </c>
      <c r="P46" s="13">
        <f t="shared" si="18"/>
        <v>0.65409622071774276</v>
      </c>
      <c r="AB46" s="13">
        <f t="shared" si="15"/>
        <v>64.999874643512811</v>
      </c>
      <c r="AE46">
        <f t="shared" si="1"/>
        <v>13.158734323460052</v>
      </c>
      <c r="AG46">
        <v>42</v>
      </c>
      <c r="AH46">
        <v>0</v>
      </c>
      <c r="AI46">
        <v>0</v>
      </c>
    </row>
    <row r="47" spans="1:35">
      <c r="A47">
        <v>2052</v>
      </c>
      <c r="C47" s="20">
        <f t="shared" si="17"/>
        <v>64.999609018703467</v>
      </c>
      <c r="D47" s="84">
        <f t="shared" si="8"/>
        <v>64.999701525033956</v>
      </c>
      <c r="E47" s="84">
        <f>J47-SUM(F$7:F47)</f>
        <v>12.291207172444793</v>
      </c>
      <c r="F47" s="13">
        <f t="shared" si="9"/>
        <v>3.6064147145161859E-2</v>
      </c>
      <c r="G47" s="13">
        <f t="shared" si="10"/>
        <v>0.18032073572580928</v>
      </c>
      <c r="H47" s="13">
        <f t="shared" si="11"/>
        <v>0.18032073572580928</v>
      </c>
      <c r="I47" s="89">
        <f t="shared" si="19"/>
        <v>0.2</v>
      </c>
      <c r="J47" s="13">
        <f t="shared" si="12"/>
        <v>14.344823074776503</v>
      </c>
      <c r="K47" s="13"/>
      <c r="L47" s="13">
        <f t="shared" si="16"/>
        <v>64.999961714387837</v>
      </c>
      <c r="M47" s="13">
        <f t="shared" si="4"/>
        <v>64.999970429007348</v>
      </c>
      <c r="N47" s="13">
        <f t="shared" si="14"/>
        <v>2053.7055221711785</v>
      </c>
      <c r="O47" s="13">
        <f t="shared" si="6"/>
        <v>2014.8334194948593</v>
      </c>
      <c r="P47" s="13">
        <f t="shared" si="18"/>
        <v>0.65409622071774276</v>
      </c>
      <c r="AB47" s="13">
        <f t="shared" si="15"/>
        <v>64.999922544317783</v>
      </c>
      <c r="AE47">
        <f t="shared" si="1"/>
        <v>13.640190705721011</v>
      </c>
      <c r="AG47">
        <v>43</v>
      </c>
      <c r="AH47">
        <v>0</v>
      </c>
      <c r="AI47">
        <v>0</v>
      </c>
    </row>
    <row r="48" spans="1:35">
      <c r="A48">
        <v>2053</v>
      </c>
      <c r="C48" s="20">
        <f t="shared" si="17"/>
        <v>64.999688470396464</v>
      </c>
      <c r="D48" s="84">
        <f t="shared" si="8"/>
        <v>64.999786233055275</v>
      </c>
      <c r="E48" s="84">
        <f>J48-SUM(F$7:F48)</f>
        <v>12.625008160869079</v>
      </c>
      <c r="F48" s="13">
        <f t="shared" si="9"/>
        <v>3.6064147145161859E-2</v>
      </c>
      <c r="G48" s="13">
        <f t="shared" si="10"/>
        <v>0.18032073572580928</v>
      </c>
      <c r="H48" s="13">
        <f t="shared" si="11"/>
        <v>0.18032073572580928</v>
      </c>
      <c r="I48" s="89">
        <f t="shared" si="19"/>
        <v>0.2</v>
      </c>
      <c r="J48" s="13">
        <f t="shared" si="12"/>
        <v>14.714688210345951</v>
      </c>
      <c r="K48" s="13"/>
      <c r="L48" s="13">
        <f t="shared" si="16"/>
        <v>64.999973551241737</v>
      </c>
      <c r="M48" s="13">
        <f t="shared" si="4"/>
        <v>64.999981728587244</v>
      </c>
      <c r="N48" s="13">
        <f t="shared" si="14"/>
        <v>2054.7055221711785</v>
      </c>
      <c r="O48" s="13">
        <f t="shared" si="6"/>
        <v>2014.8334194948593</v>
      </c>
      <c r="P48" s="13">
        <f t="shared" si="18"/>
        <v>0.65409622071774276</v>
      </c>
      <c r="AB48" s="13">
        <f t="shared" si="15"/>
        <v>64.99995214143955</v>
      </c>
      <c r="AE48">
        <f t="shared" si="1"/>
        <v>14.121647087981973</v>
      </c>
      <c r="AG48">
        <v>44</v>
      </c>
      <c r="AH48">
        <v>0</v>
      </c>
      <c r="AI48">
        <v>0</v>
      </c>
    </row>
    <row r="49" spans="1:35">
      <c r="A49">
        <v>2054</v>
      </c>
      <c r="C49" s="20">
        <f t="shared" si="17"/>
        <v>64.999722826647968</v>
      </c>
      <c r="D49" s="84">
        <f t="shared" si="8"/>
        <v>64.999707151272517</v>
      </c>
      <c r="E49" s="84">
        <f>J49-SUM(F$7:F49)</f>
        <v>12.31023713525494</v>
      </c>
      <c r="F49" s="13">
        <f t="shared" si="9"/>
        <v>3.6064147145161859E-2</v>
      </c>
      <c r="G49" s="13">
        <f t="shared" si="10"/>
        <v>0.18032073572580928</v>
      </c>
      <c r="H49" s="13">
        <f t="shared" si="11"/>
        <v>0.18032073572580928</v>
      </c>
      <c r="I49" s="89">
        <f t="shared" si="19"/>
        <v>0.2</v>
      </c>
      <c r="J49" s="13">
        <f t="shared" si="12"/>
        <v>14.435981331876976</v>
      </c>
      <c r="K49" s="13"/>
      <c r="L49" s="13">
        <f>AVERAGE(M45:M50)</f>
        <v>64.999965050087738</v>
      </c>
      <c r="M49" s="13">
        <f t="shared" si="4"/>
        <v>64.999981728587244</v>
      </c>
      <c r="N49" s="13">
        <f t="shared" si="14"/>
        <v>2055.7055221711785</v>
      </c>
      <c r="O49" s="13">
        <f t="shared" si="6"/>
        <v>2014.8334194948593</v>
      </c>
      <c r="P49" s="13">
        <f t="shared" si="18"/>
        <v>0.65409622071774276</v>
      </c>
      <c r="AB49" s="13">
        <f t="shared" si="15"/>
        <v>64.999970429007348</v>
      </c>
      <c r="AE49">
        <f t="shared" si="1"/>
        <v>14.603103470242932</v>
      </c>
      <c r="AG49">
        <v>45</v>
      </c>
      <c r="AH49">
        <v>0</v>
      </c>
      <c r="AI49">
        <v>0</v>
      </c>
    </row>
    <row r="50" spans="1:35">
      <c r="A50">
        <v>2055</v>
      </c>
      <c r="C50" s="20">
        <f t="shared" si="17"/>
        <v>64.999729927185967</v>
      </c>
      <c r="D50" s="84">
        <f t="shared" si="8"/>
        <v>64.999696397230124</v>
      </c>
      <c r="E50" s="84">
        <f>J50-SUM(F$7:F50)</f>
        <v>12.274172988109779</v>
      </c>
      <c r="F50" s="13">
        <f t="shared" si="9"/>
        <v>3.6064147145161859E-2</v>
      </c>
      <c r="G50" s="13">
        <f t="shared" si="10"/>
        <v>0.18032073572580928</v>
      </c>
      <c r="H50" s="13">
        <f t="shared" si="11"/>
        <v>0.18032073572580928</v>
      </c>
      <c r="I50" s="89">
        <f t="shared" si="19"/>
        <v>0.2</v>
      </c>
      <c r="J50" s="13">
        <f t="shared" si="12"/>
        <v>14.435981331876976</v>
      </c>
      <c r="K50" s="13"/>
      <c r="L50" s="13">
        <f>AVERAGE(M45:M50)</f>
        <v>64.999965050087738</v>
      </c>
      <c r="M50" s="13">
        <f t="shared" si="4"/>
        <v>64.999981728587244</v>
      </c>
      <c r="N50" s="13">
        <f t="shared" si="14"/>
        <v>2056.7055221711785</v>
      </c>
      <c r="O50" s="13">
        <f t="shared" si="6"/>
        <v>2014.8334194948593</v>
      </c>
      <c r="P50" s="13">
        <f t="shared" si="18"/>
        <v>0.65409622071774276</v>
      </c>
      <c r="AB50" s="13">
        <f t="shared" si="15"/>
        <v>64.999981728587244</v>
      </c>
      <c r="AE50">
        <f t="shared" si="1"/>
        <v>15.08455985250389</v>
      </c>
      <c r="AG50">
        <v>46</v>
      </c>
      <c r="AH50">
        <v>0</v>
      </c>
      <c r="AI50">
        <v>0</v>
      </c>
    </row>
    <row r="53" spans="1:35">
      <c r="P53" s="13">
        <f>AVERAGE(P7:P13)</f>
        <v>0.85032198559951311</v>
      </c>
    </row>
    <row r="56" spans="1:35">
      <c r="L56" s="41" t="str">
        <f>' All EV uptake'!D46</f>
        <v>Intercept</v>
      </c>
      <c r="M56" s="41">
        <f>' All EV uptake'!E46</f>
        <v>2006.0956444042549</v>
      </c>
    </row>
    <row r="57" spans="1:35">
      <c r="L57" s="41" t="str">
        <f>' All EV uptake'!D47</f>
        <v>EV/FFV cost ratio</v>
      </c>
      <c r="M57" s="41">
        <f>' All EV uptake'!E47</f>
        <v>10.783904112355547</v>
      </c>
    </row>
    <row r="58" spans="1:35">
      <c r="L58" s="41" t="str">
        <f>' All EV uptake'!D48</f>
        <v>dumKorea</v>
      </c>
      <c r="M58" s="41">
        <f>' All EV uptake'!E48</f>
        <v>3.2747008164932261</v>
      </c>
      <c r="AC58" s="41" t="s">
        <v>159</v>
      </c>
      <c r="AD58" s="41">
        <v>-7.0624337315002386</v>
      </c>
    </row>
    <row r="59" spans="1:35">
      <c r="L59" s="41" t="str">
        <f>' All EV uptake'!D49</f>
        <v>dumUK</v>
      </c>
      <c r="M59" s="41">
        <f>' All EV uptake'!E49</f>
        <v>2.7276845521810786</v>
      </c>
      <c r="AC59" t="s">
        <v>329</v>
      </c>
      <c r="AD59" s="41">
        <v>0.48145638226095933</v>
      </c>
    </row>
    <row r="60" spans="1:35">
      <c r="L60" s="41" t="str">
        <f>' All EV uptake'!D50</f>
        <v>dumNeth</v>
      </c>
      <c r="M60" s="41">
        <f>' All EV uptake'!E50</f>
        <v>-1.2544269368470402</v>
      </c>
      <c r="AC60" t="s">
        <v>1344</v>
      </c>
      <c r="AD60" s="41">
        <v>-1.4719606294770196</v>
      </c>
    </row>
    <row r="61" spans="1:35" ht="15.75" thickBot="1">
      <c r="L61" s="41" t="str">
        <f>' All EV uptake'!D51</f>
        <v>dumChina</v>
      </c>
      <c r="M61" s="41">
        <f>' All EV uptake'!E51</f>
        <v>1.6840641661301363</v>
      </c>
      <c r="AC61" t="s">
        <v>1234</v>
      </c>
      <c r="AD61" s="42">
        <v>-0.16743070364779786</v>
      </c>
    </row>
    <row r="62" spans="1:35">
      <c r="L62" s="41" t="str">
        <f>' All EV uptake'!D52</f>
        <v>dumDenmark</v>
      </c>
      <c r="M62" s="41">
        <f>' All EV uptake'!E52</f>
        <v>3.2654872236791634</v>
      </c>
    </row>
    <row r="63" spans="1:35">
      <c r="L63" s="41" t="str">
        <f>' All EV uptake'!D53</f>
        <v>dumIreland</v>
      </c>
      <c r="M63" s="41">
        <f>' All EV uptake'!E53</f>
        <v>3.5582490934682056</v>
      </c>
    </row>
    <row r="64" spans="1:35">
      <c r="L64" s="41" t="str">
        <f>' All EV uptake'!D54</f>
        <v>dumNZ</v>
      </c>
      <c r="M64" s="41">
        <f>' All EV uptake'!E54</f>
        <v>1.900474768762227</v>
      </c>
    </row>
    <row r="65" spans="12:13">
      <c r="L65" s="41" t="str">
        <f>' All EV uptake'!D55</f>
        <v>dumSwitzerland</v>
      </c>
      <c r="M65" s="41">
        <f>' All EV uptake'!E55</f>
        <v>-2.1041729879229703</v>
      </c>
    </row>
    <row r="66" spans="12:13">
      <c r="L66" s="41" t="str">
        <f>' All EV uptake'!D56</f>
        <v>dumSpain</v>
      </c>
      <c r="M66" s="41">
        <f>' All EV uptake'!E56</f>
        <v>4.4168133039283006</v>
      </c>
    </row>
    <row r="67" spans="12:13">
      <c r="L67" s="41" t="str">
        <f>' All EV uptake'!D57</f>
        <v>dumIndia</v>
      </c>
      <c r="M67" s="41">
        <f>' All EV uptake'!E57</f>
        <v>8.3918907463589623</v>
      </c>
    </row>
    <row r="68" spans="12:13">
      <c r="L68" s="41" t="str">
        <f>' All EV uptake'!D58</f>
        <v>dumUSA</v>
      </c>
      <c r="M68" s="41">
        <f>' All EV uptake'!E58</f>
        <v>2.1386885311349126</v>
      </c>
    </row>
    <row r="69" spans="12:13">
      <c r="L69" s="41" t="str">
        <f>' All EV uptake'!D59</f>
        <v>dumAustria</v>
      </c>
      <c r="M69" s="41">
        <f>' All EV uptake'!E59</f>
        <v>-0.86657486911619475</v>
      </c>
    </row>
    <row r="70" spans="12:13">
      <c r="L70" s="41" t="str">
        <f>' All EV uptake'!D60</f>
        <v>dumItaly</v>
      </c>
      <c r="M70" s="41">
        <f>' All EV uptake'!E60</f>
        <v>2.0513905871244105</v>
      </c>
    </row>
    <row r="71" spans="12:13">
      <c r="L71" s="41" t="str">
        <f>' All EV uptake'!D61</f>
        <v>dumJapan</v>
      </c>
      <c r="M71" s="41">
        <f>' All EV uptake'!E61</f>
        <v>4.0948893434577212</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133"/>
  <sheetViews>
    <sheetView topLeftCell="A97" zoomScale="75" zoomScaleNormal="75" workbookViewId="0">
      <selection activeCell="P113" sqref="P113:AC133"/>
    </sheetView>
  </sheetViews>
  <sheetFormatPr defaultRowHeight="15"/>
  <cols>
    <col min="2" max="2" width="12.28515625" customWidth="1"/>
    <col min="3" max="3" width="10.42578125" customWidth="1"/>
    <col min="4" max="4" width="13.140625" customWidth="1"/>
    <col min="7" max="7" width="10.140625" customWidth="1"/>
    <col min="8" max="8" width="15.28515625" customWidth="1"/>
    <col min="9" max="9" width="13.140625" customWidth="1"/>
    <col min="10" max="10" width="15" customWidth="1"/>
    <col min="11" max="11" width="11.42578125" customWidth="1"/>
    <col min="16" max="18" width="12.42578125" customWidth="1"/>
    <col min="20" max="20" width="13.7109375" customWidth="1"/>
    <col min="21" max="21" width="13.28515625" customWidth="1"/>
    <col min="25" max="26" width="13.85546875" customWidth="1"/>
    <col min="28" max="29" width="13.7109375" customWidth="1"/>
    <col min="31" max="32" width="12.7109375" customWidth="1"/>
  </cols>
  <sheetData>
    <row r="1" spans="1:32">
      <c r="A1" t="s">
        <v>5</v>
      </c>
      <c r="B1" t="s">
        <v>1395</v>
      </c>
      <c r="C1" t="s">
        <v>846</v>
      </c>
      <c r="D1" t="s">
        <v>846</v>
      </c>
      <c r="E1" t="s">
        <v>498</v>
      </c>
      <c r="F1" t="s">
        <v>846</v>
      </c>
      <c r="G1" t="s">
        <v>846</v>
      </c>
      <c r="H1" t="s">
        <v>846</v>
      </c>
      <c r="I1" t="s">
        <v>846</v>
      </c>
      <c r="J1" t="s">
        <v>846</v>
      </c>
      <c r="K1" t="s">
        <v>846</v>
      </c>
      <c r="U1" t="s">
        <v>730</v>
      </c>
      <c r="V1" s="33" t="s">
        <v>715</v>
      </c>
      <c r="W1" s="87" t="s">
        <v>1181</v>
      </c>
      <c r="X1" s="87" t="s">
        <v>1181</v>
      </c>
      <c r="Y1" s="87" t="s">
        <v>1181</v>
      </c>
      <c r="AD1" t="s">
        <v>841</v>
      </c>
    </row>
    <row r="2" spans="1:32">
      <c r="B2" t="s">
        <v>710</v>
      </c>
      <c r="C2" t="s">
        <v>710</v>
      </c>
      <c r="D2" t="s">
        <v>749</v>
      </c>
      <c r="E2" t="s">
        <v>714</v>
      </c>
      <c r="F2" t="s">
        <v>728</v>
      </c>
      <c r="G2" t="s">
        <v>269</v>
      </c>
      <c r="H2" t="s">
        <v>713</v>
      </c>
      <c r="I2" t="s">
        <v>842</v>
      </c>
      <c r="J2" t="s">
        <v>755</v>
      </c>
      <c r="K2" t="s">
        <v>269</v>
      </c>
      <c r="P2" t="s">
        <v>269</v>
      </c>
      <c r="Q2" t="s">
        <v>717</v>
      </c>
      <c r="R2" t="s">
        <v>725</v>
      </c>
      <c r="V2" s="33"/>
      <c r="W2" s="87" t="s">
        <v>338</v>
      </c>
      <c r="X2" s="87" t="s">
        <v>1182</v>
      </c>
      <c r="Y2" s="87" t="s">
        <v>1183</v>
      </c>
      <c r="AD2" t="s">
        <v>840</v>
      </c>
      <c r="AE2" t="s">
        <v>665</v>
      </c>
    </row>
    <row r="3" spans="1:32">
      <c r="A3">
        <v>2009</v>
      </c>
      <c r="B3" s="3">
        <f>X3</f>
        <v>29.592572886961211</v>
      </c>
      <c r="C3" s="3">
        <f t="shared" ref="C3:C24" si="0">B3*AD3*1000</f>
        <v>202146.86539083204</v>
      </c>
      <c r="D3" s="3">
        <f>C3*0.1</f>
        <v>20214.686539083206</v>
      </c>
      <c r="E3">
        <v>17</v>
      </c>
      <c r="F3" s="3">
        <f>C3*E3/100</f>
        <v>34364.967116441447</v>
      </c>
      <c r="G3" s="3">
        <f>C3+D3+F3</f>
        <v>256726.51904635667</v>
      </c>
      <c r="H3" s="3">
        <f t="shared" ref="H3:H24" si="1">-AL28*AD3</f>
        <v>-70256.920734265281</v>
      </c>
      <c r="I3" s="3">
        <f>-3*AP33</f>
        <v>-1329.8441941741214</v>
      </c>
      <c r="J3" s="3">
        <f>Austria!I3/China!AE3*China!AD3</f>
        <v>13759.853116357359</v>
      </c>
      <c r="K3" s="3">
        <f>G3+H3+I3+J3</f>
        <v>198899.60723427459</v>
      </c>
      <c r="O3">
        <v>2009</v>
      </c>
      <c r="P3" s="3">
        <f>K3</f>
        <v>198899.60723427459</v>
      </c>
      <c r="Q3" s="12">
        <f t="shared" ref="Q3:Q24" si="2">K28</f>
        <v>210609.09402331882</v>
      </c>
      <c r="R3" s="3">
        <f t="shared" ref="R3:R24" si="3">G53</f>
        <v>199533.50999999998</v>
      </c>
      <c r="T3">
        <v>2009</v>
      </c>
      <c r="U3" s="3">
        <f>'Vehicle price'!X5</f>
        <v>23</v>
      </c>
      <c r="V3">
        <v>1</v>
      </c>
      <c r="W3" s="3">
        <f t="shared" ref="W3:W24" si="4">X3*V3</f>
        <v>29.592572886961211</v>
      </c>
      <c r="X3" s="3">
        <f>'Vehicle price'!T5</f>
        <v>29.592572886961211</v>
      </c>
      <c r="Y3" s="3">
        <f>X3*Z3</f>
        <v>29.592572886961211</v>
      </c>
      <c r="Z3">
        <v>1</v>
      </c>
      <c r="AC3">
        <v>2009</v>
      </c>
      <c r="AD3" s="72">
        <v>6.8310000000000004</v>
      </c>
      <c r="AE3">
        <v>0.71984416666666673</v>
      </c>
      <c r="AF3" s="3"/>
    </row>
    <row r="4" spans="1:32">
      <c r="A4">
        <v>2010</v>
      </c>
      <c r="B4" s="3">
        <f t="shared" ref="B4:B24" si="5">X4</f>
        <v>30</v>
      </c>
      <c r="C4" s="3">
        <f t="shared" si="0"/>
        <v>203085.00000000003</v>
      </c>
      <c r="D4" s="3">
        <f t="shared" ref="D4:D24" si="6">C4*0.1</f>
        <v>20308.500000000004</v>
      </c>
      <c r="E4">
        <v>17</v>
      </c>
      <c r="F4" s="3">
        <f t="shared" ref="F4:F12" si="7">C4*E4/100</f>
        <v>34524.450000000004</v>
      </c>
      <c r="G4" s="3">
        <f t="shared" ref="G4:G12" si="8">C4+D4+F4</f>
        <v>257917.95000000004</v>
      </c>
      <c r="H4" s="3">
        <f t="shared" si="1"/>
        <v>-68496.894392277463</v>
      </c>
      <c r="I4" s="3">
        <f>I3</f>
        <v>-1329.8441941741214</v>
      </c>
      <c r="J4" s="3">
        <f>Austria!I4/China!AE4*China!AD4</f>
        <v>12938.113114612192</v>
      </c>
      <c r="K4" s="3">
        <f t="shared" ref="K4:K24" si="9">G4+H4+I4+J4</f>
        <v>201029.32452816062</v>
      </c>
      <c r="O4">
        <v>2010</v>
      </c>
      <c r="P4" s="3">
        <f t="shared" ref="P4:P24" si="10">K4</f>
        <v>201029.32452816062</v>
      </c>
      <c r="Q4" s="12">
        <f t="shared" si="2"/>
        <v>212445.4735935402</v>
      </c>
      <c r="R4" s="3">
        <f t="shared" si="3"/>
        <v>197737.09500000003</v>
      </c>
      <c r="T4">
        <v>2010</v>
      </c>
      <c r="U4" s="3">
        <f>'Vehicle price'!X6</f>
        <v>23</v>
      </c>
      <c r="V4">
        <v>1</v>
      </c>
      <c r="W4" s="3">
        <f t="shared" si="4"/>
        <v>30</v>
      </c>
      <c r="X4" s="3">
        <f>'Vehicle price'!T6</f>
        <v>30</v>
      </c>
      <c r="Y4" s="3">
        <f t="shared" ref="Y4:Y24" si="11">X4*Z4</f>
        <v>30</v>
      </c>
      <c r="Z4">
        <v>1</v>
      </c>
      <c r="AC4">
        <v>2010</v>
      </c>
      <c r="AD4" s="72">
        <v>6.7695000000000007</v>
      </c>
      <c r="AE4">
        <v>0.75867129256384003</v>
      </c>
      <c r="AF4" s="3"/>
    </row>
    <row r="5" spans="1:32">
      <c r="A5">
        <v>2011</v>
      </c>
      <c r="B5" s="3">
        <f t="shared" si="5"/>
        <v>30</v>
      </c>
      <c r="C5" s="3">
        <f t="shared" si="0"/>
        <v>193764</v>
      </c>
      <c r="D5" s="3">
        <f t="shared" si="6"/>
        <v>19376.400000000001</v>
      </c>
      <c r="E5">
        <v>17</v>
      </c>
      <c r="F5" s="3">
        <f t="shared" si="7"/>
        <v>32939.879999999997</v>
      </c>
      <c r="G5" s="3">
        <f t="shared" si="8"/>
        <v>246080.28</v>
      </c>
      <c r="H5" s="3">
        <f t="shared" si="1"/>
        <v>-63367.953989297021</v>
      </c>
      <c r="I5" s="3">
        <f t="shared" ref="I5:J24" si="12">I4</f>
        <v>-1329.8441941741214</v>
      </c>
      <c r="J5" s="3">
        <f>Austria!I5/China!AE5*China!AD5</f>
        <v>13090.190095248756</v>
      </c>
      <c r="K5" s="3">
        <f t="shared" si="9"/>
        <v>194472.67191177761</v>
      </c>
      <c r="O5">
        <v>2011</v>
      </c>
      <c r="P5" s="3">
        <f t="shared" si="10"/>
        <v>194472.67191177761</v>
      </c>
      <c r="Q5" s="12">
        <f t="shared" si="2"/>
        <v>205033.99757666042</v>
      </c>
      <c r="R5" s="3">
        <f t="shared" si="3"/>
        <v>188661.54799999998</v>
      </c>
      <c r="T5">
        <v>2011</v>
      </c>
      <c r="U5" s="3">
        <f>'Vehicle price'!X7</f>
        <v>23</v>
      </c>
      <c r="V5">
        <v>1</v>
      </c>
      <c r="W5" s="3">
        <f t="shared" si="4"/>
        <v>30</v>
      </c>
      <c r="X5" s="3">
        <f>'Vehicle price'!T7</f>
        <v>30</v>
      </c>
      <c r="Y5" s="3">
        <f t="shared" si="11"/>
        <v>30</v>
      </c>
      <c r="Z5">
        <v>1</v>
      </c>
      <c r="AC5">
        <v>2011</v>
      </c>
      <c r="AD5" s="72">
        <v>6.4588000000000001</v>
      </c>
      <c r="AE5">
        <v>0.71544109992713056</v>
      </c>
      <c r="AF5" s="3"/>
    </row>
    <row r="6" spans="1:32">
      <c r="A6">
        <v>2012</v>
      </c>
      <c r="B6" s="3">
        <f t="shared" si="5"/>
        <v>30.842462459493706</v>
      </c>
      <c r="C6" s="3">
        <f t="shared" si="0"/>
        <v>194693.04427555404</v>
      </c>
      <c r="D6" s="3">
        <f t="shared" si="6"/>
        <v>19469.304427555406</v>
      </c>
      <c r="E6">
        <v>17</v>
      </c>
      <c r="F6" s="3">
        <f t="shared" si="7"/>
        <v>33097.817526844185</v>
      </c>
      <c r="G6" s="3">
        <f t="shared" si="8"/>
        <v>247260.16622995364</v>
      </c>
      <c r="H6" s="3">
        <f t="shared" si="1"/>
        <v>-60709.362114589858</v>
      </c>
      <c r="I6" s="3">
        <f t="shared" si="12"/>
        <v>-1329.8441941741214</v>
      </c>
      <c r="J6" s="3">
        <f>Austria!I6/China!AE6*China!AD6</f>
        <v>11827.279420907027</v>
      </c>
      <c r="K6" s="3">
        <f t="shared" si="9"/>
        <v>197048.23934209667</v>
      </c>
      <c r="O6">
        <v>2012</v>
      </c>
      <c r="P6" s="3">
        <f t="shared" si="10"/>
        <v>197048.23934209667</v>
      </c>
      <c r="Q6" s="12">
        <f t="shared" si="2"/>
        <v>207166.46636119499</v>
      </c>
      <c r="R6" s="3">
        <f t="shared" si="3"/>
        <v>184388.125</v>
      </c>
      <c r="T6">
        <v>2012</v>
      </c>
      <c r="U6" s="3">
        <f>'Vehicle price'!X8</f>
        <v>23</v>
      </c>
      <c r="V6">
        <v>1</v>
      </c>
      <c r="W6" s="3">
        <f t="shared" si="4"/>
        <v>30.842462459493706</v>
      </c>
      <c r="X6" s="3">
        <f>'Vehicle price'!T8</f>
        <v>30.842462459493706</v>
      </c>
      <c r="Y6" s="3">
        <f t="shared" si="11"/>
        <v>30.842462459493706</v>
      </c>
      <c r="Z6">
        <v>1</v>
      </c>
      <c r="AC6">
        <v>2012</v>
      </c>
      <c r="AD6" s="72">
        <v>6.3125</v>
      </c>
      <c r="AE6">
        <v>0.773899446716382</v>
      </c>
      <c r="AF6" s="3"/>
    </row>
    <row r="7" spans="1:32">
      <c r="A7">
        <v>2013</v>
      </c>
      <c r="B7" s="3">
        <f t="shared" si="5"/>
        <v>31.143929334439989</v>
      </c>
      <c r="C7" s="3">
        <f t="shared" si="0"/>
        <v>192880.58315405378</v>
      </c>
      <c r="D7" s="3">
        <f t="shared" si="6"/>
        <v>19288.058315405378</v>
      </c>
      <c r="E7">
        <v>17</v>
      </c>
      <c r="F7" s="3">
        <f t="shared" si="7"/>
        <v>32789.699136189141</v>
      </c>
      <c r="G7" s="3">
        <f t="shared" si="8"/>
        <v>244958.34060564829</v>
      </c>
      <c r="H7" s="3">
        <f t="shared" si="1"/>
        <v>-83529.886418555718</v>
      </c>
      <c r="I7" s="3">
        <f t="shared" si="12"/>
        <v>-1329.8441941741214</v>
      </c>
      <c r="J7" s="3">
        <f>Austria!I7/China!AE7*China!AD7</f>
        <v>11946.937834311055</v>
      </c>
      <c r="K7" s="3">
        <f t="shared" si="9"/>
        <v>172045.54782722949</v>
      </c>
      <c r="O7">
        <v>2013</v>
      </c>
      <c r="P7" s="3">
        <f t="shared" si="10"/>
        <v>172045.54782722949</v>
      </c>
      <c r="Q7" s="12">
        <f t="shared" si="2"/>
        <v>206632.14142241271</v>
      </c>
      <c r="R7" s="3">
        <f t="shared" si="3"/>
        <v>180903.37200000006</v>
      </c>
      <c r="T7">
        <v>2013</v>
      </c>
      <c r="U7" s="3">
        <f>'Vehicle price'!X9</f>
        <v>23</v>
      </c>
      <c r="V7">
        <v>1</v>
      </c>
      <c r="W7" s="3">
        <f t="shared" si="4"/>
        <v>31.143929334439989</v>
      </c>
      <c r="X7" s="3">
        <f>'Vehicle price'!T9</f>
        <v>31.143929334439989</v>
      </c>
      <c r="Y7" s="3">
        <f t="shared" si="11"/>
        <v>31.143929334439989</v>
      </c>
      <c r="Z7">
        <v>1</v>
      </c>
      <c r="AC7">
        <v>2013</v>
      </c>
      <c r="AD7" s="72">
        <v>6.1932000000000009</v>
      </c>
      <c r="AE7">
        <v>0.75166876437654617</v>
      </c>
      <c r="AF7" s="3"/>
    </row>
    <row r="8" spans="1:32">
      <c r="A8">
        <v>2014</v>
      </c>
      <c r="B8" s="3">
        <f t="shared" si="5"/>
        <v>33.541755956678692</v>
      </c>
      <c r="C8" s="3">
        <f t="shared" si="0"/>
        <v>206040.29849068585</v>
      </c>
      <c r="D8" s="3">
        <f t="shared" si="6"/>
        <v>20604.029849068585</v>
      </c>
      <c r="E8">
        <v>17</v>
      </c>
      <c r="F8" s="3">
        <f t="shared" si="7"/>
        <v>35026.850743416595</v>
      </c>
      <c r="G8" s="3">
        <f t="shared" si="8"/>
        <v>261671.17908317101</v>
      </c>
      <c r="H8" s="3">
        <f t="shared" si="1"/>
        <v>-81505.343752393135</v>
      </c>
      <c r="I8" s="3">
        <f t="shared" si="12"/>
        <v>-1329.8441941741214</v>
      </c>
      <c r="J8" s="3">
        <f>Austria!I8/China!AE8*China!AD8</f>
        <v>11760.236366529183</v>
      </c>
      <c r="K8" s="3">
        <f t="shared" si="9"/>
        <v>190596.22750313292</v>
      </c>
      <c r="O8">
        <v>2014</v>
      </c>
      <c r="P8" s="3">
        <f t="shared" si="10"/>
        <v>190596.22750313292</v>
      </c>
      <c r="Q8" s="12">
        <f t="shared" si="2"/>
        <v>224344.53390060822</v>
      </c>
      <c r="R8" s="3">
        <f t="shared" si="3"/>
        <v>179431.18799999997</v>
      </c>
      <c r="T8">
        <v>2014</v>
      </c>
      <c r="U8" s="3">
        <f>'Vehicle price'!X10</f>
        <v>23</v>
      </c>
      <c r="V8">
        <v>1</v>
      </c>
      <c r="W8" s="3">
        <f t="shared" si="4"/>
        <v>33.541755956678692</v>
      </c>
      <c r="X8" s="3">
        <f>'Vehicle price'!T10</f>
        <v>33.541755956678692</v>
      </c>
      <c r="Y8" s="3">
        <f t="shared" si="11"/>
        <v>33.541755956678692</v>
      </c>
      <c r="Z8">
        <v>1</v>
      </c>
      <c r="AC8">
        <v>2014</v>
      </c>
      <c r="AD8" s="72">
        <v>6.1427999999999994</v>
      </c>
      <c r="AE8">
        <v>0.757387838338895</v>
      </c>
      <c r="AF8" s="3"/>
    </row>
    <row r="9" spans="1:32">
      <c r="A9">
        <v>2015</v>
      </c>
      <c r="B9" s="3">
        <f t="shared" si="5"/>
        <v>30</v>
      </c>
      <c r="C9" s="3">
        <f t="shared" si="0"/>
        <v>186852.00000000003</v>
      </c>
      <c r="D9" s="3">
        <f t="shared" si="6"/>
        <v>18685.200000000004</v>
      </c>
      <c r="E9">
        <v>17</v>
      </c>
      <c r="F9" s="3">
        <f t="shared" si="7"/>
        <v>31764.840000000004</v>
      </c>
      <c r="G9" s="3">
        <f t="shared" si="8"/>
        <v>237302.04000000004</v>
      </c>
      <c r="H9" s="3">
        <f t="shared" si="1"/>
        <v>-82462.249705668117</v>
      </c>
      <c r="I9" s="3">
        <f t="shared" si="12"/>
        <v>-1329.8441941741214</v>
      </c>
      <c r="J9" s="3">
        <f>Austria!I9/China!AE9*China!AD9</f>
        <v>9969.0089098101089</v>
      </c>
      <c r="K9" s="3">
        <f t="shared" si="9"/>
        <v>163478.95500996787</v>
      </c>
      <c r="O9">
        <v>2015</v>
      </c>
      <c r="P9" s="3">
        <f t="shared" si="10"/>
        <v>163478.95500996787</v>
      </c>
      <c r="Q9" s="12">
        <f t="shared" si="2"/>
        <v>197623.48027872111</v>
      </c>
      <c r="R9" s="3">
        <f t="shared" si="3"/>
        <v>181931.56400000001</v>
      </c>
      <c r="T9">
        <v>2015</v>
      </c>
      <c r="U9" s="3">
        <f>'Vehicle price'!X11</f>
        <v>23</v>
      </c>
      <c r="V9">
        <v>1</v>
      </c>
      <c r="W9" s="3">
        <f t="shared" si="4"/>
        <v>30</v>
      </c>
      <c r="X9" s="3">
        <f>'Vehicle price'!T11</f>
        <v>30</v>
      </c>
      <c r="Y9" s="3">
        <f t="shared" si="11"/>
        <v>30</v>
      </c>
      <c r="Z9">
        <v>1</v>
      </c>
      <c r="AC9">
        <v>2015</v>
      </c>
      <c r="AD9" s="72">
        <v>6.2284000000000006</v>
      </c>
      <c r="AE9">
        <v>0.90592556207997499</v>
      </c>
      <c r="AF9" s="3"/>
    </row>
    <row r="10" spans="1:32">
      <c r="A10">
        <v>2016</v>
      </c>
      <c r="B10" s="3">
        <f t="shared" si="5"/>
        <v>30</v>
      </c>
      <c r="C10" s="3">
        <f t="shared" si="0"/>
        <v>199269</v>
      </c>
      <c r="D10" s="3">
        <f t="shared" si="6"/>
        <v>19926.900000000001</v>
      </c>
      <c r="E10">
        <v>17</v>
      </c>
      <c r="F10" s="3">
        <f t="shared" si="7"/>
        <v>33875.730000000003</v>
      </c>
      <c r="G10" s="3">
        <f t="shared" si="8"/>
        <v>253071.63</v>
      </c>
      <c r="H10" s="3">
        <f t="shared" si="1"/>
        <v>-86832.396672000003</v>
      </c>
      <c r="I10" s="3">
        <f t="shared" si="12"/>
        <v>-1329.8441941741214</v>
      </c>
      <c r="J10" s="3">
        <f>Austria!I10/China!AE10*China!AD10</f>
        <v>10621.853925268884</v>
      </c>
      <c r="K10" s="3">
        <f t="shared" si="9"/>
        <v>175531.24305909476</v>
      </c>
      <c r="O10">
        <v>2016</v>
      </c>
      <c r="P10" s="3">
        <f t="shared" si="10"/>
        <v>175531.24305909476</v>
      </c>
      <c r="Q10" s="12">
        <f t="shared" si="2"/>
        <v>211485.28230609477</v>
      </c>
      <c r="R10" s="3">
        <f t="shared" si="3"/>
        <v>194021.58300000004</v>
      </c>
      <c r="T10">
        <v>2016</v>
      </c>
      <c r="U10" s="3">
        <f>'Vehicle price'!X12</f>
        <v>23</v>
      </c>
      <c r="V10">
        <v>1</v>
      </c>
      <c r="W10" s="3">
        <f t="shared" si="4"/>
        <v>30</v>
      </c>
      <c r="X10" s="3">
        <f>'Vehicle price'!T12</f>
        <v>30</v>
      </c>
      <c r="Y10" s="3">
        <f t="shared" si="11"/>
        <v>30</v>
      </c>
      <c r="Z10">
        <v>1</v>
      </c>
      <c r="AC10">
        <v>2016</v>
      </c>
      <c r="AD10" s="72">
        <v>6.6423000000000005</v>
      </c>
      <c r="AE10">
        <v>0.90674707708863456</v>
      </c>
      <c r="AF10" s="3"/>
    </row>
    <row r="11" spans="1:32">
      <c r="A11">
        <v>2017</v>
      </c>
      <c r="B11" s="3">
        <f t="shared" si="5"/>
        <v>30</v>
      </c>
      <c r="C11" s="3">
        <f t="shared" si="0"/>
        <v>202553.99999999997</v>
      </c>
      <c r="D11" s="3">
        <f t="shared" si="6"/>
        <v>20255.399999999998</v>
      </c>
      <c r="E11">
        <v>17</v>
      </c>
      <c r="F11" s="3">
        <f t="shared" si="7"/>
        <v>34434.179999999993</v>
      </c>
      <c r="G11" s="3">
        <f t="shared" si="8"/>
        <v>257243.57999999996</v>
      </c>
      <c r="H11" s="3">
        <f t="shared" si="1"/>
        <v>-86423.039999999994</v>
      </c>
      <c r="I11" s="3">
        <f t="shared" si="12"/>
        <v>-1329.8441941741214</v>
      </c>
      <c r="J11" s="3">
        <f>Austria!I11/China!AE11*China!AD11</f>
        <v>11099.057555672924</v>
      </c>
      <c r="K11" s="3">
        <f t="shared" si="9"/>
        <v>180589.75336149876</v>
      </c>
      <c r="O11">
        <v>2017</v>
      </c>
      <c r="P11" s="3">
        <f t="shared" si="10"/>
        <v>180589.75336149876</v>
      </c>
      <c r="Q11" s="12">
        <f t="shared" si="2"/>
        <v>216374.29336149874</v>
      </c>
      <c r="R11" s="3">
        <f t="shared" si="3"/>
        <v>197220.07799999998</v>
      </c>
      <c r="T11">
        <v>2017</v>
      </c>
      <c r="U11" s="3">
        <f>'Vehicle price'!X13</f>
        <v>23</v>
      </c>
      <c r="V11">
        <v>1</v>
      </c>
      <c r="W11" s="3">
        <f t="shared" si="4"/>
        <v>30</v>
      </c>
      <c r="X11" s="3">
        <f>'Vehicle price'!T13</f>
        <v>30</v>
      </c>
      <c r="Y11" s="3">
        <f t="shared" si="11"/>
        <v>30</v>
      </c>
      <c r="Z11">
        <v>1</v>
      </c>
      <c r="AC11">
        <v>2017</v>
      </c>
      <c r="AD11" s="72">
        <v>6.7517999999999994</v>
      </c>
      <c r="AE11">
        <v>0.88206678367895308</v>
      </c>
      <c r="AF11" s="3"/>
    </row>
    <row r="12" spans="1:32">
      <c r="A12">
        <v>2018</v>
      </c>
      <c r="B12" s="3">
        <f t="shared" si="5"/>
        <v>30.592100851060948</v>
      </c>
      <c r="C12" s="3">
        <f t="shared" si="0"/>
        <v>208026.28578721444</v>
      </c>
      <c r="D12" s="3">
        <f t="shared" si="6"/>
        <v>20802.628578721444</v>
      </c>
      <c r="E12">
        <v>16</v>
      </c>
      <c r="F12" s="3">
        <f t="shared" si="7"/>
        <v>33284.205725954307</v>
      </c>
      <c r="G12" s="3">
        <f t="shared" si="8"/>
        <v>262113.12009189022</v>
      </c>
      <c r="H12" s="3">
        <f t="shared" si="1"/>
        <v>-87040</v>
      </c>
      <c r="I12" s="3">
        <f t="shared" si="12"/>
        <v>-1329.8441941741214</v>
      </c>
      <c r="J12" s="3">
        <f>Austria!I12/China!AE12*China!AD12</f>
        <v>11600</v>
      </c>
      <c r="K12" s="3">
        <f t="shared" si="9"/>
        <v>185343.27589771608</v>
      </c>
      <c r="O12">
        <v>2018</v>
      </c>
      <c r="P12" s="3">
        <f t="shared" si="10"/>
        <v>185343.27589771608</v>
      </c>
      <c r="Q12" s="12">
        <f t="shared" si="2"/>
        <v>221383.27589771608</v>
      </c>
      <c r="R12" s="3">
        <f t="shared" si="3"/>
        <v>197064</v>
      </c>
      <c r="T12">
        <v>2018</v>
      </c>
      <c r="U12" s="3">
        <f>'Vehicle price'!X14</f>
        <v>23</v>
      </c>
      <c r="V12">
        <v>1</v>
      </c>
      <c r="W12" s="3">
        <f t="shared" si="4"/>
        <v>30.592100851060948</v>
      </c>
      <c r="X12" s="3">
        <f>'Vehicle price'!T14</f>
        <v>30.592100851060948</v>
      </c>
      <c r="Y12" s="3">
        <f t="shared" si="11"/>
        <v>30.592100851060948</v>
      </c>
      <c r="Z12">
        <v>1</v>
      </c>
      <c r="AC12">
        <v>2018</v>
      </c>
      <c r="AD12" s="14">
        <v>6.8</v>
      </c>
      <c r="AE12" s="14">
        <v>0.85</v>
      </c>
      <c r="AF12" s="3"/>
    </row>
    <row r="13" spans="1:32">
      <c r="A13">
        <v>2019</v>
      </c>
      <c r="B13" s="3">
        <f t="shared" si="5"/>
        <v>31.172994053473918</v>
      </c>
      <c r="C13" s="3">
        <f t="shared" si="0"/>
        <v>211976.35956362262</v>
      </c>
      <c r="D13" s="3">
        <f t="shared" si="6"/>
        <v>21197.635956362265</v>
      </c>
      <c r="E13">
        <v>16</v>
      </c>
      <c r="F13" s="3">
        <f t="shared" ref="F13:F24" si="13">C13*E13/100</f>
        <v>33916.217530179623</v>
      </c>
      <c r="G13" s="3">
        <f t="shared" ref="G13:G24" si="14">C13+D13+F13</f>
        <v>267090.21305016452</v>
      </c>
      <c r="H13" s="3">
        <f t="shared" si="1"/>
        <v>-87040</v>
      </c>
      <c r="I13" s="3">
        <f t="shared" si="12"/>
        <v>-1329.8441941741214</v>
      </c>
      <c r="J13" s="3">
        <f>J12</f>
        <v>11600</v>
      </c>
      <c r="K13" s="3">
        <f t="shared" si="9"/>
        <v>190320.36885599038</v>
      </c>
      <c r="O13">
        <v>2019</v>
      </c>
      <c r="P13" s="3">
        <f t="shared" si="10"/>
        <v>190320.36885599038</v>
      </c>
      <c r="Q13" s="12">
        <f t="shared" si="2"/>
        <v>226360.36885599038</v>
      </c>
      <c r="R13" s="3">
        <f t="shared" si="3"/>
        <v>197064</v>
      </c>
      <c r="T13">
        <v>2019</v>
      </c>
      <c r="U13" s="3">
        <f>'Vehicle price'!X15</f>
        <v>23</v>
      </c>
      <c r="V13" s="20">
        <f>V12+(V24-V12)/12</f>
        <v>1.0249999999999999</v>
      </c>
      <c r="W13" s="3">
        <f t="shared" si="4"/>
        <v>31.952318904810763</v>
      </c>
      <c r="X13" s="3">
        <f>'Vehicle price'!T15</f>
        <v>31.172994053473918</v>
      </c>
      <c r="Y13" s="3">
        <f t="shared" si="11"/>
        <v>30.393669202137069</v>
      </c>
      <c r="Z13" s="20">
        <f>Z12+(Z24-Z12)/12</f>
        <v>0.97499999999999998</v>
      </c>
      <c r="AC13">
        <v>2019</v>
      </c>
      <c r="AD13" s="14">
        <v>6.8</v>
      </c>
      <c r="AE13" s="14">
        <v>0.85</v>
      </c>
      <c r="AF13" s="3"/>
    </row>
    <row r="14" spans="1:32">
      <c r="A14">
        <v>2020</v>
      </c>
      <c r="B14" s="3">
        <f t="shared" si="5"/>
        <v>30.985903123425071</v>
      </c>
      <c r="C14" s="3">
        <f t="shared" si="0"/>
        <v>210704.1412392905</v>
      </c>
      <c r="D14" s="3">
        <f t="shared" si="6"/>
        <v>21070.414123929051</v>
      </c>
      <c r="E14">
        <v>16</v>
      </c>
      <c r="F14" s="3">
        <f t="shared" si="13"/>
        <v>33712.662598286479</v>
      </c>
      <c r="G14" s="3">
        <f t="shared" si="14"/>
        <v>265487.21796150604</v>
      </c>
      <c r="H14" s="3">
        <f t="shared" si="1"/>
        <v>-87040</v>
      </c>
      <c r="I14" s="3">
        <f t="shared" si="12"/>
        <v>-1329.8441941741214</v>
      </c>
      <c r="J14" s="3">
        <f t="shared" si="12"/>
        <v>11600</v>
      </c>
      <c r="K14" s="3">
        <f t="shared" si="9"/>
        <v>188717.37376733191</v>
      </c>
      <c r="O14">
        <v>2020</v>
      </c>
      <c r="P14" s="3">
        <f t="shared" si="10"/>
        <v>188717.37376733191</v>
      </c>
      <c r="Q14" s="12">
        <f t="shared" si="2"/>
        <v>224757.37376733191</v>
      </c>
      <c r="R14" s="3">
        <f t="shared" si="3"/>
        <v>197064</v>
      </c>
      <c r="T14">
        <v>2020</v>
      </c>
      <c r="U14" s="3">
        <f>'Vehicle price'!X16</f>
        <v>23</v>
      </c>
      <c r="V14" s="20">
        <f>V13+(V24-V12)/12</f>
        <v>1.0499999999999998</v>
      </c>
      <c r="W14" s="3">
        <f t="shared" si="4"/>
        <v>32.535198279596322</v>
      </c>
      <c r="X14" s="3">
        <f>'Vehicle price'!T16</f>
        <v>30.985903123425071</v>
      </c>
      <c r="Y14" s="3">
        <f t="shared" si="11"/>
        <v>29.436607967253817</v>
      </c>
      <c r="Z14" s="20">
        <f>Z13+(Z24-Z12)/12</f>
        <v>0.95</v>
      </c>
      <c r="AC14">
        <v>2020</v>
      </c>
      <c r="AD14" s="14">
        <v>6.8</v>
      </c>
      <c r="AE14" s="14">
        <v>0.85</v>
      </c>
      <c r="AF14" s="3"/>
    </row>
    <row r="15" spans="1:32">
      <c r="A15">
        <v>2021</v>
      </c>
      <c r="B15" s="3">
        <f t="shared" si="5"/>
        <v>30.206708843097807</v>
      </c>
      <c r="C15" s="3">
        <f t="shared" si="0"/>
        <v>205405.62013306509</v>
      </c>
      <c r="D15" s="3">
        <f t="shared" si="6"/>
        <v>20540.562013306509</v>
      </c>
      <c r="E15">
        <v>16</v>
      </c>
      <c r="F15" s="3">
        <f t="shared" si="13"/>
        <v>32864.899221290412</v>
      </c>
      <c r="G15" s="3">
        <f t="shared" si="14"/>
        <v>258811.081367662</v>
      </c>
      <c r="H15" s="3">
        <f t="shared" si="1"/>
        <v>-87040</v>
      </c>
      <c r="I15" s="3">
        <f t="shared" si="12"/>
        <v>-1329.8441941741214</v>
      </c>
      <c r="J15" s="3">
        <f t="shared" si="12"/>
        <v>11600</v>
      </c>
      <c r="K15" s="3">
        <f t="shared" si="9"/>
        <v>182041.23717348787</v>
      </c>
      <c r="O15">
        <v>2021</v>
      </c>
      <c r="P15" s="3">
        <f t="shared" si="10"/>
        <v>182041.23717348787</v>
      </c>
      <c r="Q15" s="12">
        <f t="shared" si="2"/>
        <v>218081.23717348787</v>
      </c>
      <c r="R15" s="3">
        <f t="shared" si="3"/>
        <v>197064</v>
      </c>
      <c r="T15">
        <v>2021</v>
      </c>
      <c r="U15" s="3">
        <f>'Vehicle price'!X17</f>
        <v>23</v>
      </c>
      <c r="V15" s="20">
        <f>V14+(V24-V12)/12</f>
        <v>1.0749999999999997</v>
      </c>
      <c r="W15" s="3">
        <f t="shared" si="4"/>
        <v>32.472212006330132</v>
      </c>
      <c r="X15" s="3">
        <f>'Vehicle price'!T17</f>
        <v>30.206708843097807</v>
      </c>
      <c r="Y15" s="3">
        <f t="shared" si="11"/>
        <v>27.941205679865469</v>
      </c>
      <c r="Z15" s="20">
        <f>Z14+(Z24-Z12)/12</f>
        <v>0.92499999999999993</v>
      </c>
      <c r="AC15">
        <v>2021</v>
      </c>
      <c r="AD15" s="14">
        <v>6.8</v>
      </c>
      <c r="AE15" s="14">
        <v>0.85</v>
      </c>
      <c r="AF15" s="3"/>
    </row>
    <row r="16" spans="1:32">
      <c r="A16">
        <v>2022</v>
      </c>
      <c r="B16" s="3">
        <f t="shared" si="5"/>
        <v>30.642454642697771</v>
      </c>
      <c r="C16" s="3">
        <f t="shared" si="0"/>
        <v>208368.69157034485</v>
      </c>
      <c r="D16" s="3">
        <f t="shared" si="6"/>
        <v>20836.869157034485</v>
      </c>
      <c r="E16">
        <v>16</v>
      </c>
      <c r="F16" s="3">
        <f t="shared" si="13"/>
        <v>33338.990651255175</v>
      </c>
      <c r="G16" s="3">
        <f t="shared" si="14"/>
        <v>262544.55137863453</v>
      </c>
      <c r="H16" s="3">
        <f t="shared" si="1"/>
        <v>-87040</v>
      </c>
      <c r="I16" s="3">
        <f t="shared" si="12"/>
        <v>-1329.8441941741214</v>
      </c>
      <c r="J16" s="3">
        <f t="shared" si="12"/>
        <v>11600</v>
      </c>
      <c r="K16" s="3">
        <f t="shared" si="9"/>
        <v>185774.70718446039</v>
      </c>
      <c r="O16">
        <v>2022</v>
      </c>
      <c r="P16" s="3">
        <f t="shared" si="10"/>
        <v>185774.70718446039</v>
      </c>
      <c r="Q16" s="12">
        <f t="shared" si="2"/>
        <v>221814.70718446039</v>
      </c>
      <c r="R16" s="3">
        <f t="shared" si="3"/>
        <v>197064</v>
      </c>
      <c r="T16">
        <v>2022</v>
      </c>
      <c r="U16" s="3">
        <f>'Vehicle price'!X18</f>
        <v>23</v>
      </c>
      <c r="V16" s="20">
        <f>V15+(V24-V12)/12</f>
        <v>1.0999999999999996</v>
      </c>
      <c r="W16" s="3">
        <f t="shared" si="4"/>
        <v>33.706700106967538</v>
      </c>
      <c r="X16" s="3">
        <f>'Vehicle price'!T18</f>
        <v>30.642454642697771</v>
      </c>
      <c r="Y16" s="3">
        <f t="shared" si="11"/>
        <v>27.57820917842799</v>
      </c>
      <c r="Z16" s="20">
        <f>Z15+(Z24-Z12)/12</f>
        <v>0.89999999999999991</v>
      </c>
      <c r="AC16">
        <v>2022</v>
      </c>
      <c r="AD16" s="14">
        <v>6.8</v>
      </c>
      <c r="AE16" s="14">
        <v>0.85</v>
      </c>
      <c r="AF16" s="3"/>
    </row>
    <row r="17" spans="1:42">
      <c r="A17">
        <v>2023</v>
      </c>
      <c r="B17" s="3">
        <f t="shared" si="5"/>
        <v>30.361546257811007</v>
      </c>
      <c r="C17" s="3">
        <f t="shared" si="0"/>
        <v>206458.51455311483</v>
      </c>
      <c r="D17" s="3">
        <f t="shared" si="6"/>
        <v>20645.851455311484</v>
      </c>
      <c r="E17">
        <v>16</v>
      </c>
      <c r="F17" s="3">
        <f t="shared" si="13"/>
        <v>33033.36232849837</v>
      </c>
      <c r="G17" s="3">
        <f t="shared" si="14"/>
        <v>260137.72833692469</v>
      </c>
      <c r="H17" s="3">
        <f t="shared" si="1"/>
        <v>-87040</v>
      </c>
      <c r="I17" s="3">
        <f t="shared" si="12"/>
        <v>-1329.8441941741214</v>
      </c>
      <c r="J17" s="3">
        <f t="shared" si="12"/>
        <v>11600</v>
      </c>
      <c r="K17" s="3">
        <f t="shared" si="9"/>
        <v>183367.88414275055</v>
      </c>
      <c r="O17">
        <v>2023</v>
      </c>
      <c r="P17" s="3">
        <f t="shared" si="10"/>
        <v>183367.88414275055</v>
      </c>
      <c r="Q17" s="12">
        <f t="shared" si="2"/>
        <v>219407.88414275055</v>
      </c>
      <c r="R17" s="3">
        <f t="shared" si="3"/>
        <v>197064</v>
      </c>
      <c r="T17">
        <v>2023</v>
      </c>
      <c r="U17" s="3">
        <f>'Vehicle price'!X19</f>
        <v>23</v>
      </c>
      <c r="V17" s="20">
        <f>V16+(V24-V12)/12</f>
        <v>1.1249999999999996</v>
      </c>
      <c r="W17" s="3">
        <f t="shared" si="4"/>
        <v>34.156739540037371</v>
      </c>
      <c r="X17" s="3">
        <f>'Vehicle price'!T19</f>
        <v>30.361546257811007</v>
      </c>
      <c r="Y17" s="3">
        <f t="shared" si="11"/>
        <v>26.566352975584628</v>
      </c>
      <c r="Z17" s="20">
        <f>Z16+(Z24-Z12)/12</f>
        <v>0.87499999999999989</v>
      </c>
      <c r="AC17">
        <v>2023</v>
      </c>
      <c r="AD17" s="14">
        <v>6.8</v>
      </c>
      <c r="AE17" s="14">
        <v>0.85</v>
      </c>
      <c r="AF17" s="3"/>
    </row>
    <row r="18" spans="1:42">
      <c r="A18">
        <v>2024</v>
      </c>
      <c r="B18" s="3">
        <f t="shared" si="5"/>
        <v>29.275640447464834</v>
      </c>
      <c r="C18" s="3">
        <f t="shared" si="0"/>
        <v>199074.35504276084</v>
      </c>
      <c r="D18" s="3">
        <f t="shared" si="6"/>
        <v>19907.435504276087</v>
      </c>
      <c r="E18">
        <v>16</v>
      </c>
      <c r="F18" s="3">
        <f t="shared" si="13"/>
        <v>31851.896806841734</v>
      </c>
      <c r="G18" s="3">
        <f t="shared" si="14"/>
        <v>250833.68735387866</v>
      </c>
      <c r="H18" s="3">
        <f t="shared" si="1"/>
        <v>-87040</v>
      </c>
      <c r="I18" s="3">
        <f t="shared" si="12"/>
        <v>-1329.8441941741214</v>
      </c>
      <c r="J18" s="3">
        <f t="shared" si="12"/>
        <v>11600</v>
      </c>
      <c r="K18" s="3">
        <f t="shared" si="9"/>
        <v>174063.84315970453</v>
      </c>
      <c r="O18">
        <v>2024</v>
      </c>
      <c r="P18" s="3">
        <f t="shared" si="10"/>
        <v>174063.84315970453</v>
      </c>
      <c r="Q18" s="12">
        <f t="shared" si="2"/>
        <v>210103.84315970453</v>
      </c>
      <c r="R18" s="3">
        <f t="shared" si="3"/>
        <v>197064</v>
      </c>
      <c r="T18">
        <v>2024</v>
      </c>
      <c r="U18" s="3">
        <f>'Vehicle price'!X20</f>
        <v>23</v>
      </c>
      <c r="V18" s="20">
        <f>V17+(V24-V12)/12</f>
        <v>1.1499999999999995</v>
      </c>
      <c r="W18" s="3">
        <f t="shared" si="4"/>
        <v>33.666986514584543</v>
      </c>
      <c r="X18" s="3">
        <f>'Vehicle price'!T20</f>
        <v>29.275640447464834</v>
      </c>
      <c r="Y18" s="3">
        <f t="shared" si="11"/>
        <v>24.884294380345104</v>
      </c>
      <c r="Z18" s="20">
        <f>Z17+(Z24-Z12)/12</f>
        <v>0.84999999999999987</v>
      </c>
      <c r="AC18">
        <v>2024</v>
      </c>
      <c r="AD18" s="14">
        <v>6.8</v>
      </c>
      <c r="AE18" s="14">
        <v>0.85</v>
      </c>
      <c r="AF18" s="3"/>
    </row>
    <row r="19" spans="1:42">
      <c r="A19">
        <v>2025</v>
      </c>
      <c r="B19" s="3">
        <f t="shared" si="5"/>
        <v>28.343375828936317</v>
      </c>
      <c r="C19" s="3">
        <f t="shared" si="0"/>
        <v>192734.95563676694</v>
      </c>
      <c r="D19" s="3">
        <f t="shared" si="6"/>
        <v>19273.495563676694</v>
      </c>
      <c r="E19">
        <v>16</v>
      </c>
      <c r="F19" s="3">
        <f t="shared" si="13"/>
        <v>30837.592901882712</v>
      </c>
      <c r="G19" s="3">
        <f t="shared" si="14"/>
        <v>242846.04410232636</v>
      </c>
      <c r="H19" s="3">
        <f t="shared" si="1"/>
        <v>-87040</v>
      </c>
      <c r="I19" s="3">
        <f t="shared" si="12"/>
        <v>-1329.8441941741214</v>
      </c>
      <c r="J19" s="3">
        <f t="shared" si="12"/>
        <v>11600</v>
      </c>
      <c r="K19" s="3">
        <f t="shared" si="9"/>
        <v>166076.19990815222</v>
      </c>
      <c r="O19">
        <v>2025</v>
      </c>
      <c r="P19" s="3">
        <f t="shared" si="10"/>
        <v>166076.19990815222</v>
      </c>
      <c r="Q19" s="12">
        <f t="shared" si="2"/>
        <v>202116.19990815222</v>
      </c>
      <c r="R19" s="3">
        <f t="shared" si="3"/>
        <v>197064</v>
      </c>
      <c r="T19">
        <v>2025</v>
      </c>
      <c r="U19" s="3">
        <f>'Vehicle price'!X21</f>
        <v>23</v>
      </c>
      <c r="V19" s="20">
        <f>V18+(V24-V12)/12</f>
        <v>1.1749999999999994</v>
      </c>
      <c r="W19" s="3">
        <f t="shared" si="4"/>
        <v>33.303466599000153</v>
      </c>
      <c r="X19" s="3">
        <f>'Vehicle price'!T21</f>
        <v>28.343375828936317</v>
      </c>
      <c r="Y19" s="3">
        <f t="shared" si="11"/>
        <v>23.383285058872456</v>
      </c>
      <c r="Z19" s="20">
        <f>Z18+(Z24-Z12)/12</f>
        <v>0.82499999999999984</v>
      </c>
      <c r="AC19">
        <v>2025</v>
      </c>
      <c r="AD19" s="14">
        <v>6.8</v>
      </c>
      <c r="AE19" s="14">
        <v>0.85</v>
      </c>
      <c r="AF19" s="3"/>
    </row>
    <row r="20" spans="1:42">
      <c r="A20">
        <v>2026</v>
      </c>
      <c r="B20" s="3">
        <f t="shared" si="5"/>
        <v>27.812270474504896</v>
      </c>
      <c r="C20" s="3">
        <f t="shared" si="0"/>
        <v>189123.43922663329</v>
      </c>
      <c r="D20" s="3">
        <f t="shared" si="6"/>
        <v>18912.343922663331</v>
      </c>
      <c r="E20">
        <v>16</v>
      </c>
      <c r="F20" s="3">
        <f t="shared" si="13"/>
        <v>30259.750276261326</v>
      </c>
      <c r="G20" s="3">
        <f t="shared" si="14"/>
        <v>238295.53342555795</v>
      </c>
      <c r="H20" s="3">
        <f t="shared" si="1"/>
        <v>-87040</v>
      </c>
      <c r="I20" s="3">
        <f t="shared" si="12"/>
        <v>-1329.8441941741214</v>
      </c>
      <c r="J20" s="3">
        <f t="shared" si="12"/>
        <v>11600</v>
      </c>
      <c r="K20" s="3">
        <f t="shared" si="9"/>
        <v>161525.68923138382</v>
      </c>
      <c r="O20">
        <v>2026</v>
      </c>
      <c r="P20" s="3">
        <f t="shared" si="10"/>
        <v>161525.68923138382</v>
      </c>
      <c r="Q20" s="12">
        <f t="shared" si="2"/>
        <v>197565.68923138382</v>
      </c>
      <c r="R20" s="3">
        <f t="shared" si="3"/>
        <v>197064</v>
      </c>
      <c r="T20">
        <v>2026</v>
      </c>
      <c r="U20" s="3">
        <f>'Vehicle price'!X22</f>
        <v>23</v>
      </c>
      <c r="V20" s="20">
        <f>V19+(V24-V12)/12</f>
        <v>1.1999999999999993</v>
      </c>
      <c r="W20" s="3">
        <f t="shared" si="4"/>
        <v>33.374724569405856</v>
      </c>
      <c r="X20" s="3">
        <f>'Vehicle price'!T22</f>
        <v>27.812270474504896</v>
      </c>
      <c r="Y20" s="3">
        <f t="shared" si="11"/>
        <v>22.24981637960391</v>
      </c>
      <c r="Z20" s="20">
        <f>Z19+(Z24-Z12)/12</f>
        <v>0.79999999999999982</v>
      </c>
      <c r="AC20">
        <v>2026</v>
      </c>
      <c r="AD20" s="14">
        <v>6.8</v>
      </c>
      <c r="AE20" s="14">
        <v>0.85</v>
      </c>
      <c r="AF20" s="3"/>
    </row>
    <row r="21" spans="1:42">
      <c r="A21">
        <v>2027</v>
      </c>
      <c r="B21" s="3">
        <f t="shared" si="5"/>
        <v>27.281165120073478</v>
      </c>
      <c r="C21" s="3">
        <f t="shared" si="0"/>
        <v>185511.92281649963</v>
      </c>
      <c r="D21" s="3">
        <f t="shared" si="6"/>
        <v>18551.192281649965</v>
      </c>
      <c r="E21">
        <v>16</v>
      </c>
      <c r="F21" s="3">
        <f t="shared" si="13"/>
        <v>29681.90765063994</v>
      </c>
      <c r="G21" s="3">
        <f t="shared" si="14"/>
        <v>233745.02274878955</v>
      </c>
      <c r="H21" s="3">
        <f t="shared" si="1"/>
        <v>-87040</v>
      </c>
      <c r="I21" s="3">
        <f t="shared" si="12"/>
        <v>-1329.8441941741214</v>
      </c>
      <c r="J21" s="3">
        <f t="shared" si="12"/>
        <v>11600</v>
      </c>
      <c r="K21" s="3">
        <f t="shared" si="9"/>
        <v>156975.17855461541</v>
      </c>
      <c r="O21">
        <v>2027</v>
      </c>
      <c r="P21" s="3">
        <f t="shared" si="10"/>
        <v>156975.17855461541</v>
      </c>
      <c r="Q21" s="12">
        <f t="shared" si="2"/>
        <v>193015.17855461541</v>
      </c>
      <c r="R21" s="3">
        <f t="shared" si="3"/>
        <v>197064</v>
      </c>
      <c r="T21">
        <v>2027</v>
      </c>
      <c r="U21" s="3">
        <f>'Vehicle price'!X23</f>
        <v>23</v>
      </c>
      <c r="V21" s="20">
        <f>V20+(V24-V12)/12</f>
        <v>1.2249999999999992</v>
      </c>
      <c r="W21" s="3">
        <f t="shared" si="4"/>
        <v>33.41942727208999</v>
      </c>
      <c r="X21" s="3">
        <f>'Vehicle price'!T23</f>
        <v>27.281165120073478</v>
      </c>
      <c r="Y21" s="3">
        <f t="shared" si="11"/>
        <v>21.142902968056941</v>
      </c>
      <c r="Z21" s="20">
        <f>Z20+(Z24-Z12)/12</f>
        <v>0.7749999999999998</v>
      </c>
      <c r="AC21">
        <v>2027</v>
      </c>
      <c r="AD21" s="14">
        <v>6.8</v>
      </c>
      <c r="AE21" s="14">
        <v>0.85</v>
      </c>
      <c r="AF21" s="3"/>
    </row>
    <row r="22" spans="1:42">
      <c r="A22">
        <v>2028</v>
      </c>
      <c r="B22" s="3">
        <f t="shared" si="5"/>
        <v>26.683671596338133</v>
      </c>
      <c r="C22" s="3">
        <f t="shared" si="0"/>
        <v>181448.96685509928</v>
      </c>
      <c r="D22" s="3">
        <f t="shared" si="6"/>
        <v>18144.896685509928</v>
      </c>
      <c r="E22">
        <v>16</v>
      </c>
      <c r="F22" s="3">
        <f t="shared" si="13"/>
        <v>29031.834696815884</v>
      </c>
      <c r="G22" s="3">
        <f t="shared" si="14"/>
        <v>228625.69823742507</v>
      </c>
      <c r="H22" s="3">
        <f t="shared" si="1"/>
        <v>-87040</v>
      </c>
      <c r="I22" s="3">
        <f t="shared" si="12"/>
        <v>-1329.8441941741214</v>
      </c>
      <c r="J22" s="3">
        <f t="shared" si="12"/>
        <v>11600</v>
      </c>
      <c r="K22" s="3">
        <f t="shared" si="9"/>
        <v>151855.85404325093</v>
      </c>
      <c r="O22">
        <v>2028</v>
      </c>
      <c r="P22" s="3">
        <f t="shared" si="10"/>
        <v>151855.85404325093</v>
      </c>
      <c r="Q22" s="12">
        <f t="shared" si="2"/>
        <v>187895.85404325093</v>
      </c>
      <c r="R22" s="3">
        <f t="shared" si="3"/>
        <v>197064</v>
      </c>
      <c r="T22">
        <v>2028</v>
      </c>
      <c r="U22" s="3">
        <f>'Vehicle price'!X24</f>
        <v>23</v>
      </c>
      <c r="V22" s="20">
        <f>V21+(V24-V12)/12</f>
        <v>1.2499999999999991</v>
      </c>
      <c r="W22" s="3">
        <f t="shared" si="4"/>
        <v>33.354589495422644</v>
      </c>
      <c r="X22" s="3">
        <f>'Vehicle price'!T24</f>
        <v>26.683671596338133</v>
      </c>
      <c r="Y22" s="3">
        <f t="shared" si="11"/>
        <v>20.012753697253594</v>
      </c>
      <c r="Z22" s="20">
        <f>Z21+(Z24-Z12)/12</f>
        <v>0.74999999999999978</v>
      </c>
      <c r="AC22">
        <v>2028</v>
      </c>
      <c r="AD22" s="14">
        <v>6.8</v>
      </c>
      <c r="AE22" s="14">
        <v>0.85</v>
      </c>
      <c r="AF22" s="3"/>
    </row>
    <row r="23" spans="1:42">
      <c r="A23">
        <v>2029</v>
      </c>
      <c r="B23" s="3">
        <f t="shared" si="5"/>
        <v>26.152566241906715</v>
      </c>
      <c r="C23" s="3">
        <f t="shared" si="0"/>
        <v>177837.45044496568</v>
      </c>
      <c r="D23" s="3">
        <f t="shared" si="6"/>
        <v>17783.745044496569</v>
      </c>
      <c r="E23">
        <v>16</v>
      </c>
      <c r="F23" s="3">
        <f t="shared" si="13"/>
        <v>28453.992071194509</v>
      </c>
      <c r="G23" s="3">
        <f t="shared" si="14"/>
        <v>224075.18756065678</v>
      </c>
      <c r="H23" s="3">
        <f t="shared" si="1"/>
        <v>-87040</v>
      </c>
      <c r="I23" s="3">
        <f t="shared" si="12"/>
        <v>-1329.8441941741214</v>
      </c>
      <c r="J23" s="3">
        <f t="shared" si="12"/>
        <v>11600</v>
      </c>
      <c r="K23" s="3">
        <f t="shared" si="9"/>
        <v>147305.34336648264</v>
      </c>
      <c r="O23">
        <v>2029</v>
      </c>
      <c r="P23" s="3">
        <f t="shared" si="10"/>
        <v>147305.34336648264</v>
      </c>
      <c r="Q23" s="12">
        <f t="shared" si="2"/>
        <v>183345.34336648264</v>
      </c>
      <c r="R23" s="3">
        <f t="shared" si="3"/>
        <v>197064</v>
      </c>
      <c r="T23">
        <v>2029</v>
      </c>
      <c r="U23" s="3">
        <f>'Vehicle price'!X25</f>
        <v>23</v>
      </c>
      <c r="V23" s="20">
        <f>V22+(V24-V12)/12</f>
        <v>1.274999999999999</v>
      </c>
      <c r="W23" s="3">
        <f t="shared" si="4"/>
        <v>33.344521958431038</v>
      </c>
      <c r="X23" s="3">
        <f>'Vehicle price'!T25</f>
        <v>26.152566241906715</v>
      </c>
      <c r="Y23" s="3">
        <f t="shared" si="11"/>
        <v>18.960610525382361</v>
      </c>
      <c r="Z23" s="20">
        <f>Z22+(Z24-Z12)/12</f>
        <v>0.72499999999999976</v>
      </c>
      <c r="AC23">
        <v>2029</v>
      </c>
      <c r="AD23" s="14">
        <v>6.8</v>
      </c>
      <c r="AE23" s="14">
        <v>0.85</v>
      </c>
      <c r="AF23" s="3"/>
    </row>
    <row r="24" spans="1:42">
      <c r="A24">
        <v>2030</v>
      </c>
      <c r="B24" s="3">
        <f t="shared" si="5"/>
        <v>25.55507271817137</v>
      </c>
      <c r="C24" s="3">
        <f t="shared" si="0"/>
        <v>173774.49448356533</v>
      </c>
      <c r="D24" s="3">
        <f t="shared" si="6"/>
        <v>17377.449448356532</v>
      </c>
      <c r="E24">
        <v>16</v>
      </c>
      <c r="F24" s="3">
        <f t="shared" si="13"/>
        <v>27803.919117370453</v>
      </c>
      <c r="G24" s="3">
        <f t="shared" si="14"/>
        <v>218955.8630492923</v>
      </c>
      <c r="H24" s="3">
        <f t="shared" si="1"/>
        <v>-87040</v>
      </c>
      <c r="I24" s="3">
        <f t="shared" si="12"/>
        <v>-1329.8441941741214</v>
      </c>
      <c r="J24" s="3">
        <f t="shared" si="12"/>
        <v>11600</v>
      </c>
      <c r="K24" s="3">
        <f t="shared" si="9"/>
        <v>142186.01885511819</v>
      </c>
      <c r="O24">
        <v>2030</v>
      </c>
      <c r="P24" s="3">
        <f t="shared" si="10"/>
        <v>142186.01885511819</v>
      </c>
      <c r="Q24" s="12">
        <f t="shared" si="2"/>
        <v>178226.01885511816</v>
      </c>
      <c r="R24" s="3">
        <f t="shared" si="3"/>
        <v>197064</v>
      </c>
      <c r="T24">
        <v>2030</v>
      </c>
      <c r="U24" s="3">
        <f>'Vehicle price'!X26</f>
        <v>23</v>
      </c>
      <c r="V24">
        <v>1.3</v>
      </c>
      <c r="W24" s="3">
        <f t="shared" si="4"/>
        <v>33.221594533622785</v>
      </c>
      <c r="X24" s="3">
        <f>'Vehicle price'!T26</f>
        <v>25.55507271817137</v>
      </c>
      <c r="Y24" s="3">
        <f t="shared" si="11"/>
        <v>17.88855090271996</v>
      </c>
      <c r="Z24">
        <v>0.7</v>
      </c>
      <c r="AC24">
        <v>2030</v>
      </c>
      <c r="AD24" s="14">
        <v>6.8</v>
      </c>
      <c r="AE24" s="14">
        <v>0.85</v>
      </c>
      <c r="AF24" s="3"/>
      <c r="AI24" t="s">
        <v>1287</v>
      </c>
      <c r="AL24" t="s">
        <v>1288</v>
      </c>
    </row>
    <row r="25" spans="1:42">
      <c r="AI25" t="s">
        <v>5</v>
      </c>
      <c r="AJ25" t="s">
        <v>324</v>
      </c>
      <c r="AL25" t="s">
        <v>5</v>
      </c>
      <c r="AM25" t="s">
        <v>324</v>
      </c>
    </row>
    <row r="26" spans="1:42">
      <c r="A26" t="s">
        <v>324</v>
      </c>
      <c r="B26" t="s">
        <v>1395</v>
      </c>
      <c r="C26" t="s">
        <v>846</v>
      </c>
      <c r="D26" t="s">
        <v>846</v>
      </c>
      <c r="E26" t="s">
        <v>498</v>
      </c>
      <c r="F26" t="s">
        <v>846</v>
      </c>
      <c r="G26" t="s">
        <v>846</v>
      </c>
      <c r="H26" t="s">
        <v>846</v>
      </c>
      <c r="I26" t="s">
        <v>846</v>
      </c>
      <c r="J26" t="s">
        <v>846</v>
      </c>
      <c r="K26" t="s">
        <v>846</v>
      </c>
      <c r="AI26" t="s">
        <v>844</v>
      </c>
      <c r="AJ26" t="s">
        <v>844</v>
      </c>
      <c r="AL26" t="s">
        <v>270</v>
      </c>
      <c r="AM26" t="s">
        <v>270</v>
      </c>
      <c r="AO26" t="s">
        <v>844</v>
      </c>
      <c r="AP26" t="s">
        <v>270</v>
      </c>
    </row>
    <row r="27" spans="1:42">
      <c r="B27" t="s">
        <v>711</v>
      </c>
      <c r="C27" t="s">
        <v>710</v>
      </c>
      <c r="D27" t="s">
        <v>749</v>
      </c>
      <c r="E27" t="s">
        <v>714</v>
      </c>
      <c r="F27" t="s">
        <v>728</v>
      </c>
      <c r="G27" t="s">
        <v>717</v>
      </c>
      <c r="H27" t="s">
        <v>713</v>
      </c>
      <c r="I27" t="s">
        <v>842</v>
      </c>
      <c r="J27" t="s">
        <v>755</v>
      </c>
      <c r="K27" t="s">
        <v>717</v>
      </c>
      <c r="AI27" t="s">
        <v>843</v>
      </c>
      <c r="AJ27" t="s">
        <v>843</v>
      </c>
      <c r="AK27" t="s">
        <v>21</v>
      </c>
      <c r="AL27" t="s">
        <v>843</v>
      </c>
      <c r="AM27" t="s">
        <v>843</v>
      </c>
      <c r="AO27" t="s">
        <v>845</v>
      </c>
      <c r="AP27" t="s">
        <v>845</v>
      </c>
    </row>
    <row r="28" spans="1:42">
      <c r="A28">
        <v>2009</v>
      </c>
      <c r="B28" s="3">
        <f t="shared" ref="B28:B49" si="15">B3</f>
        <v>29.592572886961211</v>
      </c>
      <c r="C28" s="3">
        <f t="shared" ref="C28:C49" si="16">B28*AD3*1000</f>
        <v>202146.86539083204</v>
      </c>
      <c r="D28" s="3">
        <f>C28*0.1</f>
        <v>20214.686539083206</v>
      </c>
      <c r="E28">
        <v>17</v>
      </c>
      <c r="F28" s="3">
        <f>C28*E28/100</f>
        <v>34364.967116441447</v>
      </c>
      <c r="G28" s="3">
        <f>C28+D28+F28</f>
        <v>256726.51904635667</v>
      </c>
      <c r="H28" s="3">
        <f t="shared" ref="H28:H49" si="17">-AM28*AD3</f>
        <v>-58547.433945221062</v>
      </c>
      <c r="I28" s="3">
        <f t="shared" ref="I28:J37" si="18">I3</f>
        <v>-1329.8441941741214</v>
      </c>
      <c r="J28" s="3">
        <f t="shared" si="18"/>
        <v>13759.853116357359</v>
      </c>
      <c r="K28" s="3">
        <f>G28+H28+I28+J28</f>
        <v>210609.09402331882</v>
      </c>
      <c r="AH28">
        <v>2009</v>
      </c>
      <c r="AI28">
        <v>9000</v>
      </c>
      <c r="AJ28">
        <v>7500</v>
      </c>
      <c r="AK28" s="13">
        <f>CPIs!W48</f>
        <v>98.380597588110902</v>
      </c>
      <c r="AL28" s="3">
        <f t="shared" ref="AL28:AL36" si="19">AI28*AK$36/AK28</f>
        <v>10285.012550763471</v>
      </c>
      <c r="AM28" s="3">
        <f t="shared" ref="AM28:AM36" si="20">AJ28*AK$36/AK28</f>
        <v>8570.8437923028923</v>
      </c>
    </row>
    <row r="29" spans="1:42">
      <c r="A29">
        <v>2010</v>
      </c>
      <c r="B29" s="3">
        <f t="shared" si="15"/>
        <v>30</v>
      </c>
      <c r="C29" s="3">
        <f t="shared" si="16"/>
        <v>203085.00000000003</v>
      </c>
      <c r="D29" s="3">
        <f t="shared" ref="D29:D49" si="21">C29*0.1</f>
        <v>20308.500000000004</v>
      </c>
      <c r="E29">
        <v>17</v>
      </c>
      <c r="F29" s="3">
        <f t="shared" ref="F29:F37" si="22">C29*E29/100</f>
        <v>34524.450000000004</v>
      </c>
      <c r="G29" s="3">
        <f t="shared" ref="G29:G37" si="23">C29+D29+F29</f>
        <v>257917.95000000004</v>
      </c>
      <c r="H29" s="3">
        <f t="shared" si="17"/>
        <v>-57080.745326897879</v>
      </c>
      <c r="I29" s="3">
        <f t="shared" si="18"/>
        <v>-1329.8441941741214</v>
      </c>
      <c r="J29" s="3">
        <f t="shared" si="18"/>
        <v>12938.113114612192</v>
      </c>
      <c r="K29" s="3">
        <f t="shared" ref="K29:K49" si="24">G29+H29+I29+J29</f>
        <v>212445.4735935402</v>
      </c>
      <c r="AH29">
        <v>2010</v>
      </c>
      <c r="AI29">
        <v>9000</v>
      </c>
      <c r="AJ29">
        <v>7500</v>
      </c>
      <c r="AK29" s="13">
        <f>CPIs!W49</f>
        <v>99.999998509883881</v>
      </c>
      <c r="AL29" s="3">
        <f t="shared" si="19"/>
        <v>10118.456960230069</v>
      </c>
      <c r="AM29" s="3">
        <f t="shared" si="20"/>
        <v>8432.0474668583902</v>
      </c>
    </row>
    <row r="30" spans="1:42">
      <c r="A30">
        <v>2011</v>
      </c>
      <c r="B30" s="3">
        <f t="shared" si="15"/>
        <v>30</v>
      </c>
      <c r="C30" s="3">
        <f t="shared" si="16"/>
        <v>193764</v>
      </c>
      <c r="D30" s="3">
        <f t="shared" si="21"/>
        <v>19376.400000000001</v>
      </c>
      <c r="E30">
        <v>17</v>
      </c>
      <c r="F30" s="3">
        <f t="shared" si="22"/>
        <v>32939.879999999997</v>
      </c>
      <c r="G30" s="3">
        <f t="shared" si="23"/>
        <v>246080.28</v>
      </c>
      <c r="H30" s="3">
        <f t="shared" si="17"/>
        <v>-52806.628324414189</v>
      </c>
      <c r="I30" s="3">
        <f t="shared" si="18"/>
        <v>-1329.8441941741214</v>
      </c>
      <c r="J30" s="3">
        <f t="shared" si="18"/>
        <v>13090.190095248756</v>
      </c>
      <c r="K30" s="3">
        <f t="shared" si="24"/>
        <v>205033.99757666042</v>
      </c>
      <c r="AH30">
        <v>2011</v>
      </c>
      <c r="AI30">
        <v>9000</v>
      </c>
      <c r="AJ30">
        <v>7500</v>
      </c>
      <c r="AK30" s="13">
        <f>CPIs!W50</f>
        <v>103.13271097869961</v>
      </c>
      <c r="AL30" s="3">
        <f t="shared" si="19"/>
        <v>9811.1032992656565</v>
      </c>
      <c r="AM30" s="3">
        <f t="shared" si="20"/>
        <v>8175.919416054714</v>
      </c>
    </row>
    <row r="31" spans="1:42">
      <c r="A31">
        <v>2012</v>
      </c>
      <c r="B31" s="3">
        <f t="shared" si="15"/>
        <v>30.842462459493706</v>
      </c>
      <c r="C31" s="3">
        <f t="shared" si="16"/>
        <v>194693.04427555404</v>
      </c>
      <c r="D31" s="3">
        <f t="shared" si="21"/>
        <v>19469.304427555406</v>
      </c>
      <c r="E31">
        <v>17</v>
      </c>
      <c r="F31" s="3">
        <f t="shared" si="22"/>
        <v>33097.817526844185</v>
      </c>
      <c r="G31" s="3">
        <f t="shared" si="23"/>
        <v>247260.16622995364</v>
      </c>
      <c r="H31" s="3">
        <f t="shared" si="17"/>
        <v>-50591.135095491547</v>
      </c>
      <c r="I31" s="3">
        <f t="shared" si="18"/>
        <v>-1329.8441941741214</v>
      </c>
      <c r="J31" s="3">
        <f t="shared" si="18"/>
        <v>11827.279420907027</v>
      </c>
      <c r="K31" s="3">
        <f t="shared" si="24"/>
        <v>207166.46636119499</v>
      </c>
      <c r="AH31">
        <v>2012</v>
      </c>
      <c r="AI31">
        <v>9000</v>
      </c>
      <c r="AJ31">
        <v>7500</v>
      </c>
      <c r="AK31" s="13">
        <f>CPIs!W51</f>
        <v>105.21072267093371</v>
      </c>
      <c r="AL31" s="3">
        <f t="shared" si="19"/>
        <v>9617.3246914201754</v>
      </c>
      <c r="AM31" s="3">
        <f t="shared" si="20"/>
        <v>8014.4372428501456</v>
      </c>
    </row>
    <row r="32" spans="1:42">
      <c r="A32">
        <v>2013</v>
      </c>
      <c r="B32" s="3">
        <f t="shared" si="15"/>
        <v>31.143929334439989</v>
      </c>
      <c r="C32" s="3">
        <f t="shared" si="16"/>
        <v>192880.58315405378</v>
      </c>
      <c r="D32" s="3">
        <f t="shared" si="21"/>
        <v>19288.058315405378</v>
      </c>
      <c r="E32">
        <v>17</v>
      </c>
      <c r="F32" s="3">
        <f t="shared" si="22"/>
        <v>32789.699136189141</v>
      </c>
      <c r="G32" s="3">
        <f t="shared" si="23"/>
        <v>244958.34060564829</v>
      </c>
      <c r="H32" s="3">
        <f t="shared" si="17"/>
        <v>-48943.292823372496</v>
      </c>
      <c r="I32" s="3">
        <f t="shared" si="18"/>
        <v>-1329.8441941741214</v>
      </c>
      <c r="J32" s="3">
        <f t="shared" si="18"/>
        <v>11946.937834311055</v>
      </c>
      <c r="K32" s="3">
        <f t="shared" si="24"/>
        <v>206632.14142241271</v>
      </c>
      <c r="AH32">
        <v>2013</v>
      </c>
      <c r="AI32">
        <f>9800+3000</f>
        <v>12800</v>
      </c>
      <c r="AJ32">
        <v>7500</v>
      </c>
      <c r="AK32" s="13">
        <f>CPIs!W52</f>
        <v>106.69767516878358</v>
      </c>
      <c r="AL32" s="3">
        <f t="shared" si="19"/>
        <v>13487.354908376235</v>
      </c>
      <c r="AM32" s="3">
        <f t="shared" si="20"/>
        <v>7902.7470166267012</v>
      </c>
    </row>
    <row r="33" spans="1:42">
      <c r="A33">
        <v>2014</v>
      </c>
      <c r="B33" s="3">
        <f t="shared" si="15"/>
        <v>33.541755956678692</v>
      </c>
      <c r="C33" s="3">
        <f t="shared" si="16"/>
        <v>206040.29849068585</v>
      </c>
      <c r="D33" s="3">
        <f t="shared" si="21"/>
        <v>20604.029849068585</v>
      </c>
      <c r="E33">
        <v>17</v>
      </c>
      <c r="F33" s="3">
        <f t="shared" si="22"/>
        <v>35026.850743416595</v>
      </c>
      <c r="G33" s="3">
        <f t="shared" si="23"/>
        <v>261671.17908317101</v>
      </c>
      <c r="H33" s="3">
        <f t="shared" si="17"/>
        <v>-47757.037354917862</v>
      </c>
      <c r="I33" s="3">
        <f t="shared" si="18"/>
        <v>-1329.8441941741214</v>
      </c>
      <c r="J33" s="3">
        <f t="shared" si="18"/>
        <v>11760.236366529183</v>
      </c>
      <c r="K33" s="3">
        <f t="shared" si="24"/>
        <v>224344.53390060822</v>
      </c>
      <c r="AH33">
        <v>2014</v>
      </c>
      <c r="AI33">
        <f>9800+3000</f>
        <v>12800</v>
      </c>
      <c r="AJ33">
        <v>7500</v>
      </c>
      <c r="AK33" s="13">
        <f>CPIs!W53</f>
        <v>108.45811062912946</v>
      </c>
      <c r="AL33" s="3">
        <f t="shared" si="19"/>
        <v>13268.435200949591</v>
      </c>
      <c r="AM33" s="3">
        <f t="shared" si="20"/>
        <v>7774.4737505564017</v>
      </c>
      <c r="AO33" s="3">
        <f>325/0.76</f>
        <v>427.63157894736844</v>
      </c>
      <c r="AP33" s="3">
        <f>AO33*AK36/AK33</f>
        <v>443.28139805804045</v>
      </c>
    </row>
    <row r="34" spans="1:42">
      <c r="A34">
        <v>2015</v>
      </c>
      <c r="B34" s="3">
        <f t="shared" si="15"/>
        <v>30</v>
      </c>
      <c r="C34" s="3">
        <f t="shared" si="16"/>
        <v>186852.00000000003</v>
      </c>
      <c r="D34" s="3">
        <f t="shared" si="21"/>
        <v>18685.200000000004</v>
      </c>
      <c r="E34">
        <v>17</v>
      </c>
      <c r="F34" s="3">
        <f t="shared" si="22"/>
        <v>31764.840000000004</v>
      </c>
      <c r="G34" s="3">
        <f t="shared" si="23"/>
        <v>237302.04000000004</v>
      </c>
      <c r="H34" s="3">
        <f t="shared" si="17"/>
        <v>-48317.724436914912</v>
      </c>
      <c r="I34" s="3">
        <f t="shared" si="18"/>
        <v>-1329.8441941741214</v>
      </c>
      <c r="J34" s="3">
        <f t="shared" si="18"/>
        <v>9969.0089098101089</v>
      </c>
      <c r="K34" s="3">
        <f t="shared" si="24"/>
        <v>197623.48027872111</v>
      </c>
      <c r="AH34">
        <v>2015</v>
      </c>
      <c r="AI34">
        <f>9800+3000</f>
        <v>12800</v>
      </c>
      <c r="AJ34">
        <v>7500</v>
      </c>
      <c r="AK34" s="13">
        <f>CPIs!W54</f>
        <v>108.69337137051741</v>
      </c>
      <c r="AL34" s="3">
        <f t="shared" si="19"/>
        <v>13239.716412829637</v>
      </c>
      <c r="AM34" s="3">
        <f t="shared" si="20"/>
        <v>7757.6463356423656</v>
      </c>
      <c r="AP34" t="s">
        <v>139</v>
      </c>
    </row>
    <row r="35" spans="1:42">
      <c r="A35">
        <v>2016</v>
      </c>
      <c r="B35" s="3">
        <f t="shared" si="15"/>
        <v>30</v>
      </c>
      <c r="C35" s="3">
        <f t="shared" si="16"/>
        <v>199269</v>
      </c>
      <c r="D35" s="3">
        <f t="shared" si="21"/>
        <v>19926.900000000001</v>
      </c>
      <c r="E35">
        <v>17</v>
      </c>
      <c r="F35" s="3">
        <f t="shared" si="22"/>
        <v>33875.730000000003</v>
      </c>
      <c r="G35" s="3">
        <f t="shared" si="23"/>
        <v>253071.63</v>
      </c>
      <c r="H35" s="3">
        <f t="shared" si="17"/>
        <v>-50878.357425000002</v>
      </c>
      <c r="I35" s="3">
        <f t="shared" si="18"/>
        <v>-1329.8441941741214</v>
      </c>
      <c r="J35" s="3">
        <f t="shared" si="18"/>
        <v>10621.853925268884</v>
      </c>
      <c r="K35" s="3">
        <f t="shared" si="24"/>
        <v>211485.28230609477</v>
      </c>
      <c r="AH35">
        <v>2016</v>
      </c>
      <c r="AI35">
        <f>9800+3000</f>
        <v>12800</v>
      </c>
      <c r="AJ35">
        <v>7500</v>
      </c>
      <c r="AK35" s="13">
        <f>CPIs!W55</f>
        <v>110.08253978538585</v>
      </c>
      <c r="AL35" s="3">
        <f t="shared" si="19"/>
        <v>13072.64</v>
      </c>
      <c r="AM35" s="3">
        <f t="shared" si="20"/>
        <v>7659.75</v>
      </c>
    </row>
    <row r="36" spans="1:42">
      <c r="A36">
        <v>2017</v>
      </c>
      <c r="B36" s="3">
        <f t="shared" si="15"/>
        <v>30</v>
      </c>
      <c r="C36" s="3">
        <f t="shared" si="16"/>
        <v>202553.99999999997</v>
      </c>
      <c r="D36" s="3">
        <f t="shared" si="21"/>
        <v>20255.399999999998</v>
      </c>
      <c r="E36">
        <v>17</v>
      </c>
      <c r="F36" s="3">
        <f t="shared" si="22"/>
        <v>34434.179999999993</v>
      </c>
      <c r="G36" s="3">
        <f t="shared" si="23"/>
        <v>257243.57999999996</v>
      </c>
      <c r="H36" s="3">
        <f t="shared" si="17"/>
        <v>-50638.499999999993</v>
      </c>
      <c r="I36" s="3">
        <f t="shared" si="18"/>
        <v>-1329.8441941741214</v>
      </c>
      <c r="J36" s="3">
        <f t="shared" si="18"/>
        <v>11099.057555672924</v>
      </c>
      <c r="K36" s="3">
        <f t="shared" si="24"/>
        <v>216374.29336149874</v>
      </c>
      <c r="AH36">
        <v>2017</v>
      </c>
      <c r="AI36">
        <f>9800+3000</f>
        <v>12800</v>
      </c>
      <c r="AJ36">
        <v>7500</v>
      </c>
      <c r="AK36" s="13">
        <f>CPIs!W56</f>
        <v>112.42729788281457</v>
      </c>
      <c r="AL36" s="3">
        <f t="shared" si="19"/>
        <v>12800</v>
      </c>
      <c r="AM36" s="3">
        <f t="shared" si="20"/>
        <v>7500</v>
      </c>
    </row>
    <row r="37" spans="1:42">
      <c r="A37">
        <v>2018</v>
      </c>
      <c r="B37" s="3">
        <f t="shared" si="15"/>
        <v>30.592100851060948</v>
      </c>
      <c r="C37" s="3">
        <f t="shared" si="16"/>
        <v>208026.28578721444</v>
      </c>
      <c r="D37" s="3">
        <f t="shared" si="21"/>
        <v>20802.628578721444</v>
      </c>
      <c r="E37">
        <v>16</v>
      </c>
      <c r="F37" s="3">
        <f t="shared" si="22"/>
        <v>33284.205725954307</v>
      </c>
      <c r="G37" s="3">
        <f t="shared" si="23"/>
        <v>262113.12009189022</v>
      </c>
      <c r="H37" s="3">
        <f t="shared" si="17"/>
        <v>-51000</v>
      </c>
      <c r="I37" s="3">
        <f t="shared" si="18"/>
        <v>-1329.8441941741214</v>
      </c>
      <c r="J37" s="3">
        <f t="shared" si="18"/>
        <v>11600</v>
      </c>
      <c r="K37" s="3">
        <f t="shared" si="24"/>
        <v>221383.27589771608</v>
      </c>
      <c r="AH37">
        <v>2018</v>
      </c>
      <c r="AI37">
        <f>AI36</f>
        <v>12800</v>
      </c>
      <c r="AJ37">
        <f>AJ36</f>
        <v>7500</v>
      </c>
      <c r="AK37" s="13">
        <f>CPIs!W57</f>
        <v>115.42910673628572</v>
      </c>
      <c r="AL37" s="3">
        <f>AL36</f>
        <v>12800</v>
      </c>
      <c r="AM37" s="3">
        <f>AM36</f>
        <v>7500</v>
      </c>
    </row>
    <row r="38" spans="1:42">
      <c r="A38">
        <v>2019</v>
      </c>
      <c r="B38" s="3">
        <f t="shared" si="15"/>
        <v>31.172994053473918</v>
      </c>
      <c r="C38" s="3">
        <f t="shared" si="16"/>
        <v>211976.35956362262</v>
      </c>
      <c r="D38" s="3">
        <f t="shared" si="21"/>
        <v>21197.635956362265</v>
      </c>
      <c r="E38">
        <v>16</v>
      </c>
      <c r="F38" s="3">
        <f t="shared" ref="F38:F49" si="25">C38*E38/100</f>
        <v>33916.217530179623</v>
      </c>
      <c r="G38" s="3">
        <f t="shared" ref="G38:G49" si="26">C38+D38+F38</f>
        <v>267090.21305016452</v>
      </c>
      <c r="H38" s="3">
        <f t="shared" si="17"/>
        <v>-51000</v>
      </c>
      <c r="I38" s="3">
        <f t="shared" ref="I38:I49" si="27">I13</f>
        <v>-1329.8441941741214</v>
      </c>
      <c r="J38" s="3">
        <f>J37</f>
        <v>11600</v>
      </c>
      <c r="K38" s="3">
        <f t="shared" si="24"/>
        <v>226360.36885599038</v>
      </c>
      <c r="AH38">
        <v>2019</v>
      </c>
      <c r="AI38">
        <f>AI36*0.6</f>
        <v>7680</v>
      </c>
      <c r="AJ38">
        <f>AJ36*0.6</f>
        <v>4500</v>
      </c>
      <c r="AK38" s="13">
        <f>AK37*AK37/AK36</f>
        <v>118.51106388614456</v>
      </c>
      <c r="AL38" s="3">
        <f t="shared" ref="AL38:AL48" si="28">AL37</f>
        <v>12800</v>
      </c>
      <c r="AM38" s="3">
        <f t="shared" ref="AM38:AM48" si="29">AM37</f>
        <v>7500</v>
      </c>
    </row>
    <row r="39" spans="1:42">
      <c r="A39">
        <v>2020</v>
      </c>
      <c r="B39" s="3">
        <f t="shared" si="15"/>
        <v>30.985903123425071</v>
      </c>
      <c r="C39" s="3">
        <f t="shared" si="16"/>
        <v>210704.1412392905</v>
      </c>
      <c r="D39" s="3">
        <f t="shared" si="21"/>
        <v>21070.414123929051</v>
      </c>
      <c r="E39">
        <v>16</v>
      </c>
      <c r="F39" s="3">
        <f t="shared" si="25"/>
        <v>33712.662598286479</v>
      </c>
      <c r="G39" s="3">
        <f t="shared" si="26"/>
        <v>265487.21796150604</v>
      </c>
      <c r="H39" s="3">
        <f t="shared" si="17"/>
        <v>-51000</v>
      </c>
      <c r="I39" s="3">
        <f t="shared" si="27"/>
        <v>-1329.8441941741214</v>
      </c>
      <c r="J39" s="3">
        <f t="shared" ref="J39:J49" si="30">J38</f>
        <v>11600</v>
      </c>
      <c r="K39" s="3">
        <f t="shared" si="24"/>
        <v>224757.37376733191</v>
      </c>
      <c r="AH39">
        <v>2020</v>
      </c>
      <c r="AI39">
        <f>AI36*0.3</f>
        <v>3840</v>
      </c>
      <c r="AJ39">
        <f>AJ36*0.3</f>
        <v>2250</v>
      </c>
      <c r="AK39" s="13">
        <f>AK38*AK38/AK37</f>
        <v>121.67530929190463</v>
      </c>
      <c r="AL39" s="3">
        <f t="shared" si="28"/>
        <v>12800</v>
      </c>
      <c r="AM39" s="3">
        <f t="shared" si="29"/>
        <v>7500</v>
      </c>
    </row>
    <row r="40" spans="1:42">
      <c r="A40">
        <v>2021</v>
      </c>
      <c r="B40" s="3">
        <f t="shared" si="15"/>
        <v>30.206708843097807</v>
      </c>
      <c r="C40" s="3">
        <f t="shared" si="16"/>
        <v>205405.62013306509</v>
      </c>
      <c r="D40" s="3">
        <f t="shared" si="21"/>
        <v>20540.562013306509</v>
      </c>
      <c r="E40">
        <v>16</v>
      </c>
      <c r="F40" s="3">
        <f t="shared" si="25"/>
        <v>32864.899221290412</v>
      </c>
      <c r="G40" s="3">
        <f t="shared" si="26"/>
        <v>258811.081367662</v>
      </c>
      <c r="H40" s="3">
        <f t="shared" si="17"/>
        <v>-51000</v>
      </c>
      <c r="I40" s="3">
        <f t="shared" si="27"/>
        <v>-1329.8441941741214</v>
      </c>
      <c r="J40" s="3">
        <f t="shared" si="30"/>
        <v>11600</v>
      </c>
      <c r="K40" s="3">
        <f t="shared" si="24"/>
        <v>218081.23717348787</v>
      </c>
      <c r="AH40">
        <v>2021</v>
      </c>
      <c r="AI40">
        <v>0</v>
      </c>
      <c r="AJ40">
        <v>0</v>
      </c>
      <c r="AK40" s="13">
        <f>AK39*AK39/AK38</f>
        <v>124.9240400499985</v>
      </c>
      <c r="AL40" s="3">
        <f t="shared" si="28"/>
        <v>12800</v>
      </c>
      <c r="AM40" s="3">
        <f t="shared" si="29"/>
        <v>7500</v>
      </c>
    </row>
    <row r="41" spans="1:42">
      <c r="A41">
        <v>2022</v>
      </c>
      <c r="B41" s="3">
        <f t="shared" si="15"/>
        <v>30.642454642697771</v>
      </c>
      <c r="C41" s="3">
        <f t="shared" si="16"/>
        <v>208368.69157034485</v>
      </c>
      <c r="D41" s="3">
        <f t="shared" si="21"/>
        <v>20836.869157034485</v>
      </c>
      <c r="E41">
        <v>16</v>
      </c>
      <c r="F41" s="3">
        <f t="shared" si="25"/>
        <v>33338.990651255175</v>
      </c>
      <c r="G41" s="3">
        <f t="shared" si="26"/>
        <v>262544.55137863453</v>
      </c>
      <c r="H41" s="3">
        <f t="shared" si="17"/>
        <v>-51000</v>
      </c>
      <c r="I41" s="3">
        <f t="shared" si="27"/>
        <v>-1329.8441941741214</v>
      </c>
      <c r="J41" s="3">
        <f t="shared" si="30"/>
        <v>11600</v>
      </c>
      <c r="K41" s="3">
        <f t="shared" si="24"/>
        <v>221814.70718446039</v>
      </c>
      <c r="AH41">
        <v>2022</v>
      </c>
      <c r="AI41">
        <v>0</v>
      </c>
      <c r="AJ41">
        <v>0</v>
      </c>
      <c r="AK41" s="13">
        <f>AK40*AK40/AK39</f>
        <v>128.25951191933348</v>
      </c>
      <c r="AL41" s="3">
        <f t="shared" si="28"/>
        <v>12800</v>
      </c>
      <c r="AM41" s="3">
        <f t="shared" si="29"/>
        <v>7500</v>
      </c>
    </row>
    <row r="42" spans="1:42">
      <c r="A42">
        <v>2023</v>
      </c>
      <c r="B42" s="3">
        <f t="shared" si="15"/>
        <v>30.361546257811007</v>
      </c>
      <c r="C42" s="3">
        <f t="shared" si="16"/>
        <v>206458.51455311483</v>
      </c>
      <c r="D42" s="3">
        <f t="shared" si="21"/>
        <v>20645.851455311484</v>
      </c>
      <c r="E42">
        <v>16</v>
      </c>
      <c r="F42" s="3">
        <f t="shared" si="25"/>
        <v>33033.36232849837</v>
      </c>
      <c r="G42" s="3">
        <f t="shared" si="26"/>
        <v>260137.72833692469</v>
      </c>
      <c r="H42" s="3">
        <f t="shared" si="17"/>
        <v>-51000</v>
      </c>
      <c r="I42" s="3">
        <f t="shared" si="27"/>
        <v>-1329.8441941741214</v>
      </c>
      <c r="J42" s="3">
        <f t="shared" si="30"/>
        <v>11600</v>
      </c>
      <c r="K42" s="3">
        <f t="shared" si="24"/>
        <v>219407.88414275055</v>
      </c>
      <c r="AH42">
        <v>2023</v>
      </c>
      <c r="AK42" s="13"/>
      <c r="AL42" s="3">
        <f t="shared" si="28"/>
        <v>12800</v>
      </c>
      <c r="AM42" s="3">
        <f t="shared" si="29"/>
        <v>7500</v>
      </c>
    </row>
    <row r="43" spans="1:42">
      <c r="A43">
        <v>2024</v>
      </c>
      <c r="B43" s="3">
        <f t="shared" si="15"/>
        <v>29.275640447464834</v>
      </c>
      <c r="C43" s="3">
        <f t="shared" si="16"/>
        <v>199074.35504276084</v>
      </c>
      <c r="D43" s="3">
        <f t="shared" si="21"/>
        <v>19907.435504276087</v>
      </c>
      <c r="E43">
        <v>16</v>
      </c>
      <c r="F43" s="3">
        <f t="shared" si="25"/>
        <v>31851.896806841734</v>
      </c>
      <c r="G43" s="3">
        <f t="shared" si="26"/>
        <v>250833.68735387866</v>
      </c>
      <c r="H43" s="3">
        <f t="shared" si="17"/>
        <v>-51000</v>
      </c>
      <c r="I43" s="3">
        <f t="shared" si="27"/>
        <v>-1329.8441941741214</v>
      </c>
      <c r="J43" s="3">
        <f t="shared" si="30"/>
        <v>11600</v>
      </c>
      <c r="K43" s="3">
        <f t="shared" si="24"/>
        <v>210103.84315970453</v>
      </c>
      <c r="AH43">
        <v>2024</v>
      </c>
      <c r="AK43" s="13"/>
      <c r="AL43" s="3">
        <f t="shared" si="28"/>
        <v>12800</v>
      </c>
      <c r="AM43" s="3">
        <f t="shared" si="29"/>
        <v>7500</v>
      </c>
    </row>
    <row r="44" spans="1:42">
      <c r="A44">
        <v>2025</v>
      </c>
      <c r="B44" s="3">
        <f t="shared" si="15"/>
        <v>28.343375828936317</v>
      </c>
      <c r="C44" s="3">
        <f t="shared" si="16"/>
        <v>192734.95563676694</v>
      </c>
      <c r="D44" s="3">
        <f t="shared" si="21"/>
        <v>19273.495563676694</v>
      </c>
      <c r="E44">
        <v>16</v>
      </c>
      <c r="F44" s="3">
        <f t="shared" si="25"/>
        <v>30837.592901882712</v>
      </c>
      <c r="G44" s="3">
        <f t="shared" si="26"/>
        <v>242846.04410232636</v>
      </c>
      <c r="H44" s="3">
        <f t="shared" si="17"/>
        <v>-51000</v>
      </c>
      <c r="I44" s="3">
        <f t="shared" si="27"/>
        <v>-1329.8441941741214</v>
      </c>
      <c r="J44" s="3">
        <f t="shared" si="30"/>
        <v>11600</v>
      </c>
      <c r="K44" s="3">
        <f t="shared" si="24"/>
        <v>202116.19990815222</v>
      </c>
      <c r="AH44">
        <v>2025</v>
      </c>
      <c r="AK44" s="13"/>
      <c r="AL44" s="3">
        <f t="shared" si="28"/>
        <v>12800</v>
      </c>
      <c r="AM44" s="3">
        <f t="shared" si="29"/>
        <v>7500</v>
      </c>
    </row>
    <row r="45" spans="1:42">
      <c r="A45">
        <v>2026</v>
      </c>
      <c r="B45" s="3">
        <f t="shared" si="15"/>
        <v>27.812270474504896</v>
      </c>
      <c r="C45" s="3">
        <f t="shared" si="16"/>
        <v>189123.43922663329</v>
      </c>
      <c r="D45" s="3">
        <f t="shared" si="21"/>
        <v>18912.343922663331</v>
      </c>
      <c r="E45">
        <v>16</v>
      </c>
      <c r="F45" s="3">
        <f t="shared" si="25"/>
        <v>30259.750276261326</v>
      </c>
      <c r="G45" s="3">
        <f t="shared" si="26"/>
        <v>238295.53342555795</v>
      </c>
      <c r="H45" s="3">
        <f t="shared" si="17"/>
        <v>-51000</v>
      </c>
      <c r="I45" s="3">
        <f t="shared" si="27"/>
        <v>-1329.8441941741214</v>
      </c>
      <c r="J45" s="3">
        <f t="shared" si="30"/>
        <v>11600</v>
      </c>
      <c r="K45" s="3">
        <f t="shared" si="24"/>
        <v>197565.68923138382</v>
      </c>
      <c r="AH45">
        <v>2026</v>
      </c>
      <c r="AK45" s="13"/>
      <c r="AL45" s="3">
        <f t="shared" si="28"/>
        <v>12800</v>
      </c>
      <c r="AM45" s="3">
        <f t="shared" si="29"/>
        <v>7500</v>
      </c>
    </row>
    <row r="46" spans="1:42">
      <c r="A46">
        <v>2027</v>
      </c>
      <c r="B46" s="3">
        <f t="shared" si="15"/>
        <v>27.281165120073478</v>
      </c>
      <c r="C46" s="3">
        <f t="shared" si="16"/>
        <v>185511.92281649963</v>
      </c>
      <c r="D46" s="3">
        <f t="shared" si="21"/>
        <v>18551.192281649965</v>
      </c>
      <c r="E46">
        <v>16</v>
      </c>
      <c r="F46" s="3">
        <f t="shared" si="25"/>
        <v>29681.90765063994</v>
      </c>
      <c r="G46" s="3">
        <f t="shared" si="26"/>
        <v>233745.02274878955</v>
      </c>
      <c r="H46" s="3">
        <f t="shared" si="17"/>
        <v>-51000</v>
      </c>
      <c r="I46" s="3">
        <f t="shared" si="27"/>
        <v>-1329.8441941741214</v>
      </c>
      <c r="J46" s="3">
        <f t="shared" si="30"/>
        <v>11600</v>
      </c>
      <c r="K46" s="3">
        <f t="shared" si="24"/>
        <v>193015.17855461541</v>
      </c>
      <c r="AH46">
        <v>2027</v>
      </c>
      <c r="AK46" s="13"/>
      <c r="AL46" s="3">
        <f t="shared" si="28"/>
        <v>12800</v>
      </c>
      <c r="AM46" s="3">
        <f t="shared" si="29"/>
        <v>7500</v>
      </c>
    </row>
    <row r="47" spans="1:42">
      <c r="A47">
        <v>2028</v>
      </c>
      <c r="B47" s="3">
        <f t="shared" si="15"/>
        <v>26.683671596338133</v>
      </c>
      <c r="C47" s="3">
        <f t="shared" si="16"/>
        <v>181448.96685509928</v>
      </c>
      <c r="D47" s="3">
        <f t="shared" si="21"/>
        <v>18144.896685509928</v>
      </c>
      <c r="E47">
        <v>16</v>
      </c>
      <c r="F47" s="3">
        <f t="shared" si="25"/>
        <v>29031.834696815884</v>
      </c>
      <c r="G47" s="3">
        <f t="shared" si="26"/>
        <v>228625.69823742507</v>
      </c>
      <c r="H47" s="3">
        <f t="shared" si="17"/>
        <v>-51000</v>
      </c>
      <c r="I47" s="3">
        <f t="shared" si="27"/>
        <v>-1329.8441941741214</v>
      </c>
      <c r="J47" s="3">
        <f t="shared" si="30"/>
        <v>11600</v>
      </c>
      <c r="K47" s="3">
        <f t="shared" si="24"/>
        <v>187895.85404325093</v>
      </c>
      <c r="AH47">
        <v>2028</v>
      </c>
      <c r="AK47" s="13"/>
      <c r="AL47" s="3">
        <f t="shared" si="28"/>
        <v>12800</v>
      </c>
      <c r="AM47" s="3">
        <f t="shared" si="29"/>
        <v>7500</v>
      </c>
    </row>
    <row r="48" spans="1:42">
      <c r="A48">
        <v>2029</v>
      </c>
      <c r="B48" s="3">
        <f t="shared" si="15"/>
        <v>26.152566241906715</v>
      </c>
      <c r="C48" s="3">
        <f t="shared" si="16"/>
        <v>177837.45044496568</v>
      </c>
      <c r="D48" s="3">
        <f t="shared" si="21"/>
        <v>17783.745044496569</v>
      </c>
      <c r="E48">
        <v>16</v>
      </c>
      <c r="F48" s="3">
        <f t="shared" si="25"/>
        <v>28453.992071194509</v>
      </c>
      <c r="G48" s="3">
        <f t="shared" si="26"/>
        <v>224075.18756065678</v>
      </c>
      <c r="H48" s="3">
        <f t="shared" si="17"/>
        <v>-51000</v>
      </c>
      <c r="I48" s="3">
        <f t="shared" si="27"/>
        <v>-1329.8441941741214</v>
      </c>
      <c r="J48" s="3">
        <f t="shared" si="30"/>
        <v>11600</v>
      </c>
      <c r="K48" s="3">
        <f t="shared" si="24"/>
        <v>183345.34336648264</v>
      </c>
      <c r="AH48">
        <v>2029</v>
      </c>
      <c r="AK48" s="13"/>
      <c r="AL48" s="3">
        <f t="shared" si="28"/>
        <v>12800</v>
      </c>
      <c r="AM48" s="3">
        <f t="shared" si="29"/>
        <v>7500</v>
      </c>
    </row>
    <row r="49" spans="1:39">
      <c r="A49">
        <v>2030</v>
      </c>
      <c r="B49" s="3">
        <f t="shared" si="15"/>
        <v>25.55507271817137</v>
      </c>
      <c r="C49" s="3">
        <f t="shared" si="16"/>
        <v>173774.49448356533</v>
      </c>
      <c r="D49" s="3">
        <f t="shared" si="21"/>
        <v>17377.449448356532</v>
      </c>
      <c r="E49">
        <v>16</v>
      </c>
      <c r="F49" s="3">
        <f t="shared" si="25"/>
        <v>27803.919117370453</v>
      </c>
      <c r="G49" s="3">
        <f t="shared" si="26"/>
        <v>218955.8630492923</v>
      </c>
      <c r="H49" s="3">
        <f t="shared" si="17"/>
        <v>-51000</v>
      </c>
      <c r="I49" s="3">
        <f t="shared" si="27"/>
        <v>-1329.8441941741214</v>
      </c>
      <c r="J49" s="3">
        <f t="shared" si="30"/>
        <v>11600</v>
      </c>
      <c r="K49" s="3">
        <f t="shared" si="24"/>
        <v>178226.01885511816</v>
      </c>
      <c r="AH49">
        <v>2030</v>
      </c>
      <c r="AK49" s="13"/>
      <c r="AL49" s="3">
        <f>AL48</f>
        <v>12800</v>
      </c>
      <c r="AM49" s="3">
        <f>AM48</f>
        <v>7500</v>
      </c>
    </row>
    <row r="51" spans="1:39">
      <c r="A51" t="s">
        <v>716</v>
      </c>
      <c r="B51" t="s">
        <v>1395</v>
      </c>
      <c r="C51" t="s">
        <v>846</v>
      </c>
      <c r="D51" t="s">
        <v>846</v>
      </c>
      <c r="E51" t="s">
        <v>498</v>
      </c>
      <c r="F51" t="s">
        <v>846</v>
      </c>
      <c r="G51" t="s">
        <v>846</v>
      </c>
    </row>
    <row r="52" spans="1:39">
      <c r="B52" t="s">
        <v>724</v>
      </c>
      <c r="C52" t="s">
        <v>710</v>
      </c>
      <c r="D52" t="s">
        <v>749</v>
      </c>
      <c r="E52" t="s">
        <v>714</v>
      </c>
      <c r="F52" t="s">
        <v>728</v>
      </c>
      <c r="G52" t="s">
        <v>725</v>
      </c>
    </row>
    <row r="53" spans="1:39">
      <c r="A53">
        <v>2009</v>
      </c>
      <c r="B53" s="3">
        <f t="shared" ref="B53:B74" si="31">U3</f>
        <v>23</v>
      </c>
      <c r="C53" s="3">
        <f t="shared" ref="C53:C74" si="32">B53*AD3*1000</f>
        <v>157113</v>
      </c>
      <c r="D53" s="3">
        <f>C53*0.1</f>
        <v>15711.300000000001</v>
      </c>
      <c r="E53">
        <v>17</v>
      </c>
      <c r="F53" s="3">
        <f t="shared" ref="F53:F74" si="33">E53/100*C53</f>
        <v>26709.210000000003</v>
      </c>
      <c r="G53" s="3">
        <f>C53+D53+F53</f>
        <v>199533.50999999998</v>
      </c>
    </row>
    <row r="54" spans="1:39">
      <c r="A54">
        <v>2010</v>
      </c>
      <c r="B54" s="3">
        <f t="shared" si="31"/>
        <v>23</v>
      </c>
      <c r="C54" s="3">
        <f t="shared" si="32"/>
        <v>155698.50000000003</v>
      </c>
      <c r="D54" s="3">
        <f t="shared" ref="D54:D74" si="34">C54*0.1</f>
        <v>15569.850000000004</v>
      </c>
      <c r="E54">
        <v>17</v>
      </c>
      <c r="F54" s="3">
        <f t="shared" si="33"/>
        <v>26468.745000000006</v>
      </c>
      <c r="G54" s="3">
        <f t="shared" ref="G54:G74" si="35">C54+D54+F54</f>
        <v>197737.09500000003</v>
      </c>
    </row>
    <row r="55" spans="1:39">
      <c r="A55">
        <v>2011</v>
      </c>
      <c r="B55" s="3">
        <f t="shared" si="31"/>
        <v>23</v>
      </c>
      <c r="C55" s="3">
        <f t="shared" si="32"/>
        <v>148552.4</v>
      </c>
      <c r="D55" s="3">
        <f t="shared" si="34"/>
        <v>14855.24</v>
      </c>
      <c r="E55">
        <v>17</v>
      </c>
      <c r="F55" s="3">
        <f t="shared" si="33"/>
        <v>25253.907999999999</v>
      </c>
      <c r="G55" s="3">
        <f t="shared" si="35"/>
        <v>188661.54799999998</v>
      </c>
    </row>
    <row r="56" spans="1:39">
      <c r="A56">
        <v>2012</v>
      </c>
      <c r="B56" s="3">
        <f t="shared" si="31"/>
        <v>23</v>
      </c>
      <c r="C56" s="3">
        <f t="shared" si="32"/>
        <v>145187.5</v>
      </c>
      <c r="D56" s="3">
        <f t="shared" si="34"/>
        <v>14518.75</v>
      </c>
      <c r="E56">
        <v>17</v>
      </c>
      <c r="F56" s="3">
        <f t="shared" si="33"/>
        <v>24681.875</v>
      </c>
      <c r="G56" s="3">
        <f t="shared" si="35"/>
        <v>184388.125</v>
      </c>
    </row>
    <row r="57" spans="1:39">
      <c r="A57">
        <v>2013</v>
      </c>
      <c r="B57" s="3">
        <f t="shared" si="31"/>
        <v>23</v>
      </c>
      <c r="C57" s="3">
        <f t="shared" si="32"/>
        <v>142443.60000000003</v>
      </c>
      <c r="D57" s="3">
        <f t="shared" si="34"/>
        <v>14244.360000000004</v>
      </c>
      <c r="E57">
        <v>17</v>
      </c>
      <c r="F57" s="3">
        <f t="shared" si="33"/>
        <v>24215.412000000008</v>
      </c>
      <c r="G57" s="3">
        <f t="shared" si="35"/>
        <v>180903.37200000006</v>
      </c>
    </row>
    <row r="58" spans="1:39">
      <c r="A58">
        <v>2014</v>
      </c>
      <c r="B58" s="3">
        <f t="shared" si="31"/>
        <v>23</v>
      </c>
      <c r="C58" s="3">
        <f t="shared" si="32"/>
        <v>141284.39999999997</v>
      </c>
      <c r="D58" s="3">
        <f t="shared" si="34"/>
        <v>14128.439999999997</v>
      </c>
      <c r="E58">
        <v>17</v>
      </c>
      <c r="F58" s="3">
        <f t="shared" si="33"/>
        <v>24018.347999999994</v>
      </c>
      <c r="G58" s="3">
        <f t="shared" si="35"/>
        <v>179431.18799999997</v>
      </c>
    </row>
    <row r="59" spans="1:39">
      <c r="A59">
        <v>2015</v>
      </c>
      <c r="B59" s="3">
        <f t="shared" si="31"/>
        <v>23</v>
      </c>
      <c r="C59" s="3">
        <f t="shared" si="32"/>
        <v>143253.20000000001</v>
      </c>
      <c r="D59" s="3">
        <f t="shared" si="34"/>
        <v>14325.320000000002</v>
      </c>
      <c r="E59">
        <v>17</v>
      </c>
      <c r="F59" s="3">
        <f t="shared" si="33"/>
        <v>24353.044000000005</v>
      </c>
      <c r="G59" s="3">
        <f t="shared" si="35"/>
        <v>181931.56400000001</v>
      </c>
    </row>
    <row r="60" spans="1:39">
      <c r="A60">
        <v>2016</v>
      </c>
      <c r="B60" s="3">
        <f t="shared" si="31"/>
        <v>23</v>
      </c>
      <c r="C60" s="3">
        <f t="shared" si="32"/>
        <v>152772.90000000002</v>
      </c>
      <c r="D60" s="3">
        <f t="shared" si="34"/>
        <v>15277.290000000003</v>
      </c>
      <c r="E60">
        <v>17</v>
      </c>
      <c r="F60" s="3">
        <f t="shared" si="33"/>
        <v>25971.393000000007</v>
      </c>
      <c r="G60" s="3">
        <f t="shared" si="35"/>
        <v>194021.58300000004</v>
      </c>
    </row>
    <row r="61" spans="1:39">
      <c r="A61">
        <v>2017</v>
      </c>
      <c r="B61" s="3">
        <f t="shared" si="31"/>
        <v>23</v>
      </c>
      <c r="C61" s="3">
        <f t="shared" si="32"/>
        <v>155291.4</v>
      </c>
      <c r="D61" s="3">
        <f t="shared" si="34"/>
        <v>15529.14</v>
      </c>
      <c r="E61">
        <v>17</v>
      </c>
      <c r="F61" s="3">
        <f t="shared" si="33"/>
        <v>26399.538</v>
      </c>
      <c r="G61" s="3">
        <f t="shared" si="35"/>
        <v>197220.07799999998</v>
      </c>
    </row>
    <row r="62" spans="1:39">
      <c r="A62">
        <v>2018</v>
      </c>
      <c r="B62" s="3">
        <f t="shared" si="31"/>
        <v>23</v>
      </c>
      <c r="C62" s="3">
        <f t="shared" si="32"/>
        <v>156400</v>
      </c>
      <c r="D62" s="3">
        <f t="shared" si="34"/>
        <v>15640</v>
      </c>
      <c r="E62">
        <v>16</v>
      </c>
      <c r="F62" s="3">
        <f t="shared" si="33"/>
        <v>25024</v>
      </c>
      <c r="G62" s="3">
        <f t="shared" si="35"/>
        <v>197064</v>
      </c>
    </row>
    <row r="63" spans="1:39">
      <c r="A63">
        <v>2019</v>
      </c>
      <c r="B63" s="3">
        <f t="shared" si="31"/>
        <v>23</v>
      </c>
      <c r="C63" s="3">
        <f t="shared" si="32"/>
        <v>156400</v>
      </c>
      <c r="D63" s="3">
        <f t="shared" si="34"/>
        <v>15640</v>
      </c>
      <c r="E63">
        <v>16</v>
      </c>
      <c r="F63" s="3">
        <f t="shared" si="33"/>
        <v>25024</v>
      </c>
      <c r="G63" s="3">
        <f t="shared" si="35"/>
        <v>197064</v>
      </c>
    </row>
    <row r="64" spans="1:39">
      <c r="A64">
        <v>2020</v>
      </c>
      <c r="B64" s="3">
        <f t="shared" si="31"/>
        <v>23</v>
      </c>
      <c r="C64" s="3">
        <f t="shared" si="32"/>
        <v>156400</v>
      </c>
      <c r="D64" s="3">
        <f t="shared" si="34"/>
        <v>15640</v>
      </c>
      <c r="E64">
        <v>16</v>
      </c>
      <c r="F64" s="3">
        <f t="shared" si="33"/>
        <v>25024</v>
      </c>
      <c r="G64" s="3">
        <f t="shared" si="35"/>
        <v>197064</v>
      </c>
    </row>
    <row r="65" spans="1:29">
      <c r="A65">
        <v>2021</v>
      </c>
      <c r="B65" s="3">
        <f t="shared" si="31"/>
        <v>23</v>
      </c>
      <c r="C65" s="3">
        <f t="shared" si="32"/>
        <v>156400</v>
      </c>
      <c r="D65" s="3">
        <f t="shared" si="34"/>
        <v>15640</v>
      </c>
      <c r="E65">
        <v>16</v>
      </c>
      <c r="F65" s="3">
        <f t="shared" si="33"/>
        <v>25024</v>
      </c>
      <c r="G65" s="3">
        <f t="shared" si="35"/>
        <v>197064</v>
      </c>
    </row>
    <row r="66" spans="1:29">
      <c r="A66">
        <v>2022</v>
      </c>
      <c r="B66" s="3">
        <f t="shared" si="31"/>
        <v>23</v>
      </c>
      <c r="C66" s="3">
        <f t="shared" si="32"/>
        <v>156400</v>
      </c>
      <c r="D66" s="3">
        <f t="shared" si="34"/>
        <v>15640</v>
      </c>
      <c r="E66">
        <v>16</v>
      </c>
      <c r="F66" s="3">
        <f t="shared" si="33"/>
        <v>25024</v>
      </c>
      <c r="G66" s="3">
        <f t="shared" si="35"/>
        <v>197064</v>
      </c>
    </row>
    <row r="67" spans="1:29">
      <c r="A67">
        <v>2023</v>
      </c>
      <c r="B67" s="3">
        <f t="shared" si="31"/>
        <v>23</v>
      </c>
      <c r="C67" s="3">
        <f t="shared" si="32"/>
        <v>156400</v>
      </c>
      <c r="D67" s="3">
        <f t="shared" si="34"/>
        <v>15640</v>
      </c>
      <c r="E67">
        <v>16</v>
      </c>
      <c r="F67" s="3">
        <f t="shared" si="33"/>
        <v>25024</v>
      </c>
      <c r="G67" s="3">
        <f t="shared" si="35"/>
        <v>197064</v>
      </c>
    </row>
    <row r="68" spans="1:29">
      <c r="A68">
        <v>2024</v>
      </c>
      <c r="B68" s="3">
        <f t="shared" si="31"/>
        <v>23</v>
      </c>
      <c r="C68" s="3">
        <f t="shared" si="32"/>
        <v>156400</v>
      </c>
      <c r="D68" s="3">
        <f t="shared" si="34"/>
        <v>15640</v>
      </c>
      <c r="E68">
        <v>16</v>
      </c>
      <c r="F68" s="3">
        <f t="shared" si="33"/>
        <v>25024</v>
      </c>
      <c r="G68" s="3">
        <f t="shared" si="35"/>
        <v>197064</v>
      </c>
    </row>
    <row r="69" spans="1:29">
      <c r="A69">
        <v>2025</v>
      </c>
      <c r="B69" s="3">
        <f t="shared" si="31"/>
        <v>23</v>
      </c>
      <c r="C69" s="3">
        <f t="shared" si="32"/>
        <v>156400</v>
      </c>
      <c r="D69" s="3">
        <f t="shared" si="34"/>
        <v>15640</v>
      </c>
      <c r="E69">
        <v>16</v>
      </c>
      <c r="F69" s="3">
        <f t="shared" si="33"/>
        <v>25024</v>
      </c>
      <c r="G69" s="3">
        <f t="shared" si="35"/>
        <v>197064</v>
      </c>
    </row>
    <row r="70" spans="1:29">
      <c r="A70">
        <v>2026</v>
      </c>
      <c r="B70" s="3">
        <f t="shared" si="31"/>
        <v>23</v>
      </c>
      <c r="C70" s="3">
        <f t="shared" si="32"/>
        <v>156400</v>
      </c>
      <c r="D70" s="3">
        <f t="shared" si="34"/>
        <v>15640</v>
      </c>
      <c r="E70">
        <v>16</v>
      </c>
      <c r="F70" s="3">
        <f t="shared" si="33"/>
        <v>25024</v>
      </c>
      <c r="G70" s="3">
        <f t="shared" si="35"/>
        <v>197064</v>
      </c>
    </row>
    <row r="71" spans="1:29">
      <c r="A71">
        <v>2027</v>
      </c>
      <c r="B71" s="3">
        <f t="shared" si="31"/>
        <v>23</v>
      </c>
      <c r="C71" s="3">
        <f t="shared" si="32"/>
        <v>156400</v>
      </c>
      <c r="D71" s="3">
        <f t="shared" si="34"/>
        <v>15640</v>
      </c>
      <c r="E71">
        <v>16</v>
      </c>
      <c r="F71" s="3">
        <f t="shared" si="33"/>
        <v>25024</v>
      </c>
      <c r="G71" s="3">
        <f t="shared" si="35"/>
        <v>197064</v>
      </c>
    </row>
    <row r="72" spans="1:29">
      <c r="A72">
        <v>2028</v>
      </c>
      <c r="B72" s="3">
        <f t="shared" si="31"/>
        <v>23</v>
      </c>
      <c r="C72" s="3">
        <f t="shared" si="32"/>
        <v>156400</v>
      </c>
      <c r="D72" s="3">
        <f t="shared" si="34"/>
        <v>15640</v>
      </c>
      <c r="E72">
        <v>16</v>
      </c>
      <c r="F72" s="3">
        <f t="shared" si="33"/>
        <v>25024</v>
      </c>
      <c r="G72" s="3">
        <f t="shared" si="35"/>
        <v>197064</v>
      </c>
    </row>
    <row r="73" spans="1:29">
      <c r="A73">
        <v>2029</v>
      </c>
      <c r="B73" s="3">
        <f t="shared" si="31"/>
        <v>23</v>
      </c>
      <c r="C73" s="3">
        <f t="shared" si="32"/>
        <v>156400</v>
      </c>
      <c r="D73" s="3">
        <f t="shared" si="34"/>
        <v>15640</v>
      </c>
      <c r="E73">
        <v>16</v>
      </c>
      <c r="F73" s="3">
        <f t="shared" si="33"/>
        <v>25024</v>
      </c>
      <c r="G73" s="3">
        <f t="shared" si="35"/>
        <v>197064</v>
      </c>
    </row>
    <row r="74" spans="1:29">
      <c r="A74">
        <v>2030</v>
      </c>
      <c r="B74" s="3">
        <f t="shared" si="31"/>
        <v>23</v>
      </c>
      <c r="C74" s="3">
        <f t="shared" si="32"/>
        <v>156400</v>
      </c>
      <c r="D74" s="3">
        <f t="shared" si="34"/>
        <v>15640</v>
      </c>
      <c r="E74">
        <v>16</v>
      </c>
      <c r="F74" s="3">
        <f t="shared" si="33"/>
        <v>25024</v>
      </c>
      <c r="G74" s="3">
        <f t="shared" si="35"/>
        <v>197064</v>
      </c>
    </row>
    <row r="75" spans="1:29">
      <c r="Z75" s="87" t="s">
        <v>1221</v>
      </c>
      <c r="AA75" s="87"/>
      <c r="AB75" s="87"/>
      <c r="AC75" s="234"/>
    </row>
    <row r="76" spans="1:29">
      <c r="Z76" s="235" t="s">
        <v>1167</v>
      </c>
      <c r="AA76" s="235" t="s">
        <v>1168</v>
      </c>
      <c r="AB76" s="235" t="s">
        <v>1169</v>
      </c>
      <c r="AC76" s="235" t="s">
        <v>1170</v>
      </c>
    </row>
    <row r="77" spans="1:29">
      <c r="B77" t="s">
        <v>980</v>
      </c>
      <c r="C77" t="s">
        <v>980</v>
      </c>
      <c r="D77" t="s">
        <v>980</v>
      </c>
      <c r="E77" t="s">
        <v>980</v>
      </c>
      <c r="F77" t="s">
        <v>980</v>
      </c>
      <c r="J77" t="s">
        <v>812</v>
      </c>
      <c r="K77" t="s">
        <v>812</v>
      </c>
      <c r="L77" t="s">
        <v>812</v>
      </c>
      <c r="M77" t="s">
        <v>812</v>
      </c>
      <c r="N77" t="s">
        <v>812</v>
      </c>
      <c r="U77" t="s">
        <v>1045</v>
      </c>
      <c r="V77" t="s">
        <v>988</v>
      </c>
      <c r="Z77" s="13">
        <v>8.0981200000000015</v>
      </c>
      <c r="AA77" s="13">
        <f t="shared" ref="AA77:AC77" si="36">Z77</f>
        <v>8.0981200000000015</v>
      </c>
      <c r="AB77" s="13">
        <f t="shared" si="36"/>
        <v>8.0981200000000015</v>
      </c>
      <c r="AC77" s="13">
        <f t="shared" si="36"/>
        <v>8.0981200000000015</v>
      </c>
    </row>
    <row r="78" spans="1:29">
      <c r="B78" t="s">
        <v>978</v>
      </c>
      <c r="C78" t="s">
        <v>979</v>
      </c>
      <c r="D78" t="s">
        <v>916</v>
      </c>
      <c r="E78" t="s">
        <v>981</v>
      </c>
      <c r="F78" t="s">
        <v>983</v>
      </c>
      <c r="J78" t="s">
        <v>725</v>
      </c>
      <c r="K78" t="s">
        <v>979</v>
      </c>
      <c r="L78" t="s">
        <v>916</v>
      </c>
      <c r="M78" t="s">
        <v>985</v>
      </c>
      <c r="N78" t="s">
        <v>983</v>
      </c>
      <c r="R78" t="s">
        <v>997</v>
      </c>
      <c r="S78" t="s">
        <v>984</v>
      </c>
      <c r="U78" t="s">
        <v>934</v>
      </c>
      <c r="V78" t="s">
        <v>934</v>
      </c>
      <c r="W78" t="s">
        <v>986</v>
      </c>
      <c r="X78" t="s">
        <v>987</v>
      </c>
      <c r="Z78" s="13">
        <v>8.5749313121743249</v>
      </c>
      <c r="AA78" s="13">
        <f t="shared" ref="AA78:AC78" si="37">Z78</f>
        <v>8.5749313121743249</v>
      </c>
      <c r="AB78" s="13">
        <f t="shared" si="37"/>
        <v>8.5749313121743249</v>
      </c>
      <c r="AC78" s="13">
        <f t="shared" si="37"/>
        <v>8.5749313121743249</v>
      </c>
    </row>
    <row r="79" spans="1:29">
      <c r="A79" s="3">
        <v>2012</v>
      </c>
      <c r="B79" s="3">
        <f t="shared" ref="B79:B97" si="38">MIN(K6,K31)</f>
        <v>197048.23934209667</v>
      </c>
      <c r="C79" s="3">
        <f>B79/5</f>
        <v>39409.647868419335</v>
      </c>
      <c r="D79" s="3">
        <f>B79*0.13</f>
        <v>25616.271114472569</v>
      </c>
      <c r="E79" s="3">
        <v>0</v>
      </c>
      <c r="F79" s="3">
        <f>C79+D79-E79</f>
        <v>65025.918982891904</v>
      </c>
      <c r="G79" s="3"/>
      <c r="H79" s="3"/>
      <c r="I79" s="3">
        <v>2012</v>
      </c>
      <c r="J79" s="3">
        <f>G56</f>
        <v>184388.125</v>
      </c>
      <c r="K79" s="3">
        <f>J79/5</f>
        <v>36877.625</v>
      </c>
      <c r="L79" s="3">
        <f>J79*0.13</f>
        <v>23970.456249999999</v>
      </c>
      <c r="M79" s="3">
        <f t="shared" ref="M79:M97" si="39">X79/100*W79*U79</f>
        <v>11911.231939739049</v>
      </c>
      <c r="N79" s="3">
        <f>SUM(K79:M79)</f>
        <v>72759.313189739056</v>
      </c>
      <c r="O79" s="3"/>
      <c r="P79" s="3"/>
      <c r="Q79" s="3">
        <v>2012</v>
      </c>
      <c r="R79" s="13">
        <f>N79/F79</f>
        <v>1.1189278725746541</v>
      </c>
      <c r="S79" s="13">
        <f>F79/N79</f>
        <v>0.8937126552214657</v>
      </c>
      <c r="T79" s="3"/>
      <c r="U79" s="13">
        <f>AB79</f>
        <v>8.6854782127031029</v>
      </c>
      <c r="V79" s="13">
        <f>'Country Petrol Prices'!F84</f>
        <v>1.3309959900580419</v>
      </c>
      <c r="W79" s="12">
        <f>'Country L per 100 km'!F7</f>
        <v>7.5588767713850817</v>
      </c>
      <c r="X79" s="3">
        <f>'Country distance travelled'!F7</f>
        <v>18142.857142857145</v>
      </c>
      <c r="Z79" s="13">
        <v>8.6854782127031029</v>
      </c>
      <c r="AA79" s="13">
        <f t="shared" ref="AA79:AC79" si="40">Z79</f>
        <v>8.6854782127031029</v>
      </c>
      <c r="AB79" s="13">
        <f t="shared" si="40"/>
        <v>8.6854782127031029</v>
      </c>
      <c r="AC79" s="13">
        <f t="shared" si="40"/>
        <v>8.6854782127031029</v>
      </c>
    </row>
    <row r="80" spans="1:29">
      <c r="A80" s="3">
        <v>2013</v>
      </c>
      <c r="B80" s="3">
        <f t="shared" si="38"/>
        <v>172045.54782722949</v>
      </c>
      <c r="C80" s="3">
        <f t="shared" ref="C80:C97" si="41">B80/5</f>
        <v>34409.109565445899</v>
      </c>
      <c r="D80" s="3">
        <f t="shared" ref="D80:D97" si="42">B80*0.13</f>
        <v>22365.921217539835</v>
      </c>
      <c r="E80" s="3">
        <v>0</v>
      </c>
      <c r="F80" s="3">
        <f t="shared" ref="F80:F97" si="43">C80+D80-E80</f>
        <v>56775.030782985734</v>
      </c>
      <c r="G80" s="3"/>
      <c r="H80" s="3"/>
      <c r="I80" s="3">
        <v>2013</v>
      </c>
      <c r="J80" s="3">
        <f t="shared" ref="J80:J97" si="44">G57</f>
        <v>180903.37200000006</v>
      </c>
      <c r="K80" s="3">
        <f t="shared" ref="K80:K97" si="45">J80/5</f>
        <v>36180.674400000011</v>
      </c>
      <c r="L80" s="3">
        <f t="shared" ref="L80:L97" si="46">J80*0.13</f>
        <v>23517.438360000007</v>
      </c>
      <c r="M80" s="3">
        <f t="shared" si="39"/>
        <v>10817.459003752634</v>
      </c>
      <c r="N80" s="3">
        <f t="shared" ref="N80:N96" si="47">SUM(K80:M80)</f>
        <v>70515.571763752654</v>
      </c>
      <c r="O80" s="3"/>
      <c r="P80" s="3"/>
      <c r="Q80" s="3">
        <v>2013</v>
      </c>
      <c r="R80" s="13">
        <f t="shared" ref="R80:R97" si="48">N80/F80</f>
        <v>1.2420173233069327</v>
      </c>
      <c r="S80" s="13">
        <f t="shared" ref="S80:S97" si="49">F80/N80</f>
        <v>0.80514174901961133</v>
      </c>
      <c r="T80" s="3"/>
      <c r="U80" s="13">
        <f t="shared" ref="U80:U97" si="50">AB80</f>
        <v>8.1421734436847775</v>
      </c>
      <c r="V80" s="13">
        <f>'Country Petrol Prices'!F85</f>
        <v>1.2862764063345584</v>
      </c>
      <c r="W80" s="12">
        <f>'Country L per 100 km'!F8</f>
        <v>7.5</v>
      </c>
      <c r="X80" s="3">
        <f>'Country distance travelled'!F8</f>
        <v>17714.285714285717</v>
      </c>
      <c r="Z80" s="13">
        <v>8.1421734436847775</v>
      </c>
      <c r="AA80" s="13">
        <f t="shared" ref="AA80:AC80" si="51">Z80</f>
        <v>8.1421734436847775</v>
      </c>
      <c r="AB80" s="13">
        <f t="shared" si="51"/>
        <v>8.1421734436847775</v>
      </c>
      <c r="AC80" s="13">
        <f t="shared" si="51"/>
        <v>8.1421734436847775</v>
      </c>
    </row>
    <row r="81" spans="1:29">
      <c r="A81" s="3">
        <v>2014</v>
      </c>
      <c r="B81" s="3">
        <f t="shared" si="38"/>
        <v>190596.22750313292</v>
      </c>
      <c r="C81" s="3">
        <f t="shared" si="41"/>
        <v>38119.245500626581</v>
      </c>
      <c r="D81" s="3">
        <f t="shared" si="42"/>
        <v>24777.509575407279</v>
      </c>
      <c r="E81" s="3">
        <v>0</v>
      </c>
      <c r="F81" s="3">
        <f t="shared" si="43"/>
        <v>62896.755076033864</v>
      </c>
      <c r="G81" s="3"/>
      <c r="H81" s="3"/>
      <c r="I81" s="3">
        <v>2014</v>
      </c>
      <c r="J81" s="3">
        <f t="shared" si="44"/>
        <v>179431.18799999997</v>
      </c>
      <c r="K81" s="3">
        <f t="shared" si="45"/>
        <v>35886.237599999993</v>
      </c>
      <c r="L81" s="3">
        <f t="shared" si="46"/>
        <v>23326.054439999996</v>
      </c>
      <c r="M81" s="3">
        <f t="shared" si="39"/>
        <v>9678.4104704219189</v>
      </c>
      <c r="N81" s="3">
        <f t="shared" si="47"/>
        <v>68890.702510421906</v>
      </c>
      <c r="O81" s="3"/>
      <c r="P81" s="3"/>
      <c r="Q81" s="3">
        <v>2014</v>
      </c>
      <c r="R81" s="13">
        <f t="shared" si="48"/>
        <v>1.0952981982479406</v>
      </c>
      <c r="S81" s="13">
        <f t="shared" si="49"/>
        <v>0.91299337623271781</v>
      </c>
      <c r="T81" s="3"/>
      <c r="U81" s="13">
        <f t="shared" si="50"/>
        <v>7.5550258702445028</v>
      </c>
      <c r="V81" s="13">
        <f>'Country Petrol Prices'!F86</f>
        <v>1.2067939875019005</v>
      </c>
      <c r="W81" s="12">
        <f>'Country L per 100 km'!F9</f>
        <v>7.4110671936758887</v>
      </c>
      <c r="X81" s="3">
        <f>'Country distance travelled'!F9</f>
        <v>17285.71428571429</v>
      </c>
      <c r="Z81" s="13">
        <v>7.5550258702445028</v>
      </c>
      <c r="AA81" s="13">
        <f t="shared" ref="AA81:AC81" si="52">Z81</f>
        <v>7.5550258702445028</v>
      </c>
      <c r="AB81" s="13">
        <f t="shared" si="52"/>
        <v>7.5550258702445028</v>
      </c>
      <c r="AC81" s="13">
        <f t="shared" si="52"/>
        <v>7.5550258702445028</v>
      </c>
    </row>
    <row r="82" spans="1:29">
      <c r="A82" s="3">
        <v>2015</v>
      </c>
      <c r="B82" s="3">
        <f t="shared" si="38"/>
        <v>163478.95500996787</v>
      </c>
      <c r="C82" s="3">
        <f t="shared" si="41"/>
        <v>32695.791001993573</v>
      </c>
      <c r="D82" s="3">
        <f t="shared" si="42"/>
        <v>21252.264151295825</v>
      </c>
      <c r="E82" s="3">
        <v>0</v>
      </c>
      <c r="F82" s="3">
        <f t="shared" si="43"/>
        <v>53948.055153289402</v>
      </c>
      <c r="G82" s="3"/>
      <c r="H82" s="3"/>
      <c r="I82" s="3">
        <v>2015</v>
      </c>
      <c r="J82" s="3">
        <f t="shared" si="44"/>
        <v>181931.56400000001</v>
      </c>
      <c r="K82" s="3">
        <f t="shared" si="45"/>
        <v>36386.3128</v>
      </c>
      <c r="L82" s="3">
        <f t="shared" si="46"/>
        <v>23651.103320000002</v>
      </c>
      <c r="M82" s="3">
        <f t="shared" si="39"/>
        <v>6380.5736135851494</v>
      </c>
      <c r="N82" s="3">
        <f t="shared" si="47"/>
        <v>66417.989733585157</v>
      </c>
      <c r="O82" s="3"/>
      <c r="P82" s="3"/>
      <c r="Q82" s="3">
        <v>2015</v>
      </c>
      <c r="R82" s="13">
        <f t="shared" si="48"/>
        <v>1.2311470644282423</v>
      </c>
      <c r="S82" s="13">
        <f t="shared" si="49"/>
        <v>0.81225064729729146</v>
      </c>
      <c r="T82" s="3"/>
      <c r="U82" s="13">
        <f t="shared" si="50"/>
        <v>5.1635235363731296</v>
      </c>
      <c r="V82" s="13">
        <f>'Country Petrol Prices'!F87</f>
        <v>0.82417999999999991</v>
      </c>
      <c r="W82" s="12">
        <f>'Country L per 100 km'!F10</f>
        <v>7.330432436870316</v>
      </c>
      <c r="X82" s="3">
        <f>'Country distance travelled'!F10</f>
        <v>16857.142857142862</v>
      </c>
      <c r="Z82" s="13">
        <v>5.1635235363731296</v>
      </c>
      <c r="AA82" s="13">
        <f t="shared" ref="AA82:AC82" si="53">Z82</f>
        <v>5.1635235363731296</v>
      </c>
      <c r="AB82" s="13">
        <f t="shared" si="53"/>
        <v>5.1635235363731296</v>
      </c>
      <c r="AC82" s="13">
        <f t="shared" si="53"/>
        <v>5.1635235363731296</v>
      </c>
    </row>
    <row r="83" spans="1:29">
      <c r="A83" s="3">
        <v>2016</v>
      </c>
      <c r="B83" s="3">
        <f t="shared" si="38"/>
        <v>175531.24305909476</v>
      </c>
      <c r="C83" s="3">
        <f t="shared" si="41"/>
        <v>35106.248611818955</v>
      </c>
      <c r="D83" s="3">
        <f t="shared" si="42"/>
        <v>22819.061597682321</v>
      </c>
      <c r="E83" s="3">
        <v>0</v>
      </c>
      <c r="F83" s="3">
        <f t="shared" si="43"/>
        <v>57925.310209501273</v>
      </c>
      <c r="G83" s="3"/>
      <c r="H83" s="3"/>
      <c r="I83" s="3">
        <v>2016</v>
      </c>
      <c r="J83" s="3">
        <f t="shared" si="44"/>
        <v>194021.58300000004</v>
      </c>
      <c r="K83" s="3">
        <f t="shared" si="45"/>
        <v>38804.316600000006</v>
      </c>
      <c r="L83" s="3">
        <f t="shared" si="46"/>
        <v>25222.805790000006</v>
      </c>
      <c r="M83" s="3">
        <f t="shared" si="39"/>
        <v>5965.1423461789745</v>
      </c>
      <c r="N83" s="3">
        <f t="shared" si="47"/>
        <v>69992.264736178986</v>
      </c>
      <c r="O83" s="3"/>
      <c r="P83" s="3"/>
      <c r="Q83" s="3">
        <v>2016</v>
      </c>
      <c r="R83" s="13">
        <f t="shared" si="48"/>
        <v>1.2083192042137465</v>
      </c>
      <c r="S83" s="13">
        <f t="shared" si="49"/>
        <v>0.82759588402859174</v>
      </c>
      <c r="T83" s="3"/>
      <c r="U83" s="13">
        <f t="shared" si="50"/>
        <v>5.0027959529090609</v>
      </c>
      <c r="V83" s="13">
        <f>'Country Petrol Prices'!F88</f>
        <v>0.75212473390241319</v>
      </c>
      <c r="W83" s="12">
        <f>'Country L per 100 km'!F11</f>
        <v>7.257853897891402</v>
      </c>
      <c r="X83" s="3">
        <f>'Country distance travelled'!F11</f>
        <v>16428.571428571435</v>
      </c>
      <c r="Z83" s="13">
        <v>5.0027959529090609</v>
      </c>
      <c r="AA83" s="13">
        <f t="shared" ref="AA83:AC83" si="54">Z83</f>
        <v>5.0027959529090609</v>
      </c>
      <c r="AB83" s="13">
        <f t="shared" si="54"/>
        <v>5.0027959529090609</v>
      </c>
      <c r="AC83" s="13">
        <f t="shared" si="54"/>
        <v>5.0027959529090609</v>
      </c>
    </row>
    <row r="84" spans="1:29">
      <c r="A84" s="3">
        <v>2017</v>
      </c>
      <c r="B84" s="3">
        <f t="shared" si="38"/>
        <v>180589.75336149876</v>
      </c>
      <c r="C84" s="3">
        <f t="shared" si="41"/>
        <v>36117.950672299754</v>
      </c>
      <c r="D84" s="3">
        <f t="shared" si="42"/>
        <v>23476.66793699484</v>
      </c>
      <c r="E84" s="3">
        <v>0</v>
      </c>
      <c r="F84" s="3">
        <f t="shared" si="43"/>
        <v>59594.618609294594</v>
      </c>
      <c r="G84" s="3"/>
      <c r="H84" s="3"/>
      <c r="I84" s="3">
        <v>2017</v>
      </c>
      <c r="J84" s="3">
        <f t="shared" si="44"/>
        <v>197220.07799999998</v>
      </c>
      <c r="K84" s="3">
        <f t="shared" si="45"/>
        <v>39444.015599999999</v>
      </c>
      <c r="L84" s="3">
        <f t="shared" si="46"/>
        <v>25638.610139999997</v>
      </c>
      <c r="M84" s="3">
        <f t="shared" si="39"/>
        <v>5594.451514012525</v>
      </c>
      <c r="N84" s="3">
        <f t="shared" si="47"/>
        <v>70677.077254012518</v>
      </c>
      <c r="O84" s="3"/>
      <c r="P84" s="3"/>
      <c r="Q84" s="3">
        <v>2017</v>
      </c>
      <c r="R84" s="13">
        <f t="shared" si="48"/>
        <v>1.1859640837266716</v>
      </c>
      <c r="S84" s="13">
        <f t="shared" si="49"/>
        <v>0.8431958553565011</v>
      </c>
      <c r="T84" s="3"/>
      <c r="U84" s="13">
        <f t="shared" si="50"/>
        <v>4.865759999999999</v>
      </c>
      <c r="V84" s="13">
        <f>'Country Petrol Prices'!F89</f>
        <v>0.72</v>
      </c>
      <c r="W84" s="12">
        <f>'Country L per 100 km'!F12</f>
        <v>7.1859939583083188</v>
      </c>
      <c r="X84" s="3">
        <f>'Country distance travelled'!F12</f>
        <v>16000</v>
      </c>
      <c r="Z84" s="13">
        <v>4.865759999999999</v>
      </c>
      <c r="AA84" s="13">
        <f t="shared" ref="AA84:AC84" si="55">Z84</f>
        <v>4.865759999999999</v>
      </c>
      <c r="AB84" s="13">
        <f t="shared" si="55"/>
        <v>4.865759999999999</v>
      </c>
      <c r="AC84" s="13">
        <f t="shared" si="55"/>
        <v>4.865759999999999</v>
      </c>
    </row>
    <row r="85" spans="1:29">
      <c r="A85" s="3">
        <v>2018</v>
      </c>
      <c r="B85" s="3">
        <f t="shared" si="38"/>
        <v>185343.27589771608</v>
      </c>
      <c r="C85" s="3">
        <f t="shared" si="41"/>
        <v>37068.655179543217</v>
      </c>
      <c r="D85" s="3">
        <f t="shared" si="42"/>
        <v>24094.625866703092</v>
      </c>
      <c r="E85" s="3">
        <v>0</v>
      </c>
      <c r="F85" s="3">
        <f t="shared" si="43"/>
        <v>61163.281046246309</v>
      </c>
      <c r="G85" s="3"/>
      <c r="H85" s="3"/>
      <c r="I85" s="3">
        <v>2018</v>
      </c>
      <c r="J85" s="3">
        <f t="shared" si="44"/>
        <v>197064</v>
      </c>
      <c r="K85" s="3">
        <f t="shared" si="45"/>
        <v>39412.800000000003</v>
      </c>
      <c r="L85" s="3">
        <f t="shared" si="46"/>
        <v>25618.32</v>
      </c>
      <c r="M85" s="3">
        <f t="shared" si="39"/>
        <v>6307.6581177608005</v>
      </c>
      <c r="N85" s="3">
        <f t="shared" si="47"/>
        <v>71338.778117760798</v>
      </c>
      <c r="O85" s="3"/>
      <c r="P85" s="3"/>
      <c r="Q85" s="3">
        <v>2018</v>
      </c>
      <c r="R85" s="13">
        <f t="shared" si="48"/>
        <v>1.1663661088393977</v>
      </c>
      <c r="S85" s="13">
        <f t="shared" si="49"/>
        <v>0.8573637320404125</v>
      </c>
      <c r="T85" s="3"/>
      <c r="U85" s="13">
        <f t="shared" si="50"/>
        <v>5.5864722222222225</v>
      </c>
      <c r="V85" s="13">
        <f>V81</f>
        <v>1.2067939875019005</v>
      </c>
      <c r="W85" s="12">
        <f>'Country L per 100 km'!F13</f>
        <v>7.1148455032755624</v>
      </c>
      <c r="X85" s="3">
        <f>'Country distance travelled'!F13</f>
        <v>15869.565217391304</v>
      </c>
      <c r="Z85" s="13">
        <v>5.5864722222222225</v>
      </c>
      <c r="AA85" s="13">
        <f>Z85</f>
        <v>5.5864722222222225</v>
      </c>
      <c r="AB85" s="13">
        <f t="shared" ref="AB85:AC85" si="56">AA85</f>
        <v>5.5864722222222225</v>
      </c>
      <c r="AC85" s="13">
        <f t="shared" si="56"/>
        <v>5.5864722222222225</v>
      </c>
    </row>
    <row r="86" spans="1:29">
      <c r="A86" s="3">
        <v>2019</v>
      </c>
      <c r="B86" s="3">
        <f t="shared" si="38"/>
        <v>190320.36885599038</v>
      </c>
      <c r="C86" s="3">
        <f t="shared" si="41"/>
        <v>38064.073771198076</v>
      </c>
      <c r="D86" s="3">
        <f t="shared" si="42"/>
        <v>24741.647951278752</v>
      </c>
      <c r="E86" s="3">
        <v>0</v>
      </c>
      <c r="F86" s="3">
        <f t="shared" si="43"/>
        <v>62805.721722476825</v>
      </c>
      <c r="G86" s="3"/>
      <c r="H86" s="3"/>
      <c r="I86" s="3">
        <v>2019</v>
      </c>
      <c r="J86" s="3">
        <f t="shared" si="44"/>
        <v>197064</v>
      </c>
      <c r="K86" s="3">
        <f t="shared" si="45"/>
        <v>39412.800000000003</v>
      </c>
      <c r="L86" s="3">
        <f t="shared" si="46"/>
        <v>25618.32</v>
      </c>
      <c r="M86" s="3">
        <f t="shared" si="39"/>
        <v>6003.1517392718542</v>
      </c>
      <c r="N86" s="3">
        <f t="shared" si="47"/>
        <v>71034.271739271862</v>
      </c>
      <c r="O86" s="3"/>
      <c r="P86" s="3"/>
      <c r="Q86" s="3">
        <v>2019</v>
      </c>
      <c r="R86" s="13">
        <f t="shared" si="48"/>
        <v>1.1310159296179254</v>
      </c>
      <c r="S86" s="13">
        <f t="shared" si="49"/>
        <v>0.88416084496512382</v>
      </c>
      <c r="T86" s="3"/>
      <c r="U86" s="13">
        <f t="shared" si="50"/>
        <v>5.414451729782269</v>
      </c>
      <c r="V86" s="13">
        <f>V85</f>
        <v>1.2067939875019005</v>
      </c>
      <c r="W86" s="12">
        <f>'Country L per 100 km'!F14</f>
        <v>7.0444014883916468</v>
      </c>
      <c r="X86" s="3">
        <f>'Country distance travelled'!F14</f>
        <v>15739.130434782608</v>
      </c>
      <c r="Z86" s="13"/>
      <c r="AA86" s="13">
        <v>7.5022030167857396</v>
      </c>
      <c r="AB86" s="13">
        <v>5.414451729782269</v>
      </c>
      <c r="AC86" s="13">
        <v>3.5959538536615128</v>
      </c>
    </row>
    <row r="87" spans="1:29">
      <c r="A87" s="3">
        <v>2020</v>
      </c>
      <c r="B87" s="3">
        <f t="shared" si="38"/>
        <v>188717.37376733191</v>
      </c>
      <c r="C87" s="3">
        <f t="shared" si="41"/>
        <v>37743.474753466384</v>
      </c>
      <c r="D87" s="3">
        <f t="shared" si="42"/>
        <v>24533.25858975315</v>
      </c>
      <c r="E87" s="3">
        <v>0</v>
      </c>
      <c r="F87" s="3">
        <f t="shared" si="43"/>
        <v>62276.73334321953</v>
      </c>
      <c r="G87" s="3"/>
      <c r="H87" s="3"/>
      <c r="I87" s="3">
        <v>2020</v>
      </c>
      <c r="J87" s="3">
        <f t="shared" si="44"/>
        <v>197064</v>
      </c>
      <c r="K87" s="3">
        <f t="shared" si="45"/>
        <v>39412.800000000003</v>
      </c>
      <c r="L87" s="3">
        <f t="shared" si="46"/>
        <v>25618.32</v>
      </c>
      <c r="M87" s="3">
        <f t="shared" si="39"/>
        <v>5909.6904089230584</v>
      </c>
      <c r="N87" s="3">
        <f t="shared" si="47"/>
        <v>70940.810408923062</v>
      </c>
      <c r="O87" s="3"/>
      <c r="P87" s="3"/>
      <c r="Q87" s="3">
        <v>2020</v>
      </c>
      <c r="R87" s="13">
        <f t="shared" si="48"/>
        <v>1.139122214679342</v>
      </c>
      <c r="S87" s="13">
        <f t="shared" si="49"/>
        <v>0.87786893022843526</v>
      </c>
      <c r="T87" s="3"/>
      <c r="U87" s="13">
        <f t="shared" si="50"/>
        <v>5.4284443643230818</v>
      </c>
      <c r="V87" s="13">
        <f t="shared" ref="V87:V107" si="57">V86</f>
        <v>1.2067939875019005</v>
      </c>
      <c r="W87" s="12">
        <f>'Country L per 100 km'!F15</f>
        <v>6.9746549390016304</v>
      </c>
      <c r="X87" s="3">
        <f>'Country distance travelled'!F15</f>
        <v>15608.695652173912</v>
      </c>
      <c r="Z87" s="13"/>
      <c r="AA87" s="13">
        <v>8.3876194937605639</v>
      </c>
      <c r="AB87" s="13">
        <v>5.4284443643230818</v>
      </c>
      <c r="AC87" s="13">
        <v>3.6480371758365022</v>
      </c>
    </row>
    <row r="88" spans="1:29">
      <c r="A88" s="3">
        <v>2021</v>
      </c>
      <c r="B88" s="3">
        <f t="shared" si="38"/>
        <v>182041.23717348787</v>
      </c>
      <c r="C88" s="3">
        <f t="shared" si="41"/>
        <v>36408.247434697572</v>
      </c>
      <c r="D88" s="3">
        <f t="shared" si="42"/>
        <v>23665.360832553422</v>
      </c>
      <c r="E88" s="3">
        <v>0</v>
      </c>
      <c r="F88" s="3">
        <f t="shared" si="43"/>
        <v>60073.608267250995</v>
      </c>
      <c r="G88" s="3"/>
      <c r="H88" s="3"/>
      <c r="I88" s="3">
        <v>2021</v>
      </c>
      <c r="J88" s="3">
        <f t="shared" si="44"/>
        <v>197064</v>
      </c>
      <c r="K88" s="3">
        <f t="shared" si="45"/>
        <v>39412.800000000003</v>
      </c>
      <c r="L88" s="3">
        <f t="shared" si="46"/>
        <v>25618.32</v>
      </c>
      <c r="M88" s="3">
        <f t="shared" si="39"/>
        <v>6242.9286771097768</v>
      </c>
      <c r="N88" s="3">
        <f t="shared" si="47"/>
        <v>71274.048677109779</v>
      </c>
      <c r="O88" s="3"/>
      <c r="P88" s="3"/>
      <c r="Q88" s="3">
        <v>2021</v>
      </c>
      <c r="R88" s="13">
        <f t="shared" si="48"/>
        <v>1.1864452749372254</v>
      </c>
      <c r="S88" s="13">
        <f t="shared" si="49"/>
        <v>0.84285387714398363</v>
      </c>
      <c r="T88" s="3"/>
      <c r="U88" s="13">
        <f t="shared" si="50"/>
        <v>5.8406994476522955</v>
      </c>
      <c r="V88" s="13">
        <f t="shared" si="57"/>
        <v>1.2067939875019005</v>
      </c>
      <c r="W88" s="12">
        <f>'Country L per 100 km'!F16</f>
        <v>6.9055989495065635</v>
      </c>
      <c r="X88" s="3">
        <f>'Country distance travelled'!F16</f>
        <v>15478.260869565216</v>
      </c>
      <c r="Z88" s="13"/>
      <c r="AA88" s="13">
        <v>9.3251192929103759</v>
      </c>
      <c r="AB88" s="13">
        <v>5.8406994476522955</v>
      </c>
      <c r="AC88" s="13">
        <v>3.752203820186482</v>
      </c>
    </row>
    <row r="89" spans="1:29">
      <c r="A89" s="3">
        <v>2022</v>
      </c>
      <c r="B89" s="3">
        <f t="shared" si="38"/>
        <v>185774.70718446039</v>
      </c>
      <c r="C89" s="3">
        <f t="shared" si="41"/>
        <v>37154.941436892077</v>
      </c>
      <c r="D89" s="3">
        <f t="shared" si="42"/>
        <v>24150.711933979852</v>
      </c>
      <c r="E89" s="3">
        <v>0</v>
      </c>
      <c r="F89" s="3">
        <f t="shared" si="43"/>
        <v>61305.653370871929</v>
      </c>
      <c r="G89" s="3"/>
      <c r="H89" s="3"/>
      <c r="I89" s="3">
        <v>2022</v>
      </c>
      <c r="J89" s="3">
        <f t="shared" si="44"/>
        <v>197064</v>
      </c>
      <c r="K89" s="3">
        <f t="shared" si="45"/>
        <v>39412.800000000003</v>
      </c>
      <c r="L89" s="3">
        <f t="shared" si="46"/>
        <v>25618.32</v>
      </c>
      <c r="M89" s="3">
        <f t="shared" si="39"/>
        <v>6451.1345904073896</v>
      </c>
      <c r="N89" s="3">
        <f t="shared" si="47"/>
        <v>71482.254590407392</v>
      </c>
      <c r="O89" s="3"/>
      <c r="P89" s="3"/>
      <c r="Q89" s="3">
        <v>2022</v>
      </c>
      <c r="R89" s="13">
        <f t="shared" si="48"/>
        <v>1.1659977613805297</v>
      </c>
      <c r="S89" s="13">
        <f t="shared" si="49"/>
        <v>0.85763457968908108</v>
      </c>
      <c r="T89" s="3"/>
      <c r="U89" s="13">
        <f t="shared" si="50"/>
        <v>6.1476517039561145</v>
      </c>
      <c r="V89" s="13">
        <f t="shared" si="57"/>
        <v>1.2067939875019005</v>
      </c>
      <c r="W89" s="12">
        <f>'Country L per 100 km'!F17</f>
        <v>6.8372266826797663</v>
      </c>
      <c r="X89" s="3">
        <f>'Country distance travelled'!F17</f>
        <v>15347.82608695652</v>
      </c>
      <c r="Z89" s="13"/>
      <c r="AA89" s="13">
        <v>9.7417858703102951</v>
      </c>
      <c r="AB89" s="13">
        <v>6.1476517039561145</v>
      </c>
      <c r="AC89" s="13">
        <v>3.8042871423614706</v>
      </c>
    </row>
    <row r="90" spans="1:29">
      <c r="A90" s="3">
        <v>2023</v>
      </c>
      <c r="B90" s="3">
        <f t="shared" si="38"/>
        <v>183367.88414275055</v>
      </c>
      <c r="C90" s="3">
        <f t="shared" si="41"/>
        <v>36673.576828550111</v>
      </c>
      <c r="D90" s="3">
        <f t="shared" si="42"/>
        <v>23837.824938557573</v>
      </c>
      <c r="E90" s="3">
        <v>0</v>
      </c>
      <c r="F90" s="3">
        <f t="shared" si="43"/>
        <v>60511.401767107687</v>
      </c>
      <c r="G90" s="3"/>
      <c r="H90" s="3"/>
      <c r="I90" s="3">
        <v>2023</v>
      </c>
      <c r="J90" s="3">
        <f t="shared" si="44"/>
        <v>197064</v>
      </c>
      <c r="K90" s="3">
        <f t="shared" si="45"/>
        <v>39412.800000000003</v>
      </c>
      <c r="L90" s="3">
        <f t="shared" si="46"/>
        <v>25618.32</v>
      </c>
      <c r="M90" s="3">
        <f t="shared" si="39"/>
        <v>6478.4864721111235</v>
      </c>
      <c r="N90" s="3">
        <f t="shared" si="47"/>
        <v>71509.606472111132</v>
      </c>
      <c r="O90" s="3"/>
      <c r="P90" s="3"/>
      <c r="Q90" s="3">
        <v>2023</v>
      </c>
      <c r="R90" s="13">
        <f t="shared" si="48"/>
        <v>1.1817542543028934</v>
      </c>
      <c r="S90" s="13">
        <f t="shared" si="49"/>
        <v>0.84619961921769538</v>
      </c>
      <c r="T90" s="3"/>
      <c r="U90" s="13">
        <f t="shared" si="50"/>
        <v>6.2889007793750933</v>
      </c>
      <c r="V90" s="13">
        <f t="shared" si="57"/>
        <v>1.2067939875019005</v>
      </c>
      <c r="W90" s="12">
        <f>'Country L per 100 km'!F18</f>
        <v>6.7695313689898686</v>
      </c>
      <c r="X90" s="3">
        <f>'Country distance travelled'!F18</f>
        <v>15217.391304347824</v>
      </c>
      <c r="Z90" s="13"/>
      <c r="AA90" s="13">
        <v>10.054285803360234</v>
      </c>
      <c r="AB90" s="13">
        <v>6.2889007793750933</v>
      </c>
      <c r="AC90" s="13">
        <v>3.8042871423614706</v>
      </c>
    </row>
    <row r="91" spans="1:29">
      <c r="A91" s="3">
        <v>2024</v>
      </c>
      <c r="B91" s="3">
        <f t="shared" si="38"/>
        <v>174063.84315970453</v>
      </c>
      <c r="C91" s="3">
        <f t="shared" si="41"/>
        <v>34812.768631940904</v>
      </c>
      <c r="D91" s="3">
        <f t="shared" si="42"/>
        <v>22628.299610761591</v>
      </c>
      <c r="E91" s="3">
        <v>0</v>
      </c>
      <c r="F91" s="3">
        <f t="shared" si="43"/>
        <v>57441.068242702495</v>
      </c>
      <c r="G91" s="3"/>
      <c r="H91" s="3"/>
      <c r="I91" s="3">
        <v>2024</v>
      </c>
      <c r="J91" s="3">
        <f t="shared" si="44"/>
        <v>197064</v>
      </c>
      <c r="K91" s="3">
        <f t="shared" si="45"/>
        <v>39412.800000000003</v>
      </c>
      <c r="L91" s="3">
        <f t="shared" si="46"/>
        <v>25618.32</v>
      </c>
      <c r="M91" s="3">
        <f t="shared" si="39"/>
        <v>6397.1258627267289</v>
      </c>
      <c r="N91" s="3">
        <f t="shared" si="47"/>
        <v>71428.245862726733</v>
      </c>
      <c r="O91" s="3"/>
      <c r="P91" s="3"/>
      <c r="Q91" s="3">
        <v>2024</v>
      </c>
      <c r="R91" s="13">
        <f t="shared" si="48"/>
        <v>1.2435048310892305</v>
      </c>
      <c r="S91" s="13">
        <f t="shared" si="49"/>
        <v>0.80417862078112234</v>
      </c>
      <c r="T91" s="3"/>
      <c r="U91" s="13">
        <f t="shared" si="50"/>
        <v>6.3262452680450156</v>
      </c>
      <c r="V91" s="13">
        <f t="shared" si="57"/>
        <v>1.2067939875019005</v>
      </c>
      <c r="W91" s="12">
        <f>'Country L per 100 km'!F19</f>
        <v>6.7025063059305623</v>
      </c>
      <c r="X91" s="3">
        <f>'Country distance travelled'!F19</f>
        <v>15086.956521739128</v>
      </c>
      <c r="Z91" s="13"/>
      <c r="AA91" s="13">
        <v>10.314702414235182</v>
      </c>
      <c r="AB91" s="13">
        <v>6.3262452680450156</v>
      </c>
      <c r="AC91" s="13">
        <v>3.8042871423614706</v>
      </c>
    </row>
    <row r="92" spans="1:29">
      <c r="A92" s="3">
        <v>2025</v>
      </c>
      <c r="B92" s="3">
        <f t="shared" si="38"/>
        <v>166076.19990815222</v>
      </c>
      <c r="C92" s="3">
        <f t="shared" si="41"/>
        <v>33215.239981630446</v>
      </c>
      <c r="D92" s="3">
        <f t="shared" si="42"/>
        <v>21589.905988059789</v>
      </c>
      <c r="E92" s="3">
        <v>0</v>
      </c>
      <c r="F92" s="3">
        <f t="shared" si="43"/>
        <v>54805.145969690231</v>
      </c>
      <c r="G92" s="3"/>
      <c r="H92" s="3"/>
      <c r="I92" s="3">
        <v>2025</v>
      </c>
      <c r="J92" s="3">
        <f t="shared" si="44"/>
        <v>197064</v>
      </c>
      <c r="K92" s="3">
        <f t="shared" si="45"/>
        <v>39412.800000000003</v>
      </c>
      <c r="L92" s="3">
        <f t="shared" si="46"/>
        <v>25618.32</v>
      </c>
      <c r="M92" s="3">
        <f t="shared" si="39"/>
        <v>6472.9727703698109</v>
      </c>
      <c r="N92" s="3">
        <f t="shared" si="47"/>
        <v>71504.092770369811</v>
      </c>
      <c r="O92" s="3"/>
      <c r="P92" s="3"/>
      <c r="Q92" s="3">
        <v>2025</v>
      </c>
      <c r="R92" s="13">
        <f t="shared" si="48"/>
        <v>1.304696694173844</v>
      </c>
      <c r="S92" s="13">
        <f t="shared" si="49"/>
        <v>0.76646166458880849</v>
      </c>
      <c r="T92" s="3"/>
      <c r="U92" s="13">
        <f t="shared" si="50"/>
        <v>6.5216474235359412</v>
      </c>
      <c r="V92" s="13">
        <f t="shared" si="57"/>
        <v>1.2067939875019005</v>
      </c>
      <c r="W92" s="12">
        <f>'Country L per 100 km'!F20</f>
        <v>6.6361448573569923</v>
      </c>
      <c r="X92" s="3">
        <f>'Country distance travelled'!F20</f>
        <v>14956.521739130432</v>
      </c>
      <c r="Z92" s="13"/>
      <c r="AA92" s="13">
        <v>10.57511902511013</v>
      </c>
      <c r="AB92" s="13">
        <v>6.5216474235359412</v>
      </c>
      <c r="AC92" s="13">
        <v>3.8563704645364605</v>
      </c>
    </row>
    <row r="93" spans="1:29">
      <c r="A93" s="3">
        <v>2026</v>
      </c>
      <c r="B93" s="3">
        <f t="shared" si="38"/>
        <v>161525.68923138382</v>
      </c>
      <c r="C93" s="3">
        <f t="shared" si="41"/>
        <v>32305.137846276764</v>
      </c>
      <c r="D93" s="3">
        <f t="shared" si="42"/>
        <v>20998.339600079897</v>
      </c>
      <c r="E93" s="3">
        <v>0</v>
      </c>
      <c r="F93" s="3">
        <f t="shared" si="43"/>
        <v>53303.477446356657</v>
      </c>
      <c r="G93" s="3"/>
      <c r="H93" s="3"/>
      <c r="I93" s="3">
        <v>2026</v>
      </c>
      <c r="J93" s="3">
        <f t="shared" si="44"/>
        <v>197064</v>
      </c>
      <c r="K93" s="3">
        <f t="shared" si="45"/>
        <v>39412.800000000003</v>
      </c>
      <c r="L93" s="3">
        <f t="shared" si="46"/>
        <v>25618.32</v>
      </c>
      <c r="M93" s="3">
        <f t="shared" si="39"/>
        <v>6687.5528759270319</v>
      </c>
      <c r="N93" s="3">
        <f t="shared" si="47"/>
        <v>71718.672875927034</v>
      </c>
      <c r="O93" s="3"/>
      <c r="P93" s="3"/>
      <c r="Q93" s="3">
        <v>2026</v>
      </c>
      <c r="R93" s="13">
        <f t="shared" si="48"/>
        <v>1.3454783123315546</v>
      </c>
      <c r="S93" s="13">
        <f t="shared" si="49"/>
        <v>0.74323011440230391</v>
      </c>
      <c r="T93" s="3"/>
      <c r="U93" s="13">
        <f t="shared" si="50"/>
        <v>6.86508947920957</v>
      </c>
      <c r="V93" s="13">
        <f t="shared" si="57"/>
        <v>1.2067939875019005</v>
      </c>
      <c r="W93" s="12">
        <f>'Country L per 100 km'!F21</f>
        <v>6.5704404528287066</v>
      </c>
      <c r="X93" s="3">
        <f>'Country distance travelled'!F21</f>
        <v>14826.086956521736</v>
      </c>
      <c r="Z93" s="13"/>
      <c r="AA93" s="13">
        <v>10.83553563598508</v>
      </c>
      <c r="AB93" s="13">
        <v>6.86508947920957</v>
      </c>
      <c r="AC93" s="13">
        <v>3.9084537867114504</v>
      </c>
    </row>
    <row r="94" spans="1:29">
      <c r="A94" s="3">
        <v>2027</v>
      </c>
      <c r="B94" s="3">
        <f t="shared" si="38"/>
        <v>156975.17855461541</v>
      </c>
      <c r="C94" s="3">
        <f t="shared" si="41"/>
        <v>31395.035710923083</v>
      </c>
      <c r="D94" s="3">
        <f t="shared" si="42"/>
        <v>20406.773212100004</v>
      </c>
      <c r="E94" s="3">
        <v>0</v>
      </c>
      <c r="F94" s="3">
        <f t="shared" si="43"/>
        <v>51801.808923023083</v>
      </c>
      <c r="G94" s="3"/>
      <c r="H94" s="3"/>
      <c r="I94" s="3">
        <v>2027</v>
      </c>
      <c r="J94" s="3">
        <f t="shared" si="44"/>
        <v>197064</v>
      </c>
      <c r="K94" s="3">
        <f t="shared" si="45"/>
        <v>39412.800000000003</v>
      </c>
      <c r="L94" s="3">
        <f t="shared" si="46"/>
        <v>25618.32</v>
      </c>
      <c r="M94" s="3">
        <f t="shared" si="39"/>
        <v>6732.3021042408518</v>
      </c>
      <c r="N94" s="3">
        <f t="shared" si="47"/>
        <v>71763.422104240861</v>
      </c>
      <c r="O94" s="3"/>
      <c r="P94" s="3"/>
      <c r="Q94" s="3">
        <v>2027</v>
      </c>
      <c r="R94" s="13">
        <f t="shared" si="48"/>
        <v>1.385345871046328</v>
      </c>
      <c r="S94" s="13">
        <f t="shared" si="49"/>
        <v>0.72184139780538492</v>
      </c>
      <c r="T94" s="3"/>
      <c r="U94" s="13">
        <f t="shared" si="50"/>
        <v>7.0420908246057881</v>
      </c>
      <c r="V94" s="13">
        <f t="shared" si="57"/>
        <v>1.2067939875019005</v>
      </c>
      <c r="W94" s="12">
        <f>'Country L per 100 km'!F22</f>
        <v>6.5053865869591148</v>
      </c>
      <c r="X94" s="3">
        <f>'Country distance travelled'!F22</f>
        <v>14695.65217391304</v>
      </c>
      <c r="Z94" s="13"/>
      <c r="AA94" s="13">
        <v>11.09595224686003</v>
      </c>
      <c r="AB94" s="13">
        <v>7.0420908246057881</v>
      </c>
      <c r="AC94" s="13">
        <v>3.9605371088864403</v>
      </c>
    </row>
    <row r="95" spans="1:29">
      <c r="A95" s="3">
        <v>2028</v>
      </c>
      <c r="B95" s="3">
        <f t="shared" si="38"/>
        <v>151855.85404325093</v>
      </c>
      <c r="C95" s="3">
        <f t="shared" si="41"/>
        <v>30371.170808650186</v>
      </c>
      <c r="D95" s="3">
        <f t="shared" si="42"/>
        <v>19741.261025622622</v>
      </c>
      <c r="E95" s="3">
        <v>0</v>
      </c>
      <c r="F95" s="3">
        <f t="shared" si="43"/>
        <v>50112.431834272807</v>
      </c>
      <c r="G95" s="3"/>
      <c r="H95" s="3"/>
      <c r="I95" s="3">
        <v>2028</v>
      </c>
      <c r="J95" s="3">
        <f t="shared" si="44"/>
        <v>197064</v>
      </c>
      <c r="K95" s="3">
        <f t="shared" si="45"/>
        <v>39412.800000000003</v>
      </c>
      <c r="L95" s="3">
        <f t="shared" si="46"/>
        <v>25618.32</v>
      </c>
      <c r="M95" s="3">
        <f t="shared" si="39"/>
        <v>6711.5984530963469</v>
      </c>
      <c r="N95" s="3">
        <f t="shared" si="47"/>
        <v>71742.718453096342</v>
      </c>
      <c r="O95" s="3"/>
      <c r="P95" s="3"/>
      <c r="Q95" s="3">
        <v>2028</v>
      </c>
      <c r="R95" s="13">
        <f t="shared" si="48"/>
        <v>1.4316351417619726</v>
      </c>
      <c r="S95" s="13">
        <f t="shared" si="49"/>
        <v>0.69850199316095207</v>
      </c>
      <c r="T95" s="3"/>
      <c r="U95" s="13">
        <f t="shared" si="50"/>
        <v>7.154137092407951</v>
      </c>
      <c r="V95" s="13">
        <f t="shared" si="57"/>
        <v>1.2067939875019005</v>
      </c>
      <c r="W95" s="12">
        <f>'Country L per 100 km'!F23</f>
        <v>6.4409768187714009</v>
      </c>
      <c r="X95" s="3">
        <f>'Country distance travelled'!F23</f>
        <v>14565.217391304344</v>
      </c>
      <c r="Z95" s="13"/>
      <c r="AA95" s="13">
        <v>11.304285535559989</v>
      </c>
      <c r="AB95" s="13">
        <v>7.154137092407951</v>
      </c>
      <c r="AC95" s="13">
        <v>3.9605371088864403</v>
      </c>
    </row>
    <row r="96" spans="1:29">
      <c r="A96" s="3">
        <v>2029</v>
      </c>
      <c r="B96" s="3">
        <f t="shared" si="38"/>
        <v>147305.34336648264</v>
      </c>
      <c r="C96" s="3">
        <f t="shared" si="41"/>
        <v>29461.06867329653</v>
      </c>
      <c r="D96" s="3">
        <f t="shared" si="42"/>
        <v>19149.694637642744</v>
      </c>
      <c r="E96" s="3">
        <v>0</v>
      </c>
      <c r="F96" s="3">
        <f t="shared" si="43"/>
        <v>48610.763310939277</v>
      </c>
      <c r="G96" s="3"/>
      <c r="H96" s="3"/>
      <c r="I96" s="3">
        <v>2029</v>
      </c>
      <c r="J96" s="3">
        <f t="shared" si="44"/>
        <v>197064</v>
      </c>
      <c r="K96" s="3">
        <f t="shared" si="45"/>
        <v>39412.800000000003</v>
      </c>
      <c r="L96" s="3">
        <f t="shared" si="46"/>
        <v>25618.32</v>
      </c>
      <c r="M96" s="3">
        <f t="shared" si="39"/>
        <v>6725.4410948576169</v>
      </c>
      <c r="N96" s="3">
        <f t="shared" si="47"/>
        <v>71756.561094857621</v>
      </c>
      <c r="O96" s="3"/>
      <c r="P96" s="3"/>
      <c r="Q96" s="3">
        <v>2029</v>
      </c>
      <c r="R96" s="13">
        <f t="shared" si="48"/>
        <v>1.476145532541137</v>
      </c>
      <c r="S96" s="13">
        <f t="shared" si="49"/>
        <v>0.67743997997171201</v>
      </c>
      <c r="T96" s="3"/>
      <c r="U96" s="13">
        <f t="shared" si="50"/>
        <v>7.3060083331093457</v>
      </c>
      <c r="V96" s="13">
        <f t="shared" si="57"/>
        <v>1.2067939875019005</v>
      </c>
      <c r="W96" s="12">
        <f>'Country L per 100 km'!F24</f>
        <v>6.3772047710607929</v>
      </c>
      <c r="X96" s="3">
        <f>'Country distance travelled'!F24</f>
        <v>14434.782608695648</v>
      </c>
      <c r="Z96" s="13"/>
      <c r="AA96" s="13">
        <v>11.564702146434936</v>
      </c>
      <c r="AB96" s="13">
        <v>7.3060083331093457</v>
      </c>
      <c r="AC96" s="13">
        <v>3.9605371088864403</v>
      </c>
    </row>
    <row r="97" spans="1:29">
      <c r="A97" s="3">
        <v>2030</v>
      </c>
      <c r="B97" s="3">
        <f t="shared" si="38"/>
        <v>142186.01885511819</v>
      </c>
      <c r="C97" s="3">
        <f t="shared" si="41"/>
        <v>28437.20377102364</v>
      </c>
      <c r="D97" s="3">
        <f t="shared" si="42"/>
        <v>18484.182451165365</v>
      </c>
      <c r="E97" s="3">
        <v>0</v>
      </c>
      <c r="F97" s="3">
        <f t="shared" si="43"/>
        <v>46921.386222189001</v>
      </c>
      <c r="G97" s="3"/>
      <c r="H97" s="3"/>
      <c r="I97" s="3">
        <v>2030</v>
      </c>
      <c r="J97" s="3">
        <f t="shared" si="44"/>
        <v>197064</v>
      </c>
      <c r="K97" s="3">
        <f t="shared" si="45"/>
        <v>39412.800000000003</v>
      </c>
      <c r="L97" s="3">
        <f t="shared" si="46"/>
        <v>25618.32</v>
      </c>
      <c r="M97" s="3">
        <f t="shared" si="39"/>
        <v>6703.5648001994896</v>
      </c>
      <c r="N97" s="3">
        <f>SUM(K97:M97)</f>
        <v>71734.684800199495</v>
      </c>
      <c r="O97" s="3"/>
      <c r="P97" s="3"/>
      <c r="Q97" s="3">
        <v>2030</v>
      </c>
      <c r="R97" s="13">
        <f t="shared" si="48"/>
        <v>1.528827056824599</v>
      </c>
      <c r="S97" s="13">
        <f t="shared" si="49"/>
        <v>0.65409622071774287</v>
      </c>
      <c r="T97" s="3"/>
      <c r="U97" s="13">
        <f t="shared" si="50"/>
        <v>7.4221334955705265</v>
      </c>
      <c r="V97" s="13">
        <f t="shared" si="57"/>
        <v>1.2067939875019005</v>
      </c>
      <c r="W97" s="12">
        <f>'Country L per 100 km'!F25</f>
        <v>6.3140641297631612</v>
      </c>
      <c r="X97" s="3">
        <f>'Country distance travelled'!F25</f>
        <v>14304.347826086952</v>
      </c>
      <c r="Z97" s="13"/>
      <c r="AA97" s="13">
        <v>11.720952112959901</v>
      </c>
      <c r="AB97" s="13">
        <v>7.4221334955705265</v>
      </c>
      <c r="AC97" s="13">
        <v>4.0126204310614302</v>
      </c>
    </row>
    <row r="98" spans="1:29">
      <c r="A98" s="3">
        <v>2031</v>
      </c>
      <c r="B98" s="3"/>
      <c r="C98" s="3"/>
      <c r="D98" s="3"/>
      <c r="E98" s="3"/>
      <c r="F98" s="3"/>
      <c r="G98" s="3"/>
      <c r="H98" s="3"/>
      <c r="I98" s="3">
        <v>2031</v>
      </c>
      <c r="J98" s="3"/>
      <c r="K98" s="3"/>
      <c r="L98" s="3"/>
      <c r="M98" s="3"/>
      <c r="N98" s="3"/>
      <c r="O98" s="3"/>
      <c r="P98" s="3"/>
      <c r="Q98" s="3">
        <v>2031</v>
      </c>
      <c r="R98" s="3"/>
      <c r="S98" s="3"/>
      <c r="T98" s="3"/>
      <c r="U98" s="13"/>
      <c r="V98" s="13">
        <f t="shared" si="57"/>
        <v>1.2067939875019005</v>
      </c>
      <c r="W98" s="12">
        <f>'Country L per 100 km'!F26</f>
        <v>6.2515486433298619</v>
      </c>
      <c r="X98" s="3">
        <f>'Country distance travelled'!F26</f>
        <v>14173.913043478256</v>
      </c>
    </row>
    <row r="99" spans="1:29">
      <c r="A99" s="3">
        <v>2032</v>
      </c>
      <c r="B99" s="3"/>
      <c r="C99" s="3"/>
      <c r="D99" s="3"/>
      <c r="E99" s="3"/>
      <c r="F99" s="3"/>
      <c r="G99" s="3"/>
      <c r="H99" s="3"/>
      <c r="I99" s="3">
        <v>2032</v>
      </c>
      <c r="J99" s="3"/>
      <c r="K99" s="3"/>
      <c r="L99" s="3"/>
      <c r="M99" s="3"/>
      <c r="N99" s="3"/>
      <c r="O99" s="3"/>
      <c r="P99" s="3"/>
      <c r="Q99" s="3">
        <v>2032</v>
      </c>
      <c r="R99" s="3"/>
      <c r="S99" s="3"/>
      <c r="T99" s="3"/>
      <c r="U99" s="13"/>
      <c r="V99" s="13">
        <f t="shared" si="57"/>
        <v>1.2067939875019005</v>
      </c>
      <c r="W99" s="12">
        <f>'Country L per 100 km'!F27</f>
        <v>6.1896521221087744</v>
      </c>
      <c r="X99" s="3">
        <f>'Country distance travelled'!F27</f>
        <v>14043.47826086956</v>
      </c>
    </row>
    <row r="100" spans="1:29">
      <c r="A100" s="3">
        <v>2033</v>
      </c>
      <c r="B100" s="3"/>
      <c r="C100" s="3"/>
      <c r="D100" s="3"/>
      <c r="E100" s="3"/>
      <c r="F100" s="3"/>
      <c r="G100" s="3"/>
      <c r="H100" s="3"/>
      <c r="I100" s="3">
        <v>2033</v>
      </c>
      <c r="J100" s="3"/>
      <c r="K100" s="3"/>
      <c r="L100" s="3"/>
      <c r="M100" s="3"/>
      <c r="N100" s="3"/>
      <c r="O100" s="3"/>
      <c r="P100" s="3"/>
      <c r="Q100" s="3">
        <v>2033</v>
      </c>
      <c r="R100" s="3"/>
      <c r="S100" s="3"/>
      <c r="T100" s="3"/>
      <c r="U100" s="13"/>
      <c r="V100" s="13">
        <f t="shared" si="57"/>
        <v>1.2067939875019005</v>
      </c>
      <c r="W100" s="12">
        <f>'Country L per 100 km'!F28</f>
        <v>6.12836843773146</v>
      </c>
      <c r="X100" s="3">
        <f>'Country distance travelled'!F28</f>
        <v>13913.043478260865</v>
      </c>
    </row>
    <row r="101" spans="1:29">
      <c r="A101" s="3">
        <v>2034</v>
      </c>
      <c r="B101" s="3"/>
      <c r="C101" s="3"/>
      <c r="D101" s="3"/>
      <c r="E101" s="3"/>
      <c r="F101" s="3"/>
      <c r="G101" s="3"/>
      <c r="H101" s="3"/>
      <c r="I101" s="3">
        <v>2034</v>
      </c>
      <c r="J101" s="3"/>
      <c r="K101" s="3"/>
      <c r="L101" s="3"/>
      <c r="M101" s="3"/>
      <c r="N101" s="3"/>
      <c r="O101" s="3"/>
      <c r="P101" s="3"/>
      <c r="Q101" s="3">
        <v>2034</v>
      </c>
      <c r="R101" s="3"/>
      <c r="S101" s="3"/>
      <c r="T101" s="3"/>
      <c r="U101" s="13"/>
      <c r="V101" s="13">
        <f t="shared" si="57"/>
        <v>1.2067939875019005</v>
      </c>
      <c r="W101" s="12">
        <f>'Country L per 100 km'!F29</f>
        <v>6.0676915225063954</v>
      </c>
      <c r="X101" s="3">
        <f>'Country distance travelled'!F29</f>
        <v>13782.608695652169</v>
      </c>
    </row>
    <row r="102" spans="1:29">
      <c r="A102" s="3">
        <v>2035</v>
      </c>
      <c r="B102" s="3"/>
      <c r="C102" s="3"/>
      <c r="D102" s="3"/>
      <c r="E102" s="3"/>
      <c r="F102" s="3"/>
      <c r="G102" s="3"/>
      <c r="H102" s="3"/>
      <c r="I102" s="3">
        <v>2035</v>
      </c>
      <c r="J102" s="3"/>
      <c r="K102" s="3"/>
      <c r="L102" s="3"/>
      <c r="M102" s="3"/>
      <c r="N102" s="3"/>
      <c r="O102" s="3"/>
      <c r="P102" s="3"/>
      <c r="Q102" s="3">
        <v>2035</v>
      </c>
      <c r="R102" s="3"/>
      <c r="S102" s="3"/>
      <c r="T102" s="3"/>
      <c r="U102" s="13"/>
      <c r="V102" s="13">
        <f t="shared" si="57"/>
        <v>1.2067939875019005</v>
      </c>
      <c r="W102" s="12">
        <f>'Country L per 100 km'!F30</f>
        <v>6.0076153688182128</v>
      </c>
      <c r="X102" s="3">
        <f>'Country distance travelled'!F30</f>
        <v>13652.173913043473</v>
      </c>
    </row>
    <row r="103" spans="1:29">
      <c r="A103" s="3">
        <v>2036</v>
      </c>
      <c r="B103" s="3"/>
      <c r="C103" s="3"/>
      <c r="D103" s="3"/>
      <c r="E103" s="3"/>
      <c r="F103" s="3"/>
      <c r="G103" s="3"/>
      <c r="H103" s="3"/>
      <c r="I103" s="3">
        <v>2036</v>
      </c>
      <c r="J103" s="3"/>
      <c r="K103" s="3"/>
      <c r="L103" s="3"/>
      <c r="M103" s="3"/>
      <c r="N103" s="3"/>
      <c r="O103" s="3"/>
      <c r="P103" s="3"/>
      <c r="Q103" s="3">
        <v>2036</v>
      </c>
      <c r="R103" s="3"/>
      <c r="S103" s="3"/>
      <c r="T103" s="3"/>
      <c r="U103" s="13"/>
      <c r="V103" s="13">
        <f t="shared" si="57"/>
        <v>1.2067939875019005</v>
      </c>
      <c r="W103" s="12">
        <f>'Country L per 100 km'!F31</f>
        <v>5.9481340285328841</v>
      </c>
      <c r="X103" s="3">
        <f>'Country distance travelled'!F31</f>
        <v>13521.739130434777</v>
      </c>
    </row>
    <row r="104" spans="1:29">
      <c r="A104" s="3">
        <v>2037</v>
      </c>
      <c r="B104" s="3"/>
      <c r="C104" s="3"/>
      <c r="D104" s="3"/>
      <c r="E104" s="3"/>
      <c r="F104" s="3"/>
      <c r="G104" s="3"/>
      <c r="H104" s="3"/>
      <c r="I104" s="3">
        <v>2037</v>
      </c>
      <c r="J104" s="3"/>
      <c r="K104" s="3"/>
      <c r="L104" s="3"/>
      <c r="M104" s="3"/>
      <c r="N104" s="3"/>
      <c r="O104" s="3"/>
      <c r="P104" s="3"/>
      <c r="Q104" s="3">
        <v>2037</v>
      </c>
      <c r="R104" s="3"/>
      <c r="S104" s="3"/>
      <c r="T104" s="3"/>
      <c r="U104" s="13"/>
      <c r="V104" s="13">
        <f t="shared" si="57"/>
        <v>1.2067939875019005</v>
      </c>
      <c r="W104" s="12">
        <f>'Country L per 100 km'!F32</f>
        <v>5.8892416124087958</v>
      </c>
      <c r="X104" s="3">
        <f>'Country distance travelled'!F32</f>
        <v>13391.304347826081</v>
      </c>
    </row>
    <row r="105" spans="1:29">
      <c r="A105" s="3">
        <v>2038</v>
      </c>
      <c r="B105" s="3"/>
      <c r="C105" s="3"/>
      <c r="D105" s="3"/>
      <c r="E105" s="3"/>
      <c r="F105" s="3"/>
      <c r="G105" s="3"/>
      <c r="H105" s="3"/>
      <c r="I105" s="3">
        <v>2038</v>
      </c>
      <c r="J105" s="3"/>
      <c r="K105" s="3"/>
      <c r="L105" s="3"/>
      <c r="M105" s="3"/>
      <c r="N105" s="3"/>
      <c r="O105" s="3"/>
      <c r="P105" s="3"/>
      <c r="Q105" s="3">
        <v>2038</v>
      </c>
      <c r="R105" s="3"/>
      <c r="S105" s="3"/>
      <c r="T105" s="3"/>
      <c r="U105" s="13"/>
      <c r="V105" s="13">
        <f t="shared" si="57"/>
        <v>1.2067939875019005</v>
      </c>
      <c r="W105" s="12">
        <f>'Country L per 100 km'!F33</f>
        <v>5.8309322895136599</v>
      </c>
      <c r="X105" s="3">
        <f>'Country distance travelled'!F33</f>
        <v>13260.869565217385</v>
      </c>
    </row>
    <row r="106" spans="1:29">
      <c r="A106" s="3">
        <v>2039</v>
      </c>
      <c r="B106" s="3"/>
      <c r="C106" s="3"/>
      <c r="D106" s="3"/>
      <c r="E106" s="3"/>
      <c r="F106" s="3"/>
      <c r="G106" s="3"/>
      <c r="H106" s="3"/>
      <c r="I106" s="3">
        <v>2039</v>
      </c>
      <c r="J106" s="3"/>
      <c r="K106" s="3"/>
      <c r="L106" s="3"/>
      <c r="M106" s="3"/>
      <c r="N106" s="3"/>
      <c r="O106" s="3"/>
      <c r="P106" s="3"/>
      <c r="Q106" s="3">
        <v>2039</v>
      </c>
      <c r="R106" s="3"/>
      <c r="S106" s="3"/>
      <c r="T106" s="3"/>
      <c r="U106" s="13"/>
      <c r="V106" s="13">
        <f t="shared" si="57"/>
        <v>1.2067939875019005</v>
      </c>
      <c r="W106" s="12">
        <f>'Country L per 100 km'!F34</f>
        <v>5.7732002866471879</v>
      </c>
      <c r="X106" s="3">
        <f>'Country distance travelled'!F34</f>
        <v>13130.434782608689</v>
      </c>
    </row>
    <row r="107" spans="1:29">
      <c r="A107" s="3">
        <v>2040</v>
      </c>
      <c r="B107" s="3"/>
      <c r="C107" s="3"/>
      <c r="D107" s="3"/>
      <c r="E107" s="3"/>
      <c r="F107" s="3"/>
      <c r="G107" s="3"/>
      <c r="H107" s="3"/>
      <c r="I107" s="3">
        <v>2040</v>
      </c>
      <c r="J107" s="3"/>
      <c r="K107" s="3"/>
      <c r="L107" s="3"/>
      <c r="M107" s="3"/>
      <c r="N107" s="3"/>
      <c r="O107" s="3"/>
      <c r="P107" s="3"/>
      <c r="Q107" s="3">
        <v>2040</v>
      </c>
      <c r="R107" s="3"/>
      <c r="S107" s="3"/>
      <c r="T107" s="3"/>
      <c r="U107" s="13"/>
      <c r="V107" s="13">
        <f t="shared" si="57"/>
        <v>1.2067939875019005</v>
      </c>
      <c r="W107" s="12">
        <f>'Country L per 100 km'!F35</f>
        <v>5.7160398877694938</v>
      </c>
      <c r="X107" s="3">
        <f>'Country distance travelled'!F35</f>
        <v>13000</v>
      </c>
    </row>
    <row r="113" spans="16:29">
      <c r="Q113" s="87" t="s">
        <v>980</v>
      </c>
      <c r="R113" s="87" t="s">
        <v>980</v>
      </c>
      <c r="S113" s="87" t="s">
        <v>980</v>
      </c>
      <c r="T113" s="87" t="s">
        <v>980</v>
      </c>
      <c r="U113" s="87" t="s">
        <v>980</v>
      </c>
      <c r="W113" s="14" t="s">
        <v>812</v>
      </c>
      <c r="X113" s="14" t="s">
        <v>812</v>
      </c>
      <c r="Y113" s="14" t="s">
        <v>812</v>
      </c>
      <c r="Z113" s="14" t="s">
        <v>812</v>
      </c>
      <c r="AA113" s="14" t="s">
        <v>812</v>
      </c>
      <c r="AC113" s="248" t="s">
        <v>952</v>
      </c>
    </row>
    <row r="114" spans="16:29">
      <c r="Q114" s="87" t="s">
        <v>978</v>
      </c>
      <c r="R114" s="87" t="s">
        <v>979</v>
      </c>
      <c r="S114" s="87" t="s">
        <v>916</v>
      </c>
      <c r="T114" s="87" t="s">
        <v>981</v>
      </c>
      <c r="U114" s="87" t="s">
        <v>983</v>
      </c>
      <c r="W114" s="14" t="s">
        <v>725</v>
      </c>
      <c r="X114" s="14" t="s">
        <v>979</v>
      </c>
      <c r="Y114" s="14" t="s">
        <v>916</v>
      </c>
      <c r="Z114" s="14" t="s">
        <v>985</v>
      </c>
      <c r="AA114" s="14" t="s">
        <v>983</v>
      </c>
      <c r="AC114" s="248" t="s">
        <v>1204</v>
      </c>
    </row>
    <row r="115" spans="16:29">
      <c r="P115">
        <v>2012</v>
      </c>
      <c r="Q115" s="3">
        <f>B79</f>
        <v>197048.23934209667</v>
      </c>
      <c r="R115" s="3">
        <f t="shared" ref="R115:U115" si="58">C79</f>
        <v>39409.647868419335</v>
      </c>
      <c r="S115" s="3">
        <f t="shared" si="58"/>
        <v>25616.271114472569</v>
      </c>
      <c r="T115" s="3">
        <f t="shared" si="58"/>
        <v>0</v>
      </c>
      <c r="U115" s="3">
        <f t="shared" si="58"/>
        <v>65025.918982891904</v>
      </c>
      <c r="V115" s="3"/>
      <c r="W115" s="3">
        <f>J79</f>
        <v>184388.125</v>
      </c>
      <c r="X115" s="3">
        <f t="shared" ref="X115:AA115" si="59">K79</f>
        <v>36877.625</v>
      </c>
      <c r="Y115" s="3">
        <f t="shared" si="59"/>
        <v>23970.456249999999</v>
      </c>
      <c r="Z115" s="3">
        <f t="shared" si="59"/>
        <v>11911.231939739049</v>
      </c>
      <c r="AA115" s="3">
        <f t="shared" si="59"/>
        <v>72759.313189739056</v>
      </c>
      <c r="AC115" s="13">
        <f>U115/AA115</f>
        <v>0.8937126552214657</v>
      </c>
    </row>
    <row r="116" spans="16:29">
      <c r="P116">
        <v>2013</v>
      </c>
      <c r="Q116" s="3">
        <f t="shared" ref="Q116:Q133" si="60">B80</f>
        <v>172045.54782722949</v>
      </c>
      <c r="R116" s="3">
        <f t="shared" ref="R116:R133" si="61">C80</f>
        <v>34409.109565445899</v>
      </c>
      <c r="S116" s="3">
        <f t="shared" ref="S116:S133" si="62">D80</f>
        <v>22365.921217539835</v>
      </c>
      <c r="T116" s="3">
        <f t="shared" ref="T116:T133" si="63">E80</f>
        <v>0</v>
      </c>
      <c r="U116" s="3">
        <f t="shared" ref="U116:U133" si="64">F80</f>
        <v>56775.030782985734</v>
      </c>
      <c r="V116" s="3"/>
      <c r="W116" s="3">
        <f t="shared" ref="W116:W133" si="65">J80</f>
        <v>180903.37200000006</v>
      </c>
      <c r="X116" s="3">
        <f t="shared" ref="X116:X133" si="66">K80</f>
        <v>36180.674400000011</v>
      </c>
      <c r="Y116" s="3">
        <f t="shared" ref="Y116:Y133" si="67">L80</f>
        <v>23517.438360000007</v>
      </c>
      <c r="Z116" s="3">
        <f t="shared" ref="Z116:Z133" si="68">M80</f>
        <v>10817.459003752634</v>
      </c>
      <c r="AA116" s="3">
        <f t="shared" ref="AA116:AA133" si="69">N80</f>
        <v>70515.571763752654</v>
      </c>
      <c r="AC116" s="13">
        <f t="shared" ref="AC116:AC133" si="70">U116/AA116</f>
        <v>0.80514174901961133</v>
      </c>
    </row>
    <row r="117" spans="16:29">
      <c r="P117">
        <v>2014</v>
      </c>
      <c r="Q117" s="3">
        <f t="shared" si="60"/>
        <v>190596.22750313292</v>
      </c>
      <c r="R117" s="3">
        <f t="shared" si="61"/>
        <v>38119.245500626581</v>
      </c>
      <c r="S117" s="3">
        <f t="shared" si="62"/>
        <v>24777.509575407279</v>
      </c>
      <c r="T117" s="3">
        <f t="shared" si="63"/>
        <v>0</v>
      </c>
      <c r="U117" s="3">
        <f t="shared" si="64"/>
        <v>62896.755076033864</v>
      </c>
      <c r="V117" s="3"/>
      <c r="W117" s="3">
        <f t="shared" si="65"/>
        <v>179431.18799999997</v>
      </c>
      <c r="X117" s="3">
        <f t="shared" si="66"/>
        <v>35886.237599999993</v>
      </c>
      <c r="Y117" s="3">
        <f t="shared" si="67"/>
        <v>23326.054439999996</v>
      </c>
      <c r="Z117" s="3">
        <f t="shared" si="68"/>
        <v>9678.4104704219189</v>
      </c>
      <c r="AA117" s="3">
        <f t="shared" si="69"/>
        <v>68890.702510421906</v>
      </c>
      <c r="AC117" s="13">
        <f t="shared" si="70"/>
        <v>0.91299337623271781</v>
      </c>
    </row>
    <row r="118" spans="16:29">
      <c r="P118">
        <v>2015</v>
      </c>
      <c r="Q118" s="3">
        <f t="shared" si="60"/>
        <v>163478.95500996787</v>
      </c>
      <c r="R118" s="3">
        <f t="shared" si="61"/>
        <v>32695.791001993573</v>
      </c>
      <c r="S118" s="3">
        <f t="shared" si="62"/>
        <v>21252.264151295825</v>
      </c>
      <c r="T118" s="3">
        <f t="shared" si="63"/>
        <v>0</v>
      </c>
      <c r="U118" s="3">
        <f t="shared" si="64"/>
        <v>53948.055153289402</v>
      </c>
      <c r="V118" s="3"/>
      <c r="W118" s="3">
        <f t="shared" si="65"/>
        <v>181931.56400000001</v>
      </c>
      <c r="X118" s="3">
        <f t="shared" si="66"/>
        <v>36386.3128</v>
      </c>
      <c r="Y118" s="3">
        <f t="shared" si="67"/>
        <v>23651.103320000002</v>
      </c>
      <c r="Z118" s="3">
        <f t="shared" si="68"/>
        <v>6380.5736135851494</v>
      </c>
      <c r="AA118" s="3">
        <f t="shared" si="69"/>
        <v>66417.989733585157</v>
      </c>
      <c r="AC118" s="13">
        <f t="shared" si="70"/>
        <v>0.81225064729729146</v>
      </c>
    </row>
    <row r="119" spans="16:29">
      <c r="P119">
        <v>2016</v>
      </c>
      <c r="Q119" s="3">
        <f t="shared" si="60"/>
        <v>175531.24305909476</v>
      </c>
      <c r="R119" s="3">
        <f t="shared" si="61"/>
        <v>35106.248611818955</v>
      </c>
      <c r="S119" s="3">
        <f t="shared" si="62"/>
        <v>22819.061597682321</v>
      </c>
      <c r="T119" s="3">
        <f t="shared" si="63"/>
        <v>0</v>
      </c>
      <c r="U119" s="3">
        <f t="shared" si="64"/>
        <v>57925.310209501273</v>
      </c>
      <c r="V119" s="3"/>
      <c r="W119" s="3">
        <f t="shared" si="65"/>
        <v>194021.58300000004</v>
      </c>
      <c r="X119" s="3">
        <f t="shared" si="66"/>
        <v>38804.316600000006</v>
      </c>
      <c r="Y119" s="3">
        <f t="shared" si="67"/>
        <v>25222.805790000006</v>
      </c>
      <c r="Z119" s="3">
        <f t="shared" si="68"/>
        <v>5965.1423461789745</v>
      </c>
      <c r="AA119" s="3">
        <f t="shared" si="69"/>
        <v>69992.264736178986</v>
      </c>
      <c r="AC119" s="13">
        <f t="shared" si="70"/>
        <v>0.82759588402859174</v>
      </c>
    </row>
    <row r="120" spans="16:29">
      <c r="P120">
        <v>2017</v>
      </c>
      <c r="Q120" s="3">
        <f t="shared" si="60"/>
        <v>180589.75336149876</v>
      </c>
      <c r="R120" s="3">
        <f t="shared" si="61"/>
        <v>36117.950672299754</v>
      </c>
      <c r="S120" s="3">
        <f t="shared" si="62"/>
        <v>23476.66793699484</v>
      </c>
      <c r="T120" s="3">
        <f t="shared" si="63"/>
        <v>0</v>
      </c>
      <c r="U120" s="3">
        <f t="shared" si="64"/>
        <v>59594.618609294594</v>
      </c>
      <c r="V120" s="3"/>
      <c r="W120" s="3">
        <f t="shared" si="65"/>
        <v>197220.07799999998</v>
      </c>
      <c r="X120" s="3">
        <f t="shared" si="66"/>
        <v>39444.015599999999</v>
      </c>
      <c r="Y120" s="3">
        <f t="shared" si="67"/>
        <v>25638.610139999997</v>
      </c>
      <c r="Z120" s="3">
        <f t="shared" si="68"/>
        <v>5594.451514012525</v>
      </c>
      <c r="AA120" s="3">
        <f t="shared" si="69"/>
        <v>70677.077254012518</v>
      </c>
      <c r="AC120" s="13">
        <f t="shared" si="70"/>
        <v>0.8431958553565011</v>
      </c>
    </row>
    <row r="121" spans="16:29">
      <c r="P121">
        <v>2018</v>
      </c>
      <c r="Q121" s="3">
        <f t="shared" si="60"/>
        <v>185343.27589771608</v>
      </c>
      <c r="R121" s="3">
        <f t="shared" si="61"/>
        <v>37068.655179543217</v>
      </c>
      <c r="S121" s="3">
        <f t="shared" si="62"/>
        <v>24094.625866703092</v>
      </c>
      <c r="T121" s="3">
        <f t="shared" si="63"/>
        <v>0</v>
      </c>
      <c r="U121" s="3">
        <f t="shared" si="64"/>
        <v>61163.281046246309</v>
      </c>
      <c r="V121" s="3"/>
      <c r="W121" s="3">
        <f t="shared" si="65"/>
        <v>197064</v>
      </c>
      <c r="X121" s="3">
        <f t="shared" si="66"/>
        <v>39412.800000000003</v>
      </c>
      <c r="Y121" s="3">
        <f t="shared" si="67"/>
        <v>25618.32</v>
      </c>
      <c r="Z121" s="3">
        <f t="shared" si="68"/>
        <v>6307.6581177608005</v>
      </c>
      <c r="AA121" s="3">
        <f t="shared" si="69"/>
        <v>71338.778117760798</v>
      </c>
      <c r="AC121" s="13">
        <f t="shared" si="70"/>
        <v>0.8573637320404125</v>
      </c>
    </row>
    <row r="122" spans="16:29">
      <c r="P122">
        <v>2019</v>
      </c>
      <c r="Q122" s="3">
        <f t="shared" si="60"/>
        <v>190320.36885599038</v>
      </c>
      <c r="R122" s="3">
        <f t="shared" si="61"/>
        <v>38064.073771198076</v>
      </c>
      <c r="S122" s="3">
        <f t="shared" si="62"/>
        <v>24741.647951278752</v>
      </c>
      <c r="T122" s="3">
        <f t="shared" si="63"/>
        <v>0</v>
      </c>
      <c r="U122" s="3">
        <f t="shared" si="64"/>
        <v>62805.721722476825</v>
      </c>
      <c r="V122" s="3"/>
      <c r="W122" s="3">
        <f t="shared" si="65"/>
        <v>197064</v>
      </c>
      <c r="X122" s="3">
        <f t="shared" si="66"/>
        <v>39412.800000000003</v>
      </c>
      <c r="Y122" s="3">
        <f t="shared" si="67"/>
        <v>25618.32</v>
      </c>
      <c r="Z122" s="3">
        <f t="shared" si="68"/>
        <v>6003.1517392718542</v>
      </c>
      <c r="AA122" s="3">
        <f t="shared" si="69"/>
        <v>71034.271739271862</v>
      </c>
      <c r="AC122" s="13">
        <f t="shared" si="70"/>
        <v>0.88416084496512382</v>
      </c>
    </row>
    <row r="123" spans="16:29">
      <c r="P123">
        <v>2020</v>
      </c>
      <c r="Q123" s="3">
        <f t="shared" si="60"/>
        <v>188717.37376733191</v>
      </c>
      <c r="R123" s="3">
        <f t="shared" si="61"/>
        <v>37743.474753466384</v>
      </c>
      <c r="S123" s="3">
        <f t="shared" si="62"/>
        <v>24533.25858975315</v>
      </c>
      <c r="T123" s="3">
        <f t="shared" si="63"/>
        <v>0</v>
      </c>
      <c r="U123" s="3">
        <f t="shared" si="64"/>
        <v>62276.73334321953</v>
      </c>
      <c r="V123" s="3"/>
      <c r="W123" s="3">
        <f t="shared" si="65"/>
        <v>197064</v>
      </c>
      <c r="X123" s="3">
        <f t="shared" si="66"/>
        <v>39412.800000000003</v>
      </c>
      <c r="Y123" s="3">
        <f t="shared" si="67"/>
        <v>25618.32</v>
      </c>
      <c r="Z123" s="3">
        <f t="shared" si="68"/>
        <v>5909.6904089230584</v>
      </c>
      <c r="AA123" s="3">
        <f t="shared" si="69"/>
        <v>70940.810408923062</v>
      </c>
      <c r="AC123" s="13">
        <f t="shared" si="70"/>
        <v>0.87786893022843526</v>
      </c>
    </row>
    <row r="124" spans="16:29">
      <c r="P124">
        <v>2021</v>
      </c>
      <c r="Q124" s="3">
        <f t="shared" si="60"/>
        <v>182041.23717348787</v>
      </c>
      <c r="R124" s="3">
        <f t="shared" si="61"/>
        <v>36408.247434697572</v>
      </c>
      <c r="S124" s="3">
        <f t="shared" si="62"/>
        <v>23665.360832553422</v>
      </c>
      <c r="T124" s="3">
        <f t="shared" si="63"/>
        <v>0</v>
      </c>
      <c r="U124" s="3">
        <f t="shared" si="64"/>
        <v>60073.608267250995</v>
      </c>
      <c r="V124" s="3"/>
      <c r="W124" s="3">
        <f t="shared" si="65"/>
        <v>197064</v>
      </c>
      <c r="X124" s="3">
        <f t="shared" si="66"/>
        <v>39412.800000000003</v>
      </c>
      <c r="Y124" s="3">
        <f t="shared" si="67"/>
        <v>25618.32</v>
      </c>
      <c r="Z124" s="3">
        <f t="shared" si="68"/>
        <v>6242.9286771097768</v>
      </c>
      <c r="AA124" s="3">
        <f t="shared" si="69"/>
        <v>71274.048677109779</v>
      </c>
      <c r="AC124" s="13">
        <f t="shared" si="70"/>
        <v>0.84285387714398363</v>
      </c>
    </row>
    <row r="125" spans="16:29">
      <c r="P125">
        <v>2022</v>
      </c>
      <c r="Q125" s="3">
        <f t="shared" si="60"/>
        <v>185774.70718446039</v>
      </c>
      <c r="R125" s="3">
        <f t="shared" si="61"/>
        <v>37154.941436892077</v>
      </c>
      <c r="S125" s="3">
        <f t="shared" si="62"/>
        <v>24150.711933979852</v>
      </c>
      <c r="T125" s="3">
        <f t="shared" si="63"/>
        <v>0</v>
      </c>
      <c r="U125" s="3">
        <f t="shared" si="64"/>
        <v>61305.653370871929</v>
      </c>
      <c r="V125" s="3"/>
      <c r="W125" s="3">
        <f t="shared" si="65"/>
        <v>197064</v>
      </c>
      <c r="X125" s="3">
        <f t="shared" si="66"/>
        <v>39412.800000000003</v>
      </c>
      <c r="Y125" s="3">
        <f t="shared" si="67"/>
        <v>25618.32</v>
      </c>
      <c r="Z125" s="3">
        <f t="shared" si="68"/>
        <v>6451.1345904073896</v>
      </c>
      <c r="AA125" s="3">
        <f t="shared" si="69"/>
        <v>71482.254590407392</v>
      </c>
      <c r="AC125" s="13">
        <f t="shared" si="70"/>
        <v>0.85763457968908108</v>
      </c>
    </row>
    <row r="126" spans="16:29">
      <c r="P126">
        <v>2023</v>
      </c>
      <c r="Q126" s="3">
        <f t="shared" si="60"/>
        <v>183367.88414275055</v>
      </c>
      <c r="R126" s="3">
        <f t="shared" si="61"/>
        <v>36673.576828550111</v>
      </c>
      <c r="S126" s="3">
        <f t="shared" si="62"/>
        <v>23837.824938557573</v>
      </c>
      <c r="T126" s="3">
        <f t="shared" si="63"/>
        <v>0</v>
      </c>
      <c r="U126" s="3">
        <f t="shared" si="64"/>
        <v>60511.401767107687</v>
      </c>
      <c r="V126" s="3"/>
      <c r="W126" s="3">
        <f t="shared" si="65"/>
        <v>197064</v>
      </c>
      <c r="X126" s="3">
        <f t="shared" si="66"/>
        <v>39412.800000000003</v>
      </c>
      <c r="Y126" s="3">
        <f t="shared" si="67"/>
        <v>25618.32</v>
      </c>
      <c r="Z126" s="3">
        <f t="shared" si="68"/>
        <v>6478.4864721111235</v>
      </c>
      <c r="AA126" s="3">
        <f t="shared" si="69"/>
        <v>71509.606472111132</v>
      </c>
      <c r="AC126" s="13">
        <f t="shared" si="70"/>
        <v>0.84619961921769538</v>
      </c>
    </row>
    <row r="127" spans="16:29">
      <c r="P127">
        <v>2024</v>
      </c>
      <c r="Q127" s="3">
        <f t="shared" si="60"/>
        <v>174063.84315970453</v>
      </c>
      <c r="R127" s="3">
        <f t="shared" si="61"/>
        <v>34812.768631940904</v>
      </c>
      <c r="S127" s="3">
        <f t="shared" si="62"/>
        <v>22628.299610761591</v>
      </c>
      <c r="T127" s="3">
        <f t="shared" si="63"/>
        <v>0</v>
      </c>
      <c r="U127" s="3">
        <f t="shared" si="64"/>
        <v>57441.068242702495</v>
      </c>
      <c r="V127" s="3"/>
      <c r="W127" s="3">
        <f t="shared" si="65"/>
        <v>197064</v>
      </c>
      <c r="X127" s="3">
        <f t="shared" si="66"/>
        <v>39412.800000000003</v>
      </c>
      <c r="Y127" s="3">
        <f t="shared" si="67"/>
        <v>25618.32</v>
      </c>
      <c r="Z127" s="3">
        <f t="shared" si="68"/>
        <v>6397.1258627267289</v>
      </c>
      <c r="AA127" s="3">
        <f t="shared" si="69"/>
        <v>71428.245862726733</v>
      </c>
      <c r="AC127" s="13">
        <f t="shared" si="70"/>
        <v>0.80417862078112234</v>
      </c>
    </row>
    <row r="128" spans="16:29">
      <c r="P128">
        <v>2025</v>
      </c>
      <c r="Q128" s="3">
        <f t="shared" si="60"/>
        <v>166076.19990815222</v>
      </c>
      <c r="R128" s="3">
        <f t="shared" si="61"/>
        <v>33215.239981630446</v>
      </c>
      <c r="S128" s="3">
        <f t="shared" si="62"/>
        <v>21589.905988059789</v>
      </c>
      <c r="T128" s="3">
        <f t="shared" si="63"/>
        <v>0</v>
      </c>
      <c r="U128" s="3">
        <f t="shared" si="64"/>
        <v>54805.145969690231</v>
      </c>
      <c r="V128" s="3"/>
      <c r="W128" s="3">
        <f t="shared" si="65"/>
        <v>197064</v>
      </c>
      <c r="X128" s="3">
        <f t="shared" si="66"/>
        <v>39412.800000000003</v>
      </c>
      <c r="Y128" s="3">
        <f t="shared" si="67"/>
        <v>25618.32</v>
      </c>
      <c r="Z128" s="3">
        <f t="shared" si="68"/>
        <v>6472.9727703698109</v>
      </c>
      <c r="AA128" s="3">
        <f t="shared" si="69"/>
        <v>71504.092770369811</v>
      </c>
      <c r="AC128" s="13">
        <f t="shared" si="70"/>
        <v>0.76646166458880849</v>
      </c>
    </row>
    <row r="129" spans="16:29">
      <c r="P129">
        <v>2026</v>
      </c>
      <c r="Q129" s="3">
        <f t="shared" si="60"/>
        <v>161525.68923138382</v>
      </c>
      <c r="R129" s="3">
        <f t="shared" si="61"/>
        <v>32305.137846276764</v>
      </c>
      <c r="S129" s="3">
        <f t="shared" si="62"/>
        <v>20998.339600079897</v>
      </c>
      <c r="T129" s="3">
        <f t="shared" si="63"/>
        <v>0</v>
      </c>
      <c r="U129" s="3">
        <f t="shared" si="64"/>
        <v>53303.477446356657</v>
      </c>
      <c r="V129" s="3"/>
      <c r="W129" s="3">
        <f t="shared" si="65"/>
        <v>197064</v>
      </c>
      <c r="X129" s="3">
        <f t="shared" si="66"/>
        <v>39412.800000000003</v>
      </c>
      <c r="Y129" s="3">
        <f t="shared" si="67"/>
        <v>25618.32</v>
      </c>
      <c r="Z129" s="3">
        <f t="shared" si="68"/>
        <v>6687.5528759270319</v>
      </c>
      <c r="AA129" s="3">
        <f t="shared" si="69"/>
        <v>71718.672875927034</v>
      </c>
      <c r="AC129" s="13">
        <f t="shared" si="70"/>
        <v>0.74323011440230391</v>
      </c>
    </row>
    <row r="130" spans="16:29">
      <c r="P130">
        <v>2027</v>
      </c>
      <c r="Q130" s="3">
        <f t="shared" si="60"/>
        <v>156975.17855461541</v>
      </c>
      <c r="R130" s="3">
        <f t="shared" si="61"/>
        <v>31395.035710923083</v>
      </c>
      <c r="S130" s="3">
        <f t="shared" si="62"/>
        <v>20406.773212100004</v>
      </c>
      <c r="T130" s="3">
        <f t="shared" si="63"/>
        <v>0</v>
      </c>
      <c r="U130" s="3">
        <f t="shared" si="64"/>
        <v>51801.808923023083</v>
      </c>
      <c r="V130" s="3"/>
      <c r="W130" s="3">
        <f t="shared" si="65"/>
        <v>197064</v>
      </c>
      <c r="X130" s="3">
        <f t="shared" si="66"/>
        <v>39412.800000000003</v>
      </c>
      <c r="Y130" s="3">
        <f t="shared" si="67"/>
        <v>25618.32</v>
      </c>
      <c r="Z130" s="3">
        <f t="shared" si="68"/>
        <v>6732.3021042408518</v>
      </c>
      <c r="AA130" s="3">
        <f t="shared" si="69"/>
        <v>71763.422104240861</v>
      </c>
      <c r="AC130" s="13">
        <f t="shared" si="70"/>
        <v>0.72184139780538492</v>
      </c>
    </row>
    <row r="131" spans="16:29">
      <c r="P131">
        <v>2028</v>
      </c>
      <c r="Q131" s="3">
        <f t="shared" si="60"/>
        <v>151855.85404325093</v>
      </c>
      <c r="R131" s="3">
        <f t="shared" si="61"/>
        <v>30371.170808650186</v>
      </c>
      <c r="S131" s="3">
        <f t="shared" si="62"/>
        <v>19741.261025622622</v>
      </c>
      <c r="T131" s="3">
        <f t="shared" si="63"/>
        <v>0</v>
      </c>
      <c r="U131" s="3">
        <f t="shared" si="64"/>
        <v>50112.431834272807</v>
      </c>
      <c r="V131" s="3"/>
      <c r="W131" s="3">
        <f t="shared" si="65"/>
        <v>197064</v>
      </c>
      <c r="X131" s="3">
        <f t="shared" si="66"/>
        <v>39412.800000000003</v>
      </c>
      <c r="Y131" s="3">
        <f t="shared" si="67"/>
        <v>25618.32</v>
      </c>
      <c r="Z131" s="3">
        <f t="shared" si="68"/>
        <v>6711.5984530963469</v>
      </c>
      <c r="AA131" s="3">
        <f t="shared" si="69"/>
        <v>71742.718453096342</v>
      </c>
      <c r="AC131" s="13">
        <f t="shared" si="70"/>
        <v>0.69850199316095207</v>
      </c>
    </row>
    <row r="132" spans="16:29">
      <c r="P132">
        <v>2029</v>
      </c>
      <c r="Q132" s="3">
        <f t="shared" si="60"/>
        <v>147305.34336648264</v>
      </c>
      <c r="R132" s="3">
        <f t="shared" si="61"/>
        <v>29461.06867329653</v>
      </c>
      <c r="S132" s="3">
        <f t="shared" si="62"/>
        <v>19149.694637642744</v>
      </c>
      <c r="T132" s="3">
        <f t="shared" si="63"/>
        <v>0</v>
      </c>
      <c r="U132" s="3">
        <f t="shared" si="64"/>
        <v>48610.763310939277</v>
      </c>
      <c r="V132" s="3"/>
      <c r="W132" s="3">
        <f t="shared" si="65"/>
        <v>197064</v>
      </c>
      <c r="X132" s="3">
        <f t="shared" si="66"/>
        <v>39412.800000000003</v>
      </c>
      <c r="Y132" s="3">
        <f t="shared" si="67"/>
        <v>25618.32</v>
      </c>
      <c r="Z132" s="3">
        <f t="shared" si="68"/>
        <v>6725.4410948576169</v>
      </c>
      <c r="AA132" s="3">
        <f t="shared" si="69"/>
        <v>71756.561094857621</v>
      </c>
      <c r="AC132" s="13">
        <f t="shared" si="70"/>
        <v>0.67743997997171201</v>
      </c>
    </row>
    <row r="133" spans="16:29">
      <c r="P133">
        <v>2030</v>
      </c>
      <c r="Q133" s="3">
        <f t="shared" si="60"/>
        <v>142186.01885511819</v>
      </c>
      <c r="R133" s="3">
        <f t="shared" si="61"/>
        <v>28437.20377102364</v>
      </c>
      <c r="S133" s="3">
        <f t="shared" si="62"/>
        <v>18484.182451165365</v>
      </c>
      <c r="T133" s="3">
        <f t="shared" si="63"/>
        <v>0</v>
      </c>
      <c r="U133" s="3">
        <f t="shared" si="64"/>
        <v>46921.386222189001</v>
      </c>
      <c r="V133" s="3"/>
      <c r="W133" s="3">
        <f t="shared" si="65"/>
        <v>197064</v>
      </c>
      <c r="X133" s="3">
        <f t="shared" si="66"/>
        <v>39412.800000000003</v>
      </c>
      <c r="Y133" s="3">
        <f t="shared" si="67"/>
        <v>25618.32</v>
      </c>
      <c r="Z133" s="3">
        <f t="shared" si="68"/>
        <v>6703.5648001994896</v>
      </c>
      <c r="AA133" s="3">
        <f t="shared" si="69"/>
        <v>71734.684800199495</v>
      </c>
      <c r="AC133" s="13">
        <f t="shared" si="70"/>
        <v>0.65409622071774287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28515625" customWidth="1"/>
    <col min="2" max="7" width="13.7109375" customWidth="1"/>
  </cols>
  <sheetData>
    <row r="1" spans="1:7">
      <c r="A1" t="s">
        <v>148</v>
      </c>
    </row>
    <row r="2" spans="1:7" ht="15.75" thickBot="1"/>
    <row r="3" spans="1:7">
      <c r="A3" s="44" t="s">
        <v>149</v>
      </c>
      <c r="B3" s="44"/>
    </row>
    <row r="4" spans="1:7">
      <c r="A4" s="41" t="s">
        <v>150</v>
      </c>
      <c r="B4" s="41">
        <v>0.9980522984608029</v>
      </c>
    </row>
    <row r="5" spans="1:7">
      <c r="A5" s="41" t="s">
        <v>151</v>
      </c>
      <c r="B5" s="41">
        <v>0.99610839046289168</v>
      </c>
    </row>
    <row r="6" spans="1:7">
      <c r="A6" s="41" t="s">
        <v>152</v>
      </c>
      <c r="B6" s="41">
        <v>0.99221678092578336</v>
      </c>
    </row>
    <row r="7" spans="1:7">
      <c r="A7" s="41" t="s">
        <v>153</v>
      </c>
      <c r="B7" s="41">
        <v>7.2827630723641013E-2</v>
      </c>
    </row>
    <row r="8" spans="1:7" ht="15.75" thickBot="1">
      <c r="A8" s="42" t="s">
        <v>154</v>
      </c>
      <c r="B8" s="42">
        <v>5</v>
      </c>
    </row>
    <row r="10" spans="1:7" ht="15.75" thickBot="1">
      <c r="A10" t="s">
        <v>155</v>
      </c>
    </row>
    <row r="11" spans="1:7">
      <c r="A11" s="43"/>
      <c r="B11" s="43" t="s">
        <v>160</v>
      </c>
      <c r="C11" s="43" t="s">
        <v>161</v>
      </c>
      <c r="D11" s="43" t="s">
        <v>162</v>
      </c>
      <c r="E11" s="43" t="s">
        <v>163</v>
      </c>
      <c r="F11" s="43" t="s">
        <v>164</v>
      </c>
    </row>
    <row r="12" spans="1:7">
      <c r="A12" s="41" t="s">
        <v>156</v>
      </c>
      <c r="B12" s="41">
        <v>2</v>
      </c>
      <c r="C12" s="41">
        <v>2.7151867007755053</v>
      </c>
      <c r="D12" s="41">
        <v>1.3575933503877526</v>
      </c>
      <c r="E12" s="41">
        <v>255.9630869861262</v>
      </c>
      <c r="F12" s="41">
        <v>3.8916095371083056E-3</v>
      </c>
    </row>
    <row r="13" spans="1:7">
      <c r="A13" s="41" t="s">
        <v>157</v>
      </c>
      <c r="B13" s="41">
        <v>2</v>
      </c>
      <c r="C13" s="41">
        <v>1.0607727593638042E-2</v>
      </c>
      <c r="D13" s="41">
        <v>5.3038637968190212E-3</v>
      </c>
      <c r="E13" s="41"/>
      <c r="F13" s="41"/>
    </row>
    <row r="14" spans="1:7" ht="15.75" thickBot="1">
      <c r="A14" s="42" t="s">
        <v>158</v>
      </c>
      <c r="B14" s="42">
        <v>4</v>
      </c>
      <c r="C14" s="42">
        <v>2.7257944283691433</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-6.4775794133008384</v>
      </c>
      <c r="C17" s="41">
        <v>0.10446251787861717</v>
      </c>
      <c r="D17" s="41">
        <v>-62.008647166896971</v>
      </c>
      <c r="E17" s="41">
        <v>2.5997171840428339E-4</v>
      </c>
      <c r="F17" s="41">
        <v>-6.9270453510077727</v>
      </c>
      <c r="G17" s="41">
        <v>-6.0281134755939041</v>
      </c>
    </row>
    <row r="18" spans="1:7">
      <c r="A18" s="41" t="s">
        <v>329</v>
      </c>
      <c r="B18" s="41">
        <v>0.44930621487809513</v>
      </c>
      <c r="C18" s="41">
        <v>2.3273830717586624E-2</v>
      </c>
      <c r="D18" s="41">
        <v>19.305211090092772</v>
      </c>
      <c r="E18" s="41">
        <v>2.6724355197422669E-3</v>
      </c>
      <c r="F18" s="41">
        <v>0.34916700360934411</v>
      </c>
      <c r="G18" s="41">
        <v>0.54944542614684611</v>
      </c>
    </row>
    <row r="19" spans="1:7" ht="15.75" thickBot="1">
      <c r="A19" s="42" t="s">
        <v>1096</v>
      </c>
      <c r="B19" s="42">
        <v>0.74658158249071527</v>
      </c>
      <c r="C19" s="42">
        <v>8.3982202686702603E-2</v>
      </c>
      <c r="D19" s="42">
        <v>8.8897594800633382</v>
      </c>
      <c r="E19" s="42">
        <v>1.2418549901357002E-2</v>
      </c>
      <c r="F19" s="42">
        <v>0.38523532885040157</v>
      </c>
      <c r="G19" s="42">
        <v>1.107927836131029</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T87"/>
  <sheetViews>
    <sheetView zoomScale="75" zoomScaleNormal="75" workbookViewId="0">
      <pane xSplit="1" ySplit="3" topLeftCell="H10" activePane="bottomRight" state="frozen"/>
      <selection pane="topRight" activeCell="B1" sqref="B1"/>
      <selection pane="bottomLeft" activeCell="A4" sqref="A4"/>
      <selection pane="bottomRight" activeCell="AI15" sqref="AI15:AL34"/>
    </sheetView>
  </sheetViews>
  <sheetFormatPr defaultRowHeight="15"/>
  <cols>
    <col min="2" max="2" width="9.85546875" customWidth="1"/>
    <col min="3" max="4" width="17.85546875" customWidth="1"/>
    <col min="5" max="5" width="14.7109375" customWidth="1"/>
    <col min="6" max="7" width="13.85546875" customWidth="1"/>
    <col min="8" max="14" width="9.85546875" customWidth="1"/>
    <col min="15" max="15" width="21.5703125" customWidth="1"/>
    <col min="16" max="16" width="9.85546875" customWidth="1"/>
    <col min="17" max="17" width="13.7109375" customWidth="1"/>
    <col min="19" max="25" width="9.140625" style="33"/>
    <col min="37" max="37" width="7.7109375" customWidth="1"/>
    <col min="40" max="40" width="13.5703125" customWidth="1"/>
    <col min="60" max="60" width="10.7109375" customWidth="1"/>
    <col min="67" max="67" width="12.7109375" customWidth="1"/>
  </cols>
  <sheetData>
    <row r="1" spans="1:72">
      <c r="I1" t="s">
        <v>323</v>
      </c>
      <c r="J1" t="s">
        <v>323</v>
      </c>
      <c r="O1" s="200"/>
      <c r="S1"/>
      <c r="T1"/>
      <c r="U1"/>
      <c r="Z1" s="33"/>
      <c r="AA1" s="33"/>
      <c r="AB1" s="33"/>
      <c r="AD1" s="236" t="s">
        <v>1318</v>
      </c>
      <c r="AE1" s="236"/>
      <c r="AF1" s="236"/>
      <c r="AG1" s="236"/>
      <c r="AI1" s="236" t="s">
        <v>1318</v>
      </c>
      <c r="AJ1" s="236"/>
      <c r="AK1" s="236"/>
      <c r="AL1" s="236"/>
      <c r="AP1" t="s">
        <v>1139</v>
      </c>
    </row>
    <row r="2" spans="1:72">
      <c r="B2" t="s">
        <v>541</v>
      </c>
      <c r="C2" t="s">
        <v>1142</v>
      </c>
      <c r="I2" t="s">
        <v>1139</v>
      </c>
      <c r="O2" s="200"/>
      <c r="S2"/>
      <c r="T2"/>
      <c r="U2"/>
      <c r="V2"/>
      <c r="W2"/>
      <c r="X2" t="s">
        <v>282</v>
      </c>
      <c r="Y2"/>
      <c r="AE2" t="s">
        <v>1172</v>
      </c>
      <c r="AJ2" t="s">
        <v>1184</v>
      </c>
      <c r="AP2" t="s">
        <v>1135</v>
      </c>
    </row>
    <row r="3" spans="1:72">
      <c r="B3" t="s">
        <v>938</v>
      </c>
      <c r="C3" t="s">
        <v>1232</v>
      </c>
      <c r="E3" t="s">
        <v>1195</v>
      </c>
      <c r="F3" t="s">
        <v>1143</v>
      </c>
      <c r="G3" t="s">
        <v>1134</v>
      </c>
      <c r="I3" t="s">
        <v>938</v>
      </c>
      <c r="J3" t="s">
        <v>170</v>
      </c>
      <c r="L3" t="s">
        <v>984</v>
      </c>
      <c r="N3" t="s">
        <v>1125</v>
      </c>
      <c r="O3" t="s">
        <v>1321</v>
      </c>
      <c r="P3" t="s">
        <v>1156</v>
      </c>
      <c r="Q3" s="87" t="s">
        <v>1137</v>
      </c>
      <c r="R3" s="87" t="s">
        <v>1384</v>
      </c>
      <c r="S3" s="87" t="s">
        <v>1383</v>
      </c>
      <c r="T3" s="87" t="s">
        <v>1382</v>
      </c>
      <c r="U3" s="87" t="s">
        <v>1136</v>
      </c>
      <c r="V3" t="s">
        <v>1163</v>
      </c>
      <c r="W3"/>
      <c r="X3" s="14" t="s">
        <v>1160</v>
      </c>
      <c r="Y3" s="14" t="s">
        <v>1160</v>
      </c>
      <c r="Z3" s="14" t="s">
        <v>944</v>
      </c>
      <c r="AA3" s="14" t="s">
        <v>1153</v>
      </c>
      <c r="AB3" s="14" t="s">
        <v>1152</v>
      </c>
      <c r="AE3" s="236" t="s">
        <v>1173</v>
      </c>
      <c r="AF3" s="236" t="s">
        <v>1147</v>
      </c>
      <c r="AG3" s="236" t="s">
        <v>1174</v>
      </c>
      <c r="AJ3" s="236" t="s">
        <v>1173</v>
      </c>
      <c r="AK3" s="236" t="s">
        <v>1147</v>
      </c>
      <c r="AL3" s="236" t="s">
        <v>1174</v>
      </c>
      <c r="AN3" t="s">
        <v>1317</v>
      </c>
      <c r="AP3" t="s">
        <v>1320</v>
      </c>
      <c r="AQ3" t="s">
        <v>1319</v>
      </c>
      <c r="AS3" t="s">
        <v>329</v>
      </c>
      <c r="AT3" t="s">
        <v>1096</v>
      </c>
      <c r="BJ3" t="s">
        <v>186</v>
      </c>
      <c r="BK3" t="s">
        <v>1138</v>
      </c>
      <c r="BL3" t="s">
        <v>644</v>
      </c>
      <c r="BM3" t="s">
        <v>1139</v>
      </c>
    </row>
    <row r="4" spans="1:72">
      <c r="A4">
        <v>2000</v>
      </c>
      <c r="S4"/>
      <c r="T4"/>
      <c r="U4"/>
      <c r="Z4" s="33"/>
      <c r="AA4" s="33"/>
      <c r="AB4" s="33"/>
      <c r="AN4" s="13"/>
      <c r="BI4" s="126">
        <v>41334</v>
      </c>
      <c r="BJ4">
        <v>100</v>
      </c>
      <c r="BK4">
        <v>0</v>
      </c>
      <c r="BL4">
        <f>BJ4+BK4</f>
        <v>100</v>
      </c>
      <c r="BM4">
        <f>BL4</f>
        <v>100</v>
      </c>
    </row>
    <row r="5" spans="1:72">
      <c r="A5">
        <v>2001</v>
      </c>
      <c r="S5"/>
      <c r="T5"/>
      <c r="U5"/>
      <c r="Z5" s="33"/>
      <c r="AA5" s="33"/>
      <c r="AB5" s="33"/>
      <c r="AN5" s="13"/>
      <c r="BI5" s="126">
        <v>41426</v>
      </c>
      <c r="BJ5">
        <v>50</v>
      </c>
      <c r="BK5">
        <v>0</v>
      </c>
      <c r="BL5">
        <f t="shared" ref="BL5:BL23" si="0">BJ5+BK5</f>
        <v>50</v>
      </c>
      <c r="BM5">
        <f t="shared" ref="BM5:BM14" si="1">BL5</f>
        <v>50</v>
      </c>
    </row>
    <row r="6" spans="1:72">
      <c r="A6">
        <v>2002</v>
      </c>
      <c r="S6"/>
      <c r="T6"/>
      <c r="U6"/>
      <c r="Z6" s="33"/>
      <c r="AA6" s="33"/>
      <c r="AB6" s="33"/>
      <c r="AN6" s="13"/>
      <c r="BI6" s="126">
        <v>41518</v>
      </c>
      <c r="BJ6">
        <v>200</v>
      </c>
      <c r="BK6">
        <v>0</v>
      </c>
      <c r="BL6">
        <f t="shared" si="0"/>
        <v>200</v>
      </c>
      <c r="BM6">
        <f t="shared" si="1"/>
        <v>200</v>
      </c>
    </row>
    <row r="7" spans="1:72">
      <c r="A7">
        <v>2003</v>
      </c>
      <c r="S7"/>
      <c r="T7"/>
      <c r="U7"/>
      <c r="Z7" s="33"/>
      <c r="AA7" s="33"/>
      <c r="AB7" s="33"/>
      <c r="AN7" s="13"/>
      <c r="BI7" s="126">
        <v>41609</v>
      </c>
      <c r="BJ7">
        <v>250</v>
      </c>
      <c r="BK7">
        <v>0</v>
      </c>
      <c r="BL7">
        <f t="shared" si="0"/>
        <v>250</v>
      </c>
      <c r="BM7">
        <f t="shared" si="1"/>
        <v>250</v>
      </c>
    </row>
    <row r="8" spans="1:72">
      <c r="A8">
        <v>2004</v>
      </c>
      <c r="S8"/>
      <c r="T8"/>
      <c r="U8"/>
      <c r="Z8" s="33"/>
      <c r="AA8" s="33"/>
      <c r="AB8" s="33"/>
      <c r="AN8" s="13"/>
      <c r="BI8" s="126">
        <v>41699</v>
      </c>
      <c r="BJ8">
        <v>300</v>
      </c>
      <c r="BK8">
        <v>0</v>
      </c>
      <c r="BL8">
        <f t="shared" si="0"/>
        <v>300</v>
      </c>
      <c r="BM8">
        <f t="shared" si="1"/>
        <v>300</v>
      </c>
    </row>
    <row r="9" spans="1:72">
      <c r="A9">
        <v>2005</v>
      </c>
      <c r="S9"/>
      <c r="T9"/>
      <c r="U9"/>
      <c r="Z9" s="33"/>
      <c r="AA9" s="33"/>
      <c r="AB9" s="33"/>
      <c r="AN9" s="13"/>
      <c r="BI9" s="126">
        <v>41791</v>
      </c>
      <c r="BJ9">
        <v>410</v>
      </c>
      <c r="BK9">
        <v>20</v>
      </c>
      <c r="BL9">
        <f t="shared" si="0"/>
        <v>430</v>
      </c>
      <c r="BM9">
        <f t="shared" si="1"/>
        <v>430</v>
      </c>
    </row>
    <row r="10" spans="1:72">
      <c r="A10">
        <v>2006</v>
      </c>
      <c r="S10"/>
      <c r="T10"/>
      <c r="U10"/>
      <c r="Z10" s="33"/>
      <c r="AA10" s="33"/>
      <c r="AB10" s="33"/>
      <c r="AN10" s="13"/>
      <c r="BI10" s="126">
        <v>41883</v>
      </c>
      <c r="BJ10">
        <v>440</v>
      </c>
      <c r="BK10">
        <v>15</v>
      </c>
      <c r="BL10">
        <f t="shared" si="0"/>
        <v>455</v>
      </c>
      <c r="BM10">
        <f t="shared" si="1"/>
        <v>455</v>
      </c>
    </row>
    <row r="11" spans="1:72">
      <c r="A11">
        <v>2007</v>
      </c>
      <c r="O11" s="14"/>
      <c r="S11"/>
      <c r="T11"/>
      <c r="U11"/>
      <c r="Z11" s="33"/>
      <c r="AA11" s="33"/>
      <c r="AB11" s="33"/>
      <c r="AN11" s="13"/>
      <c r="BI11" s="126">
        <v>41974</v>
      </c>
      <c r="BJ11">
        <v>700</v>
      </c>
      <c r="BK11">
        <v>0</v>
      </c>
      <c r="BL11">
        <f t="shared" si="0"/>
        <v>700</v>
      </c>
      <c r="BM11">
        <f t="shared" si="1"/>
        <v>700</v>
      </c>
    </row>
    <row r="12" spans="1:72">
      <c r="A12">
        <v>2008</v>
      </c>
      <c r="O12" s="14"/>
      <c r="S12"/>
      <c r="T12"/>
      <c r="U12"/>
      <c r="Z12" s="33"/>
      <c r="AA12" s="33"/>
      <c r="AB12" s="33"/>
      <c r="AN12" s="13"/>
      <c r="BI12" s="126">
        <v>42064</v>
      </c>
      <c r="BJ12">
        <v>600</v>
      </c>
      <c r="BK12">
        <v>20</v>
      </c>
      <c r="BL12">
        <f t="shared" si="0"/>
        <v>620</v>
      </c>
      <c r="BM12">
        <f t="shared" si="1"/>
        <v>620</v>
      </c>
    </row>
    <row r="13" spans="1:72">
      <c r="A13">
        <v>2009</v>
      </c>
      <c r="B13" s="13">
        <f>'EV %sales'!G67</f>
        <v>0</v>
      </c>
      <c r="C13" s="13">
        <f t="shared" ref="C13:C18" si="2">B13</f>
        <v>0</v>
      </c>
      <c r="D13" s="13"/>
      <c r="E13" s="13"/>
      <c r="F13" s="13"/>
      <c r="G13" s="13"/>
      <c r="H13">
        <v>2009</v>
      </c>
      <c r="J13" s="13"/>
      <c r="K13" s="13"/>
      <c r="L13" s="13"/>
      <c r="M13" s="13"/>
      <c r="N13" s="72"/>
      <c r="O13" s="20"/>
      <c r="P13" s="13"/>
      <c r="Q13" s="13"/>
      <c r="R13" s="13"/>
      <c r="S13" s="13"/>
      <c r="T13" s="13"/>
      <c r="U13" s="13"/>
      <c r="V13" s="72"/>
      <c r="W13" s="72"/>
      <c r="X13" s="72"/>
      <c r="Y13" s="72"/>
      <c r="Z13" s="72"/>
      <c r="AA13" s="72"/>
      <c r="AB13" s="72"/>
      <c r="AD13" s="236" t="s">
        <v>1318</v>
      </c>
      <c r="AE13" s="236"/>
      <c r="AF13" s="236"/>
      <c r="AG13" s="236"/>
      <c r="AI13" s="236" t="s">
        <v>1318</v>
      </c>
      <c r="AJ13" s="236"/>
      <c r="AK13" s="236"/>
      <c r="AL13" s="236"/>
      <c r="AN13" s="13"/>
      <c r="AO13" s="13"/>
      <c r="BI13" s="126">
        <v>42156</v>
      </c>
      <c r="BJ13">
        <v>600</v>
      </c>
      <c r="BK13">
        <v>50</v>
      </c>
      <c r="BL13">
        <f t="shared" si="0"/>
        <v>650</v>
      </c>
      <c r="BM13">
        <f t="shared" si="1"/>
        <v>650</v>
      </c>
    </row>
    <row r="14" spans="1:72">
      <c r="A14">
        <v>2010</v>
      </c>
      <c r="B14" s="13">
        <f>'EV %sales'!G68</f>
        <v>0</v>
      </c>
      <c r="C14" s="13">
        <f t="shared" si="2"/>
        <v>0</v>
      </c>
      <c r="D14" s="13"/>
      <c r="E14" s="13"/>
      <c r="F14" s="13" t="s">
        <v>139</v>
      </c>
      <c r="G14" s="13"/>
      <c r="H14">
        <v>2010</v>
      </c>
      <c r="J14" s="13"/>
      <c r="K14" s="13"/>
      <c r="L14" s="13"/>
      <c r="M14" s="13"/>
      <c r="N14" s="72"/>
      <c r="O14" s="20"/>
      <c r="P14" s="13"/>
      <c r="Q14" s="13"/>
      <c r="R14" s="13"/>
      <c r="S14" s="13"/>
      <c r="T14" s="13"/>
      <c r="U14" s="13"/>
      <c r="V14" s="72"/>
      <c r="W14" s="72"/>
      <c r="X14" s="72"/>
      <c r="Y14" s="72"/>
      <c r="Z14" s="72"/>
      <c r="AA14" s="72"/>
      <c r="AB14" s="72"/>
      <c r="AE14" t="s">
        <v>1172</v>
      </c>
      <c r="AJ14" t="s">
        <v>1184</v>
      </c>
      <c r="AN14" s="13"/>
      <c r="AO14" s="13"/>
      <c r="AQ14">
        <f>AP$65+AP$66*AS14</f>
        <v>-6.0282731984227436</v>
      </c>
      <c r="AS14">
        <v>1</v>
      </c>
      <c r="AT14">
        <v>0</v>
      </c>
      <c r="BE14" t="s">
        <v>997</v>
      </c>
      <c r="BI14" s="126">
        <v>42248</v>
      </c>
      <c r="BJ14">
        <v>900</v>
      </c>
      <c r="BK14">
        <v>50</v>
      </c>
      <c r="BL14">
        <f t="shared" si="0"/>
        <v>950</v>
      </c>
      <c r="BM14">
        <f t="shared" si="1"/>
        <v>950</v>
      </c>
    </row>
    <row r="15" spans="1:72">
      <c r="A15">
        <v>2011</v>
      </c>
      <c r="B15" s="13">
        <f>'EV %sales'!G69</f>
        <v>0.24410615971013125</v>
      </c>
      <c r="C15" s="13">
        <f t="shared" si="2"/>
        <v>0.24410615971013125</v>
      </c>
      <c r="D15" s="13"/>
      <c r="E15" s="13">
        <f>F15</f>
        <v>0.2445466806557601</v>
      </c>
      <c r="F15" s="13">
        <f t="shared" ref="F15:F59" si="3">65*EXP(AQ15)/(1+EXP(AQ15))</f>
        <v>0.2445466806557601</v>
      </c>
      <c r="G15" s="13"/>
      <c r="H15">
        <v>2011</v>
      </c>
      <c r="I15">
        <f t="shared" ref="I15:I21" si="4">LN(C15/(65-C15))</f>
        <v>-5.5807767885275315</v>
      </c>
      <c r="J15" s="72"/>
      <c r="K15" s="13"/>
      <c r="L15" s="13"/>
      <c r="M15" s="13"/>
      <c r="N15" s="72">
        <f>F15</f>
        <v>0.2445466806557601</v>
      </c>
      <c r="O15" s="20"/>
      <c r="P15">
        <f>LN(N15/(65-N15))</f>
        <v>-5.5789669835446478</v>
      </c>
      <c r="Q15" s="230">
        <f t="shared" ref="Q15:Q21" si="5">P15</f>
        <v>-5.5789669835446478</v>
      </c>
      <c r="R15" s="230"/>
      <c r="S15" s="230"/>
      <c r="T15" s="230"/>
      <c r="U15" s="13">
        <v>0</v>
      </c>
      <c r="V15" s="72"/>
      <c r="W15" s="72"/>
      <c r="X15" s="72"/>
      <c r="Y15" s="72"/>
      <c r="Z15" s="72"/>
      <c r="AA15" s="72"/>
      <c r="AB15" s="72"/>
      <c r="AE15" s="236" t="s">
        <v>1173</v>
      </c>
      <c r="AF15" s="236" t="s">
        <v>1147</v>
      </c>
      <c r="AG15" s="236" t="s">
        <v>1174</v>
      </c>
      <c r="AJ15" s="236" t="s">
        <v>1173</v>
      </c>
      <c r="AK15" s="236" t="s">
        <v>1147</v>
      </c>
      <c r="AL15" s="236" t="s">
        <v>1174</v>
      </c>
      <c r="AN15" s="13">
        <f>65*EXP(AQ15)/(1+EXP(AQ15))</f>
        <v>0.2445466806557601</v>
      </c>
      <c r="AO15" s="13"/>
      <c r="AP15">
        <f>LN(C15/(65-C15))</f>
        <v>-5.5807767885275315</v>
      </c>
      <c r="AQ15">
        <f t="shared" ref="AQ15:AQ59" si="6">AP$65+AP$66*AS15+AP$67*AT15</f>
        <v>-5.5789669835446478</v>
      </c>
      <c r="AS15">
        <v>2</v>
      </c>
      <c r="AT15">
        <v>0</v>
      </c>
      <c r="BD15" s="3">
        <v>2011</v>
      </c>
      <c r="BI15" s="126">
        <v>42339</v>
      </c>
      <c r="BJ15">
        <v>2400</v>
      </c>
      <c r="BK15">
        <v>100</v>
      </c>
      <c r="BL15">
        <f t="shared" si="0"/>
        <v>2500</v>
      </c>
      <c r="BM15">
        <f>BM14</f>
        <v>950</v>
      </c>
    </row>
    <row r="16" spans="1:72">
      <c r="A16">
        <v>2012</v>
      </c>
      <c r="B16" s="13">
        <f>'EV %sales'!G70</f>
        <v>0.29511134012167489</v>
      </c>
      <c r="C16" s="13">
        <f t="shared" si="2"/>
        <v>0.29511134012167489</v>
      </c>
      <c r="D16" s="13"/>
      <c r="E16" s="13">
        <f t="shared" ref="E16:E59" si="7">X16</f>
        <v>0.28414031280549218</v>
      </c>
      <c r="F16" s="13">
        <f t="shared" si="3"/>
        <v>0.28414031280549218</v>
      </c>
      <c r="G16" s="13"/>
      <c r="H16">
        <v>2012</v>
      </c>
      <c r="I16">
        <f t="shared" si="4"/>
        <v>-5.3902393272453386</v>
      </c>
      <c r="J16" s="72"/>
      <c r="K16" s="13"/>
      <c r="L16" s="13">
        <f>1/Denmark!R80</f>
        <v>0.61166749210781857</v>
      </c>
      <c r="M16" s="13"/>
      <c r="N16" s="72">
        <f t="shared" ref="N16:N59" si="8">F16</f>
        <v>0.28414031280549218</v>
      </c>
      <c r="O16" s="72">
        <f t="shared" ref="O16:O21" si="9">65*EXP(Q16)/(1+EXP(Q16))</f>
        <v>0.28414031280549218</v>
      </c>
      <c r="P16" s="13">
        <f t="shared" ref="P16:P59" si="10">V16</f>
        <v>-5.428293401662839</v>
      </c>
      <c r="Q16" s="230">
        <f t="shared" si="5"/>
        <v>-5.428293401662839</v>
      </c>
      <c r="R16" s="13">
        <f>U16*S16</f>
        <v>0</v>
      </c>
      <c r="S16" s="13">
        <f>IF(T16&lt;0,0,T16)</f>
        <v>1</v>
      </c>
      <c r="T16" s="13">
        <v>1</v>
      </c>
      <c r="U16" s="13">
        <v>0</v>
      </c>
      <c r="V16" s="13">
        <f>LN(X16/(65-X16))</f>
        <v>-5.428293401662839</v>
      </c>
      <c r="W16" s="72"/>
      <c r="X16" s="13">
        <f t="shared" ref="X16:X21" si="11">Y16</f>
        <v>0.28414031280549218</v>
      </c>
      <c r="Y16" s="13">
        <f t="shared" ref="Y16:Y59" si="12">LOOKUP(ROUND(Z16,0),A$4:A$50,AN$4:AN$50)</f>
        <v>0.28414031280549218</v>
      </c>
      <c r="Z16" s="13">
        <f t="shared" ref="Z16:Z59" si="13">A16-(AA16-AA$16)</f>
        <v>2012</v>
      </c>
      <c r="AA16" s="72">
        <f t="shared" ref="AA16:AA59" si="14">Z$70+Z$71*AB16+Z$76*1</f>
        <v>2015.9572952114697</v>
      </c>
      <c r="AB16" s="72">
        <f>Denmark!S80</f>
        <v>0.61166749210781868</v>
      </c>
      <c r="AD16">
        <v>2012</v>
      </c>
      <c r="AE16" s="13">
        <v>0.28414031280549218</v>
      </c>
      <c r="AF16" s="13">
        <v>0.28414031280549218</v>
      </c>
      <c r="AG16" s="13">
        <v>0.28414031280549218</v>
      </c>
      <c r="AI16">
        <v>2012</v>
      </c>
      <c r="AJ16" s="13">
        <v>0.28414031280549218</v>
      </c>
      <c r="AK16" s="13">
        <f>AF16</f>
        <v>0.28414031280549218</v>
      </c>
      <c r="AL16" s="13">
        <v>0.28414031280549218</v>
      </c>
      <c r="AN16" s="13">
        <f t="shared" ref="AN16:AN59" si="15">65*EXP(AQ16)/(1+EXP(AQ16))</f>
        <v>0.28414031280549218</v>
      </c>
      <c r="AO16" s="13"/>
      <c r="AP16">
        <f>LN(C16/(65-C16))</f>
        <v>-5.3902393272453386</v>
      </c>
      <c r="AQ16">
        <f t="shared" si="6"/>
        <v>-5.428293401662839</v>
      </c>
      <c r="AS16">
        <v>3</v>
      </c>
      <c r="AT16">
        <v>-0.4</v>
      </c>
      <c r="BD16" s="3">
        <v>2012</v>
      </c>
      <c r="BE16" s="13">
        <v>1.6404447507496023</v>
      </c>
      <c r="BI16" s="126">
        <v>42430</v>
      </c>
      <c r="BJ16">
        <v>100</v>
      </c>
      <c r="BK16">
        <v>20</v>
      </c>
      <c r="BL16">
        <f t="shared" si="0"/>
        <v>120</v>
      </c>
      <c r="BM16">
        <v>600</v>
      </c>
      <c r="BP16" t="s">
        <v>644</v>
      </c>
      <c r="BQ16" t="s">
        <v>1139</v>
      </c>
      <c r="BR16" t="s">
        <v>1140</v>
      </c>
      <c r="BS16" t="s">
        <v>1141</v>
      </c>
      <c r="BT16" t="s">
        <v>1142</v>
      </c>
    </row>
    <row r="17" spans="1:72">
      <c r="A17">
        <v>2013</v>
      </c>
      <c r="B17" s="13">
        <f>'EV %sales'!G71</f>
        <v>0.28024493848954596</v>
      </c>
      <c r="C17" s="13">
        <f t="shared" si="2"/>
        <v>0.28024493848954596</v>
      </c>
      <c r="D17" s="13"/>
      <c r="E17" s="13">
        <f t="shared" si="7"/>
        <v>0.28452453918310588</v>
      </c>
      <c r="F17" s="13">
        <f t="shared" si="3"/>
        <v>0.28452453918310588</v>
      </c>
      <c r="G17" s="13"/>
      <c r="H17">
        <v>2013</v>
      </c>
      <c r="I17">
        <f t="shared" si="4"/>
        <v>-5.442157766046174</v>
      </c>
      <c r="J17" s="72"/>
      <c r="K17" s="13"/>
      <c r="L17" s="13">
        <f>1/Denmark!R81</f>
        <v>0.62217514487082159</v>
      </c>
      <c r="M17" s="13"/>
      <c r="N17" s="72">
        <f t="shared" si="8"/>
        <v>0.28452453918310588</v>
      </c>
      <c r="O17" s="72">
        <f t="shared" si="9"/>
        <v>0.28452453918310588</v>
      </c>
      <c r="P17" s="13">
        <f t="shared" si="10"/>
        <v>-5.4269361362791733</v>
      </c>
      <c r="Q17" s="230">
        <f t="shared" si="5"/>
        <v>-5.4269361362791733</v>
      </c>
      <c r="R17" s="13">
        <f t="shared" ref="R17:R59" si="16">U17*S17</f>
        <v>0</v>
      </c>
      <c r="S17" s="13">
        <f t="shared" ref="S17:S59" si="17">IF(T17&lt;0,0,T17)</f>
        <v>1</v>
      </c>
      <c r="T17" s="13">
        <v>1</v>
      </c>
      <c r="U17" s="13">
        <v>0</v>
      </c>
      <c r="V17" s="13">
        <f t="shared" ref="V17:V59" si="18">LN(X17/(65-X17))</f>
        <v>-5.4269361362791733</v>
      </c>
      <c r="W17" s="72"/>
      <c r="X17" s="13">
        <f t="shared" si="11"/>
        <v>0.28452453918310588</v>
      </c>
      <c r="Y17" s="13">
        <f t="shared" si="12"/>
        <v>0.28452453918310588</v>
      </c>
      <c r="Z17" s="13">
        <f t="shared" si="13"/>
        <v>2012.8866864801578</v>
      </c>
      <c r="AA17" s="72">
        <f t="shared" si="14"/>
        <v>2016.0706087313119</v>
      </c>
      <c r="AB17" s="72">
        <f>Denmark!S81</f>
        <v>0.62217514487082159</v>
      </c>
      <c r="AD17">
        <v>2013</v>
      </c>
      <c r="AE17" s="13">
        <v>0.28452453918310588</v>
      </c>
      <c r="AF17" s="13">
        <v>0.28452453918310588</v>
      </c>
      <c r="AG17" s="13">
        <v>0.28452453918310588</v>
      </c>
      <c r="AI17">
        <v>2013</v>
      </c>
      <c r="AJ17" s="13">
        <v>0.28452453918310588</v>
      </c>
      <c r="AK17" s="13">
        <f t="shared" ref="AK17:AK54" si="19">AF17</f>
        <v>0.28452453918310588</v>
      </c>
      <c r="AL17" s="13">
        <v>0.28452453918310588</v>
      </c>
      <c r="AN17" s="13">
        <f t="shared" si="15"/>
        <v>0.28452453918310588</v>
      </c>
      <c r="AO17" s="13"/>
      <c r="AP17">
        <f>LN(C17/(65-C17))</f>
        <v>-5.442157766046174</v>
      </c>
      <c r="AQ17">
        <f t="shared" si="6"/>
        <v>-5.4269361362791733</v>
      </c>
      <c r="AS17">
        <v>4</v>
      </c>
      <c r="AT17">
        <v>-1</v>
      </c>
      <c r="BD17" s="3">
        <v>2013</v>
      </c>
      <c r="BE17" s="13">
        <v>1.6115211305254911</v>
      </c>
      <c r="BI17" s="126">
        <v>42522</v>
      </c>
      <c r="BJ17">
        <v>150</v>
      </c>
      <c r="BK17">
        <v>20</v>
      </c>
      <c r="BL17">
        <f t="shared" si="0"/>
        <v>170</v>
      </c>
      <c r="BM17">
        <v>600</v>
      </c>
      <c r="BO17">
        <v>2013</v>
      </c>
      <c r="BP17">
        <f>SUM(BL4:BL7)</f>
        <v>600</v>
      </c>
      <c r="BQ17">
        <f>SUM(BM4:BM7)</f>
        <v>600</v>
      </c>
      <c r="BR17">
        <f>'EV %sales'!AJ54*1000</f>
        <v>181270</v>
      </c>
      <c r="BS17" s="13">
        <f t="shared" ref="BS17:BT21" si="20">BP17/$BR17*100</f>
        <v>0.33099795884592043</v>
      </c>
      <c r="BT17" s="13">
        <f t="shared" si="20"/>
        <v>0.33099795884592043</v>
      </c>
    </row>
    <row r="18" spans="1:72">
      <c r="A18">
        <v>2014</v>
      </c>
      <c r="B18" s="13">
        <f>'EV %sales'!G72</f>
        <v>0.86371041106903335</v>
      </c>
      <c r="C18" s="13">
        <f t="shared" si="2"/>
        <v>0.86371041106903335</v>
      </c>
      <c r="D18" s="13"/>
      <c r="E18" s="13">
        <f>F18</f>
        <v>0.93137474819959321</v>
      </c>
      <c r="F18" s="13">
        <f t="shared" si="3"/>
        <v>0.93137474819959321</v>
      </c>
      <c r="G18" s="13"/>
      <c r="H18">
        <v>2014</v>
      </c>
      <c r="I18">
        <f t="shared" si="4"/>
        <v>-4.3075280826973348</v>
      </c>
      <c r="J18" s="72"/>
      <c r="K18" s="13"/>
      <c r="L18" s="13">
        <f>1/Denmark!R82</f>
        <v>0.67324937971073395</v>
      </c>
      <c r="M18" s="13"/>
      <c r="N18" s="72">
        <f t="shared" si="8"/>
        <v>0.93137474819959321</v>
      </c>
      <c r="O18" s="72">
        <f>N18</f>
        <v>0.93137474819959321</v>
      </c>
      <c r="P18" s="13">
        <f t="shared" si="10"/>
        <v>-5.4269361362791733</v>
      </c>
      <c r="Q18" s="230">
        <f t="shared" si="5"/>
        <v>-5.4269361362791733</v>
      </c>
      <c r="R18" s="13">
        <f t="shared" si="16"/>
        <v>0</v>
      </c>
      <c r="S18" s="13">
        <f t="shared" si="17"/>
        <v>1</v>
      </c>
      <c r="T18" s="13">
        <v>1</v>
      </c>
      <c r="U18" s="13">
        <v>0</v>
      </c>
      <c r="V18" s="13">
        <f t="shared" si="18"/>
        <v>-5.4269361362791733</v>
      </c>
      <c r="W18" s="72"/>
      <c r="X18" s="13">
        <f t="shared" si="11"/>
        <v>0.28452453918310588</v>
      </c>
      <c r="Y18" s="13">
        <f t="shared" si="12"/>
        <v>0.28452453918310588</v>
      </c>
      <c r="Z18" s="13">
        <f t="shared" si="13"/>
        <v>2013.3359068290322</v>
      </c>
      <c r="AA18" s="72">
        <f t="shared" si="14"/>
        <v>2016.6213883824375</v>
      </c>
      <c r="AB18" s="72">
        <f>Denmark!S82</f>
        <v>0.67324937971073395</v>
      </c>
      <c r="AD18">
        <v>2014</v>
      </c>
      <c r="AE18" s="13">
        <v>0.93137474819959321</v>
      </c>
      <c r="AF18" s="13">
        <v>0.93137474819959321</v>
      </c>
      <c r="AG18" s="13">
        <v>0.93137474819959321</v>
      </c>
      <c r="AI18">
        <v>2014</v>
      </c>
      <c r="AJ18" s="13">
        <v>0.93137474819959321</v>
      </c>
      <c r="AK18" s="13">
        <f t="shared" si="19"/>
        <v>0.93137474819959321</v>
      </c>
      <c r="AL18" s="13">
        <v>0.93137474819959321</v>
      </c>
      <c r="AN18" s="13">
        <f t="shared" si="15"/>
        <v>0.93137474819959321</v>
      </c>
      <c r="AO18" s="13"/>
      <c r="AP18">
        <f>LN(C18/(65-C18))</f>
        <v>-4.3075280826973348</v>
      </c>
      <c r="AQ18">
        <f t="shared" si="6"/>
        <v>-4.2310483389103624</v>
      </c>
      <c r="AS18">
        <v>5</v>
      </c>
      <c r="AT18">
        <v>0</v>
      </c>
      <c r="BD18" s="3">
        <v>2014</v>
      </c>
      <c r="BE18" s="13">
        <v>1.5606175453975535</v>
      </c>
      <c r="BI18" s="126">
        <v>42614</v>
      </c>
      <c r="BJ18">
        <v>450</v>
      </c>
      <c r="BK18">
        <v>50</v>
      </c>
      <c r="BL18">
        <f t="shared" si="0"/>
        <v>500</v>
      </c>
      <c r="BM18">
        <v>500</v>
      </c>
      <c r="BO18">
        <v>2014</v>
      </c>
      <c r="BP18">
        <f>SUM(BL8:BL11)</f>
        <v>1885</v>
      </c>
      <c r="BQ18">
        <f>SUM(BM8:BM11)</f>
        <v>1885</v>
      </c>
      <c r="BR18">
        <f>'EV %sales'!AJ55*1000</f>
        <v>189068</v>
      </c>
      <c r="BS18" s="13">
        <f t="shared" si="20"/>
        <v>0.99699578987454252</v>
      </c>
      <c r="BT18" s="13">
        <f t="shared" si="20"/>
        <v>0.99699578987454252</v>
      </c>
    </row>
    <row r="19" spans="1:72">
      <c r="A19" s="14">
        <v>2015</v>
      </c>
      <c r="B19" s="13">
        <f>'EV %sales'!G73</f>
        <v>2.3954983147611491</v>
      </c>
      <c r="C19" s="13">
        <f>BT19</f>
        <v>1.528528514048479</v>
      </c>
      <c r="D19" s="13"/>
      <c r="E19" s="13">
        <f t="shared" si="7"/>
        <v>1.4479052196409519</v>
      </c>
      <c r="F19" s="13">
        <f t="shared" si="3"/>
        <v>1.4479052196409519</v>
      </c>
      <c r="G19" s="13"/>
      <c r="H19">
        <v>2015</v>
      </c>
      <c r="I19">
        <f t="shared" si="4"/>
        <v>-3.7262850199129143</v>
      </c>
      <c r="J19" s="72"/>
      <c r="K19" s="13"/>
      <c r="L19" s="13">
        <f>1/Denmark!R83</f>
        <v>0.59496383176003609</v>
      </c>
      <c r="M19" s="13"/>
      <c r="N19" s="72">
        <f t="shared" si="8"/>
        <v>1.4479052196409519</v>
      </c>
      <c r="O19" s="72">
        <f t="shared" si="9"/>
        <v>1.4479052196409519</v>
      </c>
      <c r="P19" s="13">
        <f t="shared" si="10"/>
        <v>-3.7817421240322675</v>
      </c>
      <c r="Q19" s="230">
        <f t="shared" si="5"/>
        <v>-3.7817421240322675</v>
      </c>
      <c r="R19" s="13">
        <f t="shared" si="16"/>
        <v>0</v>
      </c>
      <c r="S19" s="13">
        <f t="shared" si="17"/>
        <v>1</v>
      </c>
      <c r="T19" s="13">
        <v>1</v>
      </c>
      <c r="U19" s="13">
        <v>0</v>
      </c>
      <c r="V19" s="13">
        <f t="shared" si="18"/>
        <v>-3.7817421240322675</v>
      </c>
      <c r="W19" s="72"/>
      <c r="X19" s="13">
        <f t="shared" si="11"/>
        <v>1.4479052196409519</v>
      </c>
      <c r="Y19" s="13">
        <f t="shared" si="12"/>
        <v>1.4479052196409519</v>
      </c>
      <c r="Z19" s="13">
        <f t="shared" si="13"/>
        <v>2015.1801306715158</v>
      </c>
      <c r="AA19" s="72">
        <f t="shared" si="14"/>
        <v>2015.7771645399539</v>
      </c>
      <c r="AB19" s="20">
        <f>Denmark!S83</f>
        <v>0.59496383176003609</v>
      </c>
      <c r="AD19">
        <v>2015</v>
      </c>
      <c r="AE19" s="13">
        <v>1.4479052196409519</v>
      </c>
      <c r="AF19" s="13">
        <v>1.4479052196409519</v>
      </c>
      <c r="AG19" s="13">
        <v>1.4479052196409519</v>
      </c>
      <c r="AI19">
        <v>2015</v>
      </c>
      <c r="AJ19" s="13">
        <v>1.4479052196409519</v>
      </c>
      <c r="AK19" s="13">
        <f t="shared" si="19"/>
        <v>1.4479052196409519</v>
      </c>
      <c r="AL19" s="13">
        <v>1.4479052196409519</v>
      </c>
      <c r="AN19" s="13">
        <f>65*EXP(AQ19)/(1+EXP(AQ19))</f>
        <v>1.4479052196409519</v>
      </c>
      <c r="AO19" s="13"/>
      <c r="AP19">
        <f>LN(C19/(65-C19))</f>
        <v>-3.7262850199129143</v>
      </c>
      <c r="AQ19">
        <f t="shared" si="6"/>
        <v>-3.7817421240322675</v>
      </c>
      <c r="AS19">
        <v>6</v>
      </c>
      <c r="AT19">
        <v>0</v>
      </c>
      <c r="BD19" s="3">
        <v>2015</v>
      </c>
      <c r="BE19" s="13">
        <v>1.6829572868702138</v>
      </c>
      <c r="BI19" s="126">
        <v>42705</v>
      </c>
      <c r="BJ19">
        <v>600</v>
      </c>
      <c r="BK19">
        <v>100</v>
      </c>
      <c r="BL19">
        <f t="shared" si="0"/>
        <v>700</v>
      </c>
      <c r="BM19">
        <v>500</v>
      </c>
      <c r="BO19">
        <v>2015</v>
      </c>
      <c r="BP19">
        <f>SUM(BL12:BL15)</f>
        <v>4720</v>
      </c>
      <c r="BQ19">
        <f>SUM(BM12:BM15)</f>
        <v>3170</v>
      </c>
      <c r="BR19">
        <f>'EV %sales'!AJ56*1000</f>
        <v>207389</v>
      </c>
      <c r="BS19" s="13">
        <f t="shared" si="20"/>
        <v>2.2759162732835394</v>
      </c>
      <c r="BT19" s="13">
        <f t="shared" si="20"/>
        <v>1.528528514048479</v>
      </c>
    </row>
    <row r="20" spans="1:72">
      <c r="A20" s="14">
        <v>2016</v>
      </c>
      <c r="B20" s="13">
        <f>'EV %sales'!G74</f>
        <v>0.84430541986716978</v>
      </c>
      <c r="C20" s="13">
        <f>BT20</f>
        <v>0.98591928009966745</v>
      </c>
      <c r="D20" s="13"/>
      <c r="E20" s="13">
        <f t="shared" si="7"/>
        <v>0.93137474819959321</v>
      </c>
      <c r="F20" s="13">
        <f t="shared" si="3"/>
        <v>2.2408785959824278</v>
      </c>
      <c r="G20" s="13"/>
      <c r="H20">
        <v>2016</v>
      </c>
      <c r="I20">
        <f t="shared" si="4"/>
        <v>-4.1732838641645751</v>
      </c>
      <c r="J20" s="72"/>
      <c r="K20" s="13"/>
      <c r="L20" s="13">
        <f>1/Denmark!R84</f>
        <v>0.79942626649336623</v>
      </c>
      <c r="M20" s="13"/>
      <c r="N20" s="72">
        <f t="shared" si="8"/>
        <v>2.2408785959824278</v>
      </c>
      <c r="O20" s="72">
        <f t="shared" si="9"/>
        <v>0.93137474819959321</v>
      </c>
      <c r="P20" s="13">
        <f t="shared" si="10"/>
        <v>-4.2310483389103624</v>
      </c>
      <c r="Q20" s="230">
        <f t="shared" si="5"/>
        <v>-4.2310483389103624</v>
      </c>
      <c r="R20" s="13">
        <f t="shared" si="16"/>
        <v>0</v>
      </c>
      <c r="S20" s="13">
        <f t="shared" si="17"/>
        <v>1</v>
      </c>
      <c r="T20" s="13">
        <v>1</v>
      </c>
      <c r="U20" s="13">
        <v>0</v>
      </c>
      <c r="V20" s="13">
        <f t="shared" si="18"/>
        <v>-4.2310483389103624</v>
      </c>
      <c r="W20" s="72"/>
      <c r="X20" s="13">
        <f t="shared" si="11"/>
        <v>0.93137474819959321</v>
      </c>
      <c r="Y20" s="13">
        <f t="shared" si="12"/>
        <v>0.93137474819959321</v>
      </c>
      <c r="Z20" s="13">
        <f t="shared" si="13"/>
        <v>2013.9752273807728</v>
      </c>
      <c r="AA20" s="72">
        <f t="shared" si="14"/>
        <v>2017.9820678306969</v>
      </c>
      <c r="AB20" s="20">
        <f>Denmark!S84</f>
        <v>0.79942626649336623</v>
      </c>
      <c r="AD20">
        <v>2016</v>
      </c>
      <c r="AE20" s="13">
        <v>0.93137474819959321</v>
      </c>
      <c r="AF20" s="13">
        <v>0.93137474819959321</v>
      </c>
      <c r="AG20" s="13">
        <v>0.93137474819959321</v>
      </c>
      <c r="AI20">
        <v>2016</v>
      </c>
      <c r="AJ20" s="13">
        <v>0.93137474819959321</v>
      </c>
      <c r="AK20" s="13">
        <f t="shared" si="19"/>
        <v>0.93137474819959321</v>
      </c>
      <c r="AL20" s="13">
        <v>0.93137474819959321</v>
      </c>
      <c r="AN20" s="13">
        <f t="shared" si="15"/>
        <v>2.2408785959824278</v>
      </c>
      <c r="AO20" s="13"/>
      <c r="AQ20">
        <f t="shared" si="6"/>
        <v>-3.3324359091541726</v>
      </c>
      <c r="AS20">
        <v>7</v>
      </c>
      <c r="AT20">
        <v>0</v>
      </c>
      <c r="BD20" s="3">
        <v>2016</v>
      </c>
      <c r="BE20" s="13">
        <v>1.2512396906668841</v>
      </c>
      <c r="BI20" s="126">
        <v>42795</v>
      </c>
      <c r="BJ20">
        <v>80</v>
      </c>
      <c r="BK20">
        <v>0</v>
      </c>
      <c r="BL20">
        <f t="shared" si="0"/>
        <v>80</v>
      </c>
      <c r="BM20">
        <v>350</v>
      </c>
      <c r="BO20">
        <v>2016</v>
      </c>
      <c r="BP20">
        <f>SUM(BL16:BL19)</f>
        <v>1490</v>
      </c>
      <c r="BQ20">
        <f>SUM(BM16:BM19)</f>
        <v>2200</v>
      </c>
      <c r="BR20">
        <f>'EV %sales'!AJ57*1000</f>
        <v>223142</v>
      </c>
      <c r="BS20" s="13">
        <f t="shared" si="20"/>
        <v>0.66773623970386575</v>
      </c>
      <c r="BT20" s="13">
        <f t="shared" si="20"/>
        <v>0.98591928009966745</v>
      </c>
    </row>
    <row r="21" spans="1:72">
      <c r="A21" s="14">
        <v>2017</v>
      </c>
      <c r="B21" s="13">
        <f>'EV %sales'!G75</f>
        <v>0.5914758946523726</v>
      </c>
      <c r="C21" s="13">
        <f>BT21</f>
        <v>0.63114805831808063</v>
      </c>
      <c r="D21" s="13"/>
      <c r="E21" s="13">
        <f t="shared" si="7"/>
        <v>0.93137474819959321</v>
      </c>
      <c r="F21" s="13">
        <f t="shared" si="3"/>
        <v>3.4446003282819651</v>
      </c>
      <c r="G21" s="13"/>
      <c r="H21">
        <v>2017</v>
      </c>
      <c r="I21">
        <f t="shared" si="4"/>
        <v>-4.6248446538116923</v>
      </c>
      <c r="J21" s="72"/>
      <c r="K21" s="13"/>
      <c r="L21" s="13">
        <f>1/Denmark!R85</f>
        <v>0.92186574718299363</v>
      </c>
      <c r="M21" s="13"/>
      <c r="N21" s="72">
        <f t="shared" si="8"/>
        <v>3.4446003282819651</v>
      </c>
      <c r="O21" s="72">
        <f t="shared" si="9"/>
        <v>0.93137474819959321</v>
      </c>
      <c r="P21" s="13">
        <f t="shared" si="10"/>
        <v>-4.2310483389103624</v>
      </c>
      <c r="Q21" s="230">
        <f t="shared" si="5"/>
        <v>-4.2310483389103624</v>
      </c>
      <c r="R21" s="13">
        <f t="shared" si="16"/>
        <v>0</v>
      </c>
      <c r="S21" s="13">
        <f t="shared" si="17"/>
        <v>1</v>
      </c>
      <c r="T21" s="13">
        <f t="shared" ref="T21:T59" si="21">IF((AB21-0.6)/0.3&gt;1,1,(AB21-0.6)/0.3)</f>
        <v>1</v>
      </c>
      <c r="U21" s="13">
        <v>0</v>
      </c>
      <c r="V21" s="13">
        <f t="shared" si="18"/>
        <v>-4.2310483389103624</v>
      </c>
      <c r="W21" s="72"/>
      <c r="X21" s="13">
        <f t="shared" si="11"/>
        <v>0.93137474819959321</v>
      </c>
      <c r="Y21" s="13">
        <f t="shared" si="12"/>
        <v>0.93137474819959321</v>
      </c>
      <c r="Z21" s="13">
        <f t="shared" si="13"/>
        <v>2013.6548517614492</v>
      </c>
      <c r="AA21" s="72">
        <f t="shared" si="14"/>
        <v>2019.3024434500205</v>
      </c>
      <c r="AB21" s="20">
        <f>Denmark!S85</f>
        <v>0.92186574718299363</v>
      </c>
      <c r="AD21">
        <v>2017</v>
      </c>
      <c r="AE21" s="13">
        <v>0.93137474819959321</v>
      </c>
      <c r="AF21" s="13">
        <v>0.93137474819959321</v>
      </c>
      <c r="AG21" s="13">
        <v>0.93137474819959321</v>
      </c>
      <c r="AI21">
        <v>2017</v>
      </c>
      <c r="AJ21" s="13">
        <v>0.93137474819959321</v>
      </c>
      <c r="AK21" s="13">
        <f t="shared" si="19"/>
        <v>0.93137474819959321</v>
      </c>
      <c r="AL21" s="13">
        <v>0.93137474819959321</v>
      </c>
      <c r="AN21" s="13">
        <f t="shared" si="15"/>
        <v>3.4446003282819651</v>
      </c>
      <c r="AO21" s="13"/>
      <c r="AQ21">
        <f t="shared" si="6"/>
        <v>-2.8831296942760773</v>
      </c>
      <c r="AS21">
        <v>8</v>
      </c>
      <c r="AT21">
        <v>0</v>
      </c>
      <c r="BD21" s="3">
        <v>2017</v>
      </c>
      <c r="BE21" s="13">
        <v>1.0852405000692427</v>
      </c>
      <c r="BI21" s="126">
        <v>42887</v>
      </c>
      <c r="BJ21">
        <v>50</v>
      </c>
      <c r="BK21">
        <v>0</v>
      </c>
      <c r="BL21">
        <f t="shared" si="0"/>
        <v>50</v>
      </c>
      <c r="BM21">
        <v>350</v>
      </c>
      <c r="BO21">
        <v>2017</v>
      </c>
      <c r="BP21">
        <f>SUM(BL20:BL23)</f>
        <v>830</v>
      </c>
      <c r="BQ21">
        <f>SUM(BM20:BM23)</f>
        <v>1400</v>
      </c>
      <c r="BR21" s="3">
        <f>'EV %sales'!AJ58*1000</f>
        <v>221818</v>
      </c>
      <c r="BS21" s="13">
        <f t="shared" si="20"/>
        <v>0.37418063457429063</v>
      </c>
      <c r="BT21" s="13">
        <f t="shared" si="20"/>
        <v>0.63114805831808063</v>
      </c>
    </row>
    <row r="22" spans="1:72">
      <c r="A22" s="14">
        <v>2018</v>
      </c>
      <c r="B22" s="13">
        <f>'EV %sales'!G76</f>
        <v>1.0260720272900103</v>
      </c>
      <c r="C22" s="13">
        <f>B22</f>
        <v>1.0260720272900103</v>
      </c>
      <c r="D22" s="13"/>
      <c r="E22" s="13">
        <f t="shared" si="7"/>
        <v>0.90531080068456737</v>
      </c>
      <c r="F22" s="13">
        <f t="shared" si="3"/>
        <v>5.2409229437896716</v>
      </c>
      <c r="G22" s="13"/>
      <c r="H22">
        <v>2018</v>
      </c>
      <c r="I22" s="72"/>
      <c r="J22" s="72"/>
      <c r="K22" s="72"/>
      <c r="L22" s="13">
        <f>1/Denmark!R86</f>
        <v>1.0641502851916704</v>
      </c>
      <c r="M22" s="72"/>
      <c r="N22" s="72">
        <f t="shared" si="8"/>
        <v>5.2409229437896716</v>
      </c>
      <c r="O22" s="72">
        <f>65*EXP(Q22)/(1+EXP(Q22))</f>
        <v>0.90531080068456726</v>
      </c>
      <c r="P22" s="13">
        <f t="shared" si="10"/>
        <v>-4.2598384767581603</v>
      </c>
      <c r="Q22" s="230">
        <f>P22</f>
        <v>-4.2598384767581603</v>
      </c>
      <c r="R22" s="13">
        <f t="shared" si="16"/>
        <v>0</v>
      </c>
      <c r="S22" s="13">
        <f t="shared" si="17"/>
        <v>1</v>
      </c>
      <c r="T22" s="13">
        <f t="shared" si="21"/>
        <v>1</v>
      </c>
      <c r="U22" s="13">
        <v>0</v>
      </c>
      <c r="V22" s="13">
        <f t="shared" si="18"/>
        <v>-4.2598384767581603</v>
      </c>
      <c r="W22" s="72"/>
      <c r="X22" s="13">
        <f t="shared" ref="X22:X57" si="22">AVERAGE(Y20:Y24)</f>
        <v>0.90531080068456737</v>
      </c>
      <c r="Y22" s="13">
        <f t="shared" si="12"/>
        <v>0.28452453918310588</v>
      </c>
      <c r="Z22" s="13">
        <f t="shared" si="13"/>
        <v>2013.1204689468927</v>
      </c>
      <c r="AA22" s="72">
        <f t="shared" si="14"/>
        <v>2020.836826264577</v>
      </c>
      <c r="AB22" s="20">
        <f>Denmark!S86</f>
        <v>1.0641502851916704</v>
      </c>
      <c r="AD22">
        <v>2018</v>
      </c>
      <c r="AE22" s="13">
        <v>0.90531080068456726</v>
      </c>
      <c r="AF22" s="13">
        <v>0.90531080068456726</v>
      </c>
      <c r="AG22" s="13">
        <v>0.90531080068456726</v>
      </c>
      <c r="AI22">
        <v>2018</v>
      </c>
      <c r="AJ22" s="13">
        <v>0.90531080068456726</v>
      </c>
      <c r="AK22" s="13">
        <f t="shared" si="19"/>
        <v>0.90531080068456726</v>
      </c>
      <c r="AL22" s="13">
        <v>0.90531080068456726</v>
      </c>
      <c r="AN22" s="13">
        <f t="shared" si="15"/>
        <v>5.2409229437896716</v>
      </c>
      <c r="AO22" s="13"/>
      <c r="AQ22">
        <f t="shared" si="6"/>
        <v>-2.433823479397982</v>
      </c>
      <c r="AS22">
        <v>9</v>
      </c>
      <c r="AT22">
        <v>0</v>
      </c>
      <c r="BI22" s="126">
        <v>42979</v>
      </c>
      <c r="BJ22">
        <v>350</v>
      </c>
      <c r="BK22">
        <v>0</v>
      </c>
      <c r="BL22">
        <f t="shared" si="0"/>
        <v>350</v>
      </c>
      <c r="BM22">
        <v>350</v>
      </c>
    </row>
    <row r="23" spans="1:72">
      <c r="A23">
        <v>2019</v>
      </c>
      <c r="B23" s="13"/>
      <c r="C23" s="13"/>
      <c r="D23" s="13"/>
      <c r="E23" s="13">
        <f t="shared" si="7"/>
        <v>1.1672115702411343</v>
      </c>
      <c r="F23" s="13">
        <f t="shared" si="3"/>
        <v>7.8544776715370315</v>
      </c>
      <c r="G23" s="13"/>
      <c r="H23">
        <v>2019</v>
      </c>
      <c r="I23" s="13"/>
      <c r="J23" s="72"/>
      <c r="K23" s="72"/>
      <c r="L23" s="13">
        <f>1/Denmark!R87</f>
        <v>1.0822350933898557</v>
      </c>
      <c r="M23" s="72"/>
      <c r="N23" s="72">
        <f t="shared" si="8"/>
        <v>7.8544776715370315</v>
      </c>
      <c r="O23" s="72">
        <f>65*EXP(Q23)/(1+EXP(Q23))</f>
        <v>1.1672115702411339</v>
      </c>
      <c r="P23" s="13">
        <f t="shared" si="10"/>
        <v>-4.0016493525724544</v>
      </c>
      <c r="Q23" s="230">
        <f>P23</f>
        <v>-4.0016493525724544</v>
      </c>
      <c r="R23" s="13">
        <f>U23*S23</f>
        <v>0</v>
      </c>
      <c r="S23" s="13">
        <f t="shared" si="17"/>
        <v>1</v>
      </c>
      <c r="T23" s="13">
        <f t="shared" si="21"/>
        <v>1</v>
      </c>
      <c r="U23" s="13">
        <v>0</v>
      </c>
      <c r="V23" s="13">
        <f t="shared" si="18"/>
        <v>-4.0016493525724544</v>
      </c>
      <c r="W23" s="72"/>
      <c r="X23" s="13">
        <f t="shared" si="22"/>
        <v>1.1672115702411343</v>
      </c>
      <c r="Y23" s="13">
        <f t="shared" si="12"/>
        <v>0.93137474819959321</v>
      </c>
      <c r="Z23" s="13">
        <f t="shared" si="13"/>
        <v>2013.9254441093933</v>
      </c>
      <c r="AA23" s="72">
        <f t="shared" si="14"/>
        <v>2021.0318511020764</v>
      </c>
      <c r="AB23" s="72">
        <f>Denmark!S87</f>
        <v>1.0822350933898557</v>
      </c>
      <c r="AD23">
        <v>2019</v>
      </c>
      <c r="AE23" s="13">
        <v>1.1672115702411339</v>
      </c>
      <c r="AF23" s="13">
        <v>1.1672115702411339</v>
      </c>
      <c r="AG23" s="13">
        <v>1.1672115702411339</v>
      </c>
      <c r="AI23">
        <v>2019</v>
      </c>
      <c r="AJ23" s="13">
        <v>1.1672115702411339</v>
      </c>
      <c r="AK23" s="13">
        <f t="shared" si="19"/>
        <v>1.1672115702411339</v>
      </c>
      <c r="AL23" s="13">
        <v>1.4079559167010423</v>
      </c>
      <c r="AN23" s="13">
        <f t="shared" si="15"/>
        <v>7.8544776715370315</v>
      </c>
      <c r="AO23" s="13"/>
      <c r="AQ23">
        <f t="shared" si="6"/>
        <v>-1.9845172645198872</v>
      </c>
      <c r="AS23">
        <v>10</v>
      </c>
      <c r="AT23">
        <v>0</v>
      </c>
      <c r="BE23" t="s">
        <v>997</v>
      </c>
      <c r="BF23" t="s">
        <v>1144</v>
      </c>
      <c r="BI23" s="126">
        <v>43070</v>
      </c>
      <c r="BJ23">
        <v>350</v>
      </c>
      <c r="BK23">
        <v>0</v>
      </c>
      <c r="BL23">
        <f t="shared" si="0"/>
        <v>350</v>
      </c>
      <c r="BM23">
        <v>350</v>
      </c>
    </row>
    <row r="24" spans="1:72">
      <c r="A24">
        <v>2020</v>
      </c>
      <c r="B24" s="13"/>
      <c r="C24" s="13" t="s">
        <v>139</v>
      </c>
      <c r="D24" s="13"/>
      <c r="E24" s="13">
        <f t="shared" si="7"/>
        <v>1.6698566862576087</v>
      </c>
      <c r="F24" s="13">
        <f t="shared" si="3"/>
        <v>11.520114188615567</v>
      </c>
      <c r="G24" s="13"/>
      <c r="H24">
        <v>2020</v>
      </c>
      <c r="I24" s="13"/>
      <c r="J24" s="72"/>
      <c r="K24" s="72"/>
      <c r="L24" s="13">
        <f>1/Denmark!R88</f>
        <v>1.0791589071742007</v>
      </c>
      <c r="M24" s="72"/>
      <c r="N24" s="72">
        <f t="shared" si="8"/>
        <v>11.520114188615567</v>
      </c>
      <c r="O24" s="72">
        <f>65*EXP(Q24)/(1+EXP(Q24))</f>
        <v>1.5146517368990953</v>
      </c>
      <c r="P24" s="13">
        <f t="shared" si="10"/>
        <v>-3.6356236073594488</v>
      </c>
      <c r="Q24" s="230">
        <f>P24-SUM(R24:R$24)</f>
        <v>-3.7356236073594489</v>
      </c>
      <c r="R24" s="13">
        <f t="shared" si="16"/>
        <v>0.1</v>
      </c>
      <c r="S24" s="13">
        <f t="shared" si="17"/>
        <v>1</v>
      </c>
      <c r="T24" s="13">
        <f t="shared" si="21"/>
        <v>1</v>
      </c>
      <c r="U24" s="231">
        <v>0.1</v>
      </c>
      <c r="V24" s="13">
        <f t="shared" si="18"/>
        <v>-3.6356236073594488</v>
      </c>
      <c r="W24" s="94"/>
      <c r="X24" s="13">
        <f t="shared" si="22"/>
        <v>1.6698566862576087</v>
      </c>
      <c r="Y24" s="13">
        <f t="shared" si="12"/>
        <v>1.4479052196409519</v>
      </c>
      <c r="Z24" s="13">
        <f t="shared" si="13"/>
        <v>2014.9586174065746</v>
      </c>
      <c r="AA24" s="72">
        <f t="shared" si="14"/>
        <v>2020.9986778048951</v>
      </c>
      <c r="AB24" s="72">
        <f>Denmark!S88</f>
        <v>1.0791589071742007</v>
      </c>
      <c r="AD24">
        <v>2020</v>
      </c>
      <c r="AE24" s="13">
        <v>1.5146517368990953</v>
      </c>
      <c r="AF24" s="13">
        <v>1.5146517368990953</v>
      </c>
      <c r="AG24" s="13">
        <v>1.5146517368990953</v>
      </c>
      <c r="AI24">
        <v>2020</v>
      </c>
      <c r="AJ24" s="13">
        <v>1.2958255459140713</v>
      </c>
      <c r="AK24" s="13">
        <f t="shared" si="19"/>
        <v>1.5146517368990953</v>
      </c>
      <c r="AL24" s="13">
        <v>2.0607073766285509</v>
      </c>
      <c r="AN24" s="13">
        <f t="shared" si="15"/>
        <v>11.520114188615567</v>
      </c>
      <c r="AO24" s="13"/>
      <c r="AQ24">
        <f t="shared" si="6"/>
        <v>-1.5352110496417923</v>
      </c>
      <c r="AS24">
        <v>11</v>
      </c>
      <c r="AT24">
        <v>0</v>
      </c>
      <c r="BE24" s="13">
        <f>AVERAGE(BE16:BE19)</f>
        <v>1.6238851783857151</v>
      </c>
      <c r="BF24">
        <v>2015.6</v>
      </c>
    </row>
    <row r="25" spans="1:72">
      <c r="A25">
        <v>2021</v>
      </c>
      <c r="B25" s="13"/>
      <c r="C25" s="13"/>
      <c r="D25" s="13"/>
      <c r="E25" s="13">
        <f t="shared" si="7"/>
        <v>2.6611363671789219</v>
      </c>
      <c r="F25" s="13">
        <f t="shared" si="3"/>
        <v>16.405363572657308</v>
      </c>
      <c r="G25" s="13"/>
      <c r="H25">
        <v>2021</v>
      </c>
      <c r="I25" s="13"/>
      <c r="J25" s="72"/>
      <c r="K25" s="72"/>
      <c r="L25" s="13">
        <f>1/Denmark!R89</f>
        <v>1.0609045393150056</v>
      </c>
      <c r="M25" s="72"/>
      <c r="N25" s="72">
        <f>F25</f>
        <v>16.405363572657308</v>
      </c>
      <c r="O25" s="72">
        <f>65*EXP(Q25)/(1+EXP(Q25))</f>
        <v>2.1844642818764251</v>
      </c>
      <c r="P25" s="13">
        <f t="shared" si="10"/>
        <v>-3.153831808359532</v>
      </c>
      <c r="Q25" s="230">
        <f>P25-SUM(R$24:R25)</f>
        <v>-3.3588318083595321</v>
      </c>
      <c r="R25" s="13">
        <f t="shared" si="16"/>
        <v>0.10500000000000001</v>
      </c>
      <c r="S25" s="13">
        <f t="shared" si="17"/>
        <v>1</v>
      </c>
      <c r="T25" s="13">
        <f t="shared" si="21"/>
        <v>1</v>
      </c>
      <c r="U25" s="20">
        <f>U24+(U44-U24)/20</f>
        <v>0.10500000000000001</v>
      </c>
      <c r="V25" s="13">
        <f t="shared" si="18"/>
        <v>-3.153831808359532</v>
      </c>
      <c r="W25" s="72"/>
      <c r="X25" s="13">
        <f t="shared" si="22"/>
        <v>2.6611363671789219</v>
      </c>
      <c r="Y25" s="13">
        <f t="shared" si="12"/>
        <v>2.2408785959824278</v>
      </c>
      <c r="Z25" s="13">
        <f t="shared" si="13"/>
        <v>2016.1554707591999</v>
      </c>
      <c r="AA25" s="72">
        <f t="shared" si="14"/>
        <v>2020.8018244522698</v>
      </c>
      <c r="AB25" s="72">
        <f>Denmark!S89</f>
        <v>1.0609045393150056</v>
      </c>
      <c r="AD25">
        <v>2021</v>
      </c>
      <c r="AE25" s="13">
        <v>2.1844642818764251</v>
      </c>
      <c r="AF25" s="13">
        <v>2.1844642818764251</v>
      </c>
      <c r="AG25" s="13">
        <v>2.1844642818764251</v>
      </c>
      <c r="AI25">
        <v>2021</v>
      </c>
      <c r="AJ25" s="13">
        <v>1.6890191430948163</v>
      </c>
      <c r="AK25" s="13">
        <f t="shared" si="19"/>
        <v>2.1844642818764251</v>
      </c>
      <c r="AL25" s="13">
        <v>3.1161312398822494</v>
      </c>
      <c r="AN25" s="13">
        <f t="shared" si="15"/>
        <v>16.405363572657308</v>
      </c>
      <c r="AO25" s="13"/>
      <c r="AQ25">
        <f t="shared" si="6"/>
        <v>-1.0859048347636966</v>
      </c>
      <c r="AS25">
        <v>12</v>
      </c>
      <c r="AT25">
        <v>0</v>
      </c>
      <c r="BE25" s="13">
        <f>AVERAGE(BE20:BE21)</f>
        <v>1.1682400953680634</v>
      </c>
      <c r="BF25">
        <f>2017.6</f>
        <v>2017.6</v>
      </c>
    </row>
    <row r="26" spans="1:72">
      <c r="A26">
        <v>2022</v>
      </c>
      <c r="B26" s="13"/>
      <c r="C26" s="13"/>
      <c r="D26" s="13"/>
      <c r="E26" s="13">
        <f t="shared" si="7"/>
        <v>4.0457569518464096</v>
      </c>
      <c r="F26" s="13">
        <f t="shared" si="3"/>
        <v>22.491028963670956</v>
      </c>
      <c r="G26" s="13"/>
      <c r="H26" s="13"/>
      <c r="I26" s="13"/>
      <c r="J26" s="13"/>
      <c r="K26" s="13"/>
      <c r="L26" s="13">
        <f>1/Denmark!R90</f>
        <v>1.0687110025404056</v>
      </c>
      <c r="M26" s="13"/>
      <c r="N26" s="72">
        <f t="shared" si="8"/>
        <v>22.491028963670956</v>
      </c>
      <c r="O26" s="72">
        <f t="shared" ref="O26:O58" si="23">65*EXP(Q26)/(1+EXP(Q26))</f>
        <v>3.0030555808113628</v>
      </c>
      <c r="P26" s="13">
        <f t="shared" si="10"/>
        <v>-2.7124548030105369</v>
      </c>
      <c r="Q26" s="230">
        <f>P26-SUM(R$24:R26)</f>
        <v>-3.0274548030105368</v>
      </c>
      <c r="R26" s="13">
        <f t="shared" si="16"/>
        <v>0.11000000000000001</v>
      </c>
      <c r="S26" s="13">
        <f t="shared" si="17"/>
        <v>1</v>
      </c>
      <c r="T26" s="13">
        <f t="shared" si="21"/>
        <v>1</v>
      </c>
      <c r="U26" s="20">
        <f>U25+(U44-U24)/20</f>
        <v>0.11000000000000001</v>
      </c>
      <c r="V26" s="13">
        <f t="shared" si="18"/>
        <v>-2.7124548030105369</v>
      </c>
      <c r="W26" s="72"/>
      <c r="X26" s="13">
        <f>AVERAGE(Y24:Y28)</f>
        <v>4.0457569518464096</v>
      </c>
      <c r="Y26" s="13">
        <f t="shared" si="12"/>
        <v>3.4446003282819651</v>
      </c>
      <c r="Z26" s="13">
        <f t="shared" si="13"/>
        <v>2017.0712866083204</v>
      </c>
      <c r="AA26" s="72">
        <f t="shared" si="14"/>
        <v>2020.8860086031493</v>
      </c>
      <c r="AB26" s="72">
        <f>Denmark!S90</f>
        <v>1.0687110025404056</v>
      </c>
      <c r="AD26">
        <v>2022</v>
      </c>
      <c r="AE26" s="13">
        <v>3.5582660427491568</v>
      </c>
      <c r="AF26" s="13">
        <v>3.0030555808113628</v>
      </c>
      <c r="AG26" s="13">
        <v>3.0030555808113628</v>
      </c>
      <c r="AI26">
        <v>2022</v>
      </c>
      <c r="AJ26" s="13">
        <v>2.159440073848002</v>
      </c>
      <c r="AK26" s="13">
        <f t="shared" si="19"/>
        <v>3.0030555808113628</v>
      </c>
      <c r="AL26" s="13">
        <v>4.4152465494078328</v>
      </c>
      <c r="AN26" s="13">
        <f t="shared" si="15"/>
        <v>22.491028963670956</v>
      </c>
      <c r="AO26" s="13"/>
      <c r="AQ26">
        <f t="shared" si="6"/>
        <v>-0.63659861988560174</v>
      </c>
      <c r="AS26">
        <v>13</v>
      </c>
      <c r="AT26">
        <v>0</v>
      </c>
    </row>
    <row r="27" spans="1:72">
      <c r="A27">
        <v>2023</v>
      </c>
      <c r="B27" s="13"/>
      <c r="C27" s="13"/>
      <c r="D27" s="13"/>
      <c r="E27" s="13">
        <f t="shared" si="7"/>
        <v>7.0372486224496811</v>
      </c>
      <c r="F27" s="13">
        <f t="shared" si="3"/>
        <v>29.465364095738629</v>
      </c>
      <c r="G27" s="13"/>
      <c r="H27" s="13"/>
      <c r="I27" s="13"/>
      <c r="J27" s="13"/>
      <c r="K27" s="13"/>
      <c r="L27" s="13">
        <f>1/Denmark!R91</f>
        <v>1.0628252436117813</v>
      </c>
      <c r="M27" s="13"/>
      <c r="N27" s="72">
        <f t="shared" si="8"/>
        <v>29.465364095738629</v>
      </c>
      <c r="O27" s="72">
        <f>65*EXP(Q27)/(1+EXP(Q27))</f>
        <v>4.7578194610155951</v>
      </c>
      <c r="P27" s="13">
        <f t="shared" si="10"/>
        <v>-2.1085833135030141</v>
      </c>
      <c r="Q27" s="230">
        <f>P27-SUM(R$24:R27)</f>
        <v>-2.5385833135030142</v>
      </c>
      <c r="R27" s="13">
        <f t="shared" si="16"/>
        <v>0.11500000000000002</v>
      </c>
      <c r="S27" s="13">
        <f t="shared" si="17"/>
        <v>1</v>
      </c>
      <c r="T27" s="13">
        <f t="shared" si="21"/>
        <v>1</v>
      </c>
      <c r="U27" s="20">
        <f>U26+(U44-U24)/20</f>
        <v>0.11500000000000002</v>
      </c>
      <c r="V27" s="13">
        <f t="shared" si="18"/>
        <v>-2.1085833135030141</v>
      </c>
      <c r="W27" s="72"/>
      <c r="X27" s="13">
        <f t="shared" si="22"/>
        <v>7.0372486224496811</v>
      </c>
      <c r="Y27" s="13">
        <f t="shared" si="12"/>
        <v>5.2409229437896716</v>
      </c>
      <c r="Z27" s="13">
        <f t="shared" si="13"/>
        <v>2018.1347580682352</v>
      </c>
      <c r="AA27" s="72">
        <f t="shared" si="14"/>
        <v>2020.8225371432345</v>
      </c>
      <c r="AB27" s="72">
        <f>Denmark!S91</f>
        <v>1.0628252436117813</v>
      </c>
      <c r="AD27">
        <v>2023</v>
      </c>
      <c r="AE27" s="13">
        <v>5.2750915640195144</v>
      </c>
      <c r="AF27" s="13">
        <v>4.7578194610155951</v>
      </c>
      <c r="AG27" s="13">
        <v>4.0749955822122237</v>
      </c>
      <c r="AI27">
        <v>2023</v>
      </c>
      <c r="AJ27" s="13">
        <v>2.7982253366684748</v>
      </c>
      <c r="AK27" s="13">
        <f t="shared" si="19"/>
        <v>4.7578194610155951</v>
      </c>
      <c r="AL27" s="13">
        <v>6.9548658368475271</v>
      </c>
      <c r="AN27" s="13">
        <f t="shared" si="15"/>
        <v>29.465364095738629</v>
      </c>
      <c r="AO27" s="13"/>
      <c r="AQ27">
        <f t="shared" si="6"/>
        <v>-0.18729240500750688</v>
      </c>
      <c r="AS27">
        <v>14</v>
      </c>
      <c r="AT27">
        <v>0</v>
      </c>
    </row>
    <row r="28" spans="1:72">
      <c r="A28">
        <v>2024</v>
      </c>
      <c r="B28" s="13"/>
      <c r="C28" s="13"/>
      <c r="D28" s="13"/>
      <c r="E28" s="13">
        <f t="shared" si="7"/>
        <v>11.087278695987386</v>
      </c>
      <c r="F28" s="13">
        <f t="shared" si="3"/>
        <v>36.733532308131018</v>
      </c>
      <c r="G28" s="13"/>
      <c r="H28" s="13"/>
      <c r="I28" s="13"/>
      <c r="J28" s="13"/>
      <c r="K28" s="13"/>
      <c r="L28" s="13">
        <f>1/Denmark!R92</f>
        <v>1.0409431420178334</v>
      </c>
      <c r="M28" s="13"/>
      <c r="N28" s="72">
        <f t="shared" si="8"/>
        <v>36.733532308131018</v>
      </c>
      <c r="O28" s="72">
        <f>65*EXP(Q28)/(1+EXP(Q28))</f>
        <v>6.8943043346632562</v>
      </c>
      <c r="P28" s="13">
        <f t="shared" si="10"/>
        <v>-1.581568079178568</v>
      </c>
      <c r="Q28" s="230">
        <f>P28-SUM(R$24:R28)</f>
        <v>-2.1315680791785683</v>
      </c>
      <c r="R28" s="13">
        <f t="shared" si="16"/>
        <v>0.12000000000000002</v>
      </c>
      <c r="S28" s="13">
        <f t="shared" si="17"/>
        <v>1</v>
      </c>
      <c r="T28" s="13">
        <f t="shared" si="21"/>
        <v>1</v>
      </c>
      <c r="U28" s="20">
        <f>U27+(U44-U24)/20</f>
        <v>0.12000000000000002</v>
      </c>
      <c r="V28" s="13">
        <f t="shared" si="18"/>
        <v>-1.581568079178568</v>
      </c>
      <c r="W28" s="72"/>
      <c r="X28" s="13">
        <f t="shared" si="22"/>
        <v>11.087278695987386</v>
      </c>
      <c r="Y28" s="13">
        <f t="shared" si="12"/>
        <v>7.8544776715370315</v>
      </c>
      <c r="Z28" s="13">
        <f t="shared" si="13"/>
        <v>2019.3707325536011</v>
      </c>
      <c r="AA28" s="72">
        <f t="shared" si="14"/>
        <v>2020.5865626578686</v>
      </c>
      <c r="AB28" s="72">
        <f>Denmark!S92</f>
        <v>1.0409431420178334</v>
      </c>
      <c r="AD28">
        <v>2024</v>
      </c>
      <c r="AE28" s="13">
        <v>7.3881730433726389</v>
      </c>
      <c r="AF28" s="13">
        <v>6.8943043346632562</v>
      </c>
      <c r="AG28" s="13">
        <v>6.2439600656547682</v>
      </c>
      <c r="AI28">
        <v>2024</v>
      </c>
      <c r="AJ28" s="13">
        <v>3.6400016011124787</v>
      </c>
      <c r="AK28" s="13">
        <f t="shared" si="19"/>
        <v>6.8943043346632562</v>
      </c>
      <c r="AL28" s="13">
        <v>9.8138016582628396</v>
      </c>
      <c r="AN28" s="13">
        <f t="shared" si="15"/>
        <v>36.733532308131018</v>
      </c>
      <c r="AO28" s="13"/>
      <c r="AQ28">
        <f t="shared" si="6"/>
        <v>0.26201380987058887</v>
      </c>
      <c r="AS28">
        <v>15</v>
      </c>
      <c r="AT28">
        <v>0</v>
      </c>
    </row>
    <row r="29" spans="1:72">
      <c r="A29" s="14">
        <v>2025</v>
      </c>
      <c r="B29" s="13"/>
      <c r="C29" s="13"/>
      <c r="D29" s="13"/>
      <c r="E29" s="13">
        <f t="shared" si="7"/>
        <v>16.291431449478718</v>
      </c>
      <c r="F29" s="13">
        <f t="shared" si="3"/>
        <v>43.595030140274922</v>
      </c>
      <c r="G29" s="13"/>
      <c r="H29" s="13"/>
      <c r="I29" s="13"/>
      <c r="J29" s="13"/>
      <c r="K29" s="13"/>
      <c r="L29" s="13">
        <f>1/Denmark!R93</f>
        <v>1.0211864658290022</v>
      </c>
      <c r="M29" s="13"/>
      <c r="N29" s="72">
        <f t="shared" si="8"/>
        <v>43.595030140274922</v>
      </c>
      <c r="O29" s="20">
        <f t="shared" si="23"/>
        <v>9.4585081823171482</v>
      </c>
      <c r="P29" s="13">
        <f t="shared" si="10"/>
        <v>-1.095215668558319</v>
      </c>
      <c r="Q29" s="230">
        <f>P29-SUM(R$24:R29)</f>
        <v>-1.770215668558319</v>
      </c>
      <c r="R29" s="13">
        <f t="shared" si="16"/>
        <v>0.12500000000000003</v>
      </c>
      <c r="S29" s="13">
        <f t="shared" si="17"/>
        <v>1</v>
      </c>
      <c r="T29" s="13">
        <f t="shared" si="21"/>
        <v>1</v>
      </c>
      <c r="U29" s="20">
        <f>U28+(U44-U24)/20</f>
        <v>0.12500000000000003</v>
      </c>
      <c r="V29" s="13">
        <f t="shared" si="18"/>
        <v>-1.095215668558319</v>
      </c>
      <c r="W29" s="72"/>
      <c r="X29" s="13">
        <f t="shared" si="22"/>
        <v>16.291431449478718</v>
      </c>
      <c r="Y29" s="13">
        <f t="shared" si="12"/>
        <v>16.405363572657308</v>
      </c>
      <c r="Z29" s="13">
        <f t="shared" si="13"/>
        <v>2020.5837866552004</v>
      </c>
      <c r="AA29" s="72">
        <f t="shared" si="14"/>
        <v>2020.3735085562694</v>
      </c>
      <c r="AB29" s="72">
        <f>Denmark!S93</f>
        <v>1.0211864658290022</v>
      </c>
      <c r="AD29" s="87">
        <v>2025</v>
      </c>
      <c r="AE29" s="13">
        <v>9.9469414834671834</v>
      </c>
      <c r="AF29" s="13">
        <v>9.4585081823171482</v>
      </c>
      <c r="AG29" s="13">
        <v>8.8170714802286358</v>
      </c>
      <c r="AI29" s="87">
        <v>2025</v>
      </c>
      <c r="AJ29" s="13">
        <v>4.8539468799914536</v>
      </c>
      <c r="AK29" s="13">
        <f t="shared" si="19"/>
        <v>9.4585081823171482</v>
      </c>
      <c r="AL29" s="13">
        <v>13.150646296546375</v>
      </c>
      <c r="AN29" s="13">
        <f t="shared" si="15"/>
        <v>43.595030140274922</v>
      </c>
      <c r="AO29" s="13"/>
      <c r="AQ29">
        <f t="shared" si="6"/>
        <v>0.71132002474868372</v>
      </c>
      <c r="AS29">
        <v>16</v>
      </c>
      <c r="AT29">
        <v>0</v>
      </c>
    </row>
    <row r="30" spans="1:72">
      <c r="A30">
        <v>2026</v>
      </c>
      <c r="B30" s="13"/>
      <c r="C30" s="13"/>
      <c r="D30" s="13"/>
      <c r="E30" s="13">
        <f t="shared" si="7"/>
        <v>22.589953322346989</v>
      </c>
      <c r="F30" s="13">
        <f t="shared" si="3"/>
        <v>49.494021669546953</v>
      </c>
      <c r="G30" s="13"/>
      <c r="H30" s="13"/>
      <c r="I30" s="13"/>
      <c r="J30" s="13"/>
      <c r="K30" s="13"/>
      <c r="L30" s="13">
        <f>1/Denmark!R94</f>
        <v>1.0088387613995844</v>
      </c>
      <c r="M30" s="13"/>
      <c r="N30" s="72">
        <f t="shared" si="8"/>
        <v>49.494021669546953</v>
      </c>
      <c r="O30" s="72">
        <f t="shared" si="23"/>
        <v>12.50206484745504</v>
      </c>
      <c r="P30" s="13">
        <f t="shared" si="10"/>
        <v>-0.62988001993374454</v>
      </c>
      <c r="Q30" s="230">
        <f>P30-SUM(R$24:R30)</f>
        <v>-1.4348800199337446</v>
      </c>
      <c r="R30" s="13">
        <f t="shared" si="16"/>
        <v>0.13000000000000003</v>
      </c>
      <c r="S30" s="13">
        <f>IF(T30&lt;0,0,T30)</f>
        <v>1</v>
      </c>
      <c r="T30" s="13">
        <f t="shared" si="21"/>
        <v>1</v>
      </c>
      <c r="U30" s="20">
        <f>U29+(U44-U24)/20</f>
        <v>0.13000000000000003</v>
      </c>
      <c r="V30" s="13">
        <f t="shared" si="18"/>
        <v>-0.62988001993374454</v>
      </c>
      <c r="W30" s="72"/>
      <c r="X30" s="13">
        <f t="shared" si="22"/>
        <v>22.589953322346989</v>
      </c>
      <c r="Y30" s="13">
        <f t="shared" si="12"/>
        <v>22.491028963670956</v>
      </c>
      <c r="Z30" s="13">
        <f t="shared" si="13"/>
        <v>2021.7169431157749</v>
      </c>
      <c r="AA30" s="72">
        <f t="shared" si="14"/>
        <v>2020.2403520956948</v>
      </c>
      <c r="AB30" s="72">
        <f>Denmark!S94</f>
        <v>1.0088387613995844</v>
      </c>
      <c r="AD30">
        <v>2026</v>
      </c>
      <c r="AE30" s="13">
        <v>13.008221410361728</v>
      </c>
      <c r="AF30" s="13">
        <v>12.50206484745504</v>
      </c>
      <c r="AG30" s="13">
        <v>11.839525912789025</v>
      </c>
      <c r="AI30">
        <v>2026</v>
      </c>
      <c r="AJ30" s="13">
        <v>6.3670455720674477</v>
      </c>
      <c r="AK30" s="13">
        <f>AF30</f>
        <v>12.50206484745504</v>
      </c>
      <c r="AL30" s="13">
        <v>17.058881085121477</v>
      </c>
      <c r="AN30" s="13">
        <f t="shared" si="15"/>
        <v>49.494021669546953</v>
      </c>
      <c r="AO30" s="13"/>
      <c r="AQ30">
        <f t="shared" si="6"/>
        <v>1.1606262396267786</v>
      </c>
      <c r="AS30">
        <v>17</v>
      </c>
      <c r="AT30">
        <v>0</v>
      </c>
    </row>
    <row r="31" spans="1:72">
      <c r="A31">
        <v>2027</v>
      </c>
      <c r="B31" s="13"/>
      <c r="C31" s="13"/>
      <c r="D31" s="13"/>
      <c r="E31" s="13">
        <f t="shared" si="7"/>
        <v>29.738063816094563</v>
      </c>
      <c r="F31" s="13">
        <f t="shared" si="3"/>
        <v>54.171130546633584</v>
      </c>
      <c r="G31" s="13"/>
      <c r="H31" s="13"/>
      <c r="I31" s="13"/>
      <c r="J31" s="13"/>
      <c r="K31" s="13"/>
      <c r="L31" s="13">
        <f>1/Denmark!R95</f>
        <v>0.99759859395324935</v>
      </c>
      <c r="M31" s="13"/>
      <c r="N31" s="72">
        <f t="shared" si="8"/>
        <v>54.171130546633584</v>
      </c>
      <c r="O31" s="72">
        <f t="shared" si="23"/>
        <v>16.107048765331417</v>
      </c>
      <c r="P31" s="13">
        <f t="shared" si="10"/>
        <v>-0.17037625187023223</v>
      </c>
      <c r="Q31" s="230">
        <f>P31-SUM(R$24:R31)</f>
        <v>-1.1103762518702323</v>
      </c>
      <c r="R31" s="13">
        <f t="shared" si="16"/>
        <v>0.13500000000000004</v>
      </c>
      <c r="S31" s="13">
        <f t="shared" si="17"/>
        <v>1</v>
      </c>
      <c r="T31" s="13">
        <f t="shared" si="21"/>
        <v>1</v>
      </c>
      <c r="U31" s="20">
        <f>U30+(U44-U24)/20</f>
        <v>0.13500000000000004</v>
      </c>
      <c r="V31" s="13">
        <f t="shared" si="18"/>
        <v>-0.17037625187023223</v>
      </c>
      <c r="W31" s="72"/>
      <c r="X31" s="13">
        <f t="shared" si="22"/>
        <v>29.738063816094563</v>
      </c>
      <c r="Y31" s="13">
        <f t="shared" si="12"/>
        <v>29.465364095738629</v>
      </c>
      <c r="Z31" s="13">
        <f t="shared" si="13"/>
        <v>2022.838156003723</v>
      </c>
      <c r="AA31" s="72">
        <f t="shared" si="14"/>
        <v>2020.1191392077467</v>
      </c>
      <c r="AB31" s="72">
        <f>Denmark!S95</f>
        <v>0.99759859395324935</v>
      </c>
      <c r="AD31">
        <v>2027</v>
      </c>
      <c r="AE31" s="13">
        <v>16.107048765331417</v>
      </c>
      <c r="AF31" s="13">
        <v>16.107048765331417</v>
      </c>
      <c r="AG31" s="13">
        <v>15.38248097237785</v>
      </c>
      <c r="AI31">
        <v>2027</v>
      </c>
      <c r="AJ31" s="13">
        <v>8.2040599403482855</v>
      </c>
      <c r="AK31" s="13">
        <f t="shared" si="19"/>
        <v>16.107048765331417</v>
      </c>
      <c r="AL31" s="13">
        <v>22.634751775403206</v>
      </c>
      <c r="AN31" s="13">
        <f t="shared" si="15"/>
        <v>54.171130546633584</v>
      </c>
      <c r="AO31" s="13"/>
      <c r="AQ31">
        <f t="shared" si="6"/>
        <v>1.6099324545048743</v>
      </c>
      <c r="AS31">
        <v>18</v>
      </c>
      <c r="AT31">
        <v>0</v>
      </c>
    </row>
    <row r="32" spans="1:72">
      <c r="A32">
        <v>2028</v>
      </c>
      <c r="B32" s="13"/>
      <c r="C32" s="13"/>
      <c r="D32" s="13"/>
      <c r="E32" s="13">
        <f t="shared" si="7"/>
        <v>36.355795435472501</v>
      </c>
      <c r="F32" s="13">
        <f t="shared" si="3"/>
        <v>57.647057747672527</v>
      </c>
      <c r="G32" s="13"/>
      <c r="H32" s="13"/>
      <c r="I32" s="13"/>
      <c r="J32" s="13"/>
      <c r="K32" s="13"/>
      <c r="L32" s="13">
        <f>1/Denmark!R96</f>
        <v>0.98539843847908815</v>
      </c>
      <c r="M32" s="13"/>
      <c r="N32" s="72">
        <f t="shared" si="8"/>
        <v>57.647057747672527</v>
      </c>
      <c r="O32" s="72">
        <f t="shared" si="23"/>
        <v>19.577898337638004</v>
      </c>
      <c r="P32" s="13">
        <f t="shared" si="10"/>
        <v>0.23840248679663648</v>
      </c>
      <c r="Q32" s="230">
        <f>P32-SUM(R$24:R32)</f>
        <v>-0.84159751320336362</v>
      </c>
      <c r="R32" s="13">
        <f t="shared" si="16"/>
        <v>0.14000000000000004</v>
      </c>
      <c r="S32" s="13">
        <f t="shared" si="17"/>
        <v>1</v>
      </c>
      <c r="T32" s="13">
        <f t="shared" si="21"/>
        <v>1</v>
      </c>
      <c r="U32" s="20">
        <f>U31+(U44-U24)/20</f>
        <v>0.14000000000000004</v>
      </c>
      <c r="V32" s="13">
        <f t="shared" si="18"/>
        <v>0.23840248679663648</v>
      </c>
      <c r="W32" s="72"/>
      <c r="X32" s="13">
        <f t="shared" si="22"/>
        <v>36.355795435472501</v>
      </c>
      <c r="Y32" s="13">
        <f t="shared" si="12"/>
        <v>36.733532308131018</v>
      </c>
      <c r="Z32" s="13">
        <f t="shared" si="13"/>
        <v>2023.9697213105121</v>
      </c>
      <c r="AA32" s="72">
        <f t="shared" si="14"/>
        <v>2019.9875739009576</v>
      </c>
      <c r="AB32" s="72">
        <f>Denmark!S96</f>
        <v>0.98539843847908815</v>
      </c>
      <c r="AD32">
        <v>2028</v>
      </c>
      <c r="AE32" s="13">
        <v>19.577898337638004</v>
      </c>
      <c r="AF32" s="13">
        <v>19.577898337638004</v>
      </c>
      <c r="AG32" s="13">
        <v>19.577898337638004</v>
      </c>
      <c r="AI32">
        <v>2028</v>
      </c>
      <c r="AJ32" s="13">
        <v>11.195456319269333</v>
      </c>
      <c r="AK32" s="13">
        <f t="shared" si="19"/>
        <v>19.577898337638004</v>
      </c>
      <c r="AL32" s="13">
        <v>28.03177619938397</v>
      </c>
      <c r="AN32" s="13">
        <f t="shared" si="15"/>
        <v>57.647057747672527</v>
      </c>
      <c r="AO32" s="13"/>
      <c r="AQ32">
        <f t="shared" si="6"/>
        <v>2.0592386693829683</v>
      </c>
      <c r="AS32">
        <v>19</v>
      </c>
      <c r="AT32">
        <v>0</v>
      </c>
    </row>
    <row r="33" spans="1:46">
      <c r="A33">
        <v>2029</v>
      </c>
      <c r="B33" s="13"/>
      <c r="C33" s="13"/>
      <c r="D33" s="13"/>
      <c r="E33" s="13">
        <f t="shared" si="7"/>
        <v>42.691815752065018</v>
      </c>
      <c r="F33" s="13">
        <f t="shared" si="3"/>
        <v>60.108014285855596</v>
      </c>
      <c r="G33" s="13"/>
      <c r="H33" s="13"/>
      <c r="I33" s="13"/>
      <c r="J33" s="13"/>
      <c r="K33" s="13"/>
      <c r="L33" s="13">
        <f>1/Denmark!R97</f>
        <v>0.97433645261605883</v>
      </c>
      <c r="M33" s="13"/>
      <c r="N33" s="72">
        <f t="shared" si="8"/>
        <v>60.108014285855596</v>
      </c>
      <c r="O33" s="72">
        <f t="shared" si="23"/>
        <v>23.391281091125158</v>
      </c>
      <c r="P33" s="13">
        <f t="shared" si="10"/>
        <v>0.64905361552443774</v>
      </c>
      <c r="Q33" s="230">
        <f>P33-SUM(R$24:R33)</f>
        <v>-0.57594638447556235</v>
      </c>
      <c r="R33" s="13">
        <f t="shared" si="16"/>
        <v>0.14500000000000005</v>
      </c>
      <c r="S33" s="13">
        <f t="shared" si="17"/>
        <v>1</v>
      </c>
      <c r="T33" s="13">
        <f t="shared" si="21"/>
        <v>1</v>
      </c>
      <c r="U33" s="20">
        <f>U32+(U44-U24)/20</f>
        <v>0.14500000000000005</v>
      </c>
      <c r="V33" s="13">
        <f t="shared" si="18"/>
        <v>0.64905361552443774</v>
      </c>
      <c r="W33" s="72"/>
      <c r="X33" s="13">
        <f t="shared" si="22"/>
        <v>42.691815752065018</v>
      </c>
      <c r="Y33" s="13">
        <f t="shared" si="12"/>
        <v>43.595030140274922</v>
      </c>
      <c r="Z33" s="13">
        <f t="shared" si="13"/>
        <v>2025.0890127053515</v>
      </c>
      <c r="AA33" s="72">
        <f t="shared" si="14"/>
        <v>2019.8682825061182</v>
      </c>
      <c r="AB33" s="72">
        <f>Denmark!S97</f>
        <v>0.97433645261605883</v>
      </c>
      <c r="AD33">
        <v>2029</v>
      </c>
      <c r="AE33" s="13">
        <v>24.111877655391133</v>
      </c>
      <c r="AF33" s="13">
        <v>23.391281091125158</v>
      </c>
      <c r="AG33" s="13">
        <v>23.391281091125158</v>
      </c>
      <c r="AI33">
        <v>2029</v>
      </c>
      <c r="AJ33" s="13">
        <v>14.611961898046225</v>
      </c>
      <c r="AK33" s="13">
        <f t="shared" si="19"/>
        <v>23.391281091125158</v>
      </c>
      <c r="AL33" s="13">
        <v>34.049897021720618</v>
      </c>
      <c r="AN33" s="13">
        <f t="shared" si="15"/>
        <v>60.108014285855596</v>
      </c>
      <c r="AO33" s="13"/>
      <c r="AQ33">
        <f t="shared" si="6"/>
        <v>2.508544884261064</v>
      </c>
      <c r="AS33">
        <v>20</v>
      </c>
      <c r="AT33">
        <v>0</v>
      </c>
    </row>
    <row r="34" spans="1:46">
      <c r="A34" s="14">
        <v>2030</v>
      </c>
      <c r="B34" s="13"/>
      <c r="C34" s="13"/>
      <c r="D34" s="13"/>
      <c r="E34" s="13">
        <f t="shared" si="7"/>
        <v>48.328154482451801</v>
      </c>
      <c r="F34" s="13">
        <f t="shared" si="3"/>
        <v>61.791160878808874</v>
      </c>
      <c r="G34" s="13"/>
      <c r="H34" s="13"/>
      <c r="I34" s="13"/>
      <c r="J34" s="13"/>
      <c r="K34" s="13"/>
      <c r="L34" s="13">
        <f>1/Denmark!R98</f>
        <v>0.9621182717625707</v>
      </c>
      <c r="M34" s="13"/>
      <c r="N34" s="72">
        <f t="shared" si="8"/>
        <v>61.791160878808874</v>
      </c>
      <c r="O34" s="20">
        <f t="shared" si="23"/>
        <v>27.491239953220312</v>
      </c>
      <c r="P34" s="13">
        <f t="shared" si="10"/>
        <v>1.0642928998266779</v>
      </c>
      <c r="Q34" s="230">
        <f>P34-SUM(R$24:R34)</f>
        <v>-0.31070710017332237</v>
      </c>
      <c r="R34" s="13">
        <f t="shared" si="16"/>
        <v>0.15000000000000005</v>
      </c>
      <c r="S34" s="13">
        <f t="shared" si="17"/>
        <v>1</v>
      </c>
      <c r="T34" s="13">
        <f t="shared" si="21"/>
        <v>1</v>
      </c>
      <c r="U34" s="20">
        <f>U33+(U44-U24)/20</f>
        <v>0.15000000000000005</v>
      </c>
      <c r="V34" s="13">
        <f t="shared" si="18"/>
        <v>1.0642928998266779</v>
      </c>
      <c r="W34" s="72"/>
      <c r="X34" s="13">
        <f t="shared" si="22"/>
        <v>48.328154482451801</v>
      </c>
      <c r="Y34" s="13">
        <f t="shared" si="12"/>
        <v>49.494021669546953</v>
      </c>
      <c r="Z34" s="13">
        <f t="shared" si="13"/>
        <v>2026.2207723961028</v>
      </c>
      <c r="AA34" s="72">
        <f t="shared" si="14"/>
        <v>2019.7365228153669</v>
      </c>
      <c r="AB34" s="72">
        <f>Denmark!S98</f>
        <v>0.96211827176257059</v>
      </c>
      <c r="AD34" s="87">
        <v>2030</v>
      </c>
      <c r="AE34" s="13">
        <v>29.058989314997163</v>
      </c>
      <c r="AF34" s="13">
        <v>27.491239953220312</v>
      </c>
      <c r="AG34" s="13">
        <v>27.491239953220312</v>
      </c>
      <c r="AI34" s="87">
        <v>2030</v>
      </c>
      <c r="AJ34" s="13">
        <v>18.586311946784065</v>
      </c>
      <c r="AK34" s="13">
        <f t="shared" si="19"/>
        <v>27.491239953220312</v>
      </c>
      <c r="AL34" s="13">
        <v>40.625695738716182</v>
      </c>
      <c r="AN34" s="13">
        <f t="shared" si="15"/>
        <v>61.791160878808874</v>
      </c>
      <c r="AO34" s="13"/>
      <c r="AQ34">
        <f t="shared" si="6"/>
        <v>2.9578510991391598</v>
      </c>
      <c r="AS34">
        <v>21</v>
      </c>
      <c r="AT34">
        <v>0</v>
      </c>
    </row>
    <row r="35" spans="1:46">
      <c r="A35">
        <v>2031</v>
      </c>
      <c r="E35" s="13">
        <f t="shared" si="7"/>
        <v>53.003050877996714</v>
      </c>
      <c r="F35" s="13">
        <f t="shared" si="3"/>
        <v>62.915285666542161</v>
      </c>
      <c r="G35" s="13"/>
      <c r="L35" s="20">
        <f>L34+(L54-L33)/20</f>
        <v>0.95090144913176777</v>
      </c>
      <c r="N35" s="72">
        <f t="shared" si="8"/>
        <v>62.915285666542161</v>
      </c>
      <c r="O35" s="72">
        <f t="shared" si="23"/>
        <v>31.780195571499071</v>
      </c>
      <c r="P35" s="13">
        <f t="shared" si="10"/>
        <v>1.485697098000665</v>
      </c>
      <c r="Q35" s="230">
        <f>P35-SUM(R$24:R35)</f>
        <v>-4.4302901999335287E-2</v>
      </c>
      <c r="R35" s="13">
        <f t="shared" si="16"/>
        <v>0.15500000000000005</v>
      </c>
      <c r="S35" s="13">
        <f t="shared" si="17"/>
        <v>1</v>
      </c>
      <c r="T35" s="13">
        <f t="shared" si="21"/>
        <v>1</v>
      </c>
      <c r="U35" s="20">
        <f>U34+(U44-U24)/20</f>
        <v>0.15500000000000005</v>
      </c>
      <c r="V35" s="13">
        <f t="shared" si="18"/>
        <v>1.485697098000665</v>
      </c>
      <c r="W35" s="72"/>
      <c r="X35" s="13">
        <f t="shared" si="22"/>
        <v>53.003050877996714</v>
      </c>
      <c r="Y35" s="13">
        <f t="shared" si="12"/>
        <v>54.171130546633584</v>
      </c>
      <c r="Z35" s="13">
        <f t="shared" si="13"/>
        <v>2027.3417335357988</v>
      </c>
      <c r="AA35" s="72">
        <f t="shared" si="14"/>
        <v>2019.615561675671</v>
      </c>
      <c r="AB35" s="72">
        <f>L35</f>
        <v>0.95090144913176777</v>
      </c>
      <c r="AD35">
        <v>2031</v>
      </c>
      <c r="AE35" s="13">
        <v>34.446075877482791</v>
      </c>
      <c r="AF35" s="13">
        <v>31.780195571499071</v>
      </c>
      <c r="AG35" s="13">
        <v>31.780195571499071</v>
      </c>
      <c r="AI35">
        <v>2031</v>
      </c>
      <c r="AJ35" s="13">
        <v>23.332946249765183</v>
      </c>
      <c r="AK35" s="13">
        <f t="shared" si="19"/>
        <v>31.780195571499071</v>
      </c>
      <c r="AL35" s="13">
        <v>47.450162013578542</v>
      </c>
      <c r="AN35" s="13">
        <f t="shared" si="15"/>
        <v>62.915285666542161</v>
      </c>
      <c r="AO35" s="13"/>
      <c r="AQ35">
        <f t="shared" si="6"/>
        <v>3.4071573140172537</v>
      </c>
      <c r="AS35">
        <v>22</v>
      </c>
      <c r="AT35">
        <v>0</v>
      </c>
    </row>
    <row r="36" spans="1:46">
      <c r="A36">
        <v>2032</v>
      </c>
      <c r="E36" s="13">
        <f t="shared" si="7"/>
        <v>56.642277025703507</v>
      </c>
      <c r="F36" s="13">
        <f t="shared" si="3"/>
        <v>63.654182671646552</v>
      </c>
      <c r="G36" s="13"/>
      <c r="L36" s="20">
        <f>L35+(L54-L33)/20</f>
        <v>0.93968462650096485</v>
      </c>
      <c r="N36" s="72">
        <f t="shared" si="8"/>
        <v>63.654182671646552</v>
      </c>
      <c r="O36" s="72">
        <f t="shared" si="23"/>
        <v>36.117949277945051</v>
      </c>
      <c r="P36" s="13">
        <f t="shared" si="10"/>
        <v>1.9135696318012649</v>
      </c>
      <c r="Q36" s="230">
        <f>P36-SUM(R$24:R36)</f>
        <v>0.22356963180126455</v>
      </c>
      <c r="R36" s="13">
        <f t="shared" si="16"/>
        <v>0.16000000000000006</v>
      </c>
      <c r="S36" s="13">
        <f t="shared" si="17"/>
        <v>1</v>
      </c>
      <c r="T36" s="13">
        <f t="shared" si="21"/>
        <v>1</v>
      </c>
      <c r="U36" s="20">
        <f>U35+(U44-U24)/20</f>
        <v>0.16000000000000006</v>
      </c>
      <c r="V36" s="13">
        <f t="shared" si="18"/>
        <v>1.9135696318012649</v>
      </c>
      <c r="W36" s="72"/>
      <c r="X36" s="13">
        <f t="shared" si="22"/>
        <v>56.642277025703507</v>
      </c>
      <c r="Y36" s="13">
        <f t="shared" si="12"/>
        <v>57.647057747672527</v>
      </c>
      <c r="Z36" s="13">
        <f t="shared" si="13"/>
        <v>2028.4626946754945</v>
      </c>
      <c r="AA36" s="72">
        <f t="shared" si="14"/>
        <v>2019.4946005359752</v>
      </c>
      <c r="AB36" s="72">
        <f>L36</f>
        <v>0.93968462650096485</v>
      </c>
      <c r="AD36">
        <v>2032</v>
      </c>
      <c r="AE36" s="13">
        <v>40.287738220061684</v>
      </c>
      <c r="AF36" s="13">
        <v>36.117949277945051</v>
      </c>
      <c r="AG36" s="13">
        <v>36.117949277945051</v>
      </c>
      <c r="AI36">
        <v>2032</v>
      </c>
      <c r="AJ36" s="13">
        <v>29.191577551683213</v>
      </c>
      <c r="AK36" s="13">
        <f t="shared" si="19"/>
        <v>36.117949277945051</v>
      </c>
      <c r="AL36" s="13">
        <v>51.390405233896793</v>
      </c>
      <c r="AN36" s="13">
        <f t="shared" si="15"/>
        <v>63.654182671646552</v>
      </c>
      <c r="AO36" s="13"/>
      <c r="AQ36">
        <f t="shared" si="6"/>
        <v>3.8564635288953495</v>
      </c>
      <c r="AS36">
        <v>23</v>
      </c>
      <c r="AT36">
        <v>0</v>
      </c>
    </row>
    <row r="37" spans="1:46">
      <c r="A37">
        <v>2033</v>
      </c>
      <c r="E37" s="13">
        <f t="shared" si="7"/>
        <v>59.326529825102554</v>
      </c>
      <c r="F37" s="13">
        <f t="shared" si="3"/>
        <v>64.134789790351192</v>
      </c>
      <c r="G37" s="13"/>
      <c r="L37" s="20">
        <f>L36+(L54-L33)/20</f>
        <v>0.92846780387016192</v>
      </c>
      <c r="N37" s="72">
        <f t="shared" si="8"/>
        <v>64.134789790351192</v>
      </c>
      <c r="O37" s="72">
        <f t="shared" si="23"/>
        <v>40.341447778454459</v>
      </c>
      <c r="P37" s="13">
        <f t="shared" si="10"/>
        <v>2.3472556348593665</v>
      </c>
      <c r="Q37" s="230">
        <f>P37-SUM(R$24:R37)</f>
        <v>0.49225563485936608</v>
      </c>
      <c r="R37" s="13">
        <f t="shared" si="16"/>
        <v>0.16500000000000006</v>
      </c>
      <c r="S37" s="13">
        <f t="shared" si="17"/>
        <v>1</v>
      </c>
      <c r="T37" s="13">
        <f t="shared" si="21"/>
        <v>1</v>
      </c>
      <c r="U37" s="20">
        <f>U36+(U44-U24)/20</f>
        <v>0.16500000000000006</v>
      </c>
      <c r="V37" s="13">
        <f t="shared" si="18"/>
        <v>2.3472556348593665</v>
      </c>
      <c r="W37" s="72"/>
      <c r="X37" s="13">
        <f t="shared" si="22"/>
        <v>59.326529825102554</v>
      </c>
      <c r="Y37" s="13">
        <f t="shared" si="12"/>
        <v>60.108014285855596</v>
      </c>
      <c r="Z37" s="13">
        <f t="shared" si="13"/>
        <v>2029.4626946754945</v>
      </c>
      <c r="AA37" s="72">
        <f t="shared" si="14"/>
        <v>2019.4946005359752</v>
      </c>
      <c r="AB37" s="72">
        <f>AB36</f>
        <v>0.93968462650096485</v>
      </c>
      <c r="AD37">
        <v>2033</v>
      </c>
      <c r="AE37" s="13">
        <v>46.618230825489306</v>
      </c>
      <c r="AF37" s="13">
        <v>40.341447778454459</v>
      </c>
      <c r="AG37" s="13">
        <v>40.341447778454459</v>
      </c>
      <c r="AI37">
        <v>2033</v>
      </c>
      <c r="AJ37" s="13">
        <v>33.451484534467767</v>
      </c>
      <c r="AK37" s="13">
        <f t="shared" si="19"/>
        <v>40.341447778454459</v>
      </c>
      <c r="AL37" s="13">
        <v>54.641306724818158</v>
      </c>
      <c r="AN37" s="13">
        <f t="shared" si="15"/>
        <v>64.134789790351192</v>
      </c>
      <c r="AO37" s="13"/>
      <c r="AQ37">
        <f t="shared" si="6"/>
        <v>4.3057697437734452</v>
      </c>
      <c r="AS37">
        <v>24</v>
      </c>
      <c r="AT37">
        <v>0</v>
      </c>
    </row>
    <row r="38" spans="1:46">
      <c r="A38">
        <v>2034</v>
      </c>
      <c r="E38" s="13">
        <f t="shared" si="7"/>
        <v>61.223140250105146</v>
      </c>
      <c r="F38" s="13">
        <f t="shared" si="3"/>
        <v>64.445262218655003</v>
      </c>
      <c r="G38" s="13"/>
      <c r="L38" s="20">
        <f>L37+(L54-L33)/20</f>
        <v>0.917250981239359</v>
      </c>
      <c r="N38" s="72">
        <f t="shared" si="8"/>
        <v>64.445262218655003</v>
      </c>
      <c r="O38" s="72">
        <f t="shared" si="23"/>
        <v>44.296915049808547</v>
      </c>
      <c r="P38" s="13">
        <f t="shared" si="10"/>
        <v>2.7856323163469727</v>
      </c>
      <c r="Q38" s="230">
        <f>P38-SUM(R$24:R38)</f>
        <v>0.76063231634697237</v>
      </c>
      <c r="R38" s="13">
        <f t="shared" si="16"/>
        <v>0.17000000000000007</v>
      </c>
      <c r="S38" s="13">
        <f t="shared" si="17"/>
        <v>1</v>
      </c>
      <c r="T38" s="13">
        <f t="shared" si="21"/>
        <v>1</v>
      </c>
      <c r="U38" s="20">
        <f>U37+(U44-U24)/20</f>
        <v>0.17000000000000007</v>
      </c>
      <c r="V38" s="13">
        <f t="shared" si="18"/>
        <v>2.7856323163469727</v>
      </c>
      <c r="W38" s="72"/>
      <c r="X38" s="13">
        <f t="shared" si="22"/>
        <v>61.223140250105146</v>
      </c>
      <c r="Y38" s="13">
        <f t="shared" si="12"/>
        <v>61.791160878808874</v>
      </c>
      <c r="Z38" s="13">
        <f t="shared" si="13"/>
        <v>2030.4626946754945</v>
      </c>
      <c r="AA38" s="72">
        <f t="shared" si="14"/>
        <v>2019.4946005359752</v>
      </c>
      <c r="AB38" s="72">
        <f t="shared" ref="AB38:AB59" si="24">AB37</f>
        <v>0.93968462650096485</v>
      </c>
      <c r="AD38">
        <v>2034</v>
      </c>
      <c r="AE38" s="13">
        <v>49.983182338831575</v>
      </c>
      <c r="AF38" s="13">
        <v>44.296915049808547</v>
      </c>
      <c r="AG38" s="13">
        <v>44.296915049808547</v>
      </c>
      <c r="AI38">
        <v>2034</v>
      </c>
      <c r="AJ38" s="13">
        <v>37.691801489866059</v>
      </c>
      <c r="AK38" s="13">
        <f t="shared" si="19"/>
        <v>44.296915049808547</v>
      </c>
      <c r="AL38" s="13">
        <v>57.227737261990406</v>
      </c>
      <c r="AN38" s="13">
        <f t="shared" si="15"/>
        <v>64.445262218655003</v>
      </c>
      <c r="AO38" s="13"/>
      <c r="AQ38">
        <f t="shared" si="6"/>
        <v>4.7550759586515392</v>
      </c>
      <c r="AS38">
        <v>25</v>
      </c>
      <c r="AT38">
        <v>0</v>
      </c>
    </row>
    <row r="39" spans="1:46">
      <c r="A39">
        <v>2035</v>
      </c>
      <c r="E39" s="13">
        <f t="shared" si="7"/>
        <v>62.520686658640876</v>
      </c>
      <c r="F39" s="13">
        <f t="shared" si="3"/>
        <v>64.644941359252172</v>
      </c>
      <c r="G39" s="13"/>
      <c r="L39" s="20">
        <f>L38+(L54-L33)/20</f>
        <v>0.90603415860855607</v>
      </c>
      <c r="N39" s="72">
        <f t="shared" si="8"/>
        <v>64.644941359252172</v>
      </c>
      <c r="O39" s="72">
        <f t="shared" si="23"/>
        <v>47.868210470726417</v>
      </c>
      <c r="P39" s="13">
        <f t="shared" si="10"/>
        <v>3.227515845161907</v>
      </c>
      <c r="Q39" s="230">
        <f>P39-SUM(R$24:R39)</f>
        <v>1.0275158451619064</v>
      </c>
      <c r="R39" s="13">
        <f t="shared" si="16"/>
        <v>0.17500000000000007</v>
      </c>
      <c r="S39" s="13">
        <f t="shared" si="17"/>
        <v>1</v>
      </c>
      <c r="T39" s="13">
        <f t="shared" si="21"/>
        <v>1</v>
      </c>
      <c r="U39" s="20">
        <f>U38+(U44-U24)/20</f>
        <v>0.17500000000000007</v>
      </c>
      <c r="V39" s="13">
        <f t="shared" si="18"/>
        <v>3.227515845161907</v>
      </c>
      <c r="W39" s="72"/>
      <c r="X39" s="13">
        <f t="shared" si="22"/>
        <v>62.520686658640876</v>
      </c>
      <c r="Y39" s="13">
        <f t="shared" si="12"/>
        <v>62.915285666542161</v>
      </c>
      <c r="Z39" s="13">
        <f t="shared" si="13"/>
        <v>2031.4626946754945</v>
      </c>
      <c r="AA39" s="72">
        <f t="shared" si="14"/>
        <v>2019.4946005359752</v>
      </c>
      <c r="AB39" s="72">
        <f t="shared" si="24"/>
        <v>0.93968462650096485</v>
      </c>
      <c r="AD39">
        <v>2035</v>
      </c>
      <c r="AE39" s="13">
        <v>52.867348193808077</v>
      </c>
      <c r="AF39" s="13">
        <v>47.868210470726417</v>
      </c>
      <c r="AG39" s="13">
        <v>47.868210470726417</v>
      </c>
      <c r="AI39">
        <v>2035</v>
      </c>
      <c r="AJ39" s="13">
        <v>41.753554045672885</v>
      </c>
      <c r="AK39" s="13">
        <f t="shared" si="19"/>
        <v>47.868210470726417</v>
      </c>
      <c r="AL39" s="13">
        <v>59.228286433901829</v>
      </c>
      <c r="AN39" s="13">
        <f t="shared" si="15"/>
        <v>64.644941359252172</v>
      </c>
      <c r="AO39" s="13"/>
      <c r="AQ39">
        <f t="shared" si="6"/>
        <v>5.2043821735296349</v>
      </c>
      <c r="AS39">
        <v>26</v>
      </c>
      <c r="AT39">
        <v>0</v>
      </c>
    </row>
    <row r="40" spans="1:46">
      <c r="A40">
        <v>2036</v>
      </c>
      <c r="E40" s="13">
        <f t="shared" si="7"/>
        <v>63.388136245200755</v>
      </c>
      <c r="F40" s="13">
        <f t="shared" si="3"/>
        <v>64.772998705422452</v>
      </c>
      <c r="G40" s="13"/>
      <c r="L40" s="20">
        <f>L39+(L54-L33)/20</f>
        <v>0.89481733597775315</v>
      </c>
      <c r="N40" s="72">
        <f t="shared" si="8"/>
        <v>64.772998705422452</v>
      </c>
      <c r="O40" s="72">
        <f t="shared" si="23"/>
        <v>50.990301380283242</v>
      </c>
      <c r="P40" s="13">
        <f t="shared" si="10"/>
        <v>3.6718855973058382</v>
      </c>
      <c r="Q40" s="230">
        <f>P40-SUM(R$24:R40)</f>
        <v>1.2918855973058374</v>
      </c>
      <c r="R40" s="13">
        <f t="shared" si="16"/>
        <v>0.18000000000000008</v>
      </c>
      <c r="S40" s="13">
        <f t="shared" si="17"/>
        <v>1</v>
      </c>
      <c r="T40" s="13">
        <f t="shared" si="21"/>
        <v>1</v>
      </c>
      <c r="U40" s="20">
        <f>U39+(U44-U24)/20</f>
        <v>0.18000000000000008</v>
      </c>
      <c r="V40" s="13">
        <f t="shared" si="18"/>
        <v>3.6718855973058382</v>
      </c>
      <c r="W40" s="72"/>
      <c r="X40" s="13">
        <f t="shared" si="22"/>
        <v>63.388136245200755</v>
      </c>
      <c r="Y40" s="13">
        <f t="shared" si="12"/>
        <v>63.654182671646552</v>
      </c>
      <c r="Z40" s="13">
        <f t="shared" si="13"/>
        <v>2032.4626946754945</v>
      </c>
      <c r="AA40" s="72">
        <f t="shared" si="14"/>
        <v>2019.4946005359752</v>
      </c>
      <c r="AB40" s="72">
        <f t="shared" si="24"/>
        <v>0.93968462650096485</v>
      </c>
      <c r="AD40">
        <v>2036</v>
      </c>
      <c r="AE40" s="13">
        <v>55.277766233549876</v>
      </c>
      <c r="AF40" s="13">
        <v>50.990301380283242</v>
      </c>
      <c r="AG40" s="13">
        <v>50.990301380283242</v>
      </c>
      <c r="AI40">
        <v>2036</v>
      </c>
      <c r="AJ40" s="13">
        <v>45.502975362446172</v>
      </c>
      <c r="AK40" s="13">
        <f t="shared" si="19"/>
        <v>50.990301380283242</v>
      </c>
      <c r="AL40" s="13">
        <v>60.74367666812104</v>
      </c>
      <c r="AN40" s="13">
        <f t="shared" si="15"/>
        <v>64.772998705422452</v>
      </c>
      <c r="AO40" s="13"/>
      <c r="AQ40">
        <f t="shared" si="6"/>
        <v>5.6536883884077307</v>
      </c>
      <c r="AS40">
        <v>27</v>
      </c>
      <c r="AT40">
        <v>0</v>
      </c>
    </row>
    <row r="41" spans="1:46">
      <c r="A41">
        <v>2037</v>
      </c>
      <c r="E41" s="13">
        <f t="shared" si="7"/>
        <v>63.958892341289413</v>
      </c>
      <c r="F41" s="13">
        <f t="shared" si="3"/>
        <v>64.854973819569949</v>
      </c>
      <c r="G41" s="13"/>
      <c r="L41" s="20">
        <f>L40+(L54-L33)/20</f>
        <v>0.88360051334695022</v>
      </c>
      <c r="N41" s="72">
        <f t="shared" si="8"/>
        <v>64.854973819569949</v>
      </c>
      <c r="O41" s="72">
        <f t="shared" si="23"/>
        <v>53.647110975328651</v>
      </c>
      <c r="P41" s="13">
        <f t="shared" si="10"/>
        <v>4.1179553669891602</v>
      </c>
      <c r="Q41" s="230">
        <f>P41-SUM(R$24:R41)</f>
        <v>1.5529553669891594</v>
      </c>
      <c r="R41" s="13">
        <f t="shared" si="16"/>
        <v>0.18500000000000008</v>
      </c>
      <c r="S41" s="13">
        <f t="shared" si="17"/>
        <v>1</v>
      </c>
      <c r="T41" s="13">
        <f t="shared" si="21"/>
        <v>1</v>
      </c>
      <c r="U41" s="20">
        <f>U40+(U44-U24)/20</f>
        <v>0.18500000000000008</v>
      </c>
      <c r="V41" s="13">
        <f t="shared" si="18"/>
        <v>4.1179553669891602</v>
      </c>
      <c r="W41" s="72"/>
      <c r="X41" s="13">
        <f t="shared" si="22"/>
        <v>63.958892341289413</v>
      </c>
      <c r="Y41" s="13">
        <f t="shared" si="12"/>
        <v>64.134789790351192</v>
      </c>
      <c r="Z41" s="13">
        <f t="shared" si="13"/>
        <v>2033.4626946754945</v>
      </c>
      <c r="AA41" s="72">
        <f t="shared" si="14"/>
        <v>2019.4946005359752</v>
      </c>
      <c r="AB41" s="72">
        <f t="shared" si="24"/>
        <v>0.93968462650096485</v>
      </c>
      <c r="AD41">
        <v>2037</v>
      </c>
      <c r="AE41" s="13">
        <v>57.252900582381827</v>
      </c>
      <c r="AF41" s="13">
        <v>53.647110975328651</v>
      </c>
      <c r="AG41" s="13">
        <v>53.647110975328651</v>
      </c>
      <c r="AI41">
        <v>2037</v>
      </c>
      <c r="AJ41" s="13">
        <v>48.850622255333121</v>
      </c>
      <c r="AK41" s="13">
        <f t="shared" si="19"/>
        <v>53.647110975328651</v>
      </c>
      <c r="AL41" s="13">
        <v>61.874664601828584</v>
      </c>
      <c r="AN41" s="13">
        <f t="shared" si="15"/>
        <v>64.854973819569949</v>
      </c>
      <c r="AO41" s="13"/>
      <c r="AQ41">
        <f t="shared" si="6"/>
        <v>6.1029946032858247</v>
      </c>
      <c r="AS41">
        <v>28</v>
      </c>
      <c r="AT41">
        <v>0</v>
      </c>
    </row>
    <row r="42" spans="1:46">
      <c r="A42">
        <v>2038</v>
      </c>
      <c r="E42" s="13">
        <f t="shared" si="7"/>
        <v>64.330434949065463</v>
      </c>
      <c r="F42" s="13">
        <f t="shared" si="3"/>
        <v>64.907388259699118</v>
      </c>
      <c r="G42" s="13"/>
      <c r="L42" s="20">
        <f>L41+(L54-L33)/20</f>
        <v>0.8723836907161473</v>
      </c>
      <c r="N42" s="72">
        <f t="shared" si="8"/>
        <v>64.907388259699118</v>
      </c>
      <c r="O42" s="72">
        <f t="shared" si="23"/>
        <v>55.859777131668501</v>
      </c>
      <c r="P42" s="13">
        <f t="shared" si="10"/>
        <v>4.5651598017305366</v>
      </c>
      <c r="Q42" s="230">
        <f>P42-SUM(R$24:R42)</f>
        <v>1.8101598017305358</v>
      </c>
      <c r="R42" s="13">
        <f t="shared" si="16"/>
        <v>0.19000000000000009</v>
      </c>
      <c r="S42" s="13">
        <f t="shared" si="17"/>
        <v>1</v>
      </c>
      <c r="T42" s="13">
        <f t="shared" si="21"/>
        <v>1</v>
      </c>
      <c r="U42" s="20">
        <f>U41+(U44-U24)/20</f>
        <v>0.19000000000000009</v>
      </c>
      <c r="V42" s="13">
        <f t="shared" si="18"/>
        <v>4.5651598017305366</v>
      </c>
      <c r="W42" s="72"/>
      <c r="X42" s="13">
        <f t="shared" si="22"/>
        <v>64.330434949065463</v>
      </c>
      <c r="Y42" s="13">
        <f t="shared" si="12"/>
        <v>64.445262218655003</v>
      </c>
      <c r="Z42" s="13">
        <f t="shared" si="13"/>
        <v>2034.4626946754945</v>
      </c>
      <c r="AA42" s="72">
        <f t="shared" si="14"/>
        <v>2019.4946005359752</v>
      </c>
      <c r="AB42" s="72">
        <f t="shared" si="24"/>
        <v>0.93968462650096485</v>
      </c>
      <c r="AD42">
        <v>2038</v>
      </c>
      <c r="AE42" s="13">
        <v>58.847604453021361</v>
      </c>
      <c r="AF42" s="13">
        <v>55.859777131668501</v>
      </c>
      <c r="AG42" s="13">
        <v>55.859777131668501</v>
      </c>
      <c r="AI42">
        <v>2038</v>
      </c>
      <c r="AJ42" s="13">
        <v>51.755574160038776</v>
      </c>
      <c r="AK42" s="13">
        <f t="shared" si="19"/>
        <v>55.859777131668501</v>
      </c>
      <c r="AL42" s="13">
        <v>62.710300696122758</v>
      </c>
      <c r="AN42" s="13">
        <f t="shared" si="15"/>
        <v>64.907388259699118</v>
      </c>
      <c r="AO42" s="13"/>
      <c r="AQ42">
        <f t="shared" si="6"/>
        <v>6.5523008181639204</v>
      </c>
      <c r="AS42">
        <v>29</v>
      </c>
      <c r="AT42">
        <v>0</v>
      </c>
    </row>
    <row r="43" spans="1:46">
      <c r="A43">
        <v>2039</v>
      </c>
      <c r="E43" s="13">
        <f t="shared" si="7"/>
        <v>64.570593178650171</v>
      </c>
      <c r="F43" s="13">
        <f t="shared" si="3"/>
        <v>64.940876675254501</v>
      </c>
      <c r="G43" s="13"/>
      <c r="L43" s="20">
        <f>L42+(L54-L33)/20</f>
        <v>0.86116686808534437</v>
      </c>
      <c r="N43" s="72">
        <f t="shared" si="8"/>
        <v>64.940876675254501</v>
      </c>
      <c r="O43" s="72">
        <f t="shared" si="23"/>
        <v>57.672262939623479</v>
      </c>
      <c r="P43" s="13">
        <f t="shared" si="10"/>
        <v>5.0131096010876357</v>
      </c>
      <c r="Q43" s="230">
        <f>P43-SUM(R$24:R43)</f>
        <v>2.0631096010876346</v>
      </c>
      <c r="R43" s="13">
        <f t="shared" si="16"/>
        <v>0.19500000000000009</v>
      </c>
      <c r="S43" s="13">
        <f t="shared" si="17"/>
        <v>1</v>
      </c>
      <c r="T43" s="13">
        <f t="shared" si="21"/>
        <v>1</v>
      </c>
      <c r="U43" s="20">
        <f>U42+(U44-U24)/20</f>
        <v>0.19500000000000009</v>
      </c>
      <c r="V43" s="13">
        <f t="shared" si="18"/>
        <v>5.0131096010876357</v>
      </c>
      <c r="W43" s="72"/>
      <c r="X43" s="13">
        <f t="shared" si="22"/>
        <v>64.570593178650171</v>
      </c>
      <c r="Y43" s="13">
        <f t="shared" si="12"/>
        <v>64.644941359252172</v>
      </c>
      <c r="Z43" s="13">
        <f t="shared" si="13"/>
        <v>2035.4626946754945</v>
      </c>
      <c r="AA43" s="72">
        <f t="shared" si="14"/>
        <v>2019.4946005359752</v>
      </c>
      <c r="AB43" s="72">
        <f t="shared" si="24"/>
        <v>0.93968462650096485</v>
      </c>
      <c r="AD43">
        <v>2039</v>
      </c>
      <c r="AE43" s="13">
        <v>60.121564352507605</v>
      </c>
      <c r="AF43" s="13">
        <v>57.672262939623479</v>
      </c>
      <c r="AG43" s="13">
        <v>57.672262939623479</v>
      </c>
      <c r="AI43">
        <v>2039</v>
      </c>
      <c r="AJ43" s="13">
        <v>54.218224135661309</v>
      </c>
      <c r="AK43" s="13">
        <f t="shared" si="19"/>
        <v>57.672262939623479</v>
      </c>
      <c r="AL43" s="13">
        <v>63.323737572726387</v>
      </c>
      <c r="AN43" s="13">
        <f t="shared" si="15"/>
        <v>64.940876675254501</v>
      </c>
      <c r="AO43" s="13"/>
      <c r="AQ43">
        <f t="shared" si="6"/>
        <v>7.0016070330420161</v>
      </c>
      <c r="AS43">
        <v>30</v>
      </c>
      <c r="AT43">
        <v>0</v>
      </c>
    </row>
    <row r="44" spans="1:46">
      <c r="A44">
        <v>2040</v>
      </c>
      <c r="E44" s="13">
        <f t="shared" si="7"/>
        <v>64.725112872519745</v>
      </c>
      <c r="F44" s="13">
        <f t="shared" si="3"/>
        <v>64.962262716471727</v>
      </c>
      <c r="G44" s="13"/>
      <c r="L44" s="20">
        <f>L43+(L54-L33)/20</f>
        <v>0.84995004545454145</v>
      </c>
      <c r="N44" s="72">
        <f t="shared" si="8"/>
        <v>64.962262716471727</v>
      </c>
      <c r="O44" s="72">
        <f t="shared" si="23"/>
        <v>59.138859288545795</v>
      </c>
      <c r="P44" s="13">
        <f t="shared" si="10"/>
        <v>5.4615439806120616</v>
      </c>
      <c r="Q44" s="230">
        <f>P44-SUM(R$24:R44)</f>
        <v>2.3115439806120603</v>
      </c>
      <c r="R44" s="13">
        <f t="shared" si="16"/>
        <v>0.2</v>
      </c>
      <c r="S44" s="13">
        <f t="shared" si="17"/>
        <v>1</v>
      </c>
      <c r="T44" s="13">
        <f t="shared" si="21"/>
        <v>1</v>
      </c>
      <c r="U44" s="89">
        <v>0.2</v>
      </c>
      <c r="V44" s="13">
        <f t="shared" si="18"/>
        <v>5.4615439806120616</v>
      </c>
      <c r="W44" s="72"/>
      <c r="X44" s="13">
        <f t="shared" si="22"/>
        <v>64.725112872519745</v>
      </c>
      <c r="Y44" s="13">
        <f t="shared" si="12"/>
        <v>64.772998705422452</v>
      </c>
      <c r="Z44" s="13">
        <f t="shared" si="13"/>
        <v>2036.4626946754945</v>
      </c>
      <c r="AA44" s="72">
        <f t="shared" si="14"/>
        <v>2019.4946005359752</v>
      </c>
      <c r="AB44" s="72">
        <f t="shared" si="24"/>
        <v>0.93968462650096485</v>
      </c>
      <c r="AD44" s="87">
        <v>2040</v>
      </c>
      <c r="AE44" s="13">
        <v>61.131976020477211</v>
      </c>
      <c r="AF44" s="13">
        <v>59.138859288545795</v>
      </c>
      <c r="AG44" s="13">
        <v>59.138859288545795</v>
      </c>
      <c r="AI44" s="87">
        <v>2040</v>
      </c>
      <c r="AJ44" s="13">
        <v>56.267834078663945</v>
      </c>
      <c r="AK44" s="13">
        <f t="shared" si="19"/>
        <v>59.138859288545795</v>
      </c>
      <c r="AL44" s="13">
        <v>63.772355967574512</v>
      </c>
      <c r="AN44" s="13">
        <f t="shared" si="15"/>
        <v>64.962262716471727</v>
      </c>
      <c r="AO44" s="13"/>
      <c r="AQ44">
        <f t="shared" si="6"/>
        <v>7.4509132479201101</v>
      </c>
      <c r="AS44">
        <v>31</v>
      </c>
      <c r="AT44">
        <v>0</v>
      </c>
    </row>
    <row r="45" spans="1:46">
      <c r="A45">
        <v>2041</v>
      </c>
      <c r="E45" s="13">
        <f t="shared" si="7"/>
        <v>64.824235763839638</v>
      </c>
      <c r="F45" s="13">
        <f t="shared" si="3"/>
        <v>64.975915885047499</v>
      </c>
      <c r="L45" s="20">
        <f>L44+(L54-L33)/20</f>
        <v>0.83873322282373852</v>
      </c>
      <c r="N45" s="72">
        <f t="shared" si="8"/>
        <v>64.975915885047499</v>
      </c>
      <c r="O45" s="72">
        <f t="shared" si="23"/>
        <v>60.337020754893324</v>
      </c>
      <c r="P45" s="13">
        <f t="shared" si="10"/>
        <v>5.9102912913725962</v>
      </c>
      <c r="Q45" s="230">
        <f>P45-SUM(R$24:R45)</f>
        <v>2.5602912913725948</v>
      </c>
      <c r="R45" s="13">
        <f t="shared" si="16"/>
        <v>0.2</v>
      </c>
      <c r="S45" s="13">
        <f t="shared" si="17"/>
        <v>1</v>
      </c>
      <c r="T45" s="13">
        <f t="shared" si="21"/>
        <v>1</v>
      </c>
      <c r="U45" s="89">
        <f>U44</f>
        <v>0.2</v>
      </c>
      <c r="V45" s="13">
        <f t="shared" si="18"/>
        <v>5.9102912913725962</v>
      </c>
      <c r="W45" s="72"/>
      <c r="X45" s="13">
        <f t="shared" si="22"/>
        <v>64.824235763839638</v>
      </c>
      <c r="Y45" s="13">
        <f t="shared" si="12"/>
        <v>64.854973819569949</v>
      </c>
      <c r="Z45" s="13">
        <f t="shared" si="13"/>
        <v>2037.4626946754945</v>
      </c>
      <c r="AA45" s="72">
        <f t="shared" si="14"/>
        <v>2019.4946005359752</v>
      </c>
      <c r="AB45" s="72">
        <f t="shared" si="24"/>
        <v>0.93968462650096485</v>
      </c>
      <c r="AD45">
        <v>2041</v>
      </c>
      <c r="AE45" s="13">
        <v>61.944337623943355</v>
      </c>
      <c r="AF45" s="13">
        <v>60.337020754893324</v>
      </c>
      <c r="AG45" s="13">
        <v>60.337020754893324</v>
      </c>
      <c r="AI45">
        <v>2041</v>
      </c>
      <c r="AJ45" s="13">
        <v>57.981309087882259</v>
      </c>
      <c r="AK45" s="13">
        <f t="shared" si="19"/>
        <v>60.337020754893324</v>
      </c>
      <c r="AL45" s="13">
        <v>64.102726198471089</v>
      </c>
      <c r="AN45" s="13">
        <f t="shared" si="15"/>
        <v>64.975915885047499</v>
      </c>
      <c r="AQ45">
        <f t="shared" si="6"/>
        <v>7.9002194627982059</v>
      </c>
      <c r="AS45">
        <v>32</v>
      </c>
      <c r="AT45">
        <v>0</v>
      </c>
    </row>
    <row r="46" spans="1:46">
      <c r="A46">
        <v>2042</v>
      </c>
      <c r="E46" s="13">
        <f t="shared" si="7"/>
        <v>64.887700035283558</v>
      </c>
      <c r="F46" s="13">
        <f t="shared" si="3"/>
        <v>64.984630571247081</v>
      </c>
      <c r="L46" s="20">
        <f>L45+(L54-L33)/20</f>
        <v>0.8275164001929356</v>
      </c>
      <c r="N46" s="72">
        <f t="shared" si="8"/>
        <v>64.984630571247081</v>
      </c>
      <c r="O46" s="72">
        <f t="shared" si="23"/>
        <v>61.306250774179631</v>
      </c>
      <c r="P46" s="13">
        <f t="shared" si="10"/>
        <v>6.35923981537809</v>
      </c>
      <c r="Q46" s="230">
        <f>P46-SUM(R$24:R46)</f>
        <v>2.8092398153780884</v>
      </c>
      <c r="R46" s="13">
        <f t="shared" si="16"/>
        <v>0.2</v>
      </c>
      <c r="S46" s="13">
        <f t="shared" si="17"/>
        <v>1</v>
      </c>
      <c r="T46" s="13">
        <f t="shared" si="21"/>
        <v>1</v>
      </c>
      <c r="U46" s="89">
        <f t="shared" ref="U46:U59" si="25">U45</f>
        <v>0.2</v>
      </c>
      <c r="V46" s="13">
        <f t="shared" si="18"/>
        <v>6.35923981537809</v>
      </c>
      <c r="W46" s="72"/>
      <c r="X46" s="13">
        <f t="shared" si="22"/>
        <v>64.887700035283558</v>
      </c>
      <c r="Y46" s="13">
        <f t="shared" si="12"/>
        <v>64.907388259699118</v>
      </c>
      <c r="Z46" s="13">
        <f t="shared" si="13"/>
        <v>2038.4626946754945</v>
      </c>
      <c r="AA46" s="72">
        <f t="shared" si="14"/>
        <v>2019.4946005359752</v>
      </c>
      <c r="AB46" s="72">
        <f t="shared" si="24"/>
        <v>0.93968462650096485</v>
      </c>
      <c r="AD46">
        <v>2042</v>
      </c>
      <c r="AE46" s="13">
        <v>62.593104460526874</v>
      </c>
      <c r="AF46" s="13">
        <v>61.306250774179631</v>
      </c>
      <c r="AG46" s="13">
        <v>61.306250774179631</v>
      </c>
      <c r="AI46">
        <v>2042</v>
      </c>
      <c r="AJ46" s="13">
        <v>59.393669758463226</v>
      </c>
      <c r="AK46" s="13">
        <f t="shared" si="19"/>
        <v>61.306250774179631</v>
      </c>
      <c r="AL46" s="13">
        <v>64.34515731401649</v>
      </c>
      <c r="AN46" s="13">
        <f t="shared" si="15"/>
        <v>64.984630571247081</v>
      </c>
      <c r="AQ46">
        <f t="shared" si="6"/>
        <v>8.3495256776763007</v>
      </c>
      <c r="AS46">
        <v>33</v>
      </c>
      <c r="AT46">
        <v>0</v>
      </c>
    </row>
    <row r="47" spans="1:46">
      <c r="A47">
        <v>2043</v>
      </c>
      <c r="E47" s="13">
        <f t="shared" si="7"/>
        <v>64.928283471208559</v>
      </c>
      <c r="F47" s="13">
        <f t="shared" si="3"/>
        <v>64.990192378784855</v>
      </c>
      <c r="L47" s="20">
        <f>L46+(L54-L33)/20</f>
        <v>0.81629957756213267</v>
      </c>
      <c r="N47" s="72">
        <f t="shared" si="8"/>
        <v>64.990192378784855</v>
      </c>
      <c r="O47" s="72">
        <f t="shared" si="23"/>
        <v>62.084116607265173</v>
      </c>
      <c r="P47" s="13">
        <f t="shared" si="10"/>
        <v>6.8083173604320617</v>
      </c>
      <c r="Q47" s="230">
        <f>P47-SUM(R$24:R47)</f>
        <v>3.0583173604320599</v>
      </c>
      <c r="R47" s="13">
        <f t="shared" si="16"/>
        <v>0.2</v>
      </c>
      <c r="S47" s="13">
        <f t="shared" si="17"/>
        <v>1</v>
      </c>
      <c r="T47" s="13">
        <f t="shared" si="21"/>
        <v>1</v>
      </c>
      <c r="U47" s="89">
        <f t="shared" si="25"/>
        <v>0.2</v>
      </c>
      <c r="V47" s="13">
        <f t="shared" si="18"/>
        <v>6.8083173604320617</v>
      </c>
      <c r="W47" s="72"/>
      <c r="X47" s="13">
        <f t="shared" si="22"/>
        <v>64.928283471208559</v>
      </c>
      <c r="Y47" s="13">
        <f t="shared" si="12"/>
        <v>64.940876675254501</v>
      </c>
      <c r="Z47" s="13">
        <f t="shared" si="13"/>
        <v>2039.4626946754945</v>
      </c>
      <c r="AA47" s="72">
        <f t="shared" si="14"/>
        <v>2019.4946005359752</v>
      </c>
      <c r="AB47" s="72">
        <f t="shared" si="24"/>
        <v>0.93968462650096485</v>
      </c>
      <c r="AD47">
        <v>2043</v>
      </c>
      <c r="AE47" s="13">
        <v>63.108485651471661</v>
      </c>
      <c r="AF47" s="13">
        <v>62.084116607265173</v>
      </c>
      <c r="AG47" s="13">
        <v>62.084116607265173</v>
      </c>
      <c r="AI47">
        <v>2043</v>
      </c>
      <c r="AJ47" s="13">
        <v>60.544501957169807</v>
      </c>
      <c r="AK47" s="13">
        <f t="shared" si="19"/>
        <v>62.084116607265173</v>
      </c>
      <c r="AL47" s="13">
        <v>64.522599722053286</v>
      </c>
      <c r="AN47" s="13">
        <f t="shared" si="15"/>
        <v>64.990192378784855</v>
      </c>
      <c r="AQ47">
        <f t="shared" si="6"/>
        <v>8.7988318925543965</v>
      </c>
      <c r="AS47">
        <v>34</v>
      </c>
      <c r="AT47">
        <v>0</v>
      </c>
    </row>
    <row r="48" spans="1:46">
      <c r="A48">
        <v>2044</v>
      </c>
      <c r="E48" s="13">
        <f t="shared" si="7"/>
        <v>64.954214821543971</v>
      </c>
      <c r="F48" s="13">
        <f t="shared" si="3"/>
        <v>64.993741702674939</v>
      </c>
      <c r="L48" s="20">
        <f>L47+(L54-L33)/20</f>
        <v>0.80508275493132975</v>
      </c>
      <c r="N48" s="72">
        <f t="shared" si="8"/>
        <v>64.993741702674939</v>
      </c>
      <c r="O48" s="72">
        <f t="shared" si="23"/>
        <v>62.704488835640994</v>
      </c>
      <c r="P48" s="13">
        <f t="shared" si="10"/>
        <v>7.2574774890710918</v>
      </c>
      <c r="Q48" s="230">
        <f>P48-SUM(R$24:R48)</f>
        <v>3.3074774890710898</v>
      </c>
      <c r="R48" s="13">
        <f t="shared" si="16"/>
        <v>0.2</v>
      </c>
      <c r="S48" s="13">
        <f t="shared" si="17"/>
        <v>1</v>
      </c>
      <c r="T48" s="13">
        <f t="shared" si="21"/>
        <v>1</v>
      </c>
      <c r="U48" s="89">
        <f t="shared" si="25"/>
        <v>0.2</v>
      </c>
      <c r="V48" s="13">
        <f t="shared" si="18"/>
        <v>7.2574774890710918</v>
      </c>
      <c r="W48" s="72"/>
      <c r="X48" s="13">
        <f t="shared" si="22"/>
        <v>64.954214821543971</v>
      </c>
      <c r="Y48" s="13">
        <f t="shared" si="12"/>
        <v>64.962262716471727</v>
      </c>
      <c r="Z48" s="13">
        <f t="shared" si="13"/>
        <v>2040.4626946754945</v>
      </c>
      <c r="AA48" s="72">
        <f t="shared" si="14"/>
        <v>2019.4946005359752</v>
      </c>
      <c r="AB48" s="72">
        <f t="shared" si="24"/>
        <v>0.93968462650096485</v>
      </c>
      <c r="AD48">
        <v>2044</v>
      </c>
      <c r="AE48" s="13">
        <v>63.516202596831548</v>
      </c>
      <c r="AF48" s="13">
        <v>62.704488835640994</v>
      </c>
      <c r="AG48" s="13">
        <v>62.704488835640994</v>
      </c>
      <c r="AI48">
        <v>2044</v>
      </c>
      <c r="AJ48" s="13">
        <v>61.473556865802998</v>
      </c>
      <c r="AK48" s="13">
        <f t="shared" si="19"/>
        <v>62.704488835640994</v>
      </c>
      <c r="AL48" s="13">
        <v>64.652232190681303</v>
      </c>
      <c r="AN48" s="13">
        <f t="shared" si="15"/>
        <v>64.993741702674939</v>
      </c>
      <c r="AQ48">
        <f t="shared" si="6"/>
        <v>9.2481381074324922</v>
      </c>
      <c r="AS48">
        <v>35</v>
      </c>
      <c r="AT48">
        <v>0</v>
      </c>
    </row>
    <row r="49" spans="1:46">
      <c r="A49">
        <v>2045</v>
      </c>
      <c r="E49" s="13">
        <f t="shared" si="7"/>
        <v>64.97077564536113</v>
      </c>
      <c r="F49" s="13">
        <f t="shared" si="3"/>
        <v>64.996006624799861</v>
      </c>
      <c r="L49" s="20">
        <f>L48+(L54-L33)/20</f>
        <v>0.79386593230052682</v>
      </c>
      <c r="N49" s="72">
        <f t="shared" si="8"/>
        <v>64.996006624799861</v>
      </c>
      <c r="O49" s="72">
        <f t="shared" si="23"/>
        <v>63.196799325115968</v>
      </c>
      <c r="P49" s="13">
        <f t="shared" si="10"/>
        <v>7.7066904177069384</v>
      </c>
      <c r="Q49" s="230">
        <f>P49-SUM(R$24:R49)</f>
        <v>3.5566904177069363</v>
      </c>
      <c r="R49" s="13">
        <f t="shared" si="16"/>
        <v>0.2</v>
      </c>
      <c r="S49" s="13">
        <f t="shared" si="17"/>
        <v>1</v>
      </c>
      <c r="T49" s="13">
        <f t="shared" si="21"/>
        <v>1</v>
      </c>
      <c r="U49" s="89">
        <f t="shared" si="25"/>
        <v>0.2</v>
      </c>
      <c r="V49" s="13">
        <f t="shared" si="18"/>
        <v>7.7066904177069384</v>
      </c>
      <c r="W49" s="72"/>
      <c r="X49" s="13">
        <f t="shared" si="22"/>
        <v>64.97077564536113</v>
      </c>
      <c r="Y49" s="13">
        <f t="shared" si="12"/>
        <v>64.975915885047499</v>
      </c>
      <c r="Z49" s="13">
        <f t="shared" si="13"/>
        <v>2041.4626946754945</v>
      </c>
      <c r="AA49" s="72">
        <f t="shared" si="14"/>
        <v>2019.4946005359752</v>
      </c>
      <c r="AB49" s="72">
        <f t="shared" si="24"/>
        <v>0.93968462650096485</v>
      </c>
      <c r="AD49">
        <v>2045</v>
      </c>
      <c r="AE49" s="13">
        <v>63.837693099969705</v>
      </c>
      <c r="AF49" s="13">
        <v>63.196799325115968</v>
      </c>
      <c r="AG49" s="13">
        <v>63.196799325115968</v>
      </c>
      <c r="AI49">
        <v>2045</v>
      </c>
      <c r="AJ49" s="13">
        <v>62.218008616230428</v>
      </c>
      <c r="AK49" s="13">
        <f t="shared" si="19"/>
        <v>63.196799325115968</v>
      </c>
      <c r="AL49" s="13">
        <v>64.746808041175427</v>
      </c>
      <c r="AN49" s="13">
        <f t="shared" si="15"/>
        <v>64.996006624799861</v>
      </c>
      <c r="AQ49">
        <f t="shared" si="6"/>
        <v>9.6974443223105879</v>
      </c>
      <c r="AS49">
        <v>36</v>
      </c>
      <c r="AT49">
        <v>0</v>
      </c>
    </row>
    <row r="50" spans="1:46">
      <c r="A50">
        <v>2046</v>
      </c>
      <c r="E50" s="13">
        <f t="shared" si="7"/>
        <v>64.981348650845206</v>
      </c>
      <c r="F50" s="13">
        <f t="shared" si="3"/>
        <v>64.997451887703392</v>
      </c>
      <c r="L50" s="20">
        <f>L49+(L54-L33)/20</f>
        <v>0.7826491096697239</v>
      </c>
      <c r="N50" s="72">
        <f t="shared" si="8"/>
        <v>64.997451887703392</v>
      </c>
      <c r="O50" s="72">
        <f t="shared" si="23"/>
        <v>63.585953421132139</v>
      </c>
      <c r="P50" s="13">
        <f t="shared" si="10"/>
        <v>8.1559370796553718</v>
      </c>
      <c r="Q50" s="230">
        <f>P50-SUM(R$24:R50)</f>
        <v>3.8059370796553695</v>
      </c>
      <c r="R50" s="13">
        <f t="shared" si="16"/>
        <v>0.2</v>
      </c>
      <c r="S50" s="13">
        <f t="shared" si="17"/>
        <v>1</v>
      </c>
      <c r="T50" s="13">
        <f t="shared" si="21"/>
        <v>1</v>
      </c>
      <c r="U50" s="89">
        <f t="shared" si="25"/>
        <v>0.2</v>
      </c>
      <c r="V50" s="13">
        <f t="shared" si="18"/>
        <v>8.1559370796553718</v>
      </c>
      <c r="W50" s="72"/>
      <c r="X50" s="13">
        <f t="shared" si="22"/>
        <v>64.981348650845206</v>
      </c>
      <c r="Y50" s="13">
        <f t="shared" si="12"/>
        <v>64.984630571247081</v>
      </c>
      <c r="Z50" s="13">
        <f t="shared" si="13"/>
        <v>2042.4626946754945</v>
      </c>
      <c r="AA50" s="72">
        <f t="shared" si="14"/>
        <v>2019.4946005359752</v>
      </c>
      <c r="AB50" s="72">
        <f t="shared" si="24"/>
        <v>0.93968462650096485</v>
      </c>
      <c r="AD50">
        <v>2046</v>
      </c>
      <c r="AE50" s="13">
        <v>64.090543811221977</v>
      </c>
      <c r="AF50" s="13">
        <v>63.585953421132139</v>
      </c>
      <c r="AG50" s="13">
        <v>63.585953421132139</v>
      </c>
      <c r="AI50">
        <v>2046</v>
      </c>
      <c r="AJ50" s="13">
        <v>62.811010616310185</v>
      </c>
      <c r="AK50" s="13">
        <f t="shared" si="19"/>
        <v>63.585953421132139</v>
      </c>
      <c r="AL50" s="13">
        <v>64.815739712229629</v>
      </c>
      <c r="AN50" s="13">
        <f t="shared" si="15"/>
        <v>64.997451887703392</v>
      </c>
      <c r="AQ50">
        <f t="shared" si="6"/>
        <v>10.146750537188684</v>
      </c>
      <c r="AS50">
        <v>37</v>
      </c>
      <c r="AT50">
        <v>0</v>
      </c>
    </row>
    <row r="51" spans="1:46">
      <c r="A51">
        <v>2047</v>
      </c>
      <c r="E51" s="13">
        <f t="shared" si="7"/>
        <v>64.988097432510841</v>
      </c>
      <c r="F51" s="13">
        <f t="shared" si="3"/>
        <v>64.998374101180318</v>
      </c>
      <c r="L51" s="20">
        <f>L50+(L54-L33)/20</f>
        <v>0.77143228703892097</v>
      </c>
      <c r="N51" s="72">
        <f t="shared" si="8"/>
        <v>64.998374101180318</v>
      </c>
      <c r="O51" s="72">
        <f t="shared" si="23"/>
        <v>63.892618134956123</v>
      </c>
      <c r="P51" s="13">
        <f t="shared" si="10"/>
        <v>8.6052052834498678</v>
      </c>
      <c r="Q51" s="230">
        <f>P51-SUM(R$24:R51)</f>
        <v>4.0552052834498653</v>
      </c>
      <c r="R51" s="13">
        <f t="shared" si="16"/>
        <v>0.2</v>
      </c>
      <c r="S51" s="13">
        <f t="shared" si="17"/>
        <v>1</v>
      </c>
      <c r="T51" s="13">
        <f t="shared" si="21"/>
        <v>1</v>
      </c>
      <c r="U51" s="89">
        <f t="shared" si="25"/>
        <v>0.2</v>
      </c>
      <c r="V51" s="13">
        <f t="shared" si="18"/>
        <v>8.6052052834498678</v>
      </c>
      <c r="W51" s="72"/>
      <c r="X51" s="13">
        <f t="shared" si="22"/>
        <v>64.988097432510841</v>
      </c>
      <c r="Y51" s="13">
        <f t="shared" si="12"/>
        <v>64.990192378784855</v>
      </c>
      <c r="Z51" s="13">
        <f t="shared" si="13"/>
        <v>2043.4626946754945</v>
      </c>
      <c r="AA51" s="72">
        <f t="shared" si="14"/>
        <v>2019.4946005359752</v>
      </c>
      <c r="AB51" s="72">
        <f t="shared" si="24"/>
        <v>0.93968462650096485</v>
      </c>
      <c r="AD51">
        <v>2047</v>
      </c>
      <c r="AE51" s="13">
        <v>64.28901114384594</v>
      </c>
      <c r="AF51" s="13">
        <v>63.892618134956123</v>
      </c>
      <c r="AG51" s="13">
        <v>63.892618134956123</v>
      </c>
      <c r="AI51">
        <v>2047</v>
      </c>
      <c r="AJ51" s="13">
        <v>63.281158443474261</v>
      </c>
      <c r="AK51" s="13">
        <f t="shared" si="19"/>
        <v>63.892618134956123</v>
      </c>
      <c r="AL51" s="13">
        <v>64.860853692431718</v>
      </c>
      <c r="AN51" s="13">
        <f t="shared" si="15"/>
        <v>64.998374101180318</v>
      </c>
      <c r="AQ51">
        <f t="shared" si="6"/>
        <v>10.596056752066776</v>
      </c>
      <c r="AS51">
        <v>38</v>
      </c>
      <c r="AT51">
        <v>0</v>
      </c>
    </row>
    <row r="52" spans="1:46">
      <c r="A52">
        <v>2048</v>
      </c>
      <c r="E52" s="13">
        <f t="shared" si="7"/>
        <v>64.992404633042014</v>
      </c>
      <c r="F52" s="13">
        <f t="shared" si="3"/>
        <v>64.998962552238936</v>
      </c>
      <c r="L52" s="20">
        <f>L51+(L54-L33)/20</f>
        <v>0.76021546440811805</v>
      </c>
      <c r="N52" s="72">
        <f t="shared" si="8"/>
        <v>64.998962552238936</v>
      </c>
      <c r="O52" s="72">
        <f t="shared" si="23"/>
        <v>64.133694241287429</v>
      </c>
      <c r="P52" s="13">
        <f t="shared" si="10"/>
        <v>9.0544872396379539</v>
      </c>
      <c r="Q52" s="230">
        <f>P52-SUM(R$24:R52)</f>
        <v>4.3044872396379512</v>
      </c>
      <c r="R52" s="13">
        <f t="shared" si="16"/>
        <v>0.2</v>
      </c>
      <c r="S52" s="13">
        <f t="shared" si="17"/>
        <v>1</v>
      </c>
      <c r="T52" s="13">
        <f t="shared" si="21"/>
        <v>1</v>
      </c>
      <c r="U52" s="89">
        <f t="shared" si="25"/>
        <v>0.2</v>
      </c>
      <c r="V52" s="13">
        <f t="shared" si="18"/>
        <v>9.0544872396379539</v>
      </c>
      <c r="W52" s="72"/>
      <c r="X52" s="13">
        <f t="shared" si="22"/>
        <v>64.992404633042014</v>
      </c>
      <c r="Y52" s="13">
        <f t="shared" si="12"/>
        <v>64.993741702674939</v>
      </c>
      <c r="Z52" s="13">
        <f t="shared" si="13"/>
        <v>2044.4626946754945</v>
      </c>
      <c r="AA52" s="72">
        <f t="shared" si="14"/>
        <v>2019.4946005359752</v>
      </c>
      <c r="AB52" s="72">
        <f t="shared" si="24"/>
        <v>0.93968462650096485</v>
      </c>
      <c r="AD52">
        <v>2048</v>
      </c>
      <c r="AE52" s="13">
        <v>64.423595616450484</v>
      </c>
      <c r="AF52" s="13">
        <v>64.133694241287429</v>
      </c>
      <c r="AG52" s="13">
        <v>64.133694241287429</v>
      </c>
      <c r="AI52">
        <v>2048</v>
      </c>
      <c r="AJ52" s="13">
        <v>63.652523363656677</v>
      </c>
      <c r="AK52" s="13">
        <f t="shared" si="19"/>
        <v>64.133694241287429</v>
      </c>
      <c r="AL52" s="13">
        <v>64.887175993324988</v>
      </c>
      <c r="AN52" s="13">
        <f t="shared" si="15"/>
        <v>64.998962552238936</v>
      </c>
      <c r="AQ52">
        <f t="shared" si="6"/>
        <v>11.045362966944872</v>
      </c>
      <c r="AS52">
        <v>39</v>
      </c>
      <c r="AT52">
        <v>0</v>
      </c>
    </row>
    <row r="53" spans="1:46">
      <c r="A53">
        <v>2049</v>
      </c>
      <c r="E53" s="13">
        <f t="shared" si="7"/>
        <v>64.99496889633329</v>
      </c>
      <c r="F53" s="13">
        <f t="shared" si="3"/>
        <v>64.999338031175554</v>
      </c>
      <c r="L53" s="20">
        <f>L52+(L54-L33)/20</f>
        <v>0.74899864177731512</v>
      </c>
      <c r="N53" s="72">
        <f t="shared" si="8"/>
        <v>64.999338031175554</v>
      </c>
      <c r="O53" s="72">
        <f t="shared" si="23"/>
        <v>64.297357626538286</v>
      </c>
      <c r="P53" s="13">
        <f t="shared" si="10"/>
        <v>9.4664257674030612</v>
      </c>
      <c r="Q53" s="230">
        <f>P53-SUM(R$24:R53)</f>
        <v>4.5164257674030583</v>
      </c>
      <c r="R53" s="13">
        <f t="shared" si="16"/>
        <v>0.2</v>
      </c>
      <c r="S53" s="13">
        <f t="shared" si="17"/>
        <v>1</v>
      </c>
      <c r="T53" s="13">
        <f t="shared" si="21"/>
        <v>1</v>
      </c>
      <c r="U53" s="89">
        <f t="shared" si="25"/>
        <v>0.2</v>
      </c>
      <c r="V53" s="13">
        <f t="shared" si="18"/>
        <v>9.4664257674030612</v>
      </c>
      <c r="W53" s="72"/>
      <c r="X53" s="13">
        <f t="shared" si="22"/>
        <v>64.99496889633329</v>
      </c>
      <c r="Y53" s="13">
        <f t="shared" si="12"/>
        <v>64.996006624799861</v>
      </c>
      <c r="Z53" s="13">
        <f t="shared" si="13"/>
        <v>2045.4626946754945</v>
      </c>
      <c r="AA53" s="72">
        <f t="shared" si="14"/>
        <v>2019.4946005359752</v>
      </c>
      <c r="AB53" s="72">
        <f t="shared" si="24"/>
        <v>0.93968462650096485</v>
      </c>
      <c r="AD53">
        <v>2049</v>
      </c>
      <c r="AE53" s="13">
        <v>64.49857663209356</v>
      </c>
      <c r="AF53" s="13">
        <v>64.297357626538286</v>
      </c>
      <c r="AG53" s="13">
        <v>64.297357626538286</v>
      </c>
      <c r="AI53">
        <v>2049</v>
      </c>
      <c r="AJ53" s="13">
        <v>63.945004844465345</v>
      </c>
      <c r="AK53" s="13">
        <f t="shared" si="19"/>
        <v>64.297357626538286</v>
      </c>
      <c r="AL53" s="13">
        <v>64.898091974446245</v>
      </c>
      <c r="AN53" s="13">
        <f t="shared" si="15"/>
        <v>64.999338031175554</v>
      </c>
      <c r="AQ53">
        <f t="shared" si="6"/>
        <v>11.494669181822967</v>
      </c>
      <c r="AS53">
        <v>40</v>
      </c>
      <c r="AT53">
        <v>0</v>
      </c>
    </row>
    <row r="54" spans="1:46">
      <c r="A54">
        <v>2050</v>
      </c>
      <c r="E54" s="13">
        <f t="shared" si="7"/>
        <v>64.996420798116986</v>
      </c>
      <c r="F54" s="13">
        <f t="shared" si="3"/>
        <v>64.999577615543814</v>
      </c>
      <c r="L54" s="72">
        <v>0.75</v>
      </c>
      <c r="N54" s="72">
        <f t="shared" si="8"/>
        <v>64.999577615543814</v>
      </c>
      <c r="O54" s="72">
        <f t="shared" si="23"/>
        <v>64.388604346444779</v>
      </c>
      <c r="P54" s="13">
        <f t="shared" si="10"/>
        <v>9.8069476448646906</v>
      </c>
      <c r="Q54" s="230">
        <f>P54-SUM(R$24:R54)</f>
        <v>4.6569476448646876</v>
      </c>
      <c r="R54" s="13">
        <f t="shared" si="16"/>
        <v>0.2</v>
      </c>
      <c r="S54" s="13">
        <f t="shared" si="17"/>
        <v>1</v>
      </c>
      <c r="T54" s="13">
        <f t="shared" si="21"/>
        <v>1</v>
      </c>
      <c r="U54" s="89">
        <f t="shared" si="25"/>
        <v>0.2</v>
      </c>
      <c r="V54" s="13">
        <f t="shared" si="18"/>
        <v>9.8069476448646906</v>
      </c>
      <c r="W54" s="72"/>
      <c r="X54" s="13">
        <f t="shared" si="22"/>
        <v>64.996420798116986</v>
      </c>
      <c r="Y54" s="13">
        <f t="shared" si="12"/>
        <v>64.997451887703392</v>
      </c>
      <c r="Z54" s="13">
        <f t="shared" si="13"/>
        <v>2046.4626946754945</v>
      </c>
      <c r="AA54" s="72">
        <f t="shared" si="14"/>
        <v>2019.4946005359752</v>
      </c>
      <c r="AB54" s="72">
        <f t="shared" si="24"/>
        <v>0.93968462650096485</v>
      </c>
      <c r="AD54">
        <v>2050</v>
      </c>
      <c r="AE54" s="13">
        <v>64.514416933499589</v>
      </c>
      <c r="AF54" s="13">
        <v>64.388604346444779</v>
      </c>
      <c r="AG54" s="13">
        <v>64.388604346444779</v>
      </c>
      <c r="AI54">
        <v>2050</v>
      </c>
      <c r="AJ54" s="13">
        <v>64.143839747780859</v>
      </c>
      <c r="AK54" s="13">
        <f t="shared" si="19"/>
        <v>64.388604346444779</v>
      </c>
      <c r="AL54" s="13">
        <v>64.895728644065926</v>
      </c>
      <c r="AN54" s="13">
        <f t="shared" si="15"/>
        <v>64.999577615543814</v>
      </c>
      <c r="AQ54">
        <f t="shared" si="6"/>
        <v>11.943975396701063</v>
      </c>
      <c r="AS54">
        <v>41</v>
      </c>
      <c r="AT54">
        <v>0</v>
      </c>
    </row>
    <row r="55" spans="1:46">
      <c r="A55">
        <v>2051</v>
      </c>
      <c r="E55" s="13">
        <f t="shared" si="7"/>
        <v>64.99716283512268</v>
      </c>
      <c r="F55" s="13">
        <f t="shared" si="3"/>
        <v>64.999730488228096</v>
      </c>
      <c r="L55" s="14">
        <v>0.75</v>
      </c>
      <c r="N55" s="72">
        <f t="shared" si="8"/>
        <v>64.999730488228096</v>
      </c>
      <c r="O55" s="20">
        <f t="shared" si="23"/>
        <v>64.407886853215103</v>
      </c>
      <c r="P55" s="13">
        <f t="shared" si="10"/>
        <v>10.039293628311309</v>
      </c>
      <c r="Q55" s="230">
        <f>P55-SUM(R$24:R55)</f>
        <v>4.6892936283113063</v>
      </c>
      <c r="R55" s="13">
        <f t="shared" si="16"/>
        <v>0.2</v>
      </c>
      <c r="S55" s="13">
        <f t="shared" si="17"/>
        <v>1</v>
      </c>
      <c r="T55" s="13">
        <f t="shared" si="21"/>
        <v>1</v>
      </c>
      <c r="U55" s="89">
        <f t="shared" si="25"/>
        <v>0.2</v>
      </c>
      <c r="V55" s="13">
        <f t="shared" si="18"/>
        <v>10.039293628311309</v>
      </c>
      <c r="W55" s="72"/>
      <c r="X55" s="13">
        <f t="shared" si="22"/>
        <v>64.99716283512268</v>
      </c>
      <c r="Y55" s="13">
        <f t="shared" si="12"/>
        <v>64.997451887703392</v>
      </c>
      <c r="Z55" s="13">
        <f t="shared" si="13"/>
        <v>2047.4626946754945</v>
      </c>
      <c r="AA55" s="72">
        <f t="shared" si="14"/>
        <v>2019.4946005359752</v>
      </c>
      <c r="AB55" s="72">
        <f t="shared" si="24"/>
        <v>0.93968462650096485</v>
      </c>
      <c r="AN55" s="13">
        <f t="shared" si="15"/>
        <v>64.999730488228096</v>
      </c>
      <c r="AQ55">
        <f t="shared" si="6"/>
        <v>12.393281611579159</v>
      </c>
      <c r="AS55">
        <v>42</v>
      </c>
      <c r="AT55">
        <v>0</v>
      </c>
    </row>
    <row r="56" spans="1:46">
      <c r="A56">
        <v>2052</v>
      </c>
      <c r="E56" s="13">
        <f t="shared" si="7"/>
        <v>64.997451887703392</v>
      </c>
      <c r="F56" s="13">
        <f t="shared" si="3"/>
        <v>64.99982803218181</v>
      </c>
      <c r="L56" s="14">
        <v>0.75</v>
      </c>
      <c r="N56" s="72">
        <f t="shared" si="8"/>
        <v>64.99982803218181</v>
      </c>
      <c r="O56" s="20">
        <f t="shared" si="23"/>
        <v>64.351048509091044</v>
      </c>
      <c r="P56" s="13">
        <f t="shared" si="10"/>
        <v>10.146750537190675</v>
      </c>
      <c r="Q56" s="230">
        <f>P56-SUM(R$24:R56)</f>
        <v>4.5967505371906716</v>
      </c>
      <c r="R56" s="13">
        <f t="shared" si="16"/>
        <v>0.2</v>
      </c>
      <c r="S56" s="13">
        <f t="shared" si="17"/>
        <v>1</v>
      </c>
      <c r="T56" s="13">
        <f t="shared" si="21"/>
        <v>1</v>
      </c>
      <c r="U56" s="89">
        <f t="shared" si="25"/>
        <v>0.2</v>
      </c>
      <c r="V56" s="13">
        <f t="shared" si="18"/>
        <v>10.146750537190675</v>
      </c>
      <c r="W56" s="72"/>
      <c r="X56" s="13">
        <f t="shared" si="22"/>
        <v>64.997451887703392</v>
      </c>
      <c r="Y56" s="13">
        <f t="shared" si="12"/>
        <v>64.997451887703392</v>
      </c>
      <c r="Z56" s="13">
        <f t="shared" si="13"/>
        <v>2048.4626946754943</v>
      </c>
      <c r="AA56" s="72">
        <f t="shared" si="14"/>
        <v>2019.4946005359752</v>
      </c>
      <c r="AB56" s="72">
        <f t="shared" si="24"/>
        <v>0.93968462650096485</v>
      </c>
      <c r="AN56" s="13">
        <f t="shared" si="15"/>
        <v>64.99982803218181</v>
      </c>
      <c r="AQ56">
        <f t="shared" si="6"/>
        <v>12.842587826457255</v>
      </c>
      <c r="AS56">
        <v>43</v>
      </c>
      <c r="AT56">
        <v>0</v>
      </c>
    </row>
    <row r="57" spans="1:46">
      <c r="A57">
        <v>2053</v>
      </c>
      <c r="E57" s="13">
        <f t="shared" si="7"/>
        <v>64.997451887703392</v>
      </c>
      <c r="F57" s="13">
        <f t="shared" si="3"/>
        <v>64.999890272271898</v>
      </c>
      <c r="L57" s="14">
        <v>0.75</v>
      </c>
      <c r="N57" s="72">
        <f t="shared" si="8"/>
        <v>64.999890272271898</v>
      </c>
      <c r="O57" s="20">
        <f t="shared" si="23"/>
        <v>64.209117071128745</v>
      </c>
      <c r="P57" s="13">
        <f t="shared" si="10"/>
        <v>10.146750537190675</v>
      </c>
      <c r="Q57" s="230">
        <f>P57-SUM(R$24:R57)</f>
        <v>4.3967505371906714</v>
      </c>
      <c r="R57" s="13">
        <f t="shared" si="16"/>
        <v>0.2</v>
      </c>
      <c r="S57" s="13">
        <f t="shared" si="17"/>
        <v>1</v>
      </c>
      <c r="T57" s="13">
        <f t="shared" si="21"/>
        <v>1</v>
      </c>
      <c r="U57" s="89">
        <f t="shared" si="25"/>
        <v>0.2</v>
      </c>
      <c r="V57" s="13">
        <f t="shared" si="18"/>
        <v>10.146750537190675</v>
      </c>
      <c r="W57" s="72"/>
      <c r="X57" s="13">
        <f t="shared" si="22"/>
        <v>64.997451887703392</v>
      </c>
      <c r="Y57" s="13">
        <f t="shared" si="12"/>
        <v>64.997451887703392</v>
      </c>
      <c r="Z57" s="13">
        <f t="shared" si="13"/>
        <v>2049.4626946754943</v>
      </c>
      <c r="AA57" s="72">
        <f t="shared" si="14"/>
        <v>2019.4946005359752</v>
      </c>
      <c r="AB57" s="72">
        <f t="shared" si="24"/>
        <v>0.93968462650096485</v>
      </c>
      <c r="AN57" s="13">
        <f t="shared" si="15"/>
        <v>64.999890272271898</v>
      </c>
      <c r="AQ57">
        <f t="shared" si="6"/>
        <v>13.291894041335347</v>
      </c>
      <c r="AS57">
        <v>44</v>
      </c>
      <c r="AT57">
        <v>0</v>
      </c>
    </row>
    <row r="58" spans="1:46">
      <c r="A58">
        <v>2054</v>
      </c>
      <c r="E58" s="13">
        <f t="shared" si="7"/>
        <v>64.997451887703392</v>
      </c>
      <c r="F58" s="13">
        <f t="shared" si="3"/>
        <v>64.99992998591091</v>
      </c>
      <c r="L58" s="14">
        <v>0.75</v>
      </c>
      <c r="N58" s="72">
        <f t="shared" si="8"/>
        <v>64.99992998591091</v>
      </c>
      <c r="O58" s="20">
        <f t="shared" si="23"/>
        <v>64.036608691539314</v>
      </c>
      <c r="P58" s="13">
        <f t="shared" si="10"/>
        <v>10.146750537190675</v>
      </c>
      <c r="Q58" s="230">
        <f>P58-SUM(R$24:R58)</f>
        <v>4.1967505371906713</v>
      </c>
      <c r="R58" s="13">
        <f t="shared" si="16"/>
        <v>0.2</v>
      </c>
      <c r="S58" s="13">
        <f t="shared" si="17"/>
        <v>1</v>
      </c>
      <c r="T58" s="13">
        <f t="shared" si="21"/>
        <v>1</v>
      </c>
      <c r="U58" s="89">
        <f t="shared" si="25"/>
        <v>0.2</v>
      </c>
      <c r="V58" s="13">
        <f t="shared" si="18"/>
        <v>10.146750537190675</v>
      </c>
      <c r="W58" s="72"/>
      <c r="X58" s="13">
        <f>AVERAGE(Y54:Y59)</f>
        <v>64.997451887703392</v>
      </c>
      <c r="Y58" s="13">
        <f t="shared" si="12"/>
        <v>64.997451887703392</v>
      </c>
      <c r="Z58" s="13">
        <f t="shared" si="13"/>
        <v>2050.4626946754943</v>
      </c>
      <c r="AA58" s="72">
        <f t="shared" si="14"/>
        <v>2019.4946005359752</v>
      </c>
      <c r="AB58" s="72">
        <f t="shared" si="24"/>
        <v>0.93968462650096485</v>
      </c>
      <c r="AN58" s="13">
        <f t="shared" si="15"/>
        <v>64.99992998591091</v>
      </c>
      <c r="AQ58">
        <f t="shared" si="6"/>
        <v>13.741200256213443</v>
      </c>
      <c r="AS58">
        <v>45</v>
      </c>
      <c r="AT58">
        <v>0</v>
      </c>
    </row>
    <row r="59" spans="1:46">
      <c r="A59">
        <v>2055</v>
      </c>
      <c r="E59" s="13">
        <f t="shared" si="7"/>
        <v>64.997451887703392</v>
      </c>
      <c r="F59" s="13">
        <f t="shared" si="3"/>
        <v>64.999955326045011</v>
      </c>
      <c r="L59" s="14">
        <v>0.75</v>
      </c>
      <c r="N59" s="72">
        <f t="shared" si="8"/>
        <v>64.999955326045011</v>
      </c>
      <c r="O59" s="20">
        <f>65*EXP(Q59)/(1+EXP(Q59))</f>
        <v>63.827159873405549</v>
      </c>
      <c r="P59" s="13">
        <f t="shared" si="10"/>
        <v>10.146750537190675</v>
      </c>
      <c r="Q59" s="230">
        <f>P59-SUM(R$24:R59)</f>
        <v>3.9967505371906711</v>
      </c>
      <c r="R59" s="13">
        <f t="shared" si="16"/>
        <v>0.2</v>
      </c>
      <c r="S59" s="13">
        <f t="shared" si="17"/>
        <v>1</v>
      </c>
      <c r="T59" s="13">
        <f t="shared" si="21"/>
        <v>1</v>
      </c>
      <c r="U59" s="89">
        <f t="shared" si="25"/>
        <v>0.2</v>
      </c>
      <c r="V59" s="13">
        <f t="shared" si="18"/>
        <v>10.146750537190675</v>
      </c>
      <c r="W59" s="72"/>
      <c r="X59" s="13">
        <f>AVERAGE(Y54:Y59)</f>
        <v>64.997451887703392</v>
      </c>
      <c r="Y59" s="13">
        <f t="shared" si="12"/>
        <v>64.997451887703392</v>
      </c>
      <c r="Z59" s="13">
        <f t="shared" si="13"/>
        <v>2051.4626946754943</v>
      </c>
      <c r="AA59" s="72">
        <f t="shared" si="14"/>
        <v>2019.4946005359752</v>
      </c>
      <c r="AB59" s="72">
        <f t="shared" si="24"/>
        <v>0.93968462650096485</v>
      </c>
      <c r="AN59" s="13">
        <f t="shared" si="15"/>
        <v>64.999955326045011</v>
      </c>
      <c r="AQ59">
        <f t="shared" si="6"/>
        <v>14.190506471091538</v>
      </c>
      <c r="AS59">
        <v>46</v>
      </c>
      <c r="AT59">
        <v>0</v>
      </c>
    </row>
    <row r="60" spans="1:46">
      <c r="S60"/>
      <c r="T60"/>
      <c r="U60"/>
      <c r="Z60" s="33"/>
      <c r="AA60" s="33"/>
      <c r="AB60" s="33"/>
    </row>
    <row r="61" spans="1:46">
      <c r="S61"/>
      <c r="T61"/>
      <c r="U61"/>
      <c r="Z61" s="33"/>
      <c r="AA61" s="33"/>
      <c r="AB61" s="33"/>
    </row>
    <row r="65" spans="2:42">
      <c r="AO65" s="41" t="s">
        <v>159</v>
      </c>
      <c r="AP65" s="41">
        <v>-6.4775794133008384</v>
      </c>
    </row>
    <row r="66" spans="2:42">
      <c r="G66" s="242">
        <v>2016</v>
      </c>
      <c r="H66" s="242"/>
      <c r="I66" s="242">
        <v>2017</v>
      </c>
      <c r="J66" s="242"/>
      <c r="K66" s="242">
        <v>2018</v>
      </c>
      <c r="L66" s="242"/>
      <c r="AO66" t="s">
        <v>329</v>
      </c>
      <c r="AP66" s="41">
        <v>0.44930621487809513</v>
      </c>
    </row>
    <row r="67" spans="2:42" ht="15.75" thickBot="1">
      <c r="F67" t="s">
        <v>1235</v>
      </c>
      <c r="G67">
        <v>130</v>
      </c>
      <c r="I67">
        <v>63</v>
      </c>
      <c r="K67">
        <v>982</v>
      </c>
      <c r="AO67" t="s">
        <v>1096</v>
      </c>
      <c r="AP67" s="42">
        <v>0.74658158249071527</v>
      </c>
    </row>
    <row r="68" spans="2:42">
      <c r="B68" t="s">
        <v>1218</v>
      </c>
      <c r="C68" s="13">
        <f>L74</f>
        <v>1.6546808510638298</v>
      </c>
      <c r="D68" s="13"/>
      <c r="F68" t="s">
        <v>1236</v>
      </c>
      <c r="G68">
        <v>144</v>
      </c>
      <c r="H68">
        <f>G67+G68</f>
        <v>274</v>
      </c>
      <c r="I68">
        <v>156</v>
      </c>
      <c r="J68">
        <f>I67+I68</f>
        <v>219</v>
      </c>
      <c r="K68">
        <v>1301</v>
      </c>
      <c r="L68">
        <f>K67+K68</f>
        <v>2283</v>
      </c>
    </row>
    <row r="69" spans="2:42">
      <c r="F69" t="s">
        <v>1237</v>
      </c>
      <c r="G69">
        <v>479</v>
      </c>
      <c r="I69">
        <v>386</v>
      </c>
      <c r="K69" s="259"/>
    </row>
    <row r="70" spans="2:42">
      <c r="F70" t="s">
        <v>1238</v>
      </c>
      <c r="G70">
        <v>649</v>
      </c>
      <c r="H70">
        <f>G69+G70</f>
        <v>1128</v>
      </c>
      <c r="I70">
        <v>664</v>
      </c>
      <c r="J70">
        <f>I69+I70</f>
        <v>1050</v>
      </c>
      <c r="K70" s="259"/>
      <c r="L70">
        <f>J70</f>
        <v>1050</v>
      </c>
      <c r="Y70" s="33" t="str">
        <f>' All EV uptake'!D46</f>
        <v>Intercept</v>
      </c>
      <c r="Z70" s="33">
        <f>' All EV uptake'!E46</f>
        <v>2006.0956444042549</v>
      </c>
      <c r="AA70" s="33"/>
      <c r="AB70" s="33"/>
      <c r="AC70" s="33"/>
      <c r="AD70" s="33"/>
      <c r="AE70" s="33"/>
      <c r="AF70" s="33"/>
      <c r="AG70" s="33"/>
      <c r="AH70" s="33"/>
      <c r="AI70" s="33"/>
    </row>
    <row r="71" spans="2:42">
      <c r="G71" s="3">
        <f t="shared" ref="G71:L71" si="26">SUM(G67:G70)</f>
        <v>1402</v>
      </c>
      <c r="H71" s="3">
        <f t="shared" si="26"/>
        <v>1402</v>
      </c>
      <c r="I71" s="3">
        <f t="shared" si="26"/>
        <v>1269</v>
      </c>
      <c r="J71" s="3">
        <f t="shared" si="26"/>
        <v>1269</v>
      </c>
      <c r="K71" s="3">
        <f t="shared" si="26"/>
        <v>2283</v>
      </c>
      <c r="L71" s="3">
        <f t="shared" si="26"/>
        <v>3333</v>
      </c>
      <c r="Y71" s="33" t="str">
        <f>' All EV uptake'!D47</f>
        <v>EV/FFV cost ratio</v>
      </c>
      <c r="Z71" s="33">
        <f>' All EV uptake'!E47</f>
        <v>10.783904112355547</v>
      </c>
      <c r="AA71" s="33"/>
      <c r="AB71" s="33"/>
      <c r="AC71" s="33"/>
      <c r="AD71" s="33"/>
      <c r="AE71" s="33"/>
      <c r="AF71" s="33"/>
      <c r="AG71" s="33"/>
      <c r="AH71" s="33"/>
      <c r="AI71" s="33"/>
    </row>
    <row r="72" spans="2:42">
      <c r="Y72" s="33" t="str">
        <f>' All EV uptake'!D48</f>
        <v>dumKorea</v>
      </c>
      <c r="Z72" s="33">
        <f>' All EV uptake'!E48</f>
        <v>3.2747008164932261</v>
      </c>
      <c r="AA72" s="33"/>
      <c r="AB72" s="33"/>
      <c r="AC72" s="33"/>
      <c r="AD72" s="33"/>
      <c r="AE72" s="33"/>
      <c r="AF72" s="33"/>
      <c r="AG72" s="33"/>
      <c r="AH72" s="33"/>
      <c r="AI72" s="33"/>
    </row>
    <row r="73" spans="2:42">
      <c r="J73">
        <f>J70/H70</f>
        <v>0.93085106382978722</v>
      </c>
      <c r="L73">
        <f>L71/J71</f>
        <v>2.6264775413711585</v>
      </c>
      <c r="M73">
        <f>(J70/H70)/(J68/H68)</f>
        <v>1.1646264451569028</v>
      </c>
      <c r="Y73" s="33" t="str">
        <f>' All EV uptake'!D49</f>
        <v>dumUK</v>
      </c>
      <c r="Z73" s="33">
        <f>' All EV uptake'!E49</f>
        <v>2.7276845521810786</v>
      </c>
      <c r="AA73" s="33"/>
      <c r="AB73" s="33"/>
      <c r="AC73" s="33"/>
      <c r="AD73" s="33"/>
      <c r="AE73" s="33"/>
      <c r="AF73" s="33"/>
      <c r="AG73" s="33"/>
      <c r="AH73" s="33"/>
      <c r="AI73" s="33"/>
    </row>
    <row r="74" spans="2:42">
      <c r="G74" s="13">
        <f>B20</f>
        <v>0.84430541986716978</v>
      </c>
      <c r="I74" s="13">
        <v>0.63</v>
      </c>
      <c r="J74">
        <f>G74*J73</f>
        <v>0.78592259828061017</v>
      </c>
      <c r="L74" s="13">
        <f>I74*L73</f>
        <v>1.6546808510638298</v>
      </c>
      <c r="Y74" s="33" t="str">
        <f>' All EV uptake'!D50</f>
        <v>dumNeth</v>
      </c>
      <c r="Z74" s="33">
        <f>' All EV uptake'!E50</f>
        <v>-1.2544269368470402</v>
      </c>
      <c r="AA74" s="33"/>
      <c r="AB74" s="33"/>
      <c r="AC74" s="33"/>
      <c r="AD74" s="33"/>
      <c r="AE74" s="33"/>
      <c r="AF74" s="33"/>
      <c r="AG74" s="33"/>
      <c r="AH74" s="33"/>
      <c r="AI74" s="33"/>
    </row>
    <row r="75" spans="2:42">
      <c r="Y75" s="33" t="str">
        <f>' All EV uptake'!D51</f>
        <v>dumChina</v>
      </c>
      <c r="Z75" s="33">
        <f>' All EV uptake'!E51</f>
        <v>1.6840641661301363</v>
      </c>
      <c r="AA75" s="33"/>
      <c r="AB75" s="33"/>
      <c r="AC75" s="33"/>
      <c r="AD75" s="33"/>
      <c r="AE75" s="33"/>
      <c r="AF75" s="33"/>
      <c r="AG75" s="33"/>
      <c r="AH75" s="33"/>
      <c r="AI75" s="33"/>
    </row>
    <row r="76" spans="2:42">
      <c r="Y76" s="33" t="str">
        <f>' All EV uptake'!D52</f>
        <v>dumDenmark</v>
      </c>
      <c r="Z76" s="33">
        <f>' All EV uptake'!E52</f>
        <v>3.2654872236791634</v>
      </c>
      <c r="AA76" s="33"/>
      <c r="AB76" s="33"/>
      <c r="AC76" s="33"/>
      <c r="AD76" s="33"/>
      <c r="AE76" s="33"/>
      <c r="AF76" s="33"/>
      <c r="AG76" s="33"/>
      <c r="AH76" s="33"/>
      <c r="AI76" s="33"/>
    </row>
    <row r="77" spans="2:42">
      <c r="Y77" s="33" t="str">
        <f>' All EV uptake'!D53</f>
        <v>dumIreland</v>
      </c>
      <c r="Z77" s="33">
        <f>' All EV uptake'!E53</f>
        <v>3.5582490934682056</v>
      </c>
      <c r="AA77" s="33"/>
      <c r="AB77" s="33"/>
      <c r="AC77" s="33"/>
      <c r="AD77" s="33"/>
      <c r="AE77" s="33"/>
      <c r="AF77" s="33"/>
      <c r="AG77" s="33"/>
      <c r="AH77" s="33"/>
      <c r="AI77" s="33"/>
    </row>
    <row r="78" spans="2:42">
      <c r="Y78" s="33" t="str">
        <f>' All EV uptake'!D54</f>
        <v>dumNZ</v>
      </c>
      <c r="Z78" s="33">
        <f>' All EV uptake'!E54</f>
        <v>1.900474768762227</v>
      </c>
      <c r="AA78" s="33"/>
      <c r="AB78" s="33"/>
      <c r="AC78" s="33"/>
      <c r="AD78" s="33"/>
      <c r="AE78" s="33"/>
      <c r="AF78" s="33"/>
      <c r="AG78" s="33"/>
      <c r="AH78" s="33"/>
      <c r="AI78" s="33"/>
    </row>
    <row r="79" spans="2:42">
      <c r="Y79" s="33" t="str">
        <f>' All EV uptake'!D55</f>
        <v>dumSwitzerland</v>
      </c>
      <c r="Z79" s="33">
        <f>' All EV uptake'!E55</f>
        <v>-2.1041729879229703</v>
      </c>
      <c r="AA79" s="33"/>
      <c r="AB79" s="33"/>
      <c r="AC79" s="33"/>
      <c r="AD79" s="33"/>
      <c r="AE79" s="33"/>
      <c r="AF79" s="33"/>
      <c r="AG79" s="33"/>
      <c r="AH79" s="33"/>
      <c r="AI79" s="33"/>
    </row>
    <row r="80" spans="2:42">
      <c r="Y80" s="33" t="str">
        <f>' All EV uptake'!D56</f>
        <v>dumSpain</v>
      </c>
      <c r="Z80" s="33">
        <f>' All EV uptake'!E56</f>
        <v>4.4168133039283006</v>
      </c>
      <c r="AA80" s="33"/>
      <c r="AB80" s="33"/>
      <c r="AC80" s="33"/>
      <c r="AD80" s="33"/>
      <c r="AE80" s="33"/>
      <c r="AF80" s="33"/>
      <c r="AG80" s="33"/>
      <c r="AH80" s="33"/>
      <c r="AI80" s="33"/>
    </row>
    <row r="81" spans="25:35">
      <c r="Y81" s="33" t="str">
        <f>' All EV uptake'!D57</f>
        <v>dumIndia</v>
      </c>
      <c r="Z81" s="33">
        <f>' All EV uptake'!E57</f>
        <v>8.3918907463589623</v>
      </c>
      <c r="AA81" s="33"/>
      <c r="AB81" s="33"/>
      <c r="AC81" s="33"/>
      <c r="AD81" s="33"/>
      <c r="AE81" s="33"/>
      <c r="AF81" s="33"/>
      <c r="AG81" s="33"/>
      <c r="AH81" s="33"/>
      <c r="AI81" s="33"/>
    </row>
    <row r="82" spans="25:35">
      <c r="Y82" s="33" t="str">
        <f>' All EV uptake'!D58</f>
        <v>dumUSA</v>
      </c>
      <c r="Z82" s="33">
        <f>' All EV uptake'!E58</f>
        <v>2.1386885311349126</v>
      </c>
      <c r="AA82" s="33"/>
      <c r="AB82" s="33"/>
      <c r="AC82" s="33"/>
      <c r="AD82" s="33"/>
      <c r="AE82" s="33"/>
      <c r="AF82" s="33"/>
      <c r="AG82" s="33"/>
      <c r="AH82" s="33"/>
      <c r="AI82" s="33"/>
    </row>
    <row r="83" spans="25:35">
      <c r="Y83" s="33" t="str">
        <f>' All EV uptake'!D59</f>
        <v>dumAustria</v>
      </c>
      <c r="Z83" s="33">
        <f>' All EV uptake'!E59</f>
        <v>-0.86657486911619475</v>
      </c>
      <c r="AA83" s="33"/>
      <c r="AB83" s="33"/>
      <c r="AC83" s="33"/>
      <c r="AD83" s="33"/>
      <c r="AE83" s="33"/>
      <c r="AF83" s="33"/>
      <c r="AG83" s="33"/>
      <c r="AH83" s="33"/>
      <c r="AI83" s="33"/>
    </row>
    <row r="84" spans="25:35">
      <c r="Y84" s="33" t="str">
        <f>' All EV uptake'!D60</f>
        <v>dumItaly</v>
      </c>
      <c r="Z84" s="33">
        <f>' All EV uptake'!E60</f>
        <v>2.0513905871244105</v>
      </c>
      <c r="AA84" s="33"/>
      <c r="AB84" s="33"/>
      <c r="AC84" s="33"/>
      <c r="AD84" s="33"/>
      <c r="AE84" s="33"/>
      <c r="AF84" s="33"/>
      <c r="AG84" s="33"/>
      <c r="AH84" s="33"/>
      <c r="AI84" s="33"/>
    </row>
    <row r="85" spans="25:35">
      <c r="Y85" s="33" t="str">
        <f>' All EV uptake'!D61</f>
        <v>dumJapan</v>
      </c>
      <c r="Z85" s="33">
        <f>' All EV uptake'!E61</f>
        <v>4.0948893434577212</v>
      </c>
      <c r="AA85" s="33"/>
      <c r="AB85" s="33"/>
      <c r="AC85" s="33"/>
      <c r="AD85" s="33"/>
      <c r="AE85" s="33"/>
      <c r="AF85" s="33"/>
      <c r="AG85" s="33"/>
      <c r="AH85" s="33"/>
      <c r="AI85" s="33"/>
    </row>
    <row r="86" spans="25:35">
      <c r="Z86" s="33"/>
      <c r="AA86" s="33"/>
      <c r="AB86" s="33"/>
      <c r="AC86" s="33"/>
      <c r="AD86" s="33"/>
      <c r="AE86" s="33"/>
      <c r="AF86" s="33"/>
      <c r="AG86" s="33"/>
      <c r="AH86" s="33"/>
      <c r="AI86" s="33"/>
    </row>
    <row r="87" spans="25:35">
      <c r="Z87" s="33"/>
      <c r="AA87" s="33"/>
      <c r="AB87" s="33"/>
      <c r="AC87" s="33"/>
      <c r="AD87" s="33"/>
      <c r="AE87" s="33"/>
      <c r="AF87" s="33"/>
      <c r="AG87" s="33"/>
      <c r="AH87" s="33"/>
      <c r="AI87" s="33"/>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135"/>
  <sheetViews>
    <sheetView topLeftCell="A85" zoomScale="75" zoomScaleNormal="75" workbookViewId="0">
      <selection activeCell="P115" sqref="P115:AC135"/>
    </sheetView>
  </sheetViews>
  <sheetFormatPr defaultRowHeight="15"/>
  <cols>
    <col min="2" max="2" width="12.42578125" customWidth="1"/>
    <col min="4" max="4" width="12.28515625" customWidth="1"/>
    <col min="7" max="7" width="10.85546875" customWidth="1"/>
    <col min="8" max="8" width="15.5703125" customWidth="1"/>
    <col min="9" max="9" width="11.28515625" customWidth="1"/>
    <col min="11" max="11" width="16.28515625" customWidth="1"/>
    <col min="20" max="20" width="15.7109375" customWidth="1"/>
    <col min="21" max="21" width="13.5703125" customWidth="1"/>
    <col min="22" max="22" width="10.7109375" customWidth="1"/>
    <col min="25" max="25" width="16.42578125" customWidth="1"/>
    <col min="26" max="26" width="13.7109375" customWidth="1"/>
    <col min="27" max="27" width="12" customWidth="1"/>
  </cols>
  <sheetData>
    <row r="1" spans="1:39">
      <c r="A1" t="s">
        <v>5</v>
      </c>
      <c r="B1" t="s">
        <v>1395</v>
      </c>
      <c r="C1" t="s">
        <v>751</v>
      </c>
      <c r="D1" t="s">
        <v>751</v>
      </c>
      <c r="E1" t="s">
        <v>498</v>
      </c>
      <c r="F1" t="s">
        <v>751</v>
      </c>
      <c r="G1" t="s">
        <v>751</v>
      </c>
      <c r="I1" t="s">
        <v>751</v>
      </c>
      <c r="K1" t="s">
        <v>904</v>
      </c>
      <c r="O1" t="s">
        <v>751</v>
      </c>
      <c r="P1" t="s">
        <v>751</v>
      </c>
      <c r="Q1" t="s">
        <v>751</v>
      </c>
      <c r="U1" t="s">
        <v>730</v>
      </c>
      <c r="V1" s="33" t="s">
        <v>715</v>
      </c>
      <c r="W1" s="87" t="s">
        <v>1181</v>
      </c>
      <c r="X1" s="87" t="s">
        <v>1181</v>
      </c>
      <c r="Y1" s="87" t="s">
        <v>1181</v>
      </c>
      <c r="AC1" t="s">
        <v>747</v>
      </c>
      <c r="AH1" t="s">
        <v>904</v>
      </c>
      <c r="AI1" t="s">
        <v>904</v>
      </c>
      <c r="AK1" t="s">
        <v>857</v>
      </c>
      <c r="AL1" t="s">
        <v>857</v>
      </c>
    </row>
    <row r="2" spans="1:39">
      <c r="B2" t="s">
        <v>710</v>
      </c>
      <c r="C2" t="s">
        <v>710</v>
      </c>
      <c r="D2" t="s">
        <v>736</v>
      </c>
      <c r="E2" t="s">
        <v>714</v>
      </c>
      <c r="F2" t="s">
        <v>728</v>
      </c>
      <c r="G2" t="s">
        <v>269</v>
      </c>
      <c r="H2" t="s">
        <v>755</v>
      </c>
      <c r="I2" t="s">
        <v>269</v>
      </c>
      <c r="K2" t="s">
        <v>734</v>
      </c>
      <c r="L2" t="s">
        <v>318</v>
      </c>
      <c r="O2" t="s">
        <v>269</v>
      </c>
      <c r="P2" t="s">
        <v>717</v>
      </c>
      <c r="Q2" t="s">
        <v>725</v>
      </c>
      <c r="V2" s="33"/>
      <c r="W2" s="87" t="s">
        <v>338</v>
      </c>
      <c r="X2" s="87" t="s">
        <v>1182</v>
      </c>
      <c r="Y2" s="87" t="s">
        <v>1183</v>
      </c>
      <c r="AD2" t="s">
        <v>746</v>
      </c>
      <c r="AE2" t="s">
        <v>665</v>
      </c>
      <c r="AH2" t="s">
        <v>858</v>
      </c>
      <c r="AI2" t="s">
        <v>859</v>
      </c>
      <c r="AJ2" t="s">
        <v>850</v>
      </c>
      <c r="AK2" t="s">
        <v>858</v>
      </c>
      <c r="AL2" t="s">
        <v>859</v>
      </c>
    </row>
    <row r="3" spans="1:39">
      <c r="A3">
        <v>2009</v>
      </c>
      <c r="B3" s="3">
        <f>X3</f>
        <v>29.592572886961211</v>
      </c>
      <c r="C3" s="3">
        <f t="shared" ref="C3:C24" si="0">B3*AD3*1000</f>
        <v>158641.93621252375</v>
      </c>
      <c r="D3" s="3">
        <v>0</v>
      </c>
      <c r="E3" s="3">
        <v>25</v>
      </c>
      <c r="F3" s="61">
        <f>E3/100*C3</f>
        <v>39660.484053130938</v>
      </c>
      <c r="G3" s="3">
        <f t="shared" ref="G3:G24" si="1">C3+F3+D3</f>
        <v>198302.42026565468</v>
      </c>
      <c r="H3" s="3">
        <f>(Austria!I3/Denmark!AE3)*Denmark!AD3-5000</f>
        <v>5798.5337104211212</v>
      </c>
      <c r="I3" s="3">
        <f>G3+H3</f>
        <v>204100.95397607581</v>
      </c>
      <c r="K3" s="3">
        <f t="shared" ref="K3:K24" si="2">AH3</f>
        <v>3000</v>
      </c>
      <c r="L3" s="3"/>
      <c r="N3">
        <v>2009</v>
      </c>
      <c r="O3" s="3">
        <f t="shared" ref="O3:O24" si="3">I3</f>
        <v>204100.95397607581</v>
      </c>
      <c r="P3" s="3">
        <f t="shared" ref="P3:P24" si="4">I28</f>
        <v>204100.95397607581</v>
      </c>
      <c r="Q3" s="3">
        <f t="shared" ref="Q3:Q24" si="5">G53</f>
        <v>292065.03049999999</v>
      </c>
      <c r="T3">
        <v>2009</v>
      </c>
      <c r="U3" s="3">
        <f>'Vehicle price'!X5</f>
        <v>23</v>
      </c>
      <c r="V3">
        <v>1</v>
      </c>
      <c r="W3" s="3">
        <f t="shared" ref="W3:W24" si="6">X3*V3</f>
        <v>29.592572886961211</v>
      </c>
      <c r="X3" s="3">
        <f>'Vehicle price'!T5</f>
        <v>29.592572886961211</v>
      </c>
      <c r="Y3" s="3">
        <f>X3*Z3</f>
        <v>29.592572886961211</v>
      </c>
      <c r="Z3">
        <v>1</v>
      </c>
      <c r="AC3">
        <v>2009</v>
      </c>
      <c r="AD3" s="156">
        <v>5.3608700000000002</v>
      </c>
      <c r="AE3">
        <f>Belgium!AB3</f>
        <v>0.71984416666666673</v>
      </c>
      <c r="AG3">
        <v>2009</v>
      </c>
      <c r="AH3">
        <v>3000</v>
      </c>
      <c r="AI3" s="3">
        <v>1500</v>
      </c>
      <c r="AJ3" s="13">
        <f>CPIs!G48</f>
        <v>97.753879778172987</v>
      </c>
      <c r="AK3" s="3">
        <f>AH3*AJ$11/AJ3</f>
        <v>3333.9721003944524</v>
      </c>
      <c r="AL3" s="3">
        <f>AI3*AJ$11/AJ3</f>
        <v>1666.9860501972262</v>
      </c>
    </row>
    <row r="4" spans="1:39">
      <c r="A4">
        <v>2010</v>
      </c>
      <c r="B4" s="3">
        <f t="shared" ref="B4:B24" si="7">X4</f>
        <v>30</v>
      </c>
      <c r="C4" s="3">
        <f t="shared" si="0"/>
        <v>168722.4</v>
      </c>
      <c r="D4" s="3">
        <v>0</v>
      </c>
      <c r="E4" s="3">
        <v>25</v>
      </c>
      <c r="F4" s="61">
        <f t="shared" ref="F4:F24" si="8">E4/100*C4</f>
        <v>42180.6</v>
      </c>
      <c r="G4" s="3">
        <f t="shared" si="1"/>
        <v>210903</v>
      </c>
      <c r="H4" s="3">
        <f>(Austria!I4/Denmark!AE4)*Denmark!AD4-5000</f>
        <v>5748.9450041551263</v>
      </c>
      <c r="I4" s="3">
        <f t="shared" ref="I4:I24" si="9">G4+H4</f>
        <v>216651.94500415513</v>
      </c>
      <c r="K4" s="3">
        <f t="shared" si="2"/>
        <v>3000</v>
      </c>
      <c r="L4" s="3"/>
      <c r="N4">
        <v>2010</v>
      </c>
      <c r="O4" s="3">
        <f t="shared" si="3"/>
        <v>216651.94500415513</v>
      </c>
      <c r="P4" s="3">
        <f t="shared" si="4"/>
        <v>216651.94500415513</v>
      </c>
      <c r="Q4" s="3">
        <f t="shared" si="5"/>
        <v>310529.21199999994</v>
      </c>
      <c r="T4">
        <v>2010</v>
      </c>
      <c r="U4" s="3">
        <f>'Vehicle price'!X6</f>
        <v>23</v>
      </c>
      <c r="V4">
        <v>1</v>
      </c>
      <c r="W4" s="3">
        <f t="shared" si="6"/>
        <v>30</v>
      </c>
      <c r="X4" s="3">
        <f>'Vehicle price'!T6</f>
        <v>30</v>
      </c>
      <c r="Y4" s="3">
        <f t="shared" ref="Y4:Y24" si="10">X4*Z4</f>
        <v>30</v>
      </c>
      <c r="Z4">
        <v>1</v>
      </c>
      <c r="AC4">
        <v>2010</v>
      </c>
      <c r="AD4" s="156">
        <v>5.6240800000000002</v>
      </c>
      <c r="AE4">
        <f>Belgium!AB4</f>
        <v>0.75867129256384003</v>
      </c>
      <c r="AG4">
        <v>2010</v>
      </c>
      <c r="AH4">
        <v>3000</v>
      </c>
      <c r="AI4" s="3">
        <v>1500</v>
      </c>
      <c r="AJ4" s="13">
        <f>CPIs!G49</f>
        <v>100</v>
      </c>
      <c r="AK4" s="3">
        <f t="shared" ref="AK4:AK12" si="11">AH4*AJ$11/AJ4</f>
        <v>3259.0870788574221</v>
      </c>
      <c r="AL4" s="3">
        <f t="shared" ref="AL4:AL12" si="12">AI4*AJ$11/AJ4</f>
        <v>1629.543539428711</v>
      </c>
    </row>
    <row r="5" spans="1:39">
      <c r="A5">
        <v>2011</v>
      </c>
      <c r="B5" s="3">
        <f t="shared" si="7"/>
        <v>30</v>
      </c>
      <c r="C5" s="3">
        <f t="shared" si="0"/>
        <v>160865.31</v>
      </c>
      <c r="D5" s="3">
        <v>0</v>
      </c>
      <c r="E5" s="3">
        <v>25</v>
      </c>
      <c r="F5" s="61">
        <f t="shared" si="8"/>
        <v>40216.327499999999</v>
      </c>
      <c r="G5" s="3">
        <f t="shared" si="1"/>
        <v>201081.63750000001</v>
      </c>
      <c r="H5" s="3">
        <f>(Austria!I5/Denmark!AE5)*Denmark!AD5-5000</f>
        <v>5867.6404679461648</v>
      </c>
      <c r="I5" s="3">
        <f t="shared" si="9"/>
        <v>206949.27796794617</v>
      </c>
      <c r="K5" s="3">
        <f t="shared" si="2"/>
        <v>3000</v>
      </c>
      <c r="L5" s="3"/>
      <c r="N5">
        <v>2011</v>
      </c>
      <c r="O5" s="3">
        <f t="shared" si="3"/>
        <v>206949.27796794617</v>
      </c>
      <c r="P5" s="3">
        <f t="shared" si="4"/>
        <v>206949.27796794617</v>
      </c>
      <c r="Q5" s="3">
        <f t="shared" si="5"/>
        <v>292156.71655000001</v>
      </c>
      <c r="T5">
        <v>2011</v>
      </c>
      <c r="U5" s="3">
        <f>'Vehicle price'!X7</f>
        <v>23</v>
      </c>
      <c r="V5">
        <v>1</v>
      </c>
      <c r="W5" s="3">
        <f t="shared" si="6"/>
        <v>30</v>
      </c>
      <c r="X5" s="3">
        <f>'Vehicle price'!T7</f>
        <v>30</v>
      </c>
      <c r="Y5" s="3">
        <f t="shared" si="10"/>
        <v>30</v>
      </c>
      <c r="Z5">
        <v>1</v>
      </c>
      <c r="AC5">
        <v>2011</v>
      </c>
      <c r="AD5" s="156">
        <v>5.362177</v>
      </c>
      <c r="AE5">
        <f>Belgium!AB5</f>
        <v>0.71544109992713056</v>
      </c>
      <c r="AG5">
        <v>2011</v>
      </c>
      <c r="AH5">
        <v>3000</v>
      </c>
      <c r="AI5" s="3">
        <v>1500</v>
      </c>
      <c r="AJ5" s="13">
        <f>CPIs!G50</f>
        <v>102.75868225097656</v>
      </c>
      <c r="AK5" s="3">
        <f t="shared" si="11"/>
        <v>3171.5929082249877</v>
      </c>
      <c r="AL5" s="3">
        <f t="shared" si="12"/>
        <v>1585.7964541124938</v>
      </c>
    </row>
    <row r="6" spans="1:39">
      <c r="A6">
        <v>2012</v>
      </c>
      <c r="B6" s="3">
        <f t="shared" si="7"/>
        <v>30.842462459493706</v>
      </c>
      <c r="C6" s="3">
        <f t="shared" si="0"/>
        <v>178800.41684957626</v>
      </c>
      <c r="D6" s="3">
        <v>0</v>
      </c>
      <c r="E6" s="3">
        <v>25</v>
      </c>
      <c r="F6" s="61">
        <f t="shared" si="8"/>
        <v>44700.104212394064</v>
      </c>
      <c r="G6" s="3">
        <f t="shared" si="1"/>
        <v>223500.52106197033</v>
      </c>
      <c r="H6" s="3">
        <f>(Austria!I6/Denmark!AE6)*Denmark!AD6-5000</f>
        <v>5861.8286725311609</v>
      </c>
      <c r="I6" s="3">
        <f t="shared" si="9"/>
        <v>229362.34973450148</v>
      </c>
      <c r="K6" s="3">
        <f t="shared" si="2"/>
        <v>3000</v>
      </c>
      <c r="L6" s="3"/>
      <c r="N6">
        <v>2012</v>
      </c>
      <c r="O6" s="3">
        <f t="shared" si="3"/>
        <v>229362.34973450148</v>
      </c>
      <c r="P6" s="3">
        <f t="shared" si="4"/>
        <v>229362.34973450148</v>
      </c>
      <c r="Q6" s="3">
        <f t="shared" si="5"/>
        <v>322674.70239999995</v>
      </c>
      <c r="T6">
        <v>2012</v>
      </c>
      <c r="U6" s="3">
        <f>'Vehicle price'!X8</f>
        <v>23</v>
      </c>
      <c r="V6">
        <v>1</v>
      </c>
      <c r="W6" s="3">
        <f t="shared" si="6"/>
        <v>30.842462459493706</v>
      </c>
      <c r="X6" s="3">
        <f>'Vehicle price'!T8</f>
        <v>30.842462459493706</v>
      </c>
      <c r="Y6" s="3">
        <f t="shared" si="10"/>
        <v>30.842462459493706</v>
      </c>
      <c r="Z6">
        <v>1</v>
      </c>
      <c r="AC6">
        <v>2012</v>
      </c>
      <c r="AD6" s="156">
        <v>5.7972159999999997</v>
      </c>
      <c r="AE6">
        <f>Belgium!AB6</f>
        <v>0.773899446716382</v>
      </c>
      <c r="AG6">
        <v>2012</v>
      </c>
      <c r="AH6">
        <v>3000</v>
      </c>
      <c r="AI6" s="3">
        <v>1500</v>
      </c>
      <c r="AJ6" s="13">
        <f>CPIs!G51</f>
        <v>105.22274780273438</v>
      </c>
      <c r="AK6" s="3">
        <f t="shared" si="11"/>
        <v>3097.3217739640986</v>
      </c>
      <c r="AL6" s="3">
        <f t="shared" si="12"/>
        <v>1548.6608869820493</v>
      </c>
    </row>
    <row r="7" spans="1:39">
      <c r="A7">
        <v>2013</v>
      </c>
      <c r="B7" s="3">
        <f t="shared" si="7"/>
        <v>31.143929334439989</v>
      </c>
      <c r="C7" s="3">
        <f t="shared" si="0"/>
        <v>174942.17816028566</v>
      </c>
      <c r="D7" s="3">
        <v>0</v>
      </c>
      <c r="E7" s="3">
        <v>25</v>
      </c>
      <c r="F7" s="61">
        <f t="shared" si="8"/>
        <v>43735.544540071416</v>
      </c>
      <c r="G7" s="3">
        <f t="shared" si="1"/>
        <v>218677.72270035709</v>
      </c>
      <c r="H7" s="3">
        <f>(Austria!I7/Denmark!AE7)*Denmark!AD7-5000</f>
        <v>5835.840979444778</v>
      </c>
      <c r="I7" s="3">
        <f t="shared" si="9"/>
        <v>224513.56367980185</v>
      </c>
      <c r="K7" s="3">
        <f t="shared" si="2"/>
        <v>3000</v>
      </c>
      <c r="L7" s="3"/>
      <c r="N7">
        <v>2013</v>
      </c>
      <c r="O7" s="3">
        <f t="shared" si="3"/>
        <v>224513.56367980185</v>
      </c>
      <c r="P7" s="3">
        <f t="shared" si="4"/>
        <v>224513.56367980185</v>
      </c>
      <c r="Q7" s="3">
        <f t="shared" si="5"/>
        <v>310047.70239999995</v>
      </c>
      <c r="T7">
        <v>2013</v>
      </c>
      <c r="U7" s="3">
        <f>'Vehicle price'!X9</f>
        <v>23</v>
      </c>
      <c r="V7">
        <v>1</v>
      </c>
      <c r="W7" s="3">
        <f t="shared" si="6"/>
        <v>31.143929334439989</v>
      </c>
      <c r="X7" s="3">
        <f>'Vehicle price'!T9</f>
        <v>31.143929334439989</v>
      </c>
      <c r="Y7" s="3">
        <f t="shared" si="10"/>
        <v>31.143929334439989</v>
      </c>
      <c r="Z7">
        <v>1</v>
      </c>
      <c r="AC7">
        <v>2013</v>
      </c>
      <c r="AD7" s="156">
        <v>5.617216</v>
      </c>
      <c r="AE7">
        <f>Belgium!AB7</f>
        <v>0.75166876437654617</v>
      </c>
      <c r="AG7">
        <v>2013</v>
      </c>
      <c r="AH7">
        <v>3000</v>
      </c>
      <c r="AI7" s="3">
        <v>1500</v>
      </c>
      <c r="AJ7" s="13">
        <f>CPIs!G52</f>
        <v>106.05303192138672</v>
      </c>
      <c r="AK7" s="3">
        <f t="shared" si="11"/>
        <v>3073.0729898163263</v>
      </c>
      <c r="AL7" s="3">
        <f t="shared" si="12"/>
        <v>1536.5364949081631</v>
      </c>
    </row>
    <row r="8" spans="1:39">
      <c r="A8">
        <v>2014</v>
      </c>
      <c r="B8" s="3">
        <f t="shared" si="7"/>
        <v>33.541755956678692</v>
      </c>
      <c r="C8" s="3">
        <f t="shared" si="0"/>
        <v>188472.66964135159</v>
      </c>
      <c r="D8" s="3">
        <v>0</v>
      </c>
      <c r="E8" s="3">
        <v>25</v>
      </c>
      <c r="F8" s="61">
        <f t="shared" si="8"/>
        <v>47118.167410337897</v>
      </c>
      <c r="G8" s="3">
        <f t="shared" si="1"/>
        <v>235590.83705168948</v>
      </c>
      <c r="H8" s="3">
        <f>(Austria!I8/Denmark!AE8)*Denmark!AD8-5000</f>
        <v>5757.5224839487437</v>
      </c>
      <c r="I8" s="3">
        <f t="shared" si="9"/>
        <v>241348.35953563821</v>
      </c>
      <c r="K8" s="3">
        <f t="shared" si="2"/>
        <v>3000</v>
      </c>
      <c r="L8" s="3"/>
      <c r="N8">
        <v>2014</v>
      </c>
      <c r="O8" s="3">
        <f t="shared" si="3"/>
        <v>241348.35953563821</v>
      </c>
      <c r="P8" s="3">
        <f t="shared" si="4"/>
        <v>241348.35953563821</v>
      </c>
      <c r="Q8" s="3">
        <f t="shared" si="5"/>
        <v>310176.07689999999</v>
      </c>
      <c r="T8">
        <v>2014</v>
      </c>
      <c r="U8" s="3">
        <f>'Vehicle price'!X10</f>
        <v>23</v>
      </c>
      <c r="V8">
        <v>1</v>
      </c>
      <c r="W8" s="3">
        <f t="shared" si="6"/>
        <v>33.541755956678692</v>
      </c>
      <c r="X8" s="3">
        <f>'Vehicle price'!T10</f>
        <v>33.541755956678692</v>
      </c>
      <c r="Y8" s="3">
        <f t="shared" si="10"/>
        <v>33.541755956678692</v>
      </c>
      <c r="Z8">
        <v>1</v>
      </c>
      <c r="AC8">
        <v>2014</v>
      </c>
      <c r="AD8" s="156">
        <v>5.619046</v>
      </c>
      <c r="AE8">
        <f>Belgium!AB8</f>
        <v>0.757387838338895</v>
      </c>
      <c r="AG8">
        <v>2014</v>
      </c>
      <c r="AH8">
        <v>3000</v>
      </c>
      <c r="AI8" s="3">
        <v>1500</v>
      </c>
      <c r="AJ8" s="13">
        <f>CPIs!G53</f>
        <v>106.65119171142578</v>
      </c>
      <c r="AK8" s="3">
        <f t="shared" si="11"/>
        <v>3055.8374703170507</v>
      </c>
      <c r="AL8" s="3">
        <f t="shared" si="12"/>
        <v>1527.9187351585254</v>
      </c>
    </row>
    <row r="9" spans="1:39">
      <c r="A9">
        <v>2015</v>
      </c>
      <c r="B9" s="3">
        <f t="shared" si="7"/>
        <v>30</v>
      </c>
      <c r="C9" s="3">
        <f t="shared" si="0"/>
        <v>201806.01</v>
      </c>
      <c r="D9" s="3">
        <v>0</v>
      </c>
      <c r="E9" s="3">
        <v>25</v>
      </c>
      <c r="F9" s="61">
        <f t="shared" si="8"/>
        <v>50451.502500000002</v>
      </c>
      <c r="G9" s="3">
        <f t="shared" si="1"/>
        <v>252257.51250000001</v>
      </c>
      <c r="H9" s="3">
        <f>(Austria!I9/Denmark!AE9)*Denmark!AD9-5000</f>
        <v>5766.841734331063</v>
      </c>
      <c r="I9" s="3">
        <f t="shared" si="9"/>
        <v>258024.35423433108</v>
      </c>
      <c r="K9" s="3">
        <f t="shared" si="2"/>
        <v>3000</v>
      </c>
      <c r="L9" s="3"/>
      <c r="N9">
        <v>2015</v>
      </c>
      <c r="O9" s="3">
        <f t="shared" si="3"/>
        <v>258024.35423433108</v>
      </c>
      <c r="P9" s="3">
        <f t="shared" si="4"/>
        <v>258024.35423433108</v>
      </c>
      <c r="Q9" s="3">
        <f t="shared" si="5"/>
        <v>387889.72005</v>
      </c>
      <c r="T9">
        <v>2015</v>
      </c>
      <c r="U9" s="3">
        <f>'Vehicle price'!X11</f>
        <v>23</v>
      </c>
      <c r="V9">
        <v>1</v>
      </c>
      <c r="W9" s="3">
        <f t="shared" si="6"/>
        <v>30</v>
      </c>
      <c r="X9" s="3">
        <f>'Vehicle price'!T11</f>
        <v>30</v>
      </c>
      <c r="Y9" s="3">
        <f t="shared" si="10"/>
        <v>30</v>
      </c>
      <c r="Z9">
        <v>1</v>
      </c>
      <c r="AC9">
        <v>2015</v>
      </c>
      <c r="AD9" s="156">
        <v>6.7268670000000004</v>
      </c>
      <c r="AE9">
        <f>Belgium!AB9</f>
        <v>0.90592556207997499</v>
      </c>
      <c r="AG9">
        <v>2015</v>
      </c>
      <c r="AH9">
        <v>3000</v>
      </c>
      <c r="AI9" s="3">
        <v>1500</v>
      </c>
      <c r="AJ9" s="13">
        <f>CPIs!G54</f>
        <v>107.13329315185547</v>
      </c>
      <c r="AK9" s="3">
        <f t="shared" si="11"/>
        <v>3042.0861554566868</v>
      </c>
      <c r="AL9" s="3">
        <f t="shared" si="12"/>
        <v>1521.0430777283434</v>
      </c>
      <c r="AM9" s="13"/>
    </row>
    <row r="10" spans="1:39">
      <c r="A10">
        <v>2016</v>
      </c>
      <c r="B10" s="3">
        <f t="shared" si="7"/>
        <v>30</v>
      </c>
      <c r="C10" s="3">
        <f t="shared" si="0"/>
        <v>201981.12</v>
      </c>
      <c r="D10" s="61">
        <f>0.4*C10-10000</f>
        <v>70792.448000000004</v>
      </c>
      <c r="E10" s="3">
        <v>25</v>
      </c>
      <c r="F10" s="61">
        <f t="shared" si="8"/>
        <v>50495.28</v>
      </c>
      <c r="G10" s="3">
        <f t="shared" si="1"/>
        <v>323268.848</v>
      </c>
      <c r="H10" s="3">
        <f>(Austria!I10/Denmark!AE10)*Denmark!AD10-5000</f>
        <v>5766.421030377056</v>
      </c>
      <c r="I10" s="3">
        <f t="shared" si="9"/>
        <v>329035.26903037704</v>
      </c>
      <c r="K10" s="3">
        <f t="shared" si="2"/>
        <v>3000</v>
      </c>
      <c r="L10" s="3"/>
      <c r="N10">
        <v>2016</v>
      </c>
      <c r="O10" s="3">
        <f t="shared" si="3"/>
        <v>329035.26903037704</v>
      </c>
      <c r="P10" s="3">
        <f t="shared" si="4"/>
        <v>329035.26903037704</v>
      </c>
      <c r="Q10" s="3">
        <f t="shared" si="5"/>
        <v>371158.3088</v>
      </c>
      <c r="T10">
        <v>2016</v>
      </c>
      <c r="U10" s="3">
        <f>'Vehicle price'!X12</f>
        <v>23</v>
      </c>
      <c r="V10">
        <v>1</v>
      </c>
      <c r="W10" s="3">
        <f t="shared" si="6"/>
        <v>30</v>
      </c>
      <c r="X10" s="3">
        <f>'Vehicle price'!T12</f>
        <v>30</v>
      </c>
      <c r="Y10" s="3">
        <f t="shared" si="10"/>
        <v>30</v>
      </c>
      <c r="Z10">
        <v>1</v>
      </c>
      <c r="AC10">
        <v>2016</v>
      </c>
      <c r="AD10" s="156">
        <v>6.732704</v>
      </c>
      <c r="AE10">
        <f>Belgium!AB10</f>
        <v>0.90674707708863456</v>
      </c>
      <c r="AG10">
        <v>2016</v>
      </c>
      <c r="AH10">
        <v>3000</v>
      </c>
      <c r="AI10" s="3">
        <v>1500</v>
      </c>
      <c r="AJ10" s="13">
        <f>CPIs!G55</f>
        <v>107.401123046875</v>
      </c>
      <c r="AK10" s="3">
        <f t="shared" si="11"/>
        <v>3034.5</v>
      </c>
      <c r="AL10" s="3">
        <f t="shared" si="12"/>
        <v>1517.25</v>
      </c>
      <c r="AM10" s="13"/>
    </row>
    <row r="11" spans="1:39">
      <c r="A11">
        <v>2017</v>
      </c>
      <c r="B11" s="3">
        <f t="shared" si="7"/>
        <v>30</v>
      </c>
      <c r="C11" s="3">
        <f t="shared" si="0"/>
        <v>197859.09</v>
      </c>
      <c r="D11" s="61">
        <f>0.65*C11-10000</f>
        <v>118608.40850000001</v>
      </c>
      <c r="E11" s="3">
        <v>25</v>
      </c>
      <c r="F11" s="61">
        <f t="shared" si="8"/>
        <v>49464.772499999999</v>
      </c>
      <c r="G11" s="3">
        <f t="shared" si="1"/>
        <v>365932.27100000001</v>
      </c>
      <c r="H11" s="3">
        <f>(Austria!I11/Denmark!AE11)*Denmark!AD11-5000</f>
        <v>5841.7973864898704</v>
      </c>
      <c r="I11" s="3">
        <f t="shared" si="9"/>
        <v>371774.06838648987</v>
      </c>
      <c r="K11" s="3">
        <f t="shared" si="2"/>
        <v>3000</v>
      </c>
      <c r="L11" s="3"/>
      <c r="N11">
        <v>2017</v>
      </c>
      <c r="O11" s="3">
        <f t="shared" si="3"/>
        <v>371774.06838648987</v>
      </c>
      <c r="P11" s="3">
        <f t="shared" si="4"/>
        <v>371774.06838648987</v>
      </c>
      <c r="Q11" s="3">
        <f t="shared" si="5"/>
        <v>362783.71785000002</v>
      </c>
      <c r="T11">
        <v>2017</v>
      </c>
      <c r="U11" s="3">
        <f>'Vehicle price'!X13</f>
        <v>23</v>
      </c>
      <c r="V11">
        <v>1</v>
      </c>
      <c r="W11" s="3">
        <f t="shared" si="6"/>
        <v>30</v>
      </c>
      <c r="X11" s="3">
        <f>'Vehicle price'!T13</f>
        <v>30</v>
      </c>
      <c r="Y11" s="3">
        <f t="shared" si="10"/>
        <v>30</v>
      </c>
      <c r="Z11">
        <v>1</v>
      </c>
      <c r="AC11">
        <v>2017</v>
      </c>
      <c r="AD11" s="156">
        <v>6.5953030000000004</v>
      </c>
      <c r="AE11">
        <f>Belgium!AB11</f>
        <v>0.88206678367895308</v>
      </c>
      <c r="AG11">
        <v>2017</v>
      </c>
      <c r="AH11">
        <v>3000</v>
      </c>
      <c r="AI11" s="3">
        <v>1500</v>
      </c>
      <c r="AJ11" s="13">
        <f>CPIs!G56</f>
        <v>108.63623596191407</v>
      </c>
      <c r="AK11" s="3">
        <f t="shared" si="11"/>
        <v>3000</v>
      </c>
      <c r="AL11" s="3">
        <f t="shared" si="12"/>
        <v>1500</v>
      </c>
      <c r="AM11" s="13"/>
    </row>
    <row r="12" spans="1:39">
      <c r="A12">
        <v>2018</v>
      </c>
      <c r="B12" s="3">
        <f t="shared" si="7"/>
        <v>30.592100851060948</v>
      </c>
      <c r="C12" s="3">
        <f t="shared" si="0"/>
        <v>198848.65553189616</v>
      </c>
      <c r="D12" s="61">
        <f>0.9*C12-10000</f>
        <v>168963.78997870654</v>
      </c>
      <c r="E12" s="3">
        <v>25</v>
      </c>
      <c r="F12" s="61">
        <f t="shared" si="8"/>
        <v>49712.16388297404</v>
      </c>
      <c r="G12" s="3">
        <f t="shared" si="1"/>
        <v>417524.60939357674</v>
      </c>
      <c r="H12" s="3">
        <f>(Austria!I12/Denmark!AE12)*Denmark!AD12-5000</f>
        <v>6088.2352941176468</v>
      </c>
      <c r="I12" s="3">
        <f t="shared" si="9"/>
        <v>423612.84468769439</v>
      </c>
      <c r="K12" s="3">
        <f t="shared" si="2"/>
        <v>3000</v>
      </c>
      <c r="L12" s="3"/>
      <c r="N12">
        <v>2018</v>
      </c>
      <c r="O12" s="3">
        <f t="shared" si="3"/>
        <v>423612.84468769439</v>
      </c>
      <c r="P12" s="3">
        <f t="shared" si="4"/>
        <v>423612.84468769439</v>
      </c>
      <c r="Q12" s="3">
        <f t="shared" si="5"/>
        <v>356975</v>
      </c>
      <c r="T12">
        <v>2018</v>
      </c>
      <c r="U12" s="3">
        <f>'Vehicle price'!X14</f>
        <v>23</v>
      </c>
      <c r="V12">
        <v>1</v>
      </c>
      <c r="W12" s="3">
        <f t="shared" si="6"/>
        <v>30.592100851060948</v>
      </c>
      <c r="X12" s="3">
        <f>'Vehicle price'!T14</f>
        <v>30.592100851060948</v>
      </c>
      <c r="Y12" s="3">
        <f t="shared" si="10"/>
        <v>30.592100851060948</v>
      </c>
      <c r="Z12">
        <v>1</v>
      </c>
      <c r="AC12">
        <v>2018</v>
      </c>
      <c r="AD12" s="14">
        <v>6.5</v>
      </c>
      <c r="AE12">
        <f>Belgium!AB12</f>
        <v>0.85</v>
      </c>
      <c r="AG12">
        <v>2018</v>
      </c>
      <c r="AH12">
        <v>3000</v>
      </c>
      <c r="AI12" s="3">
        <v>1500</v>
      </c>
      <c r="AJ12" s="20">
        <f>AJ11*AJ11/AJ10</f>
        <v>109.88555267547609</v>
      </c>
      <c r="AK12" s="3">
        <f t="shared" si="11"/>
        <v>2965.8922392486402</v>
      </c>
      <c r="AL12" s="3">
        <f t="shared" si="12"/>
        <v>1482.9461196243201</v>
      </c>
      <c r="AM12" s="13"/>
    </row>
    <row r="13" spans="1:39">
      <c r="A13">
        <v>2019</v>
      </c>
      <c r="B13" s="3">
        <f t="shared" si="7"/>
        <v>31.172994053473918</v>
      </c>
      <c r="C13" s="3">
        <f t="shared" si="0"/>
        <v>202624.46134758048</v>
      </c>
      <c r="D13" s="61">
        <f>D63</f>
        <v>170100</v>
      </c>
      <c r="E13" s="3">
        <v>25</v>
      </c>
      <c r="F13" s="61">
        <f t="shared" si="8"/>
        <v>50656.11533689512</v>
      </c>
      <c r="G13" s="3">
        <f t="shared" si="1"/>
        <v>423380.57668447559</v>
      </c>
      <c r="H13" s="3">
        <f>(Austria!I13/Denmark!AE13)*Denmark!AD13-5000</f>
        <v>6088.2352941176468</v>
      </c>
      <c r="I13" s="3">
        <f t="shared" si="9"/>
        <v>429468.81197859324</v>
      </c>
      <c r="K13" s="3">
        <f t="shared" si="2"/>
        <v>3000</v>
      </c>
      <c r="L13" s="3"/>
      <c r="N13">
        <v>2019</v>
      </c>
      <c r="O13" s="3">
        <f t="shared" si="3"/>
        <v>429468.81197859324</v>
      </c>
      <c r="P13" s="3">
        <f t="shared" si="4"/>
        <v>429468.81197859324</v>
      </c>
      <c r="Q13" s="3">
        <f t="shared" si="5"/>
        <v>356975</v>
      </c>
      <c r="T13">
        <v>2019</v>
      </c>
      <c r="U13" s="3">
        <f>'Vehicle price'!X15</f>
        <v>23</v>
      </c>
      <c r="V13" s="20">
        <f>V12+(V24-V12)/12</f>
        <v>1.0249999999999999</v>
      </c>
      <c r="W13" s="3">
        <f t="shared" si="6"/>
        <v>31.952318904810763</v>
      </c>
      <c r="X13" s="3">
        <f>'Vehicle price'!T15</f>
        <v>31.172994053473918</v>
      </c>
      <c r="Y13" s="3">
        <f t="shared" si="10"/>
        <v>30.393669202137069</v>
      </c>
      <c r="Z13" s="20">
        <f>Z12+(Z24-Z12)/12</f>
        <v>0.97499999999999998</v>
      </c>
      <c r="AC13">
        <v>2019</v>
      </c>
      <c r="AD13" s="14">
        <v>6.5</v>
      </c>
      <c r="AE13">
        <f>Belgium!AB13</f>
        <v>0.85</v>
      </c>
      <c r="AG13">
        <v>2019</v>
      </c>
      <c r="AH13">
        <v>3000</v>
      </c>
      <c r="AI13" s="3">
        <v>1500</v>
      </c>
      <c r="AJ13" s="20">
        <f t="shared" ref="AJ13:AJ24" si="13">AJ12*AJ12/AJ11</f>
        <v>111.14923653124409</v>
      </c>
      <c r="AK13" s="3">
        <f t="shared" ref="AK13:AK24" si="14">AK12*AK12/AK11</f>
        <v>2932.1722582784378</v>
      </c>
      <c r="AL13" s="3">
        <f t="shared" ref="AL13:AL24" si="15">AL12*AL12/AL11</f>
        <v>1466.0861291392189</v>
      </c>
      <c r="AM13" s="13"/>
    </row>
    <row r="14" spans="1:39">
      <c r="A14">
        <v>2020</v>
      </c>
      <c r="B14" s="3">
        <f t="shared" si="7"/>
        <v>30.985903123425071</v>
      </c>
      <c r="C14" s="3">
        <f t="shared" si="0"/>
        <v>201408.37030226298</v>
      </c>
      <c r="D14" s="61">
        <f t="shared" ref="D14:D24" si="16">D64</f>
        <v>170100</v>
      </c>
      <c r="E14" s="3">
        <v>25</v>
      </c>
      <c r="F14" s="61">
        <f t="shared" si="8"/>
        <v>50352.092575565744</v>
      </c>
      <c r="G14" s="3">
        <f t="shared" si="1"/>
        <v>421860.46287782874</v>
      </c>
      <c r="H14" s="3">
        <f>(Austria!I14/Denmark!AE14)*Denmark!AD14-5000</f>
        <v>6088.2352941176468</v>
      </c>
      <c r="I14" s="3">
        <f t="shared" si="9"/>
        <v>427948.69817194639</v>
      </c>
      <c r="K14" s="3">
        <f t="shared" si="2"/>
        <v>3000</v>
      </c>
      <c r="L14" s="3"/>
      <c r="N14">
        <v>2020</v>
      </c>
      <c r="O14" s="3">
        <f t="shared" si="3"/>
        <v>427948.69817194639</v>
      </c>
      <c r="P14" s="3">
        <f t="shared" si="4"/>
        <v>427948.69817194639</v>
      </c>
      <c r="Q14" s="3">
        <f t="shared" si="5"/>
        <v>356975</v>
      </c>
      <c r="T14">
        <v>2020</v>
      </c>
      <c r="U14" s="3">
        <f>'Vehicle price'!X16</f>
        <v>23</v>
      </c>
      <c r="V14" s="20">
        <f>V13+(V24-V12)/12</f>
        <v>1.0499999999999998</v>
      </c>
      <c r="W14" s="3">
        <f t="shared" si="6"/>
        <v>32.535198279596322</v>
      </c>
      <c r="X14" s="3">
        <f>'Vehicle price'!T16</f>
        <v>30.985903123425071</v>
      </c>
      <c r="Y14" s="3">
        <f t="shared" si="10"/>
        <v>29.436607967253817</v>
      </c>
      <c r="Z14" s="20">
        <f>Z13+(Z24-Z12)/12</f>
        <v>0.95</v>
      </c>
      <c r="AC14">
        <v>2020</v>
      </c>
      <c r="AD14" s="14">
        <v>6.5</v>
      </c>
      <c r="AE14">
        <f>Belgium!AB14</f>
        <v>0.85</v>
      </c>
      <c r="AG14">
        <v>2020</v>
      </c>
      <c r="AH14">
        <v>3000</v>
      </c>
      <c r="AI14" s="3">
        <v>1500</v>
      </c>
      <c r="AJ14" s="20">
        <f t="shared" si="13"/>
        <v>112.4274527513534</v>
      </c>
      <c r="AK14" s="3">
        <f t="shared" si="14"/>
        <v>2898.8356483227258</v>
      </c>
      <c r="AL14" s="3">
        <f t="shared" si="15"/>
        <v>1449.4178241613629</v>
      </c>
      <c r="AM14" s="13"/>
    </row>
    <row r="15" spans="1:39">
      <c r="A15">
        <v>2021</v>
      </c>
      <c r="B15" s="3">
        <f t="shared" si="7"/>
        <v>30.206708843097807</v>
      </c>
      <c r="C15" s="3">
        <f t="shared" si="0"/>
        <v>196343.60748013575</v>
      </c>
      <c r="D15" s="61">
        <f t="shared" si="16"/>
        <v>170100</v>
      </c>
      <c r="E15" s="3">
        <v>25</v>
      </c>
      <c r="F15" s="61">
        <f t="shared" si="8"/>
        <v>49085.901870033937</v>
      </c>
      <c r="G15" s="3">
        <f t="shared" si="1"/>
        <v>415529.50935016968</v>
      </c>
      <c r="H15" s="3">
        <f>(Austria!I15/Denmark!AE15)*Denmark!AD15-5000</f>
        <v>6088.2352941176468</v>
      </c>
      <c r="I15" s="3">
        <f t="shared" si="9"/>
        <v>421617.74464428733</v>
      </c>
      <c r="K15" s="3">
        <f t="shared" si="2"/>
        <v>3000</v>
      </c>
      <c r="L15" s="3"/>
      <c r="N15">
        <v>2021</v>
      </c>
      <c r="O15" s="3">
        <f t="shared" si="3"/>
        <v>421617.74464428733</v>
      </c>
      <c r="P15" s="3">
        <f t="shared" si="4"/>
        <v>421617.74464428733</v>
      </c>
      <c r="Q15" s="3">
        <f t="shared" si="5"/>
        <v>356975</v>
      </c>
      <c r="T15">
        <v>2021</v>
      </c>
      <c r="U15" s="3">
        <f>'Vehicle price'!X17</f>
        <v>23</v>
      </c>
      <c r="V15" s="20">
        <f>V14+(V24-V12)/12</f>
        <v>1.0749999999999997</v>
      </c>
      <c r="W15" s="3">
        <f t="shared" si="6"/>
        <v>32.472212006330132</v>
      </c>
      <c r="X15" s="3">
        <f>'Vehicle price'!T17</f>
        <v>30.206708843097807</v>
      </c>
      <c r="Y15" s="3">
        <f t="shared" si="10"/>
        <v>27.941205679865469</v>
      </c>
      <c r="Z15" s="20">
        <f>Z14+(Z24-Z12)/12</f>
        <v>0.92499999999999993</v>
      </c>
      <c r="AC15">
        <v>2021</v>
      </c>
      <c r="AD15" s="14">
        <v>6.5</v>
      </c>
      <c r="AE15">
        <f>Belgium!AB15</f>
        <v>0.85</v>
      </c>
      <c r="AG15">
        <v>2021</v>
      </c>
      <c r="AH15">
        <v>3000</v>
      </c>
      <c r="AI15" s="3">
        <v>1500</v>
      </c>
      <c r="AJ15" s="20">
        <f t="shared" si="13"/>
        <v>113.72036845799397</v>
      </c>
      <c r="AK15" s="3">
        <f t="shared" si="14"/>
        <v>2865.8780507392239</v>
      </c>
      <c r="AL15" s="3">
        <f t="shared" si="15"/>
        <v>1432.939025369612</v>
      </c>
      <c r="AM15" s="13"/>
    </row>
    <row r="16" spans="1:39">
      <c r="A16">
        <v>2022</v>
      </c>
      <c r="B16" s="3">
        <f t="shared" si="7"/>
        <v>30.642454642697771</v>
      </c>
      <c r="C16" s="3">
        <f t="shared" si="0"/>
        <v>199175.95517753551</v>
      </c>
      <c r="D16" s="61">
        <f t="shared" si="16"/>
        <v>170100</v>
      </c>
      <c r="E16" s="3">
        <v>25</v>
      </c>
      <c r="F16" s="61">
        <f t="shared" si="8"/>
        <v>49793.988794383877</v>
      </c>
      <c r="G16" s="3">
        <f t="shared" si="1"/>
        <v>419069.94397191936</v>
      </c>
      <c r="H16" s="3">
        <f>(Austria!I16/Denmark!AE16)*Denmark!AD16-5000</f>
        <v>6088.2352941176468</v>
      </c>
      <c r="I16" s="3">
        <f t="shared" si="9"/>
        <v>425158.17926603701</v>
      </c>
      <c r="K16" s="3">
        <f t="shared" si="2"/>
        <v>3000</v>
      </c>
      <c r="L16" s="3"/>
      <c r="N16">
        <v>2022</v>
      </c>
      <c r="O16" s="3">
        <f t="shared" si="3"/>
        <v>425158.17926603701</v>
      </c>
      <c r="P16" s="3">
        <f t="shared" si="4"/>
        <v>425158.17926603701</v>
      </c>
      <c r="Q16" s="3">
        <f t="shared" si="5"/>
        <v>356975</v>
      </c>
      <c r="T16">
        <v>2022</v>
      </c>
      <c r="U16" s="3">
        <f>'Vehicle price'!X18</f>
        <v>23</v>
      </c>
      <c r="V16" s="20">
        <f>V15+(V24-V12)/12</f>
        <v>1.0999999999999996</v>
      </c>
      <c r="W16" s="3">
        <f t="shared" si="6"/>
        <v>33.706700106967538</v>
      </c>
      <c r="X16" s="3">
        <f>'Vehicle price'!T18</f>
        <v>30.642454642697771</v>
      </c>
      <c r="Y16" s="3">
        <f t="shared" si="10"/>
        <v>27.57820917842799</v>
      </c>
      <c r="Z16" s="20">
        <f>Z15+(Z24-Z12)/12</f>
        <v>0.89999999999999991</v>
      </c>
      <c r="AC16">
        <v>2022</v>
      </c>
      <c r="AD16" s="14">
        <v>6.5</v>
      </c>
      <c r="AE16">
        <f>Belgium!AB16</f>
        <v>0.85</v>
      </c>
      <c r="AG16">
        <v>2022</v>
      </c>
      <c r="AH16">
        <v>3000</v>
      </c>
      <c r="AI16" s="3">
        <v>1500</v>
      </c>
      <c r="AJ16" s="20">
        <f t="shared" si="13"/>
        <v>115.02815269526091</v>
      </c>
      <c r="AK16" s="3">
        <f t="shared" si="14"/>
        <v>2833.2951564401615</v>
      </c>
      <c r="AL16" s="3">
        <f t="shared" si="15"/>
        <v>1416.6475782200807</v>
      </c>
      <c r="AM16" s="13"/>
    </row>
    <row r="17" spans="1:39">
      <c r="A17">
        <v>2023</v>
      </c>
      <c r="B17" s="3">
        <f t="shared" si="7"/>
        <v>30.361546257811007</v>
      </c>
      <c r="C17" s="3">
        <f t="shared" si="0"/>
        <v>197350.05067577155</v>
      </c>
      <c r="D17" s="61">
        <f t="shared" si="16"/>
        <v>170100</v>
      </c>
      <c r="E17" s="3">
        <v>25</v>
      </c>
      <c r="F17" s="61">
        <f t="shared" si="8"/>
        <v>49337.512668942887</v>
      </c>
      <c r="G17" s="3">
        <f t="shared" si="1"/>
        <v>416787.56334471446</v>
      </c>
      <c r="H17" s="3">
        <f>(Austria!I17/Denmark!AE17)*Denmark!AD17-5000</f>
        <v>6088.2352941176468</v>
      </c>
      <c r="I17" s="3">
        <f t="shared" si="9"/>
        <v>422875.79863883212</v>
      </c>
      <c r="K17" s="3">
        <f t="shared" si="2"/>
        <v>3000</v>
      </c>
      <c r="L17" s="3"/>
      <c r="N17">
        <v>2023</v>
      </c>
      <c r="O17" s="3">
        <f t="shared" si="3"/>
        <v>422875.79863883212</v>
      </c>
      <c r="P17" s="3">
        <f t="shared" si="4"/>
        <v>422875.79863883212</v>
      </c>
      <c r="Q17" s="3">
        <f t="shared" si="5"/>
        <v>356975</v>
      </c>
      <c r="T17">
        <v>2023</v>
      </c>
      <c r="U17" s="3">
        <f>'Vehicle price'!X19</f>
        <v>23</v>
      </c>
      <c r="V17" s="20">
        <f>V16+(V24-V12)/12</f>
        <v>1.1249999999999996</v>
      </c>
      <c r="W17" s="3">
        <f t="shared" si="6"/>
        <v>34.156739540037371</v>
      </c>
      <c r="X17" s="3">
        <f>'Vehicle price'!T19</f>
        <v>30.361546257811007</v>
      </c>
      <c r="Y17" s="3">
        <f t="shared" si="10"/>
        <v>26.566352975584628</v>
      </c>
      <c r="Z17" s="20">
        <f>Z16+(Z24-Z12)/12</f>
        <v>0.87499999999999989</v>
      </c>
      <c r="AC17">
        <v>2023</v>
      </c>
      <c r="AD17" s="14">
        <v>6.5</v>
      </c>
      <c r="AE17">
        <f>Belgium!AB17</f>
        <v>0.85</v>
      </c>
      <c r="AG17">
        <v>2023</v>
      </c>
      <c r="AH17">
        <v>3000</v>
      </c>
      <c r="AI17" s="3">
        <v>1500</v>
      </c>
      <c r="AJ17" s="20">
        <f t="shared" si="13"/>
        <v>116.35097645125643</v>
      </c>
      <c r="AK17" s="3">
        <f t="shared" si="14"/>
        <v>2801.082705328879</v>
      </c>
      <c r="AL17" s="3">
        <f t="shared" si="15"/>
        <v>1400.5413526644395</v>
      </c>
      <c r="AM17" s="13"/>
    </row>
    <row r="18" spans="1:39">
      <c r="A18">
        <v>2024</v>
      </c>
      <c r="B18" s="3">
        <f t="shared" si="7"/>
        <v>29.275640447464834</v>
      </c>
      <c r="C18" s="3">
        <f t="shared" si="0"/>
        <v>190291.66290852142</v>
      </c>
      <c r="D18" s="61">
        <f t="shared" si="16"/>
        <v>170100</v>
      </c>
      <c r="E18" s="3">
        <v>25</v>
      </c>
      <c r="F18" s="61">
        <f t="shared" si="8"/>
        <v>47572.915727130356</v>
      </c>
      <c r="G18" s="3">
        <f t="shared" si="1"/>
        <v>407964.57863565179</v>
      </c>
      <c r="H18" s="3">
        <f>(Austria!I18/Denmark!AE18)*Denmark!AD18-5000</f>
        <v>6088.2352941176468</v>
      </c>
      <c r="I18" s="3">
        <f t="shared" si="9"/>
        <v>414052.81392976944</v>
      </c>
      <c r="K18" s="3">
        <f t="shared" si="2"/>
        <v>3000</v>
      </c>
      <c r="L18" s="3"/>
      <c r="N18">
        <v>2024</v>
      </c>
      <c r="O18" s="3">
        <f t="shared" si="3"/>
        <v>414052.81392976944</v>
      </c>
      <c r="P18" s="3">
        <f t="shared" si="4"/>
        <v>414052.81392976944</v>
      </c>
      <c r="Q18" s="3">
        <f t="shared" si="5"/>
        <v>356975</v>
      </c>
      <c r="T18">
        <v>2024</v>
      </c>
      <c r="U18" s="3">
        <f>'Vehicle price'!X20</f>
        <v>23</v>
      </c>
      <c r="V18" s="20">
        <f>V17+(V24-V12)/12</f>
        <v>1.1499999999999995</v>
      </c>
      <c r="W18" s="3">
        <f t="shared" si="6"/>
        <v>33.666986514584543</v>
      </c>
      <c r="X18" s="3">
        <f>'Vehicle price'!T20</f>
        <v>29.275640447464834</v>
      </c>
      <c r="Y18" s="3">
        <f t="shared" si="10"/>
        <v>24.884294380345104</v>
      </c>
      <c r="Z18" s="20">
        <f>Z17+(Z24-Z12)/12</f>
        <v>0.84999999999999987</v>
      </c>
      <c r="AC18">
        <v>2024</v>
      </c>
      <c r="AD18" s="14">
        <v>6.5</v>
      </c>
      <c r="AE18">
        <f>Belgium!AB18</f>
        <v>0.85</v>
      </c>
      <c r="AG18">
        <v>2024</v>
      </c>
      <c r="AH18">
        <v>3000</v>
      </c>
      <c r="AI18" s="3">
        <v>1500</v>
      </c>
      <c r="AJ18" s="20">
        <f t="shared" si="13"/>
        <v>117.68901268044588</v>
      </c>
      <c r="AK18" s="3">
        <f t="shared" si="14"/>
        <v>2769.2364857428361</v>
      </c>
      <c r="AL18" s="3">
        <f t="shared" si="15"/>
        <v>1384.618242871418</v>
      </c>
      <c r="AM18" s="13"/>
    </row>
    <row r="19" spans="1:39">
      <c r="A19">
        <v>2025</v>
      </c>
      <c r="B19" s="3">
        <f t="shared" si="7"/>
        <v>28.343375828936317</v>
      </c>
      <c r="C19" s="3">
        <f t="shared" si="0"/>
        <v>184231.94288808605</v>
      </c>
      <c r="D19" s="61">
        <f t="shared" si="16"/>
        <v>170100</v>
      </c>
      <c r="E19" s="3">
        <v>25</v>
      </c>
      <c r="F19" s="61">
        <f t="shared" si="8"/>
        <v>46057.985722021513</v>
      </c>
      <c r="G19" s="3">
        <f t="shared" si="1"/>
        <v>400389.92861010757</v>
      </c>
      <c r="H19" s="3">
        <f>(Austria!I19/Denmark!AE19)*Denmark!AD19-5000</f>
        <v>6088.2352941176468</v>
      </c>
      <c r="I19" s="3">
        <f t="shared" si="9"/>
        <v>406478.16390422522</v>
      </c>
      <c r="K19" s="3">
        <f t="shared" si="2"/>
        <v>3000</v>
      </c>
      <c r="L19" s="3"/>
      <c r="N19">
        <v>2025</v>
      </c>
      <c r="O19" s="3">
        <f t="shared" si="3"/>
        <v>406478.16390422522</v>
      </c>
      <c r="P19" s="3">
        <f t="shared" si="4"/>
        <v>406478.16390422522</v>
      </c>
      <c r="Q19" s="3">
        <f t="shared" si="5"/>
        <v>356975</v>
      </c>
      <c r="T19">
        <v>2025</v>
      </c>
      <c r="U19" s="3">
        <f>'Vehicle price'!X21</f>
        <v>23</v>
      </c>
      <c r="V19" s="20">
        <f>V18+(V24-V12)/12</f>
        <v>1.1749999999999994</v>
      </c>
      <c r="W19" s="3">
        <f t="shared" si="6"/>
        <v>33.303466599000153</v>
      </c>
      <c r="X19" s="3">
        <f>'Vehicle price'!T21</f>
        <v>28.343375828936317</v>
      </c>
      <c r="Y19" s="3">
        <f t="shared" si="10"/>
        <v>23.383285058872456</v>
      </c>
      <c r="Z19" s="20">
        <f>Z18+(Z24-Z12)/12</f>
        <v>0.82499999999999984</v>
      </c>
      <c r="AC19">
        <v>2025</v>
      </c>
      <c r="AD19" s="14">
        <v>6.5</v>
      </c>
      <c r="AE19">
        <f>Belgium!AB19</f>
        <v>0.85</v>
      </c>
      <c r="AG19">
        <v>2025</v>
      </c>
      <c r="AH19">
        <v>3000</v>
      </c>
      <c r="AI19" s="3">
        <v>1500</v>
      </c>
      <c r="AJ19" s="20">
        <f t="shared" si="13"/>
        <v>119.04243632627102</v>
      </c>
      <c r="AK19" s="3">
        <f t="shared" si="14"/>
        <v>2737.7523339029522</v>
      </c>
      <c r="AL19" s="3">
        <f t="shared" si="15"/>
        <v>1368.8761669514761</v>
      </c>
      <c r="AM19" s="13"/>
    </row>
    <row r="20" spans="1:39">
      <c r="A20">
        <v>2026</v>
      </c>
      <c r="B20" s="3">
        <f t="shared" si="7"/>
        <v>27.812270474504896</v>
      </c>
      <c r="C20" s="3">
        <f t="shared" si="0"/>
        <v>180779.75808428181</v>
      </c>
      <c r="D20" s="61">
        <f t="shared" si="16"/>
        <v>170100</v>
      </c>
      <c r="E20" s="3">
        <v>25</v>
      </c>
      <c r="F20" s="61">
        <f t="shared" si="8"/>
        <v>45194.939521070453</v>
      </c>
      <c r="G20" s="3">
        <f t="shared" si="1"/>
        <v>396074.69760535227</v>
      </c>
      <c r="H20" s="3">
        <f>(Austria!I20/Denmark!AE20)*Denmark!AD20-5000</f>
        <v>6088.2352941176468</v>
      </c>
      <c r="I20" s="3">
        <f t="shared" si="9"/>
        <v>402162.93289946992</v>
      </c>
      <c r="K20" s="3">
        <f t="shared" si="2"/>
        <v>3000</v>
      </c>
      <c r="L20" s="3"/>
      <c r="N20">
        <v>2026</v>
      </c>
      <c r="O20" s="3">
        <f t="shared" si="3"/>
        <v>402162.93289946992</v>
      </c>
      <c r="P20" s="3">
        <f t="shared" si="4"/>
        <v>402162.93289946992</v>
      </c>
      <c r="Q20" s="3">
        <f t="shared" si="5"/>
        <v>356975</v>
      </c>
      <c r="T20">
        <v>2026</v>
      </c>
      <c r="U20" s="3">
        <f>'Vehicle price'!X22</f>
        <v>23</v>
      </c>
      <c r="V20" s="20">
        <f>V19+(V24-V12)/12</f>
        <v>1.1999999999999993</v>
      </c>
      <c r="W20" s="3">
        <f t="shared" si="6"/>
        <v>33.374724569405856</v>
      </c>
      <c r="X20" s="3">
        <f>'Vehicle price'!T22</f>
        <v>27.812270474504896</v>
      </c>
      <c r="Y20" s="3">
        <f t="shared" si="10"/>
        <v>22.24981637960391</v>
      </c>
      <c r="Z20" s="20">
        <f>Z19+(Z24-Z12)/12</f>
        <v>0.79999999999999982</v>
      </c>
      <c r="AC20">
        <v>2026</v>
      </c>
      <c r="AD20" s="14">
        <v>6.5</v>
      </c>
      <c r="AE20">
        <f>Belgium!AB20</f>
        <v>0.85</v>
      </c>
      <c r="AG20">
        <v>2026</v>
      </c>
      <c r="AH20">
        <v>3000</v>
      </c>
      <c r="AI20" s="3">
        <v>1500</v>
      </c>
      <c r="AJ20" s="20">
        <f t="shared" si="13"/>
        <v>120.41142434402315</v>
      </c>
      <c r="AK20" s="3">
        <f t="shared" si="14"/>
        <v>2706.6261333692064</v>
      </c>
      <c r="AL20" s="3">
        <f t="shared" si="15"/>
        <v>1353.3130666846032</v>
      </c>
      <c r="AM20" s="13"/>
    </row>
    <row r="21" spans="1:39">
      <c r="A21">
        <v>2027</v>
      </c>
      <c r="B21" s="3">
        <f t="shared" si="7"/>
        <v>27.281165120073478</v>
      </c>
      <c r="C21" s="3">
        <f t="shared" si="0"/>
        <v>177327.57328047761</v>
      </c>
      <c r="D21" s="61">
        <f t="shared" si="16"/>
        <v>170100</v>
      </c>
      <c r="E21" s="3">
        <v>25</v>
      </c>
      <c r="F21" s="61">
        <f t="shared" si="8"/>
        <v>44331.893320119401</v>
      </c>
      <c r="G21" s="3">
        <f t="shared" si="1"/>
        <v>391759.46660059702</v>
      </c>
      <c r="H21" s="3">
        <f>(Austria!I21/Denmark!AE21)*Denmark!AD21-5000</f>
        <v>6088.2352941176468</v>
      </c>
      <c r="I21" s="3">
        <f t="shared" si="9"/>
        <v>397847.70189471467</v>
      </c>
      <c r="K21" s="3">
        <f t="shared" si="2"/>
        <v>3000</v>
      </c>
      <c r="L21" s="3"/>
      <c r="N21">
        <v>2027</v>
      </c>
      <c r="O21" s="3">
        <f t="shared" si="3"/>
        <v>397847.70189471467</v>
      </c>
      <c r="P21" s="3">
        <f t="shared" si="4"/>
        <v>397847.70189471467</v>
      </c>
      <c r="Q21" s="3">
        <f t="shared" si="5"/>
        <v>356975</v>
      </c>
      <c r="T21">
        <v>2027</v>
      </c>
      <c r="U21" s="3">
        <f>'Vehicle price'!X23</f>
        <v>23</v>
      </c>
      <c r="V21" s="20">
        <f>V20+(V24-V12)/12</f>
        <v>1.2249999999999992</v>
      </c>
      <c r="W21" s="3">
        <f t="shared" si="6"/>
        <v>33.41942727208999</v>
      </c>
      <c r="X21" s="3">
        <f>'Vehicle price'!T23</f>
        <v>27.281165120073478</v>
      </c>
      <c r="Y21" s="3">
        <f t="shared" si="10"/>
        <v>21.142902968056941</v>
      </c>
      <c r="Z21" s="20">
        <f>Z20+(Z24-Z12)/12</f>
        <v>0.7749999999999998</v>
      </c>
      <c r="AC21">
        <v>2027</v>
      </c>
      <c r="AD21" s="14">
        <v>6.5</v>
      </c>
      <c r="AE21">
        <f>Belgium!AB21</f>
        <v>0.85</v>
      </c>
      <c r="AG21">
        <v>2027</v>
      </c>
      <c r="AH21">
        <v>3000</v>
      </c>
      <c r="AI21" s="3">
        <v>1500</v>
      </c>
      <c r="AJ21" s="20">
        <f t="shared" si="13"/>
        <v>121.79615572397942</v>
      </c>
      <c r="AK21" s="3">
        <f t="shared" si="14"/>
        <v>2675.8538145024286</v>
      </c>
      <c r="AL21" s="3">
        <f t="shared" si="15"/>
        <v>1337.9269072512143</v>
      </c>
      <c r="AM21" s="13"/>
    </row>
    <row r="22" spans="1:39">
      <c r="A22">
        <v>2028</v>
      </c>
      <c r="B22" s="3">
        <f t="shared" si="7"/>
        <v>26.683671596338133</v>
      </c>
      <c r="C22" s="3">
        <f t="shared" si="0"/>
        <v>173443.86537619785</v>
      </c>
      <c r="D22" s="61">
        <f t="shared" si="16"/>
        <v>170100</v>
      </c>
      <c r="E22" s="3">
        <v>25</v>
      </c>
      <c r="F22" s="61">
        <f t="shared" si="8"/>
        <v>43360.966344049462</v>
      </c>
      <c r="G22" s="3">
        <f t="shared" si="1"/>
        <v>386904.83172024728</v>
      </c>
      <c r="H22" s="3">
        <f>(Austria!I22/Denmark!AE22)*Denmark!AD22-5000</f>
        <v>6088.2352941176468</v>
      </c>
      <c r="I22" s="3">
        <f t="shared" si="9"/>
        <v>392993.06701436493</v>
      </c>
      <c r="K22" s="3">
        <f t="shared" si="2"/>
        <v>3000</v>
      </c>
      <c r="L22" s="3"/>
      <c r="N22">
        <v>2028</v>
      </c>
      <c r="O22" s="3">
        <f t="shared" si="3"/>
        <v>392993.06701436493</v>
      </c>
      <c r="P22" s="3">
        <f t="shared" si="4"/>
        <v>392993.06701436493</v>
      </c>
      <c r="Q22" s="3">
        <f t="shared" si="5"/>
        <v>356975</v>
      </c>
      <c r="T22">
        <v>2028</v>
      </c>
      <c r="U22" s="3">
        <f>'Vehicle price'!X24</f>
        <v>23</v>
      </c>
      <c r="V22" s="20">
        <f>V21+(V24-V12)/12</f>
        <v>1.2499999999999991</v>
      </c>
      <c r="W22" s="3">
        <f t="shared" si="6"/>
        <v>33.354589495422644</v>
      </c>
      <c r="X22" s="3">
        <f>'Vehicle price'!T24</f>
        <v>26.683671596338133</v>
      </c>
      <c r="Y22" s="3">
        <f t="shared" si="10"/>
        <v>20.012753697253594</v>
      </c>
      <c r="Z22" s="20">
        <f>Z21+(Z24-Z12)/12</f>
        <v>0.74999999999999978</v>
      </c>
      <c r="AC22">
        <v>2028</v>
      </c>
      <c r="AD22" s="14">
        <v>6.5</v>
      </c>
      <c r="AE22">
        <f>Belgium!AB22</f>
        <v>0.85</v>
      </c>
      <c r="AG22">
        <v>2028</v>
      </c>
      <c r="AH22">
        <v>3000</v>
      </c>
      <c r="AI22" s="3">
        <v>1500</v>
      </c>
      <c r="AJ22" s="20">
        <f t="shared" si="13"/>
        <v>123.1968115148052</v>
      </c>
      <c r="AK22" s="3">
        <f t="shared" si="14"/>
        <v>2645.4313539322084</v>
      </c>
      <c r="AL22" s="3">
        <f t="shared" si="15"/>
        <v>1322.7156769661042</v>
      </c>
      <c r="AM22" s="13"/>
    </row>
    <row r="23" spans="1:39">
      <c r="A23">
        <v>2029</v>
      </c>
      <c r="B23" s="3">
        <f t="shared" si="7"/>
        <v>26.152566241906715</v>
      </c>
      <c r="C23" s="3">
        <f t="shared" si="0"/>
        <v>169991.68057239364</v>
      </c>
      <c r="D23" s="61">
        <f t="shared" si="16"/>
        <v>170100</v>
      </c>
      <c r="E23" s="3">
        <v>25</v>
      </c>
      <c r="F23" s="61">
        <f t="shared" si="8"/>
        <v>42497.92014309841</v>
      </c>
      <c r="G23" s="3">
        <f t="shared" si="1"/>
        <v>382589.60071549204</v>
      </c>
      <c r="H23" s="3">
        <f>(Austria!I23/Denmark!AE23)*Denmark!AD23-5000</f>
        <v>6088.2352941176468</v>
      </c>
      <c r="I23" s="3">
        <f t="shared" si="9"/>
        <v>388677.83600960969</v>
      </c>
      <c r="K23" s="3">
        <f t="shared" si="2"/>
        <v>3000</v>
      </c>
      <c r="L23" s="3"/>
      <c r="N23">
        <v>2029</v>
      </c>
      <c r="O23" s="3">
        <f t="shared" si="3"/>
        <v>388677.83600960969</v>
      </c>
      <c r="P23" s="3">
        <f t="shared" si="4"/>
        <v>388677.83600960969</v>
      </c>
      <c r="Q23" s="3">
        <f t="shared" si="5"/>
        <v>356975</v>
      </c>
      <c r="T23">
        <v>2029</v>
      </c>
      <c r="U23" s="3">
        <f>'Vehicle price'!X25</f>
        <v>23</v>
      </c>
      <c r="V23" s="20">
        <f>V22+(V24-V12)/12</f>
        <v>1.274999999999999</v>
      </c>
      <c r="W23" s="3">
        <f t="shared" si="6"/>
        <v>33.344521958431038</v>
      </c>
      <c r="X23" s="3">
        <f>'Vehicle price'!T25</f>
        <v>26.152566241906715</v>
      </c>
      <c r="Y23" s="3">
        <f t="shared" si="10"/>
        <v>18.960610525382361</v>
      </c>
      <c r="Z23" s="20">
        <f>Z22+(Z24-Z12)/12</f>
        <v>0.72499999999999976</v>
      </c>
      <c r="AC23">
        <v>2029</v>
      </c>
      <c r="AD23" s="14">
        <v>6.5</v>
      </c>
      <c r="AE23">
        <f>Belgium!AB23</f>
        <v>0.85</v>
      </c>
      <c r="AG23">
        <v>2029</v>
      </c>
      <c r="AH23">
        <v>3000</v>
      </c>
      <c r="AI23" s="3">
        <v>1500</v>
      </c>
      <c r="AJ23" s="20">
        <f t="shared" si="13"/>
        <v>124.61357484722548</v>
      </c>
      <c r="AK23" s="3">
        <f t="shared" si="14"/>
        <v>2615.3547740308536</v>
      </c>
      <c r="AL23" s="3">
        <f t="shared" si="15"/>
        <v>1307.6773870154268</v>
      </c>
      <c r="AM23" s="13"/>
    </row>
    <row r="24" spans="1:39">
      <c r="A24">
        <v>2030</v>
      </c>
      <c r="B24" s="3">
        <f t="shared" si="7"/>
        <v>25.55507271817137</v>
      </c>
      <c r="C24" s="3">
        <f t="shared" si="0"/>
        <v>166107.97266811391</v>
      </c>
      <c r="D24" s="61">
        <f t="shared" si="16"/>
        <v>170100</v>
      </c>
      <c r="E24" s="3">
        <v>25</v>
      </c>
      <c r="F24" s="61">
        <f t="shared" si="8"/>
        <v>41526.993167028479</v>
      </c>
      <c r="G24" s="3">
        <f t="shared" si="1"/>
        <v>377734.96583514242</v>
      </c>
      <c r="H24" s="3">
        <f>(Austria!I24/Denmark!AE24)*Denmark!AD24-5000</f>
        <v>6088.2352941176468</v>
      </c>
      <c r="I24" s="3">
        <f t="shared" si="9"/>
        <v>383823.20112926007</v>
      </c>
      <c r="K24" s="3">
        <f t="shared" si="2"/>
        <v>3000</v>
      </c>
      <c r="L24" s="3"/>
      <c r="N24">
        <v>2030</v>
      </c>
      <c r="O24" s="3">
        <f t="shared" si="3"/>
        <v>383823.20112926007</v>
      </c>
      <c r="P24" s="3">
        <f t="shared" si="4"/>
        <v>383823.20112926007</v>
      </c>
      <c r="Q24" s="3">
        <f t="shared" si="5"/>
        <v>356975</v>
      </c>
      <c r="T24">
        <v>2030</v>
      </c>
      <c r="U24" s="3">
        <f>'Vehicle price'!X26</f>
        <v>23</v>
      </c>
      <c r="V24">
        <v>1.3</v>
      </c>
      <c r="W24" s="3">
        <f t="shared" si="6"/>
        <v>33.221594533622785</v>
      </c>
      <c r="X24" s="3">
        <f>'Vehicle price'!T26</f>
        <v>25.55507271817137</v>
      </c>
      <c r="Y24" s="3">
        <f t="shared" si="10"/>
        <v>17.88855090271996</v>
      </c>
      <c r="Z24">
        <v>0.7</v>
      </c>
      <c r="AC24">
        <v>2030</v>
      </c>
      <c r="AD24" s="14">
        <v>6.5</v>
      </c>
      <c r="AE24">
        <f>Belgium!AB24</f>
        <v>0.85</v>
      </c>
      <c r="AG24">
        <v>2030</v>
      </c>
      <c r="AH24">
        <v>3000</v>
      </c>
      <c r="AI24" s="3">
        <v>1500</v>
      </c>
      <c r="AJ24" s="20">
        <f t="shared" si="13"/>
        <v>126.04663095796859</v>
      </c>
      <c r="AK24" s="3">
        <f t="shared" si="14"/>
        <v>2585.6201423933303</v>
      </c>
      <c r="AL24" s="3">
        <f t="shared" si="15"/>
        <v>1292.8100711966651</v>
      </c>
      <c r="AM24" s="13"/>
    </row>
    <row r="25" spans="1:39">
      <c r="F25" s="3"/>
      <c r="AD25" s="13"/>
      <c r="AE25" s="13"/>
    </row>
    <row r="26" spans="1:39">
      <c r="A26" t="s">
        <v>324</v>
      </c>
      <c r="B26" t="s">
        <v>1395</v>
      </c>
      <c r="C26" t="s">
        <v>751</v>
      </c>
      <c r="D26" t="s">
        <v>751</v>
      </c>
      <c r="E26" t="s">
        <v>498</v>
      </c>
      <c r="F26" t="s">
        <v>751</v>
      </c>
      <c r="G26" t="s">
        <v>751</v>
      </c>
      <c r="I26" t="s">
        <v>751</v>
      </c>
      <c r="K26" t="s">
        <v>904</v>
      </c>
      <c r="AD26" s="13"/>
      <c r="AE26" s="13"/>
    </row>
    <row r="27" spans="1:39">
      <c r="B27" t="s">
        <v>711</v>
      </c>
      <c r="C27" t="s">
        <v>711</v>
      </c>
      <c r="D27" t="s">
        <v>736</v>
      </c>
      <c r="E27" t="s">
        <v>714</v>
      </c>
      <c r="F27" s="3" t="s">
        <v>728</v>
      </c>
      <c r="G27" t="s">
        <v>717</v>
      </c>
      <c r="H27" t="s">
        <v>755</v>
      </c>
      <c r="I27" t="s">
        <v>717</v>
      </c>
      <c r="K27" t="s">
        <v>734</v>
      </c>
      <c r="AE27" s="13"/>
    </row>
    <row r="28" spans="1:39">
      <c r="A28">
        <v>2009</v>
      </c>
      <c r="B28" s="3">
        <f t="shared" ref="B28:B49" si="17">B3</f>
        <v>29.592572886961211</v>
      </c>
      <c r="C28" s="3">
        <f t="shared" ref="C28:C49" si="18">B28*AD3*1000</f>
        <v>158641.93621252375</v>
      </c>
      <c r="D28" s="3">
        <f t="shared" ref="D28:D49" si="19">D3</f>
        <v>0</v>
      </c>
      <c r="E28" s="3">
        <v>25</v>
      </c>
      <c r="F28" s="61">
        <f>E28/100*C28</f>
        <v>39660.484053130938</v>
      </c>
      <c r="G28" s="3">
        <f t="shared" ref="G28:G49" si="20">C28+F28+D28</f>
        <v>198302.42026565468</v>
      </c>
      <c r="H28" s="3">
        <f t="shared" ref="H28:H49" si="21">H3</f>
        <v>5798.5337104211212</v>
      </c>
      <c r="I28" s="3">
        <f>G28+H28</f>
        <v>204100.95397607581</v>
      </c>
      <c r="K28" s="3">
        <f t="shared" ref="K28:K49" si="22">AI3</f>
        <v>1500</v>
      </c>
      <c r="L28" s="3"/>
      <c r="AE28" s="72"/>
    </row>
    <row r="29" spans="1:39">
      <c r="A29">
        <v>2010</v>
      </c>
      <c r="B29" s="3">
        <f t="shared" si="17"/>
        <v>30</v>
      </c>
      <c r="C29" s="3">
        <f t="shared" si="18"/>
        <v>168722.4</v>
      </c>
      <c r="D29" s="3">
        <f t="shared" si="19"/>
        <v>0</v>
      </c>
      <c r="E29" s="3">
        <v>25</v>
      </c>
      <c r="F29" s="61">
        <f t="shared" ref="F29:F49" si="23">E29/100*C29</f>
        <v>42180.6</v>
      </c>
      <c r="G29" s="3">
        <f t="shared" si="20"/>
        <v>210903</v>
      </c>
      <c r="H29" s="3">
        <f t="shared" si="21"/>
        <v>5748.9450041551263</v>
      </c>
      <c r="I29" s="3">
        <f t="shared" ref="I29:I49" si="24">G29+H29</f>
        <v>216651.94500415513</v>
      </c>
      <c r="K29" s="3">
        <f t="shared" si="22"/>
        <v>1500</v>
      </c>
      <c r="L29" s="3"/>
    </row>
    <row r="30" spans="1:39">
      <c r="A30">
        <v>2011</v>
      </c>
      <c r="B30" s="3">
        <f t="shared" si="17"/>
        <v>30</v>
      </c>
      <c r="C30" s="3">
        <f t="shared" si="18"/>
        <v>160865.31</v>
      </c>
      <c r="D30" s="3">
        <f t="shared" si="19"/>
        <v>0</v>
      </c>
      <c r="E30" s="3">
        <v>25</v>
      </c>
      <c r="F30" s="61">
        <f t="shared" si="23"/>
        <v>40216.327499999999</v>
      </c>
      <c r="G30" s="3">
        <f t="shared" si="20"/>
        <v>201081.63750000001</v>
      </c>
      <c r="H30" s="3">
        <f t="shared" si="21"/>
        <v>5867.6404679461648</v>
      </c>
      <c r="I30" s="3">
        <f t="shared" si="24"/>
        <v>206949.27796794617</v>
      </c>
      <c r="K30" s="3">
        <f t="shared" si="22"/>
        <v>1500</v>
      </c>
      <c r="L30" s="3"/>
    </row>
    <row r="31" spans="1:39">
      <c r="A31">
        <v>2012</v>
      </c>
      <c r="B31" s="3">
        <f t="shared" si="17"/>
        <v>30.842462459493706</v>
      </c>
      <c r="C31" s="3">
        <f t="shared" si="18"/>
        <v>178800.41684957626</v>
      </c>
      <c r="D31" s="3">
        <f t="shared" si="19"/>
        <v>0</v>
      </c>
      <c r="E31" s="3">
        <v>25</v>
      </c>
      <c r="F31" s="61">
        <f t="shared" si="23"/>
        <v>44700.104212394064</v>
      </c>
      <c r="G31" s="3">
        <f t="shared" si="20"/>
        <v>223500.52106197033</v>
      </c>
      <c r="H31" s="3">
        <f t="shared" si="21"/>
        <v>5861.8286725311609</v>
      </c>
      <c r="I31" s="3">
        <f t="shared" si="24"/>
        <v>229362.34973450148</v>
      </c>
      <c r="K31" s="3">
        <f t="shared" si="22"/>
        <v>1500</v>
      </c>
      <c r="L31" s="3"/>
    </row>
    <row r="32" spans="1:39">
      <c r="A32">
        <v>2013</v>
      </c>
      <c r="B32" s="3">
        <f t="shared" si="17"/>
        <v>31.143929334439989</v>
      </c>
      <c r="C32" s="3">
        <f t="shared" si="18"/>
        <v>174942.17816028566</v>
      </c>
      <c r="D32" s="3">
        <f t="shared" si="19"/>
        <v>0</v>
      </c>
      <c r="E32" s="3">
        <v>25</v>
      </c>
      <c r="F32" s="61">
        <f t="shared" si="23"/>
        <v>43735.544540071416</v>
      </c>
      <c r="G32" s="3">
        <f t="shared" si="20"/>
        <v>218677.72270035709</v>
      </c>
      <c r="H32" s="3">
        <f t="shared" si="21"/>
        <v>5835.840979444778</v>
      </c>
      <c r="I32" s="3">
        <f t="shared" si="24"/>
        <v>224513.56367980185</v>
      </c>
      <c r="K32" s="3">
        <f t="shared" si="22"/>
        <v>1500</v>
      </c>
      <c r="L32" s="3"/>
    </row>
    <row r="33" spans="1:22">
      <c r="A33">
        <v>2014</v>
      </c>
      <c r="B33" s="3">
        <f t="shared" si="17"/>
        <v>33.541755956678692</v>
      </c>
      <c r="C33" s="3">
        <f t="shared" si="18"/>
        <v>188472.66964135159</v>
      </c>
      <c r="D33" s="3">
        <f t="shared" si="19"/>
        <v>0</v>
      </c>
      <c r="E33" s="3">
        <v>25</v>
      </c>
      <c r="F33" s="61">
        <f t="shared" si="23"/>
        <v>47118.167410337897</v>
      </c>
      <c r="G33" s="3">
        <f t="shared" si="20"/>
        <v>235590.83705168948</v>
      </c>
      <c r="H33" s="3">
        <f t="shared" si="21"/>
        <v>5757.5224839487437</v>
      </c>
      <c r="I33" s="3">
        <f t="shared" si="24"/>
        <v>241348.35953563821</v>
      </c>
      <c r="K33" s="3">
        <f t="shared" si="22"/>
        <v>1500</v>
      </c>
      <c r="L33" s="3"/>
      <c r="V33" s="167"/>
    </row>
    <row r="34" spans="1:22">
      <c r="A34">
        <v>2015</v>
      </c>
      <c r="B34" s="3">
        <f t="shared" si="17"/>
        <v>30</v>
      </c>
      <c r="C34" s="3">
        <f t="shared" si="18"/>
        <v>201806.01</v>
      </c>
      <c r="D34" s="3">
        <f t="shared" si="19"/>
        <v>0</v>
      </c>
      <c r="E34" s="3">
        <v>25</v>
      </c>
      <c r="F34" s="61">
        <f t="shared" si="23"/>
        <v>50451.502500000002</v>
      </c>
      <c r="G34" s="3">
        <f t="shared" si="20"/>
        <v>252257.51250000001</v>
      </c>
      <c r="H34" s="3">
        <f t="shared" si="21"/>
        <v>5766.841734331063</v>
      </c>
      <c r="I34" s="3">
        <f t="shared" si="24"/>
        <v>258024.35423433108</v>
      </c>
      <c r="K34" s="3">
        <f t="shared" si="22"/>
        <v>1500</v>
      </c>
      <c r="L34" s="3"/>
    </row>
    <row r="35" spans="1:22">
      <c r="A35">
        <v>2016</v>
      </c>
      <c r="B35" s="3">
        <f t="shared" si="17"/>
        <v>30</v>
      </c>
      <c r="C35" s="3">
        <f t="shared" si="18"/>
        <v>201981.12</v>
      </c>
      <c r="D35" s="61">
        <f t="shared" si="19"/>
        <v>70792.448000000004</v>
      </c>
      <c r="E35" s="3">
        <v>25</v>
      </c>
      <c r="F35" s="61">
        <f t="shared" si="23"/>
        <v>50495.28</v>
      </c>
      <c r="G35" s="3">
        <f t="shared" si="20"/>
        <v>323268.848</v>
      </c>
      <c r="H35" s="3">
        <f t="shared" si="21"/>
        <v>5766.421030377056</v>
      </c>
      <c r="I35" s="3">
        <f t="shared" si="24"/>
        <v>329035.26903037704</v>
      </c>
      <c r="K35" s="3">
        <f t="shared" si="22"/>
        <v>1500</v>
      </c>
      <c r="L35" s="3"/>
      <c r="V35" s="167"/>
    </row>
    <row r="36" spans="1:22">
      <c r="A36">
        <v>2017</v>
      </c>
      <c r="B36" s="3">
        <f t="shared" si="17"/>
        <v>30</v>
      </c>
      <c r="C36" s="3">
        <f t="shared" si="18"/>
        <v>197859.09</v>
      </c>
      <c r="D36" s="61">
        <f t="shared" si="19"/>
        <v>118608.40850000001</v>
      </c>
      <c r="E36" s="3">
        <v>25</v>
      </c>
      <c r="F36" s="61">
        <f t="shared" si="23"/>
        <v>49464.772499999999</v>
      </c>
      <c r="G36" s="3">
        <f t="shared" si="20"/>
        <v>365932.27100000001</v>
      </c>
      <c r="H36" s="3">
        <f t="shared" si="21"/>
        <v>5841.7973864898704</v>
      </c>
      <c r="I36" s="3">
        <f t="shared" si="24"/>
        <v>371774.06838648987</v>
      </c>
      <c r="K36" s="3">
        <f t="shared" si="22"/>
        <v>1500</v>
      </c>
      <c r="L36" s="3"/>
      <c r="V36" s="167"/>
    </row>
    <row r="37" spans="1:22">
      <c r="A37">
        <v>2018</v>
      </c>
      <c r="B37" s="3">
        <f t="shared" si="17"/>
        <v>30.592100851060948</v>
      </c>
      <c r="C37" s="3">
        <f t="shared" si="18"/>
        <v>198848.65553189616</v>
      </c>
      <c r="D37" s="61">
        <f t="shared" si="19"/>
        <v>168963.78997870654</v>
      </c>
      <c r="E37" s="3">
        <v>25</v>
      </c>
      <c r="F37" s="61">
        <f t="shared" si="23"/>
        <v>49712.16388297404</v>
      </c>
      <c r="G37" s="3">
        <f t="shared" si="20"/>
        <v>417524.60939357674</v>
      </c>
      <c r="H37" s="3">
        <f t="shared" si="21"/>
        <v>6088.2352941176468</v>
      </c>
      <c r="I37" s="3">
        <f t="shared" si="24"/>
        <v>423612.84468769439</v>
      </c>
      <c r="K37" s="3">
        <f t="shared" si="22"/>
        <v>1500</v>
      </c>
      <c r="L37" s="3"/>
      <c r="V37" s="105"/>
    </row>
    <row r="38" spans="1:22">
      <c r="A38">
        <v>2019</v>
      </c>
      <c r="B38" s="3">
        <f t="shared" si="17"/>
        <v>31.172994053473918</v>
      </c>
      <c r="C38" s="3">
        <f t="shared" si="18"/>
        <v>202624.46134758048</v>
      </c>
      <c r="D38" s="61">
        <f t="shared" si="19"/>
        <v>170100</v>
      </c>
      <c r="E38" s="3">
        <v>25</v>
      </c>
      <c r="F38" s="61">
        <f t="shared" si="23"/>
        <v>50656.11533689512</v>
      </c>
      <c r="G38" s="3">
        <f t="shared" si="20"/>
        <v>423380.57668447559</v>
      </c>
      <c r="H38" s="3">
        <f t="shared" si="21"/>
        <v>6088.2352941176468</v>
      </c>
      <c r="I38" s="3">
        <f t="shared" si="24"/>
        <v>429468.81197859324</v>
      </c>
      <c r="K38" s="3">
        <f t="shared" si="22"/>
        <v>1500</v>
      </c>
      <c r="L38" s="3"/>
      <c r="V38" s="105"/>
    </row>
    <row r="39" spans="1:22">
      <c r="A39">
        <v>2020</v>
      </c>
      <c r="B39" s="3">
        <f t="shared" si="17"/>
        <v>30.985903123425071</v>
      </c>
      <c r="C39" s="3">
        <f t="shared" si="18"/>
        <v>201408.37030226298</v>
      </c>
      <c r="D39" s="3">
        <f t="shared" si="19"/>
        <v>170100</v>
      </c>
      <c r="E39" s="3">
        <v>25</v>
      </c>
      <c r="F39" s="61">
        <f t="shared" si="23"/>
        <v>50352.092575565744</v>
      </c>
      <c r="G39" s="3">
        <f t="shared" si="20"/>
        <v>421860.46287782874</v>
      </c>
      <c r="H39" s="3">
        <f t="shared" si="21"/>
        <v>6088.2352941176468</v>
      </c>
      <c r="I39" s="3">
        <f t="shared" si="24"/>
        <v>427948.69817194639</v>
      </c>
      <c r="K39" s="3">
        <f t="shared" si="22"/>
        <v>1500</v>
      </c>
      <c r="L39" s="3"/>
      <c r="V39" s="105"/>
    </row>
    <row r="40" spans="1:22">
      <c r="A40">
        <v>2021</v>
      </c>
      <c r="B40" s="3">
        <f t="shared" si="17"/>
        <v>30.206708843097807</v>
      </c>
      <c r="C40" s="3">
        <f t="shared" si="18"/>
        <v>196343.60748013575</v>
      </c>
      <c r="D40" s="3">
        <f t="shared" si="19"/>
        <v>170100</v>
      </c>
      <c r="E40" s="3">
        <v>25</v>
      </c>
      <c r="F40" s="61">
        <f t="shared" si="23"/>
        <v>49085.901870033937</v>
      </c>
      <c r="G40" s="3">
        <f t="shared" si="20"/>
        <v>415529.50935016968</v>
      </c>
      <c r="H40" s="3">
        <f t="shared" si="21"/>
        <v>6088.2352941176468</v>
      </c>
      <c r="I40" s="3">
        <f t="shared" si="24"/>
        <v>421617.74464428733</v>
      </c>
      <c r="K40" s="3">
        <f t="shared" si="22"/>
        <v>1500</v>
      </c>
      <c r="L40" s="3"/>
      <c r="V40" s="105"/>
    </row>
    <row r="41" spans="1:22">
      <c r="A41">
        <v>2022</v>
      </c>
      <c r="B41" s="3">
        <f t="shared" si="17"/>
        <v>30.642454642697771</v>
      </c>
      <c r="C41" s="3">
        <f t="shared" si="18"/>
        <v>199175.95517753551</v>
      </c>
      <c r="D41" s="3">
        <f t="shared" si="19"/>
        <v>170100</v>
      </c>
      <c r="E41" s="3">
        <v>25</v>
      </c>
      <c r="F41" s="61">
        <f t="shared" si="23"/>
        <v>49793.988794383877</v>
      </c>
      <c r="G41" s="3">
        <f t="shared" si="20"/>
        <v>419069.94397191936</v>
      </c>
      <c r="H41" s="3">
        <f t="shared" si="21"/>
        <v>6088.2352941176468</v>
      </c>
      <c r="I41" s="3">
        <f t="shared" si="24"/>
        <v>425158.17926603701</v>
      </c>
      <c r="K41" s="3">
        <f t="shared" si="22"/>
        <v>1500</v>
      </c>
      <c r="L41" s="3"/>
      <c r="V41" s="105"/>
    </row>
    <row r="42" spans="1:22">
      <c r="A42">
        <v>2023</v>
      </c>
      <c r="B42" s="3">
        <f t="shared" si="17"/>
        <v>30.361546257811007</v>
      </c>
      <c r="C42" s="3">
        <f t="shared" si="18"/>
        <v>197350.05067577155</v>
      </c>
      <c r="D42" s="3">
        <f t="shared" si="19"/>
        <v>170100</v>
      </c>
      <c r="E42" s="3">
        <v>25</v>
      </c>
      <c r="F42" s="61">
        <f t="shared" si="23"/>
        <v>49337.512668942887</v>
      </c>
      <c r="G42" s="3">
        <f t="shared" si="20"/>
        <v>416787.56334471446</v>
      </c>
      <c r="H42" s="3">
        <f t="shared" si="21"/>
        <v>6088.2352941176468</v>
      </c>
      <c r="I42" s="3">
        <f t="shared" si="24"/>
        <v>422875.79863883212</v>
      </c>
      <c r="K42" s="3">
        <f t="shared" si="22"/>
        <v>1500</v>
      </c>
      <c r="L42" s="3"/>
      <c r="V42" s="105"/>
    </row>
    <row r="43" spans="1:22">
      <c r="A43">
        <v>2024</v>
      </c>
      <c r="B43" s="3">
        <f t="shared" si="17"/>
        <v>29.275640447464834</v>
      </c>
      <c r="C43" s="3">
        <f t="shared" si="18"/>
        <v>190291.66290852142</v>
      </c>
      <c r="D43" s="3">
        <f t="shared" si="19"/>
        <v>170100</v>
      </c>
      <c r="E43" s="3">
        <v>25</v>
      </c>
      <c r="F43" s="61">
        <f t="shared" si="23"/>
        <v>47572.915727130356</v>
      </c>
      <c r="G43" s="3">
        <f t="shared" si="20"/>
        <v>407964.57863565179</v>
      </c>
      <c r="H43" s="3">
        <f t="shared" si="21"/>
        <v>6088.2352941176468</v>
      </c>
      <c r="I43" s="3">
        <f t="shared" si="24"/>
        <v>414052.81392976944</v>
      </c>
      <c r="K43" s="3">
        <f t="shared" si="22"/>
        <v>1500</v>
      </c>
      <c r="L43" s="3"/>
      <c r="V43" s="105"/>
    </row>
    <row r="44" spans="1:22">
      <c r="A44">
        <v>2025</v>
      </c>
      <c r="B44" s="3">
        <f t="shared" si="17"/>
        <v>28.343375828936317</v>
      </c>
      <c r="C44" s="3">
        <f t="shared" si="18"/>
        <v>184231.94288808605</v>
      </c>
      <c r="D44" s="3">
        <f t="shared" si="19"/>
        <v>170100</v>
      </c>
      <c r="E44" s="3">
        <v>25</v>
      </c>
      <c r="F44" s="61">
        <f t="shared" si="23"/>
        <v>46057.985722021513</v>
      </c>
      <c r="G44" s="3">
        <f t="shared" si="20"/>
        <v>400389.92861010757</v>
      </c>
      <c r="H44" s="3">
        <f t="shared" si="21"/>
        <v>6088.2352941176468</v>
      </c>
      <c r="I44" s="3">
        <f t="shared" si="24"/>
        <v>406478.16390422522</v>
      </c>
      <c r="K44" s="3">
        <f t="shared" si="22"/>
        <v>1500</v>
      </c>
      <c r="L44" s="3"/>
      <c r="V44" s="105"/>
    </row>
    <row r="45" spans="1:22">
      <c r="A45">
        <v>2026</v>
      </c>
      <c r="B45" s="3">
        <f t="shared" si="17"/>
        <v>27.812270474504896</v>
      </c>
      <c r="C45" s="3">
        <f t="shared" si="18"/>
        <v>180779.75808428181</v>
      </c>
      <c r="D45" s="3">
        <f t="shared" si="19"/>
        <v>170100</v>
      </c>
      <c r="E45" s="3">
        <v>25</v>
      </c>
      <c r="F45" s="61">
        <f t="shared" si="23"/>
        <v>45194.939521070453</v>
      </c>
      <c r="G45" s="3">
        <f t="shared" si="20"/>
        <v>396074.69760535227</v>
      </c>
      <c r="H45" s="3">
        <f t="shared" si="21"/>
        <v>6088.2352941176468</v>
      </c>
      <c r="I45" s="3">
        <f t="shared" si="24"/>
        <v>402162.93289946992</v>
      </c>
      <c r="K45" s="3">
        <f t="shared" si="22"/>
        <v>1500</v>
      </c>
      <c r="L45" s="3"/>
      <c r="V45" s="105"/>
    </row>
    <row r="46" spans="1:22">
      <c r="A46">
        <v>2027</v>
      </c>
      <c r="B46" s="3">
        <f t="shared" si="17"/>
        <v>27.281165120073478</v>
      </c>
      <c r="C46" s="3">
        <f t="shared" si="18"/>
        <v>177327.57328047761</v>
      </c>
      <c r="D46" s="3">
        <f t="shared" si="19"/>
        <v>170100</v>
      </c>
      <c r="E46" s="3">
        <v>25</v>
      </c>
      <c r="F46" s="61">
        <f t="shared" si="23"/>
        <v>44331.893320119401</v>
      </c>
      <c r="G46" s="3">
        <f t="shared" si="20"/>
        <v>391759.46660059702</v>
      </c>
      <c r="H46" s="3">
        <f t="shared" si="21"/>
        <v>6088.2352941176468</v>
      </c>
      <c r="I46" s="3">
        <f t="shared" si="24"/>
        <v>397847.70189471467</v>
      </c>
      <c r="K46" s="3">
        <f t="shared" si="22"/>
        <v>1500</v>
      </c>
      <c r="L46" s="3"/>
      <c r="V46" s="105"/>
    </row>
    <row r="47" spans="1:22">
      <c r="A47">
        <v>2028</v>
      </c>
      <c r="B47" s="3">
        <f t="shared" si="17"/>
        <v>26.683671596338133</v>
      </c>
      <c r="C47" s="3">
        <f t="shared" si="18"/>
        <v>173443.86537619785</v>
      </c>
      <c r="D47" s="3">
        <f t="shared" si="19"/>
        <v>170100</v>
      </c>
      <c r="E47" s="3">
        <v>25</v>
      </c>
      <c r="F47" s="61">
        <f t="shared" si="23"/>
        <v>43360.966344049462</v>
      </c>
      <c r="G47" s="3">
        <f t="shared" si="20"/>
        <v>386904.83172024728</v>
      </c>
      <c r="H47" s="3">
        <f t="shared" si="21"/>
        <v>6088.2352941176468</v>
      </c>
      <c r="I47" s="3">
        <f t="shared" si="24"/>
        <v>392993.06701436493</v>
      </c>
      <c r="K47" s="3">
        <f t="shared" si="22"/>
        <v>1500</v>
      </c>
      <c r="L47" s="3"/>
      <c r="V47" s="105"/>
    </row>
    <row r="48" spans="1:22">
      <c r="A48">
        <v>2029</v>
      </c>
      <c r="B48" s="3">
        <f t="shared" si="17"/>
        <v>26.152566241906715</v>
      </c>
      <c r="C48" s="3">
        <f t="shared" si="18"/>
        <v>169991.68057239364</v>
      </c>
      <c r="D48" s="3">
        <f t="shared" si="19"/>
        <v>170100</v>
      </c>
      <c r="E48" s="3">
        <v>25</v>
      </c>
      <c r="F48" s="61">
        <f t="shared" si="23"/>
        <v>42497.92014309841</v>
      </c>
      <c r="G48" s="3">
        <f t="shared" si="20"/>
        <v>382589.60071549204</v>
      </c>
      <c r="H48" s="3">
        <f t="shared" si="21"/>
        <v>6088.2352941176468</v>
      </c>
      <c r="I48" s="3">
        <f t="shared" si="24"/>
        <v>388677.83600960969</v>
      </c>
      <c r="K48" s="3">
        <f t="shared" si="22"/>
        <v>1500</v>
      </c>
      <c r="L48" s="3"/>
      <c r="V48" s="105"/>
    </row>
    <row r="49" spans="1:22">
      <c r="A49">
        <v>2030</v>
      </c>
      <c r="B49" s="3">
        <f t="shared" si="17"/>
        <v>25.55507271817137</v>
      </c>
      <c r="C49" s="3">
        <f t="shared" si="18"/>
        <v>166107.97266811391</v>
      </c>
      <c r="D49" s="3">
        <f t="shared" si="19"/>
        <v>170100</v>
      </c>
      <c r="E49" s="3">
        <v>25</v>
      </c>
      <c r="F49" s="61">
        <f t="shared" si="23"/>
        <v>41526.993167028479</v>
      </c>
      <c r="G49" s="3">
        <f t="shared" si="20"/>
        <v>377734.96583514242</v>
      </c>
      <c r="H49" s="3">
        <f t="shared" si="21"/>
        <v>6088.2352941176468</v>
      </c>
      <c r="I49" s="3">
        <f t="shared" si="24"/>
        <v>383823.20112926007</v>
      </c>
      <c r="K49" s="3">
        <f t="shared" si="22"/>
        <v>1500</v>
      </c>
      <c r="L49" s="3"/>
      <c r="V49" s="105"/>
    </row>
    <row r="50" spans="1:22">
      <c r="U50" s="167"/>
    </row>
    <row r="51" spans="1:22">
      <c r="A51" t="s">
        <v>716</v>
      </c>
      <c r="B51" t="s">
        <v>1395</v>
      </c>
      <c r="C51" t="s">
        <v>751</v>
      </c>
      <c r="D51" t="s">
        <v>751</v>
      </c>
      <c r="E51" t="s">
        <v>498</v>
      </c>
      <c r="F51" t="s">
        <v>751</v>
      </c>
      <c r="G51" t="s">
        <v>751</v>
      </c>
    </row>
    <row r="52" spans="1:22">
      <c r="B52" t="s">
        <v>724</v>
      </c>
      <c r="C52" t="s">
        <v>724</v>
      </c>
      <c r="D52" t="s">
        <v>736</v>
      </c>
      <c r="E52" t="s">
        <v>714</v>
      </c>
      <c r="F52" t="s">
        <v>728</v>
      </c>
      <c r="G52" t="s">
        <v>725</v>
      </c>
    </row>
    <row r="53" spans="1:22">
      <c r="A53">
        <v>2009</v>
      </c>
      <c r="B53" s="3">
        <f t="shared" ref="B53:B74" si="25">U3</f>
        <v>23</v>
      </c>
      <c r="C53" s="3">
        <f t="shared" ref="C53:C74" si="26">B53*AD3*1000</f>
        <v>123300.01</v>
      </c>
      <c r="D53" s="3">
        <f t="shared" ref="D53:D59" si="27">112000*1.05+(C53-112000)*1.8</f>
        <v>137940.01799999998</v>
      </c>
      <c r="E53" s="3">
        <v>25</v>
      </c>
      <c r="F53" s="61">
        <f>E53/100*C53</f>
        <v>30825.002499999999</v>
      </c>
      <c r="G53" s="3">
        <f t="shared" ref="G53:G74" si="28">C53+F53+D53</f>
        <v>292065.03049999999</v>
      </c>
      <c r="I53" s="3"/>
      <c r="Q53" t="s">
        <v>745</v>
      </c>
      <c r="R53" t="s">
        <v>748</v>
      </c>
    </row>
    <row r="54" spans="1:22">
      <c r="A54">
        <v>2010</v>
      </c>
      <c r="B54" s="3">
        <f t="shared" si="25"/>
        <v>23</v>
      </c>
      <c r="C54" s="3">
        <f t="shared" si="26"/>
        <v>129353.84</v>
      </c>
      <c r="D54" s="3">
        <f t="shared" si="27"/>
        <v>148836.91199999998</v>
      </c>
      <c r="E54" s="3">
        <v>25</v>
      </c>
      <c r="F54" s="61">
        <f t="shared" ref="F54:F74" si="29">E54/100*C54</f>
        <v>32338.46</v>
      </c>
      <c r="G54" s="3">
        <f t="shared" si="28"/>
        <v>310529.21199999994</v>
      </c>
    </row>
    <row r="55" spans="1:22">
      <c r="A55">
        <v>2011</v>
      </c>
      <c r="B55" s="3">
        <f t="shared" si="25"/>
        <v>23</v>
      </c>
      <c r="C55" s="3">
        <f t="shared" si="26"/>
        <v>123330.07100000001</v>
      </c>
      <c r="D55" s="3">
        <f t="shared" si="27"/>
        <v>137994.12780000002</v>
      </c>
      <c r="E55" s="3">
        <v>25</v>
      </c>
      <c r="F55" s="61">
        <f t="shared" si="29"/>
        <v>30832.517750000003</v>
      </c>
      <c r="G55" s="3">
        <f t="shared" si="28"/>
        <v>292156.71655000001</v>
      </c>
    </row>
    <row r="56" spans="1:22">
      <c r="A56">
        <v>2012</v>
      </c>
      <c r="B56" s="3">
        <f t="shared" si="25"/>
        <v>23</v>
      </c>
      <c r="C56" s="3">
        <f t="shared" si="26"/>
        <v>133335.96799999999</v>
      </c>
      <c r="D56" s="3">
        <f t="shared" si="27"/>
        <v>156004.74239999999</v>
      </c>
      <c r="E56" s="3">
        <v>25</v>
      </c>
      <c r="F56" s="61">
        <f t="shared" si="29"/>
        <v>33333.991999999998</v>
      </c>
      <c r="G56" s="3">
        <f>C56+F56+D56</f>
        <v>322674.70239999995</v>
      </c>
    </row>
    <row r="57" spans="1:22">
      <c r="A57">
        <v>2013</v>
      </c>
      <c r="B57" s="3">
        <f t="shared" si="25"/>
        <v>23</v>
      </c>
      <c r="C57" s="3">
        <f t="shared" si="26"/>
        <v>129195.96799999999</v>
      </c>
      <c r="D57" s="3">
        <f t="shared" si="27"/>
        <v>148552.74239999999</v>
      </c>
      <c r="E57" s="3">
        <v>25</v>
      </c>
      <c r="F57" s="61">
        <f t="shared" si="29"/>
        <v>32298.991999999998</v>
      </c>
      <c r="G57" s="3">
        <f t="shared" si="28"/>
        <v>310047.70239999995</v>
      </c>
    </row>
    <row r="58" spans="1:22">
      <c r="A58">
        <v>2014</v>
      </c>
      <c r="B58" s="3">
        <f t="shared" si="25"/>
        <v>23</v>
      </c>
      <c r="C58" s="3">
        <f t="shared" si="26"/>
        <v>129238.05799999999</v>
      </c>
      <c r="D58" s="3">
        <f t="shared" si="27"/>
        <v>148628.50439999998</v>
      </c>
      <c r="E58" s="3">
        <v>25</v>
      </c>
      <c r="F58" s="61">
        <f t="shared" si="29"/>
        <v>32309.514499999997</v>
      </c>
      <c r="G58" s="3">
        <f t="shared" si="28"/>
        <v>310176.07689999999</v>
      </c>
      <c r="Q58" s="87" t="s">
        <v>770</v>
      </c>
      <c r="R58" s="87"/>
      <c r="S58" s="87"/>
      <c r="T58" s="87"/>
      <c r="U58" s="87"/>
    </row>
    <row r="59" spans="1:22">
      <c r="A59">
        <v>2015</v>
      </c>
      <c r="B59" s="3">
        <f t="shared" si="25"/>
        <v>23</v>
      </c>
      <c r="C59" s="3">
        <f t="shared" si="26"/>
        <v>154717.94099999999</v>
      </c>
      <c r="D59" s="3">
        <f t="shared" si="27"/>
        <v>194492.29379999998</v>
      </c>
      <c r="E59" s="3">
        <v>25</v>
      </c>
      <c r="F59" s="61">
        <f t="shared" si="29"/>
        <v>38679.485249999998</v>
      </c>
      <c r="G59" s="3">
        <f t="shared" si="28"/>
        <v>387889.72005</v>
      </c>
    </row>
    <row r="60" spans="1:22">
      <c r="A60">
        <v>2016</v>
      </c>
      <c r="B60" s="3">
        <f t="shared" si="25"/>
        <v>23</v>
      </c>
      <c r="C60" s="3">
        <f t="shared" si="26"/>
        <v>154852.19200000001</v>
      </c>
      <c r="D60" s="3">
        <f>112000*1.05+(C60-112000)*1.4</f>
        <v>177593.06880000001</v>
      </c>
      <c r="E60" s="3">
        <v>25</v>
      </c>
      <c r="F60" s="61">
        <f t="shared" si="29"/>
        <v>38713.048000000003</v>
      </c>
      <c r="G60" s="3">
        <f t="shared" si="28"/>
        <v>371158.3088</v>
      </c>
    </row>
    <row r="61" spans="1:22">
      <c r="A61">
        <v>2017</v>
      </c>
      <c r="B61" s="3">
        <f t="shared" si="25"/>
        <v>23</v>
      </c>
      <c r="C61" s="3">
        <f t="shared" si="26"/>
        <v>151691.96900000001</v>
      </c>
      <c r="D61" s="3">
        <f t="shared" ref="D61:D74" si="30">112000*1.05+(C61-112000)*1.4</f>
        <v>173168.75660000002</v>
      </c>
      <c r="E61" s="3">
        <v>25</v>
      </c>
      <c r="F61" s="61">
        <f t="shared" si="29"/>
        <v>37922.992250000003</v>
      </c>
      <c r="G61" s="3">
        <f t="shared" si="28"/>
        <v>362783.71785000002</v>
      </c>
    </row>
    <row r="62" spans="1:22">
      <c r="A62">
        <v>2018</v>
      </c>
      <c r="B62" s="3">
        <f t="shared" si="25"/>
        <v>23</v>
      </c>
      <c r="C62" s="3">
        <f t="shared" si="26"/>
        <v>149500</v>
      </c>
      <c r="D62" s="3">
        <f t="shared" si="30"/>
        <v>170100</v>
      </c>
      <c r="E62" s="3">
        <v>25</v>
      </c>
      <c r="F62" s="61">
        <f t="shared" si="29"/>
        <v>37375</v>
      </c>
      <c r="G62" s="3">
        <f t="shared" si="28"/>
        <v>356975</v>
      </c>
    </row>
    <row r="63" spans="1:22">
      <c r="A63">
        <v>2019</v>
      </c>
      <c r="B63" s="3">
        <f t="shared" si="25"/>
        <v>23</v>
      </c>
      <c r="C63" s="3">
        <f t="shared" si="26"/>
        <v>149500</v>
      </c>
      <c r="D63" s="3">
        <f t="shared" si="30"/>
        <v>170100</v>
      </c>
      <c r="E63" s="3">
        <v>25</v>
      </c>
      <c r="F63" s="61">
        <f t="shared" si="29"/>
        <v>37375</v>
      </c>
      <c r="G63" s="3">
        <f t="shared" si="28"/>
        <v>356975</v>
      </c>
    </row>
    <row r="64" spans="1:22">
      <c r="A64">
        <v>2020</v>
      </c>
      <c r="B64" s="3">
        <f t="shared" si="25"/>
        <v>23</v>
      </c>
      <c r="C64" s="3">
        <f t="shared" si="26"/>
        <v>149500</v>
      </c>
      <c r="D64" s="3">
        <f t="shared" si="30"/>
        <v>170100</v>
      </c>
      <c r="E64" s="3">
        <v>25</v>
      </c>
      <c r="F64" s="61">
        <f t="shared" si="29"/>
        <v>37375</v>
      </c>
      <c r="G64" s="3">
        <f t="shared" si="28"/>
        <v>356975</v>
      </c>
    </row>
    <row r="65" spans="1:30">
      <c r="A65">
        <v>2021</v>
      </c>
      <c r="B65" s="3">
        <f t="shared" si="25"/>
        <v>23</v>
      </c>
      <c r="C65" s="3">
        <f t="shared" si="26"/>
        <v>149500</v>
      </c>
      <c r="D65" s="3">
        <f t="shared" si="30"/>
        <v>170100</v>
      </c>
      <c r="E65" s="3">
        <v>25</v>
      </c>
      <c r="F65" s="61">
        <f t="shared" si="29"/>
        <v>37375</v>
      </c>
      <c r="G65" s="3">
        <f t="shared" si="28"/>
        <v>356975</v>
      </c>
    </row>
    <row r="66" spans="1:30">
      <c r="A66">
        <v>2022</v>
      </c>
      <c r="B66" s="3">
        <f t="shared" si="25"/>
        <v>23</v>
      </c>
      <c r="C66" s="3">
        <f t="shared" si="26"/>
        <v>149500</v>
      </c>
      <c r="D66" s="3">
        <f t="shared" si="30"/>
        <v>170100</v>
      </c>
      <c r="E66" s="3">
        <v>25</v>
      </c>
      <c r="F66" s="61">
        <f t="shared" si="29"/>
        <v>37375</v>
      </c>
      <c r="G66" s="3">
        <f t="shared" si="28"/>
        <v>356975</v>
      </c>
    </row>
    <row r="67" spans="1:30">
      <c r="A67">
        <v>2023</v>
      </c>
      <c r="B67" s="3">
        <f t="shared" si="25"/>
        <v>23</v>
      </c>
      <c r="C67" s="3">
        <f t="shared" si="26"/>
        <v>149500</v>
      </c>
      <c r="D67" s="3">
        <f t="shared" si="30"/>
        <v>170100</v>
      </c>
      <c r="E67" s="3">
        <v>25</v>
      </c>
      <c r="F67" s="61">
        <f t="shared" si="29"/>
        <v>37375</v>
      </c>
      <c r="G67" s="3">
        <f t="shared" si="28"/>
        <v>356975</v>
      </c>
    </row>
    <row r="68" spans="1:30">
      <c r="A68">
        <v>2024</v>
      </c>
      <c r="B68" s="3">
        <f t="shared" si="25"/>
        <v>23</v>
      </c>
      <c r="C68" s="3">
        <f t="shared" si="26"/>
        <v>149500</v>
      </c>
      <c r="D68" s="3">
        <f t="shared" si="30"/>
        <v>170100</v>
      </c>
      <c r="E68" s="3">
        <v>25</v>
      </c>
      <c r="F68" s="61">
        <f t="shared" si="29"/>
        <v>37375</v>
      </c>
      <c r="G68" s="3">
        <f t="shared" si="28"/>
        <v>356975</v>
      </c>
    </row>
    <row r="69" spans="1:30">
      <c r="A69">
        <v>2025</v>
      </c>
      <c r="B69" s="3">
        <f t="shared" si="25"/>
        <v>23</v>
      </c>
      <c r="C69" s="3">
        <f t="shared" si="26"/>
        <v>149500</v>
      </c>
      <c r="D69" s="3">
        <f t="shared" si="30"/>
        <v>170100</v>
      </c>
      <c r="E69" s="3">
        <v>25</v>
      </c>
      <c r="F69" s="61">
        <f t="shared" si="29"/>
        <v>37375</v>
      </c>
      <c r="G69" s="3">
        <f t="shared" si="28"/>
        <v>356975</v>
      </c>
    </row>
    <row r="70" spans="1:30">
      <c r="A70">
        <v>2026</v>
      </c>
      <c r="B70" s="3">
        <f t="shared" si="25"/>
        <v>23</v>
      </c>
      <c r="C70" s="3">
        <f t="shared" si="26"/>
        <v>149500</v>
      </c>
      <c r="D70" s="3">
        <f t="shared" si="30"/>
        <v>170100</v>
      </c>
      <c r="E70" s="3">
        <v>25</v>
      </c>
      <c r="F70" s="61">
        <f t="shared" si="29"/>
        <v>37375</v>
      </c>
      <c r="G70" s="3">
        <f t="shared" si="28"/>
        <v>356975</v>
      </c>
    </row>
    <row r="71" spans="1:30">
      <c r="A71">
        <v>2027</v>
      </c>
      <c r="B71" s="3">
        <f t="shared" si="25"/>
        <v>23</v>
      </c>
      <c r="C71" s="3">
        <f t="shared" si="26"/>
        <v>149500</v>
      </c>
      <c r="D71" s="3">
        <f t="shared" si="30"/>
        <v>170100</v>
      </c>
      <c r="E71" s="3">
        <v>25</v>
      </c>
      <c r="F71" s="61">
        <f t="shared" si="29"/>
        <v>37375</v>
      </c>
      <c r="G71" s="3">
        <f t="shared" si="28"/>
        <v>356975</v>
      </c>
    </row>
    <row r="72" spans="1:30">
      <c r="A72">
        <v>2028</v>
      </c>
      <c r="B72" s="3">
        <f t="shared" si="25"/>
        <v>23</v>
      </c>
      <c r="C72" s="3">
        <f t="shared" si="26"/>
        <v>149500</v>
      </c>
      <c r="D72" s="3">
        <f t="shared" si="30"/>
        <v>170100</v>
      </c>
      <c r="E72" s="3">
        <v>25</v>
      </c>
      <c r="F72" s="61">
        <f t="shared" si="29"/>
        <v>37375</v>
      </c>
      <c r="G72" s="3">
        <f t="shared" si="28"/>
        <v>356975</v>
      </c>
    </row>
    <row r="73" spans="1:30">
      <c r="A73">
        <v>2029</v>
      </c>
      <c r="B73" s="3">
        <f t="shared" si="25"/>
        <v>23</v>
      </c>
      <c r="C73" s="3">
        <f t="shared" si="26"/>
        <v>149500</v>
      </c>
      <c r="D73" s="3">
        <f t="shared" si="30"/>
        <v>170100</v>
      </c>
      <c r="E73" s="3">
        <v>25</v>
      </c>
      <c r="F73" s="61">
        <f t="shared" si="29"/>
        <v>37375</v>
      </c>
      <c r="G73" s="3">
        <f t="shared" si="28"/>
        <v>356975</v>
      </c>
    </row>
    <row r="74" spans="1:30">
      <c r="A74">
        <v>2030</v>
      </c>
      <c r="B74" s="3">
        <f t="shared" si="25"/>
        <v>23</v>
      </c>
      <c r="C74" s="3">
        <f t="shared" si="26"/>
        <v>149500</v>
      </c>
      <c r="D74" s="3">
        <f t="shared" si="30"/>
        <v>170100</v>
      </c>
      <c r="E74" s="3">
        <v>25</v>
      </c>
      <c r="F74" s="61">
        <f t="shared" si="29"/>
        <v>37375</v>
      </c>
      <c r="G74" s="3">
        <f t="shared" si="28"/>
        <v>356975</v>
      </c>
    </row>
    <row r="76" spans="1:30">
      <c r="AA76" s="87" t="s">
        <v>1221</v>
      </c>
      <c r="AB76" s="87"/>
      <c r="AC76" s="87"/>
      <c r="AD76" s="234"/>
    </row>
    <row r="77" spans="1:30">
      <c r="AA77" s="235" t="s">
        <v>1167</v>
      </c>
      <c r="AB77" s="235" t="s">
        <v>1168</v>
      </c>
      <c r="AC77" s="235" t="s">
        <v>1169</v>
      </c>
      <c r="AD77" s="235" t="s">
        <v>1170</v>
      </c>
    </row>
    <row r="78" spans="1:30">
      <c r="B78" t="s">
        <v>980</v>
      </c>
      <c r="C78" t="s">
        <v>980</v>
      </c>
      <c r="D78" t="s">
        <v>980</v>
      </c>
      <c r="E78" t="s">
        <v>980</v>
      </c>
      <c r="F78" t="s">
        <v>980</v>
      </c>
      <c r="J78" t="s">
        <v>812</v>
      </c>
      <c r="K78" t="s">
        <v>812</v>
      </c>
      <c r="L78" t="s">
        <v>812</v>
      </c>
      <c r="M78" t="s">
        <v>812</v>
      </c>
      <c r="N78" t="s">
        <v>812</v>
      </c>
      <c r="U78" t="s">
        <v>1046</v>
      </c>
      <c r="V78" t="s">
        <v>988</v>
      </c>
      <c r="Z78" s="3">
        <v>2010</v>
      </c>
      <c r="AA78" s="13">
        <v>11.613213624328614</v>
      </c>
      <c r="AB78" s="13">
        <f t="shared" ref="AB78:AD78" si="31">AA78</f>
        <v>11.613213624328614</v>
      </c>
      <c r="AC78" s="13">
        <f t="shared" si="31"/>
        <v>11.613213624328614</v>
      </c>
      <c r="AD78" s="13">
        <f t="shared" si="31"/>
        <v>11.613213624328614</v>
      </c>
    </row>
    <row r="79" spans="1:30">
      <c r="B79" t="s">
        <v>978</v>
      </c>
      <c r="C79" t="s">
        <v>979</v>
      </c>
      <c r="D79" t="s">
        <v>916</v>
      </c>
      <c r="E79" t="s">
        <v>981</v>
      </c>
      <c r="F79" t="s">
        <v>983</v>
      </c>
      <c r="J79" t="s">
        <v>725</v>
      </c>
      <c r="K79" t="s">
        <v>979</v>
      </c>
      <c r="L79" t="s">
        <v>916</v>
      </c>
      <c r="M79" t="s">
        <v>985</v>
      </c>
      <c r="N79" t="s">
        <v>983</v>
      </c>
      <c r="R79" t="s">
        <v>997</v>
      </c>
      <c r="S79" t="s">
        <v>984</v>
      </c>
      <c r="U79" t="s">
        <v>934</v>
      </c>
      <c r="V79" t="s">
        <v>934</v>
      </c>
      <c r="W79" t="s">
        <v>986</v>
      </c>
      <c r="X79" t="s">
        <v>987</v>
      </c>
      <c r="Z79" s="3">
        <v>2011</v>
      </c>
      <c r="AA79" s="13">
        <v>12.759047004852791</v>
      </c>
      <c r="AB79" s="13">
        <f t="shared" ref="AB79:AD79" si="32">AA79</f>
        <v>12.759047004852791</v>
      </c>
      <c r="AC79" s="13">
        <f t="shared" si="32"/>
        <v>12.759047004852791</v>
      </c>
      <c r="AD79" s="13">
        <f t="shared" si="32"/>
        <v>12.759047004852791</v>
      </c>
    </row>
    <row r="80" spans="1:30">
      <c r="A80" s="3">
        <v>2012</v>
      </c>
      <c r="B80" s="3">
        <f t="shared" ref="B80:B98" si="33">MIN(I6,I31)</f>
        <v>229362.34973450148</v>
      </c>
      <c r="C80" s="3">
        <f>B80/5</f>
        <v>45872.469946900295</v>
      </c>
      <c r="D80" s="3">
        <f>B80*0.13</f>
        <v>29817.105465485194</v>
      </c>
      <c r="E80" s="3">
        <f t="shared" ref="E80:E98" si="34">AVERAGE(K6,K31)</f>
        <v>2250</v>
      </c>
      <c r="F80" s="3">
        <f>C80+D80-E80</f>
        <v>73439.575412385486</v>
      </c>
      <c r="G80" s="3"/>
      <c r="H80" s="3"/>
      <c r="I80" s="3">
        <v>2012</v>
      </c>
      <c r="J80" s="3">
        <f>G56</f>
        <v>322674.70239999995</v>
      </c>
      <c r="K80" s="3">
        <f>J80/5</f>
        <v>64534.94047999999</v>
      </c>
      <c r="L80" s="3">
        <f>J80*0.13</f>
        <v>41947.711311999992</v>
      </c>
      <c r="M80" s="3">
        <f t="shared" ref="M80:M108" si="35">X80/100*W80*U80</f>
        <v>13581.887128175757</v>
      </c>
      <c r="N80" s="3">
        <f>SUM(K80:M80)</f>
        <v>120064.53892017575</v>
      </c>
      <c r="O80" s="3"/>
      <c r="P80" s="3"/>
      <c r="Q80" s="3">
        <v>2012</v>
      </c>
      <c r="R80" s="13">
        <f>N80/F80</f>
        <v>1.6348751779401904</v>
      </c>
      <c r="S80" s="13">
        <f>F80/N80</f>
        <v>0.61166749210781868</v>
      </c>
      <c r="T80" s="3"/>
      <c r="U80" s="13">
        <f>AC80</f>
        <v>13.149977153707399</v>
      </c>
      <c r="V80" s="13">
        <f>'Country Petrol Prices'!G84</f>
        <v>2.3366383063651321</v>
      </c>
      <c r="W80" s="12">
        <f>'Country L per 100 km'!G7</f>
        <v>5.643961322634194</v>
      </c>
      <c r="X80" s="3">
        <f>'Country distance travelled'!G7</f>
        <v>18300</v>
      </c>
      <c r="Z80" s="3">
        <v>2012</v>
      </c>
      <c r="AA80" s="13">
        <v>13.149977153707399</v>
      </c>
      <c r="AB80" s="13">
        <f t="shared" ref="AB80:AD80" si="36">AA80</f>
        <v>13.149977153707399</v>
      </c>
      <c r="AC80" s="13">
        <f t="shared" si="36"/>
        <v>13.149977153707399</v>
      </c>
      <c r="AD80" s="13">
        <f t="shared" si="36"/>
        <v>13.149977153707399</v>
      </c>
    </row>
    <row r="81" spans="1:30">
      <c r="A81" s="3">
        <v>2013</v>
      </c>
      <c r="B81" s="3">
        <f t="shared" si="33"/>
        <v>224513.56367980185</v>
      </c>
      <c r="C81" s="3">
        <f t="shared" ref="C81:C98" si="37">B81/5</f>
        <v>44902.712735960369</v>
      </c>
      <c r="D81" s="3">
        <f t="shared" ref="D81:D98" si="38">B81*0.13</f>
        <v>29186.763278374241</v>
      </c>
      <c r="E81" s="3">
        <f t="shared" si="34"/>
        <v>2250</v>
      </c>
      <c r="F81" s="3">
        <f t="shared" ref="F81:F98" si="39">C81+D81-E81</f>
        <v>71839.476014334607</v>
      </c>
      <c r="G81" s="3"/>
      <c r="H81" s="3"/>
      <c r="I81" s="3">
        <v>2013</v>
      </c>
      <c r="J81" s="3">
        <f t="shared" ref="J81:J98" si="40">G57</f>
        <v>310047.70239999995</v>
      </c>
      <c r="K81" s="3">
        <f t="shared" ref="K81:K98" si="41">J81/5</f>
        <v>62009.540479999989</v>
      </c>
      <c r="L81" s="3">
        <f t="shared" ref="L81:L98" si="42">J81*0.13</f>
        <v>40306.201311999997</v>
      </c>
      <c r="M81" s="3">
        <f t="shared" si="35"/>
        <v>13149.295033362434</v>
      </c>
      <c r="N81" s="3">
        <f t="shared" ref="N81:N97" si="43">SUM(K81:M81)</f>
        <v>115465.03682536242</v>
      </c>
      <c r="O81" s="3"/>
      <c r="P81" s="3"/>
      <c r="Q81" s="3">
        <v>2013</v>
      </c>
      <c r="R81" s="13">
        <f t="shared" ref="R81:R98" si="44">N81/F81</f>
        <v>1.6072644628187838</v>
      </c>
      <c r="S81" s="13">
        <f t="shared" ref="S81:S98" si="45">F81/N81</f>
        <v>0.62217514487082159</v>
      </c>
      <c r="T81" s="3"/>
      <c r="U81" s="13">
        <f t="shared" ref="U81:U98" si="46">AC81</f>
        <v>12.831084146528527</v>
      </c>
      <c r="V81" s="13">
        <f>'Country Petrol Prices'!G85</f>
        <v>2.3373643972157425</v>
      </c>
      <c r="W81" s="12">
        <f>'Country L per 100 km'!G8</f>
        <v>5.6</v>
      </c>
      <c r="X81" s="3">
        <f>'Country distance travelled'!G8</f>
        <v>18300</v>
      </c>
      <c r="Z81" s="3">
        <v>2013</v>
      </c>
      <c r="AA81" s="13">
        <v>12.831084146528527</v>
      </c>
      <c r="AB81" s="13">
        <f t="shared" ref="AB81:AD81" si="47">AA81</f>
        <v>12.831084146528527</v>
      </c>
      <c r="AC81" s="13">
        <f t="shared" si="47"/>
        <v>12.831084146528527</v>
      </c>
      <c r="AD81" s="13">
        <f t="shared" si="47"/>
        <v>12.831084146528527</v>
      </c>
    </row>
    <row r="82" spans="1:30">
      <c r="A82" s="3">
        <v>2014</v>
      </c>
      <c r="B82" s="3">
        <f t="shared" si="33"/>
        <v>241348.35953563821</v>
      </c>
      <c r="C82" s="3">
        <f t="shared" si="37"/>
        <v>48269.671907127646</v>
      </c>
      <c r="D82" s="3">
        <f t="shared" si="38"/>
        <v>31375.286739632968</v>
      </c>
      <c r="E82" s="3">
        <f t="shared" si="34"/>
        <v>2250</v>
      </c>
      <c r="F82" s="3">
        <f t="shared" si="39"/>
        <v>77394.958646760613</v>
      </c>
      <c r="G82" s="3"/>
      <c r="H82" s="3"/>
      <c r="I82" s="3">
        <v>2014</v>
      </c>
      <c r="J82" s="3">
        <f t="shared" si="40"/>
        <v>310176.07689999999</v>
      </c>
      <c r="K82" s="3">
        <f t="shared" si="41"/>
        <v>62035.215379999994</v>
      </c>
      <c r="L82" s="3">
        <f t="shared" si="42"/>
        <v>40322.889996999998</v>
      </c>
      <c r="M82" s="3">
        <f t="shared" si="35"/>
        <v>12599.235809135025</v>
      </c>
      <c r="N82" s="3">
        <f t="shared" si="43"/>
        <v>114957.34118613502</v>
      </c>
      <c r="O82" s="3"/>
      <c r="P82" s="3"/>
      <c r="Q82" s="3">
        <v>2014</v>
      </c>
      <c r="R82" s="13">
        <f t="shared" si="44"/>
        <v>1.4853337116027594</v>
      </c>
      <c r="S82" s="13">
        <f t="shared" si="45"/>
        <v>0.67324937971073395</v>
      </c>
      <c r="T82" s="3"/>
      <c r="U82" s="13">
        <f t="shared" si="46"/>
        <v>12.441868304883535</v>
      </c>
      <c r="V82" s="13">
        <f>'Country Petrol Prices'!G86</f>
        <v>2.2421325911611842</v>
      </c>
      <c r="W82" s="12">
        <f>'Country L per 100 km'!G9</f>
        <v>5.5335968379446632</v>
      </c>
      <c r="X82" s="3">
        <f>'Country distance travelled'!G9</f>
        <v>18300</v>
      </c>
      <c r="Z82" s="3">
        <v>2014</v>
      </c>
      <c r="AA82" s="13">
        <v>12.441868304883535</v>
      </c>
      <c r="AB82" s="13">
        <f t="shared" ref="AB82:AD82" si="48">AA82</f>
        <v>12.441868304883535</v>
      </c>
      <c r="AC82" s="13">
        <f t="shared" si="48"/>
        <v>12.441868304883535</v>
      </c>
      <c r="AD82" s="13">
        <f t="shared" si="48"/>
        <v>12.441868304883535</v>
      </c>
    </row>
    <row r="83" spans="1:30">
      <c r="A83" s="3">
        <v>2015</v>
      </c>
      <c r="B83" s="3">
        <f t="shared" si="33"/>
        <v>258024.35423433108</v>
      </c>
      <c r="C83" s="3">
        <f t="shared" si="37"/>
        <v>51604.870846866215</v>
      </c>
      <c r="D83" s="3">
        <f t="shared" si="38"/>
        <v>33543.166050463042</v>
      </c>
      <c r="E83" s="3">
        <f t="shared" si="34"/>
        <v>2250</v>
      </c>
      <c r="F83" s="3">
        <f t="shared" si="39"/>
        <v>82898.036897329264</v>
      </c>
      <c r="G83" s="3"/>
      <c r="H83" s="3"/>
      <c r="I83" s="3">
        <v>2015</v>
      </c>
      <c r="J83" s="3">
        <f t="shared" si="40"/>
        <v>387889.72005</v>
      </c>
      <c r="K83" s="3">
        <f t="shared" si="41"/>
        <v>77577.944010000007</v>
      </c>
      <c r="L83" s="3">
        <f t="shared" si="42"/>
        <v>50425.663606500006</v>
      </c>
      <c r="M83" s="3">
        <f t="shared" si="35"/>
        <v>11329.293766930867</v>
      </c>
      <c r="N83" s="3">
        <f t="shared" si="43"/>
        <v>139332.90138343087</v>
      </c>
      <c r="O83" s="3"/>
      <c r="P83" s="3"/>
      <c r="Q83" s="3">
        <v>2015</v>
      </c>
      <c r="R83" s="13">
        <f t="shared" si="44"/>
        <v>1.6807744380726075</v>
      </c>
      <c r="S83" s="13">
        <f t="shared" si="45"/>
        <v>0.59496383176003609</v>
      </c>
      <c r="T83" s="3"/>
      <c r="U83" s="13">
        <f t="shared" si="46"/>
        <v>11.310853815717712</v>
      </c>
      <c r="V83" s="13">
        <f>'Country Petrol Prices'!G87</f>
        <v>1.7083009325255996</v>
      </c>
      <c r="W83" s="12">
        <f>'Country L per 100 km'!G10</f>
        <v>5.4733895528631695</v>
      </c>
      <c r="X83" s="3">
        <f>'Country distance travelled'!G10</f>
        <v>18300</v>
      </c>
      <c r="Z83" s="3">
        <v>2015</v>
      </c>
      <c r="AA83" s="13">
        <v>11.310853815717712</v>
      </c>
      <c r="AB83" s="13">
        <f t="shared" ref="AB83:AD83" si="49">AA83</f>
        <v>11.310853815717712</v>
      </c>
      <c r="AC83" s="13">
        <f t="shared" si="49"/>
        <v>11.310853815717712</v>
      </c>
      <c r="AD83" s="13">
        <f t="shared" si="49"/>
        <v>11.310853815717712</v>
      </c>
    </row>
    <row r="84" spans="1:30">
      <c r="A84" s="3">
        <v>2016</v>
      </c>
      <c r="B84" s="3">
        <f t="shared" si="33"/>
        <v>329035.26903037704</v>
      </c>
      <c r="C84" s="3">
        <f t="shared" si="37"/>
        <v>65807.053806075404</v>
      </c>
      <c r="D84" s="3">
        <f t="shared" si="38"/>
        <v>42774.584973949015</v>
      </c>
      <c r="E84" s="3">
        <f t="shared" si="34"/>
        <v>2250</v>
      </c>
      <c r="F84" s="3">
        <f t="shared" si="39"/>
        <v>106331.63878002443</v>
      </c>
      <c r="G84" s="3"/>
      <c r="H84" s="3"/>
      <c r="I84" s="3">
        <v>2016</v>
      </c>
      <c r="J84" s="3">
        <f t="shared" si="40"/>
        <v>371158.3088</v>
      </c>
      <c r="K84" s="3">
        <f t="shared" si="41"/>
        <v>74231.661760000003</v>
      </c>
      <c r="L84" s="3">
        <f t="shared" si="42"/>
        <v>48250.580144</v>
      </c>
      <c r="M84" s="3">
        <f t="shared" si="35"/>
        <v>10527.696894285389</v>
      </c>
      <c r="N84" s="3">
        <f t="shared" si="43"/>
        <v>133009.93879828538</v>
      </c>
      <c r="O84" s="3"/>
      <c r="P84" s="3"/>
      <c r="Q84" s="3">
        <v>2016</v>
      </c>
      <c r="R84" s="13">
        <f t="shared" si="44"/>
        <v>1.2508971019759434</v>
      </c>
      <c r="S84" s="13">
        <f t="shared" si="45"/>
        <v>0.79942626649336623</v>
      </c>
      <c r="T84" s="3"/>
      <c r="U84" s="13">
        <f t="shared" si="46"/>
        <v>10.615667266425096</v>
      </c>
      <c r="V84" s="13">
        <f>'Country Petrol Prices'!G88</f>
        <v>1.5821874360007044</v>
      </c>
      <c r="W84" s="12">
        <f>'Country L per 100 km'!G11</f>
        <v>5.4191975770922465</v>
      </c>
      <c r="X84" s="3">
        <f>'Country distance travelled'!G11</f>
        <v>18300</v>
      </c>
      <c r="Z84" s="3">
        <v>2016</v>
      </c>
      <c r="AA84" s="13">
        <v>10.615667266425096</v>
      </c>
      <c r="AB84" s="13">
        <f t="shared" ref="AB84:AD84" si="50">AA84</f>
        <v>10.615667266425096</v>
      </c>
      <c r="AC84" s="13">
        <f t="shared" si="50"/>
        <v>10.615667266425096</v>
      </c>
      <c r="AD84" s="13">
        <f t="shared" si="50"/>
        <v>10.615667266425096</v>
      </c>
    </row>
    <row r="85" spans="1:30">
      <c r="A85" s="3">
        <v>2017</v>
      </c>
      <c r="B85" s="3">
        <f t="shared" si="33"/>
        <v>371774.06838648987</v>
      </c>
      <c r="C85" s="3">
        <f t="shared" si="37"/>
        <v>74354.813677297978</v>
      </c>
      <c r="D85" s="3">
        <f t="shared" si="38"/>
        <v>48330.628890243686</v>
      </c>
      <c r="E85" s="3">
        <f t="shared" si="34"/>
        <v>2250</v>
      </c>
      <c r="F85" s="3">
        <f t="shared" si="39"/>
        <v>120435.44256754167</v>
      </c>
      <c r="G85" s="3"/>
      <c r="H85" s="3"/>
      <c r="I85" s="3">
        <v>2017</v>
      </c>
      <c r="J85" s="3">
        <f t="shared" si="40"/>
        <v>362783.71785000002</v>
      </c>
      <c r="K85" s="3">
        <f t="shared" si="41"/>
        <v>72556.743570000006</v>
      </c>
      <c r="L85" s="3">
        <f t="shared" si="42"/>
        <v>47161.883320500005</v>
      </c>
      <c r="M85" s="3">
        <f t="shared" si="35"/>
        <v>10924.520374233758</v>
      </c>
      <c r="N85" s="3">
        <f t="shared" si="43"/>
        <v>130643.14726473378</v>
      </c>
      <c r="O85" s="3"/>
      <c r="P85" s="3"/>
      <c r="Q85" s="3">
        <v>2017</v>
      </c>
      <c r="R85" s="13">
        <f t="shared" si="44"/>
        <v>1.0847566503645096</v>
      </c>
      <c r="S85" s="13">
        <f t="shared" si="45"/>
        <v>0.92186574718299363</v>
      </c>
      <c r="T85" s="3"/>
      <c r="U85" s="13">
        <f t="shared" si="46"/>
        <v>11.125964705073281</v>
      </c>
      <c r="V85" s="13">
        <f>'Country Petrol Prices'!G89</f>
        <v>1.6875646198514307</v>
      </c>
      <c r="W85" s="12">
        <f>'Country L per 100 km'!G12</f>
        <v>5.3655421555368772</v>
      </c>
      <c r="X85" s="3">
        <f>'Country distance travelled'!G12</f>
        <v>18300</v>
      </c>
      <c r="Z85" s="3">
        <v>2017</v>
      </c>
      <c r="AA85" s="13">
        <v>11.125964705073281</v>
      </c>
      <c r="AB85" s="13">
        <f t="shared" ref="AB85:AD85" si="51">AA85</f>
        <v>11.125964705073281</v>
      </c>
      <c r="AC85" s="13">
        <f t="shared" si="51"/>
        <v>11.125964705073281</v>
      </c>
      <c r="AD85" s="13">
        <f t="shared" si="51"/>
        <v>11.125964705073281</v>
      </c>
    </row>
    <row r="86" spans="1:30">
      <c r="A86" s="3">
        <v>2018</v>
      </c>
      <c r="B86" s="3">
        <f t="shared" si="33"/>
        <v>423612.84468769439</v>
      </c>
      <c r="C86" s="3">
        <f t="shared" si="37"/>
        <v>84722.568937538876</v>
      </c>
      <c r="D86" s="3">
        <f t="shared" si="38"/>
        <v>55069.669809400271</v>
      </c>
      <c r="E86" s="3">
        <f t="shared" si="34"/>
        <v>2250</v>
      </c>
      <c r="F86" s="3">
        <f t="shared" si="39"/>
        <v>137542.23874693914</v>
      </c>
      <c r="G86" s="3"/>
      <c r="H86" s="3"/>
      <c r="I86" s="3">
        <v>2018</v>
      </c>
      <c r="J86" s="3">
        <f t="shared" si="40"/>
        <v>356975</v>
      </c>
      <c r="K86" s="3">
        <f t="shared" si="41"/>
        <v>71395</v>
      </c>
      <c r="L86" s="3">
        <f t="shared" si="42"/>
        <v>46406.75</v>
      </c>
      <c r="M86" s="3">
        <f t="shared" si="35"/>
        <v>11449.015292202677</v>
      </c>
      <c r="N86" s="3">
        <f t="shared" si="43"/>
        <v>129250.76529220268</v>
      </c>
      <c r="O86" s="3"/>
      <c r="P86" s="3"/>
      <c r="Q86" s="3">
        <v>2018</v>
      </c>
      <c r="R86" s="13">
        <f t="shared" si="44"/>
        <v>0.93971689329565333</v>
      </c>
      <c r="S86" s="13">
        <f t="shared" si="45"/>
        <v>1.0641502851916704</v>
      </c>
      <c r="T86" s="3"/>
      <c r="U86" s="13">
        <f t="shared" si="46"/>
        <v>11.776732436951857</v>
      </c>
      <c r="V86" s="13">
        <f>V82</f>
        <v>2.2421325911611842</v>
      </c>
      <c r="W86" s="12">
        <f>'Country L per 100 km'!G13</f>
        <v>5.3124179757790868</v>
      </c>
      <c r="X86" s="3">
        <f>'Country distance travelled'!G13</f>
        <v>18300</v>
      </c>
      <c r="Z86" s="3">
        <v>2018</v>
      </c>
      <c r="AA86" s="13">
        <v>11.776732436951857</v>
      </c>
      <c r="AB86" s="13">
        <f>AA86</f>
        <v>11.776732436951857</v>
      </c>
      <c r="AC86" s="13">
        <f t="shared" ref="AC86:AD86" si="52">AB86</f>
        <v>11.776732436951857</v>
      </c>
      <c r="AD86" s="13">
        <f t="shared" si="52"/>
        <v>11.776732436951857</v>
      </c>
    </row>
    <row r="87" spans="1:30">
      <c r="A87" s="3">
        <v>2019</v>
      </c>
      <c r="B87" s="3">
        <f t="shared" si="33"/>
        <v>429468.81197859324</v>
      </c>
      <c r="C87" s="3">
        <f t="shared" si="37"/>
        <v>85893.762395718644</v>
      </c>
      <c r="D87" s="3">
        <f t="shared" si="38"/>
        <v>55830.945557217121</v>
      </c>
      <c r="E87" s="3">
        <f t="shared" si="34"/>
        <v>2250</v>
      </c>
      <c r="F87" s="3">
        <f t="shared" si="39"/>
        <v>139474.70795293577</v>
      </c>
      <c r="G87" s="3"/>
      <c r="H87" s="3"/>
      <c r="I87" s="3">
        <v>2019</v>
      </c>
      <c r="J87" s="3">
        <f t="shared" si="40"/>
        <v>356975</v>
      </c>
      <c r="K87" s="3">
        <f t="shared" si="41"/>
        <v>71395</v>
      </c>
      <c r="L87" s="3">
        <f t="shared" si="42"/>
        <v>46406.75</v>
      </c>
      <c r="M87" s="3">
        <f t="shared" si="35"/>
        <v>11074.784132766768</v>
      </c>
      <c r="N87" s="3">
        <f t="shared" si="43"/>
        <v>128876.53413276677</v>
      </c>
      <c r="O87" s="3"/>
      <c r="P87" s="3"/>
      <c r="Q87" s="3">
        <v>2019</v>
      </c>
      <c r="R87" s="13">
        <f t="shared" si="44"/>
        <v>0.92401365110765998</v>
      </c>
      <c r="S87" s="13">
        <f t="shared" si="45"/>
        <v>1.0822350933898557</v>
      </c>
      <c r="T87" s="3"/>
      <c r="U87" s="13">
        <f t="shared" si="46"/>
        <v>11.505707160125274</v>
      </c>
      <c r="V87" s="13">
        <f>V86</f>
        <v>2.2421325911611842</v>
      </c>
      <c r="W87" s="12">
        <f>'Country L per 100 km'!G14</f>
        <v>5.2598197779990956</v>
      </c>
      <c r="X87" s="3">
        <f>'Country distance travelled'!G14</f>
        <v>18300</v>
      </c>
      <c r="Z87" s="3">
        <v>2019</v>
      </c>
      <c r="AA87" s="13"/>
      <c r="AB87" s="13">
        <v>13.412266918506809</v>
      </c>
      <c r="AC87" s="13">
        <v>11.505707160125274</v>
      </c>
      <c r="AD87" s="13">
        <v>9.8450328772750488</v>
      </c>
    </row>
    <row r="88" spans="1:30">
      <c r="A88" s="3">
        <v>2020</v>
      </c>
      <c r="B88" s="3">
        <f t="shared" si="33"/>
        <v>427948.69817194639</v>
      </c>
      <c r="C88" s="3">
        <f t="shared" si="37"/>
        <v>85589.739634389276</v>
      </c>
      <c r="D88" s="3">
        <f t="shared" si="38"/>
        <v>55633.330762353035</v>
      </c>
      <c r="E88" s="3">
        <f t="shared" si="34"/>
        <v>2250</v>
      </c>
      <c r="F88" s="3">
        <f t="shared" si="39"/>
        <v>138973.07039674232</v>
      </c>
      <c r="G88" s="3"/>
      <c r="H88" s="3"/>
      <c r="I88" s="3">
        <v>2020</v>
      </c>
      <c r="J88" s="3">
        <f t="shared" si="40"/>
        <v>356975</v>
      </c>
      <c r="K88" s="3">
        <f t="shared" si="41"/>
        <v>71395</v>
      </c>
      <c r="L88" s="3">
        <f t="shared" si="42"/>
        <v>46406.75</v>
      </c>
      <c r="M88" s="3">
        <f t="shared" si="35"/>
        <v>10977.310685924464</v>
      </c>
      <c r="N88" s="3">
        <f t="shared" si="43"/>
        <v>128779.06068592446</v>
      </c>
      <c r="O88" s="3"/>
      <c r="P88" s="3"/>
      <c r="Q88" s="3">
        <v>2020</v>
      </c>
      <c r="R88" s="13">
        <f t="shared" si="44"/>
        <v>0.92664758948107107</v>
      </c>
      <c r="S88" s="13">
        <f t="shared" si="45"/>
        <v>1.0791589071742007</v>
      </c>
      <c r="T88" s="3"/>
      <c r="U88" s="13">
        <f t="shared" si="46"/>
        <v>11.518485403441577</v>
      </c>
      <c r="V88" s="13">
        <f t="shared" ref="V88:V108" si="53">V87</f>
        <v>2.2421325911611842</v>
      </c>
      <c r="W88" s="12">
        <f>'Country L per 100 km'!G15</f>
        <v>5.2077423544545498</v>
      </c>
      <c r="X88" s="3">
        <f>'Country distance travelled'!G15</f>
        <v>18300</v>
      </c>
      <c r="Z88" s="3">
        <v>2020</v>
      </c>
      <c r="AA88" s="13"/>
      <c r="AB88" s="13">
        <v>14.220839967852678</v>
      </c>
      <c r="AC88" s="13">
        <v>11.518485403441577</v>
      </c>
      <c r="AD88" s="13">
        <v>9.8925959978248041</v>
      </c>
    </row>
    <row r="89" spans="1:30">
      <c r="A89" s="3">
        <v>2021</v>
      </c>
      <c r="B89" s="3">
        <f t="shared" si="33"/>
        <v>421617.74464428733</v>
      </c>
      <c r="C89" s="3">
        <f t="shared" si="37"/>
        <v>84323.548928857461</v>
      </c>
      <c r="D89" s="3">
        <f t="shared" si="38"/>
        <v>54810.306803757354</v>
      </c>
      <c r="E89" s="3">
        <f t="shared" si="34"/>
        <v>2250</v>
      </c>
      <c r="F89" s="3">
        <f t="shared" si="39"/>
        <v>136883.85573261481</v>
      </c>
      <c r="G89" s="3"/>
      <c r="H89" s="3"/>
      <c r="I89" s="3">
        <v>2021</v>
      </c>
      <c r="J89" s="3">
        <f t="shared" si="40"/>
        <v>356975</v>
      </c>
      <c r="K89" s="3">
        <f t="shared" si="41"/>
        <v>71395</v>
      </c>
      <c r="L89" s="3">
        <f t="shared" si="42"/>
        <v>46406.75</v>
      </c>
      <c r="M89" s="3">
        <f t="shared" si="35"/>
        <v>11223.860373009271</v>
      </c>
      <c r="N89" s="3">
        <f t="shared" si="43"/>
        <v>129025.61037300927</v>
      </c>
      <c r="O89" s="3"/>
      <c r="P89" s="3"/>
      <c r="Q89" s="3">
        <v>2021</v>
      </c>
      <c r="R89" s="13">
        <f t="shared" si="44"/>
        <v>0.94259187602842209</v>
      </c>
      <c r="S89" s="13">
        <f t="shared" si="45"/>
        <v>1.0609045393150056</v>
      </c>
      <c r="T89" s="3"/>
      <c r="U89" s="13">
        <f t="shared" si="46"/>
        <v>11.894961738030181</v>
      </c>
      <c r="V89" s="13">
        <f t="shared" si="53"/>
        <v>2.2421325911611842</v>
      </c>
      <c r="W89" s="12">
        <f>'Country L per 100 km'!G16</f>
        <v>5.1561805489649011</v>
      </c>
      <c r="X89" s="3">
        <f>'Country distance travelled'!G16</f>
        <v>18300</v>
      </c>
      <c r="Z89" s="3">
        <v>2021</v>
      </c>
      <c r="AA89" s="13"/>
      <c r="AB89" s="13">
        <v>15.076976137748296</v>
      </c>
      <c r="AC89" s="13">
        <v>11.894961738030181</v>
      </c>
      <c r="AD89" s="13">
        <v>9.9877222389243183</v>
      </c>
    </row>
    <row r="90" spans="1:30">
      <c r="A90" s="3">
        <v>2022</v>
      </c>
      <c r="B90" s="3">
        <f t="shared" si="33"/>
        <v>425158.17926603701</v>
      </c>
      <c r="C90" s="3">
        <f t="shared" si="37"/>
        <v>85031.635853207408</v>
      </c>
      <c r="D90" s="3">
        <f t="shared" si="38"/>
        <v>55270.563304584815</v>
      </c>
      <c r="E90" s="3">
        <f t="shared" si="34"/>
        <v>2250</v>
      </c>
      <c r="F90" s="3">
        <f t="shared" si="39"/>
        <v>138052.19915779223</v>
      </c>
      <c r="G90" s="3"/>
      <c r="H90" s="3"/>
      <c r="I90" s="3">
        <v>2022</v>
      </c>
      <c r="J90" s="3">
        <f t="shared" si="40"/>
        <v>356975</v>
      </c>
      <c r="K90" s="3">
        <f t="shared" si="41"/>
        <v>71395</v>
      </c>
      <c r="L90" s="3">
        <f t="shared" si="42"/>
        <v>46406.75</v>
      </c>
      <c r="M90" s="3">
        <f t="shared" si="35"/>
        <v>11374.6118318066</v>
      </c>
      <c r="N90" s="3">
        <f t="shared" si="43"/>
        <v>129176.3618318066</v>
      </c>
      <c r="O90" s="3"/>
      <c r="P90" s="3"/>
      <c r="Q90" s="3">
        <v>2022</v>
      </c>
      <c r="R90" s="13">
        <f t="shared" si="44"/>
        <v>0.93570665748076465</v>
      </c>
      <c r="S90" s="13">
        <f t="shared" si="45"/>
        <v>1.0687110025404056</v>
      </c>
      <c r="T90" s="3"/>
      <c r="U90" s="13">
        <f t="shared" si="46"/>
        <v>12.17527425574068</v>
      </c>
      <c r="V90" s="13">
        <f t="shared" si="53"/>
        <v>2.2421325911611842</v>
      </c>
      <c r="W90" s="12">
        <f>'Country L per 100 km'!G17</f>
        <v>5.1051292564008923</v>
      </c>
      <c r="X90" s="3">
        <f>'Country distance travelled'!G17</f>
        <v>18300</v>
      </c>
      <c r="Z90" s="3">
        <v>2022</v>
      </c>
      <c r="AA90" s="13"/>
      <c r="AB90" s="13">
        <v>15.457481102146357</v>
      </c>
      <c r="AC90" s="13">
        <v>12.17527425574068</v>
      </c>
      <c r="AD90" s="13">
        <v>10.035285359474075</v>
      </c>
    </row>
    <row r="91" spans="1:30">
      <c r="A91" s="3">
        <v>2023</v>
      </c>
      <c r="B91" s="3">
        <f t="shared" si="33"/>
        <v>422875.79863883212</v>
      </c>
      <c r="C91" s="3">
        <f t="shared" si="37"/>
        <v>84575.159727766426</v>
      </c>
      <c r="D91" s="3">
        <f t="shared" si="38"/>
        <v>54973.853823048179</v>
      </c>
      <c r="E91" s="3">
        <f t="shared" si="34"/>
        <v>2250</v>
      </c>
      <c r="F91" s="3">
        <f t="shared" si="39"/>
        <v>137299.01355081459</v>
      </c>
      <c r="G91" s="3"/>
      <c r="H91" s="3"/>
      <c r="I91" s="3">
        <v>2023</v>
      </c>
      <c r="J91" s="3">
        <f t="shared" si="40"/>
        <v>356975</v>
      </c>
      <c r="K91" s="3">
        <f t="shared" si="41"/>
        <v>71395</v>
      </c>
      <c r="L91" s="3">
        <f t="shared" si="42"/>
        <v>46406.75</v>
      </c>
      <c r="M91" s="3">
        <f t="shared" si="35"/>
        <v>11381.306552395808</v>
      </c>
      <c r="N91" s="3">
        <f t="shared" si="43"/>
        <v>129183.05655239581</v>
      </c>
      <c r="O91" s="3"/>
      <c r="P91" s="3"/>
      <c r="Q91" s="3">
        <v>2023</v>
      </c>
      <c r="R91" s="13">
        <f t="shared" si="44"/>
        <v>0.94088845368568463</v>
      </c>
      <c r="S91" s="13">
        <f t="shared" si="45"/>
        <v>1.0628252436117813</v>
      </c>
      <c r="T91" s="3"/>
      <c r="U91" s="13">
        <f t="shared" si="46"/>
        <v>12.304264621968137</v>
      </c>
      <c r="V91" s="13">
        <f t="shared" si="53"/>
        <v>2.2421325911611842</v>
      </c>
      <c r="W91" s="12">
        <f>'Country L per 100 km'!G18</f>
        <v>5.0545834221791015</v>
      </c>
      <c r="X91" s="3">
        <f>'Country distance travelled'!G18</f>
        <v>18300</v>
      </c>
      <c r="Z91" s="3">
        <v>2023</v>
      </c>
      <c r="AA91" s="13"/>
      <c r="AB91" s="13">
        <v>15.742859825444897</v>
      </c>
      <c r="AC91" s="13">
        <v>12.304264621968137</v>
      </c>
      <c r="AD91" s="13">
        <v>10.035285359474075</v>
      </c>
    </row>
    <row r="92" spans="1:30">
      <c r="A92" s="3">
        <v>2024</v>
      </c>
      <c r="B92" s="3">
        <f t="shared" si="33"/>
        <v>414052.81392976944</v>
      </c>
      <c r="C92" s="3">
        <f t="shared" si="37"/>
        <v>82810.562785953894</v>
      </c>
      <c r="D92" s="3">
        <f t="shared" si="38"/>
        <v>53826.865810870033</v>
      </c>
      <c r="E92" s="3">
        <f t="shared" si="34"/>
        <v>2250</v>
      </c>
      <c r="F92" s="3">
        <f t="shared" si="39"/>
        <v>134387.42859682394</v>
      </c>
      <c r="G92" s="3"/>
      <c r="H92" s="3"/>
      <c r="I92" s="3">
        <v>2024</v>
      </c>
      <c r="J92" s="3">
        <f t="shared" si="40"/>
        <v>356975</v>
      </c>
      <c r="K92" s="3">
        <f t="shared" si="41"/>
        <v>71395</v>
      </c>
      <c r="L92" s="3">
        <f t="shared" si="42"/>
        <v>46406.75</v>
      </c>
      <c r="M92" s="3">
        <f t="shared" si="35"/>
        <v>11299.853317466905</v>
      </c>
      <c r="N92" s="3">
        <f t="shared" si="43"/>
        <v>129101.6033174669</v>
      </c>
      <c r="O92" s="3"/>
      <c r="P92" s="3"/>
      <c r="Q92" s="3">
        <v>2024</v>
      </c>
      <c r="R92" s="13">
        <f t="shared" si="44"/>
        <v>0.96066726378688994</v>
      </c>
      <c r="S92" s="13">
        <f t="shared" si="45"/>
        <v>1.0409431420178334</v>
      </c>
      <c r="T92" s="3"/>
      <c r="U92" s="13">
        <f t="shared" si="46"/>
        <v>12.338368061270817</v>
      </c>
      <c r="V92" s="13">
        <f t="shared" si="53"/>
        <v>2.2421325911611842</v>
      </c>
      <c r="W92" s="12">
        <f>'Country L per 100 km'!G19</f>
        <v>5.0045380417614869</v>
      </c>
      <c r="X92" s="3">
        <f>'Country distance travelled'!G19</f>
        <v>18300</v>
      </c>
      <c r="Z92" s="3">
        <v>2024</v>
      </c>
      <c r="AA92" s="13"/>
      <c r="AB92" s="13">
        <v>15.980675428193683</v>
      </c>
      <c r="AC92" s="13">
        <v>12.338368061270817</v>
      </c>
      <c r="AD92" s="13">
        <v>10.035285359474075</v>
      </c>
    </row>
    <row r="93" spans="1:30">
      <c r="A93" s="3">
        <v>2025</v>
      </c>
      <c r="B93" s="3">
        <f t="shared" si="33"/>
        <v>406478.16390422522</v>
      </c>
      <c r="C93" s="3">
        <f t="shared" si="37"/>
        <v>81295.632780845044</v>
      </c>
      <c r="D93" s="3">
        <f t="shared" si="38"/>
        <v>52842.161307549279</v>
      </c>
      <c r="E93" s="3">
        <f t="shared" si="34"/>
        <v>2250</v>
      </c>
      <c r="F93" s="3">
        <f t="shared" si="39"/>
        <v>131887.79408839432</v>
      </c>
      <c r="G93" s="3"/>
      <c r="H93" s="3"/>
      <c r="I93" s="3">
        <v>2025</v>
      </c>
      <c r="J93" s="3">
        <f t="shared" si="40"/>
        <v>356975</v>
      </c>
      <c r="K93" s="3">
        <f t="shared" si="41"/>
        <v>71395</v>
      </c>
      <c r="L93" s="3">
        <f t="shared" si="42"/>
        <v>46406.75</v>
      </c>
      <c r="M93" s="3">
        <f t="shared" si="35"/>
        <v>11349.779619350591</v>
      </c>
      <c r="N93" s="3">
        <f t="shared" si="43"/>
        <v>129151.52961935059</v>
      </c>
      <c r="O93" s="3"/>
      <c r="P93" s="3"/>
      <c r="Q93" s="3">
        <v>2025</v>
      </c>
      <c r="R93" s="13">
        <f t="shared" si="44"/>
        <v>0.97925308791494514</v>
      </c>
      <c r="S93" s="13">
        <f t="shared" si="45"/>
        <v>1.0211864658290022</v>
      </c>
      <c r="T93" s="3"/>
      <c r="U93" s="13">
        <f t="shared" si="46"/>
        <v>12.516811676024716</v>
      </c>
      <c r="V93" s="13">
        <f t="shared" si="53"/>
        <v>2.2421325911611842</v>
      </c>
      <c r="W93" s="12">
        <f>'Country L per 100 km'!G20</f>
        <v>4.9549881601598873</v>
      </c>
      <c r="X93" s="3">
        <f>'Country distance travelled'!G20</f>
        <v>18300</v>
      </c>
      <c r="Z93" s="3">
        <v>2025</v>
      </c>
      <c r="AA93" s="13"/>
      <c r="AB93" s="13">
        <v>16.218491030942467</v>
      </c>
      <c r="AC93" s="13">
        <v>12.516811676024716</v>
      </c>
      <c r="AD93" s="13">
        <v>10.082848480023832</v>
      </c>
    </row>
    <row r="94" spans="1:30">
      <c r="A94" s="3">
        <v>2026</v>
      </c>
      <c r="B94" s="3">
        <f t="shared" si="33"/>
        <v>402162.93289946992</v>
      </c>
      <c r="C94" s="3">
        <f t="shared" si="37"/>
        <v>80432.586579893978</v>
      </c>
      <c r="D94" s="3">
        <f t="shared" si="38"/>
        <v>52281.181276931093</v>
      </c>
      <c r="E94" s="3">
        <f t="shared" si="34"/>
        <v>2250</v>
      </c>
      <c r="F94" s="3">
        <f t="shared" si="39"/>
        <v>130463.76785682508</v>
      </c>
      <c r="G94" s="3"/>
      <c r="H94" s="3"/>
      <c r="I94" s="3">
        <v>2026</v>
      </c>
      <c r="J94" s="3">
        <f t="shared" si="40"/>
        <v>356975</v>
      </c>
      <c r="K94" s="3">
        <f t="shared" si="41"/>
        <v>71395</v>
      </c>
      <c r="L94" s="3">
        <f t="shared" si="42"/>
        <v>46406.75</v>
      </c>
      <c r="M94" s="3">
        <f t="shared" si="35"/>
        <v>11518.982755975614</v>
      </c>
      <c r="N94" s="3">
        <f t="shared" si="43"/>
        <v>129320.73275597561</v>
      </c>
      <c r="O94" s="3"/>
      <c r="P94" s="3"/>
      <c r="Q94" s="3">
        <v>2026</v>
      </c>
      <c r="R94" s="13">
        <f t="shared" si="44"/>
        <v>0.99123867783656316</v>
      </c>
      <c r="S94" s="13">
        <f t="shared" si="45"/>
        <v>1.0088387613995844</v>
      </c>
      <c r="T94" s="3"/>
      <c r="U94" s="13">
        <f t="shared" si="46"/>
        <v>12.830447120418569</v>
      </c>
      <c r="V94" s="13">
        <f t="shared" si="53"/>
        <v>2.2421325911611842</v>
      </c>
      <c r="W94" s="12">
        <f>'Country L per 100 km'!G21</f>
        <v>4.9059288714454334</v>
      </c>
      <c r="X94" s="3">
        <f>'Country distance travelled'!G21</f>
        <v>18300</v>
      </c>
      <c r="Z94" s="3">
        <v>2026</v>
      </c>
      <c r="AA94" s="13"/>
      <c r="AB94" s="13">
        <v>16.456306633691252</v>
      </c>
      <c r="AC94" s="13">
        <v>12.830447120418569</v>
      </c>
      <c r="AD94" s="13">
        <v>10.13041160057359</v>
      </c>
    </row>
    <row r="95" spans="1:30">
      <c r="A95" s="3">
        <v>2027</v>
      </c>
      <c r="B95" s="3">
        <f t="shared" si="33"/>
        <v>397847.70189471467</v>
      </c>
      <c r="C95" s="3">
        <f t="shared" si="37"/>
        <v>79569.54037894294</v>
      </c>
      <c r="D95" s="3">
        <f t="shared" si="38"/>
        <v>51720.201246312907</v>
      </c>
      <c r="E95" s="3">
        <f t="shared" si="34"/>
        <v>2250</v>
      </c>
      <c r="F95" s="3">
        <f t="shared" si="39"/>
        <v>129039.74162525585</v>
      </c>
      <c r="G95" s="3"/>
      <c r="H95" s="3"/>
      <c r="I95" s="3">
        <v>2027</v>
      </c>
      <c r="J95" s="3">
        <f t="shared" si="40"/>
        <v>356975</v>
      </c>
      <c r="K95" s="3">
        <f t="shared" si="41"/>
        <v>71395</v>
      </c>
      <c r="L95" s="3">
        <f t="shared" si="42"/>
        <v>46406.75</v>
      </c>
      <c r="M95" s="3">
        <f t="shared" si="35"/>
        <v>11548.61437240916</v>
      </c>
      <c r="N95" s="3">
        <f t="shared" si="43"/>
        <v>129350.36437240915</v>
      </c>
      <c r="O95" s="3"/>
      <c r="P95" s="3"/>
      <c r="Q95" s="3">
        <v>2027</v>
      </c>
      <c r="R95" s="13">
        <f t="shared" si="44"/>
        <v>1.0024071866793982</v>
      </c>
      <c r="S95" s="13">
        <f t="shared" si="45"/>
        <v>0.99759859395324935</v>
      </c>
      <c r="T95" s="3"/>
      <c r="U95" s="13">
        <f t="shared" si="46"/>
        <v>12.992086892556456</v>
      </c>
      <c r="V95" s="13">
        <f t="shared" si="53"/>
        <v>2.2421325911611842</v>
      </c>
      <c r="W95" s="12">
        <f>'Country L per 100 km'!G22</f>
        <v>4.8573553182628046</v>
      </c>
      <c r="X95" s="3">
        <f>'Country distance travelled'!G22</f>
        <v>18300</v>
      </c>
      <c r="Z95" s="3">
        <v>2027</v>
      </c>
      <c r="AA95" s="13"/>
      <c r="AB95" s="13">
        <v>16.694122236440034</v>
      </c>
      <c r="AC95" s="13">
        <v>12.992086892556456</v>
      </c>
      <c r="AD95" s="13">
        <v>10.177974721123347</v>
      </c>
    </row>
    <row r="96" spans="1:30">
      <c r="A96" s="3">
        <v>2028</v>
      </c>
      <c r="B96" s="3">
        <f t="shared" si="33"/>
        <v>392993.06701436493</v>
      </c>
      <c r="C96" s="3">
        <f t="shared" si="37"/>
        <v>78598.613402872987</v>
      </c>
      <c r="D96" s="3">
        <f t="shared" si="38"/>
        <v>51089.098711867446</v>
      </c>
      <c r="E96" s="3">
        <f t="shared" si="34"/>
        <v>2250</v>
      </c>
      <c r="F96" s="3">
        <f t="shared" si="39"/>
        <v>127437.71211474043</v>
      </c>
      <c r="G96" s="3"/>
      <c r="H96" s="3"/>
      <c r="I96" s="3">
        <v>2028</v>
      </c>
      <c r="J96" s="3">
        <f t="shared" si="40"/>
        <v>356975</v>
      </c>
      <c r="K96" s="3">
        <f t="shared" si="41"/>
        <v>71395</v>
      </c>
      <c r="L96" s="3">
        <f t="shared" si="42"/>
        <v>46406.75</v>
      </c>
      <c r="M96" s="3">
        <f t="shared" si="35"/>
        <v>11524.324751482249</v>
      </c>
      <c r="N96" s="3">
        <f t="shared" si="43"/>
        <v>129326.07475148224</v>
      </c>
      <c r="O96" s="3"/>
      <c r="P96" s="3"/>
      <c r="Q96" s="3">
        <v>2028</v>
      </c>
      <c r="R96" s="13">
        <f t="shared" si="44"/>
        <v>1.0148179263846293</v>
      </c>
      <c r="S96" s="13">
        <f t="shared" si="45"/>
        <v>0.98539843847908815</v>
      </c>
      <c r="T96" s="3"/>
      <c r="U96" s="13">
        <f t="shared" si="46"/>
        <v>13.094408901216337</v>
      </c>
      <c r="V96" s="13">
        <f t="shared" si="53"/>
        <v>2.2421325911611842</v>
      </c>
      <c r="W96" s="12">
        <f>'Country L per 100 km'!G23</f>
        <v>4.8092626913493124</v>
      </c>
      <c r="X96" s="3">
        <f>'Country distance travelled'!G23</f>
        <v>18300</v>
      </c>
      <c r="Z96" s="3">
        <v>2028</v>
      </c>
      <c r="AA96" s="13"/>
      <c r="AB96" s="13">
        <v>16.884374718639059</v>
      </c>
      <c r="AC96" s="13">
        <v>13.094408901216337</v>
      </c>
      <c r="AD96" s="13">
        <v>10.177974721123347</v>
      </c>
    </row>
    <row r="97" spans="1:30">
      <c r="A97" s="3">
        <v>2029</v>
      </c>
      <c r="B97" s="3">
        <f t="shared" si="33"/>
        <v>388677.83600960969</v>
      </c>
      <c r="C97" s="3">
        <f t="shared" si="37"/>
        <v>77735.567201921935</v>
      </c>
      <c r="D97" s="3">
        <f t="shared" si="38"/>
        <v>50528.11868124926</v>
      </c>
      <c r="E97" s="3">
        <f t="shared" si="34"/>
        <v>2250</v>
      </c>
      <c r="F97" s="3">
        <f t="shared" si="39"/>
        <v>126013.68588317119</v>
      </c>
      <c r="G97" s="3"/>
      <c r="H97" s="3"/>
      <c r="I97" s="3">
        <v>2029</v>
      </c>
      <c r="J97" s="3">
        <f t="shared" si="40"/>
        <v>356975</v>
      </c>
      <c r="K97" s="3">
        <f t="shared" si="41"/>
        <v>71395</v>
      </c>
      <c r="L97" s="3">
        <f t="shared" si="42"/>
        <v>46406.75</v>
      </c>
      <c r="M97" s="3">
        <f t="shared" si="35"/>
        <v>11531.074964958361</v>
      </c>
      <c r="N97" s="3">
        <f t="shared" si="43"/>
        <v>129332.82496495836</v>
      </c>
      <c r="O97" s="3"/>
      <c r="P97" s="3"/>
      <c r="Q97" s="3">
        <v>2029</v>
      </c>
      <c r="R97" s="13">
        <f t="shared" si="44"/>
        <v>1.0263395127166139</v>
      </c>
      <c r="S97" s="13">
        <f t="shared" si="45"/>
        <v>0.97433645261605883</v>
      </c>
      <c r="T97" s="3"/>
      <c r="U97" s="13">
        <f t="shared" si="46"/>
        <v>13.233099557416265</v>
      </c>
      <c r="V97" s="13">
        <f t="shared" si="53"/>
        <v>2.2421325911611842</v>
      </c>
      <c r="W97" s="12">
        <f>'Country L per 100 km'!G24</f>
        <v>4.7616462290587247</v>
      </c>
      <c r="X97" s="3">
        <f>'Country distance travelled'!G24</f>
        <v>18300</v>
      </c>
      <c r="Z97" s="3">
        <v>2029</v>
      </c>
      <c r="AA97" s="13"/>
      <c r="AB97" s="13">
        <v>17.122190321387844</v>
      </c>
      <c r="AC97" s="13">
        <v>13.233099557416265</v>
      </c>
      <c r="AD97" s="13">
        <v>10.177974721123347</v>
      </c>
    </row>
    <row r="98" spans="1:30">
      <c r="A98" s="3">
        <v>2030</v>
      </c>
      <c r="B98" s="3">
        <f t="shared" si="33"/>
        <v>383823.20112926007</v>
      </c>
      <c r="C98" s="3">
        <f t="shared" si="37"/>
        <v>76764.64022585201</v>
      </c>
      <c r="D98" s="3">
        <f t="shared" si="38"/>
        <v>49897.016146803813</v>
      </c>
      <c r="E98" s="3">
        <f t="shared" si="34"/>
        <v>2250</v>
      </c>
      <c r="F98" s="3">
        <f t="shared" si="39"/>
        <v>124411.65637265582</v>
      </c>
      <c r="G98" s="3"/>
      <c r="H98" s="3"/>
      <c r="I98" s="3">
        <v>2030</v>
      </c>
      <c r="J98" s="3">
        <f t="shared" si="40"/>
        <v>356975</v>
      </c>
      <c r="K98" s="3">
        <f t="shared" si="41"/>
        <v>71395</v>
      </c>
      <c r="L98" s="3">
        <f t="shared" si="42"/>
        <v>46406.75</v>
      </c>
      <c r="M98" s="3">
        <f t="shared" si="35"/>
        <v>11508.398267673529</v>
      </c>
      <c r="N98" s="3">
        <f>SUM(K98:M98)</f>
        <v>129310.14826767353</v>
      </c>
      <c r="O98" s="3"/>
      <c r="P98" s="3"/>
      <c r="Q98" s="3">
        <v>2030</v>
      </c>
      <c r="R98" s="13">
        <f t="shared" si="44"/>
        <v>1.039373255190374</v>
      </c>
      <c r="S98" s="13">
        <f t="shared" si="45"/>
        <v>0.96211827176257059</v>
      </c>
      <c r="T98" s="3"/>
      <c r="U98" s="13">
        <f t="shared" si="46"/>
        <v>13.339146462074998</v>
      </c>
      <c r="V98" s="13">
        <f t="shared" si="53"/>
        <v>2.2421325911611842</v>
      </c>
      <c r="W98" s="12">
        <f>'Country L per 100 km'!G25</f>
        <v>4.7145012168898264</v>
      </c>
      <c r="X98" s="3">
        <f>'Country distance travelled'!G25</f>
        <v>18300</v>
      </c>
      <c r="Z98" s="3">
        <v>2030</v>
      </c>
      <c r="AA98" s="13"/>
      <c r="AB98" s="13">
        <v>17.264879683037115</v>
      </c>
      <c r="AC98" s="13">
        <v>13.339146462074998</v>
      </c>
      <c r="AD98" s="13">
        <v>10.225537841673104</v>
      </c>
    </row>
    <row r="99" spans="1:30">
      <c r="A99" s="3">
        <v>2031</v>
      </c>
      <c r="B99" s="3"/>
      <c r="C99" s="3"/>
      <c r="D99" s="3"/>
      <c r="E99" s="3"/>
      <c r="F99" s="3"/>
      <c r="G99" s="3"/>
      <c r="H99" s="3"/>
      <c r="I99" s="3">
        <v>2031</v>
      </c>
      <c r="J99" s="3"/>
      <c r="K99" s="3"/>
      <c r="L99" s="3"/>
      <c r="M99" s="3">
        <f t="shared" si="35"/>
        <v>11394.453730369831</v>
      </c>
      <c r="N99" s="3"/>
      <c r="O99" s="3"/>
      <c r="P99" s="3"/>
      <c r="Q99" s="3">
        <v>2031</v>
      </c>
      <c r="R99" s="3"/>
      <c r="S99" s="3"/>
      <c r="T99" s="3"/>
      <c r="U99" s="13">
        <f>U98</f>
        <v>13.339146462074998</v>
      </c>
      <c r="V99" s="13">
        <f t="shared" si="53"/>
        <v>2.2421325911611842</v>
      </c>
      <c r="W99" s="12">
        <f>'Country L per 100 km'!G26</f>
        <v>4.6678229870196306</v>
      </c>
      <c r="X99" s="3">
        <f>'Country distance travelled'!G26</f>
        <v>18300</v>
      </c>
      <c r="Z99" s="3">
        <v>2031</v>
      </c>
    </row>
    <row r="100" spans="1:30">
      <c r="A100" s="3">
        <v>2032</v>
      </c>
      <c r="B100" s="3"/>
      <c r="C100" s="3"/>
      <c r="D100" s="3"/>
      <c r="E100" s="3"/>
      <c r="F100" s="3"/>
      <c r="G100" s="3"/>
      <c r="H100" s="3"/>
      <c r="I100" s="3">
        <v>2032</v>
      </c>
      <c r="J100" s="3"/>
      <c r="K100" s="3"/>
      <c r="L100" s="3"/>
      <c r="M100" s="3">
        <f t="shared" si="35"/>
        <v>11281.637356801813</v>
      </c>
      <c r="N100" s="3"/>
      <c r="O100" s="3"/>
      <c r="P100" s="3"/>
      <c r="Q100" s="3">
        <v>2032</v>
      </c>
      <c r="R100" s="3"/>
      <c r="S100" s="3"/>
      <c r="T100" s="3"/>
      <c r="U100" s="13">
        <f t="shared" ref="U100:U108" si="54">U99</f>
        <v>13.339146462074998</v>
      </c>
      <c r="V100" s="13">
        <f t="shared" si="53"/>
        <v>2.2421325911611842</v>
      </c>
      <c r="W100" s="12">
        <f>'Country L per 100 km'!G27</f>
        <v>4.621606917841218</v>
      </c>
      <c r="X100" s="3">
        <f>'Country distance travelled'!G27</f>
        <v>18300</v>
      </c>
      <c r="Z100" s="3">
        <v>2032</v>
      </c>
    </row>
    <row r="101" spans="1:30">
      <c r="A101" s="3">
        <v>2033</v>
      </c>
      <c r="B101" s="3"/>
      <c r="C101" s="3"/>
      <c r="D101" s="3"/>
      <c r="E101" s="3"/>
      <c r="F101" s="3"/>
      <c r="G101" s="3"/>
      <c r="H101" s="3"/>
      <c r="I101" s="3">
        <v>2033</v>
      </c>
      <c r="J101" s="3"/>
      <c r="K101" s="3"/>
      <c r="L101" s="3"/>
      <c r="M101" s="3">
        <f t="shared" si="35"/>
        <v>11169.937977031499</v>
      </c>
      <c r="N101" s="3"/>
      <c r="O101" s="3"/>
      <c r="P101" s="3"/>
      <c r="Q101" s="3">
        <v>2033</v>
      </c>
      <c r="R101" s="3"/>
      <c r="S101" s="3"/>
      <c r="T101" s="3"/>
      <c r="U101" s="13">
        <f t="shared" si="54"/>
        <v>13.339146462074998</v>
      </c>
      <c r="V101" s="13">
        <f t="shared" si="53"/>
        <v>2.2421325911611842</v>
      </c>
      <c r="W101" s="12">
        <f>'Country L per 100 km'!G28</f>
        <v>4.5758484335061569</v>
      </c>
      <c r="X101" s="3">
        <f>'Country distance travelled'!G28</f>
        <v>18300</v>
      </c>
      <c r="Z101" s="3">
        <v>2033</v>
      </c>
    </row>
    <row r="102" spans="1:30">
      <c r="A102" s="3">
        <v>2034</v>
      </c>
      <c r="B102" s="3"/>
      <c r="C102" s="3"/>
      <c r="D102" s="3"/>
      <c r="E102" s="3"/>
      <c r="F102" s="3"/>
      <c r="G102" s="3"/>
      <c r="H102" s="3"/>
      <c r="I102" s="3">
        <v>2034</v>
      </c>
      <c r="J102" s="3"/>
      <c r="K102" s="3"/>
      <c r="L102" s="3"/>
      <c r="M102" s="3">
        <f t="shared" si="35"/>
        <v>11059.344531714352</v>
      </c>
      <c r="N102" s="3"/>
      <c r="O102" s="3"/>
      <c r="P102" s="3"/>
      <c r="Q102" s="3">
        <v>2034</v>
      </c>
      <c r="R102" s="3"/>
      <c r="S102" s="3"/>
      <c r="T102" s="3"/>
      <c r="U102" s="13">
        <f t="shared" si="54"/>
        <v>13.339146462074998</v>
      </c>
      <c r="V102" s="13">
        <f t="shared" si="53"/>
        <v>2.2421325911611842</v>
      </c>
      <c r="W102" s="12">
        <f>'Country L per 100 km'!G29</f>
        <v>4.5305430034714416</v>
      </c>
      <c r="X102" s="3">
        <f>'Country distance travelled'!G29</f>
        <v>18300</v>
      </c>
      <c r="Z102" s="3">
        <v>2034</v>
      </c>
    </row>
    <row r="103" spans="1:30">
      <c r="A103" s="3">
        <v>2035</v>
      </c>
      <c r="B103" s="3"/>
      <c r="C103" s="3"/>
      <c r="D103" s="3"/>
      <c r="E103" s="3"/>
      <c r="F103" s="3"/>
      <c r="G103" s="3"/>
      <c r="H103" s="3"/>
      <c r="I103" s="3">
        <v>2035</v>
      </c>
      <c r="J103" s="3"/>
      <c r="K103" s="3"/>
      <c r="L103" s="3"/>
      <c r="M103" s="3">
        <f t="shared" si="35"/>
        <v>10949.846071004309</v>
      </c>
      <c r="N103" s="3"/>
      <c r="O103" s="3"/>
      <c r="P103" s="3"/>
      <c r="Q103" s="3">
        <v>2035</v>
      </c>
      <c r="R103" s="3"/>
      <c r="S103" s="3"/>
      <c r="T103" s="3"/>
      <c r="U103" s="13">
        <f t="shared" si="54"/>
        <v>13.339146462074998</v>
      </c>
      <c r="V103" s="13">
        <f t="shared" si="53"/>
        <v>2.2421325911611842</v>
      </c>
      <c r="W103" s="12">
        <f>'Country L per 100 km'!G30</f>
        <v>4.4856861420509313</v>
      </c>
      <c r="X103" s="3">
        <f>'Country distance travelled'!G30</f>
        <v>18300</v>
      </c>
      <c r="Z103" s="3">
        <v>2035</v>
      </c>
    </row>
    <row r="104" spans="1:30">
      <c r="A104" s="3">
        <v>2036</v>
      </c>
      <c r="B104" s="3"/>
      <c r="C104" s="3"/>
      <c r="D104" s="3"/>
      <c r="E104" s="3"/>
      <c r="F104" s="3"/>
      <c r="G104" s="3"/>
      <c r="H104" s="3"/>
      <c r="I104" s="3">
        <v>2036</v>
      </c>
      <c r="J104" s="3"/>
      <c r="K104" s="3"/>
      <c r="L104" s="3"/>
      <c r="M104" s="3">
        <f t="shared" si="35"/>
        <v>10841.431753469615</v>
      </c>
      <c r="N104" s="3"/>
      <c r="O104" s="3"/>
      <c r="P104" s="3"/>
      <c r="Q104" s="3">
        <v>2036</v>
      </c>
      <c r="R104" s="3"/>
      <c r="S104" s="3"/>
      <c r="T104" s="3"/>
      <c r="U104" s="13">
        <f t="shared" si="54"/>
        <v>13.339146462074998</v>
      </c>
      <c r="V104" s="13">
        <f t="shared" si="53"/>
        <v>2.2421325911611842</v>
      </c>
      <c r="W104" s="12">
        <f>'Country L per 100 km'!G31</f>
        <v>4.4412734079712202</v>
      </c>
      <c r="X104" s="3">
        <f>'Country distance travelled'!G31</f>
        <v>18300</v>
      </c>
      <c r="Z104" s="3">
        <v>2036</v>
      </c>
    </row>
    <row r="105" spans="1:30">
      <c r="A105" s="3">
        <v>2037</v>
      </c>
      <c r="B105" s="3"/>
      <c r="C105" s="3"/>
      <c r="D105" s="3"/>
      <c r="E105" s="3"/>
      <c r="F105" s="3"/>
      <c r="G105" s="3"/>
      <c r="H105" s="3"/>
      <c r="I105" s="3">
        <v>2037</v>
      </c>
      <c r="J105" s="3"/>
      <c r="K105" s="3"/>
      <c r="L105" s="3"/>
      <c r="M105" s="3">
        <f t="shared" si="35"/>
        <v>10734.09084501942</v>
      </c>
      <c r="N105" s="3"/>
      <c r="O105" s="3"/>
      <c r="P105" s="3"/>
      <c r="Q105" s="3">
        <v>2037</v>
      </c>
      <c r="R105" s="3"/>
      <c r="S105" s="3"/>
      <c r="T105" s="3"/>
      <c r="U105" s="13">
        <f t="shared" si="54"/>
        <v>13.339146462074998</v>
      </c>
      <c r="V105" s="13">
        <f t="shared" si="53"/>
        <v>2.2421325911611842</v>
      </c>
      <c r="W105" s="12">
        <f>'Country L per 100 km'!G32</f>
        <v>4.3973004039319017</v>
      </c>
      <c r="X105" s="3">
        <f>'Country distance travelled'!G32</f>
        <v>18300</v>
      </c>
      <c r="Z105" s="3">
        <v>2037</v>
      </c>
    </row>
    <row r="106" spans="1:30">
      <c r="A106" s="3">
        <v>2038</v>
      </c>
      <c r="B106" s="3"/>
      <c r="C106" s="3"/>
      <c r="D106" s="3"/>
      <c r="E106" s="3"/>
      <c r="F106" s="3"/>
      <c r="G106" s="3"/>
      <c r="H106" s="3"/>
      <c r="I106" s="3">
        <v>2038</v>
      </c>
      <c r="J106" s="3"/>
      <c r="K106" s="3"/>
      <c r="L106" s="3"/>
      <c r="M106" s="3">
        <f t="shared" si="35"/>
        <v>10627.812717841009</v>
      </c>
      <c r="N106" s="3"/>
      <c r="O106" s="3"/>
      <c r="P106" s="3"/>
      <c r="Q106" s="3">
        <v>2038</v>
      </c>
      <c r="R106" s="3"/>
      <c r="S106" s="3"/>
      <c r="T106" s="3"/>
      <c r="U106" s="13">
        <f t="shared" si="54"/>
        <v>13.339146462074998</v>
      </c>
      <c r="V106" s="13">
        <f t="shared" si="53"/>
        <v>2.2421325911611842</v>
      </c>
      <c r="W106" s="12">
        <f>'Country L per 100 km'!G33</f>
        <v>4.3537627761701989</v>
      </c>
      <c r="X106" s="3">
        <f>'Country distance travelled'!G33</f>
        <v>18300</v>
      </c>
      <c r="Z106" s="3">
        <v>2038</v>
      </c>
    </row>
    <row r="107" spans="1:30">
      <c r="A107" s="3">
        <v>2039</v>
      </c>
      <c r="B107" s="3"/>
      <c r="C107" s="3"/>
      <c r="D107" s="3"/>
      <c r="E107" s="3"/>
      <c r="F107" s="3"/>
      <c r="G107" s="3"/>
      <c r="H107" s="3"/>
      <c r="I107" s="3">
        <v>2039</v>
      </c>
      <c r="J107" s="3"/>
      <c r="K107" s="3"/>
      <c r="L107" s="3"/>
      <c r="M107" s="3">
        <f t="shared" si="35"/>
        <v>10522.586849347535</v>
      </c>
      <c r="N107" s="3"/>
      <c r="O107" s="3"/>
      <c r="P107" s="3"/>
      <c r="Q107" s="3">
        <v>2039</v>
      </c>
      <c r="R107" s="3"/>
      <c r="S107" s="3"/>
      <c r="T107" s="3"/>
      <c r="U107" s="13">
        <f t="shared" si="54"/>
        <v>13.339146462074998</v>
      </c>
      <c r="V107" s="13">
        <f t="shared" si="53"/>
        <v>2.2421325911611842</v>
      </c>
      <c r="W107" s="12">
        <f>'Country L per 100 km'!G34</f>
        <v>4.3106562140299003</v>
      </c>
      <c r="X107" s="3">
        <f>'Country distance travelled'!G34</f>
        <v>18300</v>
      </c>
      <c r="Z107" s="3">
        <v>2039</v>
      </c>
    </row>
    <row r="108" spans="1:30">
      <c r="A108" s="3">
        <v>2040</v>
      </c>
      <c r="B108" s="3"/>
      <c r="C108" s="3"/>
      <c r="D108" s="3"/>
      <c r="E108" s="3"/>
      <c r="F108" s="3"/>
      <c r="G108" s="3"/>
      <c r="H108" s="3"/>
      <c r="I108" s="3">
        <v>2040</v>
      </c>
      <c r="J108" s="3"/>
      <c r="K108" s="3"/>
      <c r="L108" s="3"/>
      <c r="M108" s="3">
        <f t="shared" si="35"/>
        <v>10418.402821136175</v>
      </c>
      <c r="N108" s="3"/>
      <c r="O108" s="3"/>
      <c r="P108" s="3"/>
      <c r="Q108" s="3">
        <v>2040</v>
      </c>
      <c r="R108" s="3"/>
      <c r="S108" s="3"/>
      <c r="T108" s="3"/>
      <c r="U108" s="13">
        <f t="shared" si="54"/>
        <v>13.339146462074998</v>
      </c>
      <c r="V108" s="13">
        <f t="shared" si="53"/>
        <v>2.2421325911611842</v>
      </c>
      <c r="W108" s="12">
        <f>'Country L per 100 km'!G35</f>
        <v>4.2679764495345553</v>
      </c>
      <c r="X108" s="3">
        <f>'Country distance travelled'!G35</f>
        <v>18300</v>
      </c>
      <c r="Z108" s="3">
        <v>2040</v>
      </c>
    </row>
    <row r="115" spans="16:29">
      <c r="Q115" s="87" t="s">
        <v>980</v>
      </c>
      <c r="R115" s="87" t="s">
        <v>980</v>
      </c>
      <c r="S115" s="87" t="s">
        <v>980</v>
      </c>
      <c r="T115" s="87" t="s">
        <v>980</v>
      </c>
      <c r="U115" s="87" t="s">
        <v>980</v>
      </c>
      <c r="W115" s="14" t="s">
        <v>812</v>
      </c>
      <c r="X115" s="14" t="s">
        <v>812</v>
      </c>
      <c r="Y115" s="14" t="s">
        <v>812</v>
      </c>
      <c r="Z115" s="14" t="s">
        <v>812</v>
      </c>
      <c r="AA115" s="14" t="s">
        <v>812</v>
      </c>
      <c r="AC115" s="248" t="s">
        <v>952</v>
      </c>
    </row>
    <row r="116" spans="16:29">
      <c r="Q116" s="87" t="s">
        <v>978</v>
      </c>
      <c r="R116" s="87" t="s">
        <v>979</v>
      </c>
      <c r="S116" s="87" t="s">
        <v>916</v>
      </c>
      <c r="T116" s="87" t="s">
        <v>981</v>
      </c>
      <c r="U116" s="87" t="s">
        <v>983</v>
      </c>
      <c r="W116" s="14" t="s">
        <v>725</v>
      </c>
      <c r="X116" s="14" t="s">
        <v>979</v>
      </c>
      <c r="Y116" s="14" t="s">
        <v>916</v>
      </c>
      <c r="Z116" s="14" t="s">
        <v>985</v>
      </c>
      <c r="AA116" s="14" t="s">
        <v>983</v>
      </c>
      <c r="AC116" s="248" t="s">
        <v>1204</v>
      </c>
    </row>
    <row r="117" spans="16:29">
      <c r="P117">
        <v>2012</v>
      </c>
      <c r="Q117" s="3">
        <f>B80</f>
        <v>229362.34973450148</v>
      </c>
      <c r="R117" s="3">
        <f t="shared" ref="R117:U117" si="55">C80</f>
        <v>45872.469946900295</v>
      </c>
      <c r="S117" s="3">
        <f t="shared" si="55"/>
        <v>29817.105465485194</v>
      </c>
      <c r="T117" s="3">
        <f t="shared" si="55"/>
        <v>2250</v>
      </c>
      <c r="U117" s="3">
        <f t="shared" si="55"/>
        <v>73439.575412385486</v>
      </c>
      <c r="V117" s="3"/>
      <c r="W117" s="3">
        <f>J80</f>
        <v>322674.70239999995</v>
      </c>
      <c r="X117" s="3">
        <f t="shared" ref="X117:AA117" si="56">K80</f>
        <v>64534.94047999999</v>
      </c>
      <c r="Y117" s="3">
        <f t="shared" si="56"/>
        <v>41947.711311999992</v>
      </c>
      <c r="Z117" s="3">
        <f t="shared" si="56"/>
        <v>13581.887128175757</v>
      </c>
      <c r="AA117" s="3">
        <f t="shared" si="56"/>
        <v>120064.53892017575</v>
      </c>
      <c r="AC117" s="13">
        <f>U117/AA117</f>
        <v>0.61166749210781868</v>
      </c>
    </row>
    <row r="118" spans="16:29">
      <c r="P118">
        <v>2013</v>
      </c>
      <c r="Q118" s="3">
        <f t="shared" ref="Q118:Q135" si="57">B81</f>
        <v>224513.56367980185</v>
      </c>
      <c r="R118" s="3">
        <f t="shared" ref="R118:R135" si="58">C81</f>
        <v>44902.712735960369</v>
      </c>
      <c r="S118" s="3">
        <f t="shared" ref="S118:S135" si="59">D81</f>
        <v>29186.763278374241</v>
      </c>
      <c r="T118" s="3">
        <f t="shared" ref="T118:T135" si="60">E81</f>
        <v>2250</v>
      </c>
      <c r="U118" s="3">
        <f t="shared" ref="U118:U135" si="61">F81</f>
        <v>71839.476014334607</v>
      </c>
      <c r="V118" s="3"/>
      <c r="W118" s="3">
        <f t="shared" ref="W118:W135" si="62">J81</f>
        <v>310047.70239999995</v>
      </c>
      <c r="X118" s="3">
        <f t="shared" ref="X118:X135" si="63">K81</f>
        <v>62009.540479999989</v>
      </c>
      <c r="Y118" s="3">
        <f t="shared" ref="Y118:Y135" si="64">L81</f>
        <v>40306.201311999997</v>
      </c>
      <c r="Z118" s="3">
        <f t="shared" ref="Z118:Z135" si="65">M81</f>
        <v>13149.295033362434</v>
      </c>
      <c r="AA118" s="3">
        <f t="shared" ref="AA118:AA135" si="66">N81</f>
        <v>115465.03682536242</v>
      </c>
      <c r="AC118" s="13">
        <f t="shared" ref="AC118:AC135" si="67">U118/AA118</f>
        <v>0.62217514487082159</v>
      </c>
    </row>
    <row r="119" spans="16:29">
      <c r="P119">
        <v>2014</v>
      </c>
      <c r="Q119" s="3">
        <f t="shared" si="57"/>
        <v>241348.35953563821</v>
      </c>
      <c r="R119" s="3">
        <f t="shared" si="58"/>
        <v>48269.671907127646</v>
      </c>
      <c r="S119" s="3">
        <f t="shared" si="59"/>
        <v>31375.286739632968</v>
      </c>
      <c r="T119" s="3">
        <f t="shared" si="60"/>
        <v>2250</v>
      </c>
      <c r="U119" s="3">
        <f t="shared" si="61"/>
        <v>77394.958646760613</v>
      </c>
      <c r="V119" s="3"/>
      <c r="W119" s="3">
        <f t="shared" si="62"/>
        <v>310176.07689999999</v>
      </c>
      <c r="X119" s="3">
        <f t="shared" si="63"/>
        <v>62035.215379999994</v>
      </c>
      <c r="Y119" s="3">
        <f t="shared" si="64"/>
        <v>40322.889996999998</v>
      </c>
      <c r="Z119" s="3">
        <f t="shared" si="65"/>
        <v>12599.235809135025</v>
      </c>
      <c r="AA119" s="3">
        <f t="shared" si="66"/>
        <v>114957.34118613502</v>
      </c>
      <c r="AC119" s="13">
        <f t="shared" si="67"/>
        <v>0.67324937971073395</v>
      </c>
    </row>
    <row r="120" spans="16:29">
      <c r="P120">
        <v>2015</v>
      </c>
      <c r="Q120" s="3">
        <f t="shared" si="57"/>
        <v>258024.35423433108</v>
      </c>
      <c r="R120" s="3">
        <f t="shared" si="58"/>
        <v>51604.870846866215</v>
      </c>
      <c r="S120" s="3">
        <f t="shared" si="59"/>
        <v>33543.166050463042</v>
      </c>
      <c r="T120" s="3">
        <f t="shared" si="60"/>
        <v>2250</v>
      </c>
      <c r="U120" s="3">
        <f t="shared" si="61"/>
        <v>82898.036897329264</v>
      </c>
      <c r="V120" s="3"/>
      <c r="W120" s="3">
        <f t="shared" si="62"/>
        <v>387889.72005</v>
      </c>
      <c r="X120" s="3">
        <f t="shared" si="63"/>
        <v>77577.944010000007</v>
      </c>
      <c r="Y120" s="3">
        <f t="shared" si="64"/>
        <v>50425.663606500006</v>
      </c>
      <c r="Z120" s="3">
        <f t="shared" si="65"/>
        <v>11329.293766930867</v>
      </c>
      <c r="AA120" s="3">
        <f t="shared" si="66"/>
        <v>139332.90138343087</v>
      </c>
      <c r="AC120" s="13">
        <f t="shared" si="67"/>
        <v>0.59496383176003609</v>
      </c>
    </row>
    <row r="121" spans="16:29">
      <c r="P121">
        <v>2016</v>
      </c>
      <c r="Q121" s="3">
        <f t="shared" si="57"/>
        <v>329035.26903037704</v>
      </c>
      <c r="R121" s="3">
        <f t="shared" si="58"/>
        <v>65807.053806075404</v>
      </c>
      <c r="S121" s="3">
        <f t="shared" si="59"/>
        <v>42774.584973949015</v>
      </c>
      <c r="T121" s="3">
        <f t="shared" si="60"/>
        <v>2250</v>
      </c>
      <c r="U121" s="3">
        <f t="shared" si="61"/>
        <v>106331.63878002443</v>
      </c>
      <c r="V121" s="3"/>
      <c r="W121" s="3">
        <f t="shared" si="62"/>
        <v>371158.3088</v>
      </c>
      <c r="X121" s="3">
        <f t="shared" si="63"/>
        <v>74231.661760000003</v>
      </c>
      <c r="Y121" s="3">
        <f t="shared" si="64"/>
        <v>48250.580144</v>
      </c>
      <c r="Z121" s="3">
        <f t="shared" si="65"/>
        <v>10527.696894285389</v>
      </c>
      <c r="AA121" s="3">
        <f t="shared" si="66"/>
        <v>133009.93879828538</v>
      </c>
      <c r="AC121" s="13">
        <f t="shared" si="67"/>
        <v>0.79942626649336623</v>
      </c>
    </row>
    <row r="122" spans="16:29">
      <c r="P122">
        <v>2017</v>
      </c>
      <c r="Q122" s="3">
        <f t="shared" si="57"/>
        <v>371774.06838648987</v>
      </c>
      <c r="R122" s="3">
        <f t="shared" si="58"/>
        <v>74354.813677297978</v>
      </c>
      <c r="S122" s="3">
        <f t="shared" si="59"/>
        <v>48330.628890243686</v>
      </c>
      <c r="T122" s="3">
        <f t="shared" si="60"/>
        <v>2250</v>
      </c>
      <c r="U122" s="3">
        <f t="shared" si="61"/>
        <v>120435.44256754167</v>
      </c>
      <c r="V122" s="3"/>
      <c r="W122" s="3">
        <f t="shared" si="62"/>
        <v>362783.71785000002</v>
      </c>
      <c r="X122" s="3">
        <f t="shared" si="63"/>
        <v>72556.743570000006</v>
      </c>
      <c r="Y122" s="3">
        <f t="shared" si="64"/>
        <v>47161.883320500005</v>
      </c>
      <c r="Z122" s="3">
        <f t="shared" si="65"/>
        <v>10924.520374233758</v>
      </c>
      <c r="AA122" s="3">
        <f t="shared" si="66"/>
        <v>130643.14726473378</v>
      </c>
      <c r="AC122" s="13">
        <f t="shared" si="67"/>
        <v>0.92186574718299363</v>
      </c>
    </row>
    <row r="123" spans="16:29">
      <c r="P123">
        <v>2018</v>
      </c>
      <c r="Q123" s="3">
        <f t="shared" si="57"/>
        <v>423612.84468769439</v>
      </c>
      <c r="R123" s="3">
        <f t="shared" si="58"/>
        <v>84722.568937538876</v>
      </c>
      <c r="S123" s="3">
        <f t="shared" si="59"/>
        <v>55069.669809400271</v>
      </c>
      <c r="T123" s="3">
        <f t="shared" si="60"/>
        <v>2250</v>
      </c>
      <c r="U123" s="3">
        <f t="shared" si="61"/>
        <v>137542.23874693914</v>
      </c>
      <c r="V123" s="3"/>
      <c r="W123" s="3">
        <f t="shared" si="62"/>
        <v>356975</v>
      </c>
      <c r="X123" s="3">
        <f t="shared" si="63"/>
        <v>71395</v>
      </c>
      <c r="Y123" s="3">
        <f t="shared" si="64"/>
        <v>46406.75</v>
      </c>
      <c r="Z123" s="3">
        <f t="shared" si="65"/>
        <v>11449.015292202677</v>
      </c>
      <c r="AA123" s="3">
        <f t="shared" si="66"/>
        <v>129250.76529220268</v>
      </c>
      <c r="AC123" s="13">
        <f t="shared" si="67"/>
        <v>1.0641502851916704</v>
      </c>
    </row>
    <row r="124" spans="16:29">
      <c r="P124">
        <v>2019</v>
      </c>
      <c r="Q124" s="3">
        <f t="shared" si="57"/>
        <v>429468.81197859324</v>
      </c>
      <c r="R124" s="3">
        <f t="shared" si="58"/>
        <v>85893.762395718644</v>
      </c>
      <c r="S124" s="3">
        <f t="shared" si="59"/>
        <v>55830.945557217121</v>
      </c>
      <c r="T124" s="3">
        <f t="shared" si="60"/>
        <v>2250</v>
      </c>
      <c r="U124" s="3">
        <f t="shared" si="61"/>
        <v>139474.70795293577</v>
      </c>
      <c r="V124" s="3"/>
      <c r="W124" s="3">
        <f t="shared" si="62"/>
        <v>356975</v>
      </c>
      <c r="X124" s="3">
        <f t="shared" si="63"/>
        <v>71395</v>
      </c>
      <c r="Y124" s="3">
        <f t="shared" si="64"/>
        <v>46406.75</v>
      </c>
      <c r="Z124" s="3">
        <f t="shared" si="65"/>
        <v>11074.784132766768</v>
      </c>
      <c r="AA124" s="3">
        <f t="shared" si="66"/>
        <v>128876.53413276677</v>
      </c>
      <c r="AC124" s="13">
        <f t="shared" si="67"/>
        <v>1.0822350933898557</v>
      </c>
    </row>
    <row r="125" spans="16:29">
      <c r="P125">
        <v>2020</v>
      </c>
      <c r="Q125" s="3">
        <f t="shared" si="57"/>
        <v>427948.69817194639</v>
      </c>
      <c r="R125" s="3">
        <f t="shared" si="58"/>
        <v>85589.739634389276</v>
      </c>
      <c r="S125" s="3">
        <f t="shared" si="59"/>
        <v>55633.330762353035</v>
      </c>
      <c r="T125" s="3">
        <f t="shared" si="60"/>
        <v>2250</v>
      </c>
      <c r="U125" s="3">
        <f t="shared" si="61"/>
        <v>138973.07039674232</v>
      </c>
      <c r="V125" s="3"/>
      <c r="W125" s="3">
        <f t="shared" si="62"/>
        <v>356975</v>
      </c>
      <c r="X125" s="3">
        <f t="shared" si="63"/>
        <v>71395</v>
      </c>
      <c r="Y125" s="3">
        <f t="shared" si="64"/>
        <v>46406.75</v>
      </c>
      <c r="Z125" s="3">
        <f t="shared" si="65"/>
        <v>10977.310685924464</v>
      </c>
      <c r="AA125" s="3">
        <f t="shared" si="66"/>
        <v>128779.06068592446</v>
      </c>
      <c r="AC125" s="13">
        <f t="shared" si="67"/>
        <v>1.0791589071742007</v>
      </c>
    </row>
    <row r="126" spans="16:29">
      <c r="P126">
        <v>2021</v>
      </c>
      <c r="Q126" s="3">
        <f t="shared" si="57"/>
        <v>421617.74464428733</v>
      </c>
      <c r="R126" s="3">
        <f t="shared" si="58"/>
        <v>84323.548928857461</v>
      </c>
      <c r="S126" s="3">
        <f t="shared" si="59"/>
        <v>54810.306803757354</v>
      </c>
      <c r="T126" s="3">
        <f t="shared" si="60"/>
        <v>2250</v>
      </c>
      <c r="U126" s="3">
        <f t="shared" si="61"/>
        <v>136883.85573261481</v>
      </c>
      <c r="V126" s="3"/>
      <c r="W126" s="3">
        <f t="shared" si="62"/>
        <v>356975</v>
      </c>
      <c r="X126" s="3">
        <f t="shared" si="63"/>
        <v>71395</v>
      </c>
      <c r="Y126" s="3">
        <f t="shared" si="64"/>
        <v>46406.75</v>
      </c>
      <c r="Z126" s="3">
        <f t="shared" si="65"/>
        <v>11223.860373009271</v>
      </c>
      <c r="AA126" s="3">
        <f t="shared" si="66"/>
        <v>129025.61037300927</v>
      </c>
      <c r="AC126" s="13">
        <f t="shared" si="67"/>
        <v>1.0609045393150056</v>
      </c>
    </row>
    <row r="127" spans="16:29">
      <c r="P127">
        <v>2022</v>
      </c>
      <c r="Q127" s="3">
        <f t="shared" si="57"/>
        <v>425158.17926603701</v>
      </c>
      <c r="R127" s="3">
        <f t="shared" si="58"/>
        <v>85031.635853207408</v>
      </c>
      <c r="S127" s="3">
        <f t="shared" si="59"/>
        <v>55270.563304584815</v>
      </c>
      <c r="T127" s="3">
        <f t="shared" si="60"/>
        <v>2250</v>
      </c>
      <c r="U127" s="3">
        <f t="shared" si="61"/>
        <v>138052.19915779223</v>
      </c>
      <c r="V127" s="3"/>
      <c r="W127" s="3">
        <f t="shared" si="62"/>
        <v>356975</v>
      </c>
      <c r="X127" s="3">
        <f t="shared" si="63"/>
        <v>71395</v>
      </c>
      <c r="Y127" s="3">
        <f t="shared" si="64"/>
        <v>46406.75</v>
      </c>
      <c r="Z127" s="3">
        <f t="shared" si="65"/>
        <v>11374.6118318066</v>
      </c>
      <c r="AA127" s="3">
        <f t="shared" si="66"/>
        <v>129176.3618318066</v>
      </c>
      <c r="AC127" s="13">
        <f t="shared" si="67"/>
        <v>1.0687110025404056</v>
      </c>
    </row>
    <row r="128" spans="16:29">
      <c r="P128">
        <v>2023</v>
      </c>
      <c r="Q128" s="3">
        <f t="shared" si="57"/>
        <v>422875.79863883212</v>
      </c>
      <c r="R128" s="3">
        <f t="shared" si="58"/>
        <v>84575.159727766426</v>
      </c>
      <c r="S128" s="3">
        <f t="shared" si="59"/>
        <v>54973.853823048179</v>
      </c>
      <c r="T128" s="3">
        <f t="shared" si="60"/>
        <v>2250</v>
      </c>
      <c r="U128" s="3">
        <f t="shared" si="61"/>
        <v>137299.01355081459</v>
      </c>
      <c r="V128" s="3"/>
      <c r="W128" s="3">
        <f t="shared" si="62"/>
        <v>356975</v>
      </c>
      <c r="X128" s="3">
        <f t="shared" si="63"/>
        <v>71395</v>
      </c>
      <c r="Y128" s="3">
        <f t="shared" si="64"/>
        <v>46406.75</v>
      </c>
      <c r="Z128" s="3">
        <f t="shared" si="65"/>
        <v>11381.306552395808</v>
      </c>
      <c r="AA128" s="3">
        <f t="shared" si="66"/>
        <v>129183.05655239581</v>
      </c>
      <c r="AC128" s="13">
        <f t="shared" si="67"/>
        <v>1.0628252436117813</v>
      </c>
    </row>
    <row r="129" spans="16:29">
      <c r="P129">
        <v>2024</v>
      </c>
      <c r="Q129" s="3">
        <f t="shared" si="57"/>
        <v>414052.81392976944</v>
      </c>
      <c r="R129" s="3">
        <f t="shared" si="58"/>
        <v>82810.562785953894</v>
      </c>
      <c r="S129" s="3">
        <f t="shared" si="59"/>
        <v>53826.865810870033</v>
      </c>
      <c r="T129" s="3">
        <f t="shared" si="60"/>
        <v>2250</v>
      </c>
      <c r="U129" s="3">
        <f t="shared" si="61"/>
        <v>134387.42859682394</v>
      </c>
      <c r="V129" s="3"/>
      <c r="W129" s="3">
        <f t="shared" si="62"/>
        <v>356975</v>
      </c>
      <c r="X129" s="3">
        <f t="shared" si="63"/>
        <v>71395</v>
      </c>
      <c r="Y129" s="3">
        <f t="shared" si="64"/>
        <v>46406.75</v>
      </c>
      <c r="Z129" s="3">
        <f t="shared" si="65"/>
        <v>11299.853317466905</v>
      </c>
      <c r="AA129" s="3">
        <f t="shared" si="66"/>
        <v>129101.6033174669</v>
      </c>
      <c r="AC129" s="13">
        <f t="shared" si="67"/>
        <v>1.0409431420178334</v>
      </c>
    </row>
    <row r="130" spans="16:29">
      <c r="P130">
        <v>2025</v>
      </c>
      <c r="Q130" s="3">
        <f t="shared" si="57"/>
        <v>406478.16390422522</v>
      </c>
      <c r="R130" s="3">
        <f t="shared" si="58"/>
        <v>81295.632780845044</v>
      </c>
      <c r="S130" s="3">
        <f t="shared" si="59"/>
        <v>52842.161307549279</v>
      </c>
      <c r="T130" s="3">
        <f t="shared" si="60"/>
        <v>2250</v>
      </c>
      <c r="U130" s="3">
        <f t="shared" si="61"/>
        <v>131887.79408839432</v>
      </c>
      <c r="V130" s="3"/>
      <c r="W130" s="3">
        <f t="shared" si="62"/>
        <v>356975</v>
      </c>
      <c r="X130" s="3">
        <f t="shared" si="63"/>
        <v>71395</v>
      </c>
      <c r="Y130" s="3">
        <f t="shared" si="64"/>
        <v>46406.75</v>
      </c>
      <c r="Z130" s="3">
        <f t="shared" si="65"/>
        <v>11349.779619350591</v>
      </c>
      <c r="AA130" s="3">
        <f t="shared" si="66"/>
        <v>129151.52961935059</v>
      </c>
      <c r="AC130" s="13">
        <f t="shared" si="67"/>
        <v>1.0211864658290022</v>
      </c>
    </row>
    <row r="131" spans="16:29">
      <c r="P131">
        <v>2026</v>
      </c>
      <c r="Q131" s="3">
        <f t="shared" si="57"/>
        <v>402162.93289946992</v>
      </c>
      <c r="R131" s="3">
        <f t="shared" si="58"/>
        <v>80432.586579893978</v>
      </c>
      <c r="S131" s="3">
        <f t="shared" si="59"/>
        <v>52281.181276931093</v>
      </c>
      <c r="T131" s="3">
        <f t="shared" si="60"/>
        <v>2250</v>
      </c>
      <c r="U131" s="3">
        <f t="shared" si="61"/>
        <v>130463.76785682508</v>
      </c>
      <c r="V131" s="3"/>
      <c r="W131" s="3">
        <f t="shared" si="62"/>
        <v>356975</v>
      </c>
      <c r="X131" s="3">
        <f t="shared" si="63"/>
        <v>71395</v>
      </c>
      <c r="Y131" s="3">
        <f t="shared" si="64"/>
        <v>46406.75</v>
      </c>
      <c r="Z131" s="3">
        <f t="shared" si="65"/>
        <v>11518.982755975614</v>
      </c>
      <c r="AA131" s="3">
        <f t="shared" si="66"/>
        <v>129320.73275597561</v>
      </c>
      <c r="AC131" s="13">
        <f t="shared" si="67"/>
        <v>1.0088387613995844</v>
      </c>
    </row>
    <row r="132" spans="16:29">
      <c r="P132">
        <v>2027</v>
      </c>
      <c r="Q132" s="3">
        <f t="shared" si="57"/>
        <v>397847.70189471467</v>
      </c>
      <c r="R132" s="3">
        <f t="shared" si="58"/>
        <v>79569.54037894294</v>
      </c>
      <c r="S132" s="3">
        <f t="shared" si="59"/>
        <v>51720.201246312907</v>
      </c>
      <c r="T132" s="3">
        <f t="shared" si="60"/>
        <v>2250</v>
      </c>
      <c r="U132" s="3">
        <f t="shared" si="61"/>
        <v>129039.74162525585</v>
      </c>
      <c r="V132" s="3"/>
      <c r="W132" s="3">
        <f t="shared" si="62"/>
        <v>356975</v>
      </c>
      <c r="X132" s="3">
        <f t="shared" si="63"/>
        <v>71395</v>
      </c>
      <c r="Y132" s="3">
        <f t="shared" si="64"/>
        <v>46406.75</v>
      </c>
      <c r="Z132" s="3">
        <f t="shared" si="65"/>
        <v>11548.61437240916</v>
      </c>
      <c r="AA132" s="3">
        <f t="shared" si="66"/>
        <v>129350.36437240915</v>
      </c>
      <c r="AC132" s="13">
        <f t="shared" si="67"/>
        <v>0.99759859395324935</v>
      </c>
    </row>
    <row r="133" spans="16:29">
      <c r="P133">
        <v>2028</v>
      </c>
      <c r="Q133" s="3">
        <f t="shared" si="57"/>
        <v>392993.06701436493</v>
      </c>
      <c r="R133" s="3">
        <f t="shared" si="58"/>
        <v>78598.613402872987</v>
      </c>
      <c r="S133" s="3">
        <f t="shared" si="59"/>
        <v>51089.098711867446</v>
      </c>
      <c r="T133" s="3">
        <f t="shared" si="60"/>
        <v>2250</v>
      </c>
      <c r="U133" s="3">
        <f t="shared" si="61"/>
        <v>127437.71211474043</v>
      </c>
      <c r="V133" s="3"/>
      <c r="W133" s="3">
        <f t="shared" si="62"/>
        <v>356975</v>
      </c>
      <c r="X133" s="3">
        <f t="shared" si="63"/>
        <v>71395</v>
      </c>
      <c r="Y133" s="3">
        <f t="shared" si="64"/>
        <v>46406.75</v>
      </c>
      <c r="Z133" s="3">
        <f t="shared" si="65"/>
        <v>11524.324751482249</v>
      </c>
      <c r="AA133" s="3">
        <f t="shared" si="66"/>
        <v>129326.07475148224</v>
      </c>
      <c r="AC133" s="13">
        <f t="shared" si="67"/>
        <v>0.98539843847908815</v>
      </c>
    </row>
    <row r="134" spans="16:29">
      <c r="P134">
        <v>2029</v>
      </c>
      <c r="Q134" s="3">
        <f t="shared" si="57"/>
        <v>388677.83600960969</v>
      </c>
      <c r="R134" s="3">
        <f t="shared" si="58"/>
        <v>77735.567201921935</v>
      </c>
      <c r="S134" s="3">
        <f t="shared" si="59"/>
        <v>50528.11868124926</v>
      </c>
      <c r="T134" s="3">
        <f t="shared" si="60"/>
        <v>2250</v>
      </c>
      <c r="U134" s="3">
        <f t="shared" si="61"/>
        <v>126013.68588317119</v>
      </c>
      <c r="V134" s="3"/>
      <c r="W134" s="3">
        <f t="shared" si="62"/>
        <v>356975</v>
      </c>
      <c r="X134" s="3">
        <f t="shared" si="63"/>
        <v>71395</v>
      </c>
      <c r="Y134" s="3">
        <f t="shared" si="64"/>
        <v>46406.75</v>
      </c>
      <c r="Z134" s="3">
        <f t="shared" si="65"/>
        <v>11531.074964958361</v>
      </c>
      <c r="AA134" s="3">
        <f t="shared" si="66"/>
        <v>129332.82496495836</v>
      </c>
      <c r="AC134" s="13">
        <f t="shared" si="67"/>
        <v>0.97433645261605883</v>
      </c>
    </row>
    <row r="135" spans="16:29">
      <c r="P135">
        <v>2030</v>
      </c>
      <c r="Q135" s="3">
        <f t="shared" si="57"/>
        <v>383823.20112926007</v>
      </c>
      <c r="R135" s="3">
        <f t="shared" si="58"/>
        <v>76764.64022585201</v>
      </c>
      <c r="S135" s="3">
        <f t="shared" si="59"/>
        <v>49897.016146803813</v>
      </c>
      <c r="T135" s="3">
        <f t="shared" si="60"/>
        <v>2250</v>
      </c>
      <c r="U135" s="3">
        <f t="shared" si="61"/>
        <v>124411.65637265582</v>
      </c>
      <c r="V135" s="3"/>
      <c r="W135" s="3">
        <f t="shared" si="62"/>
        <v>356975</v>
      </c>
      <c r="X135" s="3">
        <f t="shared" si="63"/>
        <v>71395</v>
      </c>
      <c r="Y135" s="3">
        <f t="shared" si="64"/>
        <v>46406.75</v>
      </c>
      <c r="Z135" s="3">
        <f t="shared" si="65"/>
        <v>11508.398267673529</v>
      </c>
      <c r="AA135" s="3">
        <f t="shared" si="66"/>
        <v>129310.14826767353</v>
      </c>
      <c r="AC135" s="13">
        <f t="shared" si="67"/>
        <v>0.96211827176257059</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workbookViewId="0">
      <selection activeCell="A3" sqref="A3:G20"/>
    </sheetView>
  </sheetViews>
  <sheetFormatPr defaultRowHeight="15"/>
  <cols>
    <col min="1" max="1" width="17.85546875" customWidth="1"/>
    <col min="2" max="7" width="13.5703125" customWidth="1"/>
  </cols>
  <sheetData>
    <row r="1" spans="1:7">
      <c r="A1" t="s">
        <v>148</v>
      </c>
    </row>
    <row r="2" spans="1:7" ht="15.75" thickBot="1"/>
    <row r="3" spans="1:7">
      <c r="A3" s="44" t="s">
        <v>149</v>
      </c>
      <c r="B3" s="44"/>
    </row>
    <row r="4" spans="1:7">
      <c r="A4" s="41" t="s">
        <v>150</v>
      </c>
      <c r="B4" s="41">
        <v>0.99986486361112437</v>
      </c>
    </row>
    <row r="5" spans="1:7">
      <c r="A5" s="41" t="s">
        <v>151</v>
      </c>
      <c r="B5" s="41">
        <v>0.99972974548409244</v>
      </c>
    </row>
    <row r="6" spans="1:7">
      <c r="A6" s="41" t="s">
        <v>152</v>
      </c>
      <c r="B6" s="41">
        <v>0.99932436371023092</v>
      </c>
    </row>
    <row r="7" spans="1:7">
      <c r="A7" s="41" t="s">
        <v>153</v>
      </c>
      <c r="B7" s="41">
        <v>3.0382063598900371E-2</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3</v>
      </c>
      <c r="C12" s="41">
        <v>6.8292684890005235</v>
      </c>
      <c r="D12" s="41">
        <v>2.2764228296668412</v>
      </c>
      <c r="E12" s="41">
        <v>2466.143793198914</v>
      </c>
      <c r="F12" s="41">
        <v>4.0535438356377522E-4</v>
      </c>
    </row>
    <row r="13" spans="1:7">
      <c r="A13" s="41" t="s">
        <v>157</v>
      </c>
      <c r="B13" s="41">
        <v>2</v>
      </c>
      <c r="C13" s="41">
        <v>1.8461395770552537E-3</v>
      </c>
      <c r="D13" s="41">
        <v>9.2306978852762687E-4</v>
      </c>
      <c r="E13" s="41"/>
      <c r="F13" s="41"/>
    </row>
    <row r="14" spans="1:7" ht="15.75" thickBot="1">
      <c r="A14" s="42" t="s">
        <v>158</v>
      </c>
      <c r="B14" s="42">
        <v>5</v>
      </c>
      <c r="C14" s="42">
        <v>6.8311146285775788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-8.878960227321544</v>
      </c>
      <c r="C17" s="41">
        <v>9.95768854477493E-2</v>
      </c>
      <c r="D17" s="41">
        <v>-89.16688031963578</v>
      </c>
      <c r="E17" s="41">
        <v>1.2575085023948244E-4</v>
      </c>
      <c r="F17" s="41">
        <v>-9.3074049853132514</v>
      </c>
      <c r="G17" s="41">
        <v>-8.4505154693298365</v>
      </c>
    </row>
    <row r="18" spans="1:7">
      <c r="A18" s="41" t="s">
        <v>329</v>
      </c>
      <c r="B18" s="41">
        <v>0.70036050882263634</v>
      </c>
      <c r="C18" s="41">
        <v>1.3366325925522041E-2</v>
      </c>
      <c r="D18" s="41">
        <v>52.397383748165844</v>
      </c>
      <c r="E18" s="41">
        <v>3.6403538180870999E-4</v>
      </c>
      <c r="F18" s="41">
        <v>0.64284985009246787</v>
      </c>
      <c r="G18" s="41">
        <v>0.75787116755280481</v>
      </c>
    </row>
    <row r="19" spans="1:7">
      <c r="A19" s="41" t="s">
        <v>1323</v>
      </c>
      <c r="B19" s="41">
        <v>0.37760680826539056</v>
      </c>
      <c r="C19" s="41">
        <v>4.6940993966359708E-2</v>
      </c>
      <c r="D19" s="41">
        <v>8.0442865895852727</v>
      </c>
      <c r="E19" s="41">
        <v>1.5104201936766983E-2</v>
      </c>
      <c r="F19" s="41">
        <v>0.17563601243887986</v>
      </c>
      <c r="G19" s="41">
        <v>0.57957760409190129</v>
      </c>
    </row>
    <row r="20" spans="1:7" ht="15.75" thickBot="1">
      <c r="A20" s="42" t="s">
        <v>1094</v>
      </c>
      <c r="B20" s="42">
        <v>8.8906203375704623E-2</v>
      </c>
      <c r="C20" s="42">
        <v>3.6196181715940787E-2</v>
      </c>
      <c r="D20" s="42">
        <v>2.4562315460072508</v>
      </c>
      <c r="E20" s="42">
        <v>0.1333805398406771</v>
      </c>
      <c r="F20" s="42">
        <v>-6.6833396690895636E-2</v>
      </c>
      <c r="G20" s="42">
        <v>0.24464580344230488</v>
      </c>
    </row>
    <row r="43" spans="11:11">
      <c r="K43" t="s">
        <v>1324</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3" max="3" width="12.140625" customWidth="1"/>
    <col min="4" max="4" width="15.5703125" customWidth="1"/>
  </cols>
  <sheetData>
    <row r="1" spans="1:35">
      <c r="P1" s="14"/>
      <c r="R1" s="236" t="s">
        <v>1318</v>
      </c>
      <c r="S1" s="236"/>
      <c r="T1" s="236"/>
      <c r="U1" s="236"/>
      <c r="W1" s="236" t="s">
        <v>1318</v>
      </c>
      <c r="X1" s="236"/>
      <c r="Y1" s="236"/>
      <c r="Z1" s="236"/>
    </row>
    <row r="2" spans="1:35">
      <c r="C2" t="s">
        <v>282</v>
      </c>
      <c r="L2" t="s">
        <v>282</v>
      </c>
      <c r="S2" t="s">
        <v>1172</v>
      </c>
      <c r="X2" t="s">
        <v>1184</v>
      </c>
      <c r="AB2" t="s">
        <v>960</v>
      </c>
    </row>
    <row r="3" spans="1:35">
      <c r="B3" t="s">
        <v>938</v>
      </c>
      <c r="C3" t="s">
        <v>1321</v>
      </c>
      <c r="D3" t="s">
        <v>1164</v>
      </c>
      <c r="E3" s="87" t="s">
        <v>1137</v>
      </c>
      <c r="F3" s="87" t="s">
        <v>1384</v>
      </c>
      <c r="G3" s="87" t="s">
        <v>1383</v>
      </c>
      <c r="H3" s="87" t="s">
        <v>1382</v>
      </c>
      <c r="I3" s="87" t="s">
        <v>1136</v>
      </c>
      <c r="J3" t="s">
        <v>1163</v>
      </c>
      <c r="L3" s="14" t="s">
        <v>1195</v>
      </c>
      <c r="M3" s="14" t="s">
        <v>1160</v>
      </c>
      <c r="N3" s="14" t="s">
        <v>944</v>
      </c>
      <c r="O3" s="78" t="s">
        <v>1153</v>
      </c>
      <c r="P3" s="14" t="s">
        <v>1152</v>
      </c>
      <c r="S3" s="236" t="s">
        <v>1173</v>
      </c>
      <c r="T3" s="236" t="s">
        <v>1147</v>
      </c>
      <c r="U3" s="236" t="s">
        <v>1174</v>
      </c>
      <c r="X3" s="236" t="s">
        <v>1173</v>
      </c>
      <c r="Y3" s="236" t="s">
        <v>1147</v>
      </c>
      <c r="Z3" s="236" t="s">
        <v>1174</v>
      </c>
      <c r="AB3" s="14" t="s">
        <v>1317</v>
      </c>
      <c r="AD3" t="s">
        <v>1322</v>
      </c>
      <c r="AE3" t="s">
        <v>1296</v>
      </c>
      <c r="AG3" t="s">
        <v>329</v>
      </c>
      <c r="AH3" t="s">
        <v>1323</v>
      </c>
      <c r="AI3" t="s">
        <v>1094</v>
      </c>
    </row>
    <row r="4" spans="1:35">
      <c r="A4">
        <v>2009</v>
      </c>
      <c r="B4" s="13">
        <f>'EV %sales'!H67</f>
        <v>0</v>
      </c>
      <c r="C4" s="20"/>
      <c r="D4" s="13"/>
      <c r="E4" s="13"/>
      <c r="F4" s="84"/>
      <c r="G4" s="84"/>
      <c r="H4" s="84"/>
      <c r="I4" s="13"/>
      <c r="J4" s="13"/>
      <c r="K4" s="13"/>
      <c r="L4" s="13"/>
      <c r="M4" s="13"/>
      <c r="N4" s="13"/>
      <c r="O4" s="13"/>
      <c r="P4" s="13"/>
      <c r="R4">
        <v>2009</v>
      </c>
      <c r="W4">
        <v>2009</v>
      </c>
      <c r="AB4" s="13"/>
      <c r="AC4" s="13"/>
    </row>
    <row r="5" spans="1:35">
      <c r="A5">
        <v>2010</v>
      </c>
      <c r="B5" s="13">
        <f>'EV %sales'!H68</f>
        <v>0</v>
      </c>
      <c r="C5" s="20"/>
      <c r="D5" s="13"/>
      <c r="E5" s="13"/>
      <c r="F5" s="230"/>
      <c r="G5" s="230"/>
      <c r="H5" s="230"/>
      <c r="I5" s="13"/>
      <c r="J5" s="13"/>
      <c r="K5" s="13"/>
      <c r="L5" s="13"/>
      <c r="M5" s="13"/>
      <c r="N5" s="13"/>
      <c r="O5" s="13"/>
      <c r="P5" s="13"/>
      <c r="R5">
        <v>2010</v>
      </c>
      <c r="W5">
        <v>2010</v>
      </c>
      <c r="AB5" s="13">
        <f>65*EXP(AE5)/(1+EXP(AE5))</f>
        <v>1.8233531246333173E-2</v>
      </c>
      <c r="AC5" s="13"/>
      <c r="AE5" s="33">
        <f t="shared" ref="AE5:AE50" si="0">AD$56+AD$57*AG5+AD$58*AH5+AD$59*AI5</f>
        <v>-8.1785997184989085</v>
      </c>
      <c r="AG5">
        <v>1</v>
      </c>
    </row>
    <row r="6" spans="1:35">
      <c r="A6">
        <v>2011</v>
      </c>
      <c r="B6" s="13">
        <f>'EV %sales'!H69</f>
        <v>2.2985043869730284E-2</v>
      </c>
      <c r="C6" s="20"/>
      <c r="D6" s="13"/>
      <c r="E6" s="13"/>
      <c r="F6" s="230"/>
      <c r="G6" s="230"/>
      <c r="H6" s="230"/>
      <c r="I6" s="13"/>
      <c r="J6" s="13"/>
      <c r="K6" s="13"/>
      <c r="L6" s="13"/>
      <c r="M6" s="13"/>
      <c r="N6" s="13"/>
      <c r="O6" s="13"/>
      <c r="P6" s="13"/>
      <c r="R6">
        <v>2011</v>
      </c>
      <c r="W6">
        <v>2011</v>
      </c>
      <c r="AB6" s="13">
        <f t="shared" ref="AB6:AB50" si="1">65*EXP(AE6)/(1+EXP(AE6))</f>
        <v>3.6720612542961363E-2</v>
      </c>
      <c r="AC6" s="13"/>
      <c r="AD6">
        <f t="shared" ref="AD6:AD13" si="2">LN(B6/(65-B6))</f>
        <v>-7.9469451324006357</v>
      </c>
      <c r="AE6" s="33">
        <f t="shared" si="0"/>
        <v>-7.4782392096762713</v>
      </c>
      <c r="AG6">
        <v>2</v>
      </c>
    </row>
    <row r="7" spans="1:35">
      <c r="A7">
        <v>2012</v>
      </c>
      <c r="B7" s="13">
        <f>'EV %sales'!H70</f>
        <v>0.16083815548287389</v>
      </c>
      <c r="C7" s="13">
        <f t="shared" ref="C7:C13" si="3">AB7</f>
        <v>0.10779280678428281</v>
      </c>
      <c r="D7" s="84">
        <f>65*EXP(E7)/(1+EXP(E7))</f>
        <v>0.10779280678428281</v>
      </c>
      <c r="E7" s="84">
        <f>J7-SUM(F7:F$7)</f>
        <v>-6.4002718925882442</v>
      </c>
      <c r="F7" s="13">
        <f>I7*G7</f>
        <v>0</v>
      </c>
      <c r="G7" s="13">
        <f>IF(H7&lt;0,0,H7)</f>
        <v>1</v>
      </c>
      <c r="H7" s="13">
        <f>IF((P7-0.6)/0.3&gt;1,1,(P7-0.6)/0.3)</f>
        <v>1</v>
      </c>
      <c r="I7" s="13">
        <v>0</v>
      </c>
      <c r="J7" s="13">
        <f>LN(L7/(65-L7))</f>
        <v>-6.4002718925882442</v>
      </c>
      <c r="K7" s="13"/>
      <c r="L7" s="84">
        <f t="shared" ref="L7:L13" si="4">M7</f>
        <v>0.10779280678428281</v>
      </c>
      <c r="M7" s="13">
        <f t="shared" ref="M7:M50" si="5">LOOKUP(ROUND(N7,0),A$4:A$50,AB$4:AB$50)</f>
        <v>0.10779280678428281</v>
      </c>
      <c r="N7" s="13">
        <f>A7-(O7-O$7)</f>
        <v>2012</v>
      </c>
      <c r="O7" s="13">
        <f t="shared" ref="O7:O50" si="6">Z$56+Z$57*P7</f>
        <v>2016.6008082526105</v>
      </c>
      <c r="P7" s="13">
        <f>1/Finland!R82</f>
        <v>0.97415219376063611</v>
      </c>
      <c r="Q7" s="13"/>
      <c r="R7">
        <v>2012</v>
      </c>
      <c r="S7" s="13">
        <v>0.10779280678428281</v>
      </c>
      <c r="T7" s="13">
        <v>0.10779280678428281</v>
      </c>
      <c r="U7" s="13">
        <v>0.10779280678428281</v>
      </c>
      <c r="W7">
        <v>2012</v>
      </c>
      <c r="X7" s="13">
        <v>0.10779280678428281</v>
      </c>
      <c r="Y7" s="13">
        <f>T7</f>
        <v>0.10779280678428281</v>
      </c>
      <c r="Z7" s="13">
        <v>0.10779280678428281</v>
      </c>
      <c r="AA7" s="13"/>
      <c r="AB7" s="13">
        <f t="shared" si="1"/>
        <v>0.10779280678428281</v>
      </c>
      <c r="AC7" s="13"/>
      <c r="AD7">
        <f t="shared" si="2"/>
        <v>-5.9992664353087966</v>
      </c>
      <c r="AE7" s="33">
        <f t="shared" si="0"/>
        <v>-6.4002718925882442</v>
      </c>
      <c r="AG7">
        <v>3</v>
      </c>
      <c r="AH7">
        <v>1</v>
      </c>
    </row>
    <row r="8" spans="1:35">
      <c r="A8">
        <v>2013</v>
      </c>
      <c r="B8" s="13">
        <f>'EV %sales'!H71</f>
        <v>0.2106422656604795</v>
      </c>
      <c r="C8" s="13">
        <f t="shared" si="3"/>
        <v>0.2167816204415593</v>
      </c>
      <c r="D8" s="84">
        <f t="shared" ref="D8:D49" si="7">65*EXP(E8)/(1+EXP(E8))</f>
        <v>0.2167816204415593</v>
      </c>
      <c r="E8" s="84">
        <f>J8-SUM(F$7:F8)</f>
        <v>-5.6999113837656079</v>
      </c>
      <c r="F8" s="13">
        <f t="shared" ref="F8:F50" si="8">I8*G8</f>
        <v>0</v>
      </c>
      <c r="G8" s="13">
        <f t="shared" ref="G8:G50" si="9">IF(H8&lt;0,0,H8)</f>
        <v>1</v>
      </c>
      <c r="H8" s="13">
        <f t="shared" ref="H8:H50" si="10">IF((P8-0.6)/0.3&gt;1,1,(P8-0.6)/0.3)</f>
        <v>1</v>
      </c>
      <c r="I8" s="13">
        <v>0</v>
      </c>
      <c r="J8" s="13">
        <f t="shared" ref="J8:J47" si="11">LN(L8/(65-L8))</f>
        <v>-5.6999113837656079</v>
      </c>
      <c r="K8" s="13"/>
      <c r="L8" s="84">
        <f t="shared" si="4"/>
        <v>0.2167816204415593</v>
      </c>
      <c r="M8" s="13">
        <f t="shared" si="5"/>
        <v>0.2167816204415593</v>
      </c>
      <c r="N8" s="13">
        <f>A8-(O8-O$7)</f>
        <v>2012.8728181361607</v>
      </c>
      <c r="O8" s="13">
        <f t="shared" si="6"/>
        <v>2016.7279901164497</v>
      </c>
      <c r="P8" s="13">
        <f>1/Finland!R83</f>
        <v>0.98594586908585125</v>
      </c>
      <c r="Q8" s="13"/>
      <c r="R8">
        <v>2013</v>
      </c>
      <c r="S8" s="13">
        <v>0.2167816204415593</v>
      </c>
      <c r="T8" s="13">
        <v>0.2167816204415593</v>
      </c>
      <c r="U8" s="13">
        <v>0.2167816204415593</v>
      </c>
      <c r="W8">
        <v>2013</v>
      </c>
      <c r="X8" s="13">
        <v>0.2167816204415593</v>
      </c>
      <c r="Y8" s="13">
        <f t="shared" ref="Y8:Y45" si="12">T8</f>
        <v>0.2167816204415593</v>
      </c>
      <c r="Z8" s="13">
        <v>0.2167816204415593</v>
      </c>
      <c r="AA8" s="13"/>
      <c r="AB8" s="13">
        <f t="shared" si="1"/>
        <v>0.2167816204415593</v>
      </c>
      <c r="AC8" s="13"/>
      <c r="AD8" s="87">
        <f t="shared" si="2"/>
        <v>-5.7287353651487702</v>
      </c>
      <c r="AE8" s="33">
        <f t="shared" si="0"/>
        <v>-5.6999113837656079</v>
      </c>
      <c r="AG8">
        <v>4</v>
      </c>
      <c r="AH8">
        <v>1</v>
      </c>
      <c r="AI8">
        <v>0</v>
      </c>
    </row>
    <row r="9" spans="1:35">
      <c r="A9">
        <v>2014</v>
      </c>
      <c r="B9" s="13">
        <f>'EV %sales'!H72</f>
        <v>0.44786932753737729</v>
      </c>
      <c r="C9" s="13">
        <f t="shared" si="3"/>
        <v>0.43522943065798925</v>
      </c>
      <c r="D9" s="84">
        <f t="shared" si="7"/>
        <v>0.43522943065798925</v>
      </c>
      <c r="E9" s="84">
        <f>J9-SUM(F$7:F9)</f>
        <v>-4.9995508749429716</v>
      </c>
      <c r="F9" s="13">
        <f t="shared" si="8"/>
        <v>0</v>
      </c>
      <c r="G9" s="13">
        <f t="shared" si="9"/>
        <v>1</v>
      </c>
      <c r="H9" s="13">
        <f t="shared" si="10"/>
        <v>1</v>
      </c>
      <c r="I9" s="13">
        <v>0</v>
      </c>
      <c r="J9" s="13">
        <f t="shared" si="11"/>
        <v>-4.9995508749429716</v>
      </c>
      <c r="K9" s="13"/>
      <c r="L9" s="84">
        <f t="shared" si="4"/>
        <v>0.43522943065798925</v>
      </c>
      <c r="M9" s="13">
        <f t="shared" si="5"/>
        <v>0.43522943065798925</v>
      </c>
      <c r="N9" s="13">
        <f>A9-(O9-O$9)</f>
        <v>2014</v>
      </c>
      <c r="O9" s="13">
        <f t="shared" si="6"/>
        <v>2017.5663798375936</v>
      </c>
      <c r="P9" s="13">
        <f>1/Finland!R84</f>
        <v>1.0636904143274126</v>
      </c>
      <c r="Q9" s="13"/>
      <c r="R9">
        <v>2014</v>
      </c>
      <c r="S9" s="13">
        <v>0.43522943065798925</v>
      </c>
      <c r="T9" s="13">
        <v>0.43522943065798925</v>
      </c>
      <c r="U9" s="13">
        <v>0.43522943065798925</v>
      </c>
      <c r="W9">
        <v>2014</v>
      </c>
      <c r="X9" s="13">
        <v>0.43522943065798925</v>
      </c>
      <c r="Y9" s="13">
        <f t="shared" si="12"/>
        <v>0.43522943065798925</v>
      </c>
      <c r="Z9" s="13">
        <v>0.43522943065798925</v>
      </c>
      <c r="AA9" s="13"/>
      <c r="AB9" s="13">
        <f t="shared" si="1"/>
        <v>0.43522943065798925</v>
      </c>
      <c r="AC9" s="13"/>
      <c r="AD9" s="87">
        <f t="shared" si="2"/>
        <v>-4.9707268935598075</v>
      </c>
      <c r="AE9" s="33">
        <f t="shared" si="0"/>
        <v>-4.9995508749429716</v>
      </c>
      <c r="AG9">
        <v>5</v>
      </c>
      <c r="AH9">
        <v>1</v>
      </c>
      <c r="AI9">
        <v>0</v>
      </c>
    </row>
    <row r="10" spans="1:35">
      <c r="A10">
        <v>2015</v>
      </c>
      <c r="B10" s="13">
        <f>'EV %sales'!H73</f>
        <v>0.60358845740429401</v>
      </c>
      <c r="C10" s="13">
        <f t="shared" si="3"/>
        <v>0.59949021570807204</v>
      </c>
      <c r="D10" s="84">
        <f t="shared" si="7"/>
        <v>0.59949021570807204</v>
      </c>
      <c r="E10" s="84">
        <f>J10-SUM(F$7:F10)</f>
        <v>-4.676797174385726</v>
      </c>
      <c r="F10" s="13">
        <f t="shared" si="8"/>
        <v>0</v>
      </c>
      <c r="G10" s="13">
        <f t="shared" si="9"/>
        <v>1</v>
      </c>
      <c r="H10" s="13">
        <f t="shared" si="10"/>
        <v>1</v>
      </c>
      <c r="I10" s="13">
        <v>0</v>
      </c>
      <c r="J10" s="13">
        <f t="shared" si="11"/>
        <v>-4.676797174385726</v>
      </c>
      <c r="K10" s="13"/>
      <c r="L10" s="84">
        <f t="shared" si="4"/>
        <v>0.59949021570807204</v>
      </c>
      <c r="M10" s="13">
        <f t="shared" si="5"/>
        <v>0.59949021570807204</v>
      </c>
      <c r="N10" s="13">
        <f t="shared" ref="N10:N50" si="13">A10-(O10-O$7)</f>
        <v>2014.860254294362</v>
      </c>
      <c r="O10" s="13">
        <f t="shared" si="6"/>
        <v>2016.7405539582485</v>
      </c>
      <c r="P10" s="13">
        <f>1/Finland!R85</f>
        <v>0.9871109241223105</v>
      </c>
      <c r="Q10" s="13"/>
      <c r="R10">
        <v>2015</v>
      </c>
      <c r="S10" s="13">
        <v>0.59949021570807204</v>
      </c>
      <c r="T10" s="13">
        <v>0.59949021570807204</v>
      </c>
      <c r="U10" s="13">
        <v>0.59949021570807204</v>
      </c>
      <c r="W10">
        <v>2015</v>
      </c>
      <c r="X10" s="13">
        <v>0.59949021570807204</v>
      </c>
      <c r="Y10" s="13">
        <f t="shared" si="12"/>
        <v>0.59949021570807204</v>
      </c>
      <c r="Z10" s="13">
        <v>0.59949021570807204</v>
      </c>
      <c r="AA10" s="13"/>
      <c r="AB10" s="13">
        <f t="shared" si="1"/>
        <v>0.59949021570807204</v>
      </c>
      <c r="AC10" s="13"/>
      <c r="AD10" s="87">
        <f t="shared" si="2"/>
        <v>-4.6699205853628145</v>
      </c>
      <c r="AE10" s="33">
        <f t="shared" si="0"/>
        <v>-4.676797174385726</v>
      </c>
      <c r="AG10">
        <v>6</v>
      </c>
      <c r="AH10">
        <v>0</v>
      </c>
      <c r="AI10">
        <v>0</v>
      </c>
    </row>
    <row r="11" spans="1:35">
      <c r="A11">
        <v>2016</v>
      </c>
      <c r="B11" s="13">
        <f>'EV %sales'!H74</f>
        <v>1.2012869731768581</v>
      </c>
      <c r="C11" s="13">
        <f t="shared" si="3"/>
        <v>1.1964656516070145</v>
      </c>
      <c r="D11" s="84">
        <f t="shared" si="7"/>
        <v>1.1964656516070145</v>
      </c>
      <c r="E11" s="84">
        <f>J11-SUM(F$7:F11)</f>
        <v>-3.9764366655630896</v>
      </c>
      <c r="F11" s="13">
        <f t="shared" si="8"/>
        <v>0</v>
      </c>
      <c r="G11" s="13">
        <f t="shared" si="9"/>
        <v>1</v>
      </c>
      <c r="H11" s="13">
        <f t="shared" si="10"/>
        <v>1</v>
      </c>
      <c r="I11" s="13">
        <v>0</v>
      </c>
      <c r="J11" s="13">
        <f t="shared" si="11"/>
        <v>-3.9764366655630896</v>
      </c>
      <c r="K11" s="13"/>
      <c r="L11" s="84">
        <f t="shared" si="4"/>
        <v>1.1964656516070145</v>
      </c>
      <c r="M11" s="13">
        <f t="shared" si="5"/>
        <v>1.1964656516070145</v>
      </c>
      <c r="N11" s="13">
        <f t="shared" si="13"/>
        <v>2015.7791397836322</v>
      </c>
      <c r="O11" s="13">
        <f t="shared" si="6"/>
        <v>2016.8216684689783</v>
      </c>
      <c r="P11" s="13">
        <f>1/Finland!R86</f>
        <v>0.99463273717669831</v>
      </c>
      <c r="Q11" s="13"/>
      <c r="R11">
        <v>2016</v>
      </c>
      <c r="S11" s="13">
        <v>1.1964656516070145</v>
      </c>
      <c r="T11" s="13">
        <v>1.1964656516070145</v>
      </c>
      <c r="U11" s="13">
        <v>1.1964656516070145</v>
      </c>
      <c r="W11">
        <v>2016</v>
      </c>
      <c r="X11" s="13">
        <v>1.1964656516070145</v>
      </c>
      <c r="Y11" s="13">
        <f t="shared" si="12"/>
        <v>1.1964656516070145</v>
      </c>
      <c r="Z11" s="13">
        <v>1.1964656516070145</v>
      </c>
      <c r="AA11" s="13"/>
      <c r="AB11" s="13">
        <f t="shared" si="1"/>
        <v>1.1964656516070145</v>
      </c>
      <c r="AC11" s="13"/>
      <c r="AD11" s="87">
        <f t="shared" si="2"/>
        <v>-3.9723395584058743</v>
      </c>
      <c r="AE11" s="33">
        <f t="shared" si="0"/>
        <v>-3.9764366655630896</v>
      </c>
      <c r="AG11">
        <v>7</v>
      </c>
      <c r="AH11">
        <v>0</v>
      </c>
      <c r="AI11">
        <v>0</v>
      </c>
    </row>
    <row r="12" spans="1:35">
      <c r="A12">
        <v>2017</v>
      </c>
      <c r="B12" s="13">
        <f>'EV %sales'!H75</f>
        <v>2.5773413311061049</v>
      </c>
      <c r="C12" s="13">
        <f t="shared" si="3"/>
        <v>2.577341331106104</v>
      </c>
      <c r="D12" s="84">
        <f t="shared" si="7"/>
        <v>2.577341331106104</v>
      </c>
      <c r="E12" s="84">
        <f>J12-SUM(F$7:F12)</f>
        <v>-3.1871699533647488</v>
      </c>
      <c r="F12" s="13">
        <f t="shared" si="8"/>
        <v>0</v>
      </c>
      <c r="G12" s="13">
        <f t="shared" si="9"/>
        <v>1</v>
      </c>
      <c r="H12" s="13">
        <f t="shared" si="10"/>
        <v>1</v>
      </c>
      <c r="I12" s="13">
        <v>0</v>
      </c>
      <c r="J12" s="13">
        <f t="shared" si="11"/>
        <v>-3.1871699533647488</v>
      </c>
      <c r="K12" s="13"/>
      <c r="L12" s="84">
        <f t="shared" si="4"/>
        <v>2.577341331106104</v>
      </c>
      <c r="M12" s="13">
        <f t="shared" si="5"/>
        <v>2.577341331106104</v>
      </c>
      <c r="N12" s="13">
        <f t="shared" si="13"/>
        <v>2016.8679869329287</v>
      </c>
      <c r="O12" s="13">
        <f t="shared" si="6"/>
        <v>2016.7328213196818</v>
      </c>
      <c r="P12" s="13">
        <f>1/Finland!R87</f>
        <v>0.98639387040166471</v>
      </c>
      <c r="Q12" s="13"/>
      <c r="R12">
        <v>2017</v>
      </c>
      <c r="S12" s="13">
        <v>2.577341331106104</v>
      </c>
      <c r="T12" s="13">
        <v>2.577341331106104</v>
      </c>
      <c r="U12" s="13">
        <v>2.577341331106104</v>
      </c>
      <c r="W12">
        <v>2017</v>
      </c>
      <c r="X12" s="13">
        <v>2.577341331106104</v>
      </c>
      <c r="Y12" s="13">
        <f t="shared" si="12"/>
        <v>2.577341331106104</v>
      </c>
      <c r="Z12" s="13">
        <v>2.577341331106104</v>
      </c>
      <c r="AA12" s="13"/>
      <c r="AB12" s="13">
        <f t="shared" si="1"/>
        <v>2.577341331106104</v>
      </c>
      <c r="AC12" s="13"/>
      <c r="AD12" s="87">
        <f t="shared" si="2"/>
        <v>-3.1871699533647484</v>
      </c>
      <c r="AE12" s="33">
        <f t="shared" si="0"/>
        <v>-3.1871699533647488</v>
      </c>
      <c r="AG12">
        <v>8</v>
      </c>
      <c r="AH12">
        <v>0</v>
      </c>
      <c r="AI12">
        <v>1</v>
      </c>
    </row>
    <row r="13" spans="1:35">
      <c r="A13">
        <v>2018</v>
      </c>
      <c r="B13" s="13">
        <f>D58</f>
        <v>4.55</v>
      </c>
      <c r="C13" s="13">
        <f t="shared" si="3"/>
        <v>4.596654877069545</v>
      </c>
      <c r="D13" s="84">
        <f>65*EXP(E13)/(1+EXP(E13))</f>
        <v>4.596654877069545</v>
      </c>
      <c r="E13" s="84">
        <f>J13-SUM(F$7:F13)</f>
        <v>-2.5757156479178169</v>
      </c>
      <c r="F13" s="13">
        <f t="shared" si="8"/>
        <v>0</v>
      </c>
      <c r="G13" s="13">
        <f t="shared" si="9"/>
        <v>1</v>
      </c>
      <c r="H13" s="13">
        <f t="shared" si="10"/>
        <v>1</v>
      </c>
      <c r="I13" s="13">
        <v>0</v>
      </c>
      <c r="J13" s="13">
        <f t="shared" si="11"/>
        <v>-2.5757156479178169</v>
      </c>
      <c r="K13" s="13"/>
      <c r="L13" s="84">
        <f t="shared" si="4"/>
        <v>4.596654877069545</v>
      </c>
      <c r="M13" s="13">
        <f t="shared" si="5"/>
        <v>4.596654877069545</v>
      </c>
      <c r="N13" s="72">
        <f t="shared" si="13"/>
        <v>2018.3940936114957</v>
      </c>
      <c r="O13" s="13">
        <f t="shared" si="6"/>
        <v>2016.2067146411148</v>
      </c>
      <c r="P13" s="13">
        <f>1/Finland!R88</f>
        <v>0.9376075799185849</v>
      </c>
      <c r="Q13" s="13"/>
      <c r="R13">
        <v>2018</v>
      </c>
      <c r="S13" s="13">
        <v>4.596654877069545</v>
      </c>
      <c r="T13" s="13">
        <v>4.596654877069545</v>
      </c>
      <c r="U13" s="13">
        <v>4.596654877069545</v>
      </c>
      <c r="W13">
        <v>2018</v>
      </c>
      <c r="X13" s="13">
        <v>4.596654877069545</v>
      </c>
      <c r="Y13" s="13">
        <f t="shared" si="12"/>
        <v>4.596654877069545</v>
      </c>
      <c r="Z13" s="13">
        <v>4.596654877069545</v>
      </c>
      <c r="AA13" s="13"/>
      <c r="AB13" s="13">
        <f t="shared" si="1"/>
        <v>4.596654877069545</v>
      </c>
      <c r="AC13" s="13"/>
      <c r="AD13" s="87">
        <f t="shared" si="2"/>
        <v>-2.5866893440979428</v>
      </c>
      <c r="AE13" s="33">
        <f t="shared" si="0"/>
        <v>-2.5757156479178169</v>
      </c>
      <c r="AG13">
        <v>9</v>
      </c>
      <c r="AH13">
        <v>0</v>
      </c>
      <c r="AI13">
        <v>0</v>
      </c>
    </row>
    <row r="14" spans="1:35">
      <c r="A14">
        <v>2019</v>
      </c>
      <c r="B14" s="13"/>
      <c r="C14" s="13">
        <f>D14</f>
        <v>11.215955938669456</v>
      </c>
      <c r="D14" s="84">
        <f>65*EXP(E14)/(1+EXP(E14))</f>
        <v>11.215955938669456</v>
      </c>
      <c r="E14" s="84">
        <f>J14-SUM(F$7:F14)</f>
        <v>-1.5676394425446771</v>
      </c>
      <c r="F14" s="13">
        <f>I14*G14</f>
        <v>0</v>
      </c>
      <c r="G14" s="13">
        <f t="shared" si="9"/>
        <v>1</v>
      </c>
      <c r="H14" s="13">
        <f t="shared" si="10"/>
        <v>1</v>
      </c>
      <c r="I14" s="13">
        <v>0</v>
      </c>
      <c r="J14" s="13">
        <f>LN(L14/(65-L14))</f>
        <v>-1.5676394425446771</v>
      </c>
      <c r="K14" s="13"/>
      <c r="L14" s="84">
        <f t="shared" ref="L14:L48" si="14">AVERAGE(M12:M16)</f>
        <v>11.215955938669456</v>
      </c>
      <c r="M14" s="13">
        <f t="shared" si="5"/>
        <v>8.6400147217897896</v>
      </c>
      <c r="N14" s="72">
        <f t="shared" si="13"/>
        <v>2019.1637647147757</v>
      </c>
      <c r="O14" s="13">
        <f t="shared" si="6"/>
        <v>2016.4370435378348</v>
      </c>
      <c r="P14" s="13">
        <f>1/Finland!R89</f>
        <v>0.95896616158997094</v>
      </c>
      <c r="Q14" s="13"/>
      <c r="R14">
        <v>2019</v>
      </c>
      <c r="S14" s="13">
        <v>13.460707586313797</v>
      </c>
      <c r="T14" s="13">
        <v>11.215955938669456</v>
      </c>
      <c r="U14" s="13">
        <v>11.215955938669456</v>
      </c>
      <c r="W14">
        <v>2019</v>
      </c>
      <c r="X14" s="13">
        <v>11.215955938669456</v>
      </c>
      <c r="Y14" s="13">
        <f t="shared" si="12"/>
        <v>11.215955938669456</v>
      </c>
      <c r="Z14" s="13">
        <v>15.379073764430945</v>
      </c>
      <c r="AA14" s="13"/>
      <c r="AB14" s="13">
        <f t="shared" si="1"/>
        <v>8.6400147217897896</v>
      </c>
      <c r="AC14" s="13"/>
      <c r="AE14" s="33">
        <f t="shared" si="0"/>
        <v>-1.8753551390951806</v>
      </c>
      <c r="AG14">
        <v>10</v>
      </c>
      <c r="AH14">
        <v>0</v>
      </c>
      <c r="AI14">
        <v>0</v>
      </c>
    </row>
    <row r="15" spans="1:35">
      <c r="A15">
        <v>2020</v>
      </c>
      <c r="B15" s="13"/>
      <c r="C15" s="13">
        <f>AVERAGE(D14:D16)</f>
        <v>14.367487649150064</v>
      </c>
      <c r="D15" s="84">
        <f>65*EXP(E15)/(1+EXP(E15))</f>
        <v>14.306501239093336</v>
      </c>
      <c r="E15" s="84">
        <f>J15-SUM(F$7:F15)</f>
        <v>-1.2650836067506801</v>
      </c>
      <c r="F15" s="13">
        <f t="shared" si="8"/>
        <v>0.3</v>
      </c>
      <c r="G15" s="13">
        <f t="shared" si="9"/>
        <v>1</v>
      </c>
      <c r="H15" s="13">
        <f t="shared" si="10"/>
        <v>1</v>
      </c>
      <c r="I15" s="231">
        <v>0.3</v>
      </c>
      <c r="J15" s="13">
        <f t="shared" si="11"/>
        <v>-0.96508360675068017</v>
      </c>
      <c r="K15" s="13"/>
      <c r="L15" s="84">
        <f t="shared" si="14"/>
        <v>17.930999285489332</v>
      </c>
      <c r="M15" s="13">
        <f t="shared" si="5"/>
        <v>15.336968936398058</v>
      </c>
      <c r="N15" s="13">
        <f t="shared" si="13"/>
        <v>2020.2102108482447</v>
      </c>
      <c r="O15" s="13">
        <f t="shared" si="6"/>
        <v>2016.3905974043657</v>
      </c>
      <c r="P15" s="13">
        <f>1/Finland!R90</f>
        <v>0.95465917471534789</v>
      </c>
      <c r="Q15" s="13"/>
      <c r="R15">
        <v>2020</v>
      </c>
      <c r="S15" s="13">
        <v>18.072912612435342</v>
      </c>
      <c r="T15" s="13">
        <v>14.367487649150064</v>
      </c>
      <c r="U15" s="13">
        <v>14.367487649150064</v>
      </c>
      <c r="W15">
        <v>2020</v>
      </c>
      <c r="X15" s="13">
        <v>12.592231225825278</v>
      </c>
      <c r="Y15" s="13">
        <f t="shared" si="12"/>
        <v>14.367487649150064</v>
      </c>
      <c r="Z15" s="13">
        <v>20.406975178520195</v>
      </c>
      <c r="AA15" s="13"/>
      <c r="AB15" s="13">
        <f t="shared" si="1"/>
        <v>15.336968936398058</v>
      </c>
      <c r="AC15" s="13"/>
      <c r="AE15" s="33">
        <f t="shared" si="0"/>
        <v>-1.1749946302725442</v>
      </c>
      <c r="AG15">
        <v>11</v>
      </c>
      <c r="AH15">
        <v>0</v>
      </c>
      <c r="AI15">
        <v>0</v>
      </c>
    </row>
    <row r="16" spans="1:35">
      <c r="A16">
        <v>2021</v>
      </c>
      <c r="B16" s="13"/>
      <c r="C16" s="13">
        <f>AVERAGE(D13:D19)</f>
        <v>18.265617627829446</v>
      </c>
      <c r="D16" s="84">
        <f t="shared" si="7"/>
        <v>17.580005769687396</v>
      </c>
      <c r="E16" s="84">
        <f>J16-SUM(F$7:F16)</f>
        <v>-0.99228173851215284</v>
      </c>
      <c r="F16" s="13">
        <f t="shared" si="8"/>
        <v>0.3075</v>
      </c>
      <c r="G16" s="13">
        <f t="shared" si="9"/>
        <v>1</v>
      </c>
      <c r="H16" s="13">
        <f t="shared" si="10"/>
        <v>1</v>
      </c>
      <c r="I16" s="20">
        <f>I15+(I35-I15)/20</f>
        <v>0.3075</v>
      </c>
      <c r="J16" s="13">
        <f t="shared" si="11"/>
        <v>-0.38478173851215292</v>
      </c>
      <c r="K16" s="13"/>
      <c r="L16" s="84">
        <f t="shared" si="14"/>
        <v>26.323317769546026</v>
      </c>
      <c r="M16" s="13">
        <f t="shared" si="5"/>
        <v>24.928799826983788</v>
      </c>
      <c r="N16" s="13">
        <f t="shared" si="13"/>
        <v>2021.4936366420454</v>
      </c>
      <c r="O16" s="13">
        <f t="shared" si="6"/>
        <v>2016.107171610565</v>
      </c>
      <c r="P16" s="13">
        <f>1/Finland!R91</f>
        <v>0.92837687557324411</v>
      </c>
      <c r="Q16" s="13"/>
      <c r="R16">
        <v>2021</v>
      </c>
      <c r="S16" s="13">
        <v>22.951726861721244</v>
      </c>
      <c r="T16" s="13">
        <v>18.265617627829446</v>
      </c>
      <c r="U16" s="13">
        <v>18.265617627829446</v>
      </c>
      <c r="W16">
        <v>2021</v>
      </c>
      <c r="X16" s="13">
        <v>13.813169276672358</v>
      </c>
      <c r="Y16" s="13">
        <f t="shared" si="12"/>
        <v>18.265617627829446</v>
      </c>
      <c r="Z16" s="13">
        <v>26.914911450766901</v>
      </c>
      <c r="AA16" s="13"/>
      <c r="AB16" s="13">
        <f t="shared" si="1"/>
        <v>24.928799826983788</v>
      </c>
      <c r="AC16" s="13"/>
      <c r="AE16" s="33">
        <f t="shared" si="0"/>
        <v>-0.47463412144990791</v>
      </c>
      <c r="AG16">
        <v>12</v>
      </c>
      <c r="AH16">
        <v>0</v>
      </c>
      <c r="AI16">
        <v>0</v>
      </c>
    </row>
    <row r="17" spans="1:35">
      <c r="A17">
        <v>2022</v>
      </c>
      <c r="B17" s="13"/>
      <c r="C17" s="13">
        <f t="shared" ref="C17:C50" si="15">AVERAGE(D14:D20)</f>
        <v>23.220405124882777</v>
      </c>
      <c r="D17" s="84">
        <f t="shared" si="7"/>
        <v>21.873148807038014</v>
      </c>
      <c r="E17" s="84">
        <f>J17-SUM(F$7:F17)</f>
        <v>-0.67888599794510918</v>
      </c>
      <c r="F17" s="13">
        <f t="shared" si="8"/>
        <v>0.315</v>
      </c>
      <c r="G17" s="13">
        <f t="shared" si="9"/>
        <v>1</v>
      </c>
      <c r="H17" s="13">
        <f t="shared" si="10"/>
        <v>1</v>
      </c>
      <c r="I17" s="20">
        <f>I16+(I35-I15)/20</f>
        <v>0.315</v>
      </c>
      <c r="J17" s="13">
        <f t="shared" si="11"/>
        <v>0.24361400205489073</v>
      </c>
      <c r="K17" s="13"/>
      <c r="L17" s="84">
        <f>AVERAGE(M15:M19)</f>
        <v>36.439264558787315</v>
      </c>
      <c r="M17" s="13">
        <f t="shared" si="5"/>
        <v>36.15255806520549</v>
      </c>
      <c r="N17" s="13">
        <f t="shared" si="13"/>
        <v>2022.3588772898877</v>
      </c>
      <c r="O17" s="13">
        <f t="shared" si="6"/>
        <v>2016.2419309627228</v>
      </c>
      <c r="P17" s="13">
        <f>1/Finland!R92</f>
        <v>0.9408732174132387</v>
      </c>
      <c r="Q17" s="13"/>
      <c r="R17">
        <v>2022</v>
      </c>
      <c r="S17" s="13">
        <v>28.8625872526164</v>
      </c>
      <c r="T17" s="13">
        <v>23.220405124882777</v>
      </c>
      <c r="U17" s="13">
        <v>23.166805055555276</v>
      </c>
      <c r="W17">
        <v>2022</v>
      </c>
      <c r="X17" s="13">
        <v>16.533159500856382</v>
      </c>
      <c r="Y17" s="13">
        <f t="shared" si="12"/>
        <v>23.220405124882777</v>
      </c>
      <c r="Z17" s="13">
        <v>34.514307541611636</v>
      </c>
      <c r="AA17" s="13"/>
      <c r="AB17" s="13">
        <f t="shared" si="1"/>
        <v>36.15255806520549</v>
      </c>
      <c r="AC17" s="13"/>
      <c r="AE17" s="33">
        <f t="shared" si="0"/>
        <v>0.22572638737272932</v>
      </c>
      <c r="AG17">
        <v>13</v>
      </c>
      <c r="AH17">
        <v>0</v>
      </c>
      <c r="AI17">
        <v>0</v>
      </c>
    </row>
    <row r="18" spans="1:35">
      <c r="A18">
        <v>2023</v>
      </c>
      <c r="B18" s="13"/>
      <c r="C18" s="13">
        <f>AVERAGE(D15:D21)</f>
        <v>28.678843507589971</v>
      </c>
      <c r="D18" s="84">
        <f t="shared" si="7"/>
        <v>26.433344482212028</v>
      </c>
      <c r="E18" s="84">
        <f>J18-SUM(F$7:F18)</f>
        <v>-0.37776179470471438</v>
      </c>
      <c r="F18" s="13">
        <f t="shared" si="8"/>
        <v>0.32250000000000001</v>
      </c>
      <c r="G18" s="13">
        <f t="shared" si="9"/>
        <v>1</v>
      </c>
      <c r="H18" s="13">
        <f t="shared" si="10"/>
        <v>1</v>
      </c>
      <c r="I18" s="20">
        <f>I17+(I35-I15)/20</f>
        <v>0.32250000000000001</v>
      </c>
      <c r="J18" s="13">
        <f t="shared" si="11"/>
        <v>0.8672382052952855</v>
      </c>
      <c r="K18" s="13"/>
      <c r="L18" s="84">
        <f t="shared" si="14"/>
        <v>45.771095577498961</v>
      </c>
      <c r="M18" s="13">
        <f t="shared" si="5"/>
        <v>46.558247297352999</v>
      </c>
      <c r="N18" s="13">
        <f t="shared" si="13"/>
        <v>2023.4483538731286</v>
      </c>
      <c r="O18" s="13">
        <f t="shared" si="6"/>
        <v>2016.1524543794819</v>
      </c>
      <c r="P18" s="13">
        <f>1/Finland!R93</f>
        <v>0.9325759827282375</v>
      </c>
      <c r="Q18" s="13"/>
      <c r="R18">
        <v>2023</v>
      </c>
      <c r="S18" s="13">
        <v>34.342232161520748</v>
      </c>
      <c r="T18" s="13">
        <v>28.678843507589971</v>
      </c>
      <c r="U18" s="13">
        <v>28.507957135528585</v>
      </c>
      <c r="W18">
        <v>2023</v>
      </c>
      <c r="X18" s="13">
        <v>18.933342398574691</v>
      </c>
      <c r="Y18" s="13">
        <f t="shared" si="12"/>
        <v>28.678843507589971</v>
      </c>
      <c r="Z18" s="13">
        <v>41.097292413353614</v>
      </c>
      <c r="AA18" s="13"/>
      <c r="AB18" s="13">
        <f t="shared" si="1"/>
        <v>46.558247297352999</v>
      </c>
      <c r="AC18" s="13"/>
      <c r="AE18" s="33">
        <f t="shared" si="0"/>
        <v>0.92608689619536477</v>
      </c>
      <c r="AG18">
        <v>14</v>
      </c>
      <c r="AH18">
        <v>0</v>
      </c>
      <c r="AI18">
        <v>0</v>
      </c>
    </row>
    <row r="19" spans="1:35">
      <c r="A19">
        <v>2024</v>
      </c>
      <c r="B19" s="13"/>
      <c r="C19" s="13">
        <f t="shared" si="15"/>
        <v>34.355952049744346</v>
      </c>
      <c r="D19" s="84">
        <f t="shared" si="7"/>
        <v>31.853712281036373</v>
      </c>
      <c r="E19" s="84">
        <f>J19-SUM(F$7:F19)</f>
        <v>-3.9776795655437569E-2</v>
      </c>
      <c r="F19" s="13">
        <f t="shared" si="8"/>
        <v>0.33</v>
      </c>
      <c r="G19" s="13">
        <f t="shared" si="9"/>
        <v>1</v>
      </c>
      <c r="H19" s="13">
        <f t="shared" si="10"/>
        <v>1</v>
      </c>
      <c r="I19" s="20">
        <f>I18+(I35-I15)/20</f>
        <v>0.33</v>
      </c>
      <c r="J19" s="13">
        <f t="shared" si="11"/>
        <v>1.5352232043445624</v>
      </c>
      <c r="K19" s="13"/>
      <c r="L19" s="84">
        <f t="shared" si="14"/>
        <v>53.480001017766384</v>
      </c>
      <c r="M19" s="13">
        <f t="shared" si="5"/>
        <v>59.219748667996228</v>
      </c>
      <c r="N19" s="13">
        <f t="shared" si="13"/>
        <v>2024.7980026758578</v>
      </c>
      <c r="O19" s="13">
        <f t="shared" si="6"/>
        <v>2015.8028055767527</v>
      </c>
      <c r="P19" s="13">
        <f>1/Finland!R94</f>
        <v>0.90015277133037086</v>
      </c>
      <c r="Q19" s="13"/>
      <c r="R19">
        <v>2024</v>
      </c>
      <c r="S19" s="13">
        <v>39.902924171546395</v>
      </c>
      <c r="T19" s="13">
        <v>34.355952049744346</v>
      </c>
      <c r="U19" s="13">
        <v>34.033207956382135</v>
      </c>
      <c r="W19">
        <v>2024</v>
      </c>
      <c r="X19" s="13">
        <v>21.862288349260638</v>
      </c>
      <c r="Y19" s="13">
        <f t="shared" si="12"/>
        <v>34.355952049744346</v>
      </c>
      <c r="Z19" s="13">
        <v>47.383198946352927</v>
      </c>
      <c r="AA19" s="13"/>
      <c r="AB19" s="13">
        <f t="shared" si="1"/>
        <v>54.319355186406916</v>
      </c>
      <c r="AC19" s="13"/>
      <c r="AE19" s="33">
        <f t="shared" si="0"/>
        <v>1.6264474050180002</v>
      </c>
      <c r="AG19">
        <v>15</v>
      </c>
      <c r="AH19">
        <v>0</v>
      </c>
      <c r="AI19">
        <v>0</v>
      </c>
    </row>
    <row r="20" spans="1:35">
      <c r="A20" s="14">
        <v>2025</v>
      </c>
      <c r="B20" s="13"/>
      <c r="C20" s="20">
        <f t="shared" si="15"/>
        <v>40.113725422452497</v>
      </c>
      <c r="D20" s="84">
        <f t="shared" si="7"/>
        <v>39.280167356442874</v>
      </c>
      <c r="E20" s="84">
        <f>J20-SUM(F$7:F20)</f>
        <v>0.42345735159098918</v>
      </c>
      <c r="F20" s="13">
        <f t="shared" si="8"/>
        <v>0.30509539055056029</v>
      </c>
      <c r="G20" s="13">
        <f t="shared" si="9"/>
        <v>0.90398634237203035</v>
      </c>
      <c r="H20" s="13">
        <f t="shared" si="10"/>
        <v>0.90398634237203035</v>
      </c>
      <c r="I20" s="20">
        <f>I19+(I35-I15)/20</f>
        <v>0.33750000000000002</v>
      </c>
      <c r="J20" s="13">
        <f t="shared" si="11"/>
        <v>2.3035527421415494</v>
      </c>
      <c r="K20" s="13"/>
      <c r="L20" s="84">
        <f t="shared" si="14"/>
        <v>59.096105148865675</v>
      </c>
      <c r="M20" s="13">
        <f t="shared" si="5"/>
        <v>61.996124029956285</v>
      </c>
      <c r="N20" s="13">
        <f t="shared" si="13"/>
        <v>2026.1102707704365</v>
      </c>
      <c r="O20" s="13">
        <f t="shared" si="6"/>
        <v>2015.490537482174</v>
      </c>
      <c r="P20" s="13">
        <f>1/Finland!R95</f>
        <v>0.87119590271160907</v>
      </c>
      <c r="Q20" s="13"/>
      <c r="R20" s="87">
        <v>2025</v>
      </c>
      <c r="S20" s="13">
        <v>45.439910431498561</v>
      </c>
      <c r="T20" s="13">
        <v>40.113725422452497</v>
      </c>
      <c r="U20" s="13">
        <v>39.618875565006441</v>
      </c>
      <c r="W20" s="87">
        <v>2025</v>
      </c>
      <c r="X20" s="13">
        <v>25.261126180480328</v>
      </c>
      <c r="Y20" s="13">
        <f t="shared" si="12"/>
        <v>40.113725422452497</v>
      </c>
      <c r="Z20" s="13">
        <v>52.878911698934473</v>
      </c>
      <c r="AA20" s="13"/>
      <c r="AB20" s="13">
        <f t="shared" si="1"/>
        <v>59.219748667996228</v>
      </c>
      <c r="AC20" s="13"/>
      <c r="AE20" s="33">
        <f t="shared" si="0"/>
        <v>2.3268079138406375</v>
      </c>
      <c r="AG20">
        <v>16</v>
      </c>
      <c r="AH20">
        <v>0</v>
      </c>
      <c r="AI20">
        <v>0</v>
      </c>
    </row>
    <row r="21" spans="1:35">
      <c r="A21">
        <v>2026</v>
      </c>
      <c r="B21" s="13"/>
      <c r="C21" s="13">
        <f t="shared" si="15"/>
        <v>45.690626869820264</v>
      </c>
      <c r="D21" s="84">
        <f t="shared" si="7"/>
        <v>49.425024617619798</v>
      </c>
      <c r="E21" s="84">
        <f>J21-SUM(F$7:F21)</f>
        <v>1.1547913830501493</v>
      </c>
      <c r="F21" s="13">
        <f t="shared" si="8"/>
        <v>0.29164862055149049</v>
      </c>
      <c r="G21" s="13">
        <f>IF(H21&lt;0,0,H21)</f>
        <v>0.84535832043910286</v>
      </c>
      <c r="H21" s="13">
        <f t="shared" si="10"/>
        <v>0.84535832043910286</v>
      </c>
      <c r="I21" s="20">
        <f>I20+(I35-I15)/20</f>
        <v>0.34500000000000003</v>
      </c>
      <c r="J21" s="13">
        <f t="shared" si="11"/>
        <v>3.3265353941522</v>
      </c>
      <c r="K21" s="13"/>
      <c r="L21" s="84">
        <f t="shared" si="14"/>
        <v>62.746319780239617</v>
      </c>
      <c r="M21" s="13">
        <f t="shared" si="5"/>
        <v>63.473327028320881</v>
      </c>
      <c r="N21" s="13">
        <f t="shared" si="13"/>
        <v>2027.299942460483</v>
      </c>
      <c r="O21" s="13">
        <f t="shared" si="6"/>
        <v>2015.3008657921275</v>
      </c>
      <c r="P21" s="13">
        <f>1/Finland!R96</f>
        <v>0.85360749613173081</v>
      </c>
      <c r="Q21" s="13"/>
      <c r="R21">
        <v>2026</v>
      </c>
      <c r="S21" s="13">
        <v>50.447563729767872</v>
      </c>
      <c r="T21" s="13">
        <v>45.690626869820264</v>
      </c>
      <c r="U21" s="13">
        <v>45.012558304392996</v>
      </c>
      <c r="W21">
        <v>2026</v>
      </c>
      <c r="X21" s="13">
        <v>29.064283986853614</v>
      </c>
      <c r="Y21" s="13">
        <f>T21</f>
        <v>45.690626869820264</v>
      </c>
      <c r="Z21" s="13">
        <v>57.394957780395046</v>
      </c>
      <c r="AA21" s="13"/>
      <c r="AB21" s="13">
        <f t="shared" si="1"/>
        <v>61.996124029956285</v>
      </c>
      <c r="AC21" s="13"/>
      <c r="AE21" s="33">
        <f t="shared" si="0"/>
        <v>3.0271684226632747</v>
      </c>
      <c r="AG21">
        <v>17</v>
      </c>
      <c r="AH21">
        <v>0</v>
      </c>
      <c r="AI21">
        <v>0</v>
      </c>
    </row>
    <row r="22" spans="1:35">
      <c r="A22">
        <v>2027</v>
      </c>
      <c r="B22" s="13"/>
      <c r="C22" s="13">
        <f t="shared" si="15"/>
        <v>50.950363967952946</v>
      </c>
      <c r="D22" s="84">
        <f t="shared" si="7"/>
        <v>54.046261034173973</v>
      </c>
      <c r="E22" s="84">
        <f>J22-SUM(F$7:F22)</f>
        <v>1.5961595095911822</v>
      </c>
      <c r="F22" s="13">
        <f t="shared" si="8"/>
        <v>0.27887781639713366</v>
      </c>
      <c r="G22" s="13">
        <f t="shared" si="9"/>
        <v>0.79114274155215214</v>
      </c>
      <c r="H22" s="13">
        <f t="shared" si="10"/>
        <v>0.79114274155215214</v>
      </c>
      <c r="I22" s="20">
        <f>I21+(I35-I15)/20</f>
        <v>0.35250000000000004</v>
      </c>
      <c r="J22" s="13">
        <f t="shared" si="11"/>
        <v>4.0467813370903665</v>
      </c>
      <c r="K22" s="13"/>
      <c r="L22" s="84">
        <f t="shared" si="14"/>
        <v>63.883411132441708</v>
      </c>
      <c r="M22" s="13">
        <f t="shared" si="5"/>
        <v>64.233078720701982</v>
      </c>
      <c r="N22" s="13">
        <f t="shared" si="13"/>
        <v>2028.4753391417169</v>
      </c>
      <c r="O22" s="13">
        <f t="shared" si="6"/>
        <v>2015.1254691108936</v>
      </c>
      <c r="P22" s="13">
        <f>1/Finland!R97</f>
        <v>0.83734282246564562</v>
      </c>
      <c r="Q22" s="13"/>
      <c r="R22">
        <v>2027</v>
      </c>
      <c r="S22" s="13">
        <v>54.640496485162934</v>
      </c>
      <c r="T22" s="13">
        <v>50.950363967952946</v>
      </c>
      <c r="U22" s="13">
        <v>50.082553143015275</v>
      </c>
      <c r="W22">
        <v>2027</v>
      </c>
      <c r="X22" s="13">
        <v>33.205594436412362</v>
      </c>
      <c r="Y22" s="13">
        <f t="shared" si="12"/>
        <v>50.950363967952946</v>
      </c>
      <c r="Z22" s="13">
        <v>60.894496784733391</v>
      </c>
      <c r="AA22" s="13"/>
      <c r="AB22" s="13">
        <f t="shared" si="1"/>
        <v>63.473327028320881</v>
      </c>
      <c r="AC22" s="13"/>
      <c r="AE22" s="33">
        <f t="shared" si="0"/>
        <v>3.7275289314859101</v>
      </c>
      <c r="AG22">
        <v>18</v>
      </c>
      <c r="AH22">
        <v>0</v>
      </c>
      <c r="AI22">
        <v>0</v>
      </c>
    </row>
    <row r="23" spans="1:35">
      <c r="A23">
        <v>2028</v>
      </c>
      <c r="B23" s="13"/>
      <c r="C23" s="13">
        <f t="shared" si="15"/>
        <v>55.526801517277214</v>
      </c>
      <c r="D23" s="84">
        <f t="shared" si="7"/>
        <v>57.884419378644417</v>
      </c>
      <c r="E23" s="84">
        <f>J23-SUM(F$7:F23)</f>
        <v>2.0961614195435505</v>
      </c>
      <c r="F23" s="13">
        <f t="shared" si="8"/>
        <v>0.26340607828183743</v>
      </c>
      <c r="G23" s="13">
        <f t="shared" si="9"/>
        <v>0.73168355078288161</v>
      </c>
      <c r="H23" s="13">
        <f t="shared" si="10"/>
        <v>0.73168355078288161</v>
      </c>
      <c r="I23" s="20">
        <f>I22+(I35-I15)/20</f>
        <v>0.36000000000000004</v>
      </c>
      <c r="J23" s="13">
        <f t="shared" si="11"/>
        <v>4.810189325324572</v>
      </c>
      <c r="K23" s="13"/>
      <c r="L23" s="84">
        <f t="shared" si="14"/>
        <v>64.474768084721887</v>
      </c>
      <c r="M23" s="13">
        <f t="shared" si="5"/>
        <v>64.809320454222686</v>
      </c>
      <c r="N23" s="13">
        <f t="shared" si="13"/>
        <v>2029.6676998052731</v>
      </c>
      <c r="O23" s="13">
        <f t="shared" si="6"/>
        <v>2014.9331084473374</v>
      </c>
      <c r="P23" s="13">
        <f>1/Finland!R98</f>
        <v>0.81950506523486444</v>
      </c>
      <c r="Q23" s="13"/>
      <c r="R23">
        <v>2028</v>
      </c>
      <c r="S23" s="13">
        <v>58.107649415146675</v>
      </c>
      <c r="T23" s="13">
        <v>55.526801517277214</v>
      </c>
      <c r="U23" s="13">
        <v>54.625518710904331</v>
      </c>
      <c r="W23">
        <v>2028</v>
      </c>
      <c r="X23" s="13">
        <v>37.646022065865608</v>
      </c>
      <c r="Y23" s="13">
        <f t="shared" si="12"/>
        <v>55.526801517277214</v>
      </c>
      <c r="Z23" s="13">
        <v>63.185662684796903</v>
      </c>
      <c r="AA23" s="13"/>
      <c r="AB23" s="13">
        <f t="shared" si="1"/>
        <v>64.233078720701982</v>
      </c>
      <c r="AC23" s="13"/>
      <c r="AE23" s="33">
        <f t="shared" si="0"/>
        <v>4.4278894403085456</v>
      </c>
      <c r="AG23">
        <v>19</v>
      </c>
      <c r="AH23">
        <v>0</v>
      </c>
      <c r="AI23">
        <v>0</v>
      </c>
    </row>
    <row r="24" spans="1:35">
      <c r="A24">
        <v>2029</v>
      </c>
      <c r="B24" s="13"/>
      <c r="C24" s="13">
        <f t="shared" si="15"/>
        <v>59.100104228259383</v>
      </c>
      <c r="D24" s="84">
        <f t="shared" si="7"/>
        <v>60.911458938612391</v>
      </c>
      <c r="E24" s="84">
        <f>J24-SUM(F$7:F24)</f>
        <v>2.7012331192156895</v>
      </c>
      <c r="F24" s="13">
        <f t="shared" si="8"/>
        <v>0.24921393353427071</v>
      </c>
      <c r="G24" s="13">
        <f t="shared" si="9"/>
        <v>0.67813315247420591</v>
      </c>
      <c r="H24" s="13">
        <f t="shared" si="10"/>
        <v>0.67813315247420591</v>
      </c>
      <c r="I24" s="20">
        <f>I23+(I35-I15)/20</f>
        <v>0.36750000000000005</v>
      </c>
      <c r="J24" s="13">
        <f t="shared" si="11"/>
        <v>5.6644749585309819</v>
      </c>
      <c r="K24" s="13"/>
      <c r="L24" s="84">
        <f t="shared" si="14"/>
        <v>64.775425698042653</v>
      </c>
      <c r="M24" s="13">
        <f t="shared" si="5"/>
        <v>64.905205429006713</v>
      </c>
      <c r="N24" s="13">
        <f t="shared" si="13"/>
        <v>2030.8409445134348</v>
      </c>
      <c r="O24" s="13">
        <f t="shared" si="6"/>
        <v>2014.7598637391757</v>
      </c>
      <c r="P24" s="13">
        <f>1/Finland!R99</f>
        <v>0.80343994574226174</v>
      </c>
      <c r="Q24" s="13"/>
      <c r="R24">
        <v>2029</v>
      </c>
      <c r="S24" s="13">
        <v>60.751802661253578</v>
      </c>
      <c r="T24" s="13">
        <v>59.100104228259383</v>
      </c>
      <c r="U24" s="13">
        <v>58.227211256451696</v>
      </c>
      <c r="W24">
        <v>2029</v>
      </c>
      <c r="X24" s="13">
        <v>41.994084172489707</v>
      </c>
      <c r="Y24" s="13">
        <f t="shared" si="12"/>
        <v>59.100104228259383</v>
      </c>
      <c r="Z24" s="13">
        <v>64.213852335461041</v>
      </c>
      <c r="AA24" s="13"/>
      <c r="AB24" s="13">
        <f t="shared" si="1"/>
        <v>64.617019845831976</v>
      </c>
      <c r="AC24" s="13"/>
      <c r="AE24" s="33">
        <f t="shared" si="0"/>
        <v>5.1282499491311828</v>
      </c>
      <c r="AG24">
        <v>20</v>
      </c>
      <c r="AH24">
        <v>0</v>
      </c>
      <c r="AI24">
        <v>0</v>
      </c>
    </row>
    <row r="25" spans="1:35">
      <c r="A25" s="14">
        <v>2030</v>
      </c>
      <c r="B25" s="13"/>
      <c r="C25" s="20">
        <f t="shared" si="15"/>
        <v>61.260752034074862</v>
      </c>
      <c r="D25" s="84">
        <f t="shared" si="7"/>
        <v>63.251504169140709</v>
      </c>
      <c r="E25" s="84">
        <f>J25-SUM(F$7:F25)</f>
        <v>3.5883630155465918</v>
      </c>
      <c r="F25" s="13">
        <f t="shared" si="8"/>
        <v>0.23195540313026375</v>
      </c>
      <c r="G25" s="13">
        <f t="shared" si="9"/>
        <v>0.61854774168070326</v>
      </c>
      <c r="H25" s="13">
        <f t="shared" si="10"/>
        <v>0.61854774168070326</v>
      </c>
      <c r="I25" s="20">
        <f>I24+(I35-I15)/20</f>
        <v>0.37500000000000006</v>
      </c>
      <c r="J25" s="13">
        <f t="shared" si="11"/>
        <v>6.7835602579921481</v>
      </c>
      <c r="K25" s="13"/>
      <c r="L25" s="84">
        <f t="shared" si="14"/>
        <v>64.926487850290883</v>
      </c>
      <c r="M25" s="13">
        <f t="shared" si="5"/>
        <v>64.952908791357117</v>
      </c>
      <c r="N25" s="13">
        <f t="shared" si="13"/>
        <v>2032.0337135203827</v>
      </c>
      <c r="O25" s="13">
        <f t="shared" si="6"/>
        <v>2014.5670947322278</v>
      </c>
      <c r="P25" s="13">
        <f>1/Finland!R100</f>
        <v>0.78556432250421093</v>
      </c>
      <c r="R25" s="87">
        <v>2030</v>
      </c>
      <c r="S25" s="13">
        <v>62.589474684870375</v>
      </c>
      <c r="T25" s="13">
        <v>61.260752034074862</v>
      </c>
      <c r="U25" s="13">
        <v>60.486464548686158</v>
      </c>
      <c r="W25" s="87">
        <v>2030</v>
      </c>
      <c r="X25" s="13">
        <v>46.070299872918348</v>
      </c>
      <c r="Y25" s="13">
        <f t="shared" si="12"/>
        <v>61.260752034074862</v>
      </c>
      <c r="Z25" s="13">
        <v>64.718844622847541</v>
      </c>
      <c r="AB25" s="13">
        <f t="shared" si="1"/>
        <v>64.809320454222686</v>
      </c>
      <c r="AC25" s="13"/>
      <c r="AE25" s="33">
        <f t="shared" si="0"/>
        <v>5.82861045795382</v>
      </c>
      <c r="AG25">
        <v>21</v>
      </c>
      <c r="AH25">
        <v>0</v>
      </c>
      <c r="AI25">
        <v>0</v>
      </c>
    </row>
    <row r="26" spans="1:35">
      <c r="A26">
        <v>2031</v>
      </c>
      <c r="C26" s="13">
        <f t="shared" si="15"/>
        <v>62.784429615521056</v>
      </c>
      <c r="D26" s="84">
        <f>65*EXP(E26)/(1+EXP(E26))</f>
        <v>63.888775126306285</v>
      </c>
      <c r="E26" s="84">
        <f>J26-SUM(F$7:F26)</f>
        <v>4.0516807860867701</v>
      </c>
      <c r="F26" s="13">
        <f t="shared" si="8"/>
        <v>0.23659451119286903</v>
      </c>
      <c r="G26" s="13">
        <f t="shared" si="9"/>
        <v>0.61854774168070326</v>
      </c>
      <c r="H26" s="13">
        <f t="shared" si="10"/>
        <v>0.61854774168070326</v>
      </c>
      <c r="I26" s="20">
        <f>I25+(I35-I15)/20</f>
        <v>0.38250000000000006</v>
      </c>
      <c r="J26" s="13">
        <f t="shared" si="11"/>
        <v>7.4834725397251951</v>
      </c>
      <c r="K26" s="13"/>
      <c r="L26" s="84">
        <f t="shared" si="14"/>
        <v>64.963470948855516</v>
      </c>
      <c r="M26" s="13">
        <f t="shared" si="5"/>
        <v>64.976615094924767</v>
      </c>
      <c r="N26" s="13">
        <f t="shared" si="13"/>
        <v>2033.0337135203827</v>
      </c>
      <c r="O26" s="13">
        <f t="shared" si="6"/>
        <v>2014.5670947322278</v>
      </c>
      <c r="P26" s="13">
        <f>P25</f>
        <v>0.78556432250421093</v>
      </c>
      <c r="R26">
        <v>2031</v>
      </c>
      <c r="S26" s="13">
        <v>63.701660659920826</v>
      </c>
      <c r="T26" s="13">
        <v>62.784429615521056</v>
      </c>
      <c r="U26" s="13">
        <v>62.148308675900275</v>
      </c>
      <c r="W26">
        <v>2031</v>
      </c>
      <c r="X26" s="13">
        <v>49.726593182716734</v>
      </c>
      <c r="Y26" s="13">
        <f t="shared" si="12"/>
        <v>62.784429615521056</v>
      </c>
      <c r="Z26" s="13">
        <v>64.886854885483459</v>
      </c>
      <c r="AB26" s="13">
        <f t="shared" si="1"/>
        <v>64.905205429006713</v>
      </c>
      <c r="AC26" s="13"/>
      <c r="AE26" s="33">
        <f t="shared" si="0"/>
        <v>6.5289709667764555</v>
      </c>
      <c r="AG26">
        <v>22</v>
      </c>
      <c r="AH26">
        <v>0</v>
      </c>
      <c r="AI26">
        <v>0</v>
      </c>
    </row>
    <row r="27" spans="1:35">
      <c r="A27">
        <v>2032</v>
      </c>
      <c r="C27" s="13">
        <f t="shared" si="15"/>
        <v>63.774538942341827</v>
      </c>
      <c r="D27" s="84">
        <f t="shared" si="7"/>
        <v>64.293286333318036</v>
      </c>
      <c r="E27" s="84">
        <f>J27-SUM(F$7:F27)</f>
        <v>4.5105849069200588</v>
      </c>
      <c r="F27" s="13">
        <f t="shared" si="8"/>
        <v>0.24123361925547432</v>
      </c>
      <c r="G27" s="13">
        <f t="shared" si="9"/>
        <v>0.61854774168070326</v>
      </c>
      <c r="H27" s="13">
        <f t="shared" si="10"/>
        <v>0.61854774168070326</v>
      </c>
      <c r="I27" s="20">
        <f>I26+(I35-I15)/20</f>
        <v>0.39000000000000007</v>
      </c>
      <c r="J27" s="13">
        <f t="shared" si="11"/>
        <v>8.1836102798139585</v>
      </c>
      <c r="K27" s="13"/>
      <c r="L27" s="84">
        <f t="shared" si="14"/>
        <v>64.981857575042596</v>
      </c>
      <c r="M27" s="13">
        <f t="shared" si="5"/>
        <v>64.988389481943116</v>
      </c>
      <c r="N27" s="13">
        <f t="shared" si="13"/>
        <v>2034.0337135203827</v>
      </c>
      <c r="O27" s="13">
        <f t="shared" si="6"/>
        <v>2014.5670947322278</v>
      </c>
      <c r="P27" s="13">
        <f t="shared" ref="P27:P50" si="16">P26</f>
        <v>0.78556432250421093</v>
      </c>
      <c r="R27">
        <v>2032</v>
      </c>
      <c r="S27" s="13">
        <v>64.195423430838019</v>
      </c>
      <c r="T27" s="13">
        <v>63.774538942341827</v>
      </c>
      <c r="U27" s="13">
        <v>63.300563181659456</v>
      </c>
      <c r="W27">
        <v>2032</v>
      </c>
      <c r="X27" s="13">
        <v>52.874794325800828</v>
      </c>
      <c r="Y27" s="13">
        <f t="shared" si="12"/>
        <v>63.774538942341827</v>
      </c>
      <c r="Z27" s="13">
        <v>64.959278183668374</v>
      </c>
      <c r="AB27" s="13">
        <f t="shared" si="1"/>
        <v>64.952908791357117</v>
      </c>
      <c r="AC27" s="13"/>
      <c r="AE27" s="33">
        <f t="shared" si="0"/>
        <v>7.229331475599091</v>
      </c>
      <c r="AG27">
        <v>23</v>
      </c>
      <c r="AH27">
        <v>0</v>
      </c>
      <c r="AI27">
        <v>0</v>
      </c>
    </row>
    <row r="28" spans="1:35">
      <c r="A28">
        <v>2033</v>
      </c>
      <c r="C28" s="13">
        <f t="shared" si="15"/>
        <v>64.34160449647699</v>
      </c>
      <c r="D28" s="84">
        <f t="shared" si="7"/>
        <v>64.549559258328273</v>
      </c>
      <c r="E28" s="84">
        <f>J28-SUM(F$7:F28)</f>
        <v>4.9649620389633107</v>
      </c>
      <c r="F28" s="13">
        <f t="shared" si="8"/>
        <v>0.2458727273180796</v>
      </c>
      <c r="G28" s="13">
        <f t="shared" si="9"/>
        <v>0.61854774168070326</v>
      </c>
      <c r="H28" s="13">
        <f t="shared" si="10"/>
        <v>0.61854774168070326</v>
      </c>
      <c r="I28" s="20">
        <f>I27+(I35-I15)/20</f>
        <v>0.39750000000000008</v>
      </c>
      <c r="J28" s="13">
        <f t="shared" si="11"/>
        <v>8.8838601391752903</v>
      </c>
      <c r="K28" s="13"/>
      <c r="L28" s="84">
        <f t="shared" si="14"/>
        <v>64.990991723091398</v>
      </c>
      <c r="M28" s="13">
        <f t="shared" si="5"/>
        <v>64.994235947045865</v>
      </c>
      <c r="N28" s="13">
        <f t="shared" si="13"/>
        <v>2035.0337135203827</v>
      </c>
      <c r="O28" s="13">
        <f t="shared" si="6"/>
        <v>2014.5670947322278</v>
      </c>
      <c r="P28" s="13">
        <f t="shared" si="16"/>
        <v>0.78556432250421093</v>
      </c>
      <c r="R28">
        <v>2033</v>
      </c>
      <c r="S28" s="13">
        <v>64.506401117147476</v>
      </c>
      <c r="T28" s="13">
        <v>64.34160449647699</v>
      </c>
      <c r="U28" s="13">
        <v>64.043635799301541</v>
      </c>
      <c r="W28">
        <v>2033</v>
      </c>
      <c r="X28" s="13">
        <v>55.49215511066442</v>
      </c>
      <c r="Y28" s="13">
        <f t="shared" si="12"/>
        <v>64.34160449647699</v>
      </c>
      <c r="Z28" s="13">
        <v>64.982074149464864</v>
      </c>
      <c r="AB28" s="13">
        <f t="shared" si="1"/>
        <v>64.976615094924767</v>
      </c>
      <c r="AC28" s="13"/>
      <c r="AE28" s="33">
        <f t="shared" si="0"/>
        <v>7.9296919844217282</v>
      </c>
      <c r="AG28">
        <v>24</v>
      </c>
      <c r="AH28">
        <v>0</v>
      </c>
      <c r="AI28">
        <v>0</v>
      </c>
    </row>
    <row r="29" spans="1:35">
      <c r="A29">
        <v>2034</v>
      </c>
      <c r="C29" s="13">
        <f t="shared" si="15"/>
        <v>64.580381567450573</v>
      </c>
      <c r="D29" s="84">
        <f t="shared" si="7"/>
        <v>64.712004104297307</v>
      </c>
      <c r="E29" s="84">
        <f>J29-SUM(F$7:F29)</f>
        <v>5.414755769119771</v>
      </c>
      <c r="F29" s="13">
        <f t="shared" si="8"/>
        <v>0.25051183538068489</v>
      </c>
      <c r="G29" s="13">
        <f t="shared" si="9"/>
        <v>0.61854774168070326</v>
      </c>
      <c r="H29" s="13">
        <f t="shared" si="10"/>
        <v>0.61854774168070326</v>
      </c>
      <c r="I29" s="20">
        <f>I28+(I35-I15)/20</f>
        <v>0.40500000000000008</v>
      </c>
      <c r="J29" s="13">
        <f t="shared" si="11"/>
        <v>9.5841657047124347</v>
      </c>
      <c r="K29" s="13"/>
      <c r="L29" s="84">
        <f t="shared" si="14"/>
        <v>64.995527676658369</v>
      </c>
      <c r="M29" s="13">
        <f t="shared" si="5"/>
        <v>64.997138559942073</v>
      </c>
      <c r="N29" s="13">
        <f t="shared" si="13"/>
        <v>2036.0337135203827</v>
      </c>
      <c r="O29" s="13">
        <f t="shared" si="6"/>
        <v>2014.5670947322278</v>
      </c>
      <c r="P29" s="13">
        <f t="shared" si="16"/>
        <v>0.78556432250421093</v>
      </c>
      <c r="R29">
        <v>2034</v>
      </c>
      <c r="S29" s="13">
        <v>64.697104608978592</v>
      </c>
      <c r="T29" s="13">
        <v>64.580381567450573</v>
      </c>
      <c r="U29" s="13">
        <v>64.46694932278163</v>
      </c>
      <c r="W29">
        <v>2034</v>
      </c>
      <c r="X29" s="13">
        <v>57.607740095889746</v>
      </c>
      <c r="Y29" s="13">
        <f t="shared" si="12"/>
        <v>64.580381567450573</v>
      </c>
      <c r="Z29" s="13">
        <v>64.992637779694761</v>
      </c>
      <c r="AB29" s="13">
        <f t="shared" si="1"/>
        <v>64.988389481943116</v>
      </c>
      <c r="AC29" s="13"/>
      <c r="AE29" s="33">
        <f t="shared" si="0"/>
        <v>8.6300524932443654</v>
      </c>
      <c r="AG29">
        <v>25</v>
      </c>
      <c r="AH29">
        <v>0</v>
      </c>
      <c r="AI29">
        <v>0</v>
      </c>
    </row>
    <row r="30" spans="1:35">
      <c r="A30">
        <v>2035</v>
      </c>
      <c r="C30" s="13">
        <f t="shared" si="15"/>
        <v>64.731973395144877</v>
      </c>
      <c r="D30" s="84">
        <f t="shared" si="7"/>
        <v>64.815184666389783</v>
      </c>
      <c r="E30" s="84">
        <f>J30-SUM(F$7:F30)</f>
        <v>5.8599380563138537</v>
      </c>
      <c r="F30" s="13">
        <f t="shared" si="8"/>
        <v>0.25515094344329015</v>
      </c>
      <c r="G30" s="13">
        <f t="shared" si="9"/>
        <v>0.61854774168070326</v>
      </c>
      <c r="H30" s="13">
        <f t="shared" si="10"/>
        <v>0.61854774168070326</v>
      </c>
      <c r="I30" s="20">
        <f>I29+(I35-I15)/20</f>
        <v>0.41250000000000009</v>
      </c>
      <c r="J30" s="13">
        <f t="shared" si="11"/>
        <v>10.284498935349808</v>
      </c>
      <c r="K30" s="13"/>
      <c r="L30" s="84">
        <f t="shared" si="14"/>
        <v>64.997779772971811</v>
      </c>
      <c r="M30" s="13">
        <f t="shared" si="5"/>
        <v>64.998579531601152</v>
      </c>
      <c r="N30" s="13">
        <f t="shared" si="13"/>
        <v>2037.0337135203827</v>
      </c>
      <c r="O30" s="13">
        <f t="shared" si="6"/>
        <v>2014.5670947322278</v>
      </c>
      <c r="P30" s="13">
        <f t="shared" si="16"/>
        <v>0.78556432250421093</v>
      </c>
      <c r="R30">
        <v>2035</v>
      </c>
      <c r="S30" s="13">
        <v>64.813805050067558</v>
      </c>
      <c r="T30" s="13">
        <v>64.731973395144877</v>
      </c>
      <c r="U30" s="13">
        <v>64.648261344668683</v>
      </c>
      <c r="W30">
        <v>2035</v>
      </c>
      <c r="X30" s="13">
        <v>59.281562072619771</v>
      </c>
      <c r="Y30" s="13">
        <f t="shared" si="12"/>
        <v>64.731973395144877</v>
      </c>
      <c r="Z30" s="13">
        <v>64.997115177710683</v>
      </c>
      <c r="AB30" s="13">
        <f t="shared" si="1"/>
        <v>64.994235947045865</v>
      </c>
      <c r="AC30" s="13"/>
      <c r="AE30" s="33">
        <f t="shared" si="0"/>
        <v>9.3304130020670026</v>
      </c>
      <c r="AG30">
        <v>26</v>
      </c>
      <c r="AH30">
        <v>0</v>
      </c>
      <c r="AI30">
        <v>0</v>
      </c>
    </row>
    <row r="31" spans="1:35">
      <c r="A31">
        <v>2036</v>
      </c>
      <c r="C31" s="13">
        <f t="shared" si="15"/>
        <v>64.828261508675723</v>
      </c>
      <c r="D31" s="84">
        <f t="shared" si="7"/>
        <v>64.880917817558569</v>
      </c>
      <c r="E31" s="84">
        <f>J31-SUM(F$7:F31)</f>
        <v>6.300494971573209</v>
      </c>
      <c r="F31" s="13">
        <f t="shared" si="8"/>
        <v>0.2597900515058954</v>
      </c>
      <c r="G31" s="13">
        <f t="shared" si="9"/>
        <v>0.61854774168070326</v>
      </c>
      <c r="H31" s="13">
        <f t="shared" si="10"/>
        <v>0.61854774168070326</v>
      </c>
      <c r="I31" s="20">
        <f>I30+(I35-I15)/20</f>
        <v>0.4200000000000001</v>
      </c>
      <c r="J31" s="13">
        <f t="shared" si="11"/>
        <v>10.984845902115058</v>
      </c>
      <c r="K31" s="13"/>
      <c r="L31" s="84">
        <f t="shared" si="14"/>
        <v>64.998897831403752</v>
      </c>
      <c r="M31" s="13">
        <f t="shared" si="5"/>
        <v>64.999294862759669</v>
      </c>
      <c r="N31" s="13">
        <f t="shared" si="13"/>
        <v>2038.0337135203827</v>
      </c>
      <c r="O31" s="13">
        <f t="shared" si="6"/>
        <v>2014.5670947322278</v>
      </c>
      <c r="P31" s="13">
        <f t="shared" si="16"/>
        <v>0.78556432250421093</v>
      </c>
      <c r="R31">
        <v>2036</v>
      </c>
      <c r="S31" s="13">
        <v>64.885240468242969</v>
      </c>
      <c r="T31" s="13">
        <v>64.828261508675723</v>
      </c>
      <c r="U31" s="13">
        <v>64.767057388885249</v>
      </c>
      <c r="W31">
        <v>2036</v>
      </c>
      <c r="X31" s="13">
        <v>60.585748075344902</v>
      </c>
      <c r="Y31" s="13">
        <f t="shared" si="12"/>
        <v>64.828261508675723</v>
      </c>
      <c r="Z31" s="13">
        <v>64.998567866420572</v>
      </c>
      <c r="AB31" s="13">
        <f t="shared" si="1"/>
        <v>64.997138559942073</v>
      </c>
      <c r="AC31" s="13"/>
      <c r="AE31" s="33">
        <f t="shared" si="0"/>
        <v>10.030773510889636</v>
      </c>
      <c r="AG31">
        <v>27</v>
      </c>
      <c r="AH31">
        <v>0</v>
      </c>
      <c r="AI31">
        <v>0</v>
      </c>
    </row>
    <row r="32" spans="1:35">
      <c r="A32">
        <v>2037</v>
      </c>
      <c r="C32" s="13">
        <f t="shared" si="15"/>
        <v>64.889546774269732</v>
      </c>
      <c r="D32" s="84">
        <f t="shared" si="7"/>
        <v>64.922943665955785</v>
      </c>
      <c r="E32" s="84">
        <f>J32-SUM(F$7:F32)</f>
        <v>6.7364195982551953</v>
      </c>
      <c r="F32" s="13">
        <f t="shared" si="8"/>
        <v>0.26442915956850072</v>
      </c>
      <c r="G32" s="13">
        <f t="shared" si="9"/>
        <v>0.61854774168070326</v>
      </c>
      <c r="H32" s="13">
        <f t="shared" si="10"/>
        <v>0.61854774168070326</v>
      </c>
      <c r="I32" s="20">
        <f>I31+(I35-I15)/20</f>
        <v>0.4275000000000001</v>
      </c>
      <c r="J32" s="13">
        <f t="shared" si="11"/>
        <v>11.685199688365545</v>
      </c>
      <c r="K32" s="13"/>
      <c r="L32" s="84">
        <f t="shared" si="14"/>
        <v>64.999452868201089</v>
      </c>
      <c r="M32" s="13">
        <f t="shared" si="5"/>
        <v>64.999649963510308</v>
      </c>
      <c r="N32" s="13">
        <f t="shared" si="13"/>
        <v>2039.0337135203827</v>
      </c>
      <c r="O32" s="13">
        <f t="shared" si="6"/>
        <v>2014.5670947322278</v>
      </c>
      <c r="P32" s="13">
        <f t="shared" si="16"/>
        <v>0.78556432250421093</v>
      </c>
      <c r="R32">
        <v>2037</v>
      </c>
      <c r="S32" s="13">
        <v>64.92904412729898</v>
      </c>
      <c r="T32" s="13">
        <v>64.889546774269732</v>
      </c>
      <c r="U32" s="13">
        <v>64.845076654065181</v>
      </c>
      <c r="W32">
        <v>2037</v>
      </c>
      <c r="X32" s="13">
        <v>61.59161831702994</v>
      </c>
      <c r="Y32" s="13">
        <f t="shared" si="12"/>
        <v>64.889546774269732</v>
      </c>
      <c r="Z32" s="13">
        <v>64.999289057772629</v>
      </c>
      <c r="AB32" s="13">
        <f t="shared" si="1"/>
        <v>64.998579531601152</v>
      </c>
      <c r="AC32" s="13"/>
      <c r="AE32" s="33">
        <f t="shared" si="0"/>
        <v>10.731134019712274</v>
      </c>
      <c r="AG32">
        <v>28</v>
      </c>
      <c r="AH32">
        <v>0</v>
      </c>
      <c r="AI32">
        <v>0</v>
      </c>
    </row>
    <row r="33" spans="1:35">
      <c r="A33">
        <v>2038</v>
      </c>
      <c r="C33" s="13">
        <f t="shared" si="15"/>
        <v>64.928680060874711</v>
      </c>
      <c r="D33" s="84">
        <f t="shared" si="7"/>
        <v>64.949917920166385</v>
      </c>
      <c r="E33" s="84">
        <f>J33-SUM(F$7:F33)</f>
        <v>7.1677085022057208</v>
      </c>
      <c r="F33" s="13">
        <f t="shared" si="8"/>
        <v>0.26906826763110597</v>
      </c>
      <c r="G33" s="13">
        <f t="shared" si="9"/>
        <v>0.61854774168070326</v>
      </c>
      <c r="H33" s="13">
        <f t="shared" si="10"/>
        <v>0.61854774168070326</v>
      </c>
      <c r="I33" s="20">
        <f>I32+(I35-I15)/20</f>
        <v>0.43500000000000011</v>
      </c>
      <c r="J33" s="13">
        <f t="shared" si="11"/>
        <v>12.385556859947176</v>
      </c>
      <c r="K33" s="13"/>
      <c r="L33" s="84">
        <f t="shared" si="14"/>
        <v>64.999728398263457</v>
      </c>
      <c r="M33" s="13">
        <f t="shared" si="5"/>
        <v>64.999826239205618</v>
      </c>
      <c r="N33" s="13">
        <f t="shared" si="13"/>
        <v>2040.0337135203827</v>
      </c>
      <c r="O33" s="13">
        <f t="shared" si="6"/>
        <v>2014.5670947322278</v>
      </c>
      <c r="P33" s="13">
        <f t="shared" si="16"/>
        <v>0.78556432250421093</v>
      </c>
      <c r="R33">
        <v>2038</v>
      </c>
      <c r="S33" s="13">
        <v>64.95597837853947</v>
      </c>
      <c r="T33" s="13">
        <v>64.928680060874711</v>
      </c>
      <c r="U33" s="13">
        <v>64.896505874490003</v>
      </c>
      <c r="W33">
        <v>2038</v>
      </c>
      <c r="X33" s="13">
        <v>62.363869241096928</v>
      </c>
      <c r="Y33" s="13">
        <f t="shared" si="12"/>
        <v>64.928680060874711</v>
      </c>
      <c r="Z33" s="13">
        <v>64.999647078349611</v>
      </c>
      <c r="AB33" s="13">
        <f t="shared" si="1"/>
        <v>64.999294862759669</v>
      </c>
      <c r="AC33" s="13"/>
      <c r="AE33" s="33">
        <f t="shared" si="0"/>
        <v>11.431494528534911</v>
      </c>
      <c r="AG33">
        <v>29</v>
      </c>
      <c r="AH33">
        <v>0</v>
      </c>
      <c r="AI33">
        <v>0</v>
      </c>
    </row>
    <row r="34" spans="1:35">
      <c r="A34">
        <v>2039</v>
      </c>
      <c r="C34" s="13">
        <f t="shared" si="15"/>
        <v>64.953764812139156</v>
      </c>
      <c r="D34" s="84">
        <f t="shared" si="7"/>
        <v>64.96730312803399</v>
      </c>
      <c r="E34" s="84">
        <f>J34-SUM(F$7:F34)</f>
        <v>7.5943599787210374</v>
      </c>
      <c r="F34" s="13">
        <f t="shared" si="8"/>
        <v>0.27370737569371129</v>
      </c>
      <c r="G34" s="13">
        <f t="shared" si="9"/>
        <v>0.61854774168070326</v>
      </c>
      <c r="H34" s="13">
        <f t="shared" si="10"/>
        <v>0.61854774168070326</v>
      </c>
      <c r="I34" s="20">
        <f>I33+(I35-I15)/20</f>
        <v>0.44250000000000012</v>
      </c>
      <c r="J34" s="13">
        <f t="shared" si="11"/>
        <v>13.085915712156204</v>
      </c>
      <c r="K34" s="13"/>
      <c r="L34" s="84">
        <f t="shared" si="14"/>
        <v>64.999865174676387</v>
      </c>
      <c r="M34" s="13">
        <f t="shared" si="5"/>
        <v>64.999913743928659</v>
      </c>
      <c r="N34" s="13">
        <f t="shared" si="13"/>
        <v>2041.0337135203827</v>
      </c>
      <c r="O34" s="13">
        <f t="shared" si="6"/>
        <v>2014.5670947322278</v>
      </c>
      <c r="P34" s="13">
        <f t="shared" si="16"/>
        <v>0.78556432250421093</v>
      </c>
      <c r="R34">
        <v>2039</v>
      </c>
      <c r="S34" s="13">
        <v>64.972594397641288</v>
      </c>
      <c r="T34" s="13">
        <v>64.953764812139156</v>
      </c>
      <c r="U34" s="13">
        <v>64.930555759844779</v>
      </c>
      <c r="W34">
        <v>2039</v>
      </c>
      <c r="X34" s="13">
        <v>62.956034728801292</v>
      </c>
      <c r="Y34" s="13">
        <f t="shared" si="12"/>
        <v>64.953764812139156</v>
      </c>
      <c r="Z34" s="13">
        <v>64.999824806124124</v>
      </c>
      <c r="AB34" s="13">
        <f t="shared" si="1"/>
        <v>64.999649963510308</v>
      </c>
      <c r="AC34" s="13"/>
      <c r="AE34" s="33">
        <f t="shared" si="0"/>
        <v>12.131855037357544</v>
      </c>
      <c r="AG34">
        <v>30</v>
      </c>
      <c r="AH34">
        <v>0</v>
      </c>
      <c r="AI34">
        <v>0</v>
      </c>
    </row>
    <row r="35" spans="1:35">
      <c r="A35">
        <v>2040</v>
      </c>
      <c r="C35" s="13">
        <f t="shared" si="15"/>
        <v>64.969912632556671</v>
      </c>
      <c r="D35" s="84">
        <f>65*EXP(E35)/(1+EXP(E35))</f>
        <v>64.978556117486278</v>
      </c>
      <c r="E35" s="84">
        <f>J35-SUM(F$7:F35)</f>
        <v>8.0163731813603256</v>
      </c>
      <c r="F35" s="13">
        <f t="shared" si="8"/>
        <v>0.27834648375631649</v>
      </c>
      <c r="G35" s="13">
        <f t="shared" si="9"/>
        <v>0.61854774168070326</v>
      </c>
      <c r="H35" s="13">
        <f t="shared" si="10"/>
        <v>0.61854774168070326</v>
      </c>
      <c r="I35" s="89">
        <v>0.45</v>
      </c>
      <c r="J35" s="13">
        <f t="shared" si="11"/>
        <v>13.786275398551808</v>
      </c>
      <c r="K35" s="13"/>
      <c r="L35" s="84">
        <f t="shared" si="14"/>
        <v>64.999933071733295</v>
      </c>
      <c r="M35" s="13">
        <f t="shared" si="5"/>
        <v>64.999957181913061</v>
      </c>
      <c r="N35" s="13">
        <f t="shared" si="13"/>
        <v>2042.0337135203827</v>
      </c>
      <c r="O35" s="13">
        <f t="shared" si="6"/>
        <v>2014.5670947322278</v>
      </c>
      <c r="P35" s="13">
        <f t="shared" si="16"/>
        <v>0.78556432250421093</v>
      </c>
      <c r="R35" s="87">
        <v>2040</v>
      </c>
      <c r="S35" s="13">
        <v>64.982882034792766</v>
      </c>
      <c r="T35" s="13">
        <v>64.969912632556671</v>
      </c>
      <c r="U35" s="13">
        <v>64.95320778614942</v>
      </c>
      <c r="W35" s="87">
        <v>2040</v>
      </c>
      <c r="X35" s="13">
        <v>63.410737219088936</v>
      </c>
      <c r="Y35" s="13">
        <f t="shared" si="12"/>
        <v>64.969912632556671</v>
      </c>
      <c r="Z35" s="13">
        <v>64.999913032323676</v>
      </c>
      <c r="AB35" s="13">
        <f t="shared" si="1"/>
        <v>64.999826239205618</v>
      </c>
      <c r="AC35" s="13"/>
      <c r="AE35" s="33">
        <f t="shared" si="0"/>
        <v>12.832215546180182</v>
      </c>
      <c r="AG35">
        <v>31</v>
      </c>
      <c r="AH35">
        <v>0</v>
      </c>
      <c r="AI35">
        <v>0</v>
      </c>
    </row>
    <row r="36" spans="1:35">
      <c r="A36">
        <v>2041</v>
      </c>
      <c r="C36" s="13">
        <f t="shared" si="15"/>
        <v>64.980354168341577</v>
      </c>
      <c r="D36" s="84">
        <f t="shared" si="7"/>
        <v>64.98593711053222</v>
      </c>
      <c r="E36" s="84">
        <f>J36-SUM(F$7:F36)</f>
        <v>8.4383867982563974</v>
      </c>
      <c r="F36" s="13">
        <f t="shared" si="8"/>
        <v>0.27834648375631649</v>
      </c>
      <c r="G36" s="13">
        <f t="shared" si="9"/>
        <v>0.61854774168070326</v>
      </c>
      <c r="H36" s="13">
        <f t="shared" si="10"/>
        <v>0.61854774168070326</v>
      </c>
      <c r="I36" s="89">
        <f>I35</f>
        <v>0.45</v>
      </c>
      <c r="J36" s="13">
        <f t="shared" si="11"/>
        <v>14.486635499204198</v>
      </c>
      <c r="K36" s="13"/>
      <c r="L36" s="84">
        <f t="shared" si="14"/>
        <v>64.999966776355123</v>
      </c>
      <c r="M36" s="13">
        <f t="shared" si="5"/>
        <v>64.99997874482429</v>
      </c>
      <c r="N36" s="13">
        <f t="shared" si="13"/>
        <v>2043.0337135203827</v>
      </c>
      <c r="O36" s="13">
        <f t="shared" si="6"/>
        <v>2014.5670947322278</v>
      </c>
      <c r="P36" s="13">
        <f t="shared" si="16"/>
        <v>0.78556432250421093</v>
      </c>
      <c r="R36">
        <v>2041</v>
      </c>
      <c r="S36" s="13">
        <v>64.989275780098424</v>
      </c>
      <c r="T36" s="13">
        <v>64.980354168341577</v>
      </c>
      <c r="U36" s="13">
        <v>64.968354100302733</v>
      </c>
      <c r="W36">
        <v>2041</v>
      </c>
      <c r="X36" s="13">
        <v>63.761066315896244</v>
      </c>
      <c r="Y36" s="13">
        <f t="shared" si="12"/>
        <v>64.980354168341577</v>
      </c>
      <c r="Z36" s="13">
        <v>64.999956828615069</v>
      </c>
      <c r="AB36" s="13">
        <f t="shared" si="1"/>
        <v>64.999913743928659</v>
      </c>
      <c r="AE36" s="33">
        <f t="shared" si="0"/>
        <v>13.532576055002819</v>
      </c>
      <c r="AG36">
        <v>32</v>
      </c>
      <c r="AH36">
        <v>0</v>
      </c>
      <c r="AI36">
        <v>0</v>
      </c>
    </row>
    <row r="37" spans="1:35">
      <c r="A37">
        <v>2042</v>
      </c>
      <c r="C37" s="13">
        <f t="shared" si="15"/>
        <v>64.98713726741488</v>
      </c>
      <c r="D37" s="84">
        <f t="shared" si="7"/>
        <v>64.99077792524082</v>
      </c>
      <c r="E37" s="84">
        <f>J37-SUM(F$7:F37)</f>
        <v>8.8604006203746764</v>
      </c>
      <c r="F37" s="13">
        <f t="shared" si="8"/>
        <v>0.27834648375631649</v>
      </c>
      <c r="G37" s="13">
        <f t="shared" si="9"/>
        <v>0.61854774168070326</v>
      </c>
      <c r="H37" s="13">
        <f t="shared" si="10"/>
        <v>0.61854774168070326</v>
      </c>
      <c r="I37" s="89">
        <f t="shared" ref="I37:I50" si="17">I36</f>
        <v>0.45</v>
      </c>
      <c r="J37" s="13">
        <f t="shared" si="11"/>
        <v>15.186995805078794</v>
      </c>
      <c r="K37" s="13"/>
      <c r="L37" s="84">
        <f t="shared" si="14"/>
        <v>64.999983507565361</v>
      </c>
      <c r="M37" s="13">
        <f t="shared" si="5"/>
        <v>64.999989448794864</v>
      </c>
      <c r="N37" s="13">
        <f t="shared" si="13"/>
        <v>2044.0337135203827</v>
      </c>
      <c r="O37" s="13">
        <f t="shared" si="6"/>
        <v>2014.5670947322278</v>
      </c>
      <c r="P37" s="13">
        <f t="shared" si="16"/>
        <v>0.78556432250421093</v>
      </c>
      <c r="R37">
        <v>2042</v>
      </c>
      <c r="S37" s="13">
        <v>64.993265087968069</v>
      </c>
      <c r="T37" s="13">
        <v>64.98713726741488</v>
      </c>
      <c r="U37" s="13">
        <v>64.978535223406652</v>
      </c>
      <c r="W37">
        <v>2042</v>
      </c>
      <c r="X37" s="13">
        <v>64.032298532741194</v>
      </c>
      <c r="Y37" s="13">
        <f t="shared" si="12"/>
        <v>64.98713726741488</v>
      </c>
      <c r="Z37" s="13">
        <v>64.999978569431931</v>
      </c>
      <c r="AB37" s="13">
        <f t="shared" si="1"/>
        <v>64.999957181913061</v>
      </c>
      <c r="AE37" s="33">
        <f t="shared" si="0"/>
        <v>14.232936563825456</v>
      </c>
      <c r="AG37">
        <v>33</v>
      </c>
      <c r="AH37">
        <v>0</v>
      </c>
      <c r="AI37">
        <v>0</v>
      </c>
    </row>
    <row r="38" spans="1:35">
      <c r="A38">
        <v>2043</v>
      </c>
      <c r="C38" s="13">
        <f t="shared" si="15"/>
        <v>64.991564654638253</v>
      </c>
      <c r="D38" s="84">
        <f t="shared" si="7"/>
        <v>64.99395256048129</v>
      </c>
      <c r="E38" s="84">
        <f>J38-SUM(F$7:F38)</f>
        <v>9.2824145446060182</v>
      </c>
      <c r="F38" s="13">
        <f t="shared" si="8"/>
        <v>0.27834648375631649</v>
      </c>
      <c r="G38" s="13">
        <f t="shared" si="9"/>
        <v>0.61854774168070326</v>
      </c>
      <c r="H38" s="13">
        <f t="shared" si="10"/>
        <v>0.61854774168070326</v>
      </c>
      <c r="I38" s="89">
        <f t="shared" si="17"/>
        <v>0.45</v>
      </c>
      <c r="J38" s="13">
        <f t="shared" si="11"/>
        <v>15.887356213066452</v>
      </c>
      <c r="K38" s="13"/>
      <c r="L38" s="84">
        <f t="shared" si="14"/>
        <v>64.999991813049462</v>
      </c>
      <c r="M38" s="13">
        <f t="shared" si="5"/>
        <v>64.999994762314728</v>
      </c>
      <c r="N38" s="13">
        <f t="shared" si="13"/>
        <v>2045.0337135203827</v>
      </c>
      <c r="O38" s="13">
        <f t="shared" si="6"/>
        <v>2014.5670947322278</v>
      </c>
      <c r="P38" s="13">
        <f t="shared" si="16"/>
        <v>0.78556432250421093</v>
      </c>
      <c r="R38">
        <v>2043</v>
      </c>
      <c r="S38" s="13">
        <v>64.995764130615143</v>
      </c>
      <c r="T38" s="13">
        <v>64.991564654638253</v>
      </c>
      <c r="U38" s="13">
        <v>64.985415809469401</v>
      </c>
      <c r="W38">
        <v>2043</v>
      </c>
      <c r="X38" s="13">
        <v>64.243552788785991</v>
      </c>
      <c r="Y38" s="13">
        <f t="shared" si="12"/>
        <v>64.991564654638253</v>
      </c>
      <c r="Z38" s="13">
        <v>64.99998936172581</v>
      </c>
      <c r="AB38" s="13">
        <f t="shared" si="1"/>
        <v>64.99997874482429</v>
      </c>
      <c r="AE38" s="33">
        <f t="shared" si="0"/>
        <v>14.933297072648093</v>
      </c>
      <c r="AG38">
        <v>34</v>
      </c>
      <c r="AH38">
        <v>0</v>
      </c>
      <c r="AI38">
        <v>0</v>
      </c>
    </row>
    <row r="39" spans="1:35">
      <c r="A39">
        <v>2044</v>
      </c>
      <c r="C39" s="13">
        <f t="shared" si="15"/>
        <v>64.994468334029492</v>
      </c>
      <c r="D39" s="84">
        <f t="shared" si="7"/>
        <v>64.996034416449987</v>
      </c>
      <c r="E39" s="84">
        <f>J39-SUM(F$7:F39)</f>
        <v>9.7044285184965631</v>
      </c>
      <c r="F39" s="13">
        <f t="shared" si="8"/>
        <v>0.27834648375631649</v>
      </c>
      <c r="G39" s="13">
        <f t="shared" si="9"/>
        <v>0.61854774168070326</v>
      </c>
      <c r="H39" s="13">
        <f t="shared" si="10"/>
        <v>0.61854774168070326</v>
      </c>
      <c r="I39" s="89">
        <f t="shared" si="17"/>
        <v>0.45</v>
      </c>
      <c r="J39" s="13">
        <f t="shared" si="11"/>
        <v>16.587716670713313</v>
      </c>
      <c r="K39" s="13"/>
      <c r="L39" s="84">
        <f t="shared" si="14"/>
        <v>64.999995935945606</v>
      </c>
      <c r="M39" s="13">
        <f t="shared" si="5"/>
        <v>64.999997399979861</v>
      </c>
      <c r="N39" s="13">
        <f t="shared" si="13"/>
        <v>2046.0337135203827</v>
      </c>
      <c r="O39" s="13">
        <f t="shared" si="6"/>
        <v>2014.5670947322278</v>
      </c>
      <c r="P39" s="13">
        <f t="shared" si="16"/>
        <v>0.78556432250421093</v>
      </c>
      <c r="R39">
        <v>2044</v>
      </c>
      <c r="S39" s="13">
        <v>64.997335949763695</v>
      </c>
      <c r="T39" s="13">
        <v>64.994468334029492</v>
      </c>
      <c r="U39" s="13">
        <v>64.990091322953816</v>
      </c>
      <c r="W39">
        <v>2044</v>
      </c>
      <c r="X39" s="13">
        <v>64.409213416832415</v>
      </c>
      <c r="Y39" s="13">
        <f t="shared" si="12"/>
        <v>64.994468334029492</v>
      </c>
      <c r="Z39" s="13">
        <v>64.999994719092314</v>
      </c>
      <c r="AB39" s="13">
        <f t="shared" si="1"/>
        <v>64.999989448794864</v>
      </c>
      <c r="AE39" s="33">
        <f t="shared" si="0"/>
        <v>15.633657581470727</v>
      </c>
      <c r="AG39">
        <v>35</v>
      </c>
      <c r="AH39">
        <v>0</v>
      </c>
      <c r="AI39">
        <v>0</v>
      </c>
    </row>
    <row r="40" spans="1:35">
      <c r="A40">
        <v>2045</v>
      </c>
      <c r="C40" s="13">
        <f t="shared" si="15"/>
        <v>64.99637257711403</v>
      </c>
      <c r="D40" s="84">
        <f t="shared" si="7"/>
        <v>64.997399613679519</v>
      </c>
      <c r="E40" s="84">
        <f>J40-SUM(F$7:F40)</f>
        <v>10.126442523341217</v>
      </c>
      <c r="F40" s="13">
        <f t="shared" si="8"/>
        <v>0.27834648375631649</v>
      </c>
      <c r="G40" s="13">
        <f t="shared" si="9"/>
        <v>0.61854774168070326</v>
      </c>
      <c r="H40" s="13">
        <f t="shared" si="10"/>
        <v>0.61854774168070326</v>
      </c>
      <c r="I40" s="89">
        <f t="shared" si="17"/>
        <v>0.45</v>
      </c>
      <c r="J40" s="13">
        <f t="shared" si="11"/>
        <v>17.288077159314284</v>
      </c>
      <c r="K40" s="13"/>
      <c r="L40" s="84">
        <f t="shared" si="14"/>
        <v>64.999997982577639</v>
      </c>
      <c r="M40" s="13">
        <f t="shared" si="5"/>
        <v>64.999998709333568</v>
      </c>
      <c r="N40" s="13">
        <f t="shared" si="13"/>
        <v>2047.0337135203827</v>
      </c>
      <c r="O40" s="13">
        <f t="shared" si="6"/>
        <v>2014.5670947322278</v>
      </c>
      <c r="P40" s="13">
        <f t="shared" si="16"/>
        <v>0.78556432250421093</v>
      </c>
      <c r="R40">
        <v>2045</v>
      </c>
      <c r="S40" s="13">
        <v>64.998324534490081</v>
      </c>
      <c r="T40" s="13">
        <v>64.99637257711403</v>
      </c>
      <c r="U40" s="13">
        <v>64.993268161803954</v>
      </c>
      <c r="W40">
        <v>2045</v>
      </c>
      <c r="X40" s="13">
        <v>64.53891569716329</v>
      </c>
      <c r="Y40" s="13">
        <f t="shared" si="12"/>
        <v>64.99637257711403</v>
      </c>
      <c r="Z40" s="13">
        <v>64.999997378523787</v>
      </c>
      <c r="AB40" s="13">
        <f t="shared" si="1"/>
        <v>64.999994762314728</v>
      </c>
      <c r="AE40" s="33">
        <f t="shared" si="0"/>
        <v>16.334018090293362</v>
      </c>
      <c r="AG40">
        <v>36</v>
      </c>
      <c r="AH40">
        <v>0</v>
      </c>
      <c r="AI40">
        <v>0</v>
      </c>
    </row>
    <row r="41" spans="1:35">
      <c r="A41">
        <v>2046</v>
      </c>
      <c r="C41" s="13">
        <f t="shared" si="15"/>
        <v>64.997621334746086</v>
      </c>
      <c r="D41" s="84">
        <f t="shared" si="7"/>
        <v>64.998294838597602</v>
      </c>
      <c r="E41" s="84">
        <f>J41-SUM(F$7:F41)</f>
        <v>10.548456544857881</v>
      </c>
      <c r="F41" s="13">
        <f t="shared" si="8"/>
        <v>0.27834648375631649</v>
      </c>
      <c r="G41" s="13">
        <f t="shared" si="9"/>
        <v>0.61854774168070326</v>
      </c>
      <c r="H41" s="13">
        <f t="shared" si="10"/>
        <v>0.61854774168070326</v>
      </c>
      <c r="I41" s="89">
        <f t="shared" si="17"/>
        <v>0.45</v>
      </c>
      <c r="J41" s="13">
        <f t="shared" si="11"/>
        <v>17.988437664587266</v>
      </c>
      <c r="K41" s="13"/>
      <c r="L41" s="84">
        <f t="shared" si="14"/>
        <v>64.999998998538786</v>
      </c>
      <c r="M41" s="13">
        <f t="shared" si="5"/>
        <v>64.999999359305022</v>
      </c>
      <c r="N41" s="13">
        <f t="shared" si="13"/>
        <v>2048.0337135203827</v>
      </c>
      <c r="O41" s="13">
        <f t="shared" si="6"/>
        <v>2014.5670947322278</v>
      </c>
      <c r="P41" s="13">
        <f t="shared" si="16"/>
        <v>0.78556432250421093</v>
      </c>
      <c r="R41">
        <v>2046</v>
      </c>
      <c r="S41" s="13">
        <v>64.998946282184491</v>
      </c>
      <c r="T41" s="13">
        <v>64.997621334746086</v>
      </c>
      <c r="U41" s="13">
        <v>64.995426578369731</v>
      </c>
      <c r="W41">
        <v>2046</v>
      </c>
      <c r="X41" s="13">
        <v>64.64033908979431</v>
      </c>
      <c r="Y41" s="13">
        <f t="shared" si="12"/>
        <v>64.997621334746086</v>
      </c>
      <c r="Z41" s="13">
        <v>64.999998698366582</v>
      </c>
      <c r="AB41" s="13">
        <f t="shared" si="1"/>
        <v>64.999997399979861</v>
      </c>
      <c r="AE41" s="33">
        <f t="shared" si="0"/>
        <v>17.034378599116003</v>
      </c>
      <c r="AG41">
        <v>37</v>
      </c>
      <c r="AH41">
        <v>0</v>
      </c>
      <c r="AI41">
        <v>0</v>
      </c>
    </row>
    <row r="42" spans="1:35">
      <c r="A42">
        <v>2047</v>
      </c>
      <c r="C42" s="13">
        <f t="shared" si="15"/>
        <v>64.998440218309142</v>
      </c>
      <c r="D42" s="84">
        <f t="shared" si="7"/>
        <v>64.998881873224917</v>
      </c>
      <c r="E42" s="84">
        <f>J42-SUM(F$7:F42)</f>
        <v>10.970470583950263</v>
      </c>
      <c r="F42" s="13">
        <f t="shared" si="8"/>
        <v>0.27834648375631649</v>
      </c>
      <c r="G42" s="13">
        <f t="shared" si="9"/>
        <v>0.61854774168070326</v>
      </c>
      <c r="H42" s="13">
        <f t="shared" si="10"/>
        <v>0.61854774168070326</v>
      </c>
      <c r="I42" s="89">
        <f t="shared" si="17"/>
        <v>0.45</v>
      </c>
      <c r="J42" s="13">
        <f t="shared" si="11"/>
        <v>18.688798187435964</v>
      </c>
      <c r="K42" s="13"/>
      <c r="L42" s="84">
        <f t="shared" si="14"/>
        <v>64.999999502868334</v>
      </c>
      <c r="M42" s="13">
        <f t="shared" si="5"/>
        <v>64.999999681954975</v>
      </c>
      <c r="N42" s="13">
        <f t="shared" si="13"/>
        <v>2049.0337135203827</v>
      </c>
      <c r="O42" s="13">
        <f t="shared" si="6"/>
        <v>2014.5670947322278</v>
      </c>
      <c r="P42" s="13">
        <f t="shared" si="16"/>
        <v>0.78556432250421093</v>
      </c>
      <c r="R42">
        <v>2047</v>
      </c>
      <c r="S42" s="13">
        <v>64.999337309896291</v>
      </c>
      <c r="T42" s="13">
        <v>64.998440218309142</v>
      </c>
      <c r="U42" s="13">
        <v>64.996892996519065</v>
      </c>
      <c r="W42">
        <v>2047</v>
      </c>
      <c r="X42" s="13">
        <v>64.719572329837803</v>
      </c>
      <c r="Y42" s="13">
        <f t="shared" si="12"/>
        <v>64.998440218309142</v>
      </c>
      <c r="Z42" s="13">
        <v>64.999999352912923</v>
      </c>
      <c r="AB42" s="13">
        <f t="shared" si="1"/>
        <v>64.999998709333568</v>
      </c>
      <c r="AE42" s="33">
        <f t="shared" si="0"/>
        <v>17.734739107938637</v>
      </c>
      <c r="AG42">
        <v>38</v>
      </c>
      <c r="AH42">
        <v>0</v>
      </c>
      <c r="AI42">
        <v>0</v>
      </c>
    </row>
    <row r="43" spans="1:35">
      <c r="A43">
        <v>2048</v>
      </c>
      <c r="C43" s="13">
        <f t="shared" si="15"/>
        <v>64.998977198728355</v>
      </c>
      <c r="D43" s="84">
        <f t="shared" si="7"/>
        <v>64.999266812124119</v>
      </c>
      <c r="E43" s="84">
        <f>J43-SUM(F$7:F43)</f>
        <v>11.392484568050495</v>
      </c>
      <c r="F43" s="13">
        <f t="shared" si="8"/>
        <v>0.27834648375631649</v>
      </c>
      <c r="G43" s="13">
        <f t="shared" si="9"/>
        <v>0.61854774168070326</v>
      </c>
      <c r="H43" s="13">
        <f t="shared" si="10"/>
        <v>0.61854774168070326</v>
      </c>
      <c r="I43" s="89">
        <f t="shared" si="17"/>
        <v>0.45</v>
      </c>
      <c r="J43" s="13">
        <f t="shared" si="11"/>
        <v>19.389158655292512</v>
      </c>
      <c r="K43" s="13"/>
      <c r="L43" s="84">
        <f t="shared" si="14"/>
        <v>64.999999753220692</v>
      </c>
      <c r="M43" s="13">
        <f t="shared" si="5"/>
        <v>64.999999842120445</v>
      </c>
      <c r="N43" s="13">
        <f t="shared" si="13"/>
        <v>2050.0337135203827</v>
      </c>
      <c r="O43" s="13">
        <f t="shared" si="6"/>
        <v>2014.5670947322278</v>
      </c>
      <c r="P43" s="13">
        <f t="shared" si="16"/>
        <v>0.78556432250421093</v>
      </c>
      <c r="R43">
        <v>2048</v>
      </c>
      <c r="S43" s="13">
        <v>64.999583231420019</v>
      </c>
      <c r="T43" s="13">
        <v>64.998977198728355</v>
      </c>
      <c r="U43" s="13">
        <v>64.99788924691164</v>
      </c>
      <c r="W43">
        <v>2048</v>
      </c>
      <c r="X43" s="13">
        <v>64.781423390448822</v>
      </c>
      <c r="Y43" s="13">
        <f t="shared" si="12"/>
        <v>64.998977198728355</v>
      </c>
      <c r="Z43" s="13">
        <v>64.999999676885849</v>
      </c>
      <c r="AB43" s="13">
        <f t="shared" si="1"/>
        <v>64.999999359305022</v>
      </c>
      <c r="AE43" s="33">
        <f t="shared" si="0"/>
        <v>18.435099616761271</v>
      </c>
      <c r="AG43">
        <v>39</v>
      </c>
      <c r="AH43">
        <v>0</v>
      </c>
      <c r="AI43">
        <v>0</v>
      </c>
    </row>
    <row r="44" spans="1:35">
      <c r="A44">
        <v>2049</v>
      </c>
      <c r="C44" s="13">
        <f t="shared" si="15"/>
        <v>64.999328698510709</v>
      </c>
      <c r="D44" s="84">
        <f t="shared" si="7"/>
        <v>64.999519228665164</v>
      </c>
      <c r="E44" s="84">
        <f>J44-SUM(F$7:F44)</f>
        <v>11.814498669626191</v>
      </c>
      <c r="F44" s="13">
        <f t="shared" si="8"/>
        <v>0.27834648375631649</v>
      </c>
      <c r="G44" s="13">
        <f t="shared" si="9"/>
        <v>0.61854774168070326</v>
      </c>
      <c r="H44" s="13">
        <f t="shared" si="10"/>
        <v>0.61854774168070326</v>
      </c>
      <c r="I44" s="89">
        <f t="shared" si="17"/>
        <v>0.45</v>
      </c>
      <c r="J44" s="13">
        <f t="shared" si="11"/>
        <v>20.089519240624526</v>
      </c>
      <c r="K44" s="13"/>
      <c r="L44" s="84">
        <f t="shared" si="14"/>
        <v>64.999999877497203</v>
      </c>
      <c r="M44" s="13">
        <f t="shared" si="5"/>
        <v>64.999999921627591</v>
      </c>
      <c r="N44" s="13">
        <f t="shared" si="13"/>
        <v>2051.0337135203827</v>
      </c>
      <c r="O44" s="13">
        <f t="shared" si="6"/>
        <v>2014.5670947322278</v>
      </c>
      <c r="P44" s="13">
        <f t="shared" si="16"/>
        <v>0.78556432250421093</v>
      </c>
      <c r="R44">
        <v>2049</v>
      </c>
      <c r="S44" s="13">
        <v>64.999737692837087</v>
      </c>
      <c r="T44" s="13">
        <v>64.999328698510709</v>
      </c>
      <c r="U44" s="13">
        <v>64.998564514566439</v>
      </c>
      <c r="W44">
        <v>2049</v>
      </c>
      <c r="X44" s="13">
        <v>64.829676949899138</v>
      </c>
      <c r="Y44" s="13">
        <f t="shared" si="12"/>
        <v>64.999328698510709</v>
      </c>
      <c r="Z44" s="13">
        <v>64.999999836444047</v>
      </c>
      <c r="AB44" s="13">
        <f t="shared" si="1"/>
        <v>64.999999681954975</v>
      </c>
      <c r="AE44" s="33">
        <f t="shared" si="0"/>
        <v>19.135460125583911</v>
      </c>
      <c r="AG44">
        <v>40</v>
      </c>
      <c r="AH44">
        <v>0</v>
      </c>
      <c r="AI44">
        <v>0</v>
      </c>
    </row>
    <row r="45" spans="1:35">
      <c r="A45">
        <v>2050</v>
      </c>
      <c r="C45" s="13">
        <f t="shared" si="15"/>
        <v>64.999557552587504</v>
      </c>
      <c r="D45" s="84">
        <f t="shared" si="7"/>
        <v>64.999684745422755</v>
      </c>
      <c r="E45" s="84">
        <f>J45-SUM(F$7:F45)</f>
        <v>12.236512483633481</v>
      </c>
      <c r="F45" s="13">
        <f t="shared" si="8"/>
        <v>0.27834648375631649</v>
      </c>
      <c r="G45" s="13">
        <f t="shared" si="9"/>
        <v>0.61854774168070326</v>
      </c>
      <c r="H45" s="13">
        <f t="shared" si="10"/>
        <v>0.61854774168070326</v>
      </c>
      <c r="I45" s="89">
        <f t="shared" si="17"/>
        <v>0.45</v>
      </c>
      <c r="J45" s="13">
        <f t="shared" si="11"/>
        <v>20.789879538388131</v>
      </c>
      <c r="K45" s="13"/>
      <c r="L45" s="84">
        <f t="shared" si="14"/>
        <v>64.999999939188825</v>
      </c>
      <c r="M45" s="13">
        <f t="shared" si="5"/>
        <v>64.99999996109544</v>
      </c>
      <c r="N45" s="13">
        <f t="shared" si="13"/>
        <v>2052.0337135203827</v>
      </c>
      <c r="O45" s="13">
        <f t="shared" si="6"/>
        <v>2014.5670947322278</v>
      </c>
      <c r="P45" s="13">
        <f t="shared" si="16"/>
        <v>0.78556432250421093</v>
      </c>
      <c r="R45">
        <v>2050</v>
      </c>
      <c r="S45" s="13">
        <v>64.999834326776295</v>
      </c>
      <c r="T45" s="13">
        <v>64.999557552587504</v>
      </c>
      <c r="U45" s="13">
        <v>64.999019021436297</v>
      </c>
      <c r="W45">
        <v>2050</v>
      </c>
      <c r="X45" s="13">
        <v>64.867304887950752</v>
      </c>
      <c r="Y45" s="13">
        <f t="shared" si="12"/>
        <v>64.999557552587504</v>
      </c>
      <c r="Z45" s="13">
        <v>64.999999914069718</v>
      </c>
      <c r="AB45" s="13">
        <f t="shared" si="1"/>
        <v>64.999999842120445</v>
      </c>
      <c r="AE45" s="33">
        <f t="shared" si="0"/>
        <v>19.835820634406545</v>
      </c>
      <c r="AG45">
        <v>41</v>
      </c>
      <c r="AH45">
        <v>0</v>
      </c>
      <c r="AI45">
        <v>0</v>
      </c>
    </row>
    <row r="46" spans="1:35">
      <c r="A46">
        <v>2051</v>
      </c>
      <c r="C46" s="20">
        <f t="shared" si="15"/>
        <v>64.998896178962681</v>
      </c>
      <c r="D46" s="84">
        <f t="shared" si="7"/>
        <v>64.999793279384349</v>
      </c>
      <c r="E46" s="84">
        <f>J46-SUM(F$7:F46)</f>
        <v>12.658526448740803</v>
      </c>
      <c r="F46" s="13">
        <f t="shared" si="8"/>
        <v>0.27834648375631649</v>
      </c>
      <c r="G46" s="13">
        <f t="shared" si="9"/>
        <v>0.61854774168070326</v>
      </c>
      <c r="H46" s="13">
        <f t="shared" si="10"/>
        <v>0.61854774168070326</v>
      </c>
      <c r="I46" s="89">
        <f t="shared" si="17"/>
        <v>0.45</v>
      </c>
      <c r="J46" s="13">
        <f t="shared" si="11"/>
        <v>21.490239987251769</v>
      </c>
      <c r="K46" s="13"/>
      <c r="L46" s="84">
        <f t="shared" si="14"/>
        <v>64.999999969812947</v>
      </c>
      <c r="M46" s="13">
        <f t="shared" si="5"/>
        <v>64.999999980687534</v>
      </c>
      <c r="N46" s="13">
        <f t="shared" si="13"/>
        <v>2053.0337135203827</v>
      </c>
      <c r="O46" s="13">
        <f t="shared" si="6"/>
        <v>2014.5670947322278</v>
      </c>
      <c r="P46" s="13">
        <f t="shared" si="16"/>
        <v>0.78556432250421093</v>
      </c>
      <c r="AB46" s="13">
        <f t="shared" si="1"/>
        <v>64.999999921627591</v>
      </c>
      <c r="AE46" s="33">
        <f t="shared" si="0"/>
        <v>20.536181143229186</v>
      </c>
      <c r="AG46">
        <v>42</v>
      </c>
      <c r="AH46">
        <v>0</v>
      </c>
      <c r="AI46">
        <v>0</v>
      </c>
    </row>
    <row r="47" spans="1:35">
      <c r="A47">
        <v>2052</v>
      </c>
      <c r="C47" s="20">
        <f t="shared" si="15"/>
        <v>64.998343044194414</v>
      </c>
      <c r="D47" s="84">
        <f t="shared" si="7"/>
        <v>64.999860112156014</v>
      </c>
      <c r="E47" s="84">
        <f>J47-SUM(F$7:F47)</f>
        <v>13.049054688551207</v>
      </c>
      <c r="F47" s="13">
        <f t="shared" si="8"/>
        <v>0.27834648375631649</v>
      </c>
      <c r="G47" s="13">
        <f t="shared" si="9"/>
        <v>0.61854774168070326</v>
      </c>
      <c r="H47" s="13">
        <f t="shared" si="10"/>
        <v>0.61854774168070326</v>
      </c>
      <c r="I47" s="89">
        <f t="shared" si="17"/>
        <v>0.45</v>
      </c>
      <c r="J47" s="13">
        <f t="shared" si="11"/>
        <v>22.159114710818489</v>
      </c>
      <c r="K47" s="13"/>
      <c r="L47" s="84">
        <f t="shared" si="14"/>
        <v>64.999999984535634</v>
      </c>
      <c r="M47" s="13">
        <f t="shared" si="5"/>
        <v>64.999999990413173</v>
      </c>
      <c r="N47" s="13">
        <f t="shared" si="13"/>
        <v>2054.0337135203827</v>
      </c>
      <c r="O47" s="13">
        <f t="shared" si="6"/>
        <v>2014.5670947322278</v>
      </c>
      <c r="P47" s="13">
        <f t="shared" si="16"/>
        <v>0.78556432250421093</v>
      </c>
      <c r="AB47" s="13">
        <f t="shared" si="1"/>
        <v>64.99999996109544</v>
      </c>
      <c r="AE47" s="33">
        <f t="shared" si="0"/>
        <v>21.23654165205182</v>
      </c>
      <c r="AG47">
        <v>43</v>
      </c>
      <c r="AH47">
        <v>0</v>
      </c>
      <c r="AI47">
        <v>0</v>
      </c>
    </row>
    <row r="48" spans="1:35">
      <c r="A48">
        <v>2053</v>
      </c>
      <c r="C48" s="20">
        <f t="shared" si="15"/>
        <v>64.998147013449284</v>
      </c>
      <c r="D48" s="84">
        <f t="shared" si="7"/>
        <v>64.999896817135294</v>
      </c>
      <c r="E48" s="84">
        <f>J48-SUM(F$7:F48)</f>
        <v>13.353393440834756</v>
      </c>
      <c r="F48" s="13">
        <f t="shared" si="8"/>
        <v>0.27834648375631649</v>
      </c>
      <c r="G48" s="13">
        <f t="shared" si="9"/>
        <v>0.61854774168070326</v>
      </c>
      <c r="H48" s="13">
        <f t="shared" si="10"/>
        <v>0.61854774168070326</v>
      </c>
      <c r="I48" s="89">
        <f t="shared" si="17"/>
        <v>0.45</v>
      </c>
      <c r="J48" s="13">
        <f>LN(L48/(65-L48))</f>
        <v>22.741799946858354</v>
      </c>
      <c r="K48" s="13"/>
      <c r="L48" s="84">
        <f t="shared" si="14"/>
        <v>64.999999991364746</v>
      </c>
      <c r="M48" s="13">
        <f t="shared" si="5"/>
        <v>64.999999995241026</v>
      </c>
      <c r="N48" s="13">
        <f t="shared" si="13"/>
        <v>2055.0337135203827</v>
      </c>
      <c r="O48" s="13">
        <f t="shared" si="6"/>
        <v>2014.5670947322278</v>
      </c>
      <c r="P48" s="13">
        <f t="shared" si="16"/>
        <v>0.78556432250421093</v>
      </c>
      <c r="AB48" s="13">
        <f t="shared" si="1"/>
        <v>64.999999980687534</v>
      </c>
      <c r="AE48" s="33">
        <f t="shared" si="0"/>
        <v>21.936902160874453</v>
      </c>
      <c r="AG48">
        <v>44</v>
      </c>
      <c r="AH48">
        <v>0</v>
      </c>
      <c r="AI48">
        <v>0</v>
      </c>
    </row>
    <row r="49" spans="1:35">
      <c r="A49">
        <v>2054</v>
      </c>
      <c r="C49" s="20">
        <f t="shared" si="15"/>
        <v>64.997839467054604</v>
      </c>
      <c r="D49" s="84">
        <f t="shared" si="7"/>
        <v>64.994252257851059</v>
      </c>
      <c r="E49" s="84">
        <f>J49-SUM(F$7:F49)</f>
        <v>9.3332470102200862</v>
      </c>
      <c r="F49" s="13">
        <f t="shared" si="8"/>
        <v>0.27834648375631649</v>
      </c>
      <c r="G49" s="13">
        <f t="shared" si="9"/>
        <v>0.61854774168070326</v>
      </c>
      <c r="H49" s="13">
        <f t="shared" si="10"/>
        <v>0.61854774168070326</v>
      </c>
      <c r="I49" s="89">
        <f t="shared" si="17"/>
        <v>0.45</v>
      </c>
      <c r="J49" s="13">
        <v>19</v>
      </c>
      <c r="K49" s="13"/>
      <c r="L49" s="84">
        <f>AVERAGE(M45:M50)</f>
        <v>64.999999986319864</v>
      </c>
      <c r="M49" s="13">
        <f t="shared" si="5"/>
        <v>64.999999995241026</v>
      </c>
      <c r="N49" s="13">
        <f t="shared" si="13"/>
        <v>2056.0337135203827</v>
      </c>
      <c r="O49" s="13">
        <f t="shared" si="6"/>
        <v>2014.5670947322278</v>
      </c>
      <c r="P49" s="13">
        <f t="shared" si="16"/>
        <v>0.78556432250421093</v>
      </c>
      <c r="AB49" s="13">
        <f t="shared" si="1"/>
        <v>64.999999990413173</v>
      </c>
      <c r="AE49" s="33">
        <f t="shared" si="0"/>
        <v>22.637262669697094</v>
      </c>
      <c r="AG49">
        <v>45</v>
      </c>
      <c r="AH49">
        <v>0</v>
      </c>
      <c r="AI49">
        <v>0</v>
      </c>
    </row>
    <row r="50" spans="1:35">
      <c r="A50">
        <v>2055</v>
      </c>
      <c r="C50" s="20">
        <f t="shared" si="15"/>
        <v>64.997351013972178</v>
      </c>
      <c r="D50" s="84">
        <f>65*EXP(E50)/(1+EXP(E50))</f>
        <v>64.995394868746303</v>
      </c>
      <c r="E50" s="84">
        <f>J50-SUM(F$7:F50)</f>
        <v>9.5549005264637703</v>
      </c>
      <c r="F50" s="13">
        <f t="shared" si="8"/>
        <v>0.27834648375631649</v>
      </c>
      <c r="G50" s="13">
        <f t="shared" si="9"/>
        <v>0.61854774168070326</v>
      </c>
      <c r="H50" s="13">
        <f t="shared" si="10"/>
        <v>0.61854774168070326</v>
      </c>
      <c r="I50" s="89">
        <f t="shared" si="17"/>
        <v>0.45</v>
      </c>
      <c r="J50" s="13">
        <v>19.5</v>
      </c>
      <c r="K50" s="13"/>
      <c r="L50" s="84">
        <f>AVERAGE(M45:M50)</f>
        <v>64.999999986319864</v>
      </c>
      <c r="M50" s="13">
        <f t="shared" si="5"/>
        <v>64.999999995241026</v>
      </c>
      <c r="N50" s="13">
        <f t="shared" si="13"/>
        <v>2057.0337135203827</v>
      </c>
      <c r="O50" s="13">
        <f t="shared" si="6"/>
        <v>2014.5670947322278</v>
      </c>
      <c r="P50" s="13">
        <f t="shared" si="16"/>
        <v>0.78556432250421093</v>
      </c>
      <c r="AB50" s="13">
        <f t="shared" si="1"/>
        <v>64.999999995241026</v>
      </c>
      <c r="AE50" s="33">
        <f t="shared" si="0"/>
        <v>23.337623178519728</v>
      </c>
      <c r="AG50">
        <v>46</v>
      </c>
      <c r="AH50">
        <v>0</v>
      </c>
      <c r="AI50">
        <v>0</v>
      </c>
    </row>
    <row r="56" spans="1:35">
      <c r="Y56" s="41" t="str">
        <f>' All EV uptake'!D46</f>
        <v>Intercept</v>
      </c>
      <c r="Z56" s="41">
        <f>' All EV uptake'!E46</f>
        <v>2006.0956444042549</v>
      </c>
      <c r="AC56" s="41" t="s">
        <v>159</v>
      </c>
      <c r="AD56" s="41">
        <v>-8.878960227321544</v>
      </c>
    </row>
    <row r="57" spans="1:35">
      <c r="Y57" s="41" t="str">
        <f>' All EV uptake'!D47</f>
        <v>EV/FFV cost ratio</v>
      </c>
      <c r="Z57" s="41">
        <f>' All EV uptake'!E47</f>
        <v>10.783904112355547</v>
      </c>
      <c r="AC57" t="s">
        <v>329</v>
      </c>
      <c r="AD57" s="41">
        <v>0.70036050882263634</v>
      </c>
    </row>
    <row r="58" spans="1:35" ht="15.75" thickBot="1">
      <c r="C58" t="s">
        <v>1233</v>
      </c>
      <c r="D58">
        <v>4.55</v>
      </c>
      <c r="Y58" s="41" t="str">
        <f>' All EV uptake'!D48</f>
        <v>dumKorea</v>
      </c>
      <c r="Z58" s="41">
        <f>' All EV uptake'!E48</f>
        <v>3.2747008164932261</v>
      </c>
      <c r="AC58" t="s">
        <v>1323</v>
      </c>
      <c r="AD58" s="42">
        <v>0.37760680826539056</v>
      </c>
    </row>
    <row r="59" spans="1:35">
      <c r="D59" t="s">
        <v>1239</v>
      </c>
      <c r="Y59" s="41" t="str">
        <f>' All EV uptake'!D49</f>
        <v>dumUK</v>
      </c>
      <c r="Z59" s="41">
        <f>' All EV uptake'!E49</f>
        <v>2.7276845521810786</v>
      </c>
      <c r="AC59" t="s">
        <v>1094</v>
      </c>
      <c r="AD59">
        <v>8.8906203375704623E-2</v>
      </c>
    </row>
    <row r="60" spans="1:35">
      <c r="Y60" s="41" t="str">
        <f>' All EV uptake'!D50</f>
        <v>dumNeth</v>
      </c>
      <c r="Z60" s="41">
        <f>' All EV uptake'!E50</f>
        <v>-1.2544269368470402</v>
      </c>
    </row>
    <row r="61" spans="1:35">
      <c r="Y61" s="41" t="str">
        <f>' All EV uptake'!D51</f>
        <v>dumChina</v>
      </c>
      <c r="Z61" s="41">
        <f>' All EV uptake'!E51</f>
        <v>1.6840641661301363</v>
      </c>
    </row>
    <row r="62" spans="1:35">
      <c r="Y62" s="41" t="str">
        <f>' All EV uptake'!D52</f>
        <v>dumDenmark</v>
      </c>
      <c r="Z62" s="41">
        <f>' All EV uptake'!E52</f>
        <v>3.2654872236791634</v>
      </c>
    </row>
    <row r="63" spans="1:35">
      <c r="Y63" s="41" t="str">
        <f>' All EV uptake'!D53</f>
        <v>dumIreland</v>
      </c>
      <c r="Z63" s="41">
        <f>' All EV uptake'!E53</f>
        <v>3.5582490934682056</v>
      </c>
    </row>
    <row r="64" spans="1:35">
      <c r="Y64" s="41" t="str">
        <f>' All EV uptake'!D54</f>
        <v>dumNZ</v>
      </c>
      <c r="Z64" s="41">
        <f>' All EV uptake'!E54</f>
        <v>1.900474768762227</v>
      </c>
    </row>
    <row r="65" spans="25:26">
      <c r="Y65" s="41" t="str">
        <f>' All EV uptake'!D55</f>
        <v>dumSwitzerland</v>
      </c>
      <c r="Z65" s="41">
        <f>' All EV uptake'!E55</f>
        <v>-2.1041729879229703</v>
      </c>
    </row>
    <row r="66" spans="25:26">
      <c r="Y66" s="41" t="str">
        <f>' All EV uptake'!D56</f>
        <v>dumSpain</v>
      </c>
      <c r="Z66" s="41">
        <f>' All EV uptake'!E56</f>
        <v>4.4168133039283006</v>
      </c>
    </row>
    <row r="67" spans="25:26">
      <c r="Y67" s="41" t="str">
        <f>' All EV uptake'!D57</f>
        <v>dumIndia</v>
      </c>
      <c r="Z67" s="41">
        <f>' All EV uptake'!E57</f>
        <v>8.3918907463589623</v>
      </c>
    </row>
    <row r="68" spans="25:26">
      <c r="Y68" s="41" t="str">
        <f>' All EV uptake'!D58</f>
        <v>dumUSA</v>
      </c>
      <c r="Z68" s="41">
        <f>' All EV uptake'!E58</f>
        <v>2.1386885311349126</v>
      </c>
    </row>
    <row r="69" spans="25:26">
      <c r="Y69" s="41" t="str">
        <f>' All EV uptake'!D59</f>
        <v>dumAustria</v>
      </c>
      <c r="Z69" s="41">
        <f>' All EV uptake'!E59</f>
        <v>-0.86657486911619475</v>
      </c>
    </row>
    <row r="70" spans="25:26">
      <c r="Y70" s="41" t="str">
        <f>' All EV uptake'!D60</f>
        <v>dumItaly</v>
      </c>
      <c r="Z70" s="41">
        <f>' All EV uptake'!E60</f>
        <v>2.0513905871244105</v>
      </c>
    </row>
    <row r="71" spans="25:26">
      <c r="Y71" s="41" t="str">
        <f>' All EV uptake'!D61</f>
        <v>dumJapan</v>
      </c>
      <c r="Z71" s="41">
        <f>' All EV uptake'!E61</f>
        <v>4.0948893434577212</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36"/>
  <sheetViews>
    <sheetView topLeftCell="A91" zoomScale="75" zoomScaleNormal="75" workbookViewId="0">
      <selection activeCell="P116" sqref="P116:AC136"/>
    </sheetView>
  </sheetViews>
  <sheetFormatPr defaultRowHeight="15"/>
  <cols>
    <col min="2" max="2" width="12.140625" customWidth="1"/>
    <col min="4" max="4" width="12.28515625" customWidth="1"/>
    <col min="7" max="7" width="10.85546875" customWidth="1"/>
    <col min="8" max="9" width="15.5703125" customWidth="1"/>
    <col min="20" max="20" width="13.5703125" customWidth="1"/>
    <col min="21" max="21" width="13.7109375" customWidth="1"/>
    <col min="25" max="25" width="17.7109375" customWidth="1"/>
    <col min="27" max="27" width="16.5703125" customWidth="1"/>
  </cols>
  <sheetData>
    <row r="1" spans="1:38">
      <c r="A1" t="s">
        <v>5</v>
      </c>
      <c r="B1" t="s">
        <v>1395</v>
      </c>
      <c r="C1" t="s">
        <v>709</v>
      </c>
      <c r="D1" t="s">
        <v>709</v>
      </c>
      <c r="E1" t="s">
        <v>498</v>
      </c>
      <c r="F1" t="s">
        <v>709</v>
      </c>
      <c r="G1" t="s">
        <v>709</v>
      </c>
      <c r="J1" t="s">
        <v>709</v>
      </c>
      <c r="O1" t="s">
        <v>709</v>
      </c>
      <c r="P1" t="s">
        <v>709</v>
      </c>
      <c r="Q1" t="s">
        <v>709</v>
      </c>
      <c r="U1" t="s">
        <v>730</v>
      </c>
      <c r="V1" s="33" t="s">
        <v>715</v>
      </c>
      <c r="W1" s="87" t="s">
        <v>1181</v>
      </c>
      <c r="X1" s="87" t="s">
        <v>1181</v>
      </c>
      <c r="Y1" s="87" t="s">
        <v>1181</v>
      </c>
      <c r="AB1" t="s">
        <v>747</v>
      </c>
      <c r="AF1" t="s">
        <v>194</v>
      </c>
      <c r="AH1" t="s">
        <v>868</v>
      </c>
    </row>
    <row r="2" spans="1:38">
      <c r="B2" t="s">
        <v>710</v>
      </c>
      <c r="C2" t="s">
        <v>710</v>
      </c>
      <c r="D2" t="s">
        <v>749</v>
      </c>
      <c r="E2" t="s">
        <v>714</v>
      </c>
      <c r="F2" t="s">
        <v>728</v>
      </c>
      <c r="G2" t="s">
        <v>269</v>
      </c>
      <c r="H2" t="s">
        <v>750</v>
      </c>
      <c r="I2" t="s">
        <v>755</v>
      </c>
      <c r="J2" t="s">
        <v>718</v>
      </c>
      <c r="O2" t="s">
        <v>269</v>
      </c>
      <c r="P2" t="s">
        <v>717</v>
      </c>
      <c r="Q2" t="s">
        <v>725</v>
      </c>
      <c r="V2" s="33"/>
      <c r="W2" s="87" t="s">
        <v>338</v>
      </c>
      <c r="X2" s="87" t="s">
        <v>1182</v>
      </c>
      <c r="Y2" s="87" t="s">
        <v>1183</v>
      </c>
      <c r="AC2" t="s">
        <v>665</v>
      </c>
      <c r="AF2" t="s">
        <v>750</v>
      </c>
      <c r="AG2" t="s">
        <v>850</v>
      </c>
      <c r="AH2" t="s">
        <v>750</v>
      </c>
    </row>
    <row r="3" spans="1:38">
      <c r="A3">
        <v>2009</v>
      </c>
      <c r="B3" s="3">
        <f>X3</f>
        <v>29.592572886961211</v>
      </c>
      <c r="C3" s="3">
        <f t="shared" ref="C3:C24" si="0">B3*AC3*1000</f>
        <v>21302.040969337188</v>
      </c>
      <c r="D3" s="3">
        <f t="shared" ref="D3:D8" si="1">D53*0.05</f>
        <v>173.84236625000005</v>
      </c>
      <c r="E3">
        <v>22</v>
      </c>
      <c r="F3" s="3">
        <f t="shared" ref="F3:F11" si="2">(C3)*E3/100</f>
        <v>4686.4490132541814</v>
      </c>
      <c r="G3" s="3">
        <f t="shared" ref="G3:G12" si="3">C3+F3+D3</f>
        <v>26162.332348841366</v>
      </c>
      <c r="H3" s="3">
        <v>0</v>
      </c>
      <c r="I3" s="3">
        <f>Austria!I3</f>
        <v>1450</v>
      </c>
      <c r="J3" s="3">
        <f>G3+H3+I3</f>
        <v>27612.332348841366</v>
      </c>
      <c r="N3">
        <v>2009</v>
      </c>
      <c r="O3" s="3">
        <f>J3</f>
        <v>27612.332348841366</v>
      </c>
      <c r="P3" s="3">
        <f>J28</f>
        <v>27612.332348841366</v>
      </c>
      <c r="Q3" s="3">
        <f>G53</f>
        <v>23675.674641666672</v>
      </c>
      <c r="T3">
        <v>2009</v>
      </c>
      <c r="U3" s="3">
        <f>'Vehicle price'!X5</f>
        <v>23</v>
      </c>
      <c r="V3">
        <v>1</v>
      </c>
      <c r="W3" s="3">
        <f t="shared" ref="W3:W24" si="4">X3*V3</f>
        <v>29.592572886961211</v>
      </c>
      <c r="X3" s="3">
        <f>'Vehicle price'!T5</f>
        <v>29.592572886961211</v>
      </c>
      <c r="Y3" s="3">
        <f>X3*Z3</f>
        <v>29.592572886961211</v>
      </c>
      <c r="Z3">
        <v>1</v>
      </c>
      <c r="AB3">
        <v>2009</v>
      </c>
      <c r="AC3" s="156">
        <v>0.71984416666666673</v>
      </c>
      <c r="AE3">
        <v>2009</v>
      </c>
      <c r="AF3">
        <v>0</v>
      </c>
      <c r="AG3" s="13">
        <f>CPIs!H48</f>
        <v>98.845613708099492</v>
      </c>
      <c r="AH3">
        <v>0</v>
      </c>
    </row>
    <row r="4" spans="1:38">
      <c r="A4">
        <v>2010</v>
      </c>
      <c r="B4" s="3">
        <f t="shared" ref="B4:B24" si="5">X4</f>
        <v>30</v>
      </c>
      <c r="C4" s="3">
        <f t="shared" si="0"/>
        <v>22760.138776915202</v>
      </c>
      <c r="D4" s="3">
        <f t="shared" si="1"/>
        <v>183.21911715416741</v>
      </c>
      <c r="E4">
        <v>22</v>
      </c>
      <c r="F4" s="3">
        <f t="shared" si="2"/>
        <v>5007.2305309213443</v>
      </c>
      <c r="G4" s="3">
        <f t="shared" si="3"/>
        <v>27950.588424990714</v>
      </c>
      <c r="H4" s="3">
        <v>0</v>
      </c>
      <c r="I4" s="3">
        <f>Austria!I4</f>
        <v>1450</v>
      </c>
      <c r="J4" s="3">
        <f t="shared" ref="J4:J24" si="6">G4+H4+I4</f>
        <v>29400.588424990714</v>
      </c>
      <c r="N4">
        <v>2010</v>
      </c>
      <c r="O4" s="3">
        <f t="shared" ref="O4:O12" si="7">J4</f>
        <v>29400.588424990714</v>
      </c>
      <c r="P4" s="3">
        <f t="shared" ref="P4:P12" si="8">J29</f>
        <v>29400.588424990714</v>
      </c>
      <c r="Q4" s="3">
        <f t="shared" ref="Q4:Q12" si="9">G54</f>
        <v>24952.6988124247</v>
      </c>
      <c r="T4">
        <v>2010</v>
      </c>
      <c r="U4" s="3">
        <f>'Vehicle price'!X6</f>
        <v>23</v>
      </c>
      <c r="V4">
        <v>1</v>
      </c>
      <c r="W4" s="3">
        <f t="shared" si="4"/>
        <v>30</v>
      </c>
      <c r="X4" s="3">
        <f>'Vehicle price'!T6</f>
        <v>30</v>
      </c>
      <c r="Y4" s="3">
        <f t="shared" ref="Y4:Y24" si="10">X4*Z4</f>
        <v>30</v>
      </c>
      <c r="Z4">
        <v>1</v>
      </c>
      <c r="AB4">
        <v>2010</v>
      </c>
      <c r="AC4" s="156">
        <v>0.75867129256384003</v>
      </c>
      <c r="AE4">
        <v>2010</v>
      </c>
      <c r="AF4">
        <v>0</v>
      </c>
      <c r="AG4" s="13">
        <f>CPIs!H49</f>
        <v>100</v>
      </c>
      <c r="AH4">
        <v>0</v>
      </c>
    </row>
    <row r="5" spans="1:38">
      <c r="A5">
        <v>2011</v>
      </c>
      <c r="B5" s="3">
        <f t="shared" si="5"/>
        <v>30</v>
      </c>
      <c r="C5" s="3">
        <f t="shared" si="0"/>
        <v>21463.232997813917</v>
      </c>
      <c r="D5" s="3">
        <f t="shared" si="1"/>
        <v>172.77902563240201</v>
      </c>
      <c r="E5">
        <v>23</v>
      </c>
      <c r="F5" s="3">
        <f t="shared" si="2"/>
        <v>4936.5435894972006</v>
      </c>
      <c r="G5" s="3">
        <f t="shared" si="3"/>
        <v>26572.555612943517</v>
      </c>
      <c r="H5" s="3">
        <v>0</v>
      </c>
      <c r="I5" s="3">
        <f>Austria!I5</f>
        <v>1450</v>
      </c>
      <c r="J5" s="3">
        <f t="shared" si="6"/>
        <v>28022.555612943517</v>
      </c>
      <c r="N5">
        <v>2011</v>
      </c>
      <c r="O5" s="3">
        <f t="shared" si="7"/>
        <v>28022.555612943517</v>
      </c>
      <c r="P5" s="3">
        <f t="shared" si="8"/>
        <v>28022.555612943517</v>
      </c>
      <c r="Q5" s="3">
        <f t="shared" si="9"/>
        <v>23695.409229586563</v>
      </c>
      <c r="T5">
        <v>2011</v>
      </c>
      <c r="U5" s="3">
        <f>'Vehicle price'!X7</f>
        <v>23</v>
      </c>
      <c r="V5">
        <v>1</v>
      </c>
      <c r="W5" s="3">
        <f t="shared" si="4"/>
        <v>30</v>
      </c>
      <c r="X5" s="3">
        <f>'Vehicle price'!T7</f>
        <v>30</v>
      </c>
      <c r="Y5" s="3">
        <f t="shared" si="10"/>
        <v>30</v>
      </c>
      <c r="Z5">
        <v>1</v>
      </c>
      <c r="AB5">
        <v>2011</v>
      </c>
      <c r="AC5" s="156">
        <v>0.71544109992713056</v>
      </c>
      <c r="AE5">
        <v>2011</v>
      </c>
      <c r="AF5">
        <v>0</v>
      </c>
      <c r="AG5" s="13">
        <f>CPIs!H50</f>
        <v>103.41680908203125</v>
      </c>
      <c r="AH5">
        <v>0</v>
      </c>
    </row>
    <row r="6" spans="1:38">
      <c r="A6">
        <v>2012</v>
      </c>
      <c r="B6" s="3">
        <f t="shared" si="5"/>
        <v>30.842462459493706</v>
      </c>
      <c r="C6" s="3">
        <f t="shared" si="0"/>
        <v>23868.964632772961</v>
      </c>
      <c r="D6" s="3">
        <f t="shared" si="1"/>
        <v>240.29577820543665</v>
      </c>
      <c r="E6">
        <v>23</v>
      </c>
      <c r="F6" s="3">
        <f t="shared" si="2"/>
        <v>5489.8618655377813</v>
      </c>
      <c r="G6" s="3">
        <f t="shared" si="3"/>
        <v>29599.12227651618</v>
      </c>
      <c r="H6" s="3">
        <v>0</v>
      </c>
      <c r="I6" s="3">
        <f>Austria!I6</f>
        <v>1450</v>
      </c>
      <c r="J6" s="3">
        <f t="shared" si="6"/>
        <v>31049.12227651618</v>
      </c>
      <c r="N6">
        <v>2012</v>
      </c>
      <c r="O6" s="3">
        <f t="shared" si="7"/>
        <v>31049.12227651618</v>
      </c>
      <c r="P6" s="3">
        <f t="shared" si="8"/>
        <v>31049.12227651618</v>
      </c>
      <c r="Q6" s="3">
        <f t="shared" si="9"/>
        <v>26699.530911715177</v>
      </c>
      <c r="T6">
        <v>2012</v>
      </c>
      <c r="U6" s="3">
        <f>'Vehicle price'!X8</f>
        <v>23</v>
      </c>
      <c r="V6">
        <v>1</v>
      </c>
      <c r="W6" s="3">
        <f t="shared" si="4"/>
        <v>30.842462459493706</v>
      </c>
      <c r="X6" s="3">
        <f>'Vehicle price'!T8</f>
        <v>30.842462459493706</v>
      </c>
      <c r="Y6" s="3">
        <f t="shared" si="10"/>
        <v>30.842462459493706</v>
      </c>
      <c r="Z6">
        <v>1</v>
      </c>
      <c r="AB6">
        <v>2012</v>
      </c>
      <c r="AC6" s="156">
        <v>0.773899446716382</v>
      </c>
      <c r="AE6">
        <v>2012</v>
      </c>
      <c r="AF6">
        <v>0</v>
      </c>
      <c r="AG6" s="13">
        <f>CPIs!H51</f>
        <v>106.32109832763672</v>
      </c>
      <c r="AH6">
        <v>0</v>
      </c>
    </row>
    <row r="7" spans="1:38">
      <c r="A7">
        <v>2013</v>
      </c>
      <c r="B7" s="3">
        <f t="shared" si="5"/>
        <v>31.143929334439989</v>
      </c>
      <c r="C7" s="3">
        <f t="shared" si="0"/>
        <v>23409.918880648976</v>
      </c>
      <c r="D7" s="3">
        <f t="shared" si="1"/>
        <v>233.39315133891765</v>
      </c>
      <c r="E7">
        <v>24</v>
      </c>
      <c r="F7" s="3">
        <f t="shared" si="2"/>
        <v>5618.380531355755</v>
      </c>
      <c r="G7" s="3">
        <f t="shared" si="3"/>
        <v>29261.692563343648</v>
      </c>
      <c r="H7" s="3">
        <v>0</v>
      </c>
      <c r="I7" s="3">
        <f>Austria!I7</f>
        <v>1450</v>
      </c>
      <c r="J7" s="3">
        <f t="shared" si="6"/>
        <v>30711.692563343648</v>
      </c>
      <c r="N7">
        <v>2013</v>
      </c>
      <c r="O7" s="3">
        <f t="shared" si="7"/>
        <v>30711.692563343648</v>
      </c>
      <c r="P7" s="3">
        <f t="shared" si="8"/>
        <v>30711.692563343648</v>
      </c>
      <c r="Q7" s="3">
        <f t="shared" si="9"/>
        <v>26105.456186797452</v>
      </c>
      <c r="T7">
        <v>2013</v>
      </c>
      <c r="U7" s="3">
        <f>'Vehicle price'!X9</f>
        <v>23</v>
      </c>
      <c r="V7">
        <v>1</v>
      </c>
      <c r="W7" s="3">
        <f t="shared" si="4"/>
        <v>31.143929334439989</v>
      </c>
      <c r="X7" s="3">
        <f>'Vehicle price'!T9</f>
        <v>31.143929334439989</v>
      </c>
      <c r="Y7" s="3">
        <f t="shared" si="10"/>
        <v>31.143929334439989</v>
      </c>
      <c r="Z7">
        <v>1</v>
      </c>
      <c r="AB7">
        <v>2013</v>
      </c>
      <c r="AC7" s="156">
        <v>0.75166876437654617</v>
      </c>
      <c r="AE7">
        <v>2013</v>
      </c>
      <c r="AF7">
        <v>0</v>
      </c>
      <c r="AG7" s="13">
        <f>CPIs!H52</f>
        <v>107.89282989501953</v>
      </c>
      <c r="AH7">
        <v>0</v>
      </c>
    </row>
    <row r="8" spans="1:38">
      <c r="A8">
        <v>2014</v>
      </c>
      <c r="B8" s="3">
        <f t="shared" si="5"/>
        <v>33.541755956678692</v>
      </c>
      <c r="C8" s="3">
        <f t="shared" si="0"/>
        <v>25404.118038119632</v>
      </c>
      <c r="D8" s="3">
        <f t="shared" si="1"/>
        <v>235.16892380422692</v>
      </c>
      <c r="E8">
        <v>24</v>
      </c>
      <c r="F8" s="3">
        <f t="shared" si="2"/>
        <v>6096.9883291487113</v>
      </c>
      <c r="G8" s="3">
        <f t="shared" si="3"/>
        <v>31736.275291072572</v>
      </c>
      <c r="H8" s="3">
        <v>0</v>
      </c>
      <c r="I8" s="3">
        <f>Austria!I8</f>
        <v>1450</v>
      </c>
      <c r="J8" s="3">
        <f t="shared" si="6"/>
        <v>33186.275291072569</v>
      </c>
      <c r="N8">
        <v>2014</v>
      </c>
      <c r="O8" s="3">
        <f t="shared" si="7"/>
        <v>33186.275291072569</v>
      </c>
      <c r="P8" s="3">
        <f t="shared" si="8"/>
        <v>33186.275291072569</v>
      </c>
      <c r="Q8" s="3">
        <f t="shared" si="9"/>
        <v>26304.079625509821</v>
      </c>
      <c r="T8">
        <v>2014</v>
      </c>
      <c r="U8" s="3">
        <f>'Vehicle price'!X10</f>
        <v>23</v>
      </c>
      <c r="V8">
        <v>1</v>
      </c>
      <c r="W8" s="3">
        <f t="shared" si="4"/>
        <v>33.541755956678692</v>
      </c>
      <c r="X8" s="3">
        <f>'Vehicle price'!T10</f>
        <v>33.541755956678692</v>
      </c>
      <c r="Y8" s="3">
        <f t="shared" si="10"/>
        <v>33.541755956678692</v>
      </c>
      <c r="Z8">
        <v>1</v>
      </c>
      <c r="AB8">
        <v>2014</v>
      </c>
      <c r="AC8" s="156">
        <v>0.757387838338895</v>
      </c>
      <c r="AE8">
        <v>2014</v>
      </c>
      <c r="AF8">
        <v>0</v>
      </c>
      <c r="AG8" s="13">
        <f>CPIs!H53</f>
        <v>109.01621246337891</v>
      </c>
      <c r="AH8">
        <v>0</v>
      </c>
    </row>
    <row r="9" spans="1:38">
      <c r="A9">
        <v>2015</v>
      </c>
      <c r="B9" s="3">
        <f t="shared" si="5"/>
        <v>30</v>
      </c>
      <c r="C9" s="3">
        <f t="shared" si="0"/>
        <v>27177.76686239925</v>
      </c>
      <c r="D9" s="3">
        <f>D59*0.05</f>
        <v>281.28988702583223</v>
      </c>
      <c r="E9">
        <v>24</v>
      </c>
      <c r="F9" s="3">
        <f t="shared" si="2"/>
        <v>6522.6640469758204</v>
      </c>
      <c r="G9" s="3">
        <f t="shared" si="3"/>
        <v>33981.720796400899</v>
      </c>
      <c r="H9" s="3">
        <v>0</v>
      </c>
      <c r="I9" s="3">
        <f>Austria!I9</f>
        <v>1450</v>
      </c>
      <c r="J9" s="3">
        <f t="shared" si="6"/>
        <v>35431.720796400899</v>
      </c>
      <c r="N9">
        <v>2015</v>
      </c>
      <c r="O9" s="3">
        <f t="shared" si="7"/>
        <v>35431.720796400899</v>
      </c>
      <c r="P9" s="3">
        <f t="shared" si="8"/>
        <v>35431.720796400899</v>
      </c>
      <c r="Q9" s="3">
        <f t="shared" si="9"/>
        <v>31462.794771037534</v>
      </c>
      <c r="T9">
        <v>2015</v>
      </c>
      <c r="U9" s="3">
        <f>'Vehicle price'!X11</f>
        <v>23</v>
      </c>
      <c r="V9">
        <v>1</v>
      </c>
      <c r="W9" s="3">
        <f t="shared" si="4"/>
        <v>30</v>
      </c>
      <c r="X9" s="3">
        <f>'Vehicle price'!T11</f>
        <v>30</v>
      </c>
      <c r="Y9" s="3">
        <f t="shared" si="10"/>
        <v>30</v>
      </c>
      <c r="Z9">
        <v>1</v>
      </c>
      <c r="AB9">
        <v>2015</v>
      </c>
      <c r="AC9" s="156">
        <v>0.90592556207997499</v>
      </c>
      <c r="AE9">
        <v>2015</v>
      </c>
      <c r="AF9">
        <v>0</v>
      </c>
      <c r="AG9" s="13">
        <f>CPIs!H54</f>
        <v>108.79036712646484</v>
      </c>
      <c r="AH9">
        <v>0</v>
      </c>
      <c r="AK9" s="13"/>
      <c r="AL9" s="13"/>
    </row>
    <row r="10" spans="1:38">
      <c r="A10">
        <v>2016</v>
      </c>
      <c r="B10" s="3">
        <f t="shared" si="5"/>
        <v>30</v>
      </c>
      <c r="C10" s="3">
        <f t="shared" si="0"/>
        <v>27202.412312659035</v>
      </c>
      <c r="D10" s="61">
        <f>D9+(D12-D9)/3</f>
        <v>231.51409135055482</v>
      </c>
      <c r="E10">
        <v>24</v>
      </c>
      <c r="F10" s="3">
        <f t="shared" si="2"/>
        <v>6528.5789550381687</v>
      </c>
      <c r="G10" s="3">
        <f t="shared" si="3"/>
        <v>33962.505359047755</v>
      </c>
      <c r="H10" s="3">
        <v>0</v>
      </c>
      <c r="I10" s="3">
        <f>Austria!I10</f>
        <v>1450</v>
      </c>
      <c r="J10" s="3">
        <f t="shared" si="6"/>
        <v>35412.505359047755</v>
      </c>
      <c r="N10">
        <v>2016</v>
      </c>
      <c r="O10" s="3">
        <f t="shared" si="7"/>
        <v>35412.505359047755</v>
      </c>
      <c r="P10" s="3">
        <f t="shared" si="8"/>
        <v>35412.505359047755</v>
      </c>
      <c r="Q10" s="3">
        <f t="shared" si="9"/>
        <v>31491.325987288277</v>
      </c>
      <c r="T10">
        <v>2016</v>
      </c>
      <c r="U10" s="3">
        <f>'Vehicle price'!X12</f>
        <v>23</v>
      </c>
      <c r="V10">
        <v>1</v>
      </c>
      <c r="W10" s="3">
        <f t="shared" si="4"/>
        <v>30</v>
      </c>
      <c r="X10" s="3">
        <f>'Vehicle price'!T12</f>
        <v>30</v>
      </c>
      <c r="Y10" s="3">
        <f t="shared" si="10"/>
        <v>30</v>
      </c>
      <c r="Z10">
        <v>1</v>
      </c>
      <c r="AB10">
        <v>2016</v>
      </c>
      <c r="AC10" s="156">
        <v>0.90674707708863456</v>
      </c>
      <c r="AE10">
        <v>2016</v>
      </c>
      <c r="AF10">
        <v>0</v>
      </c>
      <c r="AG10" s="13">
        <f>CPIs!H55</f>
        <v>109.17871856689453</v>
      </c>
      <c r="AH10">
        <v>0</v>
      </c>
      <c r="AK10" s="13"/>
      <c r="AL10" s="13"/>
    </row>
    <row r="11" spans="1:38">
      <c r="A11">
        <v>2017</v>
      </c>
      <c r="B11" s="3">
        <f t="shared" si="5"/>
        <v>30</v>
      </c>
      <c r="C11" s="3">
        <f t="shared" si="0"/>
        <v>26462.003510368591</v>
      </c>
      <c r="D11" s="61">
        <f>D10+(D12-D9)/3</f>
        <v>181.73829567527741</v>
      </c>
      <c r="E11">
        <v>24</v>
      </c>
      <c r="F11" s="3">
        <f t="shared" si="2"/>
        <v>6350.8808424884619</v>
      </c>
      <c r="G11" s="3">
        <f t="shared" si="3"/>
        <v>32994.622648532328</v>
      </c>
      <c r="H11" s="3">
        <v>0</v>
      </c>
      <c r="I11" s="3">
        <f>Austria!I11</f>
        <v>1450</v>
      </c>
      <c r="J11" s="3">
        <f t="shared" si="6"/>
        <v>34444.622648532328</v>
      </c>
      <c r="N11">
        <v>2017</v>
      </c>
      <c r="O11" s="3">
        <f t="shared" si="7"/>
        <v>34444.622648532328</v>
      </c>
      <c r="P11" s="3">
        <f t="shared" si="8"/>
        <v>34444.622648532328</v>
      </c>
      <c r="Q11" s="3">
        <f t="shared" si="9"/>
        <v>30634.179397170039</v>
      </c>
      <c r="T11">
        <v>2017</v>
      </c>
      <c r="U11" s="3">
        <f>'Vehicle price'!X13</f>
        <v>23</v>
      </c>
      <c r="V11">
        <v>1</v>
      </c>
      <c r="W11" s="3">
        <f t="shared" si="4"/>
        <v>30</v>
      </c>
      <c r="X11" s="3">
        <f>'Vehicle price'!T13</f>
        <v>30</v>
      </c>
      <c r="Y11" s="3">
        <f t="shared" si="10"/>
        <v>30</v>
      </c>
      <c r="Z11">
        <v>1</v>
      </c>
      <c r="AB11">
        <v>2017</v>
      </c>
      <c r="AC11" s="156">
        <v>0.88206678367895308</v>
      </c>
      <c r="AE11">
        <v>2017</v>
      </c>
      <c r="AF11">
        <v>0</v>
      </c>
      <c r="AG11" s="13">
        <f>CPIs!H56</f>
        <v>109.99755895614625</v>
      </c>
      <c r="AH11">
        <v>0</v>
      </c>
      <c r="AK11" s="13"/>
      <c r="AL11" s="13"/>
    </row>
    <row r="12" spans="1:38">
      <c r="A12">
        <v>2018</v>
      </c>
      <c r="B12" s="3">
        <f t="shared" si="5"/>
        <v>30.592100851060948</v>
      </c>
      <c r="C12" s="3">
        <f t="shared" si="0"/>
        <v>26003.285723401805</v>
      </c>
      <c r="D12" s="3">
        <f>D62*0.025</f>
        <v>131.96250000000001</v>
      </c>
      <c r="E12">
        <v>24</v>
      </c>
      <c r="F12" s="3">
        <f>(C12)*E12/100</f>
        <v>6240.7885736164335</v>
      </c>
      <c r="G12" s="3">
        <f t="shared" si="3"/>
        <v>32376.036797018241</v>
      </c>
      <c r="H12" s="3">
        <f t="shared" ref="H12:H24" si="11">AH12</f>
        <v>-1985.1116625310174</v>
      </c>
      <c r="I12" s="3">
        <f>Austria!I12</f>
        <v>1450</v>
      </c>
      <c r="J12" s="3">
        <f t="shared" si="6"/>
        <v>31840.925134487225</v>
      </c>
      <c r="N12">
        <v>2018</v>
      </c>
      <c r="O12" s="3">
        <f t="shared" si="7"/>
        <v>31840.925134487225</v>
      </c>
      <c r="P12" s="3">
        <f t="shared" si="8"/>
        <v>31840.925134487225</v>
      </c>
      <c r="Q12" s="3">
        <f t="shared" si="9"/>
        <v>29520.5</v>
      </c>
      <c r="T12">
        <v>2018</v>
      </c>
      <c r="U12" s="3">
        <f>'Vehicle price'!X14</f>
        <v>23</v>
      </c>
      <c r="V12">
        <v>1</v>
      </c>
      <c r="W12" s="3">
        <f t="shared" si="4"/>
        <v>30.592100851060948</v>
      </c>
      <c r="X12" s="3">
        <f>'Vehicle price'!T14</f>
        <v>30.592100851060948</v>
      </c>
      <c r="Y12" s="3">
        <f t="shared" si="10"/>
        <v>30.592100851060948</v>
      </c>
      <c r="Z12">
        <v>1</v>
      </c>
      <c r="AB12">
        <v>2018</v>
      </c>
      <c r="AC12" s="14">
        <v>0.85</v>
      </c>
      <c r="AE12">
        <v>2018</v>
      </c>
      <c r="AF12">
        <v>-2000</v>
      </c>
      <c r="AG12" s="20">
        <f>AG11*AG11/AG10</f>
        <v>110.82254064831736</v>
      </c>
      <c r="AH12" s="3">
        <f>AF12*AG$11/AG12</f>
        <v>-1985.1116625310174</v>
      </c>
      <c r="AK12" s="13"/>
      <c r="AL12" s="13"/>
    </row>
    <row r="13" spans="1:38">
      <c r="A13">
        <v>2019</v>
      </c>
      <c r="B13" s="3">
        <f t="shared" si="5"/>
        <v>31.172994053473918</v>
      </c>
      <c r="C13" s="3">
        <f t="shared" si="0"/>
        <v>26497.044945452828</v>
      </c>
      <c r="D13" s="3">
        <f t="shared" ref="D13:D24" si="12">D63*0.025</f>
        <v>131.96250000000001</v>
      </c>
      <c r="E13">
        <v>24</v>
      </c>
      <c r="F13" s="3">
        <f t="shared" ref="F13:F24" si="13">(C13)*E13/100</f>
        <v>6359.2907869086785</v>
      </c>
      <c r="G13" s="3">
        <f t="shared" ref="G13:G24" si="14">C13+F13+D13</f>
        <v>32988.298232361507</v>
      </c>
      <c r="H13" s="3">
        <f t="shared" si="11"/>
        <v>-1970.3341563583297</v>
      </c>
      <c r="I13" s="3">
        <f>Austria!I13</f>
        <v>1450</v>
      </c>
      <c r="J13" s="3">
        <f t="shared" si="6"/>
        <v>32467.964076003176</v>
      </c>
      <c r="N13">
        <v>2019</v>
      </c>
      <c r="O13" s="3">
        <f t="shared" ref="O13:O24" si="15">J13</f>
        <v>32467.964076003176</v>
      </c>
      <c r="P13" s="3">
        <f t="shared" ref="P13:P24" si="16">J38</f>
        <v>32467.964076003176</v>
      </c>
      <c r="Q13" s="3">
        <f t="shared" ref="Q13:Q24" si="17">G63</f>
        <v>29520.5</v>
      </c>
      <c r="T13">
        <v>2019</v>
      </c>
      <c r="U13" s="3">
        <f>'Vehicle price'!X15</f>
        <v>23</v>
      </c>
      <c r="V13" s="20">
        <f>V12+(V24-V12)/12</f>
        <v>1.0249999999999999</v>
      </c>
      <c r="W13" s="3">
        <f t="shared" si="4"/>
        <v>31.952318904810763</v>
      </c>
      <c r="X13" s="3">
        <f>'Vehicle price'!T15</f>
        <v>31.172994053473918</v>
      </c>
      <c r="Y13" s="3">
        <f t="shared" si="10"/>
        <v>30.393669202137069</v>
      </c>
      <c r="Z13" s="20">
        <f>Z12+(Z24-Z12)/12</f>
        <v>0.97499999999999998</v>
      </c>
      <c r="AB13">
        <v>2019</v>
      </c>
      <c r="AC13" s="14">
        <v>0.85</v>
      </c>
      <c r="AE13">
        <v>2019</v>
      </c>
      <c r="AF13">
        <v>-2000</v>
      </c>
      <c r="AG13" s="20">
        <f t="shared" ref="AG13:AG24" si="18">AG12*AG12/AG11</f>
        <v>111.65370970317974</v>
      </c>
      <c r="AH13" s="3">
        <f t="shared" ref="AH13:AH24" si="19">AF13*AG$11/AG13</f>
        <v>-1970.3341563583297</v>
      </c>
      <c r="AK13" s="13"/>
      <c r="AL13" s="13"/>
    </row>
    <row r="14" spans="1:38">
      <c r="A14">
        <v>2020</v>
      </c>
      <c r="B14" s="3">
        <f t="shared" si="5"/>
        <v>30.985903123425071</v>
      </c>
      <c r="C14" s="3">
        <f t="shared" si="0"/>
        <v>26338.017654911313</v>
      </c>
      <c r="D14" s="3">
        <f t="shared" si="12"/>
        <v>131.96250000000001</v>
      </c>
      <c r="E14">
        <v>24</v>
      </c>
      <c r="F14" s="3">
        <f t="shared" si="13"/>
        <v>6321.1242371787157</v>
      </c>
      <c r="G14" s="3">
        <f t="shared" si="14"/>
        <v>32791.104392090027</v>
      </c>
      <c r="H14" s="3">
        <f t="shared" si="11"/>
        <v>-1955.6666564350667</v>
      </c>
      <c r="I14" s="3">
        <f>Austria!I14</f>
        <v>1450</v>
      </c>
      <c r="J14" s="3">
        <f t="shared" si="6"/>
        <v>32285.437735654959</v>
      </c>
      <c r="N14">
        <v>2020</v>
      </c>
      <c r="O14" s="3">
        <f t="shared" si="15"/>
        <v>32285.437735654959</v>
      </c>
      <c r="P14" s="3">
        <f t="shared" si="16"/>
        <v>32285.437735654959</v>
      </c>
      <c r="Q14" s="3">
        <f t="shared" si="17"/>
        <v>29520.5</v>
      </c>
      <c r="T14">
        <v>2020</v>
      </c>
      <c r="U14" s="3">
        <f>'Vehicle price'!X16</f>
        <v>23</v>
      </c>
      <c r="V14" s="20">
        <f>V13+(V24-V12)/12</f>
        <v>1.0499999999999998</v>
      </c>
      <c r="W14" s="3">
        <f t="shared" si="4"/>
        <v>32.535198279596322</v>
      </c>
      <c r="X14" s="3">
        <f>'Vehicle price'!T16</f>
        <v>30.985903123425071</v>
      </c>
      <c r="Y14" s="3">
        <f t="shared" si="10"/>
        <v>29.436607967253817</v>
      </c>
      <c r="Z14" s="20">
        <f>Z13+(Z24-Z12)/12</f>
        <v>0.95</v>
      </c>
      <c r="AB14">
        <v>2020</v>
      </c>
      <c r="AC14" s="14">
        <v>0.85</v>
      </c>
      <c r="AE14">
        <v>2020</v>
      </c>
      <c r="AF14">
        <v>-2000</v>
      </c>
      <c r="AG14" s="20">
        <f t="shared" si="18"/>
        <v>112.4911125259536</v>
      </c>
      <c r="AH14" s="3">
        <f t="shared" si="19"/>
        <v>-1955.6666564350667</v>
      </c>
      <c r="AK14" s="13"/>
      <c r="AL14" s="13"/>
    </row>
    <row r="15" spans="1:38">
      <c r="A15">
        <v>2021</v>
      </c>
      <c r="B15" s="3">
        <f t="shared" si="5"/>
        <v>30.206708843097807</v>
      </c>
      <c r="C15" s="3">
        <f t="shared" si="0"/>
        <v>25675.702516633137</v>
      </c>
      <c r="D15" s="3">
        <f t="shared" si="12"/>
        <v>131.96250000000001</v>
      </c>
      <c r="E15">
        <v>24</v>
      </c>
      <c r="F15" s="3">
        <f t="shared" si="13"/>
        <v>6162.1686039919523</v>
      </c>
      <c r="G15" s="3">
        <f t="shared" si="14"/>
        <v>31969.83362062509</v>
      </c>
      <c r="H15" s="3">
        <f t="shared" si="11"/>
        <v>-1941.1083438561454</v>
      </c>
      <c r="I15" s="3">
        <f>Austria!I15</f>
        <v>1450</v>
      </c>
      <c r="J15" s="3">
        <f t="shared" si="6"/>
        <v>31478.725276768942</v>
      </c>
      <c r="N15">
        <v>2021</v>
      </c>
      <c r="O15" s="3">
        <f t="shared" si="15"/>
        <v>31478.725276768942</v>
      </c>
      <c r="P15" s="3">
        <f t="shared" si="16"/>
        <v>31478.725276768942</v>
      </c>
      <c r="Q15" s="3">
        <f t="shared" si="17"/>
        <v>29520.5</v>
      </c>
      <c r="T15">
        <v>2021</v>
      </c>
      <c r="U15" s="3">
        <f>'Vehicle price'!X17</f>
        <v>23</v>
      </c>
      <c r="V15" s="20">
        <f>V14+(V24-V12)/12</f>
        <v>1.0749999999999997</v>
      </c>
      <c r="W15" s="3">
        <f t="shared" si="4"/>
        <v>32.472212006330132</v>
      </c>
      <c r="X15" s="3">
        <f>'Vehicle price'!T17</f>
        <v>30.206708843097807</v>
      </c>
      <c r="Y15" s="3">
        <f t="shared" si="10"/>
        <v>27.941205679865469</v>
      </c>
      <c r="Z15" s="20">
        <f>Z14+(Z24-Z12)/12</f>
        <v>0.92499999999999993</v>
      </c>
      <c r="AB15">
        <v>2021</v>
      </c>
      <c r="AC15" s="14">
        <v>0.85</v>
      </c>
      <c r="AE15">
        <v>2021</v>
      </c>
      <c r="AF15">
        <v>-2000</v>
      </c>
      <c r="AG15" s="20">
        <f t="shared" si="18"/>
        <v>113.33479586989826</v>
      </c>
      <c r="AH15" s="3">
        <f t="shared" si="19"/>
        <v>-1941.1083438561454</v>
      </c>
      <c r="AK15" s="13"/>
      <c r="AL15" s="13"/>
    </row>
    <row r="16" spans="1:38">
      <c r="A16">
        <v>2022</v>
      </c>
      <c r="B16" s="3">
        <f t="shared" si="5"/>
        <v>30.642454642697771</v>
      </c>
      <c r="C16" s="3">
        <f t="shared" si="0"/>
        <v>26046.086446293106</v>
      </c>
      <c r="D16" s="3">
        <f t="shared" si="12"/>
        <v>131.96250000000001</v>
      </c>
      <c r="E16">
        <v>24</v>
      </c>
      <c r="F16" s="3">
        <f t="shared" si="13"/>
        <v>6251.0607471103458</v>
      </c>
      <c r="G16" s="3">
        <f t="shared" si="14"/>
        <v>32429.109693403454</v>
      </c>
      <c r="H16" s="3">
        <f t="shared" si="11"/>
        <v>-1926.6584058125509</v>
      </c>
      <c r="I16" s="3">
        <f>Austria!I16</f>
        <v>1450</v>
      </c>
      <c r="J16" s="3">
        <f t="shared" si="6"/>
        <v>31952.451287590902</v>
      </c>
      <c r="N16">
        <v>2022</v>
      </c>
      <c r="O16" s="3">
        <f t="shared" si="15"/>
        <v>31952.451287590902</v>
      </c>
      <c r="P16" s="3">
        <f t="shared" si="16"/>
        <v>31952.451287590902</v>
      </c>
      <c r="Q16" s="3">
        <f t="shared" si="17"/>
        <v>29520.5</v>
      </c>
      <c r="T16">
        <v>2022</v>
      </c>
      <c r="U16" s="3">
        <f>'Vehicle price'!X18</f>
        <v>23</v>
      </c>
      <c r="V16" s="20">
        <f>V15+(V24-V12)/12</f>
        <v>1.0999999999999996</v>
      </c>
      <c r="W16" s="3">
        <f t="shared" si="4"/>
        <v>33.706700106967538</v>
      </c>
      <c r="X16" s="3">
        <f>'Vehicle price'!T18</f>
        <v>30.642454642697771</v>
      </c>
      <c r="Y16" s="3">
        <f t="shared" si="10"/>
        <v>27.57820917842799</v>
      </c>
      <c r="Z16" s="20">
        <f>Z15+(Z24-Z12)/12</f>
        <v>0.89999999999999991</v>
      </c>
      <c r="AB16">
        <v>2022</v>
      </c>
      <c r="AC16" s="14">
        <v>0.85</v>
      </c>
      <c r="AE16">
        <v>2022</v>
      </c>
      <c r="AF16">
        <v>-2000</v>
      </c>
      <c r="AG16" s="20">
        <f t="shared" si="18"/>
        <v>114.18480683892251</v>
      </c>
      <c r="AH16" s="3">
        <f t="shared" si="19"/>
        <v>-1926.6584058125509</v>
      </c>
      <c r="AK16" s="13"/>
      <c r="AL16" s="13"/>
    </row>
    <row r="17" spans="1:38">
      <c r="A17">
        <v>2023</v>
      </c>
      <c r="B17" s="3">
        <f t="shared" si="5"/>
        <v>30.361546257811007</v>
      </c>
      <c r="C17" s="3">
        <f t="shared" si="0"/>
        <v>25807.314319139354</v>
      </c>
      <c r="D17" s="3">
        <f t="shared" si="12"/>
        <v>131.96250000000001</v>
      </c>
      <c r="E17">
        <v>24</v>
      </c>
      <c r="F17" s="3">
        <f t="shared" si="13"/>
        <v>6193.7554365934457</v>
      </c>
      <c r="G17" s="3">
        <f t="shared" si="14"/>
        <v>32133.0322557328</v>
      </c>
      <c r="H17" s="3">
        <f t="shared" si="11"/>
        <v>-1912.3160355459561</v>
      </c>
      <c r="I17" s="3">
        <f>Austria!I17</f>
        <v>1450</v>
      </c>
      <c r="J17" s="3">
        <f t="shared" si="6"/>
        <v>31670.716220186845</v>
      </c>
      <c r="N17">
        <v>2023</v>
      </c>
      <c r="O17" s="3">
        <f t="shared" si="15"/>
        <v>31670.716220186845</v>
      </c>
      <c r="P17" s="3">
        <f t="shared" si="16"/>
        <v>31670.716220186845</v>
      </c>
      <c r="Q17" s="3">
        <f t="shared" si="17"/>
        <v>29520.5</v>
      </c>
      <c r="T17">
        <v>2023</v>
      </c>
      <c r="U17" s="3">
        <f>'Vehicle price'!X19</f>
        <v>23</v>
      </c>
      <c r="V17" s="20">
        <f>V16+(V24-V12)/12</f>
        <v>1.1249999999999996</v>
      </c>
      <c r="W17" s="3">
        <f t="shared" si="4"/>
        <v>34.156739540037371</v>
      </c>
      <c r="X17" s="3">
        <f>'Vehicle price'!T19</f>
        <v>30.361546257811007</v>
      </c>
      <c r="Y17" s="3">
        <f t="shared" si="10"/>
        <v>26.566352975584628</v>
      </c>
      <c r="Z17" s="20">
        <f>Z16+(Z24-Z12)/12</f>
        <v>0.87499999999999989</v>
      </c>
      <c r="AB17">
        <v>2023</v>
      </c>
      <c r="AC17" s="14">
        <v>0.85</v>
      </c>
      <c r="AE17">
        <v>2023</v>
      </c>
      <c r="AF17">
        <v>-2000</v>
      </c>
      <c r="AG17" s="20">
        <f t="shared" si="18"/>
        <v>115.04119289021445</v>
      </c>
      <c r="AH17" s="3">
        <f t="shared" si="19"/>
        <v>-1912.3160355459561</v>
      </c>
      <c r="AK17" s="13"/>
      <c r="AL17" s="13"/>
    </row>
    <row r="18" spans="1:38">
      <c r="A18">
        <v>2024</v>
      </c>
      <c r="B18" s="3">
        <f t="shared" si="5"/>
        <v>29.275640447464834</v>
      </c>
      <c r="C18" s="3">
        <f t="shared" si="0"/>
        <v>24884.294380345105</v>
      </c>
      <c r="D18" s="3">
        <f t="shared" si="12"/>
        <v>131.96250000000001</v>
      </c>
      <c r="E18">
        <v>24</v>
      </c>
      <c r="F18" s="3">
        <f t="shared" si="13"/>
        <v>5972.2306512828254</v>
      </c>
      <c r="G18" s="3">
        <f t="shared" si="14"/>
        <v>30988.487531627932</v>
      </c>
      <c r="H18" s="3">
        <f t="shared" si="11"/>
        <v>-1898.0804323036782</v>
      </c>
      <c r="I18" s="3">
        <f>Austria!I18</f>
        <v>1450</v>
      </c>
      <c r="J18" s="3">
        <f t="shared" si="6"/>
        <v>30540.407099324253</v>
      </c>
      <c r="N18">
        <v>2024</v>
      </c>
      <c r="O18" s="3">
        <f t="shared" si="15"/>
        <v>30540.407099324253</v>
      </c>
      <c r="P18" s="3">
        <f t="shared" si="16"/>
        <v>30540.407099324253</v>
      </c>
      <c r="Q18" s="3">
        <f t="shared" si="17"/>
        <v>29520.5</v>
      </c>
      <c r="T18">
        <v>2024</v>
      </c>
      <c r="U18" s="3">
        <f>'Vehicle price'!X20</f>
        <v>23</v>
      </c>
      <c r="V18" s="20">
        <f>V17+(V24-V12)/12</f>
        <v>1.1499999999999995</v>
      </c>
      <c r="W18" s="3">
        <f t="shared" si="4"/>
        <v>33.666986514584543</v>
      </c>
      <c r="X18" s="3">
        <f>'Vehicle price'!T20</f>
        <v>29.275640447464834</v>
      </c>
      <c r="Y18" s="3">
        <f t="shared" si="10"/>
        <v>24.884294380345104</v>
      </c>
      <c r="Z18" s="20">
        <f>Z17+(Z24-Z12)/12</f>
        <v>0.84999999999999987</v>
      </c>
      <c r="AB18">
        <v>2024</v>
      </c>
      <c r="AC18" s="14">
        <v>0.85</v>
      </c>
      <c r="AE18">
        <v>2024</v>
      </c>
      <c r="AF18">
        <v>-2000</v>
      </c>
      <c r="AG18" s="20">
        <f t="shared" si="18"/>
        <v>115.90400183689107</v>
      </c>
      <c r="AH18" s="3">
        <f t="shared" si="19"/>
        <v>-1898.0804323036782</v>
      </c>
      <c r="AK18" s="13"/>
      <c r="AL18" s="13"/>
    </row>
    <row r="19" spans="1:38">
      <c r="A19">
        <v>2025</v>
      </c>
      <c r="B19" s="3">
        <f t="shared" si="5"/>
        <v>28.343375828936317</v>
      </c>
      <c r="C19" s="3">
        <f t="shared" si="0"/>
        <v>24091.869454595868</v>
      </c>
      <c r="D19" s="3">
        <f t="shared" si="12"/>
        <v>131.96250000000001</v>
      </c>
      <c r="E19">
        <v>24</v>
      </c>
      <c r="F19" s="3">
        <f t="shared" si="13"/>
        <v>5782.0486691030083</v>
      </c>
      <c r="G19" s="3">
        <f t="shared" si="14"/>
        <v>30005.880623698878</v>
      </c>
      <c r="H19" s="3">
        <f t="shared" si="11"/>
        <v>-1883.950801293973</v>
      </c>
      <c r="I19" s="3">
        <f>Austria!I19</f>
        <v>1450</v>
      </c>
      <c r="J19" s="3">
        <f t="shared" si="6"/>
        <v>29571.929822404905</v>
      </c>
      <c r="N19">
        <v>2025</v>
      </c>
      <c r="O19" s="3">
        <f t="shared" si="15"/>
        <v>29571.929822404905</v>
      </c>
      <c r="P19" s="3">
        <f t="shared" si="16"/>
        <v>29571.929822404905</v>
      </c>
      <c r="Q19" s="3">
        <f t="shared" si="17"/>
        <v>29520.5</v>
      </c>
      <c r="T19">
        <v>2025</v>
      </c>
      <c r="U19" s="3">
        <f>'Vehicle price'!X21</f>
        <v>23</v>
      </c>
      <c r="V19" s="20">
        <f>V18+(V24-V12)/12</f>
        <v>1.1749999999999994</v>
      </c>
      <c r="W19" s="3">
        <f t="shared" si="4"/>
        <v>33.303466599000153</v>
      </c>
      <c r="X19" s="3">
        <f>'Vehicle price'!T21</f>
        <v>28.343375828936317</v>
      </c>
      <c r="Y19" s="3">
        <f t="shared" si="10"/>
        <v>23.383285058872456</v>
      </c>
      <c r="Z19" s="20">
        <f>Z18+(Z24-Z12)/12</f>
        <v>0.82499999999999984</v>
      </c>
      <c r="AB19">
        <v>2025</v>
      </c>
      <c r="AC19" s="14">
        <v>0.85</v>
      </c>
      <c r="AE19">
        <v>2025</v>
      </c>
      <c r="AF19">
        <v>-2000</v>
      </c>
      <c r="AG19" s="20">
        <f t="shared" si="18"/>
        <v>116.77328185066777</v>
      </c>
      <c r="AH19" s="3">
        <f t="shared" si="19"/>
        <v>-1883.950801293973</v>
      </c>
      <c r="AK19" s="13"/>
      <c r="AL19" s="13"/>
    </row>
    <row r="20" spans="1:38">
      <c r="A20">
        <v>2026</v>
      </c>
      <c r="B20" s="3">
        <f t="shared" si="5"/>
        <v>27.812270474504896</v>
      </c>
      <c r="C20" s="3">
        <f t="shared" si="0"/>
        <v>23640.429903329161</v>
      </c>
      <c r="D20" s="3">
        <f t="shared" si="12"/>
        <v>131.96250000000001</v>
      </c>
      <c r="E20">
        <v>24</v>
      </c>
      <c r="F20" s="3">
        <f t="shared" si="13"/>
        <v>5673.7031767989984</v>
      </c>
      <c r="G20" s="3">
        <f t="shared" si="14"/>
        <v>29446.09558012816</v>
      </c>
      <c r="H20" s="3">
        <f t="shared" si="11"/>
        <v>-1869.9263536416602</v>
      </c>
      <c r="I20" s="3">
        <f>Austria!I20</f>
        <v>1450</v>
      </c>
      <c r="J20" s="3">
        <f t="shared" si="6"/>
        <v>29026.169226486498</v>
      </c>
      <c r="N20">
        <v>2026</v>
      </c>
      <c r="O20" s="3">
        <f t="shared" si="15"/>
        <v>29026.169226486498</v>
      </c>
      <c r="P20" s="3">
        <f t="shared" si="16"/>
        <v>29026.169226486498</v>
      </c>
      <c r="Q20" s="3">
        <f t="shared" si="17"/>
        <v>29520.5</v>
      </c>
      <c r="T20">
        <v>2026</v>
      </c>
      <c r="U20" s="3">
        <f>'Vehicle price'!X22</f>
        <v>23</v>
      </c>
      <c r="V20" s="20">
        <f>V19+(V24-V12)/12</f>
        <v>1.1999999999999993</v>
      </c>
      <c r="W20" s="3">
        <f t="shared" si="4"/>
        <v>33.374724569405856</v>
      </c>
      <c r="X20" s="3">
        <f>'Vehicle price'!T22</f>
        <v>27.812270474504896</v>
      </c>
      <c r="Y20" s="3">
        <f t="shared" si="10"/>
        <v>22.24981637960391</v>
      </c>
      <c r="Z20" s="20">
        <f>Z19+(Z24-Z12)/12</f>
        <v>0.79999999999999982</v>
      </c>
      <c r="AB20">
        <v>2026</v>
      </c>
      <c r="AC20" s="14">
        <v>0.85</v>
      </c>
      <c r="AE20">
        <v>2026</v>
      </c>
      <c r="AF20">
        <v>-2000</v>
      </c>
      <c r="AG20" s="20">
        <f t="shared" si="18"/>
        <v>117.64908146454781</v>
      </c>
      <c r="AH20" s="3">
        <f t="shared" si="19"/>
        <v>-1869.9263536416602</v>
      </c>
      <c r="AK20" s="13"/>
      <c r="AL20" s="13"/>
    </row>
    <row r="21" spans="1:38">
      <c r="A21">
        <v>2027</v>
      </c>
      <c r="B21" s="3">
        <f t="shared" si="5"/>
        <v>27.281165120073478</v>
      </c>
      <c r="C21" s="3">
        <f t="shared" si="0"/>
        <v>23188.990352062454</v>
      </c>
      <c r="D21" s="3">
        <f t="shared" si="12"/>
        <v>131.96250000000001</v>
      </c>
      <c r="E21">
        <v>24</v>
      </c>
      <c r="F21" s="3">
        <f t="shared" si="13"/>
        <v>5565.3576844949894</v>
      </c>
      <c r="G21" s="3">
        <f t="shared" si="14"/>
        <v>28886.310536557445</v>
      </c>
      <c r="H21" s="3">
        <f t="shared" si="11"/>
        <v>-1856.0063063440793</v>
      </c>
      <c r="I21" s="3">
        <f>Austria!I21</f>
        <v>1450</v>
      </c>
      <c r="J21" s="3">
        <f t="shared" si="6"/>
        <v>28480.304230213365</v>
      </c>
      <c r="N21">
        <v>2027</v>
      </c>
      <c r="O21" s="3">
        <f t="shared" si="15"/>
        <v>28480.304230213365</v>
      </c>
      <c r="P21" s="3">
        <f t="shared" si="16"/>
        <v>28480.304230213365</v>
      </c>
      <c r="Q21" s="3">
        <f t="shared" si="17"/>
        <v>29520.5</v>
      </c>
      <c r="T21">
        <v>2027</v>
      </c>
      <c r="U21" s="3">
        <f>'Vehicle price'!X23</f>
        <v>23</v>
      </c>
      <c r="V21" s="20">
        <f>V20+(V24-V12)/12</f>
        <v>1.2249999999999992</v>
      </c>
      <c r="W21" s="3">
        <f t="shared" si="4"/>
        <v>33.41942727208999</v>
      </c>
      <c r="X21" s="3">
        <f>'Vehicle price'!T23</f>
        <v>27.281165120073478</v>
      </c>
      <c r="Y21" s="3">
        <f t="shared" si="10"/>
        <v>21.142902968056941</v>
      </c>
      <c r="Z21" s="20">
        <f>Z20+(Z24-Z12)/12</f>
        <v>0.7749999999999998</v>
      </c>
      <c r="AB21">
        <v>2027</v>
      </c>
      <c r="AC21" s="14">
        <v>0.85</v>
      </c>
      <c r="AE21">
        <v>2027</v>
      </c>
      <c r="AF21">
        <v>-2000</v>
      </c>
      <c r="AG21" s="20">
        <f t="shared" si="18"/>
        <v>118.53144957553194</v>
      </c>
      <c r="AH21" s="3">
        <f t="shared" si="19"/>
        <v>-1856.0063063440793</v>
      </c>
      <c r="AK21" s="13"/>
      <c r="AL21" s="13"/>
    </row>
    <row r="22" spans="1:38">
      <c r="A22">
        <v>2028</v>
      </c>
      <c r="B22" s="3">
        <f t="shared" si="5"/>
        <v>26.683671596338133</v>
      </c>
      <c r="C22" s="3">
        <f t="shared" si="0"/>
        <v>22681.12085688741</v>
      </c>
      <c r="D22" s="3">
        <f t="shared" si="12"/>
        <v>131.96250000000001</v>
      </c>
      <c r="E22">
        <v>24</v>
      </c>
      <c r="F22" s="3">
        <f t="shared" si="13"/>
        <v>5443.469005652978</v>
      </c>
      <c r="G22" s="3">
        <f t="shared" si="14"/>
        <v>28256.552362540388</v>
      </c>
      <c r="H22" s="3">
        <f t="shared" si="11"/>
        <v>-1842.1898822273736</v>
      </c>
      <c r="I22" s="3">
        <f>Austria!I22</f>
        <v>1450</v>
      </c>
      <c r="J22" s="3">
        <f t="shared" si="6"/>
        <v>27864.362480313015</v>
      </c>
      <c r="N22">
        <v>2028</v>
      </c>
      <c r="O22" s="3">
        <f t="shared" si="15"/>
        <v>27864.362480313015</v>
      </c>
      <c r="P22" s="3">
        <f t="shared" si="16"/>
        <v>27864.362480313015</v>
      </c>
      <c r="Q22" s="3">
        <f t="shared" si="17"/>
        <v>29520.5</v>
      </c>
      <c r="T22">
        <v>2028</v>
      </c>
      <c r="U22" s="3">
        <f>'Vehicle price'!X24</f>
        <v>23</v>
      </c>
      <c r="V22" s="20">
        <f>V21+(V24-V12)/12</f>
        <v>1.2499999999999991</v>
      </c>
      <c r="W22" s="3">
        <f t="shared" si="4"/>
        <v>33.354589495422644</v>
      </c>
      <c r="X22" s="3">
        <f>'Vehicle price'!T24</f>
        <v>26.683671596338133</v>
      </c>
      <c r="Y22" s="3">
        <f t="shared" si="10"/>
        <v>20.012753697253594</v>
      </c>
      <c r="Z22" s="20">
        <f>Z21+(Z24-Z12)/12</f>
        <v>0.74999999999999978</v>
      </c>
      <c r="AB22">
        <v>2028</v>
      </c>
      <c r="AC22" s="14">
        <v>0.85</v>
      </c>
      <c r="AE22">
        <v>2028</v>
      </c>
      <c r="AF22">
        <v>-2000</v>
      </c>
      <c r="AG22" s="20">
        <f t="shared" si="18"/>
        <v>119.42043544734845</v>
      </c>
      <c r="AH22" s="3">
        <f t="shared" si="19"/>
        <v>-1842.1898822273736</v>
      </c>
      <c r="AK22" s="13"/>
      <c r="AL22" s="13"/>
    </row>
    <row r="23" spans="1:38">
      <c r="A23">
        <v>2029</v>
      </c>
      <c r="B23" s="3">
        <f t="shared" si="5"/>
        <v>26.152566241906715</v>
      </c>
      <c r="C23" s="3">
        <f t="shared" si="0"/>
        <v>22229.68130562071</v>
      </c>
      <c r="D23" s="3">
        <f t="shared" si="12"/>
        <v>131.96250000000001</v>
      </c>
      <c r="E23">
        <v>24</v>
      </c>
      <c r="F23" s="3">
        <f t="shared" si="13"/>
        <v>5335.1235133489708</v>
      </c>
      <c r="G23" s="3">
        <f t="shared" si="14"/>
        <v>27696.767318969683</v>
      </c>
      <c r="H23" s="3">
        <f t="shared" si="11"/>
        <v>-1828.4763099030997</v>
      </c>
      <c r="I23" s="3">
        <f>Austria!I23</f>
        <v>1450</v>
      </c>
      <c r="J23" s="3">
        <f t="shared" si="6"/>
        <v>27318.291009066583</v>
      </c>
      <c r="N23">
        <v>2029</v>
      </c>
      <c r="O23" s="3">
        <f t="shared" si="15"/>
        <v>27318.291009066583</v>
      </c>
      <c r="P23" s="3">
        <f t="shared" si="16"/>
        <v>27318.291009066583</v>
      </c>
      <c r="Q23" s="3">
        <f t="shared" si="17"/>
        <v>29520.5</v>
      </c>
      <c r="T23">
        <v>2029</v>
      </c>
      <c r="U23" s="3">
        <f>'Vehicle price'!X25</f>
        <v>23</v>
      </c>
      <c r="V23" s="20">
        <f>V22+(V24-V12)/12</f>
        <v>1.274999999999999</v>
      </c>
      <c r="W23" s="3">
        <f t="shared" si="4"/>
        <v>33.344521958431038</v>
      </c>
      <c r="X23" s="3">
        <f>'Vehicle price'!T25</f>
        <v>26.152566241906715</v>
      </c>
      <c r="Y23" s="3">
        <f t="shared" si="10"/>
        <v>18.960610525382361</v>
      </c>
      <c r="Z23" s="20">
        <f>Z22+(Z24-Z12)/12</f>
        <v>0.72499999999999976</v>
      </c>
      <c r="AB23">
        <v>2029</v>
      </c>
      <c r="AC23" s="14">
        <v>0.85</v>
      </c>
      <c r="AE23">
        <v>2029</v>
      </c>
      <c r="AF23">
        <v>-2000</v>
      </c>
      <c r="AG23" s="20">
        <f t="shared" si="18"/>
        <v>120.3160887132036</v>
      </c>
      <c r="AH23" s="3">
        <f t="shared" si="19"/>
        <v>-1828.4763099030997</v>
      </c>
      <c r="AK23" s="13"/>
      <c r="AL23" s="13"/>
    </row>
    <row r="24" spans="1:38">
      <c r="A24">
        <v>2030</v>
      </c>
      <c r="B24" s="3">
        <f t="shared" si="5"/>
        <v>25.55507271817137</v>
      </c>
      <c r="C24" s="3">
        <f t="shared" si="0"/>
        <v>21721.811810445666</v>
      </c>
      <c r="D24" s="3">
        <f t="shared" si="12"/>
        <v>131.96250000000001</v>
      </c>
      <c r="E24">
        <v>24</v>
      </c>
      <c r="F24" s="3">
        <f t="shared" si="13"/>
        <v>5213.2348345069595</v>
      </c>
      <c r="G24" s="3">
        <f t="shared" si="14"/>
        <v>27067.009144952626</v>
      </c>
      <c r="H24" s="3">
        <f t="shared" si="11"/>
        <v>-1814.8648237251607</v>
      </c>
      <c r="I24" s="3">
        <f>Austria!I24</f>
        <v>1450</v>
      </c>
      <c r="J24" s="3">
        <f t="shared" si="6"/>
        <v>26702.144321227464</v>
      </c>
      <c r="N24">
        <v>2030</v>
      </c>
      <c r="O24" s="3">
        <f t="shared" si="15"/>
        <v>26702.144321227464</v>
      </c>
      <c r="P24" s="3">
        <f t="shared" si="16"/>
        <v>26702.144321227464</v>
      </c>
      <c r="Q24" s="3">
        <f t="shared" si="17"/>
        <v>29520.5</v>
      </c>
      <c r="T24">
        <v>2030</v>
      </c>
      <c r="U24" s="3">
        <f>'Vehicle price'!X26</f>
        <v>23</v>
      </c>
      <c r="V24">
        <v>1.3</v>
      </c>
      <c r="W24" s="3">
        <f t="shared" si="4"/>
        <v>33.221594533622785</v>
      </c>
      <c r="X24" s="3">
        <f>'Vehicle price'!T26</f>
        <v>25.55507271817137</v>
      </c>
      <c r="Y24" s="3">
        <f t="shared" si="10"/>
        <v>17.88855090271996</v>
      </c>
      <c r="Z24">
        <v>0.7</v>
      </c>
      <c r="AB24">
        <v>2030</v>
      </c>
      <c r="AC24" s="14">
        <v>0.85</v>
      </c>
      <c r="AE24">
        <v>2030</v>
      </c>
      <c r="AF24">
        <v>-2000</v>
      </c>
      <c r="AG24" s="20">
        <f t="shared" si="18"/>
        <v>121.21845937855265</v>
      </c>
      <c r="AH24" s="3">
        <f t="shared" si="19"/>
        <v>-1814.8648237251607</v>
      </c>
      <c r="AK24" s="13"/>
      <c r="AL24" s="13"/>
    </row>
    <row r="25" spans="1:38">
      <c r="F25" s="3"/>
      <c r="AD25" s="13"/>
      <c r="AE25" s="13"/>
    </row>
    <row r="26" spans="1:38">
      <c r="A26" t="s">
        <v>324</v>
      </c>
      <c r="B26" t="s">
        <v>1395</v>
      </c>
      <c r="C26" t="s">
        <v>709</v>
      </c>
      <c r="D26" t="s">
        <v>709</v>
      </c>
      <c r="E26" t="s">
        <v>498</v>
      </c>
      <c r="F26" t="s">
        <v>709</v>
      </c>
      <c r="G26" t="s">
        <v>709</v>
      </c>
      <c r="J26" t="s">
        <v>709</v>
      </c>
      <c r="AD26" s="13"/>
      <c r="AE26" s="13"/>
    </row>
    <row r="27" spans="1:38">
      <c r="B27" t="s">
        <v>711</v>
      </c>
      <c r="C27" t="s">
        <v>711</v>
      </c>
      <c r="D27" t="s">
        <v>749</v>
      </c>
      <c r="E27" t="s">
        <v>714</v>
      </c>
      <c r="F27" s="3" t="s">
        <v>728</v>
      </c>
      <c r="G27" t="s">
        <v>717</v>
      </c>
      <c r="H27" t="s">
        <v>750</v>
      </c>
      <c r="I27" t="s">
        <v>755</v>
      </c>
      <c r="J27" t="s">
        <v>719</v>
      </c>
      <c r="AE27" s="13"/>
    </row>
    <row r="28" spans="1:38">
      <c r="A28">
        <v>2009</v>
      </c>
      <c r="B28" s="3">
        <f t="shared" ref="B28:B49" si="20">B3</f>
        <v>29.592572886961211</v>
      </c>
      <c r="C28" s="3">
        <f t="shared" ref="C28:C49" si="21">B28*AC3*1000</f>
        <v>21302.040969337188</v>
      </c>
      <c r="D28" s="3">
        <f t="shared" ref="D28:D33" si="22">D53*0.05</f>
        <v>173.84236625000005</v>
      </c>
      <c r="E28">
        <v>22</v>
      </c>
      <c r="F28" s="3">
        <f t="shared" ref="F28:F36" si="23">(C28)*E28/100</f>
        <v>4686.4490132541814</v>
      </c>
      <c r="G28" s="3">
        <f t="shared" ref="G28:G37" si="24">C28+F28+D28</f>
        <v>26162.332348841366</v>
      </c>
      <c r="H28" s="3">
        <v>0</v>
      </c>
      <c r="I28" s="3">
        <f>Austria!I28</f>
        <v>1450</v>
      </c>
      <c r="J28" s="3">
        <f>G28+H28+I28</f>
        <v>27612.332348841366</v>
      </c>
      <c r="AE28" s="72"/>
    </row>
    <row r="29" spans="1:38">
      <c r="A29">
        <v>2010</v>
      </c>
      <c r="B29" s="3">
        <f t="shared" si="20"/>
        <v>30</v>
      </c>
      <c r="C29" s="3">
        <f t="shared" si="21"/>
        <v>22760.138776915202</v>
      </c>
      <c r="D29" s="3">
        <f t="shared" si="22"/>
        <v>183.21911715416741</v>
      </c>
      <c r="E29">
        <v>22</v>
      </c>
      <c r="F29" s="3">
        <f t="shared" si="23"/>
        <v>5007.2305309213443</v>
      </c>
      <c r="G29" s="3">
        <f t="shared" si="24"/>
        <v>27950.588424990714</v>
      </c>
      <c r="H29" s="3">
        <v>0</v>
      </c>
      <c r="I29" s="3">
        <f>Austria!I29</f>
        <v>1450</v>
      </c>
      <c r="J29" s="3">
        <f t="shared" ref="J29:J49" si="25">G29+H29+I29</f>
        <v>29400.588424990714</v>
      </c>
    </row>
    <row r="30" spans="1:38">
      <c r="A30">
        <v>2011</v>
      </c>
      <c r="B30" s="3">
        <f t="shared" si="20"/>
        <v>30</v>
      </c>
      <c r="C30" s="3">
        <f t="shared" si="21"/>
        <v>21463.232997813917</v>
      </c>
      <c r="D30" s="3">
        <f t="shared" si="22"/>
        <v>172.77902563240201</v>
      </c>
      <c r="E30">
        <v>23</v>
      </c>
      <c r="F30" s="3">
        <f t="shared" si="23"/>
        <v>4936.5435894972006</v>
      </c>
      <c r="G30" s="3">
        <f t="shared" si="24"/>
        <v>26572.555612943517</v>
      </c>
      <c r="H30" s="3">
        <v>0</v>
      </c>
      <c r="I30" s="3">
        <f>Austria!I30</f>
        <v>1450</v>
      </c>
      <c r="J30" s="3">
        <f t="shared" si="25"/>
        <v>28022.555612943517</v>
      </c>
    </row>
    <row r="31" spans="1:38">
      <c r="A31">
        <v>2012</v>
      </c>
      <c r="B31" s="3">
        <f t="shared" si="20"/>
        <v>30.842462459493706</v>
      </c>
      <c r="C31" s="3">
        <f t="shared" si="21"/>
        <v>23868.964632772961</v>
      </c>
      <c r="D31" s="3">
        <f t="shared" si="22"/>
        <v>240.29577820543665</v>
      </c>
      <c r="E31">
        <v>23</v>
      </c>
      <c r="F31" s="3">
        <f t="shared" si="23"/>
        <v>5489.8618655377813</v>
      </c>
      <c r="G31" s="3">
        <f t="shared" si="24"/>
        <v>29599.12227651618</v>
      </c>
      <c r="H31" s="3">
        <v>0</v>
      </c>
      <c r="I31" s="3">
        <f>Austria!I31</f>
        <v>1450</v>
      </c>
      <c r="J31" s="3">
        <f t="shared" si="25"/>
        <v>31049.12227651618</v>
      </c>
    </row>
    <row r="32" spans="1:38">
      <c r="A32">
        <v>2013</v>
      </c>
      <c r="B32" s="3">
        <f t="shared" si="20"/>
        <v>31.143929334439989</v>
      </c>
      <c r="C32" s="3">
        <f t="shared" si="21"/>
        <v>23409.918880648976</v>
      </c>
      <c r="D32" s="3">
        <f t="shared" si="22"/>
        <v>233.39315133891765</v>
      </c>
      <c r="E32">
        <v>24</v>
      </c>
      <c r="F32" s="3">
        <f t="shared" si="23"/>
        <v>5618.380531355755</v>
      </c>
      <c r="G32" s="3">
        <f t="shared" si="24"/>
        <v>29261.692563343648</v>
      </c>
      <c r="H32" s="3">
        <v>0</v>
      </c>
      <c r="I32" s="3">
        <f>Austria!I32</f>
        <v>1450</v>
      </c>
      <c r="J32" s="3">
        <f t="shared" si="25"/>
        <v>30711.692563343648</v>
      </c>
    </row>
    <row r="33" spans="1:22">
      <c r="A33">
        <v>2014</v>
      </c>
      <c r="B33" s="3">
        <f t="shared" si="20"/>
        <v>33.541755956678692</v>
      </c>
      <c r="C33" s="3">
        <f t="shared" si="21"/>
        <v>25404.118038119632</v>
      </c>
      <c r="D33" s="3">
        <f t="shared" si="22"/>
        <v>235.16892380422692</v>
      </c>
      <c r="E33">
        <v>24</v>
      </c>
      <c r="F33" s="3">
        <f t="shared" si="23"/>
        <v>6096.9883291487113</v>
      </c>
      <c r="G33" s="3">
        <f t="shared" si="24"/>
        <v>31736.275291072572</v>
      </c>
      <c r="H33" s="3">
        <v>0</v>
      </c>
      <c r="I33" s="3">
        <f>Austria!I33</f>
        <v>1450</v>
      </c>
      <c r="J33" s="3">
        <f t="shared" si="25"/>
        <v>33186.275291072569</v>
      </c>
      <c r="V33" s="167"/>
    </row>
    <row r="34" spans="1:22">
      <c r="A34">
        <v>2015</v>
      </c>
      <c r="B34" s="3">
        <f t="shared" si="20"/>
        <v>30</v>
      </c>
      <c r="C34" s="3">
        <f t="shared" si="21"/>
        <v>27177.76686239925</v>
      </c>
      <c r="D34" s="3">
        <f>D59*0.05</f>
        <v>281.28988702583223</v>
      </c>
      <c r="E34">
        <v>24</v>
      </c>
      <c r="F34" s="3">
        <f t="shared" si="23"/>
        <v>6522.6640469758204</v>
      </c>
      <c r="G34" s="3">
        <f t="shared" si="24"/>
        <v>33981.720796400899</v>
      </c>
      <c r="H34" s="3">
        <v>0</v>
      </c>
      <c r="I34" s="3">
        <f>Austria!I34</f>
        <v>1450</v>
      </c>
      <c r="J34" s="3">
        <f t="shared" si="25"/>
        <v>35431.720796400899</v>
      </c>
    </row>
    <row r="35" spans="1:22">
      <c r="A35">
        <v>2016</v>
      </c>
      <c r="B35" s="3">
        <f t="shared" si="20"/>
        <v>30</v>
      </c>
      <c r="C35" s="3">
        <f t="shared" si="21"/>
        <v>27202.412312659035</v>
      </c>
      <c r="D35" s="61">
        <f>D34+(D37-D34)/3</f>
        <v>231.51409135055482</v>
      </c>
      <c r="E35">
        <v>24</v>
      </c>
      <c r="F35" s="3">
        <f t="shared" si="23"/>
        <v>6528.5789550381687</v>
      </c>
      <c r="G35" s="3">
        <f t="shared" si="24"/>
        <v>33962.505359047755</v>
      </c>
      <c r="H35" s="3">
        <v>0</v>
      </c>
      <c r="I35" s="3">
        <f>Austria!I35</f>
        <v>1450</v>
      </c>
      <c r="J35" s="3">
        <f t="shared" si="25"/>
        <v>35412.505359047755</v>
      </c>
      <c r="V35" s="167"/>
    </row>
    <row r="36" spans="1:22">
      <c r="A36">
        <v>2017</v>
      </c>
      <c r="B36" s="3">
        <f t="shared" si="20"/>
        <v>30</v>
      </c>
      <c r="C36" s="3">
        <f t="shared" si="21"/>
        <v>26462.003510368591</v>
      </c>
      <c r="D36" s="61">
        <f>D35+(D37-D34)/3</f>
        <v>181.73829567527741</v>
      </c>
      <c r="E36">
        <v>24</v>
      </c>
      <c r="F36" s="3">
        <f t="shared" si="23"/>
        <v>6350.8808424884619</v>
      </c>
      <c r="G36" s="3">
        <f t="shared" si="24"/>
        <v>32994.622648532328</v>
      </c>
      <c r="H36" s="3">
        <v>0</v>
      </c>
      <c r="I36" s="3">
        <f>Austria!I36</f>
        <v>1450</v>
      </c>
      <c r="J36" s="3">
        <f t="shared" si="25"/>
        <v>34444.622648532328</v>
      </c>
      <c r="V36" s="167"/>
    </row>
    <row r="37" spans="1:22">
      <c r="A37">
        <v>2018</v>
      </c>
      <c r="B37" s="3">
        <f t="shared" si="20"/>
        <v>30.592100851060948</v>
      </c>
      <c r="C37" s="3">
        <f t="shared" si="21"/>
        <v>26003.285723401805</v>
      </c>
      <c r="D37" s="3">
        <f>D62*0.025</f>
        <v>131.96250000000001</v>
      </c>
      <c r="E37">
        <v>24</v>
      </c>
      <c r="F37" s="3">
        <f>(C37)*E37/100</f>
        <v>6240.7885736164335</v>
      </c>
      <c r="G37" s="3">
        <f t="shared" si="24"/>
        <v>32376.036797018241</v>
      </c>
      <c r="H37" s="3">
        <f t="shared" ref="H37:H49" si="26">H12</f>
        <v>-1985.1116625310174</v>
      </c>
      <c r="I37" s="3">
        <f>Austria!I37</f>
        <v>1450</v>
      </c>
      <c r="J37" s="3">
        <f t="shared" si="25"/>
        <v>31840.925134487225</v>
      </c>
      <c r="V37" s="105"/>
    </row>
    <row r="38" spans="1:22">
      <c r="A38">
        <v>2019</v>
      </c>
      <c r="B38" s="3">
        <f t="shared" si="20"/>
        <v>31.172994053473918</v>
      </c>
      <c r="C38" s="3">
        <f t="shared" si="21"/>
        <v>26497.044945452828</v>
      </c>
      <c r="D38" s="3">
        <f t="shared" ref="D38:D49" si="27">D63*0.025</f>
        <v>131.96250000000001</v>
      </c>
      <c r="E38">
        <v>24</v>
      </c>
      <c r="F38" s="3">
        <f t="shared" ref="F38:F49" si="28">(C38)*E38/100</f>
        <v>6359.2907869086785</v>
      </c>
      <c r="G38" s="3">
        <f t="shared" ref="G38:G49" si="29">C38+F38+D38</f>
        <v>32988.298232361507</v>
      </c>
      <c r="H38" s="3">
        <f t="shared" si="26"/>
        <v>-1970.3341563583297</v>
      </c>
      <c r="I38" s="3">
        <f>Austria!I38</f>
        <v>1450</v>
      </c>
      <c r="J38" s="3">
        <f t="shared" si="25"/>
        <v>32467.964076003176</v>
      </c>
      <c r="V38" s="105"/>
    </row>
    <row r="39" spans="1:22">
      <c r="A39">
        <v>2020</v>
      </c>
      <c r="B39" s="3">
        <f t="shared" si="20"/>
        <v>30.985903123425071</v>
      </c>
      <c r="C39" s="3">
        <f t="shared" si="21"/>
        <v>26338.017654911313</v>
      </c>
      <c r="D39" s="3">
        <f t="shared" si="27"/>
        <v>131.96250000000001</v>
      </c>
      <c r="E39">
        <v>24</v>
      </c>
      <c r="F39" s="3">
        <f t="shared" si="28"/>
        <v>6321.1242371787157</v>
      </c>
      <c r="G39" s="3">
        <f t="shared" si="29"/>
        <v>32791.104392090027</v>
      </c>
      <c r="H39" s="3">
        <f t="shared" si="26"/>
        <v>-1955.6666564350667</v>
      </c>
      <c r="I39" s="3">
        <f>Austria!I39</f>
        <v>1450</v>
      </c>
      <c r="J39" s="3">
        <f t="shared" si="25"/>
        <v>32285.437735654959</v>
      </c>
      <c r="V39" s="105"/>
    </row>
    <row r="40" spans="1:22">
      <c r="A40">
        <v>2021</v>
      </c>
      <c r="B40" s="3">
        <f t="shared" si="20"/>
        <v>30.206708843097807</v>
      </c>
      <c r="C40" s="3">
        <f t="shared" si="21"/>
        <v>25675.702516633137</v>
      </c>
      <c r="D40" s="3">
        <f t="shared" si="27"/>
        <v>131.96250000000001</v>
      </c>
      <c r="E40">
        <v>24</v>
      </c>
      <c r="F40" s="3">
        <f t="shared" si="28"/>
        <v>6162.1686039919523</v>
      </c>
      <c r="G40" s="3">
        <f t="shared" si="29"/>
        <v>31969.83362062509</v>
      </c>
      <c r="H40" s="3">
        <f t="shared" si="26"/>
        <v>-1941.1083438561454</v>
      </c>
      <c r="I40" s="3">
        <f>Austria!I40</f>
        <v>1450</v>
      </c>
      <c r="J40" s="3">
        <f t="shared" si="25"/>
        <v>31478.725276768942</v>
      </c>
      <c r="V40" s="105"/>
    </row>
    <row r="41" spans="1:22">
      <c r="A41">
        <v>2022</v>
      </c>
      <c r="B41" s="3">
        <f t="shared" si="20"/>
        <v>30.642454642697771</v>
      </c>
      <c r="C41" s="3">
        <f t="shared" si="21"/>
        <v>26046.086446293106</v>
      </c>
      <c r="D41" s="3">
        <f t="shared" si="27"/>
        <v>131.96250000000001</v>
      </c>
      <c r="E41">
        <v>24</v>
      </c>
      <c r="F41" s="3">
        <f t="shared" si="28"/>
        <v>6251.0607471103458</v>
      </c>
      <c r="G41" s="3">
        <f t="shared" si="29"/>
        <v>32429.109693403454</v>
      </c>
      <c r="H41" s="3">
        <f t="shared" si="26"/>
        <v>-1926.6584058125509</v>
      </c>
      <c r="I41" s="3">
        <f>Austria!I41</f>
        <v>1450</v>
      </c>
      <c r="J41" s="3">
        <f t="shared" si="25"/>
        <v>31952.451287590902</v>
      </c>
      <c r="V41" s="105"/>
    </row>
    <row r="42" spans="1:22">
      <c r="A42">
        <v>2023</v>
      </c>
      <c r="B42" s="3">
        <f t="shared" si="20"/>
        <v>30.361546257811007</v>
      </c>
      <c r="C42" s="3">
        <f t="shared" si="21"/>
        <v>25807.314319139354</v>
      </c>
      <c r="D42" s="3">
        <f t="shared" si="27"/>
        <v>131.96250000000001</v>
      </c>
      <c r="E42">
        <v>24</v>
      </c>
      <c r="F42" s="3">
        <f t="shared" si="28"/>
        <v>6193.7554365934457</v>
      </c>
      <c r="G42" s="3">
        <f t="shared" si="29"/>
        <v>32133.0322557328</v>
      </c>
      <c r="H42" s="3">
        <f t="shared" si="26"/>
        <v>-1912.3160355459561</v>
      </c>
      <c r="I42" s="3">
        <f>Austria!I42</f>
        <v>1450</v>
      </c>
      <c r="J42" s="3">
        <f t="shared" si="25"/>
        <v>31670.716220186845</v>
      </c>
      <c r="V42" s="105"/>
    </row>
    <row r="43" spans="1:22">
      <c r="A43">
        <v>2024</v>
      </c>
      <c r="B43" s="3">
        <f t="shared" si="20"/>
        <v>29.275640447464834</v>
      </c>
      <c r="C43" s="3">
        <f t="shared" si="21"/>
        <v>24884.294380345105</v>
      </c>
      <c r="D43" s="3">
        <f t="shared" si="27"/>
        <v>131.96250000000001</v>
      </c>
      <c r="E43">
        <v>24</v>
      </c>
      <c r="F43" s="3">
        <f t="shared" si="28"/>
        <v>5972.2306512828254</v>
      </c>
      <c r="G43" s="3">
        <f t="shared" si="29"/>
        <v>30988.487531627932</v>
      </c>
      <c r="H43" s="3">
        <f t="shared" si="26"/>
        <v>-1898.0804323036782</v>
      </c>
      <c r="I43" s="3">
        <f>Austria!I43</f>
        <v>1450</v>
      </c>
      <c r="J43" s="3">
        <f t="shared" si="25"/>
        <v>30540.407099324253</v>
      </c>
      <c r="V43" s="105"/>
    </row>
    <row r="44" spans="1:22">
      <c r="A44">
        <v>2025</v>
      </c>
      <c r="B44" s="3">
        <f t="shared" si="20"/>
        <v>28.343375828936317</v>
      </c>
      <c r="C44" s="3">
        <f t="shared" si="21"/>
        <v>24091.869454595868</v>
      </c>
      <c r="D44" s="3">
        <f t="shared" si="27"/>
        <v>131.96250000000001</v>
      </c>
      <c r="E44">
        <v>24</v>
      </c>
      <c r="F44" s="3">
        <f t="shared" si="28"/>
        <v>5782.0486691030083</v>
      </c>
      <c r="G44" s="3">
        <f t="shared" si="29"/>
        <v>30005.880623698878</v>
      </c>
      <c r="H44" s="3">
        <f t="shared" si="26"/>
        <v>-1883.950801293973</v>
      </c>
      <c r="I44" s="3">
        <f>Austria!I44</f>
        <v>1450</v>
      </c>
      <c r="J44" s="3">
        <f t="shared" si="25"/>
        <v>29571.929822404905</v>
      </c>
      <c r="V44" s="105"/>
    </row>
    <row r="45" spans="1:22">
      <c r="A45">
        <v>2026</v>
      </c>
      <c r="B45" s="3">
        <f t="shared" si="20"/>
        <v>27.812270474504896</v>
      </c>
      <c r="C45" s="3">
        <f t="shared" si="21"/>
        <v>23640.429903329161</v>
      </c>
      <c r="D45" s="3">
        <f t="shared" si="27"/>
        <v>131.96250000000001</v>
      </c>
      <c r="E45">
        <v>24</v>
      </c>
      <c r="F45" s="3">
        <f t="shared" si="28"/>
        <v>5673.7031767989984</v>
      </c>
      <c r="G45" s="3">
        <f t="shared" si="29"/>
        <v>29446.09558012816</v>
      </c>
      <c r="H45" s="3">
        <f t="shared" si="26"/>
        <v>-1869.9263536416602</v>
      </c>
      <c r="I45" s="3">
        <f>Austria!I45</f>
        <v>1450</v>
      </c>
      <c r="J45" s="3">
        <f t="shared" si="25"/>
        <v>29026.169226486498</v>
      </c>
      <c r="V45" s="105"/>
    </row>
    <row r="46" spans="1:22">
      <c r="A46">
        <v>2027</v>
      </c>
      <c r="B46" s="3">
        <f t="shared" si="20"/>
        <v>27.281165120073478</v>
      </c>
      <c r="C46" s="3">
        <f t="shared" si="21"/>
        <v>23188.990352062454</v>
      </c>
      <c r="D46" s="3">
        <f t="shared" si="27"/>
        <v>131.96250000000001</v>
      </c>
      <c r="E46">
        <v>24</v>
      </c>
      <c r="F46" s="3">
        <f t="shared" si="28"/>
        <v>5565.3576844949894</v>
      </c>
      <c r="G46" s="3">
        <f t="shared" si="29"/>
        <v>28886.310536557445</v>
      </c>
      <c r="H46" s="3">
        <f t="shared" si="26"/>
        <v>-1856.0063063440793</v>
      </c>
      <c r="I46" s="3">
        <f>Austria!I46</f>
        <v>1450</v>
      </c>
      <c r="J46" s="3">
        <f t="shared" si="25"/>
        <v>28480.304230213365</v>
      </c>
      <c r="V46" s="105"/>
    </row>
    <row r="47" spans="1:22">
      <c r="A47">
        <v>2028</v>
      </c>
      <c r="B47" s="3">
        <f t="shared" si="20"/>
        <v>26.683671596338133</v>
      </c>
      <c r="C47" s="3">
        <f t="shared" si="21"/>
        <v>22681.12085688741</v>
      </c>
      <c r="D47" s="3">
        <f t="shared" si="27"/>
        <v>131.96250000000001</v>
      </c>
      <c r="E47">
        <v>24</v>
      </c>
      <c r="F47" s="3">
        <f t="shared" si="28"/>
        <v>5443.469005652978</v>
      </c>
      <c r="G47" s="3">
        <f t="shared" si="29"/>
        <v>28256.552362540388</v>
      </c>
      <c r="H47" s="3">
        <f t="shared" si="26"/>
        <v>-1842.1898822273736</v>
      </c>
      <c r="I47" s="3">
        <f>Austria!I47</f>
        <v>1450</v>
      </c>
      <c r="J47" s="3">
        <f t="shared" si="25"/>
        <v>27864.362480313015</v>
      </c>
      <c r="V47" s="105"/>
    </row>
    <row r="48" spans="1:22">
      <c r="A48">
        <v>2029</v>
      </c>
      <c r="B48" s="3">
        <f t="shared" si="20"/>
        <v>26.152566241906715</v>
      </c>
      <c r="C48" s="3">
        <f t="shared" si="21"/>
        <v>22229.68130562071</v>
      </c>
      <c r="D48" s="3">
        <f t="shared" si="27"/>
        <v>131.96250000000001</v>
      </c>
      <c r="E48">
        <v>24</v>
      </c>
      <c r="F48" s="3">
        <f t="shared" si="28"/>
        <v>5335.1235133489708</v>
      </c>
      <c r="G48" s="3">
        <f t="shared" si="29"/>
        <v>27696.767318969683</v>
      </c>
      <c r="H48" s="3">
        <f t="shared" si="26"/>
        <v>-1828.4763099030997</v>
      </c>
      <c r="I48" s="3">
        <f>Austria!I48</f>
        <v>1450</v>
      </c>
      <c r="J48" s="3">
        <f t="shared" si="25"/>
        <v>27318.291009066583</v>
      </c>
      <c r="V48" s="105"/>
    </row>
    <row r="49" spans="1:22">
      <c r="A49">
        <v>2030</v>
      </c>
      <c r="B49" s="3">
        <f t="shared" si="20"/>
        <v>25.55507271817137</v>
      </c>
      <c r="C49" s="3">
        <f t="shared" si="21"/>
        <v>21721.811810445666</v>
      </c>
      <c r="D49" s="3">
        <f t="shared" si="27"/>
        <v>131.96250000000001</v>
      </c>
      <c r="E49">
        <v>24</v>
      </c>
      <c r="F49" s="3">
        <f t="shared" si="28"/>
        <v>5213.2348345069595</v>
      </c>
      <c r="G49" s="3">
        <f t="shared" si="29"/>
        <v>27067.009144952626</v>
      </c>
      <c r="H49" s="3">
        <f t="shared" si="26"/>
        <v>-1814.8648237251607</v>
      </c>
      <c r="I49" s="3">
        <f>Austria!I49</f>
        <v>1450</v>
      </c>
      <c r="J49" s="3">
        <f t="shared" si="25"/>
        <v>26702.144321227464</v>
      </c>
      <c r="V49" s="105"/>
    </row>
    <row r="50" spans="1:22">
      <c r="V50" s="167"/>
    </row>
    <row r="51" spans="1:22">
      <c r="A51" t="s">
        <v>716</v>
      </c>
      <c r="B51" t="s">
        <v>1395</v>
      </c>
      <c r="C51" t="s">
        <v>709</v>
      </c>
      <c r="D51" t="s">
        <v>709</v>
      </c>
      <c r="E51" t="s">
        <v>498</v>
      </c>
      <c r="F51" t="s">
        <v>709</v>
      </c>
      <c r="G51" t="s">
        <v>709</v>
      </c>
    </row>
    <row r="52" spans="1:22">
      <c r="B52" t="s">
        <v>724</v>
      </c>
      <c r="C52" t="s">
        <v>724</v>
      </c>
      <c r="D52" t="s">
        <v>749</v>
      </c>
      <c r="E52" t="s">
        <v>714</v>
      </c>
      <c r="F52" t="s">
        <v>728</v>
      </c>
      <c r="G52" t="s">
        <v>725</v>
      </c>
    </row>
    <row r="53" spans="1:22">
      <c r="A53">
        <v>2009</v>
      </c>
      <c r="B53" s="3">
        <f t="shared" ref="B53:B74" si="30">U3</f>
        <v>23</v>
      </c>
      <c r="C53" s="3">
        <f t="shared" ref="C53:C74" si="31">B53*AC3*1000</f>
        <v>16556.415833333336</v>
      </c>
      <c r="D53" s="61">
        <f>C53*0.21</f>
        <v>3476.8473250000006</v>
      </c>
      <c r="E53" s="33">
        <v>22</v>
      </c>
      <c r="F53" s="3">
        <f t="shared" ref="F53:F61" si="32">(C53)*E53/100</f>
        <v>3642.4114833333338</v>
      </c>
      <c r="G53" s="3">
        <f t="shared" ref="G53:G74" si="33">C53+F53+D53</f>
        <v>23675.674641666672</v>
      </c>
    </row>
    <row r="54" spans="1:22">
      <c r="A54">
        <v>2010</v>
      </c>
      <c r="B54" s="3">
        <f t="shared" si="30"/>
        <v>23</v>
      </c>
      <c r="C54" s="3">
        <f t="shared" si="31"/>
        <v>17449.439728968322</v>
      </c>
      <c r="D54" s="61">
        <f>C54*0.21</f>
        <v>3664.3823430833477</v>
      </c>
      <c r="E54" s="33">
        <v>22</v>
      </c>
      <c r="F54" s="3">
        <f t="shared" si="32"/>
        <v>3838.8767403730308</v>
      </c>
      <c r="G54" s="3">
        <f t="shared" si="33"/>
        <v>24952.6988124247</v>
      </c>
    </row>
    <row r="55" spans="1:22">
      <c r="A55">
        <v>2011</v>
      </c>
      <c r="B55" s="3">
        <f t="shared" si="30"/>
        <v>23</v>
      </c>
      <c r="C55" s="3">
        <f t="shared" si="31"/>
        <v>16455.145298324001</v>
      </c>
      <c r="D55" s="61">
        <f>C55*0.21</f>
        <v>3455.58051264804</v>
      </c>
      <c r="E55" s="33">
        <v>23</v>
      </c>
      <c r="F55" s="3">
        <f t="shared" si="32"/>
        <v>3784.6834186145202</v>
      </c>
      <c r="G55" s="3">
        <f t="shared" si="33"/>
        <v>23695.409229586563</v>
      </c>
    </row>
    <row r="56" spans="1:22">
      <c r="A56">
        <v>2012</v>
      </c>
      <c r="B56" s="3">
        <f t="shared" si="30"/>
        <v>23</v>
      </c>
      <c r="C56" s="3">
        <f t="shared" si="31"/>
        <v>17799.687274476786</v>
      </c>
      <c r="D56" s="61">
        <f t="shared" ref="D56:D62" si="34">C56*0.27</f>
        <v>4805.9155641087327</v>
      </c>
      <c r="E56" s="33">
        <v>23</v>
      </c>
      <c r="F56" s="3">
        <f t="shared" si="32"/>
        <v>4093.9280731296608</v>
      </c>
      <c r="G56" s="3">
        <f t="shared" si="33"/>
        <v>26699.530911715177</v>
      </c>
    </row>
    <row r="57" spans="1:22">
      <c r="A57">
        <v>2013</v>
      </c>
      <c r="B57" s="3">
        <f t="shared" si="30"/>
        <v>23</v>
      </c>
      <c r="C57" s="3">
        <f t="shared" si="31"/>
        <v>17288.381580660563</v>
      </c>
      <c r="D57" s="61">
        <f t="shared" si="34"/>
        <v>4667.8630267783528</v>
      </c>
      <c r="E57" s="33">
        <v>24</v>
      </c>
      <c r="F57" s="3">
        <f t="shared" si="32"/>
        <v>4149.2115793585353</v>
      </c>
      <c r="G57" s="3">
        <f t="shared" si="33"/>
        <v>26105.456186797452</v>
      </c>
    </row>
    <row r="58" spans="1:22">
      <c r="A58">
        <v>2014</v>
      </c>
      <c r="B58" s="3">
        <f t="shared" si="30"/>
        <v>23</v>
      </c>
      <c r="C58" s="3">
        <f t="shared" si="31"/>
        <v>17419.920281794584</v>
      </c>
      <c r="D58" s="61">
        <f t="shared" si="34"/>
        <v>4703.3784760845383</v>
      </c>
      <c r="E58" s="33">
        <v>24</v>
      </c>
      <c r="F58" s="3">
        <f t="shared" si="32"/>
        <v>4180.7808676307004</v>
      </c>
      <c r="G58" s="3">
        <f t="shared" si="33"/>
        <v>26304.079625509821</v>
      </c>
    </row>
    <row r="59" spans="1:22">
      <c r="A59">
        <v>2015</v>
      </c>
      <c r="B59" s="3">
        <f t="shared" si="30"/>
        <v>23</v>
      </c>
      <c r="C59" s="3">
        <f t="shared" si="31"/>
        <v>20836.287927839425</v>
      </c>
      <c r="D59" s="61">
        <f t="shared" si="34"/>
        <v>5625.7977405166448</v>
      </c>
      <c r="E59" s="33">
        <v>24</v>
      </c>
      <c r="F59" s="3">
        <f t="shared" si="32"/>
        <v>5000.7091026814624</v>
      </c>
      <c r="G59" s="3">
        <f t="shared" si="33"/>
        <v>31462.794771037534</v>
      </c>
    </row>
    <row r="60" spans="1:22">
      <c r="A60">
        <v>2016</v>
      </c>
      <c r="B60" s="3">
        <f t="shared" si="30"/>
        <v>23</v>
      </c>
      <c r="C60" s="3">
        <f t="shared" si="31"/>
        <v>20855.182773038596</v>
      </c>
      <c r="D60" s="61">
        <f t="shared" si="34"/>
        <v>5630.8993487204216</v>
      </c>
      <c r="E60" s="33">
        <v>24</v>
      </c>
      <c r="F60" s="3">
        <f t="shared" si="32"/>
        <v>5005.2438655292626</v>
      </c>
      <c r="G60" s="3">
        <f t="shared" si="33"/>
        <v>31491.325987288277</v>
      </c>
    </row>
    <row r="61" spans="1:22">
      <c r="A61">
        <v>2017</v>
      </c>
      <c r="B61" s="3">
        <f t="shared" si="30"/>
        <v>23</v>
      </c>
      <c r="C61" s="3">
        <f t="shared" si="31"/>
        <v>20287.536024615922</v>
      </c>
      <c r="D61" s="61">
        <f t="shared" si="34"/>
        <v>5477.634726646299</v>
      </c>
      <c r="E61" s="33">
        <v>24</v>
      </c>
      <c r="F61" s="3">
        <f t="shared" si="32"/>
        <v>4869.0086459078211</v>
      </c>
      <c r="G61" s="3">
        <f t="shared" si="33"/>
        <v>30634.179397170039</v>
      </c>
      <c r="M61" s="3"/>
    </row>
    <row r="62" spans="1:22">
      <c r="A62">
        <v>2018</v>
      </c>
      <c r="B62" s="3">
        <f t="shared" si="30"/>
        <v>23</v>
      </c>
      <c r="C62" s="3">
        <f t="shared" si="31"/>
        <v>19550</v>
      </c>
      <c r="D62" s="61">
        <f t="shared" si="34"/>
        <v>5278.5</v>
      </c>
      <c r="E62" s="33">
        <v>24</v>
      </c>
      <c r="F62" s="3">
        <f>(C62)*E62/100</f>
        <v>4692</v>
      </c>
      <c r="G62" s="3">
        <f t="shared" si="33"/>
        <v>29520.5</v>
      </c>
    </row>
    <row r="63" spans="1:22">
      <c r="A63">
        <v>2019</v>
      </c>
      <c r="B63" s="3">
        <f t="shared" si="30"/>
        <v>23</v>
      </c>
      <c r="C63" s="3">
        <f t="shared" si="31"/>
        <v>19550</v>
      </c>
      <c r="D63" s="61">
        <f t="shared" ref="D63:D74" si="35">C63*0.27</f>
        <v>5278.5</v>
      </c>
      <c r="E63" s="33">
        <v>24</v>
      </c>
      <c r="F63" s="3">
        <f t="shared" ref="F63:F74" si="36">(C63)*E63/100</f>
        <v>4692</v>
      </c>
      <c r="G63" s="3">
        <f t="shared" si="33"/>
        <v>29520.5</v>
      </c>
    </row>
    <row r="64" spans="1:22">
      <c r="A64">
        <v>2020</v>
      </c>
      <c r="B64" s="3">
        <f t="shared" si="30"/>
        <v>23</v>
      </c>
      <c r="C64" s="3">
        <f t="shared" si="31"/>
        <v>19550</v>
      </c>
      <c r="D64" s="61">
        <f t="shared" si="35"/>
        <v>5278.5</v>
      </c>
      <c r="E64" s="33">
        <v>24</v>
      </c>
      <c r="F64" s="3">
        <f t="shared" si="36"/>
        <v>4692</v>
      </c>
      <c r="G64" s="3">
        <f t="shared" si="33"/>
        <v>29520.5</v>
      </c>
    </row>
    <row r="65" spans="1:29">
      <c r="A65">
        <v>2021</v>
      </c>
      <c r="B65" s="3">
        <f t="shared" si="30"/>
        <v>23</v>
      </c>
      <c r="C65" s="3">
        <f t="shared" si="31"/>
        <v>19550</v>
      </c>
      <c r="D65" s="61">
        <f t="shared" si="35"/>
        <v>5278.5</v>
      </c>
      <c r="E65" s="33">
        <v>24</v>
      </c>
      <c r="F65" s="3">
        <f t="shared" si="36"/>
        <v>4692</v>
      </c>
      <c r="G65" s="3">
        <f t="shared" si="33"/>
        <v>29520.5</v>
      </c>
    </row>
    <row r="66" spans="1:29">
      <c r="A66">
        <v>2022</v>
      </c>
      <c r="B66" s="3">
        <f t="shared" si="30"/>
        <v>23</v>
      </c>
      <c r="C66" s="3">
        <f t="shared" si="31"/>
        <v>19550</v>
      </c>
      <c r="D66" s="61">
        <f t="shared" si="35"/>
        <v>5278.5</v>
      </c>
      <c r="E66" s="33">
        <v>24</v>
      </c>
      <c r="F66" s="3">
        <f t="shared" si="36"/>
        <v>4692</v>
      </c>
      <c r="G66" s="3">
        <f t="shared" si="33"/>
        <v>29520.5</v>
      </c>
    </row>
    <row r="67" spans="1:29">
      <c r="A67">
        <v>2023</v>
      </c>
      <c r="B67" s="3">
        <f t="shared" si="30"/>
        <v>23</v>
      </c>
      <c r="C67" s="3">
        <f t="shared" si="31"/>
        <v>19550</v>
      </c>
      <c r="D67" s="61">
        <f t="shared" si="35"/>
        <v>5278.5</v>
      </c>
      <c r="E67" s="33">
        <v>24</v>
      </c>
      <c r="F67" s="3">
        <f t="shared" si="36"/>
        <v>4692</v>
      </c>
      <c r="G67" s="3">
        <f t="shared" si="33"/>
        <v>29520.5</v>
      </c>
    </row>
    <row r="68" spans="1:29">
      <c r="A68">
        <v>2024</v>
      </c>
      <c r="B68" s="3">
        <f t="shared" si="30"/>
        <v>23</v>
      </c>
      <c r="C68" s="3">
        <f t="shared" si="31"/>
        <v>19550</v>
      </c>
      <c r="D68" s="61">
        <f t="shared" si="35"/>
        <v>5278.5</v>
      </c>
      <c r="E68" s="33">
        <v>24</v>
      </c>
      <c r="F68" s="3">
        <f t="shared" si="36"/>
        <v>4692</v>
      </c>
      <c r="G68" s="3">
        <f t="shared" si="33"/>
        <v>29520.5</v>
      </c>
    </row>
    <row r="69" spans="1:29">
      <c r="A69">
        <v>2025</v>
      </c>
      <c r="B69" s="3">
        <f t="shared" si="30"/>
        <v>23</v>
      </c>
      <c r="C69" s="3">
        <f t="shared" si="31"/>
        <v>19550</v>
      </c>
      <c r="D69" s="61">
        <f t="shared" si="35"/>
        <v>5278.5</v>
      </c>
      <c r="E69" s="33">
        <v>24</v>
      </c>
      <c r="F69" s="3">
        <f t="shared" si="36"/>
        <v>4692</v>
      </c>
      <c r="G69" s="3">
        <f t="shared" si="33"/>
        <v>29520.5</v>
      </c>
    </row>
    <row r="70" spans="1:29">
      <c r="A70">
        <v>2026</v>
      </c>
      <c r="B70" s="3">
        <f t="shared" si="30"/>
        <v>23</v>
      </c>
      <c r="C70" s="3">
        <f t="shared" si="31"/>
        <v>19550</v>
      </c>
      <c r="D70" s="61">
        <f t="shared" si="35"/>
        <v>5278.5</v>
      </c>
      <c r="E70" s="33">
        <v>24</v>
      </c>
      <c r="F70" s="3">
        <f t="shared" si="36"/>
        <v>4692</v>
      </c>
      <c r="G70" s="3">
        <f t="shared" si="33"/>
        <v>29520.5</v>
      </c>
    </row>
    <row r="71" spans="1:29">
      <c r="A71">
        <v>2027</v>
      </c>
      <c r="B71" s="3">
        <f t="shared" si="30"/>
        <v>23</v>
      </c>
      <c r="C71" s="3">
        <f t="shared" si="31"/>
        <v>19550</v>
      </c>
      <c r="D71" s="61">
        <f t="shared" si="35"/>
        <v>5278.5</v>
      </c>
      <c r="E71" s="33">
        <v>24</v>
      </c>
      <c r="F71" s="3">
        <f t="shared" si="36"/>
        <v>4692</v>
      </c>
      <c r="G71" s="3">
        <f t="shared" si="33"/>
        <v>29520.5</v>
      </c>
    </row>
    <row r="72" spans="1:29">
      <c r="A72">
        <v>2028</v>
      </c>
      <c r="B72" s="3">
        <f t="shared" si="30"/>
        <v>23</v>
      </c>
      <c r="C72" s="3">
        <f t="shared" si="31"/>
        <v>19550</v>
      </c>
      <c r="D72" s="61">
        <f t="shared" si="35"/>
        <v>5278.5</v>
      </c>
      <c r="E72" s="33">
        <v>24</v>
      </c>
      <c r="F72" s="3">
        <f t="shared" si="36"/>
        <v>4692</v>
      </c>
      <c r="G72" s="3">
        <f t="shared" si="33"/>
        <v>29520.5</v>
      </c>
    </row>
    <row r="73" spans="1:29">
      <c r="A73">
        <v>2029</v>
      </c>
      <c r="B73" s="3">
        <f t="shared" si="30"/>
        <v>23</v>
      </c>
      <c r="C73" s="3">
        <f t="shared" si="31"/>
        <v>19550</v>
      </c>
      <c r="D73" s="61">
        <f t="shared" si="35"/>
        <v>5278.5</v>
      </c>
      <c r="E73" s="33">
        <v>24</v>
      </c>
      <c r="F73" s="3">
        <f t="shared" si="36"/>
        <v>4692</v>
      </c>
      <c r="G73" s="3">
        <f t="shared" si="33"/>
        <v>29520.5</v>
      </c>
    </row>
    <row r="74" spans="1:29">
      <c r="A74">
        <v>2030</v>
      </c>
      <c r="B74" s="3">
        <f t="shared" si="30"/>
        <v>23</v>
      </c>
      <c r="C74" s="3">
        <f t="shared" si="31"/>
        <v>19550</v>
      </c>
      <c r="D74" s="61">
        <f t="shared" si="35"/>
        <v>5278.5</v>
      </c>
      <c r="E74" s="33">
        <v>24</v>
      </c>
      <c r="F74" s="3">
        <f t="shared" si="36"/>
        <v>4692</v>
      </c>
      <c r="G74" s="3">
        <f t="shared" si="33"/>
        <v>29520.5</v>
      </c>
    </row>
    <row r="78" spans="1:29">
      <c r="Z78" s="87" t="s">
        <v>1223</v>
      </c>
      <c r="AA78" s="87"/>
      <c r="AB78" s="87"/>
      <c r="AC78" s="234"/>
    </row>
    <row r="79" spans="1:29">
      <c r="Z79" s="235" t="s">
        <v>1167</v>
      </c>
      <c r="AA79" s="235" t="s">
        <v>1168</v>
      </c>
      <c r="AB79" s="235" t="s">
        <v>1169</v>
      </c>
      <c r="AC79" s="235" t="s">
        <v>1170</v>
      </c>
    </row>
    <row r="80" spans="1:29">
      <c r="B80" t="s">
        <v>980</v>
      </c>
      <c r="C80" t="s">
        <v>980</v>
      </c>
      <c r="D80" t="s">
        <v>980</v>
      </c>
      <c r="E80" t="s">
        <v>980</v>
      </c>
      <c r="F80" t="s">
        <v>980</v>
      </c>
      <c r="J80" t="s">
        <v>812</v>
      </c>
      <c r="K80" t="s">
        <v>812</v>
      </c>
      <c r="L80" t="s">
        <v>812</v>
      </c>
      <c r="M80" t="s">
        <v>812</v>
      </c>
      <c r="N80" t="s">
        <v>812</v>
      </c>
      <c r="U80" t="s">
        <v>1042</v>
      </c>
      <c r="Y80" s="3">
        <v>2010</v>
      </c>
      <c r="Z80" s="13">
        <v>1.5685764149553554</v>
      </c>
      <c r="AA80" s="13">
        <f t="shared" ref="AA80:AC80" si="37">Z80</f>
        <v>1.5685764149553554</v>
      </c>
      <c r="AB80" s="13">
        <f t="shared" si="37"/>
        <v>1.5685764149553554</v>
      </c>
      <c r="AC80" s="13">
        <f t="shared" si="37"/>
        <v>1.5685764149553554</v>
      </c>
    </row>
    <row r="81" spans="1:29">
      <c r="B81" t="s">
        <v>978</v>
      </c>
      <c r="C81" t="s">
        <v>979</v>
      </c>
      <c r="D81" t="s">
        <v>916</v>
      </c>
      <c r="E81" t="s">
        <v>981</v>
      </c>
      <c r="F81" t="s">
        <v>983</v>
      </c>
      <c r="J81" t="s">
        <v>725</v>
      </c>
      <c r="K81" t="s">
        <v>979</v>
      </c>
      <c r="L81" t="s">
        <v>916</v>
      </c>
      <c r="M81" t="s">
        <v>985</v>
      </c>
      <c r="N81" t="s">
        <v>983</v>
      </c>
      <c r="R81" t="s">
        <v>997</v>
      </c>
      <c r="S81" t="s">
        <v>982</v>
      </c>
      <c r="U81" t="s">
        <v>934</v>
      </c>
      <c r="V81" t="s">
        <v>986</v>
      </c>
      <c r="W81" t="s">
        <v>987</v>
      </c>
      <c r="Y81" s="3">
        <v>2011</v>
      </c>
      <c r="Z81" s="13">
        <v>1.6590545254423623</v>
      </c>
      <c r="AA81" s="13">
        <f t="shared" ref="AA81:AC81" si="38">Z81</f>
        <v>1.6590545254423623</v>
      </c>
      <c r="AB81" s="13">
        <f t="shared" si="38"/>
        <v>1.6590545254423623</v>
      </c>
      <c r="AC81" s="13">
        <f t="shared" si="38"/>
        <v>1.6590545254423623</v>
      </c>
    </row>
    <row r="82" spans="1:29">
      <c r="A82" s="3">
        <v>2012</v>
      </c>
      <c r="B82" s="3">
        <f>MIN(J6,J31)</f>
        <v>31049.12227651618</v>
      </c>
      <c r="C82" s="3">
        <f>B82/5</f>
        <v>6209.8244553032364</v>
      </c>
      <c r="D82" s="3">
        <f>B82*0.13</f>
        <v>4036.3858959471036</v>
      </c>
      <c r="E82" s="3">
        <v>0</v>
      </c>
      <c r="F82" s="3">
        <f>C82+D82-E82</f>
        <v>10246.21035125034</v>
      </c>
      <c r="G82" s="3"/>
      <c r="H82" s="3"/>
      <c r="I82" s="3">
        <v>2012</v>
      </c>
      <c r="J82" s="3">
        <f>G56</f>
        <v>26699.530911715177</v>
      </c>
      <c r="K82" s="3">
        <f>J82/5</f>
        <v>5339.9061823430357</v>
      </c>
      <c r="L82" s="3">
        <f>J82*0.13</f>
        <v>3470.9390185229731</v>
      </c>
      <c r="M82" s="3">
        <f t="shared" ref="M82:M100" si="39">W82/100*V82*U82</f>
        <v>1707.2344348176821</v>
      </c>
      <c r="N82" s="3">
        <f>SUM(K82:M82)</f>
        <v>10518.079635683691</v>
      </c>
      <c r="O82" s="3"/>
      <c r="P82" s="3"/>
      <c r="Q82" s="3">
        <v>2012</v>
      </c>
      <c r="R82" s="13">
        <f>N82/F82</f>
        <v>1.0265336426945573</v>
      </c>
      <c r="S82" s="13">
        <f>F82/N82</f>
        <v>0.97415219376063611</v>
      </c>
      <c r="T82" s="3"/>
      <c r="U82" s="13">
        <f>AB82</f>
        <v>1.7285067675237193</v>
      </c>
      <c r="V82" s="12">
        <f>'Country L per 100 km'!H7</f>
        <v>5.643961322634194</v>
      </c>
      <c r="W82" s="3">
        <f>'Country distance travelled'!H7</f>
        <v>17500</v>
      </c>
      <c r="Y82" s="3">
        <v>2012</v>
      </c>
      <c r="Z82" s="13">
        <v>1.7285067675237193</v>
      </c>
      <c r="AA82" s="13">
        <f t="shared" ref="AA82:AC82" si="40">Z82</f>
        <v>1.7285067675237193</v>
      </c>
      <c r="AB82" s="13">
        <f t="shared" si="40"/>
        <v>1.7285067675237193</v>
      </c>
      <c r="AC82" s="13">
        <f t="shared" si="40"/>
        <v>1.7285067675237193</v>
      </c>
    </row>
    <row r="83" spans="1:29">
      <c r="A83" s="3">
        <v>2013</v>
      </c>
      <c r="B83" s="3">
        <f t="shared" ref="B83:B100" si="41">MIN(J7,J32)</f>
        <v>30711.692563343648</v>
      </c>
      <c r="C83" s="3">
        <f t="shared" ref="C83:C100" si="42">B83/5</f>
        <v>6142.3385126687299</v>
      </c>
      <c r="D83" s="3">
        <f t="shared" ref="D83:D100" si="43">B83*0.13</f>
        <v>3992.5200332346744</v>
      </c>
      <c r="E83" s="3">
        <v>0</v>
      </c>
      <c r="F83" s="3">
        <f t="shared" ref="F83:F100" si="44">C83+D83-E83</f>
        <v>10134.858545903404</v>
      </c>
      <c r="G83" s="3"/>
      <c r="H83" s="3"/>
      <c r="I83" s="3">
        <v>2013</v>
      </c>
      <c r="J83" s="3">
        <f t="shared" ref="J83:J100" si="45">G57</f>
        <v>26105.456186797452</v>
      </c>
      <c r="K83" s="3">
        <f t="shared" ref="K83:K100" si="46">J83/5</f>
        <v>5221.0912373594902</v>
      </c>
      <c r="L83" s="3">
        <f t="shared" ref="L83:L100" si="47">J83*0.13</f>
        <v>3393.7093042836686</v>
      </c>
      <c r="M83" s="3">
        <f t="shared" si="39"/>
        <v>1664.524991005238</v>
      </c>
      <c r="N83" s="3">
        <f t="shared" ref="N83:N99" si="48">SUM(K83:M83)</f>
        <v>10279.325532648396</v>
      </c>
      <c r="O83" s="3"/>
      <c r="P83" s="3"/>
      <c r="Q83" s="3">
        <v>2013</v>
      </c>
      <c r="R83" s="13">
        <f t="shared" ref="R83:R100" si="49">N83/F83</f>
        <v>1.014254465031817</v>
      </c>
      <c r="S83" s="13">
        <f t="shared" ref="S83:S100" si="50">F83/N83</f>
        <v>0.98594586908585125</v>
      </c>
      <c r="T83" s="3"/>
      <c r="U83" s="13">
        <f t="shared" ref="U83:U100" si="51">AB83</f>
        <v>1.6745724255585897</v>
      </c>
      <c r="V83" s="12">
        <f>'Country L per 100 km'!H8</f>
        <v>5.6</v>
      </c>
      <c r="W83" s="3">
        <f>'Country distance travelled'!H8</f>
        <v>17750</v>
      </c>
      <c r="Y83" s="3">
        <v>2013</v>
      </c>
      <c r="Z83" s="13">
        <v>1.6745724255585897</v>
      </c>
      <c r="AA83" s="13">
        <f t="shared" ref="AA83:AC83" si="52">Z83</f>
        <v>1.6745724255585897</v>
      </c>
      <c r="AB83" s="13">
        <f t="shared" si="52"/>
        <v>1.6745724255585897</v>
      </c>
      <c r="AC83" s="13">
        <f t="shared" si="52"/>
        <v>1.6745724255585897</v>
      </c>
    </row>
    <row r="84" spans="1:29">
      <c r="A84" s="3">
        <v>2014</v>
      </c>
      <c r="B84" s="3">
        <f t="shared" si="41"/>
        <v>33186.275291072569</v>
      </c>
      <c r="C84" s="3">
        <f t="shared" si="42"/>
        <v>6637.2550582145141</v>
      </c>
      <c r="D84" s="3">
        <f t="shared" si="43"/>
        <v>4314.2157878394337</v>
      </c>
      <c r="E84" s="3">
        <v>0</v>
      </c>
      <c r="F84" s="3">
        <f t="shared" si="44"/>
        <v>10951.470846053948</v>
      </c>
      <c r="G84" s="3"/>
      <c r="H84" s="3"/>
      <c r="I84" s="3">
        <v>2014</v>
      </c>
      <c r="J84" s="3">
        <f t="shared" si="45"/>
        <v>26304.079625509821</v>
      </c>
      <c r="K84" s="3">
        <f t="shared" si="46"/>
        <v>5260.8159251019642</v>
      </c>
      <c r="L84" s="3">
        <f t="shared" si="47"/>
        <v>3419.5303513162767</v>
      </c>
      <c r="M84" s="3">
        <f t="shared" si="39"/>
        <v>1615.3851681287404</v>
      </c>
      <c r="N84" s="3">
        <f t="shared" si="48"/>
        <v>10295.73144454698</v>
      </c>
      <c r="O84" s="3"/>
      <c r="P84" s="3"/>
      <c r="Q84" s="3">
        <v>2014</v>
      </c>
      <c r="R84" s="13">
        <f t="shared" si="49"/>
        <v>0.94012316603634616</v>
      </c>
      <c r="S84" s="13">
        <f t="shared" si="50"/>
        <v>1.0636904143274126</v>
      </c>
      <c r="T84" s="3"/>
      <c r="U84" s="13">
        <f t="shared" si="51"/>
        <v>1.6217954267324262</v>
      </c>
      <c r="V84" s="12">
        <f>'Country L per 100 km'!H9</f>
        <v>5.5335968379446632</v>
      </c>
      <c r="W84" s="3">
        <f>'Country distance travelled'!H9</f>
        <v>18000</v>
      </c>
      <c r="Y84" s="3">
        <v>2014</v>
      </c>
      <c r="Z84" s="13">
        <v>1.6217954267324262</v>
      </c>
      <c r="AA84" s="13">
        <f t="shared" ref="AA84:AC84" si="53">Z84</f>
        <v>1.6217954267324262</v>
      </c>
      <c r="AB84" s="13">
        <f t="shared" si="53"/>
        <v>1.6217954267324262</v>
      </c>
      <c r="AC84" s="13">
        <f t="shared" si="53"/>
        <v>1.6217954267324262</v>
      </c>
    </row>
    <row r="85" spans="1:29">
      <c r="A85" s="3">
        <v>2015</v>
      </c>
      <c r="B85" s="3">
        <f t="shared" si="41"/>
        <v>35431.720796400899</v>
      </c>
      <c r="C85" s="3">
        <f t="shared" si="42"/>
        <v>7086.3441592801801</v>
      </c>
      <c r="D85" s="3">
        <f t="shared" si="43"/>
        <v>4606.1237035321174</v>
      </c>
      <c r="E85" s="3">
        <v>0</v>
      </c>
      <c r="F85" s="3">
        <f t="shared" si="44"/>
        <v>11692.467862812297</v>
      </c>
      <c r="G85" s="3"/>
      <c r="H85" s="3"/>
      <c r="I85" s="3">
        <v>2015</v>
      </c>
      <c r="J85" s="3">
        <f t="shared" si="45"/>
        <v>31462.794771037534</v>
      </c>
      <c r="K85" s="3">
        <f t="shared" si="46"/>
        <v>6292.5589542075068</v>
      </c>
      <c r="L85" s="3">
        <f t="shared" si="47"/>
        <v>4090.1633202348794</v>
      </c>
      <c r="M85" s="3">
        <f t="shared" si="39"/>
        <v>1462.418506679709</v>
      </c>
      <c r="N85" s="3">
        <f t="shared" si="48"/>
        <v>11845.140781122094</v>
      </c>
      <c r="O85" s="3"/>
      <c r="P85" s="3"/>
      <c r="Q85" s="3">
        <v>2015</v>
      </c>
      <c r="R85" s="13">
        <f t="shared" si="49"/>
        <v>1.0130573733536075</v>
      </c>
      <c r="S85" s="13">
        <f t="shared" si="50"/>
        <v>0.98711092412231038</v>
      </c>
      <c r="T85" s="3"/>
      <c r="U85" s="13">
        <f t="shared" si="51"/>
        <v>1.4843721940240318</v>
      </c>
      <c r="V85" s="12">
        <f>'Country L per 100 km'!H10</f>
        <v>5.4733895528631695</v>
      </c>
      <c r="W85" s="3">
        <f>'Country distance travelled'!H10</f>
        <v>18000</v>
      </c>
      <c r="Y85" s="3">
        <v>2015</v>
      </c>
      <c r="Z85" s="13">
        <v>1.4843721940240318</v>
      </c>
      <c r="AA85" s="13">
        <f t="shared" ref="AA85:AC85" si="54">Z85</f>
        <v>1.4843721940240318</v>
      </c>
      <c r="AB85" s="13">
        <f t="shared" si="54"/>
        <v>1.4843721940240318</v>
      </c>
      <c r="AC85" s="13">
        <f t="shared" si="54"/>
        <v>1.4843721940240318</v>
      </c>
    </row>
    <row r="86" spans="1:29">
      <c r="A86" s="3">
        <v>2016</v>
      </c>
      <c r="B86" s="3">
        <f t="shared" si="41"/>
        <v>35412.505359047755</v>
      </c>
      <c r="C86" s="3">
        <f t="shared" si="42"/>
        <v>7082.5010718095509</v>
      </c>
      <c r="D86" s="3">
        <f t="shared" si="43"/>
        <v>4603.6256966762085</v>
      </c>
      <c r="E86" s="3">
        <v>0</v>
      </c>
      <c r="F86" s="3">
        <f t="shared" si="44"/>
        <v>11686.126768485759</v>
      </c>
      <c r="G86" s="3"/>
      <c r="H86" s="3"/>
      <c r="I86" s="3">
        <v>2016</v>
      </c>
      <c r="J86" s="3">
        <f t="shared" si="45"/>
        <v>31491.325987288277</v>
      </c>
      <c r="K86" s="3">
        <f t="shared" si="46"/>
        <v>6298.2651974576556</v>
      </c>
      <c r="L86" s="3">
        <f t="shared" si="47"/>
        <v>4093.8723783474761</v>
      </c>
      <c r="M86" s="3">
        <f t="shared" si="39"/>
        <v>1357.0501712795456</v>
      </c>
      <c r="N86" s="3">
        <f t="shared" si="48"/>
        <v>11749.187747084678</v>
      </c>
      <c r="O86" s="3"/>
      <c r="P86" s="3"/>
      <c r="Q86" s="3">
        <v>2016</v>
      </c>
      <c r="R86" s="13">
        <f t="shared" si="49"/>
        <v>1.0053962257853455</v>
      </c>
      <c r="S86" s="13">
        <f t="shared" si="50"/>
        <v>0.99463273717669842</v>
      </c>
      <c r="T86" s="3"/>
      <c r="U86" s="13">
        <f t="shared" si="51"/>
        <v>1.3911962999999998</v>
      </c>
      <c r="V86" s="12">
        <f>'Country L per 100 km'!H11</f>
        <v>5.4191975770922465</v>
      </c>
      <c r="W86" s="3">
        <f>'Country distance travelled'!H11</f>
        <v>18000</v>
      </c>
      <c r="Y86" s="3">
        <v>2016</v>
      </c>
      <c r="Z86" s="13">
        <v>1.3911962999999998</v>
      </c>
      <c r="AA86" s="13">
        <f t="shared" ref="AA86:AC86" si="55">Z86</f>
        <v>1.3911962999999998</v>
      </c>
      <c r="AB86" s="13">
        <f t="shared" si="55"/>
        <v>1.3911962999999998</v>
      </c>
      <c r="AC86" s="13">
        <f t="shared" si="55"/>
        <v>1.3911962999999998</v>
      </c>
    </row>
    <row r="87" spans="1:29">
      <c r="A87" s="3">
        <v>2017</v>
      </c>
      <c r="B87" s="3">
        <f t="shared" si="41"/>
        <v>34444.622648532328</v>
      </c>
      <c r="C87" s="3">
        <f t="shared" si="42"/>
        <v>6888.9245297064654</v>
      </c>
      <c r="D87" s="3">
        <f t="shared" si="43"/>
        <v>4477.8009443092024</v>
      </c>
      <c r="E87" s="3">
        <v>0</v>
      </c>
      <c r="F87" s="3">
        <f t="shared" si="44"/>
        <v>11366.725474015668</v>
      </c>
      <c r="G87" s="3"/>
      <c r="H87" s="3"/>
      <c r="I87" s="3">
        <v>2017</v>
      </c>
      <c r="J87" s="3">
        <f t="shared" si="45"/>
        <v>30634.179397170039</v>
      </c>
      <c r="K87" s="3">
        <f t="shared" si="46"/>
        <v>6126.8358794340074</v>
      </c>
      <c r="L87" s="3">
        <f t="shared" si="47"/>
        <v>3982.4433216321054</v>
      </c>
      <c r="M87" s="3">
        <f t="shared" si="39"/>
        <v>1414.2367240552369</v>
      </c>
      <c r="N87" s="3">
        <f t="shared" si="48"/>
        <v>11523.51592512135</v>
      </c>
      <c r="O87" s="3"/>
      <c r="P87" s="3"/>
      <c r="Q87" s="3">
        <v>2017</v>
      </c>
      <c r="R87" s="13">
        <f t="shared" si="49"/>
        <v>1.0137938099643653</v>
      </c>
      <c r="S87" s="13">
        <f t="shared" si="50"/>
        <v>0.98639387040166471</v>
      </c>
      <c r="T87" s="3"/>
      <c r="U87" s="13">
        <f t="shared" si="51"/>
        <v>1.4643200000000001</v>
      </c>
      <c r="V87" s="12">
        <f>'Country L per 100 km'!H12</f>
        <v>5.3655421555368772</v>
      </c>
      <c r="W87" s="3">
        <f>'Country distance travelled'!H12</f>
        <v>18000</v>
      </c>
      <c r="Y87" s="3">
        <v>2017</v>
      </c>
      <c r="Z87" s="13">
        <v>1.4643200000000001</v>
      </c>
      <c r="AA87" s="13">
        <f t="shared" ref="AA87:AC87" si="56">Z87</f>
        <v>1.4643200000000001</v>
      </c>
      <c r="AB87" s="13">
        <f t="shared" si="56"/>
        <v>1.4643200000000001</v>
      </c>
      <c r="AC87" s="13">
        <f t="shared" si="56"/>
        <v>1.4643200000000001</v>
      </c>
    </row>
    <row r="88" spans="1:29">
      <c r="A88" s="3">
        <v>2018</v>
      </c>
      <c r="B88" s="3">
        <f t="shared" si="41"/>
        <v>31840.925134487225</v>
      </c>
      <c r="C88" s="3">
        <f t="shared" si="42"/>
        <v>6368.1850268974449</v>
      </c>
      <c r="D88" s="3">
        <f t="shared" si="43"/>
        <v>4139.3202674833392</v>
      </c>
      <c r="E88" s="3">
        <v>0</v>
      </c>
      <c r="F88" s="3">
        <f t="shared" si="44"/>
        <v>10507.505294380784</v>
      </c>
      <c r="G88" s="3"/>
      <c r="H88" s="3"/>
      <c r="I88" s="3">
        <v>2018</v>
      </c>
      <c r="J88" s="3">
        <f t="shared" si="45"/>
        <v>29520.5</v>
      </c>
      <c r="K88" s="3">
        <f t="shared" si="46"/>
        <v>5904.1</v>
      </c>
      <c r="L88" s="3">
        <f t="shared" si="47"/>
        <v>3837.665</v>
      </c>
      <c r="M88" s="3">
        <f t="shared" si="39"/>
        <v>1464.954654818898</v>
      </c>
      <c r="N88" s="3">
        <f t="shared" si="48"/>
        <v>11206.719654818897</v>
      </c>
      <c r="O88" s="3"/>
      <c r="P88" s="3"/>
      <c r="Q88" s="3">
        <v>2018</v>
      </c>
      <c r="R88" s="13">
        <f t="shared" si="49"/>
        <v>1.0665442786702224</v>
      </c>
      <c r="S88" s="13">
        <f t="shared" si="50"/>
        <v>0.93760757991858479</v>
      </c>
      <c r="T88" s="3"/>
      <c r="U88" s="13">
        <f t="shared" si="51"/>
        <v>1.5320023778856628</v>
      </c>
      <c r="V88" s="12">
        <f>'Country L per 100 km'!H13</f>
        <v>5.3124179757790868</v>
      </c>
      <c r="W88" s="3">
        <f>'Country distance travelled'!H13</f>
        <v>18000</v>
      </c>
      <c r="Y88" s="3">
        <v>2018</v>
      </c>
      <c r="Z88" s="13">
        <v>1.5320023778856628</v>
      </c>
      <c r="AA88" s="13">
        <f>Z88</f>
        <v>1.5320023778856628</v>
      </c>
      <c r="AB88" s="13">
        <f t="shared" ref="AB88:AC88" si="57">AA88</f>
        <v>1.5320023778856628</v>
      </c>
      <c r="AC88" s="13">
        <f t="shared" si="57"/>
        <v>1.5320023778856628</v>
      </c>
    </row>
    <row r="89" spans="1:29">
      <c r="A89" s="3">
        <v>2019</v>
      </c>
      <c r="B89" s="3">
        <f t="shared" si="41"/>
        <v>32467.964076003176</v>
      </c>
      <c r="C89" s="3">
        <f t="shared" si="42"/>
        <v>6493.5928152006354</v>
      </c>
      <c r="D89" s="3">
        <f t="shared" si="43"/>
        <v>4220.8353298804132</v>
      </c>
      <c r="E89" s="3">
        <v>0</v>
      </c>
      <c r="F89" s="3">
        <f t="shared" si="44"/>
        <v>10714.428145081049</v>
      </c>
      <c r="G89" s="3"/>
      <c r="H89" s="3"/>
      <c r="I89" s="3">
        <v>2019</v>
      </c>
      <c r="J89" s="3">
        <f t="shared" si="45"/>
        <v>29520.5</v>
      </c>
      <c r="K89" s="3">
        <f t="shared" si="46"/>
        <v>5904.1</v>
      </c>
      <c r="L89" s="3">
        <f t="shared" si="47"/>
        <v>3837.665</v>
      </c>
      <c r="M89" s="3">
        <f t="shared" si="39"/>
        <v>1431.1299093641335</v>
      </c>
      <c r="N89" s="3">
        <f t="shared" si="48"/>
        <v>11172.894909364133</v>
      </c>
      <c r="O89" s="3"/>
      <c r="P89" s="3"/>
      <c r="Q89" s="3">
        <v>2019</v>
      </c>
      <c r="R89" s="13">
        <f t="shared" si="49"/>
        <v>1.0427896625069593</v>
      </c>
      <c r="S89" s="13">
        <f t="shared" si="50"/>
        <v>0.95896616158997094</v>
      </c>
      <c r="T89" s="3"/>
      <c r="U89" s="13">
        <f t="shared" si="51"/>
        <v>1.5115958443949176</v>
      </c>
      <c r="V89" s="12">
        <f>'Country L per 100 km'!H14</f>
        <v>5.2598197779990956</v>
      </c>
      <c r="W89" s="3">
        <f>'Country distance travelled'!H14</f>
        <v>18000</v>
      </c>
      <c r="Y89" s="3">
        <v>2019</v>
      </c>
      <c r="Z89" s="13"/>
      <c r="AA89" s="13">
        <v>1.7475096659207399</v>
      </c>
      <c r="AB89" s="13">
        <v>1.5115958443949176</v>
      </c>
      <c r="AC89" s="13">
        <v>1.3061073908310872</v>
      </c>
    </row>
    <row r="90" spans="1:29">
      <c r="A90" s="3">
        <v>2020</v>
      </c>
      <c r="B90" s="3">
        <f t="shared" si="41"/>
        <v>32285.437735654959</v>
      </c>
      <c r="C90" s="3">
        <f t="shared" si="42"/>
        <v>6457.0875471309919</v>
      </c>
      <c r="D90" s="3">
        <f t="shared" si="43"/>
        <v>4197.1069056351453</v>
      </c>
      <c r="E90" s="3">
        <v>0</v>
      </c>
      <c r="F90" s="3">
        <f t="shared" si="44"/>
        <v>10654.194452766136</v>
      </c>
      <c r="G90" s="3"/>
      <c r="H90" s="3"/>
      <c r="I90" s="3">
        <v>2020</v>
      </c>
      <c r="J90" s="3">
        <f t="shared" si="45"/>
        <v>29520.5</v>
      </c>
      <c r="K90" s="3">
        <f t="shared" si="46"/>
        <v>5904.1</v>
      </c>
      <c r="L90" s="3">
        <f t="shared" si="47"/>
        <v>3837.665</v>
      </c>
      <c r="M90" s="3">
        <f t="shared" si="39"/>
        <v>1418.4424697945619</v>
      </c>
      <c r="N90" s="3">
        <f t="shared" si="48"/>
        <v>11160.207469794561</v>
      </c>
      <c r="O90" s="3"/>
      <c r="P90" s="3"/>
      <c r="Q90" s="3">
        <v>2020</v>
      </c>
      <c r="R90" s="13">
        <f t="shared" si="49"/>
        <v>1.0474942539552625</v>
      </c>
      <c r="S90" s="13">
        <f t="shared" si="50"/>
        <v>0.95465917471534789</v>
      </c>
      <c r="T90" s="3"/>
      <c r="U90" s="13">
        <f t="shared" si="51"/>
        <v>1.5131769981981922</v>
      </c>
      <c r="V90" s="12">
        <f>'Country L per 100 km'!H15</f>
        <v>5.2077423544545498</v>
      </c>
      <c r="W90" s="3">
        <f>'Country distance travelled'!H15</f>
        <v>18000</v>
      </c>
      <c r="Y90" s="3">
        <v>2020</v>
      </c>
      <c r="Z90" s="13"/>
      <c r="AA90" s="13">
        <v>1.8475608482743948</v>
      </c>
      <c r="AB90" s="13">
        <v>1.5131769981981922</v>
      </c>
      <c r="AC90" s="13">
        <v>1.3119927544989491</v>
      </c>
    </row>
    <row r="91" spans="1:29">
      <c r="A91" s="3">
        <v>2021</v>
      </c>
      <c r="B91" s="3">
        <f t="shared" si="41"/>
        <v>31478.725276768942</v>
      </c>
      <c r="C91" s="3">
        <f t="shared" si="42"/>
        <v>6295.7450553537883</v>
      </c>
      <c r="D91" s="3">
        <f t="shared" si="43"/>
        <v>4092.2342859799628</v>
      </c>
      <c r="E91" s="3">
        <v>0</v>
      </c>
      <c r="F91" s="3">
        <f t="shared" si="44"/>
        <v>10387.97934133375</v>
      </c>
      <c r="G91" s="3"/>
      <c r="H91" s="3"/>
      <c r="I91" s="3">
        <v>2021</v>
      </c>
      <c r="J91" s="3">
        <f t="shared" si="45"/>
        <v>29520.5</v>
      </c>
      <c r="K91" s="3">
        <f t="shared" si="46"/>
        <v>5904.1</v>
      </c>
      <c r="L91" s="3">
        <f t="shared" si="47"/>
        <v>3837.665</v>
      </c>
      <c r="M91" s="3">
        <f t="shared" si="39"/>
        <v>1447.6340626592164</v>
      </c>
      <c r="N91" s="3">
        <f t="shared" si="48"/>
        <v>11189.399062659217</v>
      </c>
      <c r="O91" s="3"/>
      <c r="P91" s="3"/>
      <c r="Q91" s="3">
        <v>2021</v>
      </c>
      <c r="R91" s="13">
        <f t="shared" si="49"/>
        <v>1.0771487596376534</v>
      </c>
      <c r="S91" s="13">
        <f t="shared" si="50"/>
        <v>0.92837687557324411</v>
      </c>
      <c r="T91" s="3"/>
      <c r="U91" s="13">
        <f t="shared" si="51"/>
        <v>1.5597614130933364</v>
      </c>
      <c r="V91" s="12">
        <f>'Country L per 100 km'!H16</f>
        <v>5.1561805489649011</v>
      </c>
      <c r="W91" s="3">
        <f>'Country distance travelled'!H16</f>
        <v>18000</v>
      </c>
      <c r="Y91" s="3">
        <v>2021</v>
      </c>
      <c r="Z91" s="13"/>
      <c r="AA91" s="13">
        <v>1.9534973942959111</v>
      </c>
      <c r="AB91" s="13">
        <v>1.5597614130933364</v>
      </c>
      <c r="AC91" s="13">
        <v>1.3237634818346735</v>
      </c>
    </row>
    <row r="92" spans="1:29">
      <c r="A92" s="3">
        <v>2022</v>
      </c>
      <c r="B92" s="3">
        <f t="shared" si="41"/>
        <v>31952.451287590902</v>
      </c>
      <c r="C92" s="3">
        <f t="shared" si="42"/>
        <v>6390.4902575181804</v>
      </c>
      <c r="D92" s="3">
        <f t="shared" si="43"/>
        <v>4153.8186673868177</v>
      </c>
      <c r="E92" s="3">
        <v>0</v>
      </c>
      <c r="F92" s="3">
        <f t="shared" si="44"/>
        <v>10544.308924904999</v>
      </c>
      <c r="G92" s="3"/>
      <c r="H92" s="3"/>
      <c r="I92" s="3">
        <v>2022</v>
      </c>
      <c r="J92" s="3">
        <f t="shared" si="45"/>
        <v>29520.5</v>
      </c>
      <c r="K92" s="3">
        <f t="shared" si="46"/>
        <v>5904.1</v>
      </c>
      <c r="L92" s="3">
        <f t="shared" si="47"/>
        <v>3837.665</v>
      </c>
      <c r="M92" s="3">
        <f t="shared" si="39"/>
        <v>1465.1741813433428</v>
      </c>
      <c r="N92" s="3">
        <f t="shared" si="48"/>
        <v>11206.939181343343</v>
      </c>
      <c r="O92" s="3"/>
      <c r="P92" s="3"/>
      <c r="Q92" s="3">
        <v>2022</v>
      </c>
      <c r="R92" s="13">
        <f t="shared" si="49"/>
        <v>1.0628424547457305</v>
      </c>
      <c r="S92" s="13">
        <f t="shared" si="50"/>
        <v>0.9408732174132387</v>
      </c>
      <c r="T92" s="3"/>
      <c r="U92" s="13">
        <f t="shared" si="51"/>
        <v>1.5944467131390825</v>
      </c>
      <c r="V92" s="12">
        <f>'Country L per 100 km'!H17</f>
        <v>5.1051292564008923</v>
      </c>
      <c r="W92" s="3">
        <f>'Country distance travelled'!H17</f>
        <v>18000</v>
      </c>
      <c r="Y92" s="3">
        <v>2022</v>
      </c>
      <c r="Z92" s="13"/>
      <c r="AA92" s="13">
        <v>2.0005803036388077</v>
      </c>
      <c r="AB92" s="13">
        <v>1.5944467131390825</v>
      </c>
      <c r="AC92" s="13">
        <v>1.3296488455025353</v>
      </c>
    </row>
    <row r="93" spans="1:29">
      <c r="A93" s="3">
        <v>2023</v>
      </c>
      <c r="B93" s="3">
        <f t="shared" si="41"/>
        <v>31670.716220186845</v>
      </c>
      <c r="C93" s="3">
        <f t="shared" si="42"/>
        <v>6334.1432440373692</v>
      </c>
      <c r="D93" s="3">
        <f t="shared" si="43"/>
        <v>4117.1931086242903</v>
      </c>
      <c r="E93" s="3">
        <v>0</v>
      </c>
      <c r="F93" s="3">
        <f t="shared" si="44"/>
        <v>10451.336352661659</v>
      </c>
      <c r="G93" s="3"/>
      <c r="H93" s="3"/>
      <c r="I93" s="3">
        <v>2023</v>
      </c>
      <c r="J93" s="3">
        <f t="shared" si="45"/>
        <v>29520.5</v>
      </c>
      <c r="K93" s="3">
        <f t="shared" si="46"/>
        <v>5904.1</v>
      </c>
      <c r="L93" s="3">
        <f t="shared" si="47"/>
        <v>3837.665</v>
      </c>
      <c r="M93" s="3">
        <f t="shared" si="39"/>
        <v>1465.1892281009923</v>
      </c>
      <c r="N93" s="3">
        <f t="shared" si="48"/>
        <v>11206.954228100993</v>
      </c>
      <c r="O93" s="3"/>
      <c r="P93" s="3"/>
      <c r="Q93" s="3">
        <v>2023</v>
      </c>
      <c r="R93" s="13">
        <f t="shared" si="49"/>
        <v>1.0722986850621163</v>
      </c>
      <c r="S93" s="13">
        <f t="shared" si="50"/>
        <v>0.9325759827282375</v>
      </c>
      <c r="T93" s="3"/>
      <c r="U93" s="13">
        <f t="shared" si="51"/>
        <v>1.6104077183490983</v>
      </c>
      <c r="V93" s="12">
        <f>'Country L per 100 km'!H18</f>
        <v>5.0545834221791015</v>
      </c>
      <c r="W93" s="3">
        <f>'Country distance travelled'!H18</f>
        <v>18000</v>
      </c>
      <c r="Y93" s="3">
        <v>2023</v>
      </c>
      <c r="Z93" s="13"/>
      <c r="AA93" s="13">
        <v>2.0358924856459799</v>
      </c>
      <c r="AB93" s="13">
        <v>1.6104077183490983</v>
      </c>
      <c r="AC93" s="13">
        <v>1.3296488455025353</v>
      </c>
    </row>
    <row r="94" spans="1:29">
      <c r="A94" s="3">
        <v>2024</v>
      </c>
      <c r="B94" s="3">
        <f t="shared" si="41"/>
        <v>30540.407099324253</v>
      </c>
      <c r="C94" s="3">
        <f t="shared" si="42"/>
        <v>6108.0814198648504</v>
      </c>
      <c r="D94" s="3">
        <f t="shared" si="43"/>
        <v>3970.2529229121528</v>
      </c>
      <c r="E94" s="3">
        <v>0</v>
      </c>
      <c r="F94" s="3">
        <f t="shared" si="44"/>
        <v>10078.334342777003</v>
      </c>
      <c r="G94" s="3"/>
      <c r="H94" s="3"/>
      <c r="I94" s="3">
        <v>2024</v>
      </c>
      <c r="J94" s="3">
        <f t="shared" si="45"/>
        <v>29520.5</v>
      </c>
      <c r="K94" s="3">
        <f t="shared" si="46"/>
        <v>5904.1</v>
      </c>
      <c r="L94" s="3">
        <f t="shared" si="47"/>
        <v>3837.665</v>
      </c>
      <c r="M94" s="3">
        <f t="shared" si="39"/>
        <v>1454.483752177747</v>
      </c>
      <c r="N94" s="3">
        <f t="shared" si="48"/>
        <v>11196.248752177746</v>
      </c>
      <c r="O94" s="3"/>
      <c r="P94" s="3"/>
      <c r="Q94" s="3">
        <v>2024</v>
      </c>
      <c r="R94" s="13">
        <f t="shared" si="49"/>
        <v>1.1109225365401709</v>
      </c>
      <c r="S94" s="13">
        <f t="shared" si="50"/>
        <v>0.90015277133037075</v>
      </c>
      <c r="T94" s="3"/>
      <c r="U94" s="13">
        <f t="shared" si="51"/>
        <v>1.6146276084719753</v>
      </c>
      <c r="V94" s="12">
        <f>'Country L per 100 km'!H19</f>
        <v>5.0045380417614869</v>
      </c>
      <c r="W94" s="3">
        <f>'Country distance travelled'!H19</f>
        <v>18000</v>
      </c>
      <c r="Y94" s="3">
        <v>2024</v>
      </c>
      <c r="Z94" s="13"/>
      <c r="AA94" s="13">
        <v>2.06531930398529</v>
      </c>
      <c r="AB94" s="13">
        <v>1.6146276084719753</v>
      </c>
      <c r="AC94" s="13">
        <v>1.3296488455025353</v>
      </c>
    </row>
    <row r="95" spans="1:29">
      <c r="A95" s="3">
        <v>2025</v>
      </c>
      <c r="B95" s="3">
        <f t="shared" si="41"/>
        <v>29571.929822404905</v>
      </c>
      <c r="C95" s="3">
        <f t="shared" si="42"/>
        <v>5914.3859644809809</v>
      </c>
      <c r="D95" s="3">
        <f t="shared" si="43"/>
        <v>3844.3508769126379</v>
      </c>
      <c r="E95" s="3">
        <v>0</v>
      </c>
      <c r="F95" s="3">
        <f t="shared" si="44"/>
        <v>9758.7368413936183</v>
      </c>
      <c r="G95" s="3"/>
      <c r="H95" s="3"/>
      <c r="I95" s="3">
        <v>2025</v>
      </c>
      <c r="J95" s="3">
        <f t="shared" si="45"/>
        <v>29520.5</v>
      </c>
      <c r="K95" s="3">
        <f t="shared" si="46"/>
        <v>5904.1</v>
      </c>
      <c r="L95" s="3">
        <f t="shared" si="47"/>
        <v>3837.665</v>
      </c>
      <c r="M95" s="3">
        <f t="shared" si="39"/>
        <v>1459.7762503885945</v>
      </c>
      <c r="N95" s="3">
        <f t="shared" si="48"/>
        <v>11201.541250388595</v>
      </c>
      <c r="O95" s="3"/>
      <c r="P95" s="3"/>
      <c r="Q95" s="3">
        <v>2025</v>
      </c>
      <c r="R95" s="13">
        <f t="shared" si="49"/>
        <v>1.147847455305387</v>
      </c>
      <c r="S95" s="13">
        <f t="shared" si="50"/>
        <v>0.87119590271160907</v>
      </c>
      <c r="T95" s="3"/>
      <c r="U95" s="13">
        <f t="shared" si="51"/>
        <v>1.6367078579361782</v>
      </c>
      <c r="V95" s="12">
        <f>'Country L per 100 km'!H20</f>
        <v>4.9549881601598873</v>
      </c>
      <c r="W95" s="3">
        <f>'Country distance travelled'!H20</f>
        <v>18000</v>
      </c>
      <c r="Y95" s="3">
        <v>2025</v>
      </c>
      <c r="Z95" s="13"/>
      <c r="AA95" s="13">
        <v>2.0947461223246</v>
      </c>
      <c r="AB95" s="13">
        <v>1.6367078579361782</v>
      </c>
      <c r="AC95" s="13">
        <v>1.3355342091703972</v>
      </c>
    </row>
    <row r="96" spans="1:29">
      <c r="A96" s="3">
        <v>2026</v>
      </c>
      <c r="B96" s="3">
        <f t="shared" si="41"/>
        <v>29026.169226486498</v>
      </c>
      <c r="C96" s="3">
        <f t="shared" si="42"/>
        <v>5805.2338452972999</v>
      </c>
      <c r="D96" s="3">
        <f t="shared" si="43"/>
        <v>3773.4019994432447</v>
      </c>
      <c r="E96" s="3">
        <v>0</v>
      </c>
      <c r="F96" s="3">
        <f t="shared" si="44"/>
        <v>9578.6358447405437</v>
      </c>
      <c r="G96" s="3"/>
      <c r="H96" s="3"/>
      <c r="I96" s="3">
        <v>2026</v>
      </c>
      <c r="J96" s="3">
        <f t="shared" si="45"/>
        <v>29520.5</v>
      </c>
      <c r="K96" s="3">
        <f t="shared" si="46"/>
        <v>5904.1</v>
      </c>
      <c r="L96" s="3">
        <f t="shared" si="47"/>
        <v>3837.665</v>
      </c>
      <c r="M96" s="3">
        <f t="shared" si="39"/>
        <v>1479.5936316284467</v>
      </c>
      <c r="N96" s="3">
        <f t="shared" si="48"/>
        <v>11221.358631628445</v>
      </c>
      <c r="O96" s="3"/>
      <c r="P96" s="3"/>
      <c r="Q96" s="3">
        <v>2026</v>
      </c>
      <c r="R96" s="13">
        <f t="shared" si="49"/>
        <v>1.1714986156186209</v>
      </c>
      <c r="S96" s="13">
        <f t="shared" si="50"/>
        <v>0.85360749613173093</v>
      </c>
      <c r="T96" s="3"/>
      <c r="U96" s="13">
        <f t="shared" si="51"/>
        <v>1.6755164690629096</v>
      </c>
      <c r="V96" s="12">
        <f>'Country L per 100 km'!H21</f>
        <v>4.9059288714454334</v>
      </c>
      <c r="W96" s="3">
        <f>'Country distance travelled'!H21</f>
        <v>18000</v>
      </c>
      <c r="Y96" s="3">
        <v>2026</v>
      </c>
      <c r="Z96" s="13"/>
      <c r="AA96" s="13">
        <v>2.12417294066391</v>
      </c>
      <c r="AB96" s="13">
        <v>1.6755164690629096</v>
      </c>
      <c r="AC96" s="13">
        <v>1.3414195728382592</v>
      </c>
    </row>
    <row r="97" spans="1:29">
      <c r="A97" s="3">
        <v>2027</v>
      </c>
      <c r="B97" s="3">
        <f t="shared" si="41"/>
        <v>28480.304230213365</v>
      </c>
      <c r="C97" s="3">
        <f t="shared" si="42"/>
        <v>5696.0608460426729</v>
      </c>
      <c r="D97" s="3">
        <f t="shared" si="43"/>
        <v>3702.4395499277375</v>
      </c>
      <c r="E97" s="3">
        <v>0</v>
      </c>
      <c r="F97" s="3">
        <f t="shared" si="44"/>
        <v>9398.50039597041</v>
      </c>
      <c r="G97" s="3"/>
      <c r="H97" s="3"/>
      <c r="I97" s="3">
        <v>2027</v>
      </c>
      <c r="J97" s="3">
        <f t="shared" si="45"/>
        <v>29520.5</v>
      </c>
      <c r="K97" s="3">
        <f t="shared" si="46"/>
        <v>5904.1</v>
      </c>
      <c r="L97" s="3">
        <f t="shared" si="47"/>
        <v>3837.665</v>
      </c>
      <c r="M97" s="3">
        <f t="shared" si="39"/>
        <v>1482.4315223939211</v>
      </c>
      <c r="N97" s="3">
        <f t="shared" si="48"/>
        <v>11224.196522393921</v>
      </c>
      <c r="O97" s="3"/>
      <c r="P97" s="3"/>
      <c r="Q97" s="3">
        <v>2027</v>
      </c>
      <c r="R97" s="13">
        <f t="shared" si="49"/>
        <v>1.1942539819657054</v>
      </c>
      <c r="S97" s="13">
        <f t="shared" si="50"/>
        <v>0.83734282246564562</v>
      </c>
      <c r="T97" s="3"/>
      <c r="U97" s="13">
        <f t="shared" si="51"/>
        <v>1.6955174452651887</v>
      </c>
      <c r="V97" s="12">
        <f>'Country L per 100 km'!H22</f>
        <v>4.8573553182628046</v>
      </c>
      <c r="W97" s="3">
        <f>'Country distance travelled'!H22</f>
        <v>18000</v>
      </c>
      <c r="Y97" s="3">
        <v>2027</v>
      </c>
      <c r="Z97" s="13"/>
      <c r="AA97" s="13">
        <v>2.1535997590032205</v>
      </c>
      <c r="AB97" s="13">
        <v>1.6955174452651887</v>
      </c>
      <c r="AC97" s="13">
        <v>1.3473049365061212</v>
      </c>
    </row>
    <row r="98" spans="1:29">
      <c r="A98" s="3">
        <v>2028</v>
      </c>
      <c r="B98" s="3">
        <f t="shared" si="41"/>
        <v>27864.362480313015</v>
      </c>
      <c r="C98" s="3">
        <f t="shared" si="42"/>
        <v>5572.8724960626032</v>
      </c>
      <c r="D98" s="3">
        <f t="shared" si="43"/>
        <v>3622.3671224406921</v>
      </c>
      <c r="E98" s="3">
        <v>0</v>
      </c>
      <c r="F98" s="3">
        <f t="shared" si="44"/>
        <v>9195.2396185032958</v>
      </c>
      <c r="G98" s="3"/>
      <c r="H98" s="3"/>
      <c r="I98" s="3">
        <v>2028</v>
      </c>
      <c r="J98" s="3">
        <f t="shared" si="45"/>
        <v>29520.5</v>
      </c>
      <c r="K98" s="3">
        <f t="shared" si="46"/>
        <v>5904.1</v>
      </c>
      <c r="L98" s="3">
        <f t="shared" si="47"/>
        <v>3837.665</v>
      </c>
      <c r="M98" s="3">
        <f t="shared" si="39"/>
        <v>1478.7142973036773</v>
      </c>
      <c r="N98" s="3">
        <f t="shared" si="48"/>
        <v>11220.479297303677</v>
      </c>
      <c r="O98" s="3"/>
      <c r="P98" s="3"/>
      <c r="Q98" s="3">
        <v>2028</v>
      </c>
      <c r="R98" s="13">
        <f t="shared" si="49"/>
        <v>1.2202487115969283</v>
      </c>
      <c r="S98" s="13">
        <f t="shared" si="50"/>
        <v>0.81950506523486444</v>
      </c>
      <c r="T98" s="3"/>
      <c r="U98" s="13">
        <f t="shared" si="51"/>
        <v>1.7081785622236425</v>
      </c>
      <c r="V98" s="12">
        <f>'Country L per 100 km'!H23</f>
        <v>4.8092626913493124</v>
      </c>
      <c r="W98" s="3">
        <f>'Country distance travelled'!H23</f>
        <v>18000</v>
      </c>
      <c r="Y98" s="3">
        <v>2028</v>
      </c>
      <c r="Z98" s="13"/>
      <c r="AA98" s="13">
        <v>2.1771412136746688</v>
      </c>
      <c r="AB98" s="13">
        <v>1.7081785622236425</v>
      </c>
      <c r="AC98" s="13">
        <v>1.3473049365061212</v>
      </c>
    </row>
    <row r="99" spans="1:29">
      <c r="A99" s="3">
        <v>2029</v>
      </c>
      <c r="B99" s="3">
        <f t="shared" si="41"/>
        <v>27318.291009066583</v>
      </c>
      <c r="C99" s="3">
        <f t="shared" si="42"/>
        <v>5463.6582018133167</v>
      </c>
      <c r="D99" s="3">
        <f t="shared" si="43"/>
        <v>3551.3778311786559</v>
      </c>
      <c r="E99" s="3">
        <v>0</v>
      </c>
      <c r="F99" s="3">
        <f t="shared" si="44"/>
        <v>9015.0360329919731</v>
      </c>
      <c r="G99" s="3"/>
      <c r="H99" s="3"/>
      <c r="I99" s="3">
        <v>2029</v>
      </c>
      <c r="J99" s="3">
        <f t="shared" si="45"/>
        <v>29520.5</v>
      </c>
      <c r="K99" s="3">
        <f t="shared" si="46"/>
        <v>5904.1</v>
      </c>
      <c r="L99" s="3">
        <f t="shared" si="47"/>
        <v>3837.665</v>
      </c>
      <c r="M99" s="3">
        <f t="shared" si="39"/>
        <v>1478.7824482145534</v>
      </c>
      <c r="N99" s="3">
        <f t="shared" si="48"/>
        <v>11220.547448214553</v>
      </c>
      <c r="O99" s="3"/>
      <c r="P99" s="3"/>
      <c r="Q99" s="3">
        <v>2029</v>
      </c>
      <c r="R99" s="13">
        <f t="shared" si="49"/>
        <v>1.2446480975950796</v>
      </c>
      <c r="S99" s="13">
        <f t="shared" si="50"/>
        <v>0.80343994574226174</v>
      </c>
      <c r="T99" s="3"/>
      <c r="U99" s="13">
        <f t="shared" si="51"/>
        <v>1.7253398615588516</v>
      </c>
      <c r="V99" s="12">
        <f>'Country L per 100 km'!H24</f>
        <v>4.7616462290587247</v>
      </c>
      <c r="W99" s="3">
        <f>'Country distance travelled'!H24</f>
        <v>18000</v>
      </c>
      <c r="Y99" s="3">
        <v>2029</v>
      </c>
      <c r="Z99" s="13"/>
      <c r="AA99" s="13">
        <v>2.2065680320139789</v>
      </c>
      <c r="AB99" s="13">
        <v>1.7253398615588516</v>
      </c>
      <c r="AC99" s="13">
        <v>1.3473049365061212</v>
      </c>
    </row>
    <row r="100" spans="1:29">
      <c r="A100" s="3">
        <v>2030</v>
      </c>
      <c r="B100" s="3">
        <f t="shared" si="41"/>
        <v>26702.144321227464</v>
      </c>
      <c r="C100" s="3">
        <f t="shared" si="42"/>
        <v>5340.4288642454931</v>
      </c>
      <c r="D100" s="3">
        <f t="shared" si="43"/>
        <v>3471.2787617595704</v>
      </c>
      <c r="E100" s="3">
        <v>0</v>
      </c>
      <c r="F100" s="3">
        <f t="shared" si="44"/>
        <v>8811.7076260050635</v>
      </c>
      <c r="G100" s="3"/>
      <c r="H100" s="3"/>
      <c r="I100" s="3">
        <v>2030</v>
      </c>
      <c r="J100" s="3">
        <f t="shared" si="45"/>
        <v>29520.5</v>
      </c>
      <c r="K100" s="3">
        <f t="shared" si="46"/>
        <v>5904.1</v>
      </c>
      <c r="L100" s="3">
        <f t="shared" si="47"/>
        <v>3837.665</v>
      </c>
      <c r="M100" s="3">
        <f t="shared" si="39"/>
        <v>1475.2765248941357</v>
      </c>
      <c r="N100" s="3">
        <f>SUM(K100:M100)</f>
        <v>11217.041524894135</v>
      </c>
      <c r="O100" s="3"/>
      <c r="P100" s="3"/>
      <c r="Q100" s="3">
        <v>2030</v>
      </c>
      <c r="R100" s="13">
        <f t="shared" si="49"/>
        <v>1.2729702347125618</v>
      </c>
      <c r="S100" s="13">
        <f t="shared" si="50"/>
        <v>0.78556432250421104</v>
      </c>
      <c r="T100" s="3"/>
      <c r="U100" s="13">
        <f t="shared" si="51"/>
        <v>1.7384618895619306</v>
      </c>
      <c r="V100" s="12">
        <f>'Country L per 100 km'!H25</f>
        <v>4.7145012168898264</v>
      </c>
      <c r="W100" s="3">
        <f>'Country distance travelled'!H25</f>
        <v>18000</v>
      </c>
      <c r="Y100" s="3">
        <v>2030</v>
      </c>
      <c r="Z100" s="13"/>
      <c r="AA100" s="13">
        <v>2.224224123017565</v>
      </c>
      <c r="AB100" s="13">
        <v>1.7384618895619306</v>
      </c>
      <c r="AC100" s="13">
        <v>1.3531903001739836</v>
      </c>
    </row>
    <row r="101" spans="1:29">
      <c r="A101" s="3">
        <v>2031</v>
      </c>
      <c r="B101" s="3"/>
      <c r="C101" s="3"/>
      <c r="D101" s="3"/>
      <c r="E101" s="3"/>
      <c r="F101" s="3"/>
      <c r="G101" s="3"/>
      <c r="H101" s="3"/>
      <c r="I101" s="3">
        <v>2031</v>
      </c>
      <c r="J101" s="3"/>
      <c r="K101" s="3"/>
      <c r="L101" s="3"/>
      <c r="M101" s="3"/>
      <c r="N101" s="3"/>
      <c r="O101" s="3"/>
      <c r="P101" s="3"/>
      <c r="Q101" s="3">
        <v>2031</v>
      </c>
      <c r="R101" s="3"/>
      <c r="S101" s="3"/>
      <c r="T101" s="3"/>
      <c r="U101" s="13">
        <f>U100</f>
        <v>1.7384618895619306</v>
      </c>
      <c r="V101" s="12">
        <f>'Country L per 100 km'!H26</f>
        <v>4.6678229870196306</v>
      </c>
      <c r="W101" s="3">
        <f>'Country distance travelled'!H26</f>
        <v>18000</v>
      </c>
      <c r="Y101" s="3">
        <v>2031</v>
      </c>
    </row>
    <row r="102" spans="1:29">
      <c r="A102" s="3">
        <v>2032</v>
      </c>
      <c r="B102" s="3"/>
      <c r="C102" s="3"/>
      <c r="D102" s="3"/>
      <c r="E102" s="3"/>
      <c r="F102" s="3"/>
      <c r="G102" s="3"/>
      <c r="H102" s="3"/>
      <c r="I102" s="3">
        <v>2032</v>
      </c>
      <c r="J102" s="3"/>
      <c r="K102" s="3"/>
      <c r="L102" s="3"/>
      <c r="M102" s="3"/>
      <c r="N102" s="3"/>
      <c r="O102" s="3"/>
      <c r="P102" s="3"/>
      <c r="Q102" s="3">
        <v>2032</v>
      </c>
      <c r="R102" s="3"/>
      <c r="S102" s="3"/>
      <c r="T102" s="3"/>
      <c r="U102" s="13">
        <f t="shared" ref="U102:U110" si="58">U101</f>
        <v>1.7384618895619306</v>
      </c>
      <c r="V102" s="12">
        <f>'Country L per 100 km'!H27</f>
        <v>4.621606917841218</v>
      </c>
      <c r="W102" s="3">
        <f>'Country distance travelled'!H27</f>
        <v>18000</v>
      </c>
      <c r="Y102" s="3">
        <v>2032</v>
      </c>
    </row>
    <row r="103" spans="1:29">
      <c r="A103" s="3">
        <v>2033</v>
      </c>
      <c r="B103" s="3"/>
      <c r="C103" s="3"/>
      <c r="D103" s="3"/>
      <c r="E103" s="3"/>
      <c r="F103" s="3"/>
      <c r="G103" s="3"/>
      <c r="H103" s="3"/>
      <c r="I103" s="3">
        <v>2033</v>
      </c>
      <c r="J103" s="3"/>
      <c r="K103" s="3"/>
      <c r="L103" s="3"/>
      <c r="M103" s="3"/>
      <c r="N103" s="3"/>
      <c r="O103" s="3"/>
      <c r="P103" s="3"/>
      <c r="Q103" s="3">
        <v>2033</v>
      </c>
      <c r="R103" s="3"/>
      <c r="S103" s="3"/>
      <c r="T103" s="3"/>
      <c r="U103" s="13">
        <f t="shared" si="58"/>
        <v>1.7384618895619306</v>
      </c>
      <c r="V103" s="12">
        <f>'Country L per 100 km'!H28</f>
        <v>4.5758484335061569</v>
      </c>
      <c r="W103" s="3">
        <f>'Country distance travelled'!H28</f>
        <v>18000</v>
      </c>
      <c r="Y103" s="3">
        <v>2033</v>
      </c>
    </row>
    <row r="104" spans="1:29">
      <c r="A104" s="3">
        <v>2034</v>
      </c>
      <c r="B104" s="3"/>
      <c r="C104" s="3"/>
      <c r="D104" s="3"/>
      <c r="E104" s="3"/>
      <c r="F104" s="3"/>
      <c r="G104" s="3"/>
      <c r="H104" s="3"/>
      <c r="I104" s="3">
        <v>2034</v>
      </c>
      <c r="J104" s="3"/>
      <c r="K104" s="3"/>
      <c r="L104" s="3"/>
      <c r="M104" s="3"/>
      <c r="N104" s="3"/>
      <c r="O104" s="3"/>
      <c r="P104" s="3"/>
      <c r="Q104" s="3">
        <v>2034</v>
      </c>
      <c r="R104" s="3"/>
      <c r="S104" s="3"/>
      <c r="T104" s="3"/>
      <c r="U104" s="13">
        <f t="shared" si="58"/>
        <v>1.7384618895619306</v>
      </c>
      <c r="V104" s="12">
        <f>'Country L per 100 km'!H29</f>
        <v>4.5305430034714416</v>
      </c>
      <c r="W104" s="3">
        <f>'Country distance travelled'!H29</f>
        <v>18000</v>
      </c>
      <c r="Y104" s="3">
        <v>2034</v>
      </c>
    </row>
    <row r="105" spans="1:29">
      <c r="A105" s="3">
        <v>2035</v>
      </c>
      <c r="B105" s="3"/>
      <c r="C105" s="3"/>
      <c r="D105" s="3"/>
      <c r="E105" s="3"/>
      <c r="F105" s="3"/>
      <c r="G105" s="3"/>
      <c r="H105" s="3"/>
      <c r="I105" s="3">
        <v>2035</v>
      </c>
      <c r="J105" s="3"/>
      <c r="K105" s="3"/>
      <c r="L105" s="3"/>
      <c r="M105" s="3"/>
      <c r="N105" s="3"/>
      <c r="O105" s="3"/>
      <c r="P105" s="3"/>
      <c r="Q105" s="3">
        <v>2035</v>
      </c>
      <c r="R105" s="3"/>
      <c r="S105" s="3"/>
      <c r="T105" s="3"/>
      <c r="U105" s="13">
        <f t="shared" si="58"/>
        <v>1.7384618895619306</v>
      </c>
      <c r="V105" s="12">
        <f>'Country L per 100 km'!H30</f>
        <v>4.4856861420509313</v>
      </c>
      <c r="W105" s="3">
        <f>'Country distance travelled'!H30</f>
        <v>18000</v>
      </c>
      <c r="Y105" s="3">
        <v>2035</v>
      </c>
    </row>
    <row r="106" spans="1:29">
      <c r="A106" s="3">
        <v>2036</v>
      </c>
      <c r="B106" s="3"/>
      <c r="C106" s="3"/>
      <c r="D106" s="3"/>
      <c r="E106" s="3"/>
      <c r="F106" s="3"/>
      <c r="G106" s="3"/>
      <c r="H106" s="3"/>
      <c r="I106" s="3">
        <v>2036</v>
      </c>
      <c r="J106" s="3"/>
      <c r="K106" s="3"/>
      <c r="L106" s="3"/>
      <c r="M106" s="3"/>
      <c r="N106" s="3"/>
      <c r="O106" s="3"/>
      <c r="P106" s="3"/>
      <c r="Q106" s="3">
        <v>2036</v>
      </c>
      <c r="R106" s="3"/>
      <c r="S106" s="3"/>
      <c r="T106" s="3"/>
      <c r="U106" s="13">
        <f t="shared" si="58"/>
        <v>1.7384618895619306</v>
      </c>
      <c r="V106" s="12">
        <f>'Country L per 100 km'!H31</f>
        <v>4.4412734079712202</v>
      </c>
      <c r="W106" s="3">
        <f>'Country distance travelled'!H31</f>
        <v>18000</v>
      </c>
      <c r="Y106" s="3">
        <v>2036</v>
      </c>
    </row>
    <row r="107" spans="1:29">
      <c r="A107" s="3">
        <v>2037</v>
      </c>
      <c r="B107" s="3"/>
      <c r="C107" s="3"/>
      <c r="D107" s="3"/>
      <c r="E107" s="3"/>
      <c r="F107" s="3"/>
      <c r="G107" s="3"/>
      <c r="H107" s="3"/>
      <c r="I107" s="3">
        <v>2037</v>
      </c>
      <c r="J107" s="3"/>
      <c r="K107" s="3"/>
      <c r="L107" s="3"/>
      <c r="M107" s="3"/>
      <c r="N107" s="3"/>
      <c r="O107" s="3"/>
      <c r="P107" s="3"/>
      <c r="Q107" s="3">
        <v>2037</v>
      </c>
      <c r="R107" s="3"/>
      <c r="S107" s="3"/>
      <c r="T107" s="3"/>
      <c r="U107" s="13">
        <f t="shared" si="58"/>
        <v>1.7384618895619306</v>
      </c>
      <c r="V107" s="12">
        <f>'Country L per 100 km'!H32</f>
        <v>4.3973004039319017</v>
      </c>
      <c r="W107" s="3">
        <f>'Country distance travelled'!H32</f>
        <v>18000</v>
      </c>
      <c r="Y107" s="3">
        <v>2037</v>
      </c>
    </row>
    <row r="108" spans="1:29">
      <c r="A108" s="3">
        <v>2038</v>
      </c>
      <c r="B108" s="3"/>
      <c r="C108" s="3"/>
      <c r="D108" s="3"/>
      <c r="E108" s="3"/>
      <c r="F108" s="3"/>
      <c r="G108" s="3"/>
      <c r="H108" s="3"/>
      <c r="I108" s="3">
        <v>2038</v>
      </c>
      <c r="J108" s="3"/>
      <c r="K108" s="3"/>
      <c r="L108" s="3"/>
      <c r="M108" s="3"/>
      <c r="N108" s="3"/>
      <c r="O108" s="3"/>
      <c r="P108" s="3"/>
      <c r="Q108" s="3">
        <v>2038</v>
      </c>
      <c r="R108" s="3"/>
      <c r="S108" s="3"/>
      <c r="T108" s="3"/>
      <c r="U108" s="13">
        <f t="shared" si="58"/>
        <v>1.7384618895619306</v>
      </c>
      <c r="V108" s="12">
        <f>'Country L per 100 km'!H33</f>
        <v>4.3537627761701989</v>
      </c>
      <c r="W108" s="3">
        <f>'Country distance travelled'!H33</f>
        <v>18000</v>
      </c>
      <c r="Y108" s="3">
        <v>2038</v>
      </c>
    </row>
    <row r="109" spans="1:29">
      <c r="A109" s="3">
        <v>2039</v>
      </c>
      <c r="B109" s="3"/>
      <c r="C109" s="3"/>
      <c r="D109" s="3"/>
      <c r="E109" s="3"/>
      <c r="F109" s="3"/>
      <c r="G109" s="3"/>
      <c r="H109" s="3"/>
      <c r="I109" s="3">
        <v>2039</v>
      </c>
      <c r="J109" s="3"/>
      <c r="K109" s="3"/>
      <c r="L109" s="3"/>
      <c r="M109" s="3"/>
      <c r="N109" s="3"/>
      <c r="O109" s="3"/>
      <c r="P109" s="3"/>
      <c r="Q109" s="3">
        <v>2039</v>
      </c>
      <c r="R109" s="3"/>
      <c r="S109" s="3"/>
      <c r="T109" s="3"/>
      <c r="U109" s="13">
        <f t="shared" si="58"/>
        <v>1.7384618895619306</v>
      </c>
      <c r="V109" s="12">
        <f>'Country L per 100 km'!H34</f>
        <v>4.3106562140299003</v>
      </c>
      <c r="W109" s="3">
        <f>'Country distance travelled'!H34</f>
        <v>18000</v>
      </c>
      <c r="Y109" s="3">
        <v>2039</v>
      </c>
    </row>
    <row r="110" spans="1:29">
      <c r="A110" s="3">
        <v>2040</v>
      </c>
      <c r="B110" s="3"/>
      <c r="C110" s="3"/>
      <c r="D110" s="3"/>
      <c r="E110" s="3"/>
      <c r="F110" s="3"/>
      <c r="G110" s="3"/>
      <c r="H110" s="3"/>
      <c r="I110" s="3">
        <v>2040</v>
      </c>
      <c r="J110" s="3"/>
      <c r="K110" s="3"/>
      <c r="L110" s="3"/>
      <c r="M110" s="3"/>
      <c r="N110" s="3"/>
      <c r="O110" s="3"/>
      <c r="P110" s="3"/>
      <c r="Q110" s="3">
        <v>2040</v>
      </c>
      <c r="R110" s="3"/>
      <c r="S110" s="3"/>
      <c r="T110" s="3"/>
      <c r="U110" s="13">
        <f t="shared" si="58"/>
        <v>1.7384618895619306</v>
      </c>
      <c r="V110" s="12">
        <f>'Country L per 100 km'!H35</f>
        <v>4.2679764495345553</v>
      </c>
      <c r="W110" s="3">
        <f>'Country distance travelled'!H35</f>
        <v>18000</v>
      </c>
      <c r="Y110" s="3">
        <v>2040</v>
      </c>
    </row>
    <row r="116" spans="16:29">
      <c r="Q116" s="87" t="s">
        <v>980</v>
      </c>
      <c r="R116" s="87" t="s">
        <v>980</v>
      </c>
      <c r="S116" s="87" t="s">
        <v>980</v>
      </c>
      <c r="T116" s="87" t="s">
        <v>980</v>
      </c>
      <c r="U116" s="87" t="s">
        <v>980</v>
      </c>
      <c r="W116" s="14" t="s">
        <v>812</v>
      </c>
      <c r="X116" s="14" t="s">
        <v>812</v>
      </c>
      <c r="Y116" s="14" t="s">
        <v>812</v>
      </c>
      <c r="Z116" s="14" t="s">
        <v>812</v>
      </c>
      <c r="AA116" s="14" t="s">
        <v>812</v>
      </c>
      <c r="AC116" s="248" t="s">
        <v>952</v>
      </c>
    </row>
    <row r="117" spans="16:29">
      <c r="Q117" s="87" t="s">
        <v>978</v>
      </c>
      <c r="R117" s="87" t="s">
        <v>979</v>
      </c>
      <c r="S117" s="87" t="s">
        <v>916</v>
      </c>
      <c r="T117" s="87" t="s">
        <v>981</v>
      </c>
      <c r="U117" s="87" t="s">
        <v>983</v>
      </c>
      <c r="W117" s="14" t="s">
        <v>725</v>
      </c>
      <c r="X117" s="14" t="s">
        <v>979</v>
      </c>
      <c r="Y117" s="14" t="s">
        <v>916</v>
      </c>
      <c r="Z117" s="14" t="s">
        <v>985</v>
      </c>
      <c r="AA117" s="14" t="s">
        <v>983</v>
      </c>
      <c r="AC117" s="248" t="s">
        <v>1204</v>
      </c>
    </row>
    <row r="118" spans="16:29">
      <c r="P118">
        <v>2012</v>
      </c>
      <c r="Q118" s="3">
        <f>B82</f>
        <v>31049.12227651618</v>
      </c>
      <c r="R118" s="3">
        <f t="shared" ref="R118:U118" si="59">C82</f>
        <v>6209.8244553032364</v>
      </c>
      <c r="S118" s="3">
        <f t="shared" si="59"/>
        <v>4036.3858959471036</v>
      </c>
      <c r="T118" s="3">
        <f t="shared" si="59"/>
        <v>0</v>
      </c>
      <c r="U118" s="3">
        <f t="shared" si="59"/>
        <v>10246.21035125034</v>
      </c>
      <c r="V118" s="3"/>
      <c r="W118" s="3">
        <f>J82</f>
        <v>26699.530911715177</v>
      </c>
      <c r="X118" s="3">
        <f t="shared" ref="X118:AA118" si="60">K82</f>
        <v>5339.9061823430357</v>
      </c>
      <c r="Y118" s="3">
        <f t="shared" si="60"/>
        <v>3470.9390185229731</v>
      </c>
      <c r="Z118" s="3">
        <f t="shared" si="60"/>
        <v>1707.2344348176821</v>
      </c>
      <c r="AA118" s="3">
        <f t="shared" si="60"/>
        <v>10518.079635683691</v>
      </c>
      <c r="AC118" s="13">
        <f>U118/AA118</f>
        <v>0.97415219376063611</v>
      </c>
    </row>
    <row r="119" spans="16:29">
      <c r="P119">
        <v>2013</v>
      </c>
      <c r="Q119" s="3">
        <f t="shared" ref="Q119:Q136" si="61">B83</f>
        <v>30711.692563343648</v>
      </c>
      <c r="R119" s="3">
        <f t="shared" ref="R119:R136" si="62">C83</f>
        <v>6142.3385126687299</v>
      </c>
      <c r="S119" s="3">
        <f t="shared" ref="S119:S136" si="63">D83</f>
        <v>3992.5200332346744</v>
      </c>
      <c r="T119" s="3">
        <f t="shared" ref="T119:T136" si="64">E83</f>
        <v>0</v>
      </c>
      <c r="U119" s="3">
        <f t="shared" ref="U119:U136" si="65">F83</f>
        <v>10134.858545903404</v>
      </c>
      <c r="V119" s="3"/>
      <c r="W119" s="3">
        <f t="shared" ref="W119:W136" si="66">J83</f>
        <v>26105.456186797452</v>
      </c>
      <c r="X119" s="3">
        <f t="shared" ref="X119:X136" si="67">K83</f>
        <v>5221.0912373594902</v>
      </c>
      <c r="Y119" s="3">
        <f t="shared" ref="Y119:Y136" si="68">L83</f>
        <v>3393.7093042836686</v>
      </c>
      <c r="Z119" s="3">
        <f t="shared" ref="Z119:Z136" si="69">M83</f>
        <v>1664.524991005238</v>
      </c>
      <c r="AA119" s="3">
        <f t="shared" ref="AA119:AA136" si="70">N83</f>
        <v>10279.325532648396</v>
      </c>
      <c r="AC119" s="13">
        <f t="shared" ref="AC119:AC136" si="71">U119/AA119</f>
        <v>0.98594586908585125</v>
      </c>
    </row>
    <row r="120" spans="16:29">
      <c r="P120">
        <v>2014</v>
      </c>
      <c r="Q120" s="3">
        <f t="shared" si="61"/>
        <v>33186.275291072569</v>
      </c>
      <c r="R120" s="3">
        <f t="shared" si="62"/>
        <v>6637.2550582145141</v>
      </c>
      <c r="S120" s="3">
        <f t="shared" si="63"/>
        <v>4314.2157878394337</v>
      </c>
      <c r="T120" s="3">
        <f t="shared" si="64"/>
        <v>0</v>
      </c>
      <c r="U120" s="3">
        <f t="shared" si="65"/>
        <v>10951.470846053948</v>
      </c>
      <c r="V120" s="3"/>
      <c r="W120" s="3">
        <f t="shared" si="66"/>
        <v>26304.079625509821</v>
      </c>
      <c r="X120" s="3">
        <f t="shared" si="67"/>
        <v>5260.8159251019642</v>
      </c>
      <c r="Y120" s="3">
        <f t="shared" si="68"/>
        <v>3419.5303513162767</v>
      </c>
      <c r="Z120" s="3">
        <f t="shared" si="69"/>
        <v>1615.3851681287404</v>
      </c>
      <c r="AA120" s="3">
        <f t="shared" si="70"/>
        <v>10295.73144454698</v>
      </c>
      <c r="AC120" s="13">
        <f t="shared" si="71"/>
        <v>1.0636904143274126</v>
      </c>
    </row>
    <row r="121" spans="16:29">
      <c r="P121">
        <v>2015</v>
      </c>
      <c r="Q121" s="3">
        <f t="shared" si="61"/>
        <v>35431.720796400899</v>
      </c>
      <c r="R121" s="3">
        <f t="shared" si="62"/>
        <v>7086.3441592801801</v>
      </c>
      <c r="S121" s="3">
        <f t="shared" si="63"/>
        <v>4606.1237035321174</v>
      </c>
      <c r="T121" s="3">
        <f t="shared" si="64"/>
        <v>0</v>
      </c>
      <c r="U121" s="3">
        <f t="shared" si="65"/>
        <v>11692.467862812297</v>
      </c>
      <c r="V121" s="3"/>
      <c r="W121" s="3">
        <f t="shared" si="66"/>
        <v>31462.794771037534</v>
      </c>
      <c r="X121" s="3">
        <f t="shared" si="67"/>
        <v>6292.5589542075068</v>
      </c>
      <c r="Y121" s="3">
        <f t="shared" si="68"/>
        <v>4090.1633202348794</v>
      </c>
      <c r="Z121" s="3">
        <f t="shared" si="69"/>
        <v>1462.418506679709</v>
      </c>
      <c r="AA121" s="3">
        <f t="shared" si="70"/>
        <v>11845.140781122094</v>
      </c>
      <c r="AC121" s="13">
        <f t="shared" si="71"/>
        <v>0.98711092412231038</v>
      </c>
    </row>
    <row r="122" spans="16:29">
      <c r="P122">
        <v>2016</v>
      </c>
      <c r="Q122" s="3">
        <f t="shared" si="61"/>
        <v>35412.505359047755</v>
      </c>
      <c r="R122" s="3">
        <f t="shared" si="62"/>
        <v>7082.5010718095509</v>
      </c>
      <c r="S122" s="3">
        <f t="shared" si="63"/>
        <v>4603.6256966762085</v>
      </c>
      <c r="T122" s="3">
        <f t="shared" si="64"/>
        <v>0</v>
      </c>
      <c r="U122" s="3">
        <f t="shared" si="65"/>
        <v>11686.126768485759</v>
      </c>
      <c r="V122" s="3"/>
      <c r="W122" s="3">
        <f t="shared" si="66"/>
        <v>31491.325987288277</v>
      </c>
      <c r="X122" s="3">
        <f t="shared" si="67"/>
        <v>6298.2651974576556</v>
      </c>
      <c r="Y122" s="3">
        <f t="shared" si="68"/>
        <v>4093.8723783474761</v>
      </c>
      <c r="Z122" s="3">
        <f t="shared" si="69"/>
        <v>1357.0501712795456</v>
      </c>
      <c r="AA122" s="3">
        <f t="shared" si="70"/>
        <v>11749.187747084678</v>
      </c>
      <c r="AC122" s="13">
        <f t="shared" si="71"/>
        <v>0.99463273717669842</v>
      </c>
    </row>
    <row r="123" spans="16:29">
      <c r="P123">
        <v>2017</v>
      </c>
      <c r="Q123" s="3">
        <f t="shared" si="61"/>
        <v>34444.622648532328</v>
      </c>
      <c r="R123" s="3">
        <f t="shared" si="62"/>
        <v>6888.9245297064654</v>
      </c>
      <c r="S123" s="3">
        <f t="shared" si="63"/>
        <v>4477.8009443092024</v>
      </c>
      <c r="T123" s="3">
        <f t="shared" si="64"/>
        <v>0</v>
      </c>
      <c r="U123" s="3">
        <f t="shared" si="65"/>
        <v>11366.725474015668</v>
      </c>
      <c r="V123" s="3"/>
      <c r="W123" s="3">
        <f t="shared" si="66"/>
        <v>30634.179397170039</v>
      </c>
      <c r="X123" s="3">
        <f t="shared" si="67"/>
        <v>6126.8358794340074</v>
      </c>
      <c r="Y123" s="3">
        <f t="shared" si="68"/>
        <v>3982.4433216321054</v>
      </c>
      <c r="Z123" s="3">
        <f t="shared" si="69"/>
        <v>1414.2367240552369</v>
      </c>
      <c r="AA123" s="3">
        <f t="shared" si="70"/>
        <v>11523.51592512135</v>
      </c>
      <c r="AC123" s="13">
        <f t="shared" si="71"/>
        <v>0.98639387040166471</v>
      </c>
    </row>
    <row r="124" spans="16:29">
      <c r="P124">
        <v>2018</v>
      </c>
      <c r="Q124" s="3">
        <f t="shared" si="61"/>
        <v>31840.925134487225</v>
      </c>
      <c r="R124" s="3">
        <f t="shared" si="62"/>
        <v>6368.1850268974449</v>
      </c>
      <c r="S124" s="3">
        <f t="shared" si="63"/>
        <v>4139.3202674833392</v>
      </c>
      <c r="T124" s="3">
        <f t="shared" si="64"/>
        <v>0</v>
      </c>
      <c r="U124" s="3">
        <f t="shared" si="65"/>
        <v>10507.505294380784</v>
      </c>
      <c r="V124" s="3"/>
      <c r="W124" s="3">
        <f t="shared" si="66"/>
        <v>29520.5</v>
      </c>
      <c r="X124" s="3">
        <f t="shared" si="67"/>
        <v>5904.1</v>
      </c>
      <c r="Y124" s="3">
        <f t="shared" si="68"/>
        <v>3837.665</v>
      </c>
      <c r="Z124" s="3">
        <f t="shared" si="69"/>
        <v>1464.954654818898</v>
      </c>
      <c r="AA124" s="3">
        <f t="shared" si="70"/>
        <v>11206.719654818897</v>
      </c>
      <c r="AC124" s="13">
        <f t="shared" si="71"/>
        <v>0.93760757991858479</v>
      </c>
    </row>
    <row r="125" spans="16:29">
      <c r="P125">
        <v>2019</v>
      </c>
      <c r="Q125" s="3">
        <f t="shared" si="61"/>
        <v>32467.964076003176</v>
      </c>
      <c r="R125" s="3">
        <f t="shared" si="62"/>
        <v>6493.5928152006354</v>
      </c>
      <c r="S125" s="3">
        <f t="shared" si="63"/>
        <v>4220.8353298804132</v>
      </c>
      <c r="T125" s="3">
        <f t="shared" si="64"/>
        <v>0</v>
      </c>
      <c r="U125" s="3">
        <f t="shared" si="65"/>
        <v>10714.428145081049</v>
      </c>
      <c r="V125" s="3"/>
      <c r="W125" s="3">
        <f t="shared" si="66"/>
        <v>29520.5</v>
      </c>
      <c r="X125" s="3">
        <f t="shared" si="67"/>
        <v>5904.1</v>
      </c>
      <c r="Y125" s="3">
        <f t="shared" si="68"/>
        <v>3837.665</v>
      </c>
      <c r="Z125" s="3">
        <f t="shared" si="69"/>
        <v>1431.1299093641335</v>
      </c>
      <c r="AA125" s="3">
        <f t="shared" si="70"/>
        <v>11172.894909364133</v>
      </c>
      <c r="AC125" s="13">
        <f t="shared" si="71"/>
        <v>0.95896616158997094</v>
      </c>
    </row>
    <row r="126" spans="16:29">
      <c r="P126">
        <v>2020</v>
      </c>
      <c r="Q126" s="3">
        <f t="shared" si="61"/>
        <v>32285.437735654959</v>
      </c>
      <c r="R126" s="3">
        <f t="shared" si="62"/>
        <v>6457.0875471309919</v>
      </c>
      <c r="S126" s="3">
        <f t="shared" si="63"/>
        <v>4197.1069056351453</v>
      </c>
      <c r="T126" s="3">
        <f t="shared" si="64"/>
        <v>0</v>
      </c>
      <c r="U126" s="3">
        <f t="shared" si="65"/>
        <v>10654.194452766136</v>
      </c>
      <c r="V126" s="3"/>
      <c r="W126" s="3">
        <f t="shared" si="66"/>
        <v>29520.5</v>
      </c>
      <c r="X126" s="3">
        <f t="shared" si="67"/>
        <v>5904.1</v>
      </c>
      <c r="Y126" s="3">
        <f t="shared" si="68"/>
        <v>3837.665</v>
      </c>
      <c r="Z126" s="3">
        <f t="shared" si="69"/>
        <v>1418.4424697945619</v>
      </c>
      <c r="AA126" s="3">
        <f t="shared" si="70"/>
        <v>11160.207469794561</v>
      </c>
      <c r="AC126" s="13">
        <f t="shared" si="71"/>
        <v>0.95465917471534789</v>
      </c>
    </row>
    <row r="127" spans="16:29">
      <c r="P127">
        <v>2021</v>
      </c>
      <c r="Q127" s="3">
        <f t="shared" si="61"/>
        <v>31478.725276768942</v>
      </c>
      <c r="R127" s="3">
        <f t="shared" si="62"/>
        <v>6295.7450553537883</v>
      </c>
      <c r="S127" s="3">
        <f t="shared" si="63"/>
        <v>4092.2342859799628</v>
      </c>
      <c r="T127" s="3">
        <f t="shared" si="64"/>
        <v>0</v>
      </c>
      <c r="U127" s="3">
        <f t="shared" si="65"/>
        <v>10387.97934133375</v>
      </c>
      <c r="V127" s="3"/>
      <c r="W127" s="3">
        <f t="shared" si="66"/>
        <v>29520.5</v>
      </c>
      <c r="X127" s="3">
        <f t="shared" si="67"/>
        <v>5904.1</v>
      </c>
      <c r="Y127" s="3">
        <f t="shared" si="68"/>
        <v>3837.665</v>
      </c>
      <c r="Z127" s="3">
        <f t="shared" si="69"/>
        <v>1447.6340626592164</v>
      </c>
      <c r="AA127" s="3">
        <f t="shared" si="70"/>
        <v>11189.399062659217</v>
      </c>
      <c r="AC127" s="13">
        <f t="shared" si="71"/>
        <v>0.92837687557324411</v>
      </c>
    </row>
    <row r="128" spans="16:29">
      <c r="P128">
        <v>2022</v>
      </c>
      <c r="Q128" s="3">
        <f t="shared" si="61"/>
        <v>31952.451287590902</v>
      </c>
      <c r="R128" s="3">
        <f t="shared" si="62"/>
        <v>6390.4902575181804</v>
      </c>
      <c r="S128" s="3">
        <f t="shared" si="63"/>
        <v>4153.8186673868177</v>
      </c>
      <c r="T128" s="3">
        <f t="shared" si="64"/>
        <v>0</v>
      </c>
      <c r="U128" s="3">
        <f t="shared" si="65"/>
        <v>10544.308924904999</v>
      </c>
      <c r="V128" s="3"/>
      <c r="W128" s="3">
        <f t="shared" si="66"/>
        <v>29520.5</v>
      </c>
      <c r="X128" s="3">
        <f t="shared" si="67"/>
        <v>5904.1</v>
      </c>
      <c r="Y128" s="3">
        <f t="shared" si="68"/>
        <v>3837.665</v>
      </c>
      <c r="Z128" s="3">
        <f t="shared" si="69"/>
        <v>1465.1741813433428</v>
      </c>
      <c r="AA128" s="3">
        <f t="shared" si="70"/>
        <v>11206.939181343343</v>
      </c>
      <c r="AC128" s="13">
        <f t="shared" si="71"/>
        <v>0.9408732174132387</v>
      </c>
    </row>
    <row r="129" spans="16:29">
      <c r="P129">
        <v>2023</v>
      </c>
      <c r="Q129" s="3">
        <f t="shared" si="61"/>
        <v>31670.716220186845</v>
      </c>
      <c r="R129" s="3">
        <f t="shared" si="62"/>
        <v>6334.1432440373692</v>
      </c>
      <c r="S129" s="3">
        <f t="shared" si="63"/>
        <v>4117.1931086242903</v>
      </c>
      <c r="T129" s="3">
        <f t="shared" si="64"/>
        <v>0</v>
      </c>
      <c r="U129" s="3">
        <f t="shared" si="65"/>
        <v>10451.336352661659</v>
      </c>
      <c r="V129" s="3"/>
      <c r="W129" s="3">
        <f t="shared" si="66"/>
        <v>29520.5</v>
      </c>
      <c r="X129" s="3">
        <f t="shared" si="67"/>
        <v>5904.1</v>
      </c>
      <c r="Y129" s="3">
        <f t="shared" si="68"/>
        <v>3837.665</v>
      </c>
      <c r="Z129" s="3">
        <f t="shared" si="69"/>
        <v>1465.1892281009923</v>
      </c>
      <c r="AA129" s="3">
        <f t="shared" si="70"/>
        <v>11206.954228100993</v>
      </c>
      <c r="AC129" s="13">
        <f t="shared" si="71"/>
        <v>0.9325759827282375</v>
      </c>
    </row>
    <row r="130" spans="16:29">
      <c r="P130">
        <v>2024</v>
      </c>
      <c r="Q130" s="3">
        <f t="shared" si="61"/>
        <v>30540.407099324253</v>
      </c>
      <c r="R130" s="3">
        <f t="shared" si="62"/>
        <v>6108.0814198648504</v>
      </c>
      <c r="S130" s="3">
        <f t="shared" si="63"/>
        <v>3970.2529229121528</v>
      </c>
      <c r="T130" s="3">
        <f t="shared" si="64"/>
        <v>0</v>
      </c>
      <c r="U130" s="3">
        <f t="shared" si="65"/>
        <v>10078.334342777003</v>
      </c>
      <c r="V130" s="3"/>
      <c r="W130" s="3">
        <f t="shared" si="66"/>
        <v>29520.5</v>
      </c>
      <c r="X130" s="3">
        <f t="shared" si="67"/>
        <v>5904.1</v>
      </c>
      <c r="Y130" s="3">
        <f t="shared" si="68"/>
        <v>3837.665</v>
      </c>
      <c r="Z130" s="3">
        <f t="shared" si="69"/>
        <v>1454.483752177747</v>
      </c>
      <c r="AA130" s="3">
        <f t="shared" si="70"/>
        <v>11196.248752177746</v>
      </c>
      <c r="AC130" s="13">
        <f t="shared" si="71"/>
        <v>0.90015277133037075</v>
      </c>
    </row>
    <row r="131" spans="16:29">
      <c r="P131">
        <v>2025</v>
      </c>
      <c r="Q131" s="3">
        <f t="shared" si="61"/>
        <v>29571.929822404905</v>
      </c>
      <c r="R131" s="3">
        <f t="shared" si="62"/>
        <v>5914.3859644809809</v>
      </c>
      <c r="S131" s="3">
        <f t="shared" si="63"/>
        <v>3844.3508769126379</v>
      </c>
      <c r="T131" s="3">
        <f t="shared" si="64"/>
        <v>0</v>
      </c>
      <c r="U131" s="3">
        <f t="shared" si="65"/>
        <v>9758.7368413936183</v>
      </c>
      <c r="V131" s="3"/>
      <c r="W131" s="3">
        <f t="shared" si="66"/>
        <v>29520.5</v>
      </c>
      <c r="X131" s="3">
        <f t="shared" si="67"/>
        <v>5904.1</v>
      </c>
      <c r="Y131" s="3">
        <f t="shared" si="68"/>
        <v>3837.665</v>
      </c>
      <c r="Z131" s="3">
        <f t="shared" si="69"/>
        <v>1459.7762503885945</v>
      </c>
      <c r="AA131" s="3">
        <f t="shared" si="70"/>
        <v>11201.541250388595</v>
      </c>
      <c r="AC131" s="13">
        <f t="shared" si="71"/>
        <v>0.87119590271160907</v>
      </c>
    </row>
    <row r="132" spans="16:29">
      <c r="P132">
        <v>2026</v>
      </c>
      <c r="Q132" s="3">
        <f t="shared" si="61"/>
        <v>29026.169226486498</v>
      </c>
      <c r="R132" s="3">
        <f t="shared" si="62"/>
        <v>5805.2338452972999</v>
      </c>
      <c r="S132" s="3">
        <f t="shared" si="63"/>
        <v>3773.4019994432447</v>
      </c>
      <c r="T132" s="3">
        <f t="shared" si="64"/>
        <v>0</v>
      </c>
      <c r="U132" s="3">
        <f t="shared" si="65"/>
        <v>9578.6358447405437</v>
      </c>
      <c r="V132" s="3"/>
      <c r="W132" s="3">
        <f t="shared" si="66"/>
        <v>29520.5</v>
      </c>
      <c r="X132" s="3">
        <f t="shared" si="67"/>
        <v>5904.1</v>
      </c>
      <c r="Y132" s="3">
        <f t="shared" si="68"/>
        <v>3837.665</v>
      </c>
      <c r="Z132" s="3">
        <f t="shared" si="69"/>
        <v>1479.5936316284467</v>
      </c>
      <c r="AA132" s="3">
        <f t="shared" si="70"/>
        <v>11221.358631628445</v>
      </c>
      <c r="AC132" s="13">
        <f t="shared" si="71"/>
        <v>0.85360749613173093</v>
      </c>
    </row>
    <row r="133" spans="16:29">
      <c r="P133">
        <v>2027</v>
      </c>
      <c r="Q133" s="3">
        <f t="shared" si="61"/>
        <v>28480.304230213365</v>
      </c>
      <c r="R133" s="3">
        <f t="shared" si="62"/>
        <v>5696.0608460426729</v>
      </c>
      <c r="S133" s="3">
        <f t="shared" si="63"/>
        <v>3702.4395499277375</v>
      </c>
      <c r="T133" s="3">
        <f t="shared" si="64"/>
        <v>0</v>
      </c>
      <c r="U133" s="3">
        <f t="shared" si="65"/>
        <v>9398.50039597041</v>
      </c>
      <c r="V133" s="3"/>
      <c r="W133" s="3">
        <f t="shared" si="66"/>
        <v>29520.5</v>
      </c>
      <c r="X133" s="3">
        <f t="shared" si="67"/>
        <v>5904.1</v>
      </c>
      <c r="Y133" s="3">
        <f t="shared" si="68"/>
        <v>3837.665</v>
      </c>
      <c r="Z133" s="3">
        <f t="shared" si="69"/>
        <v>1482.4315223939211</v>
      </c>
      <c r="AA133" s="3">
        <f t="shared" si="70"/>
        <v>11224.196522393921</v>
      </c>
      <c r="AC133" s="13">
        <f t="shared" si="71"/>
        <v>0.83734282246564562</v>
      </c>
    </row>
    <row r="134" spans="16:29">
      <c r="P134">
        <v>2028</v>
      </c>
      <c r="Q134" s="3">
        <f t="shared" si="61"/>
        <v>27864.362480313015</v>
      </c>
      <c r="R134" s="3">
        <f t="shared" si="62"/>
        <v>5572.8724960626032</v>
      </c>
      <c r="S134" s="3">
        <f t="shared" si="63"/>
        <v>3622.3671224406921</v>
      </c>
      <c r="T134" s="3">
        <f t="shared" si="64"/>
        <v>0</v>
      </c>
      <c r="U134" s="3">
        <f t="shared" si="65"/>
        <v>9195.2396185032958</v>
      </c>
      <c r="V134" s="3"/>
      <c r="W134" s="3">
        <f t="shared" si="66"/>
        <v>29520.5</v>
      </c>
      <c r="X134" s="3">
        <f t="shared" si="67"/>
        <v>5904.1</v>
      </c>
      <c r="Y134" s="3">
        <f t="shared" si="68"/>
        <v>3837.665</v>
      </c>
      <c r="Z134" s="3">
        <f t="shared" si="69"/>
        <v>1478.7142973036773</v>
      </c>
      <c r="AA134" s="3">
        <f t="shared" si="70"/>
        <v>11220.479297303677</v>
      </c>
      <c r="AC134" s="13">
        <f t="shared" si="71"/>
        <v>0.81950506523486444</v>
      </c>
    </row>
    <row r="135" spans="16:29">
      <c r="P135">
        <v>2029</v>
      </c>
      <c r="Q135" s="3">
        <f t="shared" si="61"/>
        <v>27318.291009066583</v>
      </c>
      <c r="R135" s="3">
        <f t="shared" si="62"/>
        <v>5463.6582018133167</v>
      </c>
      <c r="S135" s="3">
        <f t="shared" si="63"/>
        <v>3551.3778311786559</v>
      </c>
      <c r="T135" s="3">
        <f t="shared" si="64"/>
        <v>0</v>
      </c>
      <c r="U135" s="3">
        <f t="shared" si="65"/>
        <v>9015.0360329919731</v>
      </c>
      <c r="V135" s="3"/>
      <c r="W135" s="3">
        <f t="shared" si="66"/>
        <v>29520.5</v>
      </c>
      <c r="X135" s="3">
        <f t="shared" si="67"/>
        <v>5904.1</v>
      </c>
      <c r="Y135" s="3">
        <f t="shared" si="68"/>
        <v>3837.665</v>
      </c>
      <c r="Z135" s="3">
        <f t="shared" si="69"/>
        <v>1478.7824482145534</v>
      </c>
      <c r="AA135" s="3">
        <f t="shared" si="70"/>
        <v>11220.547448214553</v>
      </c>
      <c r="AC135" s="13">
        <f t="shared" si="71"/>
        <v>0.80343994574226174</v>
      </c>
    </row>
    <row r="136" spans="16:29">
      <c r="P136">
        <v>2030</v>
      </c>
      <c r="Q136" s="3">
        <f t="shared" si="61"/>
        <v>26702.144321227464</v>
      </c>
      <c r="R136" s="3">
        <f t="shared" si="62"/>
        <v>5340.4288642454931</v>
      </c>
      <c r="S136" s="3">
        <f t="shared" si="63"/>
        <v>3471.2787617595704</v>
      </c>
      <c r="T136" s="3">
        <f t="shared" si="64"/>
        <v>0</v>
      </c>
      <c r="U136" s="3">
        <f t="shared" si="65"/>
        <v>8811.7076260050635</v>
      </c>
      <c r="V136" s="3"/>
      <c r="W136" s="3">
        <f t="shared" si="66"/>
        <v>29520.5</v>
      </c>
      <c r="X136" s="3">
        <f t="shared" si="67"/>
        <v>5904.1</v>
      </c>
      <c r="Y136" s="3">
        <f t="shared" si="68"/>
        <v>3837.665</v>
      </c>
      <c r="Z136" s="3">
        <f t="shared" si="69"/>
        <v>1475.2765248941357</v>
      </c>
      <c r="AA136" s="3">
        <f t="shared" si="70"/>
        <v>11217.041524894135</v>
      </c>
      <c r="AC136" s="13">
        <f t="shared" si="71"/>
        <v>0.78556432250421104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3"/>
  <sheetViews>
    <sheetView workbookViewId="0">
      <pane xSplit="1" ySplit="2" topLeftCell="B3" activePane="bottomRight" state="frozen"/>
      <selection pane="topRight" activeCell="B1" sqref="B1"/>
      <selection pane="bottomLeft" activeCell="A3" sqref="A3"/>
      <selection pane="bottomRight" activeCell="K38" sqref="K38"/>
    </sheetView>
  </sheetViews>
  <sheetFormatPr defaultRowHeight="15"/>
  <cols>
    <col min="1" max="1" width="27.42578125" customWidth="1"/>
  </cols>
  <sheetData>
    <row r="2" spans="1:20">
      <c r="B2">
        <v>2001</v>
      </c>
      <c r="C2">
        <v>2002</v>
      </c>
      <c r="D2">
        <v>2003</v>
      </c>
      <c r="E2">
        <v>2004</v>
      </c>
      <c r="F2">
        <v>2005</v>
      </c>
      <c r="G2">
        <v>2006</v>
      </c>
      <c r="H2">
        <v>2007</v>
      </c>
      <c r="I2">
        <v>2008</v>
      </c>
      <c r="J2">
        <v>2009</v>
      </c>
      <c r="K2">
        <v>2010</v>
      </c>
      <c r="L2">
        <v>2011</v>
      </c>
      <c r="M2">
        <v>2012</v>
      </c>
      <c r="N2">
        <v>2013</v>
      </c>
      <c r="O2">
        <v>2014</v>
      </c>
      <c r="P2">
        <v>2015</v>
      </c>
      <c r="Q2">
        <v>2016</v>
      </c>
      <c r="R2">
        <v>2017</v>
      </c>
    </row>
    <row r="3" spans="1:20">
      <c r="A3" t="s">
        <v>654</v>
      </c>
      <c r="B3" s="3">
        <v>22452</v>
      </c>
      <c r="C3" s="3">
        <v>22945</v>
      </c>
      <c r="D3" s="3">
        <v>23557</v>
      </c>
      <c r="E3" s="3">
        <v>24154</v>
      </c>
      <c r="F3" s="3">
        <v>23612</v>
      </c>
      <c r="G3" s="3">
        <v>24583</v>
      </c>
      <c r="H3" s="3">
        <v>25970</v>
      </c>
      <c r="I3" s="3">
        <v>27108</v>
      </c>
      <c r="J3" s="3">
        <v>23749</v>
      </c>
      <c r="K3" s="3">
        <v>26721</v>
      </c>
      <c r="L3" s="3">
        <v>27859</v>
      </c>
      <c r="M3" s="3">
        <v>28483</v>
      </c>
      <c r="N3" s="3">
        <v>28870</v>
      </c>
      <c r="O3" s="3">
        <v>29588</v>
      </c>
      <c r="P3" s="3">
        <v>30775</v>
      </c>
      <c r="Q3" s="3">
        <v>31662</v>
      </c>
      <c r="R3" s="3">
        <v>32500</v>
      </c>
      <c r="S3" s="3"/>
      <c r="T3" s="3"/>
    </row>
    <row r="4" spans="1:20">
      <c r="A4" t="s">
        <v>660</v>
      </c>
      <c r="B4" s="3">
        <v>1823</v>
      </c>
      <c r="C4" s="3">
        <v>1842</v>
      </c>
      <c r="D4" s="3">
        <v>1853</v>
      </c>
      <c r="E4" s="3">
        <v>1866</v>
      </c>
      <c r="F4" s="3">
        <v>1854</v>
      </c>
      <c r="G4" s="3">
        <v>1859</v>
      </c>
      <c r="H4" s="3">
        <v>1869</v>
      </c>
      <c r="I4" s="3">
        <v>1842</v>
      </c>
      <c r="J4" s="3">
        <v>1667</v>
      </c>
      <c r="K4" s="3">
        <v>1759</v>
      </c>
      <c r="L4" s="3">
        <v>1767</v>
      </c>
      <c r="M4" s="3">
        <v>1756</v>
      </c>
      <c r="N4" s="3">
        <v>1732</v>
      </c>
      <c r="O4" s="3">
        <v>1724</v>
      </c>
      <c r="P4" s="3">
        <v>1721</v>
      </c>
      <c r="Q4" s="3">
        <v>1722</v>
      </c>
      <c r="R4" s="3">
        <v>1725</v>
      </c>
      <c r="S4" s="3"/>
      <c r="T4" s="3"/>
    </row>
    <row r="5" spans="1:20">
      <c r="A5" t="s">
        <v>664</v>
      </c>
      <c r="B5" s="3"/>
      <c r="C5" s="3"/>
      <c r="D5" s="3"/>
      <c r="E5" s="3"/>
      <c r="F5" s="3"/>
      <c r="G5" s="3"/>
      <c r="H5" s="3"/>
      <c r="I5" s="3"/>
      <c r="J5" s="3">
        <v>29592.57288696121</v>
      </c>
      <c r="K5" s="3">
        <v>24635.774544841679</v>
      </c>
      <c r="L5" s="3">
        <v>23881.934454007525</v>
      </c>
      <c r="M5" s="3">
        <v>30842.462459493705</v>
      </c>
      <c r="N5" s="3">
        <v>31143.929334439988</v>
      </c>
      <c r="O5" s="3">
        <v>31974.883429537538</v>
      </c>
      <c r="P5" s="3">
        <v>35027.649999999994</v>
      </c>
      <c r="Q5" s="3">
        <v>35027.649999999994</v>
      </c>
      <c r="R5" s="3">
        <v>30000</v>
      </c>
      <c r="S5" s="3"/>
      <c r="T5" s="3"/>
    </row>
    <row r="6" spans="1:20">
      <c r="A6" t="s">
        <v>665</v>
      </c>
      <c r="B6" s="84">
        <v>1.11751</v>
      </c>
      <c r="C6" s="84">
        <v>1.0625500000000001</v>
      </c>
      <c r="D6" s="84">
        <v>0.88603399999999999</v>
      </c>
      <c r="E6" s="84">
        <v>0.805365</v>
      </c>
      <c r="F6" s="84">
        <v>0.80411999999999995</v>
      </c>
      <c r="G6" s="84">
        <v>0.79714099999999999</v>
      </c>
      <c r="H6" s="84">
        <v>0.73063800000000001</v>
      </c>
      <c r="I6" s="84">
        <v>0.68267500000000003</v>
      </c>
      <c r="J6" s="84">
        <v>0.71984416666666673</v>
      </c>
      <c r="K6" s="84">
        <v>0.75867129256384003</v>
      </c>
      <c r="L6" s="84">
        <v>0.71544109992713056</v>
      </c>
      <c r="M6" s="84">
        <v>0.773899446716382</v>
      </c>
      <c r="N6" s="84">
        <v>0.75166876437654617</v>
      </c>
      <c r="O6" s="84">
        <v>0.757387838338895</v>
      </c>
      <c r="P6" s="84">
        <v>0.90592556207997499</v>
      </c>
      <c r="Q6" s="84">
        <v>0.90674707708863456</v>
      </c>
      <c r="R6" s="84">
        <v>0.88206678367895308</v>
      </c>
      <c r="S6" s="84">
        <v>0.85</v>
      </c>
      <c r="T6" s="3"/>
    </row>
    <row r="7" spans="1:20">
      <c r="A7" t="s">
        <v>688</v>
      </c>
      <c r="B7" s="3"/>
      <c r="C7" s="3"/>
      <c r="D7" s="3"/>
      <c r="E7" s="3"/>
      <c r="F7" s="3"/>
      <c r="G7" s="3"/>
      <c r="H7" s="3"/>
      <c r="I7" s="3"/>
      <c r="J7" s="3">
        <f>J5*J6</f>
        <v>21302.040969337188</v>
      </c>
      <c r="K7" s="3">
        <f>K5*K6</f>
        <v>18690.454917246385</v>
      </c>
      <c r="L7" s="3">
        <f t="shared" ref="L7:R7" si="0">L5*L6</f>
        <v>17086.117454162781</v>
      </c>
      <c r="M7" s="3">
        <f t="shared" si="0"/>
        <v>23868.964632772961</v>
      </c>
      <c r="N7" s="3">
        <f t="shared" si="0"/>
        <v>23409.918880648976</v>
      </c>
      <c r="O7" s="3">
        <f t="shared" si="0"/>
        <v>24217.387841835589</v>
      </c>
      <c r="P7" s="3">
        <f t="shared" si="0"/>
        <v>31732.443514590632</v>
      </c>
      <c r="Q7" s="3">
        <f t="shared" si="0"/>
        <v>31761.219254783704</v>
      </c>
      <c r="R7" s="3">
        <f t="shared" si="0"/>
        <v>26462.003510368591</v>
      </c>
      <c r="S7" s="3"/>
      <c r="T7" s="3"/>
    </row>
    <row r="8" spans="1:20">
      <c r="B8" s="3"/>
      <c r="C8" s="3"/>
      <c r="D8" s="3"/>
      <c r="E8" s="3"/>
      <c r="F8" s="3"/>
      <c r="G8" s="3"/>
      <c r="H8" s="3"/>
      <c r="I8" s="3"/>
      <c r="J8" s="3"/>
      <c r="K8" s="3"/>
      <c r="L8" s="3"/>
      <c r="M8" s="3"/>
      <c r="N8" s="3"/>
      <c r="O8" s="3"/>
      <c r="P8" s="3"/>
      <c r="Q8" s="3"/>
      <c r="R8" s="3"/>
      <c r="S8" s="3"/>
      <c r="T8" s="3"/>
    </row>
    <row r="9" spans="1:20">
      <c r="B9" s="3"/>
      <c r="C9" s="3"/>
      <c r="D9" s="3"/>
      <c r="E9" s="3"/>
      <c r="F9" s="3"/>
      <c r="G9" s="3"/>
      <c r="H9" s="3"/>
      <c r="I9" s="3"/>
      <c r="J9" s="3"/>
      <c r="K9" s="3"/>
      <c r="L9" s="3"/>
      <c r="M9" s="3"/>
      <c r="N9" s="3"/>
      <c r="O9" s="3"/>
      <c r="P9" s="3"/>
      <c r="Q9" s="3"/>
      <c r="R9" s="3"/>
      <c r="S9" s="3"/>
      <c r="T9" s="3"/>
    </row>
    <row r="10" spans="1:20">
      <c r="B10" s="3"/>
      <c r="C10" s="3"/>
      <c r="D10" s="3"/>
      <c r="E10" s="3"/>
      <c r="F10" s="3"/>
      <c r="G10" s="3"/>
      <c r="H10" s="3"/>
      <c r="I10" s="3"/>
      <c r="J10" s="3"/>
      <c r="K10" s="3"/>
      <c r="L10" s="3"/>
      <c r="M10" s="3"/>
      <c r="N10" s="3"/>
      <c r="O10" s="3"/>
      <c r="P10" s="3"/>
      <c r="Q10" s="3"/>
      <c r="R10" s="3"/>
      <c r="S10" s="3"/>
      <c r="T10" s="3"/>
    </row>
    <row r="11" spans="1:20">
      <c r="B11" s="3"/>
      <c r="C11" s="3"/>
      <c r="D11" s="3"/>
      <c r="E11" s="3"/>
      <c r="F11" s="3"/>
      <c r="G11" s="3"/>
      <c r="H11" s="3"/>
      <c r="I11" s="3"/>
      <c r="J11" s="3"/>
      <c r="K11" s="3"/>
      <c r="L11" s="3"/>
      <c r="M11" s="3"/>
      <c r="N11" s="3"/>
      <c r="O11" s="3"/>
      <c r="P11" s="3"/>
      <c r="Q11" s="3"/>
      <c r="R11" s="3"/>
      <c r="S11" s="3"/>
      <c r="T11" s="3"/>
    </row>
    <row r="12" spans="1:20">
      <c r="B12" s="3"/>
      <c r="C12" s="3"/>
      <c r="D12" s="3"/>
      <c r="E12" s="3"/>
      <c r="F12" s="3"/>
      <c r="G12" s="3"/>
      <c r="H12" s="3"/>
      <c r="I12" s="3"/>
      <c r="J12" s="3"/>
      <c r="K12" s="3"/>
      <c r="L12" s="3"/>
      <c r="M12" s="3"/>
      <c r="N12" s="3"/>
      <c r="O12" s="3"/>
      <c r="P12" s="3"/>
      <c r="Q12" s="3"/>
      <c r="R12" s="3"/>
      <c r="S12" s="3"/>
      <c r="T12" s="3"/>
    </row>
    <row r="13" spans="1:20">
      <c r="A13" t="s">
        <v>658</v>
      </c>
      <c r="B13" s="3"/>
      <c r="C13" s="3"/>
      <c r="D13" s="3"/>
      <c r="E13" s="3"/>
      <c r="F13" s="3"/>
      <c r="G13" s="3"/>
      <c r="H13" s="3"/>
      <c r="I13" s="3"/>
      <c r="J13" s="3"/>
      <c r="K13" s="3"/>
      <c r="L13" s="3"/>
      <c r="M13" s="3"/>
      <c r="N13" s="3"/>
      <c r="O13" s="3"/>
      <c r="P13" s="3"/>
      <c r="Q13" s="3"/>
      <c r="R13" s="3"/>
      <c r="S13" s="3"/>
      <c r="T13" s="3"/>
    </row>
    <row r="14" spans="1:20">
      <c r="A14" s="6" t="s">
        <v>659</v>
      </c>
      <c r="B14" s="18">
        <v>2001</v>
      </c>
      <c r="C14" s="18">
        <v>2002</v>
      </c>
      <c r="D14" s="18">
        <v>2003</v>
      </c>
      <c r="E14" s="18">
        <v>2004</v>
      </c>
      <c r="F14" s="18">
        <v>2005</v>
      </c>
      <c r="G14" s="18">
        <v>2006</v>
      </c>
      <c r="H14" s="18">
        <v>2007</v>
      </c>
      <c r="I14" s="18">
        <v>2008</v>
      </c>
      <c r="J14" s="18">
        <v>2009</v>
      </c>
      <c r="K14" s="18">
        <v>2010</v>
      </c>
      <c r="L14" s="18">
        <v>2011</v>
      </c>
      <c r="M14" s="18">
        <v>2012</v>
      </c>
      <c r="N14" s="18">
        <v>2013</v>
      </c>
      <c r="O14" s="18">
        <v>2014</v>
      </c>
      <c r="P14" s="18">
        <v>2015</v>
      </c>
      <c r="Q14" s="18">
        <v>2016</v>
      </c>
      <c r="R14" s="18">
        <v>2017</v>
      </c>
      <c r="S14" s="3"/>
      <c r="T14" s="3"/>
    </row>
    <row r="15" spans="1:20">
      <c r="A15" t="s">
        <v>656</v>
      </c>
      <c r="B15" s="3">
        <f>B17-B16</f>
        <v>10369.241427086941</v>
      </c>
      <c r="C15" s="3">
        <f t="shared" ref="C15:R15" si="1">C17-C16</f>
        <v>10596.928761113035</v>
      </c>
      <c r="D15" s="3">
        <f t="shared" si="1"/>
        <v>10879.575106800599</v>
      </c>
      <c r="E15" s="3">
        <f t="shared" si="1"/>
        <v>11155.293845976215</v>
      </c>
      <c r="F15" s="3">
        <f t="shared" si="1"/>
        <v>10904.97633067775</v>
      </c>
      <c r="G15" s="3">
        <f t="shared" si="1"/>
        <v>11353.423392217988</v>
      </c>
      <c r="H15" s="3">
        <f t="shared" si="1"/>
        <v>11993.99607435631</v>
      </c>
      <c r="I15" s="3">
        <f t="shared" si="1"/>
        <v>12519.570488396259</v>
      </c>
      <c r="J15" s="3">
        <f t="shared" si="1"/>
        <v>10968.248470153561</v>
      </c>
      <c r="K15" s="3">
        <f>K17-K16</f>
        <v>12340.838240387946</v>
      </c>
      <c r="L15" s="3">
        <f t="shared" si="1"/>
        <v>12866.412654427895</v>
      </c>
      <c r="M15" s="3">
        <f t="shared" si="1"/>
        <v>13154.601085325021</v>
      </c>
      <c r="N15" s="3">
        <f t="shared" si="1"/>
        <v>13333.333333333332</v>
      </c>
      <c r="O15" s="3">
        <f t="shared" si="1"/>
        <v>13664.934765038679</v>
      </c>
      <c r="P15" s="3">
        <f t="shared" si="1"/>
        <v>14213.139360351001</v>
      </c>
      <c r="Q15" s="3">
        <f t="shared" si="1"/>
        <v>14622.791825424316</v>
      </c>
      <c r="R15" s="3">
        <f t="shared" si="1"/>
        <v>15009.814109225263</v>
      </c>
      <c r="S15" s="3"/>
      <c r="T15" s="3"/>
    </row>
    <row r="16" spans="1:20">
      <c r="A16" t="s">
        <v>655</v>
      </c>
      <c r="B16" s="3">
        <f t="shared" ref="B16:L16" si="2">0.2/1.2*B17</f>
        <v>2073.8482854173885</v>
      </c>
      <c r="C16" s="3">
        <f t="shared" si="2"/>
        <v>2119.3857522226076</v>
      </c>
      <c r="D16" s="3">
        <f t="shared" si="2"/>
        <v>2175.9150213601201</v>
      </c>
      <c r="E16" s="3">
        <f t="shared" si="2"/>
        <v>2231.0587691952433</v>
      </c>
      <c r="F16" s="3">
        <f t="shared" si="2"/>
        <v>2180.9952661355505</v>
      </c>
      <c r="G16" s="3">
        <f t="shared" si="2"/>
        <v>2270.6846784435979</v>
      </c>
      <c r="H16" s="3">
        <f t="shared" si="2"/>
        <v>2398.7992148712624</v>
      </c>
      <c r="I16" s="3">
        <f t="shared" si="2"/>
        <v>2503.9140976792519</v>
      </c>
      <c r="J16" s="3">
        <f t="shared" si="2"/>
        <v>2193.6496940307129</v>
      </c>
      <c r="K16" s="3">
        <f t="shared" si="2"/>
        <v>2468.1676480775895</v>
      </c>
      <c r="L16" s="3">
        <f t="shared" si="2"/>
        <v>2573.2825308855795</v>
      </c>
      <c r="M16" s="3">
        <f t="shared" ref="M16:R16" si="3">0.2/1.2*M17</f>
        <v>2630.9202170650046</v>
      </c>
      <c r="N16" s="3">
        <f t="shared" si="3"/>
        <v>2666.666666666667</v>
      </c>
      <c r="O16" s="3">
        <f t="shared" si="3"/>
        <v>2732.9869530077362</v>
      </c>
      <c r="P16" s="3">
        <f t="shared" si="3"/>
        <v>2842.6278720702003</v>
      </c>
      <c r="Q16" s="3">
        <f t="shared" si="3"/>
        <v>2924.5583650848635</v>
      </c>
      <c r="R16" s="3">
        <f t="shared" si="3"/>
        <v>3001.962821845053</v>
      </c>
      <c r="S16" s="3"/>
      <c r="T16" s="3"/>
    </row>
    <row r="17" spans="1:20">
      <c r="A17" t="s">
        <v>657</v>
      </c>
      <c r="B17" s="3">
        <f t="shared" ref="B17:L17" si="4">B3*$N17/$N3</f>
        <v>12443.08971250433</v>
      </c>
      <c r="C17" s="3">
        <f t="shared" si="4"/>
        <v>12716.314513335643</v>
      </c>
      <c r="D17" s="3">
        <f t="shared" si="4"/>
        <v>13055.49012816072</v>
      </c>
      <c r="E17" s="3">
        <f t="shared" si="4"/>
        <v>13386.352615171458</v>
      </c>
      <c r="F17" s="3">
        <f t="shared" si="4"/>
        <v>13085.9715968133</v>
      </c>
      <c r="G17" s="3">
        <f t="shared" si="4"/>
        <v>13624.108070661587</v>
      </c>
      <c r="H17" s="3">
        <f t="shared" si="4"/>
        <v>14392.795289227572</v>
      </c>
      <c r="I17" s="3">
        <f t="shared" si="4"/>
        <v>15023.48458607551</v>
      </c>
      <c r="J17" s="3">
        <f t="shared" si="4"/>
        <v>13161.898164184275</v>
      </c>
      <c r="K17" s="3">
        <f t="shared" si="4"/>
        <v>14809.005888465535</v>
      </c>
      <c r="L17" s="3">
        <f t="shared" si="4"/>
        <v>15439.695185313474</v>
      </c>
      <c r="M17" s="3">
        <f>M3*$N17/$N3</f>
        <v>15785.521302390025</v>
      </c>
      <c r="N17" s="3">
        <v>16000</v>
      </c>
      <c r="O17" s="3">
        <f>O3*$N17/$N3</f>
        <v>16397.921718046415</v>
      </c>
      <c r="P17" s="3">
        <f>P3*$N17/$N3</f>
        <v>17055.7672324212</v>
      </c>
      <c r="Q17" s="3">
        <f>Q3*$N17/$N3</f>
        <v>17547.35019050918</v>
      </c>
      <c r="R17" s="3">
        <f>R3*$N17/$N3</f>
        <v>18011.776931070315</v>
      </c>
      <c r="S17" s="3"/>
      <c r="T17" s="3"/>
    </row>
    <row r="18" spans="1:20">
      <c r="A18" t="s">
        <v>689</v>
      </c>
      <c r="B18" s="3">
        <f>2*B4/100</f>
        <v>36.46</v>
      </c>
      <c r="C18" s="3">
        <f t="shared" ref="C18:R18" si="5">2*C4/100</f>
        <v>36.840000000000003</v>
      </c>
      <c r="D18" s="3">
        <f t="shared" si="5"/>
        <v>37.06</v>
      </c>
      <c r="E18" s="3">
        <f t="shared" si="5"/>
        <v>37.32</v>
      </c>
      <c r="F18" s="3">
        <f t="shared" si="5"/>
        <v>37.08</v>
      </c>
      <c r="G18" s="3">
        <f t="shared" si="5"/>
        <v>37.18</v>
      </c>
      <c r="H18" s="3">
        <f t="shared" si="5"/>
        <v>37.380000000000003</v>
      </c>
      <c r="I18" s="3">
        <f t="shared" si="5"/>
        <v>36.840000000000003</v>
      </c>
      <c r="J18" s="3">
        <f t="shared" si="5"/>
        <v>33.340000000000003</v>
      </c>
      <c r="K18" s="3">
        <f t="shared" si="5"/>
        <v>35.18</v>
      </c>
      <c r="L18" s="3">
        <f t="shared" si="5"/>
        <v>35.340000000000003</v>
      </c>
      <c r="M18" s="3">
        <f t="shared" si="5"/>
        <v>35.119999999999997</v>
      </c>
      <c r="N18" s="3">
        <f t="shared" si="5"/>
        <v>34.64</v>
      </c>
      <c r="O18" s="3">
        <f t="shared" si="5"/>
        <v>34.479999999999997</v>
      </c>
      <c r="P18" s="3">
        <f t="shared" si="5"/>
        <v>34.42</v>
      </c>
      <c r="Q18" s="3">
        <f t="shared" si="5"/>
        <v>34.44</v>
      </c>
      <c r="R18" s="3">
        <f t="shared" si="5"/>
        <v>34.5</v>
      </c>
      <c r="S18" s="3"/>
      <c r="T18" s="3"/>
    </row>
    <row r="19" spans="1:20">
      <c r="A19" t="s">
        <v>662</v>
      </c>
      <c r="B19" s="3">
        <f>B17+B18</f>
        <v>12479.549712504329</v>
      </c>
      <c r="C19" s="3">
        <f t="shared" ref="C19:R19" si="6">C17+C18</f>
        <v>12753.154513335643</v>
      </c>
      <c r="D19" s="3">
        <f t="shared" si="6"/>
        <v>13092.550128160719</v>
      </c>
      <c r="E19" s="3">
        <f t="shared" si="6"/>
        <v>13423.672615171457</v>
      </c>
      <c r="F19" s="3">
        <f t="shared" si="6"/>
        <v>13123.0515968133</v>
      </c>
      <c r="G19" s="3">
        <f t="shared" si="6"/>
        <v>13661.288070661587</v>
      </c>
      <c r="H19" s="3">
        <f t="shared" si="6"/>
        <v>14430.175289227571</v>
      </c>
      <c r="I19" s="3">
        <f t="shared" si="6"/>
        <v>15060.324586075511</v>
      </c>
      <c r="J19" s="3">
        <f t="shared" si="6"/>
        <v>13195.238164184275</v>
      </c>
      <c r="K19" s="3">
        <f t="shared" si="6"/>
        <v>14844.185888465536</v>
      </c>
      <c r="L19" s="3">
        <f t="shared" si="6"/>
        <v>15475.035185313474</v>
      </c>
      <c r="M19" s="3">
        <f t="shared" si="6"/>
        <v>15820.641302390026</v>
      </c>
      <c r="N19" s="3">
        <f t="shared" si="6"/>
        <v>16034.64</v>
      </c>
      <c r="O19" s="3">
        <f t="shared" si="6"/>
        <v>16432.401718046414</v>
      </c>
      <c r="P19" s="3">
        <f t="shared" si="6"/>
        <v>17090.187232421198</v>
      </c>
      <c r="Q19" s="3">
        <f t="shared" si="6"/>
        <v>17581.790190509179</v>
      </c>
      <c r="R19" s="3">
        <f t="shared" si="6"/>
        <v>18046.276931070315</v>
      </c>
      <c r="S19" s="3"/>
      <c r="T19" s="3"/>
    </row>
    <row r="20" spans="1:20">
      <c r="B20" s="3"/>
      <c r="C20" s="3"/>
      <c r="D20" s="3"/>
      <c r="E20" s="3"/>
      <c r="F20" s="3"/>
      <c r="G20" s="3"/>
      <c r="H20" s="3"/>
      <c r="I20" s="3"/>
      <c r="J20" s="3"/>
      <c r="K20" s="3"/>
      <c r="L20" s="3"/>
      <c r="M20" s="3"/>
      <c r="N20" s="3"/>
      <c r="O20" s="3"/>
      <c r="P20" s="3"/>
      <c r="Q20" s="3"/>
      <c r="R20" s="3"/>
      <c r="S20" s="3"/>
      <c r="T20" s="3"/>
    </row>
    <row r="21" spans="1:20">
      <c r="A21" t="s">
        <v>768</v>
      </c>
      <c r="B21" s="3"/>
      <c r="C21" s="3"/>
      <c r="D21" s="3"/>
      <c r="E21" s="3"/>
      <c r="F21" s="3"/>
      <c r="G21" s="3"/>
      <c r="H21" s="3"/>
      <c r="I21" s="3"/>
      <c r="J21" s="3">
        <f>J15/J6</f>
        <v>15236.97624854485</v>
      </c>
      <c r="K21" s="3">
        <f t="shared" ref="K21:R21" si="7">K15/K6</f>
        <v>16266.383559451078</v>
      </c>
      <c r="L21" s="3">
        <f t="shared" si="7"/>
        <v>17983.888059741566</v>
      </c>
      <c r="M21" s="3">
        <f t="shared" si="7"/>
        <v>16997.816888407608</v>
      </c>
      <c r="N21" s="3">
        <f t="shared" si="7"/>
        <v>17738.309698677382</v>
      </c>
      <c r="O21" s="3">
        <f t="shared" si="7"/>
        <v>18042.189316121909</v>
      </c>
      <c r="P21" s="3">
        <f t="shared" si="7"/>
        <v>15689.080819971681</v>
      </c>
      <c r="Q21" s="3">
        <f t="shared" si="7"/>
        <v>16126.648979531188</v>
      </c>
      <c r="R21" s="3">
        <f t="shared" si="7"/>
        <v>17016.641355229178</v>
      </c>
      <c r="S21" s="3"/>
      <c r="T21" s="3"/>
    </row>
    <row r="22" spans="1:20">
      <c r="B22" s="3"/>
      <c r="C22" s="3"/>
      <c r="D22" s="3"/>
      <c r="E22" s="3"/>
      <c r="F22" s="3"/>
      <c r="G22" s="3"/>
      <c r="H22" s="3"/>
      <c r="I22" s="3"/>
      <c r="J22" s="3"/>
      <c r="K22" s="3"/>
      <c r="L22" s="3"/>
      <c r="M22" s="3"/>
      <c r="N22" s="3"/>
      <c r="O22" s="3"/>
      <c r="P22" s="3"/>
      <c r="Q22" s="3"/>
      <c r="R22" s="3"/>
      <c r="S22" s="3"/>
      <c r="T22" s="3"/>
    </row>
    <row r="23" spans="1:20">
      <c r="A23" t="s">
        <v>663</v>
      </c>
      <c r="B23" s="3"/>
      <c r="C23" s="3"/>
      <c r="D23" s="3"/>
      <c r="E23" s="3"/>
      <c r="F23" s="3"/>
      <c r="G23" s="3"/>
      <c r="H23" s="3"/>
      <c r="I23" s="3"/>
      <c r="J23" s="3"/>
      <c r="K23" s="3"/>
      <c r="L23" s="3"/>
      <c r="M23" s="3"/>
      <c r="N23" s="3"/>
      <c r="O23" s="3"/>
      <c r="P23" s="3"/>
      <c r="Q23" s="3"/>
      <c r="R23" s="3"/>
      <c r="S23" s="3"/>
      <c r="T23" s="3"/>
    </row>
    <row r="24" spans="1:20">
      <c r="A24" s="6" t="s">
        <v>659</v>
      </c>
      <c r="B24" s="18">
        <v>2001</v>
      </c>
      <c r="C24" s="18">
        <v>2002</v>
      </c>
      <c r="D24" s="18">
        <v>2003</v>
      </c>
      <c r="E24" s="18">
        <v>2004</v>
      </c>
      <c r="F24" s="18">
        <v>2005</v>
      </c>
      <c r="G24" s="18">
        <v>2006</v>
      </c>
      <c r="H24" s="18">
        <v>2007</v>
      </c>
      <c r="I24" s="18">
        <v>2008</v>
      </c>
      <c r="J24" s="18">
        <v>2009</v>
      </c>
      <c r="K24" s="18">
        <v>2010</v>
      </c>
      <c r="L24" s="18">
        <v>2011</v>
      </c>
      <c r="M24" s="18">
        <v>2012</v>
      </c>
      <c r="N24" s="18">
        <v>2013</v>
      </c>
      <c r="O24" s="18">
        <v>2014</v>
      </c>
      <c r="P24" s="18">
        <v>2015</v>
      </c>
      <c r="Q24" s="18">
        <v>2016</v>
      </c>
      <c r="R24" s="18">
        <v>2017</v>
      </c>
      <c r="S24" s="3"/>
      <c r="T24" s="3"/>
    </row>
    <row r="25" spans="1:20">
      <c r="A25" t="s">
        <v>656</v>
      </c>
      <c r="B25" s="3"/>
      <c r="C25" s="3"/>
      <c r="D25" s="3"/>
      <c r="E25" s="3"/>
      <c r="F25" s="3"/>
      <c r="G25" s="3"/>
      <c r="H25" s="3"/>
      <c r="I25" s="3"/>
      <c r="J25" s="3"/>
      <c r="K25" s="3"/>
      <c r="L25" s="3"/>
      <c r="M25" s="3"/>
      <c r="N25" s="3">
        <f>N27-N26</f>
        <v>21416.666666666664</v>
      </c>
      <c r="O25" s="3"/>
      <c r="P25" s="3"/>
      <c r="Q25" s="3"/>
      <c r="R25" s="3"/>
      <c r="S25" s="3"/>
      <c r="T25" s="3"/>
    </row>
    <row r="26" spans="1:20">
      <c r="A26" t="s">
        <v>655</v>
      </c>
      <c r="B26" s="3"/>
      <c r="C26" s="3"/>
      <c r="D26" s="3"/>
      <c r="E26" s="3"/>
      <c r="F26" s="3"/>
      <c r="G26" s="3"/>
      <c r="H26" s="3"/>
      <c r="I26" s="3"/>
      <c r="J26" s="3"/>
      <c r="K26" s="3"/>
      <c r="L26" s="3"/>
      <c r="M26" s="3"/>
      <c r="N26" s="3">
        <f>0.2/1.2*N27</f>
        <v>4283.3333333333339</v>
      </c>
      <c r="O26" s="3"/>
      <c r="P26" s="3"/>
      <c r="Q26" s="3"/>
      <c r="R26" s="3"/>
      <c r="S26" s="3"/>
      <c r="T26" s="3"/>
    </row>
    <row r="27" spans="1:20">
      <c r="A27" t="s">
        <v>657</v>
      </c>
      <c r="B27" s="3"/>
      <c r="C27" s="3"/>
      <c r="D27" s="3"/>
      <c r="E27" s="3"/>
      <c r="F27" s="3"/>
      <c r="G27" s="3"/>
      <c r="H27" s="3"/>
      <c r="I27" s="3"/>
      <c r="J27" s="3"/>
      <c r="K27" s="3"/>
      <c r="L27" s="3"/>
      <c r="M27" s="3"/>
      <c r="N27" s="3">
        <v>25700</v>
      </c>
      <c r="O27" s="3"/>
      <c r="P27" s="3"/>
      <c r="Q27" s="3"/>
      <c r="R27" s="3"/>
      <c r="S27" s="3"/>
      <c r="T27" s="3"/>
    </row>
    <row r="28" spans="1:20">
      <c r="A28" t="s">
        <v>661</v>
      </c>
      <c r="B28" s="3"/>
      <c r="C28" s="3"/>
      <c r="D28" s="3"/>
      <c r="E28" s="3"/>
      <c r="F28" s="3"/>
      <c r="G28" s="3"/>
      <c r="H28" s="3"/>
      <c r="I28" s="3"/>
      <c r="J28" s="3"/>
      <c r="K28" s="3"/>
      <c r="L28" s="3"/>
      <c r="M28" s="3"/>
      <c r="N28" s="3">
        <v>0</v>
      </c>
      <c r="O28" s="3"/>
      <c r="P28" s="3"/>
      <c r="Q28" s="3"/>
      <c r="R28" s="3"/>
      <c r="S28" s="3"/>
      <c r="T28" s="3"/>
    </row>
    <row r="29" spans="1:20">
      <c r="A29" t="s">
        <v>662</v>
      </c>
      <c r="B29" s="3"/>
      <c r="C29" s="3"/>
      <c r="D29" s="3"/>
      <c r="E29" s="3"/>
      <c r="F29" s="3"/>
      <c r="G29" s="3"/>
      <c r="H29" s="3"/>
      <c r="I29" s="3"/>
      <c r="J29" s="3"/>
      <c r="K29" s="3"/>
      <c r="L29" s="3"/>
      <c r="M29" s="3"/>
      <c r="N29" s="3">
        <f>N27+N28</f>
        <v>25700</v>
      </c>
      <c r="O29" s="3"/>
      <c r="P29" s="3"/>
      <c r="Q29" s="3"/>
      <c r="R29" s="3"/>
      <c r="S29" s="3"/>
      <c r="T29" s="3"/>
    </row>
    <row r="30" spans="1:20">
      <c r="B30" s="3"/>
      <c r="C30" s="3"/>
      <c r="D30" s="3"/>
      <c r="E30" s="3"/>
      <c r="F30" s="3"/>
      <c r="G30" s="3"/>
      <c r="H30" s="3"/>
      <c r="I30" s="3"/>
      <c r="J30" s="3"/>
      <c r="K30" s="3"/>
      <c r="L30" s="3"/>
      <c r="M30" s="3"/>
      <c r="N30" s="3"/>
      <c r="O30" s="3"/>
      <c r="P30" s="3"/>
      <c r="Q30" s="3"/>
      <c r="R30" s="3"/>
      <c r="S30" s="3"/>
      <c r="T30" s="3"/>
    </row>
    <row r="31" spans="1:20">
      <c r="B31" s="3"/>
      <c r="C31" s="3"/>
      <c r="D31" s="3"/>
      <c r="E31" s="3"/>
      <c r="F31" s="3"/>
      <c r="G31" s="3"/>
      <c r="H31" s="3"/>
      <c r="I31" s="3"/>
      <c r="J31" s="3"/>
      <c r="K31" s="3"/>
      <c r="L31" s="3"/>
      <c r="M31" s="3"/>
      <c r="N31" s="3"/>
      <c r="O31" s="3"/>
      <c r="P31" s="3"/>
      <c r="Q31" s="3"/>
      <c r="R31" s="3"/>
      <c r="S31" s="3"/>
      <c r="T31" s="3"/>
    </row>
    <row r="32" spans="1:20">
      <c r="B32" s="3"/>
      <c r="C32" s="3"/>
      <c r="D32" s="3"/>
      <c r="E32" s="3"/>
      <c r="F32" s="3"/>
      <c r="G32" s="3"/>
      <c r="H32" s="3"/>
      <c r="I32" s="3"/>
      <c r="J32" s="3"/>
      <c r="K32" s="3"/>
      <c r="L32" s="3"/>
      <c r="M32" s="3"/>
      <c r="N32" s="3"/>
      <c r="O32" s="3"/>
      <c r="P32" s="3"/>
      <c r="Q32" s="3"/>
      <c r="R32" s="3"/>
      <c r="S32" s="3"/>
      <c r="T32" s="3"/>
    </row>
    <row r="33" spans="2:20">
      <c r="B33" s="3"/>
      <c r="C33" s="3"/>
      <c r="D33" s="3"/>
      <c r="E33" s="3"/>
      <c r="F33" s="3"/>
      <c r="G33" s="3"/>
      <c r="H33" s="3"/>
      <c r="I33" s="3"/>
      <c r="J33" s="3"/>
      <c r="K33" s="3"/>
      <c r="L33" s="3"/>
      <c r="M33" s="3"/>
      <c r="N33" s="3"/>
      <c r="O33" s="3"/>
      <c r="P33" s="3"/>
      <c r="Q33" s="3"/>
      <c r="R33" s="3"/>
      <c r="S33" s="3"/>
      <c r="T33" s="3"/>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28515625" customWidth="1"/>
    <col min="2" max="7" width="13.5703125" customWidth="1"/>
  </cols>
  <sheetData>
    <row r="1" spans="1:7">
      <c r="A1" t="s">
        <v>148</v>
      </c>
    </row>
    <row r="2" spans="1:7" ht="15.75" thickBot="1"/>
    <row r="3" spans="1:7">
      <c r="A3" s="44" t="s">
        <v>149</v>
      </c>
      <c r="B3" s="44"/>
    </row>
    <row r="4" spans="1:7">
      <c r="A4" s="41" t="s">
        <v>150</v>
      </c>
      <c r="B4" s="41">
        <v>0.99916474662044508</v>
      </c>
    </row>
    <row r="5" spans="1:7">
      <c r="A5" s="41" t="s">
        <v>151</v>
      </c>
      <c r="B5" s="41">
        <v>0.99833019088909813</v>
      </c>
    </row>
    <row r="6" spans="1:7">
      <c r="A6" s="41" t="s">
        <v>152</v>
      </c>
      <c r="B6" s="41">
        <v>0.99749528633364726</v>
      </c>
    </row>
    <row r="7" spans="1:7">
      <c r="A7" s="41" t="s">
        <v>153</v>
      </c>
      <c r="B7" s="41">
        <v>3.3870850750472671E-2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2</v>
      </c>
      <c r="C12" s="41">
        <v>2.7435923313909503</v>
      </c>
      <c r="D12" s="41">
        <v>1.3717961656954751</v>
      </c>
      <c r="E12" s="41">
        <v>1195.7416981032718</v>
      </c>
      <c r="F12" s="41">
        <v>2.7882624668511157E-6</v>
      </c>
    </row>
    <row r="13" spans="1:7">
      <c r="A13" s="41" t="s">
        <v>157</v>
      </c>
      <c r="B13" s="41">
        <v>4</v>
      </c>
      <c r="C13" s="41">
        <v>4.5889381222431807E-3</v>
      </c>
      <c r="D13" s="41">
        <v>1.1472345305607952E-3</v>
      </c>
      <c r="E13" s="41"/>
      <c r="F13" s="41"/>
    </row>
    <row r="14" spans="1:7" ht="15.75" thickBot="1">
      <c r="A14" s="42" t="s">
        <v>158</v>
      </c>
      <c r="B14" s="42">
        <v>6</v>
      </c>
      <c r="C14" s="42">
        <v>2.7481812695131933</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-5.1085154641631583</v>
      </c>
      <c r="C17" s="41">
        <v>0.10182271287355986</v>
      </c>
      <c r="D17" s="41">
        <v>-50.170687069659465</v>
      </c>
      <c r="E17" s="41">
        <v>9.4449938429790584E-7</v>
      </c>
      <c r="F17" s="41">
        <v>-5.3912206369189137</v>
      </c>
      <c r="G17" s="41">
        <v>-4.8258102914074028</v>
      </c>
    </row>
    <row r="18" spans="1:7">
      <c r="A18" s="41" t="s">
        <v>329</v>
      </c>
      <c r="B18" s="41">
        <v>0.18943010948641542</v>
      </c>
      <c r="C18" s="41">
        <v>1.3611307364287142E-2</v>
      </c>
      <c r="D18" s="41">
        <v>13.917113501046588</v>
      </c>
      <c r="E18" s="41">
        <v>1.545795828708981E-4</v>
      </c>
      <c r="F18" s="41">
        <v>0.15163906177949771</v>
      </c>
      <c r="G18" s="41">
        <v>0.22722115719333313</v>
      </c>
    </row>
    <row r="19" spans="1:7" ht="15.75" thickBot="1">
      <c r="A19" s="42" t="s">
        <v>1325</v>
      </c>
      <c r="B19" s="42">
        <v>-0.7298220306823785</v>
      </c>
      <c r="C19" s="42">
        <v>7.4743115844933095E-2</v>
      </c>
      <c r="D19" s="42">
        <v>-9.7644046870686321</v>
      </c>
      <c r="E19" s="42">
        <v>6.1630459583132961E-4</v>
      </c>
      <c r="F19" s="42">
        <v>-0.9373421888172746</v>
      </c>
      <c r="G19" s="42">
        <v>-0.52230187254748239</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3" max="3" width="14.85546875" customWidth="1"/>
    <col min="6" max="9" width="11" bestFit="1" customWidth="1"/>
    <col min="11" max="11" width="11.5703125" customWidth="1"/>
  </cols>
  <sheetData>
    <row r="1" spans="1:34">
      <c r="P1" s="14"/>
      <c r="R1" s="236" t="s">
        <v>1318</v>
      </c>
      <c r="S1" s="236"/>
      <c r="T1" s="236"/>
      <c r="U1" s="236"/>
      <c r="W1" s="236" t="s">
        <v>1318</v>
      </c>
      <c r="X1" s="236"/>
      <c r="Y1" s="236"/>
      <c r="Z1" s="236"/>
    </row>
    <row r="2" spans="1:34">
      <c r="C2" t="s">
        <v>282</v>
      </c>
      <c r="L2" t="s">
        <v>282</v>
      </c>
      <c r="S2" t="s">
        <v>1172</v>
      </c>
      <c r="X2" t="s">
        <v>1184</v>
      </c>
      <c r="AB2" t="s">
        <v>960</v>
      </c>
    </row>
    <row r="3" spans="1:34">
      <c r="B3" t="s">
        <v>938</v>
      </c>
      <c r="C3" t="s">
        <v>1321</v>
      </c>
      <c r="D3" t="s">
        <v>1217</v>
      </c>
      <c r="E3" s="87" t="s">
        <v>1216</v>
      </c>
      <c r="F3" s="87" t="s">
        <v>1384</v>
      </c>
      <c r="G3" s="87" t="s">
        <v>1383</v>
      </c>
      <c r="H3" s="87" t="s">
        <v>1382</v>
      </c>
      <c r="I3" s="87" t="s">
        <v>1136</v>
      </c>
      <c r="J3" t="s">
        <v>1163</v>
      </c>
      <c r="L3" s="14" t="s">
        <v>1195</v>
      </c>
      <c r="M3" s="14" t="s">
        <v>1160</v>
      </c>
      <c r="N3" s="14" t="s">
        <v>944</v>
      </c>
      <c r="O3" s="78" t="s">
        <v>1153</v>
      </c>
      <c r="P3" s="14" t="s">
        <v>1152</v>
      </c>
      <c r="S3" s="236" t="s">
        <v>1173</v>
      </c>
      <c r="T3" s="236" t="s">
        <v>1147</v>
      </c>
      <c r="U3" s="236" t="s">
        <v>1174</v>
      </c>
      <c r="X3" s="236" t="s">
        <v>1173</v>
      </c>
      <c r="Y3" s="236" t="s">
        <v>1147</v>
      </c>
      <c r="Z3" s="236" t="s">
        <v>1174</v>
      </c>
      <c r="AB3" s="14" t="s">
        <v>1317</v>
      </c>
      <c r="AD3" t="s">
        <v>1310</v>
      </c>
      <c r="AE3" t="s">
        <v>1296</v>
      </c>
      <c r="AG3" t="s">
        <v>329</v>
      </c>
      <c r="AH3" t="s">
        <v>1325</v>
      </c>
    </row>
    <row r="4" spans="1:34">
      <c r="A4">
        <v>2009</v>
      </c>
      <c r="B4" s="13">
        <f>'EV %sales'!I67</f>
        <v>4.4585254586262226E-3</v>
      </c>
      <c r="C4" s="20"/>
      <c r="D4" s="13"/>
      <c r="E4" s="13"/>
      <c r="F4" s="84"/>
      <c r="G4" s="84"/>
      <c r="H4" s="84"/>
      <c r="I4" s="13"/>
      <c r="J4" s="13"/>
      <c r="K4" s="13"/>
      <c r="L4" s="13"/>
      <c r="M4" s="13"/>
      <c r="N4" s="13"/>
      <c r="O4" s="13"/>
      <c r="P4" s="13"/>
      <c r="R4">
        <v>2009</v>
      </c>
      <c r="W4">
        <v>2009</v>
      </c>
      <c r="AB4" s="13"/>
      <c r="AC4" s="13"/>
    </row>
    <row r="5" spans="1:34">
      <c r="A5">
        <v>2010</v>
      </c>
      <c r="B5" s="13">
        <f>'EV %sales'!I68</f>
        <v>8.6240508437725946E-3</v>
      </c>
      <c r="C5" s="20"/>
      <c r="D5" s="13"/>
      <c r="E5" s="13"/>
      <c r="F5" s="230"/>
      <c r="G5" s="230"/>
      <c r="H5" s="230"/>
      <c r="I5" s="13"/>
      <c r="J5" s="13"/>
      <c r="K5" s="13"/>
      <c r="L5" s="13"/>
      <c r="M5" s="13"/>
      <c r="N5" s="13"/>
      <c r="O5" s="13"/>
      <c r="P5" s="13"/>
      <c r="R5">
        <v>2010</v>
      </c>
      <c r="W5">
        <v>2010</v>
      </c>
      <c r="AB5" s="13"/>
      <c r="AC5" s="13"/>
      <c r="AE5" s="33"/>
      <c r="AG5">
        <v>1</v>
      </c>
    </row>
    <row r="6" spans="1:34">
      <c r="A6">
        <v>2011</v>
      </c>
      <c r="B6" s="13">
        <f>'EV %sales'!I69</f>
        <v>0.12633040259139289</v>
      </c>
      <c r="C6" s="20"/>
      <c r="D6" s="13"/>
      <c r="E6" s="13"/>
      <c r="F6" s="230"/>
      <c r="G6" s="230"/>
      <c r="H6" s="230"/>
      <c r="I6" s="13"/>
      <c r="J6" s="13"/>
      <c r="K6" s="13"/>
      <c r="L6" s="13"/>
      <c r="M6" s="13"/>
      <c r="N6" s="13"/>
      <c r="O6" s="13"/>
      <c r="P6" s="13"/>
      <c r="R6">
        <v>2011</v>
      </c>
      <c r="W6">
        <v>2011</v>
      </c>
      <c r="AB6" s="13"/>
      <c r="AC6" s="13"/>
      <c r="AE6" s="33"/>
      <c r="AG6">
        <v>2</v>
      </c>
    </row>
    <row r="7" spans="1:34">
      <c r="A7">
        <v>2012</v>
      </c>
      <c r="B7" s="13">
        <f>'EV %sales'!I70</f>
        <v>0.33646435090329391</v>
      </c>
      <c r="C7" s="13">
        <f t="shared" ref="C7:C13" si="0">D7</f>
        <v>0.3326081919378055</v>
      </c>
      <c r="D7" s="84">
        <f>65*EXP(E7)/(1+EXP(E7))</f>
        <v>0.3326081919378055</v>
      </c>
      <c r="E7" s="84">
        <f>J7-SUM(F7:F$7)</f>
        <v>-5.2700471663862904</v>
      </c>
      <c r="F7" s="13">
        <f>I7*G7</f>
        <v>0</v>
      </c>
      <c r="G7" s="13">
        <f>IF(H7&lt;0,0,H7)</f>
        <v>1</v>
      </c>
      <c r="H7" s="13">
        <f>IF((P7-0.6)/0.3&gt;1,1,(P7-0.6)/0.3)</f>
        <v>1</v>
      </c>
      <c r="I7" s="13">
        <v>0</v>
      </c>
      <c r="J7" s="13">
        <f>LN(L7/(65-L7))</f>
        <v>-5.2700471663862904</v>
      </c>
      <c r="K7" s="13"/>
      <c r="L7" s="84">
        <f t="shared" ref="L7:L13" si="1">M7</f>
        <v>0.3326081919378055</v>
      </c>
      <c r="M7" s="13">
        <f t="shared" ref="M7:M50" si="2">LOOKUP(ROUND(N7,0),A$4:A$50,AB$4:AB$50)</f>
        <v>0.3326081919378055</v>
      </c>
      <c r="N7" s="13">
        <f>A7-(O7-O$7)</f>
        <v>2012</v>
      </c>
      <c r="O7" s="13">
        <f t="shared" ref="O7:O50" si="3">Z$56+Z$57*P7</f>
        <v>2017.1419061939387</v>
      </c>
      <c r="P7" s="13">
        <f>1/France!S83</f>
        <v>1.0243286359554786</v>
      </c>
      <c r="R7">
        <v>2012</v>
      </c>
      <c r="S7" s="13">
        <v>0.3326081919378055</v>
      </c>
      <c r="T7" s="13">
        <v>0.3326081919378055</v>
      </c>
      <c r="U7" s="13">
        <v>0.3326081919378055</v>
      </c>
      <c r="W7">
        <v>2012</v>
      </c>
      <c r="X7" s="13">
        <v>0.3326081919378055</v>
      </c>
      <c r="Y7" s="13">
        <f>T7</f>
        <v>0.3326081919378055</v>
      </c>
      <c r="Z7" s="13">
        <v>0.3326081919378055</v>
      </c>
      <c r="AB7" s="13">
        <f t="shared" ref="AB7:AB50" si="4">65*EXP(AE7)/(1+EXP(AE7))</f>
        <v>0.3326081919378055</v>
      </c>
      <c r="AC7" s="13"/>
      <c r="AD7">
        <f t="shared" ref="AD7:AD13" si="5">LN(B7/(65-B7))</f>
        <v>-5.2584605277870722</v>
      </c>
      <c r="AE7" s="33">
        <f t="shared" ref="AE7:AE50" si="6">AD$56+AD$57*AG7+AD$58*AH7</f>
        <v>-5.2700471663862904</v>
      </c>
      <c r="AG7">
        <v>3</v>
      </c>
      <c r="AH7">
        <v>1</v>
      </c>
    </row>
    <row r="8" spans="1:34">
      <c r="A8">
        <v>2013</v>
      </c>
      <c r="B8" s="13">
        <f>'EV %sales'!I71</f>
        <v>0.54775769522693507</v>
      </c>
      <c r="C8" s="13">
        <f t="shared" si="0"/>
        <v>0.69582893347782004</v>
      </c>
      <c r="D8" s="84">
        <f t="shared" ref="D8:D49" si="7">65*EXP(E8)/(1+EXP(E8))</f>
        <v>0.69582893347782004</v>
      </c>
      <c r="E8" s="84">
        <f>J8-SUM(F$7:F8)</f>
        <v>-4.5262759320722701</v>
      </c>
      <c r="F8" s="13">
        <f t="shared" ref="F8:F50" si="8">I8*G8</f>
        <v>0</v>
      </c>
      <c r="G8" s="13">
        <f t="shared" ref="G8:G50" si="9">IF(H8&lt;0,0,H8)</f>
        <v>1</v>
      </c>
      <c r="H8" s="13">
        <f t="shared" ref="H8:H50" si="10">IF((P8-0.6)/0.3&gt;1,1,(P8-0.6)/0.3)</f>
        <v>1</v>
      </c>
      <c r="I8" s="13">
        <v>0</v>
      </c>
      <c r="J8" s="13">
        <f t="shared" ref="J8:J47" si="11">LN(L8/(65-L8))</f>
        <v>-4.5262759320722701</v>
      </c>
      <c r="K8" s="13"/>
      <c r="L8" s="84">
        <f t="shared" si="1"/>
        <v>0.69582893347782004</v>
      </c>
      <c r="M8" s="13">
        <f t="shared" si="2"/>
        <v>0.69582893347782004</v>
      </c>
      <c r="N8" s="13">
        <f>A8-(O8-O$7)</f>
        <v>2013.8008987680721</v>
      </c>
      <c r="O8" s="13">
        <f t="shared" si="3"/>
        <v>2016.3410074258666</v>
      </c>
      <c r="P8" s="13">
        <f>1/France!S84</f>
        <v>0.9500606565921802</v>
      </c>
      <c r="R8">
        <v>2013</v>
      </c>
      <c r="S8" s="13">
        <v>0.69582893347782004</v>
      </c>
      <c r="T8" s="13">
        <v>0.69582893347782004</v>
      </c>
      <c r="U8" s="13">
        <v>0.69582893347782004</v>
      </c>
      <c r="W8">
        <v>2013</v>
      </c>
      <c r="X8" s="13">
        <v>0.69582893347782004</v>
      </c>
      <c r="Y8" s="13">
        <f t="shared" ref="Y8:Y45" si="12">T8</f>
        <v>0.69582893347782004</v>
      </c>
      <c r="Z8" s="13">
        <v>0.69582893347782004</v>
      </c>
      <c r="AB8" s="13">
        <f t="shared" si="4"/>
        <v>0.53655302059368892</v>
      </c>
      <c r="AC8" s="13"/>
      <c r="AD8" s="33">
        <f t="shared" si="5"/>
        <v>-4.7678467719763473</v>
      </c>
      <c r="AE8" s="33">
        <f t="shared" si="6"/>
        <v>-4.7886882446269237</v>
      </c>
      <c r="AG8">
        <v>4</v>
      </c>
      <c r="AH8">
        <v>0.6</v>
      </c>
    </row>
    <row r="9" spans="1:34">
      <c r="A9">
        <v>2014</v>
      </c>
      <c r="B9" s="13">
        <f>'EV %sales'!I72</f>
        <v>0.71605480991690595</v>
      </c>
      <c r="C9" s="13">
        <f t="shared" si="0"/>
        <v>0.69582893347782004</v>
      </c>
      <c r="D9" s="84">
        <f t="shared" si="7"/>
        <v>0.69582893347782004</v>
      </c>
      <c r="E9" s="84">
        <f>J9-SUM(F$7:F9)</f>
        <v>-4.5262759320722701</v>
      </c>
      <c r="F9" s="13">
        <f t="shared" si="8"/>
        <v>0</v>
      </c>
      <c r="G9" s="13">
        <f t="shared" si="9"/>
        <v>1</v>
      </c>
      <c r="H9" s="13">
        <f t="shared" si="10"/>
        <v>1</v>
      </c>
      <c r="I9" s="13">
        <v>0</v>
      </c>
      <c r="J9" s="13">
        <f t="shared" si="11"/>
        <v>-4.5262759320722701</v>
      </c>
      <c r="K9" s="13"/>
      <c r="L9" s="84">
        <f t="shared" si="1"/>
        <v>0.69582893347782004</v>
      </c>
      <c r="M9" s="13">
        <f t="shared" si="2"/>
        <v>0.69582893347782004</v>
      </c>
      <c r="N9" s="13">
        <f>A9-(O9-O$9)</f>
        <v>2014</v>
      </c>
      <c r="O9" s="13">
        <f t="shared" si="3"/>
        <v>2017.7298303682742</v>
      </c>
      <c r="P9" s="13">
        <f>1/France!S85</f>
        <v>1.0788473119572204</v>
      </c>
      <c r="R9">
        <v>2014</v>
      </c>
      <c r="S9" s="13">
        <v>0.69582893347782004</v>
      </c>
      <c r="T9" s="13">
        <v>0.69582893347782004</v>
      </c>
      <c r="U9" s="13">
        <v>0.69582893347782004</v>
      </c>
      <c r="W9">
        <v>2014</v>
      </c>
      <c r="X9" s="13">
        <v>0.69582893347782004</v>
      </c>
      <c r="Y9" s="13">
        <f t="shared" si="12"/>
        <v>0.69582893347782004</v>
      </c>
      <c r="Z9" s="13">
        <v>0.69582893347782004</v>
      </c>
      <c r="AB9" s="13">
        <f t="shared" si="4"/>
        <v>0.69582893347782004</v>
      </c>
      <c r="AC9" s="13"/>
      <c r="AD9" s="33">
        <f t="shared" si="5"/>
        <v>-4.4973084788530455</v>
      </c>
      <c r="AE9" s="33">
        <f t="shared" si="6"/>
        <v>-4.5262759320722701</v>
      </c>
      <c r="AG9">
        <v>5</v>
      </c>
      <c r="AH9">
        <v>0.5</v>
      </c>
    </row>
    <row r="10" spans="1:34">
      <c r="A10">
        <v>2015</v>
      </c>
      <c r="B10" s="13">
        <f>'EV %sales'!I73</f>
        <v>1.2171398750933407</v>
      </c>
      <c r="C10" s="13">
        <f t="shared" si="0"/>
        <v>1.2017643024582392</v>
      </c>
      <c r="D10" s="84">
        <f t="shared" si="7"/>
        <v>1.2017643024582392</v>
      </c>
      <c r="E10" s="84">
        <f>J10-SUM(F$7:F10)</f>
        <v>-3.9719348072446659</v>
      </c>
      <c r="F10" s="13">
        <f t="shared" si="8"/>
        <v>0</v>
      </c>
      <c r="G10" s="13">
        <f t="shared" si="9"/>
        <v>1</v>
      </c>
      <c r="H10" s="13">
        <f t="shared" si="10"/>
        <v>1</v>
      </c>
      <c r="I10" s="13">
        <v>0</v>
      </c>
      <c r="J10" s="13">
        <f t="shared" si="11"/>
        <v>-3.9719348072446659</v>
      </c>
      <c r="K10" s="13"/>
      <c r="L10" s="84">
        <f t="shared" si="1"/>
        <v>1.2017643024582392</v>
      </c>
      <c r="M10" s="13">
        <f t="shared" si="2"/>
        <v>1.2017643024582392</v>
      </c>
      <c r="N10" s="13">
        <f t="shared" ref="N10:N50" si="13">A10-(O10-O$7)</f>
        <v>2015.2616835467388</v>
      </c>
      <c r="O10" s="13">
        <f t="shared" si="3"/>
        <v>2016.8802226471998</v>
      </c>
      <c r="P10" s="13">
        <f>1/France!S86</f>
        <v>1.0000625126653893</v>
      </c>
      <c r="R10">
        <v>2015</v>
      </c>
      <c r="S10" s="13">
        <v>1.2017643024582392</v>
      </c>
      <c r="T10" s="13">
        <v>1.2017643024582392</v>
      </c>
      <c r="U10" s="13">
        <v>1.2017643024582392</v>
      </c>
      <c r="W10">
        <v>2015</v>
      </c>
      <c r="X10" s="13">
        <v>1.2017643024582392</v>
      </c>
      <c r="Y10" s="13">
        <f t="shared" si="12"/>
        <v>1.2017643024582392</v>
      </c>
      <c r="Z10" s="13">
        <v>1.2017643024582392</v>
      </c>
      <c r="AB10" s="13">
        <f t="shared" si="4"/>
        <v>1.2017643024582392</v>
      </c>
      <c r="AC10" s="13"/>
      <c r="AD10" s="33">
        <f t="shared" si="5"/>
        <v>-3.9589807624357869</v>
      </c>
      <c r="AE10" s="33">
        <f t="shared" si="6"/>
        <v>-3.9719348072446659</v>
      </c>
      <c r="AG10">
        <v>6</v>
      </c>
      <c r="AH10">
        <v>0</v>
      </c>
    </row>
    <row r="11" spans="1:34">
      <c r="A11">
        <v>2016</v>
      </c>
      <c r="B11" s="13">
        <f>'EV %sales'!I74</f>
        <v>1.4710174625667114</v>
      </c>
      <c r="C11" s="13">
        <f t="shared" si="0"/>
        <v>1.4468260734570164</v>
      </c>
      <c r="D11" s="84">
        <f t="shared" si="7"/>
        <v>1.4468260734570164</v>
      </c>
      <c r="E11" s="84">
        <f>J11-SUM(F$7:F11)</f>
        <v>-3.7825046977582506</v>
      </c>
      <c r="F11" s="13">
        <f t="shared" si="8"/>
        <v>0</v>
      </c>
      <c r="G11" s="13">
        <f t="shared" si="9"/>
        <v>1</v>
      </c>
      <c r="H11" s="13">
        <f t="shared" si="10"/>
        <v>1</v>
      </c>
      <c r="I11" s="13">
        <v>0</v>
      </c>
      <c r="J11" s="13">
        <f t="shared" si="11"/>
        <v>-3.7825046977582506</v>
      </c>
      <c r="K11" s="13"/>
      <c r="L11" s="84">
        <f t="shared" si="1"/>
        <v>1.4468260734570164</v>
      </c>
      <c r="M11" s="13">
        <f t="shared" si="2"/>
        <v>1.4468260734570164</v>
      </c>
      <c r="N11" s="13">
        <f t="shared" si="13"/>
        <v>2016.2231834327938</v>
      </c>
      <c r="O11" s="13">
        <f t="shared" si="3"/>
        <v>2016.9187227611449</v>
      </c>
      <c r="P11" s="13">
        <f>1/France!S87</f>
        <v>1.0036326588335867</v>
      </c>
      <c r="R11">
        <v>2016</v>
      </c>
      <c r="S11" s="13">
        <v>1.4468260734570164</v>
      </c>
      <c r="T11" s="13">
        <v>1.4468260734570164</v>
      </c>
      <c r="U11" s="13">
        <v>1.4468260734570164</v>
      </c>
      <c r="W11">
        <v>2016</v>
      </c>
      <c r="X11" s="13">
        <v>1.4468260734570164</v>
      </c>
      <c r="Y11" s="13">
        <f t="shared" si="12"/>
        <v>1.4468260734570164</v>
      </c>
      <c r="Z11" s="13">
        <v>1.4468260734570164</v>
      </c>
      <c r="AB11" s="13">
        <f t="shared" si="4"/>
        <v>1.4468260734570164</v>
      </c>
      <c r="AC11" s="13"/>
      <c r="AD11" s="33">
        <f t="shared" si="5"/>
        <v>-3.7655419069137483</v>
      </c>
      <c r="AE11" s="33">
        <f t="shared" si="6"/>
        <v>-3.7825046977582506</v>
      </c>
      <c r="AG11">
        <v>7</v>
      </c>
      <c r="AH11">
        <v>0</v>
      </c>
    </row>
    <row r="12" spans="1:34">
      <c r="A12">
        <v>2017</v>
      </c>
      <c r="B12" s="13">
        <f>'EV %sales'!I75</f>
        <v>1.7447815007590544</v>
      </c>
      <c r="C12" s="13">
        <f t="shared" si="0"/>
        <v>1.7404971160048122</v>
      </c>
      <c r="D12" s="84">
        <f t="shared" si="7"/>
        <v>1.7404971160048122</v>
      </c>
      <c r="E12" s="84">
        <f>J12-SUM(F$7:F12)</f>
        <v>-3.5930745882718349</v>
      </c>
      <c r="F12" s="13">
        <f t="shared" si="8"/>
        <v>0</v>
      </c>
      <c r="G12" s="13">
        <f t="shared" si="9"/>
        <v>1</v>
      </c>
      <c r="H12" s="13">
        <f t="shared" si="10"/>
        <v>1</v>
      </c>
      <c r="I12" s="13">
        <v>0</v>
      </c>
      <c r="J12" s="13">
        <f t="shared" si="11"/>
        <v>-3.5930745882718349</v>
      </c>
      <c r="K12" s="13"/>
      <c r="L12" s="84">
        <f t="shared" si="1"/>
        <v>1.7404971160048122</v>
      </c>
      <c r="M12" s="13">
        <f t="shared" si="2"/>
        <v>1.7404971160048122</v>
      </c>
      <c r="N12" s="13">
        <f t="shared" si="13"/>
        <v>2017.1682399097756</v>
      </c>
      <c r="O12" s="13">
        <f t="shared" si="3"/>
        <v>2016.9736662841631</v>
      </c>
      <c r="P12" s="13">
        <f>1/France!S88</f>
        <v>1.0087276153953215</v>
      </c>
      <c r="R12">
        <v>2017</v>
      </c>
      <c r="S12" s="13">
        <v>1.7404971160048122</v>
      </c>
      <c r="T12" s="13">
        <v>1.7404971160048122</v>
      </c>
      <c r="U12" s="13">
        <v>1.7404971160048122</v>
      </c>
      <c r="W12">
        <v>2017</v>
      </c>
      <c r="X12" s="13">
        <v>1.7404971160048122</v>
      </c>
      <c r="Y12" s="13">
        <f t="shared" si="12"/>
        <v>1.7404971160048122</v>
      </c>
      <c r="Z12" s="13">
        <v>1.7404971160048122</v>
      </c>
      <c r="AB12" s="13">
        <f t="shared" si="4"/>
        <v>1.7404971160048122</v>
      </c>
      <c r="AC12" s="13"/>
      <c r="AD12" s="33">
        <f t="shared" si="5"/>
        <v>-3.5905482967713769</v>
      </c>
      <c r="AE12" s="33">
        <f t="shared" si="6"/>
        <v>-3.5930745882718349</v>
      </c>
      <c r="AG12">
        <v>8</v>
      </c>
      <c r="AH12">
        <v>0</v>
      </c>
    </row>
    <row r="13" spans="1:34">
      <c r="A13">
        <v>2018</v>
      </c>
      <c r="B13" s="13">
        <f>'EV %sales'!I76</f>
        <v>1.9583456908291597</v>
      </c>
      <c r="C13" s="13">
        <f t="shared" si="0"/>
        <v>2.0918143794335924</v>
      </c>
      <c r="D13" s="84">
        <f>65*EXP(E13)/(1+EXP(E13))</f>
        <v>2.0918143794335924</v>
      </c>
      <c r="E13" s="84">
        <f>J13-SUM(F$7:F13)</f>
        <v>-3.4036444787854192</v>
      </c>
      <c r="F13" s="13">
        <f t="shared" si="8"/>
        <v>0</v>
      </c>
      <c r="G13" s="13">
        <f t="shared" si="9"/>
        <v>1</v>
      </c>
      <c r="H13" s="13">
        <f t="shared" si="10"/>
        <v>1</v>
      </c>
      <c r="I13" s="13">
        <v>0</v>
      </c>
      <c r="J13" s="13">
        <f>LN(L13/(65-L13))</f>
        <v>-3.4036444787854192</v>
      </c>
      <c r="K13" s="13"/>
      <c r="L13" s="84">
        <f t="shared" si="1"/>
        <v>2.0918143794335924</v>
      </c>
      <c r="M13" s="13">
        <f t="shared" si="2"/>
        <v>2.0918143794335924</v>
      </c>
      <c r="N13" s="13">
        <f t="shared" si="13"/>
        <v>2018.0693465537856</v>
      </c>
      <c r="O13" s="13">
        <f t="shared" si="3"/>
        <v>2017.072559640153</v>
      </c>
      <c r="P13" s="13">
        <f>1/France!S89</f>
        <v>1.0178980749023281</v>
      </c>
      <c r="R13">
        <v>2018</v>
      </c>
      <c r="S13" s="13">
        <v>2.0918143794335924</v>
      </c>
      <c r="T13" s="13">
        <v>2.0918143794335924</v>
      </c>
      <c r="U13" s="13">
        <v>2.0918143794335924</v>
      </c>
      <c r="W13">
        <v>2018</v>
      </c>
      <c r="X13" s="13">
        <v>2.0918143794335924</v>
      </c>
      <c r="Y13" s="13">
        <f t="shared" si="12"/>
        <v>2.0918143794335924</v>
      </c>
      <c r="Z13" s="13">
        <v>2.0918143794335924</v>
      </c>
      <c r="AB13" s="13">
        <f t="shared" si="4"/>
        <v>2.0918143794335924</v>
      </c>
      <c r="AC13" s="13"/>
      <c r="AD13" s="33">
        <f t="shared" si="5"/>
        <v>-3.471695605866469</v>
      </c>
      <c r="AE13" s="33">
        <f t="shared" si="6"/>
        <v>-3.4036444787854192</v>
      </c>
      <c r="AG13">
        <v>9</v>
      </c>
      <c r="AH13">
        <v>0</v>
      </c>
    </row>
    <row r="14" spans="1:34">
      <c r="A14">
        <v>2019</v>
      </c>
      <c r="B14" s="13"/>
      <c r="C14" s="13">
        <f>AVERAGE(D12:D16)</f>
        <v>2.6482789871426538</v>
      </c>
      <c r="D14" s="84">
        <f>65*EXP(E14)/(1+EXP(E14))</f>
        <v>2.5916144061145125</v>
      </c>
      <c r="E14" s="84">
        <f>J14-SUM(F$7:F14)</f>
        <v>-3.1814186465133871</v>
      </c>
      <c r="F14" s="13">
        <f>I14*G14</f>
        <v>0</v>
      </c>
      <c r="G14" s="13">
        <f t="shared" si="9"/>
        <v>1</v>
      </c>
      <c r="H14" s="13">
        <f t="shared" si="10"/>
        <v>1</v>
      </c>
      <c r="I14" s="13">
        <v>0</v>
      </c>
      <c r="J14" s="13">
        <f t="shared" si="11"/>
        <v>-3.1814186465133871</v>
      </c>
      <c r="K14" s="13"/>
      <c r="L14" s="84">
        <f t="shared" ref="L14:L48" si="14">AVERAGE(M12:M16)</f>
        <v>2.591614406114513</v>
      </c>
      <c r="M14" s="13">
        <f t="shared" si="2"/>
        <v>2.5112295614465268</v>
      </c>
      <c r="N14" s="13">
        <f t="shared" si="13"/>
        <v>2018.7462687844516</v>
      </c>
      <c r="O14" s="13">
        <f t="shared" si="3"/>
        <v>2017.3956374094871</v>
      </c>
      <c r="P14" s="13">
        <f>1/France!S90</f>
        <v>1.0478573332533054</v>
      </c>
      <c r="R14">
        <v>2019</v>
      </c>
      <c r="S14" s="13">
        <v>2.6482789871426538</v>
      </c>
      <c r="T14" s="13">
        <v>2.6482789871426538</v>
      </c>
      <c r="U14" s="13">
        <v>2.6482789871426538</v>
      </c>
      <c r="W14">
        <v>2019</v>
      </c>
      <c r="X14" s="13">
        <v>2.3495363238306917</v>
      </c>
      <c r="Y14" s="13">
        <f t="shared" si="12"/>
        <v>2.6482789871426538</v>
      </c>
      <c r="Z14" s="13">
        <v>2.8827090502585038</v>
      </c>
      <c r="AB14" s="13">
        <f t="shared" si="4"/>
        <v>2.5112295614465268</v>
      </c>
      <c r="AC14" s="13"/>
      <c r="AE14" s="33">
        <f t="shared" si="6"/>
        <v>-3.2142143692990039</v>
      </c>
      <c r="AG14">
        <v>10</v>
      </c>
      <c r="AH14">
        <v>0</v>
      </c>
    </row>
    <row r="15" spans="1:34">
      <c r="A15">
        <v>2020</v>
      </c>
      <c r="B15" s="13"/>
      <c r="C15" s="13">
        <f>AVERAGE(D13:D17)</f>
        <v>3.1864034686442451</v>
      </c>
      <c r="D15" s="84">
        <f>65*EXP(E15)/(1+EXP(E15))</f>
        <v>3.1046437433821281</v>
      </c>
      <c r="E15" s="84">
        <f>J15-SUM(F$7:F15)</f>
        <v>-2.9925461844176167</v>
      </c>
      <c r="F15" s="13">
        <f t="shared" si="8"/>
        <v>0</v>
      </c>
      <c r="G15" s="13">
        <f t="shared" si="9"/>
        <v>1</v>
      </c>
      <c r="H15" s="13">
        <f t="shared" si="10"/>
        <v>1</v>
      </c>
      <c r="I15" s="231">
        <v>0</v>
      </c>
      <c r="J15" s="13">
        <f t="shared" si="11"/>
        <v>-2.9925461844176167</v>
      </c>
      <c r="K15" s="13"/>
      <c r="L15" s="84">
        <f t="shared" si="14"/>
        <v>3.1046437433821277</v>
      </c>
      <c r="M15" s="13">
        <f t="shared" si="2"/>
        <v>3.0107141260906078</v>
      </c>
      <c r="N15" s="13">
        <f t="shared" si="13"/>
        <v>2019.7910423123353</v>
      </c>
      <c r="O15" s="13">
        <f t="shared" si="3"/>
        <v>2017.3508638816033</v>
      </c>
      <c r="P15" s="13">
        <f>1/France!S91</f>
        <v>1.0437054484240949</v>
      </c>
      <c r="R15">
        <v>2020</v>
      </c>
      <c r="S15" s="13">
        <v>3.2316488877166889</v>
      </c>
      <c r="T15" s="13">
        <v>3.1864034686442451</v>
      </c>
      <c r="U15" s="13">
        <v>3.1864034686442451</v>
      </c>
      <c r="W15">
        <v>2020</v>
      </c>
      <c r="X15" s="13">
        <v>2.7159288805955391</v>
      </c>
      <c r="Y15" s="13">
        <f t="shared" si="12"/>
        <v>3.1864034686442451</v>
      </c>
      <c r="Z15" s="13">
        <v>3.6636947928516008</v>
      </c>
      <c r="AB15" s="13">
        <f t="shared" si="4"/>
        <v>3.0107141260906078</v>
      </c>
      <c r="AC15" s="13"/>
      <c r="AE15" s="33">
        <f t="shared" si="6"/>
        <v>-3.0247842598125887</v>
      </c>
      <c r="AG15">
        <v>11</v>
      </c>
      <c r="AH15">
        <v>0</v>
      </c>
    </row>
    <row r="16" spans="1:34">
      <c r="A16">
        <v>2021</v>
      </c>
      <c r="B16" s="13"/>
      <c r="C16" s="13">
        <f>AVERAGE(D13:D19)</f>
        <v>4.0424320446843387</v>
      </c>
      <c r="D16" s="84">
        <f t="shared" si="7"/>
        <v>3.7128252907782233</v>
      </c>
      <c r="E16" s="84">
        <f>J16-SUM(F$7:F16)</f>
        <v>-2.8037774786409644</v>
      </c>
      <c r="F16" s="13">
        <f t="shared" si="8"/>
        <v>0</v>
      </c>
      <c r="G16" s="13">
        <f t="shared" si="9"/>
        <v>1</v>
      </c>
      <c r="H16" s="13">
        <f t="shared" si="10"/>
        <v>1</v>
      </c>
      <c r="I16" s="20">
        <f>I15+(I35-I15)/20</f>
        <v>0</v>
      </c>
      <c r="J16" s="13">
        <f t="shared" si="11"/>
        <v>-2.8037774786409644</v>
      </c>
      <c r="K16" s="13"/>
      <c r="L16" s="84">
        <f t="shared" si="14"/>
        <v>3.7128252907782242</v>
      </c>
      <c r="M16" s="13">
        <f t="shared" si="2"/>
        <v>3.6038168475970256</v>
      </c>
      <c r="N16" s="13">
        <f t="shared" si="13"/>
        <v>2021.1203137582986</v>
      </c>
      <c r="O16" s="13">
        <f t="shared" si="3"/>
        <v>2017.0215924356401</v>
      </c>
      <c r="P16" s="13">
        <f>1/France!S92</f>
        <v>1.0131718455162066</v>
      </c>
      <c r="R16">
        <v>2021</v>
      </c>
      <c r="S16" s="13">
        <v>4.1393865141252908</v>
      </c>
      <c r="T16" s="13">
        <v>4.0424320446843387</v>
      </c>
      <c r="U16" s="13">
        <v>4.0424320446843387</v>
      </c>
      <c r="W16">
        <v>2021</v>
      </c>
      <c r="X16" s="13">
        <v>3.2865395833246924</v>
      </c>
      <c r="Y16" s="13">
        <f t="shared" si="12"/>
        <v>4.0424320446843387</v>
      </c>
      <c r="Z16" s="13">
        <v>4.998810832965205</v>
      </c>
      <c r="AB16" s="13">
        <f t="shared" si="4"/>
        <v>3.6038168475970256</v>
      </c>
      <c r="AC16" s="13"/>
      <c r="AE16" s="33">
        <f t="shared" si="6"/>
        <v>-2.8353541503261734</v>
      </c>
      <c r="AG16">
        <v>12</v>
      </c>
      <c r="AH16">
        <v>0</v>
      </c>
    </row>
    <row r="17" spans="1:34">
      <c r="A17">
        <v>2022</v>
      </c>
      <c r="B17" s="13"/>
      <c r="C17" s="13">
        <f t="shared" ref="C17:C50" si="15">AVERAGE(D14:D20)</f>
        <v>4.9321054966629498</v>
      </c>
      <c r="D17" s="84">
        <f t="shared" si="7"/>
        <v>4.4311195235127698</v>
      </c>
      <c r="E17" s="84">
        <f>J17-SUM(F$7:F17)</f>
        <v>-2.6151289714451673</v>
      </c>
      <c r="F17" s="13">
        <f t="shared" si="8"/>
        <v>0</v>
      </c>
      <c r="G17" s="13">
        <f t="shared" si="9"/>
        <v>1</v>
      </c>
      <c r="H17" s="13">
        <f t="shared" si="10"/>
        <v>1</v>
      </c>
      <c r="I17" s="20">
        <f>I16+(I35-I15)/20</f>
        <v>0</v>
      </c>
      <c r="J17" s="13">
        <f t="shared" si="11"/>
        <v>-2.6151289714451673</v>
      </c>
      <c r="K17" s="13"/>
      <c r="L17" s="84">
        <f>AVERAGE(M15:M19)</f>
        <v>4.4311195235127698</v>
      </c>
      <c r="M17" s="13">
        <f t="shared" si="2"/>
        <v>4.3056438023428854</v>
      </c>
      <c r="N17" s="13">
        <f t="shared" si="13"/>
        <v>2021.9281915032075</v>
      </c>
      <c r="O17" s="13">
        <f t="shared" si="3"/>
        <v>2017.2137146907312</v>
      </c>
      <c r="P17" s="13">
        <f>1/France!S93</f>
        <v>1.0309874949405164</v>
      </c>
      <c r="R17">
        <v>2022</v>
      </c>
      <c r="S17" s="13">
        <v>5.1167146630391747</v>
      </c>
      <c r="T17" s="13">
        <v>4.9321054966629498</v>
      </c>
      <c r="U17" s="13">
        <v>4.9321054966629498</v>
      </c>
      <c r="W17">
        <v>2022</v>
      </c>
      <c r="X17" s="13">
        <v>3.8624886373808729</v>
      </c>
      <c r="Y17" s="13">
        <f t="shared" si="12"/>
        <v>4.9321054966629498</v>
      </c>
      <c r="Z17" s="13">
        <v>6.3998151586500205</v>
      </c>
      <c r="AB17" s="13">
        <f t="shared" si="4"/>
        <v>4.3056438023428854</v>
      </c>
      <c r="AC17" s="13"/>
      <c r="AE17" s="33">
        <f t="shared" si="6"/>
        <v>-2.6459240408397577</v>
      </c>
      <c r="AG17">
        <v>13</v>
      </c>
      <c r="AH17">
        <v>0</v>
      </c>
    </row>
    <row r="18" spans="1:34">
      <c r="A18">
        <v>2023</v>
      </c>
      <c r="B18" s="13"/>
      <c r="C18" s="13">
        <f>AVERAGE(D15:D21)</f>
        <v>5.9952762265435036</v>
      </c>
      <c r="D18" s="84">
        <f t="shared" si="7"/>
        <v>5.5378192779093611</v>
      </c>
      <c r="E18" s="84">
        <f>J18-SUM(F$7:F18)</f>
        <v>-2.3737397012252281</v>
      </c>
      <c r="F18" s="13">
        <f t="shared" si="8"/>
        <v>0</v>
      </c>
      <c r="G18" s="13">
        <f t="shared" si="9"/>
        <v>1</v>
      </c>
      <c r="H18" s="13">
        <f t="shared" si="10"/>
        <v>1</v>
      </c>
      <c r="I18" s="20">
        <f>I17+(I35-I15)/20</f>
        <v>0</v>
      </c>
      <c r="J18" s="13">
        <f t="shared" si="11"/>
        <v>-2.3737397012252281</v>
      </c>
      <c r="K18" s="13"/>
      <c r="L18" s="84">
        <f t="shared" si="14"/>
        <v>5.537819277909362</v>
      </c>
      <c r="M18" s="13">
        <f t="shared" si="2"/>
        <v>5.1327221164140759</v>
      </c>
      <c r="N18" s="13">
        <f t="shared" si="13"/>
        <v>2023.0235843176504</v>
      </c>
      <c r="O18" s="13">
        <f t="shared" si="3"/>
        <v>2017.1183218762883</v>
      </c>
      <c r="P18" s="13">
        <f>1/France!S94</f>
        <v>1.0221416434335966</v>
      </c>
      <c r="R18">
        <v>2023</v>
      </c>
      <c r="S18" s="13">
        <v>6.3292700751186617</v>
      </c>
      <c r="T18" s="13">
        <v>5.9952762265435036</v>
      </c>
      <c r="U18" s="13">
        <v>5.9952762265435036</v>
      </c>
      <c r="W18">
        <v>2023</v>
      </c>
      <c r="X18" s="13">
        <v>4.5944332458230805</v>
      </c>
      <c r="Y18" s="13">
        <f t="shared" si="12"/>
        <v>5.9952762265435036</v>
      </c>
      <c r="Z18" s="13">
        <v>8.097840681011844</v>
      </c>
      <c r="AB18" s="13">
        <f t="shared" si="4"/>
        <v>5.1327221164140759</v>
      </c>
      <c r="AC18" s="13"/>
      <c r="AE18" s="33">
        <f t="shared" si="6"/>
        <v>-2.4564939313533425</v>
      </c>
      <c r="AG18">
        <v>14</v>
      </c>
      <c r="AH18">
        <v>0</v>
      </c>
    </row>
    <row r="19" spans="1:34">
      <c r="A19">
        <v>2024</v>
      </c>
      <c r="B19" s="13"/>
      <c r="C19" s="13">
        <f t="shared" si="15"/>
        <v>7.3320712920762068</v>
      </c>
      <c r="D19" s="84">
        <f t="shared" si="7"/>
        <v>6.8271876916597884</v>
      </c>
      <c r="E19" s="84">
        <f>J19-SUM(F$7:F19)</f>
        <v>-2.142505272512679</v>
      </c>
      <c r="F19" s="13">
        <f t="shared" si="8"/>
        <v>0</v>
      </c>
      <c r="G19" s="13">
        <f t="shared" si="9"/>
        <v>1</v>
      </c>
      <c r="H19" s="13">
        <f t="shared" si="10"/>
        <v>1</v>
      </c>
      <c r="I19" s="20">
        <f>I18+(I35-I15)/20</f>
        <v>0</v>
      </c>
      <c r="J19" s="13">
        <f t="shared" si="11"/>
        <v>-2.142505272512679</v>
      </c>
      <c r="K19" s="13"/>
      <c r="L19" s="84">
        <f t="shared" si="14"/>
        <v>6.8271876916597876</v>
      </c>
      <c r="M19" s="13">
        <f t="shared" si="2"/>
        <v>6.1027007251192567</v>
      </c>
      <c r="N19" s="13">
        <f t="shared" si="13"/>
        <v>2024.4493588580553</v>
      </c>
      <c r="O19" s="13">
        <f t="shared" si="3"/>
        <v>2016.6925473358833</v>
      </c>
      <c r="P19" s="13">
        <f>1/France!S95</f>
        <v>0.98265923187197124</v>
      </c>
      <c r="R19">
        <v>2024</v>
      </c>
      <c r="S19" s="13">
        <v>7.7831316663699823</v>
      </c>
      <c r="T19" s="13">
        <v>7.3320712920762068</v>
      </c>
      <c r="U19" s="13">
        <v>7.2640706435428424</v>
      </c>
      <c r="W19">
        <v>2024</v>
      </c>
      <c r="X19" s="13">
        <v>5.4627008889069169</v>
      </c>
      <c r="Y19" s="13">
        <f t="shared" si="12"/>
        <v>7.3320712920762068</v>
      </c>
      <c r="Z19" s="13">
        <v>10.212304697558876</v>
      </c>
      <c r="AB19" s="13">
        <f t="shared" si="4"/>
        <v>6.1027007251192567</v>
      </c>
      <c r="AC19" s="13"/>
      <c r="AE19" s="33">
        <f t="shared" si="6"/>
        <v>-2.2670638218669268</v>
      </c>
      <c r="AG19">
        <v>15</v>
      </c>
      <c r="AH19">
        <v>0</v>
      </c>
    </row>
    <row r="20" spans="1:34">
      <c r="A20" s="14">
        <v>2025</v>
      </c>
      <c r="B20" s="13"/>
      <c r="C20" s="20">
        <f t="shared" si="15"/>
        <v>8.9330173444295422</v>
      </c>
      <c r="D20" s="84">
        <f t="shared" si="7"/>
        <v>8.3195285432838659</v>
      </c>
      <c r="E20" s="84">
        <f>J20-SUM(F$7:F20)</f>
        <v>-1.9188241448982641</v>
      </c>
      <c r="F20" s="13">
        <f t="shared" si="8"/>
        <v>0</v>
      </c>
      <c r="G20" s="13">
        <f t="shared" si="9"/>
        <v>1</v>
      </c>
      <c r="H20" s="13">
        <f t="shared" si="10"/>
        <v>1</v>
      </c>
      <c r="I20" s="20">
        <f>I19+(I35-I15)/20</f>
        <v>0</v>
      </c>
      <c r="J20" s="13">
        <f t="shared" si="11"/>
        <v>-1.9188241448982641</v>
      </c>
      <c r="K20" s="13"/>
      <c r="L20" s="84">
        <f t="shared" si="14"/>
        <v>8.3195285432838642</v>
      </c>
      <c r="M20" s="13">
        <f t="shared" si="2"/>
        <v>8.5442128980735639</v>
      </c>
      <c r="N20" s="13">
        <f t="shared" si="13"/>
        <v>2025.8233950395422</v>
      </c>
      <c r="O20" s="13">
        <f t="shared" si="3"/>
        <v>2016.3185111543964</v>
      </c>
      <c r="P20" s="13">
        <f>1/France!S96</f>
        <v>0.94797455945744402</v>
      </c>
      <c r="R20" s="87">
        <v>2025</v>
      </c>
      <c r="S20" s="13">
        <v>9.5011442444419334</v>
      </c>
      <c r="T20" s="13">
        <v>8.9330173444295422</v>
      </c>
      <c r="U20" s="13">
        <v>8.7970160473628134</v>
      </c>
      <c r="W20" s="87">
        <v>2025</v>
      </c>
      <c r="X20" s="13">
        <v>6.5049520686508675</v>
      </c>
      <c r="Y20" s="13">
        <f t="shared" si="12"/>
        <v>8.9330173444295422</v>
      </c>
      <c r="Z20" s="13">
        <v>12.687334184359717</v>
      </c>
      <c r="AB20" s="13">
        <f t="shared" si="4"/>
        <v>7.2338362019303668</v>
      </c>
      <c r="AC20" s="13"/>
      <c r="AE20" s="33">
        <f t="shared" si="6"/>
        <v>-2.0776337123805115</v>
      </c>
      <c r="AG20">
        <v>16</v>
      </c>
      <c r="AH20">
        <v>0</v>
      </c>
    </row>
    <row r="21" spans="1:34">
      <c r="A21">
        <v>2026</v>
      </c>
      <c r="B21" s="13"/>
      <c r="C21" s="13">
        <f t="shared" si="15"/>
        <v>10.818405824689448</v>
      </c>
      <c r="D21" s="84">
        <f t="shared" si="7"/>
        <v>10.033809515278387</v>
      </c>
      <c r="E21" s="84">
        <f>J21-SUM(F$7:F21)</f>
        <v>-1.7007579358009521</v>
      </c>
      <c r="F21" s="13">
        <f t="shared" si="8"/>
        <v>0</v>
      </c>
      <c r="G21" s="13">
        <f>IF(H21&lt;0,0,H21)</f>
        <v>1</v>
      </c>
      <c r="H21" s="13">
        <f t="shared" si="10"/>
        <v>1</v>
      </c>
      <c r="I21" s="20">
        <f>I20+(I35-I15)/20</f>
        <v>0</v>
      </c>
      <c r="J21" s="13">
        <f t="shared" si="11"/>
        <v>-1.7007579358009521</v>
      </c>
      <c r="K21" s="13"/>
      <c r="L21" s="84">
        <f t="shared" si="14"/>
        <v>10.033809515278387</v>
      </c>
      <c r="M21" s="13">
        <f t="shared" si="2"/>
        <v>10.050658916349153</v>
      </c>
      <c r="N21" s="13">
        <f t="shared" si="13"/>
        <v>2027.0393764792911</v>
      </c>
      <c r="O21" s="13">
        <f t="shared" si="3"/>
        <v>2016.1025297146475</v>
      </c>
      <c r="P21" s="13">
        <f>1/France!S97</f>
        <v>0.92794642887517798</v>
      </c>
      <c r="R21">
        <v>2026</v>
      </c>
      <c r="S21" s="13">
        <v>11.471281093940137</v>
      </c>
      <c r="T21" s="13">
        <v>10.818405824689448</v>
      </c>
      <c r="U21" s="13">
        <v>10.614403879089354</v>
      </c>
      <c r="W21">
        <v>2026</v>
      </c>
      <c r="X21" s="13">
        <v>7.7069156061577884</v>
      </c>
      <c r="Y21" s="13">
        <f>T21</f>
        <v>10.818405824689448</v>
      </c>
      <c r="Z21" s="13">
        <v>15.529848631860839</v>
      </c>
      <c r="AB21" s="13">
        <f t="shared" si="4"/>
        <v>8.5442128980735639</v>
      </c>
      <c r="AC21" s="13"/>
      <c r="AE21" s="33">
        <f t="shared" si="6"/>
        <v>-1.8882036028940963</v>
      </c>
      <c r="AG21">
        <v>17</v>
      </c>
      <c r="AH21">
        <v>0</v>
      </c>
    </row>
    <row r="22" spans="1:34">
      <c r="A22">
        <v>2027</v>
      </c>
      <c r="B22" s="13"/>
      <c r="C22" s="13">
        <f t="shared" si="15"/>
        <v>12.966963972449891</v>
      </c>
      <c r="D22" s="84">
        <f t="shared" si="7"/>
        <v>12.462209202111055</v>
      </c>
      <c r="E22" s="84">
        <f>J22-SUM(F$7:F22)</f>
        <v>-1.4388319341866103</v>
      </c>
      <c r="F22" s="13">
        <f t="shared" si="8"/>
        <v>0</v>
      </c>
      <c r="G22" s="13">
        <f t="shared" si="9"/>
        <v>1</v>
      </c>
      <c r="H22" s="13">
        <f t="shared" si="10"/>
        <v>1</v>
      </c>
      <c r="I22" s="20">
        <f>I21+(I35-I15)/20</f>
        <v>0</v>
      </c>
      <c r="J22" s="13">
        <f t="shared" si="11"/>
        <v>-1.4388319341866103</v>
      </c>
      <c r="K22" s="13"/>
      <c r="L22" s="84">
        <f t="shared" si="14"/>
        <v>12.462209202111055</v>
      </c>
      <c r="M22" s="13">
        <f t="shared" si="2"/>
        <v>11.767348060463275</v>
      </c>
      <c r="N22" s="13">
        <f t="shared" si="13"/>
        <v>2028.2426456101639</v>
      </c>
      <c r="O22" s="13">
        <f t="shared" si="3"/>
        <v>2015.8992605837748</v>
      </c>
      <c r="P22" s="13">
        <f>1/France!S98</f>
        <v>0.90909712079945582</v>
      </c>
      <c r="R22">
        <v>2027</v>
      </c>
      <c r="S22" s="13">
        <v>13.649251070483926</v>
      </c>
      <c r="T22" s="13">
        <v>12.966963972449891</v>
      </c>
      <c r="U22" s="13">
        <v>12.694961378316433</v>
      </c>
      <c r="W22">
        <v>2027</v>
      </c>
      <c r="X22" s="13">
        <v>9.0834224321657491</v>
      </c>
      <c r="Y22" s="13">
        <f t="shared" si="12"/>
        <v>12.966963972449891</v>
      </c>
      <c r="Z22" s="13">
        <v>18.619960401695462</v>
      </c>
      <c r="AB22" s="13">
        <f t="shared" si="4"/>
        <v>10.050658916349153</v>
      </c>
      <c r="AC22" s="13"/>
      <c r="AE22" s="33">
        <f t="shared" si="6"/>
        <v>-1.6987734934076806</v>
      </c>
      <c r="AG22">
        <v>18</v>
      </c>
      <c r="AH22">
        <v>0</v>
      </c>
    </row>
    <row r="23" spans="1:34">
      <c r="A23">
        <v>2028</v>
      </c>
      <c r="B23" s="13"/>
      <c r="C23" s="13">
        <f t="shared" si="15"/>
        <v>15.383470471544754</v>
      </c>
      <c r="D23" s="84">
        <f t="shared" si="7"/>
        <v>14.919447657251569</v>
      </c>
      <c r="E23" s="84">
        <f>J23-SUM(F$7:F23)</f>
        <v>-1.2109671821403603</v>
      </c>
      <c r="F23" s="13">
        <f t="shared" si="8"/>
        <v>0</v>
      </c>
      <c r="G23" s="13">
        <f t="shared" si="9"/>
        <v>0.96027391910465765</v>
      </c>
      <c r="H23" s="13">
        <f t="shared" si="10"/>
        <v>0.96027391910465765</v>
      </c>
      <c r="I23" s="20">
        <f>I22+(I35-I15)/20</f>
        <v>0</v>
      </c>
      <c r="J23" s="13">
        <f t="shared" si="11"/>
        <v>-1.2109671821403603</v>
      </c>
      <c r="K23" s="13"/>
      <c r="L23" s="84">
        <f t="shared" si="14"/>
        <v>14.919447657251567</v>
      </c>
      <c r="M23" s="13">
        <f t="shared" si="2"/>
        <v>13.704126976386682</v>
      </c>
      <c r="N23" s="13">
        <f t="shared" si="13"/>
        <v>2029.4692687627044</v>
      </c>
      <c r="O23" s="13">
        <f t="shared" si="3"/>
        <v>2015.6726374312343</v>
      </c>
      <c r="P23" s="13">
        <f>1/France!S99</f>
        <v>0.88808217573139725</v>
      </c>
      <c r="R23">
        <v>2028</v>
      </c>
      <c r="S23" s="13">
        <v>16.033439413098471</v>
      </c>
      <c r="T23" s="13">
        <v>15.383470471544754</v>
      </c>
      <c r="U23" s="13">
        <v>15.043467228877931</v>
      </c>
      <c r="W23">
        <v>2028</v>
      </c>
      <c r="X23" s="13">
        <v>10.647261377647627</v>
      </c>
      <c r="Y23" s="13">
        <f t="shared" si="12"/>
        <v>15.383470471544754</v>
      </c>
      <c r="Z23" s="13">
        <v>21.951516460171725</v>
      </c>
      <c r="AB23" s="13">
        <f t="shared" si="4"/>
        <v>11.767348060463275</v>
      </c>
      <c r="AC23" s="13"/>
      <c r="AE23" s="33">
        <f t="shared" si="6"/>
        <v>-1.5093433839212653</v>
      </c>
      <c r="AG23">
        <v>19</v>
      </c>
      <c r="AH23">
        <v>0</v>
      </c>
    </row>
    <row r="24" spans="1:34">
      <c r="A24">
        <v>2029</v>
      </c>
      <c r="B24" s="13"/>
      <c r="C24" s="13">
        <f t="shared" si="15"/>
        <v>17.996910699785918</v>
      </c>
      <c r="D24" s="84">
        <f t="shared" si="7"/>
        <v>17.628838885332112</v>
      </c>
      <c r="E24" s="84">
        <f>J24-SUM(F$7:F24)</f>
        <v>-0.98847749416073716</v>
      </c>
      <c r="F24" s="13">
        <f t="shared" si="8"/>
        <v>0</v>
      </c>
      <c r="G24" s="13">
        <f t="shared" si="9"/>
        <v>0.89793572743705075</v>
      </c>
      <c r="H24" s="13">
        <f t="shared" si="10"/>
        <v>0.89793572743705075</v>
      </c>
      <c r="I24" s="20">
        <f>I23+(I35-I15)/20</f>
        <v>0</v>
      </c>
      <c r="J24" s="13">
        <f t="shared" si="11"/>
        <v>-0.98847749416073716</v>
      </c>
      <c r="K24" s="13"/>
      <c r="L24" s="84">
        <f t="shared" si="14"/>
        <v>17.628838885332108</v>
      </c>
      <c r="M24" s="13">
        <f t="shared" si="2"/>
        <v>18.2446991592826</v>
      </c>
      <c r="N24" s="13">
        <f t="shared" si="13"/>
        <v>2030.6709434871486</v>
      </c>
      <c r="O24" s="13">
        <f t="shared" si="3"/>
        <v>2015.47096270679</v>
      </c>
      <c r="P24" s="13">
        <f>1/France!S100</f>
        <v>0.86938071823111518</v>
      </c>
      <c r="R24">
        <v>2029</v>
      </c>
      <c r="S24" s="13">
        <v>18.55922494440436</v>
      </c>
      <c r="T24" s="13">
        <v>17.996910699785918</v>
      </c>
      <c r="U24" s="13">
        <v>17.656907457119097</v>
      </c>
      <c r="W24">
        <v>2029</v>
      </c>
      <c r="X24" s="13">
        <v>12.407953778724139</v>
      </c>
      <c r="Y24" s="13">
        <f t="shared" si="12"/>
        <v>17.996910699785918</v>
      </c>
      <c r="Z24" s="13">
        <v>25.339118642339166</v>
      </c>
      <c r="AB24" s="13">
        <f t="shared" si="4"/>
        <v>13.704126976386682</v>
      </c>
      <c r="AC24" s="13"/>
      <c r="AE24" s="33">
        <f t="shared" si="6"/>
        <v>-1.3199132744348496</v>
      </c>
      <c r="AG24">
        <v>20</v>
      </c>
      <c r="AH24">
        <v>0</v>
      </c>
    </row>
    <row r="25" spans="1:34">
      <c r="A25" s="14">
        <v>2030</v>
      </c>
      <c r="B25" s="13"/>
      <c r="C25" s="20">
        <f t="shared" si="15"/>
        <v>20.78936319492934</v>
      </c>
      <c r="D25" s="84">
        <f t="shared" si="7"/>
        <v>20.577726312232471</v>
      </c>
      <c r="E25" s="84">
        <f>J25-SUM(F$7:F25)</f>
        <v>-0.76953175943614349</v>
      </c>
      <c r="F25" s="13">
        <f t="shared" si="8"/>
        <v>0</v>
      </c>
      <c r="G25" s="13">
        <f t="shared" si="9"/>
        <v>0.82766441018842229</v>
      </c>
      <c r="H25" s="13">
        <f t="shared" si="10"/>
        <v>0.82766441018842229</v>
      </c>
      <c r="I25" s="20">
        <f>I24+(I35-I15)/20</f>
        <v>0</v>
      </c>
      <c r="J25" s="13">
        <f t="shared" si="11"/>
        <v>-0.76953175943614349</v>
      </c>
      <c r="K25" s="13"/>
      <c r="L25" s="84">
        <f t="shared" si="14"/>
        <v>20.577726312232471</v>
      </c>
      <c r="M25" s="13">
        <f t="shared" si="2"/>
        <v>20.830405173776125</v>
      </c>
      <c r="N25" s="13">
        <f t="shared" si="13"/>
        <v>2031.8982832312661</v>
      </c>
      <c r="O25" s="13">
        <f t="shared" si="3"/>
        <v>2015.2436229626726</v>
      </c>
      <c r="P25" s="13">
        <f>1/France!S101</f>
        <v>0.84829932305652667</v>
      </c>
      <c r="R25" s="87">
        <v>2030</v>
      </c>
      <c r="S25" s="13">
        <v>21.202292757348854</v>
      </c>
      <c r="T25" s="13">
        <v>20.78936319492934</v>
      </c>
      <c r="U25" s="13">
        <v>20.449359952262519</v>
      </c>
      <c r="W25" s="87">
        <v>2030</v>
      </c>
      <c r="X25" s="13">
        <v>14.3503837840814</v>
      </c>
      <c r="Y25" s="13">
        <f t="shared" si="12"/>
        <v>20.78936319492934</v>
      </c>
      <c r="Z25" s="13">
        <v>28.761466665681951</v>
      </c>
      <c r="AB25" s="13">
        <f t="shared" si="4"/>
        <v>15.864676460614854</v>
      </c>
      <c r="AC25" s="13"/>
      <c r="AE25" s="33">
        <f t="shared" si="6"/>
        <v>-1.1304831649484344</v>
      </c>
      <c r="AG25">
        <v>21</v>
      </c>
      <c r="AH25">
        <v>0</v>
      </c>
    </row>
    <row r="26" spans="1:34">
      <c r="A26">
        <v>2031</v>
      </c>
      <c r="C26" s="13">
        <f t="shared" si="15"/>
        <v>23.66581068891168</v>
      </c>
      <c r="D26" s="84">
        <f>65*EXP(E26)/(1+EXP(E26))</f>
        <v>23.742733185323825</v>
      </c>
      <c r="E26" s="84">
        <f>J26-SUM(F$7:F26)</f>
        <v>-0.55255074995202402</v>
      </c>
      <c r="F26" s="13">
        <f t="shared" si="8"/>
        <v>0</v>
      </c>
      <c r="G26" s="13">
        <f t="shared" si="9"/>
        <v>0.82766441018842229</v>
      </c>
      <c r="H26" s="13">
        <f t="shared" si="10"/>
        <v>0.82766441018842229</v>
      </c>
      <c r="I26" s="20">
        <f>I25+(I35-I15)/20</f>
        <v>0</v>
      </c>
      <c r="J26" s="13">
        <f t="shared" si="11"/>
        <v>-0.55255074995202402</v>
      </c>
      <c r="K26" s="13"/>
      <c r="L26" s="84">
        <f t="shared" si="14"/>
        <v>23.742733185323829</v>
      </c>
      <c r="M26" s="13">
        <f t="shared" si="2"/>
        <v>23.597615056751863</v>
      </c>
      <c r="N26" s="13">
        <f t="shared" si="13"/>
        <v>2032.8982832312661</v>
      </c>
      <c r="O26" s="13">
        <f t="shared" si="3"/>
        <v>2015.2436229626726</v>
      </c>
      <c r="P26" s="13">
        <f>P25</f>
        <v>0.84829932305652667</v>
      </c>
      <c r="R26">
        <v>2031</v>
      </c>
      <c r="S26" s="13">
        <v>23.961673725612574</v>
      </c>
      <c r="T26" s="13">
        <v>23.66581068891168</v>
      </c>
      <c r="U26" s="13">
        <v>23.393808094778223</v>
      </c>
      <c r="W26">
        <v>2031</v>
      </c>
      <c r="X26" s="13">
        <v>16.493666901929501</v>
      </c>
      <c r="Y26" s="13">
        <f t="shared" si="12"/>
        <v>23.66581068891168</v>
      </c>
      <c r="Z26" s="13">
        <v>32.079479211336583</v>
      </c>
      <c r="AB26" s="13">
        <f t="shared" si="4"/>
        <v>18.2446991592826</v>
      </c>
      <c r="AC26" s="13"/>
      <c r="AE26" s="33">
        <f t="shared" si="6"/>
        <v>-0.94105305546201912</v>
      </c>
      <c r="AG26">
        <v>22</v>
      </c>
      <c r="AH26">
        <v>0</v>
      </c>
    </row>
    <row r="27" spans="1:34">
      <c r="A27">
        <v>2032</v>
      </c>
      <c r="C27" s="13">
        <f t="shared" si="15"/>
        <v>26.621898157075655</v>
      </c>
      <c r="D27" s="84">
        <f t="shared" si="7"/>
        <v>26.613610140972</v>
      </c>
      <c r="E27" s="84">
        <f>J27-SUM(F$7:F27)</f>
        <v>-0.36628022164414153</v>
      </c>
      <c r="F27" s="13">
        <f t="shared" si="8"/>
        <v>0</v>
      </c>
      <c r="G27" s="13">
        <f t="shared" si="9"/>
        <v>0.82766441018842229</v>
      </c>
      <c r="H27" s="13">
        <f t="shared" si="10"/>
        <v>0.82766441018842229</v>
      </c>
      <c r="I27" s="20">
        <f>I26+(I35-I15)/20</f>
        <v>0</v>
      </c>
      <c r="J27" s="13">
        <f t="shared" si="11"/>
        <v>-0.36628022164414153</v>
      </c>
      <c r="K27" s="13"/>
      <c r="L27" s="84">
        <f t="shared" si="14"/>
        <v>26.613610140972003</v>
      </c>
      <c r="M27" s="13">
        <f t="shared" si="2"/>
        <v>26.511785194965093</v>
      </c>
      <c r="N27" s="13">
        <f t="shared" si="13"/>
        <v>2033.8982832312661</v>
      </c>
      <c r="O27" s="13">
        <f t="shared" si="3"/>
        <v>2015.2436229626726</v>
      </c>
      <c r="P27" s="13">
        <f t="shared" ref="P27:P50" si="16">P26</f>
        <v>0.84829932305652667</v>
      </c>
      <c r="R27">
        <v>2032</v>
      </c>
      <c r="S27" s="13">
        <v>26.800694668057929</v>
      </c>
      <c r="T27" s="13">
        <v>26.621898157075655</v>
      </c>
      <c r="U27" s="13">
        <v>26.417896211475558</v>
      </c>
      <c r="W27">
        <v>2032</v>
      </c>
      <c r="X27" s="13">
        <v>18.829891691976837</v>
      </c>
      <c r="Y27" s="13">
        <f t="shared" si="12"/>
        <v>26.621898157075655</v>
      </c>
      <c r="Z27" s="13">
        <v>35.278979272889494</v>
      </c>
      <c r="AB27" s="13">
        <f t="shared" si="4"/>
        <v>20.830405173776125</v>
      </c>
      <c r="AC27" s="13"/>
      <c r="AE27" s="33">
        <f t="shared" si="6"/>
        <v>-0.75162294597560386</v>
      </c>
      <c r="AG27">
        <v>23</v>
      </c>
      <c r="AH27">
        <v>0</v>
      </c>
    </row>
    <row r="28" spans="1:34">
      <c r="A28">
        <v>2033</v>
      </c>
      <c r="C28" s="13">
        <f t="shared" si="15"/>
        <v>29.61414897588477</v>
      </c>
      <c r="D28" s="84">
        <f t="shared" si="7"/>
        <v>29.580976981282355</v>
      </c>
      <c r="E28" s="84">
        <f>J28-SUM(F$7:F28)</f>
        <v>-0.18011756403830098</v>
      </c>
      <c r="F28" s="13">
        <f t="shared" si="8"/>
        <v>0</v>
      </c>
      <c r="G28" s="13">
        <f t="shared" si="9"/>
        <v>0.82766441018842229</v>
      </c>
      <c r="H28" s="13">
        <f t="shared" si="10"/>
        <v>0.82766441018842229</v>
      </c>
      <c r="I28" s="20">
        <f>I27+(I35-I15)/20</f>
        <v>0</v>
      </c>
      <c r="J28" s="13">
        <f t="shared" si="11"/>
        <v>-0.18011756403830098</v>
      </c>
      <c r="K28" s="13"/>
      <c r="L28" s="84">
        <f t="shared" si="14"/>
        <v>29.580976981282355</v>
      </c>
      <c r="M28" s="13">
        <f t="shared" si="2"/>
        <v>29.529161341843466</v>
      </c>
      <c r="N28" s="13">
        <f t="shared" si="13"/>
        <v>2034.8982832312661</v>
      </c>
      <c r="O28" s="13">
        <f t="shared" si="3"/>
        <v>2015.2436229626726</v>
      </c>
      <c r="P28" s="13">
        <f t="shared" si="16"/>
        <v>0.84829932305652667</v>
      </c>
      <c r="R28">
        <v>2033</v>
      </c>
      <c r="S28" s="13">
        <v>29.675878961148435</v>
      </c>
      <c r="T28" s="13">
        <v>29.61414897588477</v>
      </c>
      <c r="U28" s="13">
        <v>29.478147678818043</v>
      </c>
      <c r="W28">
        <v>2033</v>
      </c>
      <c r="X28" s="13">
        <v>21.343430594677532</v>
      </c>
      <c r="Y28" s="13">
        <f t="shared" si="12"/>
        <v>29.61414897588477</v>
      </c>
      <c r="Z28" s="13">
        <v>38.302847889970181</v>
      </c>
      <c r="AB28" s="13">
        <f t="shared" si="4"/>
        <v>23.597615056751863</v>
      </c>
      <c r="AC28" s="13"/>
      <c r="AE28" s="33">
        <f t="shared" si="6"/>
        <v>-0.56219283648918861</v>
      </c>
      <c r="AG28">
        <v>24</v>
      </c>
      <c r="AH28">
        <v>0</v>
      </c>
    </row>
    <row r="29" spans="1:34">
      <c r="A29">
        <v>2034</v>
      </c>
      <c r="C29" s="13">
        <f t="shared" si="15"/>
        <v>32.594153893074015</v>
      </c>
      <c r="D29" s="84">
        <f t="shared" si="7"/>
        <v>32.597341659987421</v>
      </c>
      <c r="E29" s="84">
        <f>J29-SUM(F$7:F29)</f>
        <v>5.9902739117686666E-3</v>
      </c>
      <c r="F29" s="13">
        <f t="shared" si="8"/>
        <v>0</v>
      </c>
      <c r="G29" s="13">
        <f t="shared" si="9"/>
        <v>0.82766441018842229</v>
      </c>
      <c r="H29" s="13">
        <f t="shared" si="10"/>
        <v>0.82766441018842229</v>
      </c>
      <c r="I29" s="20">
        <f>I28+(I35-I15)/20</f>
        <v>0</v>
      </c>
      <c r="J29" s="13">
        <f t="shared" si="11"/>
        <v>5.9902739117686666E-3</v>
      </c>
      <c r="K29" s="13"/>
      <c r="L29" s="84">
        <f t="shared" si="14"/>
        <v>32.597341659987421</v>
      </c>
      <c r="M29" s="13">
        <f t="shared" si="2"/>
        <v>32.599083937523453</v>
      </c>
      <c r="N29" s="13">
        <f t="shared" si="13"/>
        <v>2035.8982832312661</v>
      </c>
      <c r="O29" s="13">
        <f t="shared" si="3"/>
        <v>2015.2436229626726</v>
      </c>
      <c r="P29" s="13">
        <f t="shared" si="16"/>
        <v>0.84829932305652667</v>
      </c>
      <c r="R29">
        <v>2034</v>
      </c>
      <c r="S29" s="13">
        <v>32.594153893074015</v>
      </c>
      <c r="T29" s="13">
        <v>32.594153893074015</v>
      </c>
      <c r="U29" s="13">
        <v>32.526153244540652</v>
      </c>
      <c r="W29">
        <v>2034</v>
      </c>
      <c r="X29" s="13">
        <v>24.010721986872976</v>
      </c>
      <c r="Y29" s="13">
        <f t="shared" si="12"/>
        <v>32.594153893074015</v>
      </c>
      <c r="Z29" s="13">
        <v>41.16505370153498</v>
      </c>
      <c r="AB29" s="13">
        <f t="shared" si="4"/>
        <v>26.511785194965093</v>
      </c>
      <c r="AC29" s="13"/>
      <c r="AE29" s="33">
        <f t="shared" si="6"/>
        <v>-0.37276272700277246</v>
      </c>
      <c r="AG29">
        <v>25</v>
      </c>
      <c r="AH29">
        <v>0</v>
      </c>
    </row>
    <row r="30" spans="1:34">
      <c r="A30">
        <v>2035</v>
      </c>
      <c r="C30" s="13">
        <f t="shared" si="15"/>
        <v>35.510982866616487</v>
      </c>
      <c r="D30" s="84">
        <f t="shared" si="7"/>
        <v>35.61205993439939</v>
      </c>
      <c r="E30" s="84">
        <f>J30-SUM(F$7:F30)</f>
        <v>0.19209995435473268</v>
      </c>
      <c r="F30" s="13">
        <f t="shared" si="8"/>
        <v>0</v>
      </c>
      <c r="G30" s="13">
        <f t="shared" si="9"/>
        <v>0.82766441018842229</v>
      </c>
      <c r="H30" s="13">
        <f t="shared" si="10"/>
        <v>0.82766441018842229</v>
      </c>
      <c r="I30" s="20">
        <f>I29+(I35-I15)/20</f>
        <v>0</v>
      </c>
      <c r="J30" s="13">
        <f t="shared" si="11"/>
        <v>0.19209995435473268</v>
      </c>
      <c r="K30" s="13"/>
      <c r="L30" s="84">
        <f t="shared" si="14"/>
        <v>35.61205993439939</v>
      </c>
      <c r="M30" s="13">
        <f t="shared" si="2"/>
        <v>35.667239375327917</v>
      </c>
      <c r="N30" s="13">
        <f t="shared" si="13"/>
        <v>2036.8982832312661</v>
      </c>
      <c r="O30" s="13">
        <f t="shared" si="3"/>
        <v>2015.2436229626726</v>
      </c>
      <c r="P30" s="13">
        <f t="shared" si="16"/>
        <v>0.84829932305652667</v>
      </c>
      <c r="R30">
        <v>2035</v>
      </c>
      <c r="S30" s="13">
        <v>35.510982866616487</v>
      </c>
      <c r="T30" s="13">
        <v>35.510982866616487</v>
      </c>
      <c r="U30" s="13">
        <v>35.510982866616487</v>
      </c>
      <c r="W30">
        <v>2035</v>
      </c>
      <c r="X30" s="13">
        <v>26.800694668057929</v>
      </c>
      <c r="Y30" s="13">
        <f t="shared" si="12"/>
        <v>35.510982866616487</v>
      </c>
      <c r="Z30" s="13">
        <v>43.823306734211542</v>
      </c>
      <c r="AB30" s="13">
        <f t="shared" si="4"/>
        <v>29.529161341843466</v>
      </c>
      <c r="AC30" s="13"/>
      <c r="AE30" s="33">
        <f t="shared" si="6"/>
        <v>-0.18333261751635721</v>
      </c>
      <c r="AG30">
        <v>26</v>
      </c>
      <c r="AH30">
        <v>0</v>
      </c>
    </row>
    <row r="31" spans="1:34">
      <c r="A31">
        <v>2036</v>
      </c>
      <c r="C31" s="13">
        <f t="shared" si="15"/>
        <v>38.381911029483774</v>
      </c>
      <c r="D31" s="84">
        <f t="shared" si="7"/>
        <v>38.574594616995952</v>
      </c>
      <c r="E31" s="84">
        <f>J31-SUM(F$7:F31)</f>
        <v>0.37826801670922838</v>
      </c>
      <c r="F31" s="13">
        <f t="shared" si="8"/>
        <v>0</v>
      </c>
      <c r="G31" s="13">
        <f t="shared" si="9"/>
        <v>0.82766441018842229</v>
      </c>
      <c r="H31" s="13">
        <f t="shared" si="10"/>
        <v>0.82766441018842229</v>
      </c>
      <c r="I31" s="20">
        <f>I30+(I35-I15)/20</f>
        <v>0</v>
      </c>
      <c r="J31" s="13">
        <f t="shared" si="11"/>
        <v>0.37826801670922838</v>
      </c>
      <c r="K31" s="13"/>
      <c r="L31" s="84">
        <f t="shared" si="14"/>
        <v>38.574594616995952</v>
      </c>
      <c r="M31" s="13">
        <f t="shared" si="2"/>
        <v>38.679438450277175</v>
      </c>
      <c r="N31" s="13">
        <f t="shared" si="13"/>
        <v>2037.8982832312661</v>
      </c>
      <c r="O31" s="13">
        <f t="shared" si="3"/>
        <v>2015.2436229626726</v>
      </c>
      <c r="P31" s="13">
        <f t="shared" si="16"/>
        <v>0.84829932305652667</v>
      </c>
      <c r="R31">
        <v>2036</v>
      </c>
      <c r="S31" s="13">
        <v>38.381911029483774</v>
      </c>
      <c r="T31" s="13">
        <v>38.381911029483774</v>
      </c>
      <c r="U31" s="13">
        <v>38.381911029483774</v>
      </c>
      <c r="W31">
        <v>2036</v>
      </c>
      <c r="X31" s="13">
        <v>29.675878961148435</v>
      </c>
      <c r="Y31" s="13">
        <f t="shared" si="12"/>
        <v>38.381911029483774</v>
      </c>
      <c r="Z31" s="13">
        <v>46.326056199379593</v>
      </c>
      <c r="AB31" s="13">
        <f t="shared" si="4"/>
        <v>32.599083937523453</v>
      </c>
      <c r="AC31" s="13"/>
      <c r="AE31" s="33">
        <f t="shared" si="6"/>
        <v>6.0974919700580443E-3</v>
      </c>
      <c r="AG31">
        <v>27</v>
      </c>
      <c r="AH31">
        <v>0</v>
      </c>
    </row>
    <row r="32" spans="1:34">
      <c r="A32">
        <v>2037</v>
      </c>
      <c r="C32" s="13">
        <f t="shared" si="15"/>
        <v>41.16505370153498</v>
      </c>
      <c r="D32" s="84">
        <f t="shared" si="7"/>
        <v>41.437760732557159</v>
      </c>
      <c r="E32" s="84">
        <f>J32-SUM(F$7:F32)</f>
        <v>0.56454716054040599</v>
      </c>
      <c r="F32" s="13">
        <f t="shared" si="8"/>
        <v>0</v>
      </c>
      <c r="G32" s="13">
        <f t="shared" si="9"/>
        <v>0.82766441018842229</v>
      </c>
      <c r="H32" s="13">
        <f t="shared" si="10"/>
        <v>0.82766441018842229</v>
      </c>
      <c r="I32" s="20">
        <f>I31+(I35-I15)/20</f>
        <v>0</v>
      </c>
      <c r="J32" s="13">
        <f t="shared" si="11"/>
        <v>0.56454716054040599</v>
      </c>
      <c r="K32" s="13"/>
      <c r="L32" s="84">
        <f t="shared" si="14"/>
        <v>41.437760732557166</v>
      </c>
      <c r="M32" s="13">
        <f t="shared" si="2"/>
        <v>41.585376567024952</v>
      </c>
      <c r="N32" s="13">
        <f t="shared" si="13"/>
        <v>2038.8982832312661</v>
      </c>
      <c r="O32" s="13">
        <f t="shared" si="3"/>
        <v>2015.2436229626726</v>
      </c>
      <c r="P32" s="13">
        <f t="shared" si="16"/>
        <v>0.84829932305652667</v>
      </c>
      <c r="R32">
        <v>2037</v>
      </c>
      <c r="S32" s="13">
        <v>41.16505370153498</v>
      </c>
      <c r="T32" s="13">
        <v>41.16505370153498</v>
      </c>
      <c r="U32" s="13">
        <v>41.16505370153498</v>
      </c>
      <c r="W32">
        <v>2037</v>
      </c>
      <c r="X32" s="13">
        <v>32.594153893074015</v>
      </c>
      <c r="Y32" s="13">
        <f t="shared" si="12"/>
        <v>41.16505370153498</v>
      </c>
      <c r="Z32" s="13">
        <v>48.650245743011297</v>
      </c>
      <c r="AB32" s="13">
        <f t="shared" si="4"/>
        <v>35.667239375327917</v>
      </c>
      <c r="AC32" s="13"/>
      <c r="AE32" s="33">
        <f t="shared" si="6"/>
        <v>0.1955276014564733</v>
      </c>
      <c r="AG32">
        <v>28</v>
      </c>
      <c r="AH32">
        <v>0</v>
      </c>
    </row>
    <row r="33" spans="1:34">
      <c r="A33">
        <v>2038</v>
      </c>
      <c r="C33" s="13">
        <f t="shared" si="15"/>
        <v>43.823306734211542</v>
      </c>
      <c r="D33" s="84">
        <f t="shared" si="7"/>
        <v>44.160536000121155</v>
      </c>
      <c r="E33" s="84">
        <f>J33-SUM(F$7:F33)</f>
        <v>0.75098304280016193</v>
      </c>
      <c r="F33" s="13">
        <f t="shared" si="8"/>
        <v>0</v>
      </c>
      <c r="G33" s="13">
        <f t="shared" si="9"/>
        <v>0.82766441018842229</v>
      </c>
      <c r="H33" s="13">
        <f t="shared" si="10"/>
        <v>0.82766441018842229</v>
      </c>
      <c r="I33" s="20">
        <f>I32+(I35-I15)/20</f>
        <v>0</v>
      </c>
      <c r="J33" s="13">
        <f t="shared" si="11"/>
        <v>0.75098304280016193</v>
      </c>
      <c r="K33" s="13"/>
      <c r="L33" s="84">
        <f t="shared" si="14"/>
        <v>44.160536000121155</v>
      </c>
      <c r="M33" s="13">
        <f t="shared" si="2"/>
        <v>44.34183475482628</v>
      </c>
      <c r="N33" s="13">
        <f t="shared" si="13"/>
        <v>2039.8982832312661</v>
      </c>
      <c r="O33" s="13">
        <f t="shared" si="3"/>
        <v>2015.2436229626726</v>
      </c>
      <c r="P33" s="13">
        <f t="shared" si="16"/>
        <v>0.84829932305652667</v>
      </c>
      <c r="R33">
        <v>2038</v>
      </c>
      <c r="S33" s="13">
        <v>43.823306734211542</v>
      </c>
      <c r="T33" s="13">
        <v>43.823306734211542</v>
      </c>
      <c r="U33" s="13">
        <v>43.823306734211542</v>
      </c>
      <c r="W33">
        <v>2038</v>
      </c>
      <c r="X33" s="13">
        <v>35.510982866616487</v>
      </c>
      <c r="Y33" s="13">
        <f t="shared" si="12"/>
        <v>43.823306734211542</v>
      </c>
      <c r="Z33" s="13">
        <v>50.780757448971997</v>
      </c>
      <c r="AB33" s="13">
        <f t="shared" si="4"/>
        <v>38.679438450277175</v>
      </c>
      <c r="AC33" s="13"/>
      <c r="AE33" s="33">
        <f t="shared" si="6"/>
        <v>0.38495771094288855</v>
      </c>
      <c r="AG33">
        <v>29</v>
      </c>
      <c r="AH33">
        <v>0</v>
      </c>
    </row>
    <row r="34" spans="1:34">
      <c r="A34">
        <v>2039</v>
      </c>
      <c r="C34" s="13">
        <f t="shared" si="15"/>
        <v>46.326056199379593</v>
      </c>
      <c r="D34" s="84">
        <f t="shared" si="7"/>
        <v>46.710107281043015</v>
      </c>
      <c r="E34" s="84">
        <f>J34-SUM(F$7:F34)</f>
        <v>0.93761197442990685</v>
      </c>
      <c r="F34" s="13">
        <f t="shared" si="8"/>
        <v>0</v>
      </c>
      <c r="G34" s="13">
        <f t="shared" si="9"/>
        <v>0.82766441018842229</v>
      </c>
      <c r="H34" s="13">
        <f t="shared" si="10"/>
        <v>0.82766441018842229</v>
      </c>
      <c r="I34" s="20">
        <f>I33+(I35-I15)/20</f>
        <v>0</v>
      </c>
      <c r="J34" s="13">
        <f t="shared" si="11"/>
        <v>0.93761197442990685</v>
      </c>
      <c r="K34" s="13"/>
      <c r="L34" s="84">
        <f t="shared" si="14"/>
        <v>46.710107281043015</v>
      </c>
      <c r="M34" s="13">
        <f t="shared" si="2"/>
        <v>46.914914515329514</v>
      </c>
      <c r="N34" s="13">
        <f t="shared" si="13"/>
        <v>2040.8982832312661</v>
      </c>
      <c r="O34" s="13">
        <f t="shared" si="3"/>
        <v>2015.2436229626726</v>
      </c>
      <c r="P34" s="13">
        <f t="shared" si="16"/>
        <v>0.84829932305652667</v>
      </c>
      <c r="R34">
        <v>2039</v>
      </c>
      <c r="S34" s="13">
        <v>46.326056199379593</v>
      </c>
      <c r="T34" s="13">
        <v>46.326056199379593</v>
      </c>
      <c r="U34" s="13">
        <v>46.326056199379593</v>
      </c>
      <c r="W34">
        <v>2039</v>
      </c>
      <c r="X34" s="13">
        <v>38.381911029483774</v>
      </c>
      <c r="Y34" s="13">
        <f t="shared" si="12"/>
        <v>46.326056199379593</v>
      </c>
      <c r="Z34" s="13">
        <v>52.710155969948644</v>
      </c>
      <c r="AB34" s="13">
        <f t="shared" si="4"/>
        <v>41.585376567024952</v>
      </c>
      <c r="AC34" s="13"/>
      <c r="AE34" s="33">
        <f t="shared" si="6"/>
        <v>0.5743878204293047</v>
      </c>
      <c r="AG34">
        <v>30</v>
      </c>
      <c r="AH34">
        <v>0</v>
      </c>
    </row>
    <row r="35" spans="1:34">
      <c r="A35">
        <v>2040</v>
      </c>
      <c r="C35" s="13">
        <f t="shared" si="15"/>
        <v>48.650245743011297</v>
      </c>
      <c r="D35" s="84">
        <f>65*EXP(E35)/(1+EXP(E35))</f>
        <v>49.062975685640779</v>
      </c>
      <c r="E35" s="84">
        <f>J35-SUM(F$7:F35)</f>
        <v>1.1244597154680829</v>
      </c>
      <c r="F35" s="13">
        <f t="shared" si="8"/>
        <v>0</v>
      </c>
      <c r="G35" s="13">
        <f t="shared" si="9"/>
        <v>0.82766441018842229</v>
      </c>
      <c r="H35" s="13">
        <f t="shared" si="10"/>
        <v>0.82766441018842229</v>
      </c>
      <c r="I35" s="89">
        <v>0</v>
      </c>
      <c r="J35" s="13">
        <f t="shared" si="11"/>
        <v>1.1244597154680829</v>
      </c>
      <c r="K35" s="13"/>
      <c r="L35" s="84">
        <f t="shared" si="14"/>
        <v>49.062975685640779</v>
      </c>
      <c r="M35" s="13">
        <f t="shared" si="2"/>
        <v>49.281115713147834</v>
      </c>
      <c r="N35" s="13">
        <f t="shared" si="13"/>
        <v>2041.8982832312661</v>
      </c>
      <c r="O35" s="13">
        <f t="shared" si="3"/>
        <v>2015.2436229626726</v>
      </c>
      <c r="P35" s="13">
        <f t="shared" si="16"/>
        <v>0.84829932305652667</v>
      </c>
      <c r="R35" s="87">
        <v>2040</v>
      </c>
      <c r="S35" s="13">
        <v>48.650245743011297</v>
      </c>
      <c r="T35" s="13">
        <v>48.650245743011297</v>
      </c>
      <c r="U35" s="13">
        <v>48.650245743011297</v>
      </c>
      <c r="W35" s="87">
        <v>2040</v>
      </c>
      <c r="X35" s="13">
        <v>41.16505370153498</v>
      </c>
      <c r="Y35" s="13">
        <f t="shared" si="12"/>
        <v>48.650245743011297</v>
      </c>
      <c r="Z35" s="13">
        <v>54.437918764591011</v>
      </c>
      <c r="AB35" s="13">
        <f t="shared" si="4"/>
        <v>44.34183475482628</v>
      </c>
      <c r="AC35" s="13"/>
      <c r="AE35" s="33">
        <f t="shared" si="6"/>
        <v>0.76381792991571995</v>
      </c>
      <c r="AG35">
        <v>31</v>
      </c>
      <c r="AH35">
        <v>0</v>
      </c>
    </row>
    <row r="36" spans="1:34">
      <c r="A36">
        <v>2041</v>
      </c>
      <c r="C36" s="13">
        <f t="shared" si="15"/>
        <v>50.780757448971997</v>
      </c>
      <c r="D36" s="84">
        <f t="shared" si="7"/>
        <v>51.205112888723356</v>
      </c>
      <c r="E36" s="84">
        <f>J36-SUM(F$7:F36)</f>
        <v>1.311541363839025</v>
      </c>
      <c r="F36" s="13">
        <f t="shared" si="8"/>
        <v>0</v>
      </c>
      <c r="G36" s="13">
        <f t="shared" si="9"/>
        <v>0.82766441018842229</v>
      </c>
      <c r="H36" s="13">
        <f t="shared" si="10"/>
        <v>0.82766441018842229</v>
      </c>
      <c r="I36" s="89">
        <f>I35</f>
        <v>0</v>
      </c>
      <c r="J36" s="13">
        <f t="shared" si="11"/>
        <v>1.311541363839025</v>
      </c>
      <c r="K36" s="13"/>
      <c r="L36" s="84">
        <f t="shared" si="14"/>
        <v>51.205112888723363</v>
      </c>
      <c r="M36" s="13">
        <f t="shared" si="2"/>
        <v>51.427294854886505</v>
      </c>
      <c r="N36" s="13">
        <f t="shared" si="13"/>
        <v>2042.8982832312661</v>
      </c>
      <c r="O36" s="13">
        <f t="shared" si="3"/>
        <v>2015.2436229626726</v>
      </c>
      <c r="P36" s="13">
        <f t="shared" si="16"/>
        <v>0.84829932305652667</v>
      </c>
      <c r="R36">
        <v>2041</v>
      </c>
      <c r="S36" s="13">
        <v>50.780757448971997</v>
      </c>
      <c r="T36" s="13">
        <v>50.780757448971997</v>
      </c>
      <c r="U36" s="13">
        <v>50.780757448971997</v>
      </c>
      <c r="W36">
        <v>2041</v>
      </c>
      <c r="X36" s="13">
        <v>43.823306734211542</v>
      </c>
      <c r="Y36" s="13">
        <f t="shared" si="12"/>
        <v>50.780757448971997</v>
      </c>
      <c r="Z36" s="13">
        <v>55.969317204847243</v>
      </c>
      <c r="AB36" s="13">
        <f t="shared" si="4"/>
        <v>46.914914515329514</v>
      </c>
      <c r="AE36" s="33">
        <f t="shared" si="6"/>
        <v>0.95324803940213521</v>
      </c>
      <c r="AG36">
        <v>32</v>
      </c>
      <c r="AH36">
        <v>0</v>
      </c>
    </row>
    <row r="37" spans="1:34">
      <c r="A37">
        <v>2042</v>
      </c>
      <c r="C37" s="13">
        <f t="shared" si="15"/>
        <v>52.710155969948644</v>
      </c>
      <c r="D37" s="84">
        <f t="shared" si="7"/>
        <v>53.131306190575721</v>
      </c>
      <c r="E37" s="84">
        <f>J37-SUM(F$7:F37)</f>
        <v>1.498862163725962</v>
      </c>
      <c r="F37" s="13">
        <f t="shared" si="8"/>
        <v>0</v>
      </c>
      <c r="G37" s="13">
        <f t="shared" si="9"/>
        <v>0.82766441018842229</v>
      </c>
      <c r="H37" s="13">
        <f t="shared" si="10"/>
        <v>0.82766441018842229</v>
      </c>
      <c r="I37" s="89">
        <f t="shared" ref="I37:I50" si="17">I36</f>
        <v>0</v>
      </c>
      <c r="J37" s="13">
        <f t="shared" si="11"/>
        <v>1.498862163725962</v>
      </c>
      <c r="K37" s="13"/>
      <c r="L37" s="84">
        <f t="shared" si="14"/>
        <v>53.131306190575721</v>
      </c>
      <c r="M37" s="13">
        <f t="shared" si="2"/>
        <v>53.349718590013772</v>
      </c>
      <c r="N37" s="13">
        <f t="shared" si="13"/>
        <v>2043.8982832312661</v>
      </c>
      <c r="O37" s="13">
        <f t="shared" si="3"/>
        <v>2015.2436229626726</v>
      </c>
      <c r="P37" s="13">
        <f t="shared" si="16"/>
        <v>0.84829932305652667</v>
      </c>
      <c r="R37">
        <v>2042</v>
      </c>
      <c r="S37" s="13">
        <v>52.710155969948644</v>
      </c>
      <c r="T37" s="13">
        <v>52.710155969948644</v>
      </c>
      <c r="U37" s="13">
        <v>52.710155969948644</v>
      </c>
      <c r="W37">
        <v>2042</v>
      </c>
      <c r="X37" s="13">
        <v>46.326056199379593</v>
      </c>
      <c r="Y37" s="13">
        <f t="shared" si="12"/>
        <v>52.710155969948644</v>
      </c>
      <c r="Z37" s="13">
        <v>57.314122213374979</v>
      </c>
      <c r="AB37" s="13">
        <f t="shared" si="4"/>
        <v>49.281115713147834</v>
      </c>
      <c r="AE37" s="33">
        <f t="shared" si="6"/>
        <v>1.1426781488885505</v>
      </c>
      <c r="AG37">
        <v>33</v>
      </c>
      <c r="AH37">
        <v>0</v>
      </c>
    </row>
    <row r="38" spans="1:34">
      <c r="A38">
        <v>2043</v>
      </c>
      <c r="C38" s="13">
        <f t="shared" si="15"/>
        <v>54.437918764591011</v>
      </c>
      <c r="D38" s="84">
        <f t="shared" si="7"/>
        <v>54.843921422417928</v>
      </c>
      <c r="E38" s="84">
        <f>J38-SUM(F$7:F38)</f>
        <v>1.6864189578737088</v>
      </c>
      <c r="F38" s="13">
        <f t="shared" si="8"/>
        <v>0</v>
      </c>
      <c r="G38" s="13">
        <f t="shared" si="9"/>
        <v>0.82766441018842229</v>
      </c>
      <c r="H38" s="13">
        <f t="shared" si="10"/>
        <v>0.82766441018842229</v>
      </c>
      <c r="I38" s="89">
        <f t="shared" si="17"/>
        <v>0</v>
      </c>
      <c r="J38" s="13">
        <f t="shared" si="11"/>
        <v>1.6864189578737088</v>
      </c>
      <c r="K38" s="13"/>
      <c r="L38" s="84">
        <f t="shared" si="14"/>
        <v>54.843921422417928</v>
      </c>
      <c r="M38" s="13">
        <f t="shared" si="2"/>
        <v>55.052520770239184</v>
      </c>
      <c r="N38" s="13">
        <f t="shared" si="13"/>
        <v>2044.8982832312661</v>
      </c>
      <c r="O38" s="13">
        <f t="shared" si="3"/>
        <v>2015.2436229626726</v>
      </c>
      <c r="P38" s="13">
        <f t="shared" si="16"/>
        <v>0.84829932305652667</v>
      </c>
      <c r="R38">
        <v>2043</v>
      </c>
      <c r="S38" s="13">
        <v>54.437918764591011</v>
      </c>
      <c r="T38" s="13">
        <v>54.437918764591011</v>
      </c>
      <c r="U38" s="13">
        <v>54.437918764591011</v>
      </c>
      <c r="W38">
        <v>2043</v>
      </c>
      <c r="X38" s="13">
        <v>48.650245743011297</v>
      </c>
      <c r="Y38" s="13">
        <f t="shared" si="12"/>
        <v>54.437918764591011</v>
      </c>
      <c r="Z38" s="13">
        <v>58.485289478647907</v>
      </c>
      <c r="AB38" s="13">
        <f t="shared" si="4"/>
        <v>51.427294854886505</v>
      </c>
      <c r="AE38" s="33">
        <f t="shared" si="6"/>
        <v>1.3321082583749657</v>
      </c>
      <c r="AG38">
        <v>34</v>
      </c>
      <c r="AH38">
        <v>0</v>
      </c>
    </row>
    <row r="39" spans="1:34">
      <c r="A39">
        <v>2044</v>
      </c>
      <c r="C39" s="13">
        <f t="shared" si="15"/>
        <v>55.969317204847243</v>
      </c>
      <c r="D39" s="84">
        <f t="shared" si="7"/>
        <v>56.351342674282009</v>
      </c>
      <c r="E39" s="84">
        <f>J39-SUM(F$7:F39)</f>
        <v>1.8742019811719119</v>
      </c>
      <c r="F39" s="13">
        <f t="shared" si="8"/>
        <v>0</v>
      </c>
      <c r="G39" s="13">
        <f t="shared" si="9"/>
        <v>0.82766441018842229</v>
      </c>
      <c r="H39" s="13">
        <f t="shared" si="10"/>
        <v>0.82766441018842229</v>
      </c>
      <c r="I39" s="89">
        <f t="shared" si="17"/>
        <v>0</v>
      </c>
      <c r="J39" s="13">
        <f t="shared" si="11"/>
        <v>1.8742019811719119</v>
      </c>
      <c r="K39" s="13"/>
      <c r="L39" s="84">
        <f t="shared" si="14"/>
        <v>56.351342674282009</v>
      </c>
      <c r="M39" s="13">
        <f t="shared" si="2"/>
        <v>56.545881024591303</v>
      </c>
      <c r="N39" s="13">
        <f t="shared" si="13"/>
        <v>2045.8982832312661</v>
      </c>
      <c r="O39" s="13">
        <f t="shared" si="3"/>
        <v>2015.2436229626726</v>
      </c>
      <c r="P39" s="13">
        <f t="shared" si="16"/>
        <v>0.84829932305652667</v>
      </c>
      <c r="R39">
        <v>2044</v>
      </c>
      <c r="S39" s="13">
        <v>55.969317204847243</v>
      </c>
      <c r="T39" s="13">
        <v>55.969317204847243</v>
      </c>
      <c r="U39" s="13">
        <v>55.969317204847243</v>
      </c>
      <c r="W39">
        <v>2044</v>
      </c>
      <c r="X39" s="13">
        <v>50.780757448971997</v>
      </c>
      <c r="Y39" s="13">
        <f t="shared" si="12"/>
        <v>55.969317204847243</v>
      </c>
      <c r="Z39" s="13">
        <v>59.497743153981332</v>
      </c>
      <c r="AB39" s="13">
        <f t="shared" si="4"/>
        <v>53.349718590013772</v>
      </c>
      <c r="AE39" s="33">
        <f t="shared" si="6"/>
        <v>1.5215383678613819</v>
      </c>
      <c r="AG39">
        <v>35</v>
      </c>
      <c r="AH39">
        <v>0</v>
      </c>
    </row>
    <row r="40" spans="1:34">
      <c r="A40">
        <v>2045</v>
      </c>
      <c r="C40" s="13">
        <f t="shared" si="15"/>
        <v>57.314122213374979</v>
      </c>
      <c r="D40" s="84">
        <f t="shared" si="7"/>
        <v>57.666325646957738</v>
      </c>
      <c r="E40" s="84">
        <f>J40-SUM(F$7:F40)</f>
        <v>2.0621967258790419</v>
      </c>
      <c r="F40" s="13">
        <f t="shared" si="8"/>
        <v>0</v>
      </c>
      <c r="G40" s="13">
        <f t="shared" si="9"/>
        <v>0.82766441018842229</v>
      </c>
      <c r="H40" s="13">
        <f t="shared" si="10"/>
        <v>0.82766441018842229</v>
      </c>
      <c r="I40" s="89">
        <f t="shared" si="17"/>
        <v>0</v>
      </c>
      <c r="J40" s="13">
        <f t="shared" si="11"/>
        <v>2.0621967258790419</v>
      </c>
      <c r="K40" s="13"/>
      <c r="L40" s="84">
        <f t="shared" si="14"/>
        <v>57.666325646957738</v>
      </c>
      <c r="M40" s="13">
        <f t="shared" si="2"/>
        <v>57.844191872358913</v>
      </c>
      <c r="N40" s="13">
        <f t="shared" si="13"/>
        <v>2046.8982832312661</v>
      </c>
      <c r="O40" s="13">
        <f t="shared" si="3"/>
        <v>2015.2436229626726</v>
      </c>
      <c r="P40" s="13">
        <f t="shared" si="16"/>
        <v>0.84829932305652667</v>
      </c>
      <c r="R40">
        <v>2045</v>
      </c>
      <c r="S40" s="13">
        <v>57.314122213374979</v>
      </c>
      <c r="T40" s="13">
        <v>57.314122213374979</v>
      </c>
      <c r="U40" s="13">
        <v>57.314122213374979</v>
      </c>
      <c r="W40">
        <v>2045</v>
      </c>
      <c r="X40" s="13">
        <v>52.710155969948644</v>
      </c>
      <c r="Y40" s="13">
        <f t="shared" si="12"/>
        <v>57.314122213374979</v>
      </c>
      <c r="Z40" s="13">
        <v>60.367334202978675</v>
      </c>
      <c r="AB40" s="13">
        <f t="shared" si="4"/>
        <v>55.052520770239184</v>
      </c>
      <c r="AE40" s="33">
        <f t="shared" si="6"/>
        <v>1.7109684773477971</v>
      </c>
      <c r="AG40">
        <v>36</v>
      </c>
      <c r="AH40">
        <v>0</v>
      </c>
    </row>
    <row r="41" spans="1:34">
      <c r="A41">
        <v>2046</v>
      </c>
      <c r="C41" s="13">
        <f t="shared" si="15"/>
        <v>58.485289478647907</v>
      </c>
      <c r="D41" s="84">
        <f t="shared" si="7"/>
        <v>58.804446843539537</v>
      </c>
      <c r="E41" s="84">
        <f>J41-SUM(F$7:F41)</f>
        <v>2.2503856767482735</v>
      </c>
      <c r="F41" s="13">
        <f t="shared" si="8"/>
        <v>0</v>
      </c>
      <c r="G41" s="13">
        <f t="shared" si="9"/>
        <v>0.82766441018842229</v>
      </c>
      <c r="H41" s="13">
        <f t="shared" si="10"/>
        <v>0.82766441018842229</v>
      </c>
      <c r="I41" s="89">
        <f t="shared" si="17"/>
        <v>0</v>
      </c>
      <c r="J41" s="13">
        <f t="shared" si="11"/>
        <v>2.2503856767482735</v>
      </c>
      <c r="K41" s="13"/>
      <c r="L41" s="84">
        <f t="shared" si="14"/>
        <v>58.804446843539537</v>
      </c>
      <c r="M41" s="13">
        <f t="shared" si="2"/>
        <v>58.964401114206858</v>
      </c>
      <c r="N41" s="13">
        <f t="shared" si="13"/>
        <v>2047.8982832312661</v>
      </c>
      <c r="O41" s="13">
        <f t="shared" si="3"/>
        <v>2015.2436229626726</v>
      </c>
      <c r="P41" s="13">
        <f t="shared" si="16"/>
        <v>0.84829932305652667</v>
      </c>
      <c r="R41">
        <v>2046</v>
      </c>
      <c r="S41" s="13">
        <v>58.485289478647907</v>
      </c>
      <c r="T41" s="13">
        <v>58.485289478647907</v>
      </c>
      <c r="U41" s="13">
        <v>58.485289478647907</v>
      </c>
      <c r="W41">
        <v>2046</v>
      </c>
      <c r="X41" s="13">
        <v>54.437918764591011</v>
      </c>
      <c r="Y41" s="13">
        <f t="shared" si="12"/>
        <v>58.485289478647907</v>
      </c>
      <c r="Z41" s="13">
        <v>61.101715411497786</v>
      </c>
      <c r="AB41" s="13">
        <f t="shared" si="4"/>
        <v>56.545881024591303</v>
      </c>
      <c r="AE41" s="33">
        <f t="shared" si="6"/>
        <v>1.9003985868342124</v>
      </c>
      <c r="AG41">
        <v>37</v>
      </c>
      <c r="AH41">
        <v>0</v>
      </c>
    </row>
    <row r="42" spans="1:34">
      <c r="A42">
        <v>2047</v>
      </c>
      <c r="C42" s="13">
        <f t="shared" si="15"/>
        <v>59.497743153981332</v>
      </c>
      <c r="D42" s="84">
        <f t="shared" si="7"/>
        <v>59.782764767434386</v>
      </c>
      <c r="E42" s="84">
        <f>J42-SUM(F$7:F42)</f>
        <v>2.4387497921761669</v>
      </c>
      <c r="F42" s="13">
        <f t="shared" si="8"/>
        <v>0</v>
      </c>
      <c r="G42" s="13">
        <f t="shared" si="9"/>
        <v>0.82766441018842229</v>
      </c>
      <c r="H42" s="13">
        <f t="shared" si="10"/>
        <v>0.82766441018842229</v>
      </c>
      <c r="I42" s="89">
        <f t="shared" si="17"/>
        <v>0</v>
      </c>
      <c r="J42" s="13">
        <f t="shared" si="11"/>
        <v>2.4387497921761669</v>
      </c>
      <c r="K42" s="13"/>
      <c r="L42" s="84">
        <f t="shared" si="14"/>
        <v>59.782764767434386</v>
      </c>
      <c r="M42" s="13">
        <f t="shared" si="2"/>
        <v>59.924633453392424</v>
      </c>
      <c r="N42" s="13">
        <f t="shared" si="13"/>
        <v>2048.8982832312659</v>
      </c>
      <c r="O42" s="13">
        <f t="shared" si="3"/>
        <v>2015.2436229626726</v>
      </c>
      <c r="P42" s="13">
        <f t="shared" si="16"/>
        <v>0.84829932305652667</v>
      </c>
      <c r="R42">
        <v>2047</v>
      </c>
      <c r="S42" s="13">
        <v>59.497743153981332</v>
      </c>
      <c r="T42" s="13">
        <v>59.497743153981332</v>
      </c>
      <c r="U42" s="13">
        <v>59.497743153981332</v>
      </c>
      <c r="W42">
        <v>2047</v>
      </c>
      <c r="X42" s="13">
        <v>55.969317204847243</v>
      </c>
      <c r="Y42" s="13">
        <f t="shared" si="12"/>
        <v>59.497743153981332</v>
      </c>
      <c r="Z42" s="13">
        <v>61.70939168660324</v>
      </c>
      <c r="AB42" s="13">
        <f t="shared" si="4"/>
        <v>57.844191872358913</v>
      </c>
      <c r="AE42" s="33">
        <f t="shared" si="6"/>
        <v>2.0898286963206276</v>
      </c>
      <c r="AG42">
        <v>38</v>
      </c>
      <c r="AH42">
        <v>0</v>
      </c>
    </row>
    <row r="43" spans="1:34">
      <c r="A43">
        <v>2048</v>
      </c>
      <c r="C43" s="13">
        <f t="shared" si="15"/>
        <v>60.367334202978675</v>
      </c>
      <c r="D43" s="84">
        <f t="shared" si="7"/>
        <v>60.618747948417557</v>
      </c>
      <c r="E43" s="84">
        <f>J43-SUM(F$7:F43)</f>
        <v>2.6272696772508564</v>
      </c>
      <c r="F43" s="13">
        <f t="shared" si="8"/>
        <v>0</v>
      </c>
      <c r="G43" s="13">
        <f t="shared" si="9"/>
        <v>0.82766441018842229</v>
      </c>
      <c r="H43" s="13">
        <f t="shared" si="10"/>
        <v>0.82766441018842229</v>
      </c>
      <c r="I43" s="89">
        <f t="shared" si="17"/>
        <v>0</v>
      </c>
      <c r="J43" s="13">
        <f t="shared" si="11"/>
        <v>2.6272696772508564</v>
      </c>
      <c r="K43" s="13"/>
      <c r="L43" s="84">
        <f t="shared" si="14"/>
        <v>60.618747948417557</v>
      </c>
      <c r="M43" s="13">
        <f t="shared" si="2"/>
        <v>60.743126753148196</v>
      </c>
      <c r="N43" s="13">
        <f t="shared" si="13"/>
        <v>2049.8982832312659</v>
      </c>
      <c r="O43" s="13">
        <f t="shared" si="3"/>
        <v>2015.2436229626726</v>
      </c>
      <c r="P43" s="13">
        <f t="shared" si="16"/>
        <v>0.84829932305652667</v>
      </c>
      <c r="R43">
        <v>2048</v>
      </c>
      <c r="S43" s="13">
        <v>60.367334202978675</v>
      </c>
      <c r="T43" s="13">
        <v>60.367334202978675</v>
      </c>
      <c r="U43" s="13">
        <v>60.367334202978675</v>
      </c>
      <c r="W43">
        <v>2048</v>
      </c>
      <c r="X43" s="13">
        <v>57.314122213374979</v>
      </c>
      <c r="Y43" s="13">
        <f t="shared" si="12"/>
        <v>60.367334202978675</v>
      </c>
      <c r="Z43" s="13">
        <v>62.199079529185312</v>
      </c>
      <c r="AB43" s="13">
        <f t="shared" si="4"/>
        <v>58.964401114206858</v>
      </c>
      <c r="AE43" s="33">
        <f t="shared" si="6"/>
        <v>2.2792588058070429</v>
      </c>
      <c r="AG43">
        <v>39</v>
      </c>
      <c r="AH43">
        <v>0</v>
      </c>
    </row>
    <row r="44" spans="1:34">
      <c r="A44">
        <v>2049</v>
      </c>
      <c r="C44" s="13">
        <f t="shared" si="15"/>
        <v>61.101715411497786</v>
      </c>
      <c r="D44" s="84">
        <f t="shared" si="7"/>
        <v>61.329477047486215</v>
      </c>
      <c r="E44" s="84">
        <f>J44-SUM(F$7:F44)</f>
        <v>2.8159264469502832</v>
      </c>
      <c r="F44" s="13">
        <f t="shared" si="8"/>
        <v>0</v>
      </c>
      <c r="G44" s="13">
        <f t="shared" si="9"/>
        <v>0.82766441018842229</v>
      </c>
      <c r="H44" s="13">
        <f t="shared" si="10"/>
        <v>0.82766441018842229</v>
      </c>
      <c r="I44" s="89">
        <f t="shared" si="17"/>
        <v>0</v>
      </c>
      <c r="J44" s="13">
        <f t="shared" si="11"/>
        <v>2.8159264469502832</v>
      </c>
      <c r="K44" s="13"/>
      <c r="L44" s="84">
        <f t="shared" si="14"/>
        <v>61.329477047486215</v>
      </c>
      <c r="M44" s="13">
        <f t="shared" si="2"/>
        <v>61.437470644065527</v>
      </c>
      <c r="N44" s="13">
        <f t="shared" si="13"/>
        <v>2050.8982832312659</v>
      </c>
      <c r="O44" s="13">
        <f t="shared" si="3"/>
        <v>2015.2436229626726</v>
      </c>
      <c r="P44" s="13">
        <f t="shared" si="16"/>
        <v>0.84829932305652667</v>
      </c>
      <c r="R44">
        <v>2049</v>
      </c>
      <c r="S44" s="13">
        <v>61.101715411497786</v>
      </c>
      <c r="T44" s="13">
        <v>61.101715411497786</v>
      </c>
      <c r="U44" s="13">
        <v>61.101715411497786</v>
      </c>
      <c r="W44">
        <v>2049</v>
      </c>
      <c r="X44" s="13">
        <v>58.485289478647907</v>
      </c>
      <c r="Y44" s="13">
        <f t="shared" si="12"/>
        <v>61.101715411497786</v>
      </c>
      <c r="Z44" s="13">
        <v>62.579264263797938</v>
      </c>
      <c r="AB44" s="13">
        <f t="shared" si="4"/>
        <v>59.924633453392424</v>
      </c>
      <c r="AE44" s="33">
        <f t="shared" si="6"/>
        <v>2.468688915293459</v>
      </c>
      <c r="AG44">
        <v>40</v>
      </c>
      <c r="AH44">
        <v>0</v>
      </c>
    </row>
    <row r="45" spans="1:34">
      <c r="A45">
        <v>2050</v>
      </c>
      <c r="C45" s="13">
        <f t="shared" si="15"/>
        <v>61.70939168660324</v>
      </c>
      <c r="D45" s="84">
        <f t="shared" si="7"/>
        <v>61.931097149751878</v>
      </c>
      <c r="E45" s="84">
        <f>J45-SUM(F$7:F45)</f>
        <v>3.0047023108035673</v>
      </c>
      <c r="F45" s="13">
        <f t="shared" si="8"/>
        <v>0</v>
      </c>
      <c r="G45" s="13">
        <f t="shared" si="9"/>
        <v>0.82766441018842229</v>
      </c>
      <c r="H45" s="13">
        <f t="shared" si="10"/>
        <v>0.82766441018842229</v>
      </c>
      <c r="I45" s="89">
        <f t="shared" si="17"/>
        <v>0</v>
      </c>
      <c r="J45" s="13">
        <f t="shared" si="11"/>
        <v>3.0047023108035673</v>
      </c>
      <c r="K45" s="13"/>
      <c r="L45" s="84">
        <f t="shared" si="14"/>
        <v>61.931097149751871</v>
      </c>
      <c r="M45" s="13">
        <f t="shared" si="2"/>
        <v>62.024107777274764</v>
      </c>
      <c r="N45" s="13">
        <f t="shared" si="13"/>
        <v>2051.8982832312659</v>
      </c>
      <c r="O45" s="13">
        <f t="shared" si="3"/>
        <v>2015.2436229626726</v>
      </c>
      <c r="P45" s="13">
        <f t="shared" si="16"/>
        <v>0.84829932305652667</v>
      </c>
      <c r="R45">
        <v>2050</v>
      </c>
      <c r="S45" s="13">
        <v>61.70939168660324</v>
      </c>
      <c r="T45" s="13">
        <v>61.70939168660324</v>
      </c>
      <c r="U45" s="13">
        <v>61.70939168660324</v>
      </c>
      <c r="W45">
        <v>2050</v>
      </c>
      <c r="X45" s="13">
        <v>59.497743153981332</v>
      </c>
      <c r="Y45" s="13">
        <f t="shared" si="12"/>
        <v>61.70939168660324</v>
      </c>
      <c r="Z45" s="13">
        <v>62.857916269972186</v>
      </c>
      <c r="AB45" s="13">
        <f t="shared" si="4"/>
        <v>60.743126753148196</v>
      </c>
      <c r="AE45" s="33">
        <f t="shared" si="6"/>
        <v>2.6581190247798743</v>
      </c>
      <c r="AG45">
        <v>41</v>
      </c>
      <c r="AH45">
        <v>0</v>
      </c>
    </row>
    <row r="46" spans="1:34">
      <c r="A46">
        <v>2051</v>
      </c>
      <c r="C46" s="20">
        <f t="shared" si="15"/>
        <v>62.284456467241213</v>
      </c>
      <c r="D46" s="84">
        <f t="shared" si="7"/>
        <v>62.438480017263423</v>
      </c>
      <c r="E46" s="84">
        <f>J46-SUM(F$7:F46)</f>
        <v>3.1935809267056166</v>
      </c>
      <c r="F46" s="13">
        <f t="shared" si="8"/>
        <v>0</v>
      </c>
      <c r="G46" s="13">
        <f t="shared" si="9"/>
        <v>0.82766441018842229</v>
      </c>
      <c r="H46" s="13">
        <f t="shared" si="10"/>
        <v>0.82766441018842229</v>
      </c>
      <c r="I46" s="89">
        <f t="shared" si="17"/>
        <v>0</v>
      </c>
      <c r="J46" s="13">
        <f t="shared" si="11"/>
        <v>3.1935809267056166</v>
      </c>
      <c r="K46" s="13"/>
      <c r="L46" s="84">
        <f t="shared" si="14"/>
        <v>62.438480017263416</v>
      </c>
      <c r="M46" s="13">
        <f t="shared" si="2"/>
        <v>62.518046609550176</v>
      </c>
      <c r="N46" s="13">
        <f t="shared" si="13"/>
        <v>2052.8982832312659</v>
      </c>
      <c r="O46" s="13">
        <f t="shared" si="3"/>
        <v>2015.2436229626726</v>
      </c>
      <c r="P46" s="13">
        <f t="shared" si="16"/>
        <v>0.84829932305652667</v>
      </c>
      <c r="AB46" s="13">
        <f t="shared" si="4"/>
        <v>61.437470644065527</v>
      </c>
      <c r="AE46" s="33">
        <f t="shared" si="6"/>
        <v>2.8475491342662895</v>
      </c>
      <c r="AG46">
        <v>42</v>
      </c>
      <c r="AH46">
        <v>0</v>
      </c>
    </row>
    <row r="47" spans="1:34">
      <c r="A47">
        <v>2052</v>
      </c>
      <c r="C47" s="20">
        <f t="shared" si="15"/>
        <v>62.806334624531871</v>
      </c>
      <c r="D47" s="84">
        <f t="shared" si="7"/>
        <v>62.806994106591496</v>
      </c>
      <c r="E47" s="84">
        <f>J47-SUM(F$7:F47)</f>
        <v>3.3547932815920025</v>
      </c>
      <c r="F47" s="13">
        <f t="shared" si="8"/>
        <v>0</v>
      </c>
      <c r="G47" s="13">
        <f t="shared" si="9"/>
        <v>0.82766441018842229</v>
      </c>
      <c r="H47" s="13">
        <f t="shared" si="10"/>
        <v>0.82766441018842229</v>
      </c>
      <c r="I47" s="89">
        <f t="shared" si="17"/>
        <v>0</v>
      </c>
      <c r="J47" s="13">
        <f t="shared" si="11"/>
        <v>3.3547932815920025</v>
      </c>
      <c r="K47" s="13"/>
      <c r="L47" s="84">
        <f t="shared" si="14"/>
        <v>62.806994106591503</v>
      </c>
      <c r="M47" s="13">
        <f t="shared" si="2"/>
        <v>62.932733964720718</v>
      </c>
      <c r="N47" s="13">
        <f t="shared" si="13"/>
        <v>2053.8982832312659</v>
      </c>
      <c r="O47" s="13">
        <f t="shared" si="3"/>
        <v>2015.2436229626726</v>
      </c>
      <c r="P47" s="13">
        <f t="shared" si="16"/>
        <v>0.84829932305652667</v>
      </c>
      <c r="AB47" s="13">
        <f t="shared" si="4"/>
        <v>62.024107777274764</v>
      </c>
      <c r="AE47" s="33">
        <f t="shared" si="6"/>
        <v>3.0369792437527057</v>
      </c>
      <c r="AG47">
        <v>43</v>
      </c>
      <c r="AH47">
        <v>0</v>
      </c>
    </row>
    <row r="48" spans="1:34">
      <c r="A48">
        <v>2053</v>
      </c>
      <c r="C48" s="20">
        <f t="shared" si="15"/>
        <v>63.052477554039484</v>
      </c>
      <c r="D48" s="84">
        <f t="shared" si="7"/>
        <v>63.058180769277747</v>
      </c>
      <c r="E48" s="84">
        <f>J48-SUM(F$7:F48)</f>
        <v>3.4804325230386333</v>
      </c>
      <c r="F48" s="13">
        <f t="shared" si="8"/>
        <v>0</v>
      </c>
      <c r="G48" s="13">
        <f t="shared" si="9"/>
        <v>0.82766441018842229</v>
      </c>
      <c r="H48" s="13">
        <f t="shared" si="10"/>
        <v>0.82766441018842229</v>
      </c>
      <c r="I48" s="89">
        <f t="shared" si="17"/>
        <v>0</v>
      </c>
      <c r="J48" s="13">
        <f>LN(L48/(65-L48))</f>
        <v>3.4804325230386333</v>
      </c>
      <c r="K48" s="13"/>
      <c r="L48" s="84">
        <f t="shared" si="14"/>
        <v>63.05818076927774</v>
      </c>
      <c r="M48" s="13">
        <f t="shared" si="2"/>
        <v>63.280041090705936</v>
      </c>
      <c r="N48" s="13">
        <f t="shared" si="13"/>
        <v>2054.8982832312659</v>
      </c>
      <c r="O48" s="13">
        <f t="shared" si="3"/>
        <v>2015.2436229626726</v>
      </c>
      <c r="P48" s="13">
        <f t="shared" si="16"/>
        <v>0.84829932305652667</v>
      </c>
      <c r="AB48" s="13">
        <f t="shared" si="4"/>
        <v>62.518046609550176</v>
      </c>
      <c r="AE48" s="33">
        <f t="shared" si="6"/>
        <v>3.22640935323912</v>
      </c>
      <c r="AG48">
        <v>44</v>
      </c>
      <c r="AH48">
        <v>0</v>
      </c>
    </row>
    <row r="49" spans="1:34">
      <c r="A49">
        <v>2054</v>
      </c>
      <c r="C49" s="20">
        <f t="shared" si="15"/>
        <v>63.276753634896998</v>
      </c>
      <c r="D49" s="84">
        <f t="shared" si="7"/>
        <v>63.808218231900163</v>
      </c>
      <c r="E49" s="84">
        <f>J49-SUM(F$7:F49)</f>
        <v>3.9804325230386333</v>
      </c>
      <c r="F49" s="13">
        <f t="shared" si="8"/>
        <v>0</v>
      </c>
      <c r="G49" s="13">
        <f t="shared" si="9"/>
        <v>0.82766441018842229</v>
      </c>
      <c r="H49" s="13">
        <f t="shared" si="10"/>
        <v>0.82766441018842229</v>
      </c>
      <c r="I49" s="89">
        <f t="shared" si="17"/>
        <v>0</v>
      </c>
      <c r="J49" s="13">
        <f>J48+0.5</f>
        <v>3.9804325230386333</v>
      </c>
      <c r="K49" s="13"/>
      <c r="L49" s="84">
        <f>AVERAGE(M45:M50)</f>
        <v>62.885835270610578</v>
      </c>
      <c r="M49" s="13">
        <f t="shared" si="2"/>
        <v>63.280041090705936</v>
      </c>
      <c r="N49" s="13">
        <f t="shared" si="13"/>
        <v>2055.8982832312659</v>
      </c>
      <c r="O49" s="13">
        <f t="shared" si="3"/>
        <v>2015.2436229626726</v>
      </c>
      <c r="P49" s="13">
        <f t="shared" si="16"/>
        <v>0.84829932305652667</v>
      </c>
      <c r="AB49" s="13">
        <f t="shared" si="4"/>
        <v>62.932733964720718</v>
      </c>
      <c r="AE49" s="33">
        <f t="shared" si="6"/>
        <v>3.4158394627255362</v>
      </c>
      <c r="AG49">
        <v>45</v>
      </c>
      <c r="AH49">
        <v>0</v>
      </c>
    </row>
    <row r="50" spans="1:34">
      <c r="A50">
        <v>2055</v>
      </c>
      <c r="C50" s="20">
        <f t="shared" si="15"/>
        <v>63.486322039305392</v>
      </c>
      <c r="D50" s="84">
        <f>65*EXP(E50)/(1+EXP(E50))</f>
        <v>64.271895049452155</v>
      </c>
      <c r="E50" s="84">
        <f>J50-SUM(F$7:F50)</f>
        <v>4.4804325230386333</v>
      </c>
      <c r="F50" s="13">
        <f t="shared" si="8"/>
        <v>0</v>
      </c>
      <c r="G50" s="13">
        <f t="shared" si="9"/>
        <v>0.82766441018842229</v>
      </c>
      <c r="H50" s="13">
        <f t="shared" si="10"/>
        <v>0.82766441018842229</v>
      </c>
      <c r="I50" s="89">
        <f t="shared" si="17"/>
        <v>0</v>
      </c>
      <c r="J50" s="13">
        <f>J49+0.5</f>
        <v>4.4804325230386333</v>
      </c>
      <c r="K50" s="13"/>
      <c r="L50" s="84">
        <f>AVERAGE(M45:M50)</f>
        <v>62.885835270610578</v>
      </c>
      <c r="M50" s="13">
        <f t="shared" si="2"/>
        <v>63.280041090705936</v>
      </c>
      <c r="N50" s="13">
        <f t="shared" si="13"/>
        <v>2056.8982832312659</v>
      </c>
      <c r="O50" s="13">
        <f t="shared" si="3"/>
        <v>2015.2436229626726</v>
      </c>
      <c r="P50" s="13">
        <f t="shared" si="16"/>
        <v>0.84829932305652667</v>
      </c>
      <c r="AB50" s="13">
        <f t="shared" si="4"/>
        <v>63.280041090705936</v>
      </c>
      <c r="AE50" s="33">
        <f t="shared" si="6"/>
        <v>3.6052695722119505</v>
      </c>
      <c r="AG50">
        <v>46</v>
      </c>
      <c r="AH50">
        <v>0</v>
      </c>
    </row>
    <row r="56" spans="1:34">
      <c r="Y56" s="41" t="str">
        <f>' All EV uptake'!D46</f>
        <v>Intercept</v>
      </c>
      <c r="Z56" s="41">
        <f>' All EV uptake'!E46</f>
        <v>2006.0956444042549</v>
      </c>
      <c r="AC56" s="41" t="s">
        <v>159</v>
      </c>
      <c r="AD56" s="41">
        <v>-5.1085154641631583</v>
      </c>
    </row>
    <row r="57" spans="1:34">
      <c r="Y57" s="41" t="str">
        <f>' All EV uptake'!D47</f>
        <v>EV/FFV cost ratio</v>
      </c>
      <c r="Z57" s="41">
        <f>' All EV uptake'!E47</f>
        <v>10.783904112355547</v>
      </c>
      <c r="AC57" t="s">
        <v>329</v>
      </c>
      <c r="AD57" s="41">
        <v>0.18943010948641542</v>
      </c>
    </row>
    <row r="58" spans="1:34" ht="15.75" thickBot="1">
      <c r="Y58" s="41" t="str">
        <f>' All EV uptake'!D48</f>
        <v>dumKorea</v>
      </c>
      <c r="Z58" s="41">
        <f>' All EV uptake'!E48</f>
        <v>3.2747008164932261</v>
      </c>
      <c r="AC58" t="s">
        <v>1325</v>
      </c>
      <c r="AD58" s="42">
        <v>-0.7298220306823785</v>
      </c>
    </row>
    <row r="59" spans="1:34">
      <c r="C59" t="s">
        <v>1219</v>
      </c>
      <c r="D59" s="13">
        <f>K69</f>
        <v>2.0317658238874801</v>
      </c>
      <c r="Y59" s="41" t="str">
        <f>' All EV uptake'!D49</f>
        <v>dumUK</v>
      </c>
      <c r="Z59" s="41">
        <f>' All EV uptake'!E49</f>
        <v>2.7276845521810786</v>
      </c>
    </row>
    <row r="60" spans="1:34">
      <c r="Y60" s="41" t="str">
        <f>' All EV uptake'!D50</f>
        <v>dumNeth</v>
      </c>
      <c r="Z60" s="41">
        <f>' All EV uptake'!E50</f>
        <v>-1.2544269368470402</v>
      </c>
    </row>
    <row r="61" spans="1:34">
      <c r="F61" s="242">
        <v>2016</v>
      </c>
      <c r="G61" s="242"/>
      <c r="H61" s="242">
        <v>2017</v>
      </c>
      <c r="I61" s="242"/>
      <c r="J61" s="242">
        <v>2018</v>
      </c>
      <c r="K61" s="242"/>
      <c r="Y61" s="41" t="str">
        <f>' All EV uptake'!D51</f>
        <v>dumChina</v>
      </c>
      <c r="Z61" s="41">
        <f>' All EV uptake'!E51</f>
        <v>1.6840641661301363</v>
      </c>
    </row>
    <row r="62" spans="1:34">
      <c r="E62" t="s">
        <v>1235</v>
      </c>
      <c r="F62">
        <v>8106</v>
      </c>
      <c r="H62">
        <v>9346</v>
      </c>
      <c r="J62">
        <v>10893</v>
      </c>
      <c r="Y62" s="41" t="str">
        <f>' All EV uptake'!D52</f>
        <v>dumDenmark</v>
      </c>
      <c r="Z62" s="41">
        <f>' All EV uptake'!E52</f>
        <v>3.2654872236791634</v>
      </c>
    </row>
    <row r="63" spans="1:34">
      <c r="E63" t="s">
        <v>1236</v>
      </c>
      <c r="F63">
        <v>8049</v>
      </c>
      <c r="G63">
        <f>F62+F63</f>
        <v>16155</v>
      </c>
      <c r="H63">
        <v>9112</v>
      </c>
      <c r="I63">
        <f>H62+H63</f>
        <v>18458</v>
      </c>
      <c r="J63">
        <v>10601</v>
      </c>
      <c r="K63">
        <f>J62+J63</f>
        <v>21494</v>
      </c>
      <c r="Y63" s="41" t="str">
        <f>' All EV uptake'!D53</f>
        <v>dumIreland</v>
      </c>
      <c r="Z63" s="41">
        <f>' All EV uptake'!E53</f>
        <v>3.5582490934682056</v>
      </c>
    </row>
    <row r="64" spans="1:34">
      <c r="E64" t="s">
        <v>1237</v>
      </c>
      <c r="F64">
        <v>5511</v>
      </c>
      <c r="H64">
        <v>7894</v>
      </c>
      <c r="Y64" s="41" t="str">
        <f>' All EV uptake'!D54</f>
        <v>dumNZ</v>
      </c>
      <c r="Z64" s="41">
        <f>' All EV uptake'!E54</f>
        <v>1.900474768762227</v>
      </c>
    </row>
    <row r="65" spans="5:26">
      <c r="E65" t="s">
        <v>1238</v>
      </c>
      <c r="F65" s="18">
        <v>7539</v>
      </c>
      <c r="G65" s="18">
        <f>SUM(F64:F65)</f>
        <v>13050</v>
      </c>
      <c r="H65" s="18">
        <v>10536</v>
      </c>
      <c r="I65" s="18">
        <f>SUM(H64:H65)</f>
        <v>18430</v>
      </c>
      <c r="J65" s="18"/>
      <c r="K65" s="18">
        <f>K63*I65/I63</f>
        <v>21461.394517282479</v>
      </c>
      <c r="Y65" s="41" t="str">
        <f>' All EV uptake'!D55</f>
        <v>dumSwitzerland</v>
      </c>
      <c r="Z65" s="41">
        <f>' All EV uptake'!E55</f>
        <v>-2.1041729879229703</v>
      </c>
    </row>
    <row r="66" spans="5:26">
      <c r="F66" s="3">
        <f>SUM(F62:F65)</f>
        <v>29205</v>
      </c>
      <c r="G66" s="3">
        <f>SUM(G62:G65)</f>
        <v>29205</v>
      </c>
      <c r="H66" s="3">
        <f>SUM(H62:H65)</f>
        <v>36888</v>
      </c>
      <c r="I66" s="3">
        <f>SUM(I62:I65)</f>
        <v>36888</v>
      </c>
      <c r="J66" s="3"/>
      <c r="K66" s="3">
        <f>SUM(K62:K65)</f>
        <v>42955.394517282475</v>
      </c>
      <c r="Y66" s="41" t="str">
        <f>' All EV uptake'!D56</f>
        <v>dumSpain</v>
      </c>
      <c r="Z66" s="41">
        <f>' All EV uptake'!E56</f>
        <v>4.4168133039283006</v>
      </c>
    </row>
    <row r="67" spans="5:26">
      <c r="Y67" s="41" t="str">
        <f>' All EV uptake'!D57</f>
        <v>dumIndia</v>
      </c>
      <c r="Z67" s="41">
        <f>' All EV uptake'!E57</f>
        <v>8.3918907463589623</v>
      </c>
    </row>
    <row r="68" spans="5:26">
      <c r="Y68" s="41" t="str">
        <f>' All EV uptake'!D58</f>
        <v>dumUSA</v>
      </c>
      <c r="Z68" s="41">
        <f>' All EV uptake'!E58</f>
        <v>2.1386885311349126</v>
      </c>
    </row>
    <row r="69" spans="5:26">
      <c r="F69" s="13">
        <f>B11</f>
        <v>1.4710174625667114</v>
      </c>
      <c r="H69" s="13">
        <f>B12</f>
        <v>1.7447815007590544</v>
      </c>
      <c r="I69" s="13">
        <f>F69*H66/F66</f>
        <v>1.8580000739312053</v>
      </c>
      <c r="K69" s="13">
        <f>H69*K66/H66</f>
        <v>2.0317658238874801</v>
      </c>
      <c r="Y69" s="41" t="str">
        <f>' All EV uptake'!D59</f>
        <v>dumAustria</v>
      </c>
      <c r="Z69" s="41">
        <f>' All EV uptake'!E59</f>
        <v>-0.86657486911619475</v>
      </c>
    </row>
    <row r="70" spans="5:26">
      <c r="Y70" s="41" t="str">
        <f>' All EV uptake'!D60</f>
        <v>dumItaly</v>
      </c>
      <c r="Z70" s="41">
        <f>' All EV uptake'!E60</f>
        <v>2.0513905871244105</v>
      </c>
    </row>
    <row r="71" spans="5:26">
      <c r="Y71" s="41" t="str">
        <f>' All EV uptake'!D61</f>
        <v>dumJapan</v>
      </c>
      <c r="Z71" s="41">
        <f>' All EV uptake'!E61</f>
        <v>4.0948893434577212</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37"/>
  <sheetViews>
    <sheetView topLeftCell="A91" zoomScale="75" zoomScaleNormal="75" workbookViewId="0">
      <selection activeCell="P117" sqref="P117:AC137"/>
    </sheetView>
  </sheetViews>
  <sheetFormatPr defaultRowHeight="15"/>
  <cols>
    <col min="2" max="2" width="12.140625" customWidth="1"/>
    <col min="3" max="3" width="10.42578125" customWidth="1"/>
    <col min="7" max="7" width="13.42578125" customWidth="1"/>
    <col min="10" max="10" width="12.7109375" customWidth="1"/>
    <col min="21" max="21" width="15.28515625" customWidth="1"/>
    <col min="22" max="22" width="13.85546875" customWidth="1"/>
    <col min="25" max="27" width="14.7109375" customWidth="1"/>
    <col min="28" max="28" width="15.42578125" customWidth="1"/>
    <col min="29" max="29" width="14.7109375" customWidth="1"/>
  </cols>
  <sheetData>
    <row r="1" spans="1:38">
      <c r="A1" t="s">
        <v>5</v>
      </c>
      <c r="B1" t="s">
        <v>1395</v>
      </c>
      <c r="C1" t="s">
        <v>793</v>
      </c>
      <c r="E1" t="s">
        <v>793</v>
      </c>
      <c r="F1" t="s">
        <v>793</v>
      </c>
      <c r="G1" t="s">
        <v>793</v>
      </c>
      <c r="H1" t="s">
        <v>793</v>
      </c>
      <c r="U1" t="s">
        <v>730</v>
      </c>
      <c r="V1" s="33" t="s">
        <v>715</v>
      </c>
      <c r="W1" s="87" t="s">
        <v>1181</v>
      </c>
      <c r="X1" s="87" t="s">
        <v>1181</v>
      </c>
      <c r="Y1" s="87" t="s">
        <v>1181</v>
      </c>
      <c r="AH1" t="s">
        <v>5</v>
      </c>
      <c r="AI1" t="s">
        <v>324</v>
      </c>
      <c r="AK1" t="s">
        <v>5</v>
      </c>
      <c r="AL1" t="s">
        <v>324</v>
      </c>
    </row>
    <row r="2" spans="1:38">
      <c r="B2" t="s">
        <v>710</v>
      </c>
      <c r="C2" t="s">
        <v>710</v>
      </c>
      <c r="D2" t="s">
        <v>714</v>
      </c>
      <c r="E2" t="s">
        <v>269</v>
      </c>
      <c r="F2" t="s">
        <v>721</v>
      </c>
      <c r="G2" t="s">
        <v>755</v>
      </c>
      <c r="H2" t="s">
        <v>269</v>
      </c>
      <c r="J2" t="s">
        <v>994</v>
      </c>
      <c r="P2" t="s">
        <v>269</v>
      </c>
      <c r="Q2" t="s">
        <v>717</v>
      </c>
      <c r="R2" t="s">
        <v>725</v>
      </c>
      <c r="V2" s="33"/>
      <c r="W2" s="87" t="s">
        <v>338</v>
      </c>
      <c r="X2" s="87" t="s">
        <v>1182</v>
      </c>
      <c r="Y2" s="87" t="s">
        <v>1183</v>
      </c>
      <c r="AD2" t="s">
        <v>708</v>
      </c>
      <c r="AH2" t="s">
        <v>860</v>
      </c>
      <c r="AI2" t="s">
        <v>861</v>
      </c>
      <c r="AJ2" t="s">
        <v>850</v>
      </c>
      <c r="AK2" t="s">
        <v>862</v>
      </c>
      <c r="AL2" t="s">
        <v>862</v>
      </c>
    </row>
    <row r="3" spans="1:38">
      <c r="A3">
        <v>2009</v>
      </c>
      <c r="B3" s="3">
        <f>X3</f>
        <v>29.592572886961211</v>
      </c>
      <c r="C3" s="3">
        <f t="shared" ref="C3:C24" si="0">B3*AD3*1000</f>
        <v>21302.040969337188</v>
      </c>
      <c r="D3" s="12">
        <v>19.780267558528433</v>
      </c>
      <c r="E3" s="3">
        <f t="shared" ref="E3:E11" si="1">C3*(100+D3)/100</f>
        <v>25515.641668499429</v>
      </c>
      <c r="F3" s="3">
        <f t="shared" ref="F3:F24" si="2">AK3</f>
        <v>-5425.2309317736372</v>
      </c>
      <c r="G3" s="3">
        <f>Austria!I3</f>
        <v>1450</v>
      </c>
      <c r="H3" s="3">
        <f>E3+F3+G3</f>
        <v>21540.410736725793</v>
      </c>
      <c r="J3">
        <v>50</v>
      </c>
      <c r="O3">
        <v>2009</v>
      </c>
      <c r="P3" s="3">
        <f t="shared" ref="P3:P24" si="3">H3</f>
        <v>21540.410736725793</v>
      </c>
      <c r="Q3" s="3">
        <f t="shared" ref="Q3:Q24" si="4">H28</f>
        <v>23710.503109435245</v>
      </c>
      <c r="R3" s="3">
        <f>E53</f>
        <v>19831.319183269236</v>
      </c>
      <c r="T3">
        <v>2009</v>
      </c>
      <c r="U3" s="3">
        <f>'Vehicle price'!X5</f>
        <v>23</v>
      </c>
      <c r="V3">
        <v>1</v>
      </c>
      <c r="W3" s="3">
        <f t="shared" ref="W3:W24" si="5">X3*V3</f>
        <v>29.592572886961211</v>
      </c>
      <c r="X3" s="3">
        <f>'Vehicle price'!T5</f>
        <v>29.592572886961211</v>
      </c>
      <c r="Y3" s="3">
        <f>X3*Z3</f>
        <v>29.592572886961211</v>
      </c>
      <c r="Z3">
        <v>1</v>
      </c>
      <c r="AC3">
        <v>2009</v>
      </c>
      <c r="AD3">
        <v>0.71984416666666673</v>
      </c>
      <c r="AG3">
        <v>2009</v>
      </c>
      <c r="AH3" s="3">
        <v>-5000</v>
      </c>
      <c r="AI3">
        <v>-3000</v>
      </c>
      <c r="AJ3" s="13">
        <f>CPIs!I48</f>
        <v>98.493406442625087</v>
      </c>
      <c r="AK3" s="3">
        <f>AH3*AJ$11/AJ3</f>
        <v>-5425.2309317736372</v>
      </c>
      <c r="AL3" s="3">
        <f>AI3*AJ$11/AJ3</f>
        <v>-3255.1385590641821</v>
      </c>
    </row>
    <row r="4" spans="1:38">
      <c r="A4">
        <v>2010</v>
      </c>
      <c r="B4" s="3">
        <f t="shared" ref="B4:B24" si="6">X4</f>
        <v>30</v>
      </c>
      <c r="C4" s="3">
        <f t="shared" si="0"/>
        <v>22760.138776915202</v>
      </c>
      <c r="D4" s="12">
        <v>22.025418060200671</v>
      </c>
      <c r="E4" s="3">
        <f t="shared" si="1"/>
        <v>27773.154493612619</v>
      </c>
      <c r="F4" s="3">
        <f t="shared" si="2"/>
        <v>-5343.4947520828246</v>
      </c>
      <c r="G4" s="3">
        <f>Austria!I4</f>
        <v>1450</v>
      </c>
      <c r="H4" s="3">
        <f t="shared" ref="H4:H24" si="7">E4+F4+G4</f>
        <v>23879.659741529795</v>
      </c>
      <c r="J4">
        <v>50</v>
      </c>
      <c r="O4">
        <v>2010</v>
      </c>
      <c r="P4" s="3">
        <f t="shared" si="3"/>
        <v>23879.659741529795</v>
      </c>
      <c r="Q4" s="3">
        <f t="shared" si="4"/>
        <v>26017.057642362925</v>
      </c>
      <c r="R4" s="3">
        <f t="shared" ref="R4:R12" si="8">E54</f>
        <v>21292.751778436344</v>
      </c>
      <c r="T4">
        <v>2010</v>
      </c>
      <c r="U4" s="3">
        <f>'Vehicle price'!X6</f>
        <v>23</v>
      </c>
      <c r="V4">
        <v>1</v>
      </c>
      <c r="W4" s="3">
        <f t="shared" si="5"/>
        <v>30</v>
      </c>
      <c r="X4" s="3">
        <f>'Vehicle price'!T6</f>
        <v>30</v>
      </c>
      <c r="Y4" s="3">
        <f t="shared" ref="Y4:Y24" si="9">X4*Z4</f>
        <v>30</v>
      </c>
      <c r="Z4">
        <v>1</v>
      </c>
      <c r="AC4">
        <v>2010</v>
      </c>
      <c r="AD4">
        <v>0.75867129256384003</v>
      </c>
      <c r="AF4" s="3"/>
      <c r="AG4">
        <v>2010</v>
      </c>
      <c r="AH4" s="3">
        <v>-5000</v>
      </c>
      <c r="AI4">
        <v>-3000</v>
      </c>
      <c r="AJ4" s="13">
        <f>CPIs!I49</f>
        <v>100</v>
      </c>
      <c r="AK4" s="3">
        <f t="shared" ref="AK4:AK12" si="10">AH4*AJ$11/AJ4</f>
        <v>-5343.4947520828246</v>
      </c>
      <c r="AL4" s="3">
        <f t="shared" ref="AL4:AL12" si="11">AI4*AJ$11/AJ4</f>
        <v>-3206.0968512496947</v>
      </c>
    </row>
    <row r="5" spans="1:38">
      <c r="A5">
        <v>2011</v>
      </c>
      <c r="B5" s="3">
        <f t="shared" si="6"/>
        <v>30</v>
      </c>
      <c r="C5" s="3">
        <f t="shared" si="0"/>
        <v>21463.232997813917</v>
      </c>
      <c r="D5" s="12">
        <v>24.551137123745818</v>
      </c>
      <c r="E5" s="3">
        <f t="shared" si="1"/>
        <v>26732.700762296274</v>
      </c>
      <c r="F5" s="3">
        <f t="shared" si="2"/>
        <v>-5232.6932548873001</v>
      </c>
      <c r="G5" s="3">
        <f>Austria!I5</f>
        <v>1450</v>
      </c>
      <c r="H5" s="3">
        <f t="shared" si="7"/>
        <v>22950.007507408973</v>
      </c>
      <c r="J5">
        <v>50</v>
      </c>
      <c r="O5">
        <v>2011</v>
      </c>
      <c r="P5" s="3">
        <f t="shared" si="3"/>
        <v>22950.007507408973</v>
      </c>
      <c r="Q5" s="3">
        <f t="shared" si="4"/>
        <v>25043.084809363892</v>
      </c>
      <c r="R5" s="3">
        <f t="shared" si="8"/>
        <v>20495.07058442714</v>
      </c>
      <c r="T5">
        <v>2011</v>
      </c>
      <c r="U5" s="3">
        <f>'Vehicle price'!X7</f>
        <v>23</v>
      </c>
      <c r="V5">
        <v>1</v>
      </c>
      <c r="W5" s="3">
        <f t="shared" si="5"/>
        <v>30</v>
      </c>
      <c r="X5" s="3">
        <f>'Vehicle price'!T7</f>
        <v>30</v>
      </c>
      <c r="Y5" s="3">
        <f t="shared" si="9"/>
        <v>30</v>
      </c>
      <c r="Z5">
        <v>1</v>
      </c>
      <c r="AC5">
        <v>2011</v>
      </c>
      <c r="AD5">
        <v>0.71544109992713056</v>
      </c>
      <c r="AF5" s="3"/>
      <c r="AG5">
        <v>2011</v>
      </c>
      <c r="AH5" s="3">
        <v>-5000</v>
      </c>
      <c r="AI5">
        <v>-3000</v>
      </c>
      <c r="AJ5" s="13">
        <f>CPIs!I50</f>
        <v>102.11748504638672</v>
      </c>
      <c r="AK5" s="3">
        <f t="shared" si="10"/>
        <v>-5232.6932548873001</v>
      </c>
      <c r="AL5" s="3">
        <f t="shared" si="11"/>
        <v>-3139.6159529323795</v>
      </c>
    </row>
    <row r="6" spans="1:38">
      <c r="A6">
        <v>2012</v>
      </c>
      <c r="B6" s="3">
        <f t="shared" si="6"/>
        <v>30.842462459493706</v>
      </c>
      <c r="C6" s="3">
        <f t="shared" si="0"/>
        <v>23868.964632772961</v>
      </c>
      <c r="D6" s="12">
        <v>25.670361204013371</v>
      </c>
      <c r="E6" s="3">
        <f t="shared" si="1"/>
        <v>29996.214069663984</v>
      </c>
      <c r="F6" s="3">
        <f t="shared" si="2"/>
        <v>-5132.3209971973047</v>
      </c>
      <c r="G6" s="3">
        <f>Austria!I6</f>
        <v>1450</v>
      </c>
      <c r="H6" s="3">
        <f t="shared" si="7"/>
        <v>26313.893072466679</v>
      </c>
      <c r="J6">
        <v>50</v>
      </c>
      <c r="O6">
        <v>2012</v>
      </c>
      <c r="P6" s="3">
        <f t="shared" si="3"/>
        <v>26313.893072466679</v>
      </c>
      <c r="Q6" s="3">
        <f t="shared" si="4"/>
        <v>28366.8214713456</v>
      </c>
      <c r="R6" s="3">
        <f t="shared" si="8"/>
        <v>22368.93129101978</v>
      </c>
      <c r="T6">
        <v>2012</v>
      </c>
      <c r="U6" s="3">
        <f>'Vehicle price'!X8</f>
        <v>23</v>
      </c>
      <c r="V6">
        <v>1</v>
      </c>
      <c r="W6" s="3">
        <f t="shared" si="5"/>
        <v>30.842462459493706</v>
      </c>
      <c r="X6" s="3">
        <f>'Vehicle price'!T8</f>
        <v>30.842462459493706</v>
      </c>
      <c r="Y6" s="3">
        <f t="shared" si="9"/>
        <v>30.842462459493706</v>
      </c>
      <c r="Z6">
        <v>1</v>
      </c>
      <c r="AC6">
        <v>2012</v>
      </c>
      <c r="AD6">
        <v>0.773899446716382</v>
      </c>
      <c r="AF6" s="3"/>
      <c r="AG6">
        <v>2012</v>
      </c>
      <c r="AH6" s="3">
        <v>-5000</v>
      </c>
      <c r="AI6">
        <v>-3000</v>
      </c>
      <c r="AJ6" s="13">
        <f>CPIs!I51</f>
        <v>104.11458587646484</v>
      </c>
      <c r="AK6" s="3">
        <f t="shared" si="10"/>
        <v>-5132.3209971973047</v>
      </c>
      <c r="AL6" s="3">
        <f t="shared" si="11"/>
        <v>-3079.3925983183826</v>
      </c>
    </row>
    <row r="7" spans="1:38">
      <c r="A7">
        <v>2013</v>
      </c>
      <c r="B7" s="3">
        <f t="shared" si="6"/>
        <v>31.143929334439989</v>
      </c>
      <c r="C7" s="3">
        <f t="shared" si="0"/>
        <v>23409.918880648976</v>
      </c>
      <c r="D7" s="12">
        <v>25.191404682274243</v>
      </c>
      <c r="E7" s="3">
        <f t="shared" si="1"/>
        <v>29307.206281665382</v>
      </c>
      <c r="F7" s="3">
        <f t="shared" si="2"/>
        <v>-7123.7284773159436</v>
      </c>
      <c r="G7" s="3">
        <f>Austria!I7</f>
        <v>1450</v>
      </c>
      <c r="H7" s="3">
        <f t="shared" si="7"/>
        <v>23633.477804349437</v>
      </c>
      <c r="J7">
        <v>50</v>
      </c>
      <c r="O7">
        <v>2013</v>
      </c>
      <c r="P7" s="3">
        <f t="shared" si="3"/>
        <v>23633.477804349437</v>
      </c>
      <c r="Q7" s="3">
        <f t="shared" si="4"/>
        <v>27704.17979138712</v>
      </c>
      <c r="R7" s="3">
        <f t="shared" si="8"/>
        <v>21643.567747660527</v>
      </c>
      <c r="T7">
        <v>2013</v>
      </c>
      <c r="U7" s="3">
        <f>'Vehicle price'!X9</f>
        <v>23</v>
      </c>
      <c r="V7">
        <v>1</v>
      </c>
      <c r="W7" s="3">
        <f t="shared" si="5"/>
        <v>31.143929334439989</v>
      </c>
      <c r="X7" s="3">
        <f>'Vehicle price'!T9</f>
        <v>31.143929334439989</v>
      </c>
      <c r="Y7" s="3">
        <f t="shared" si="9"/>
        <v>31.143929334439989</v>
      </c>
      <c r="Z7">
        <v>1</v>
      </c>
      <c r="AC7">
        <v>2013</v>
      </c>
      <c r="AD7">
        <v>0.75166876437654617</v>
      </c>
      <c r="AF7" s="3"/>
      <c r="AG7">
        <v>2013</v>
      </c>
      <c r="AH7" s="3">
        <v>-7000</v>
      </c>
      <c r="AI7">
        <v>-3000</v>
      </c>
      <c r="AJ7" s="13">
        <f>CPIs!I52</f>
        <v>105.01372528076172</v>
      </c>
      <c r="AK7" s="3">
        <f t="shared" si="10"/>
        <v>-7123.7284773159436</v>
      </c>
      <c r="AL7" s="3">
        <f t="shared" si="11"/>
        <v>-3053.026490278261</v>
      </c>
    </row>
    <row r="8" spans="1:38">
      <c r="A8">
        <v>2014</v>
      </c>
      <c r="B8" s="3">
        <f t="shared" si="6"/>
        <v>33.541755956678692</v>
      </c>
      <c r="C8" s="3">
        <f t="shared" si="0"/>
        <v>25404.118038119632</v>
      </c>
      <c r="D8" s="12">
        <v>24.865197278911573</v>
      </c>
      <c r="E8" s="3">
        <f t="shared" si="1"/>
        <v>31720.902105265643</v>
      </c>
      <c r="F8" s="3">
        <f t="shared" si="2"/>
        <v>-6378.9699009320357</v>
      </c>
      <c r="G8" s="3">
        <f>Austria!I8</f>
        <v>1450</v>
      </c>
      <c r="H8" s="3">
        <f t="shared" si="7"/>
        <v>26791.932204333607</v>
      </c>
      <c r="J8">
        <v>50</v>
      </c>
      <c r="O8">
        <v>2014</v>
      </c>
      <c r="P8" s="3">
        <f t="shared" si="3"/>
        <v>26791.932204333607</v>
      </c>
      <c r="Q8" s="3">
        <f t="shared" si="4"/>
        <v>30133.297390536103</v>
      </c>
      <c r="R8" s="3">
        <f t="shared" si="8"/>
        <v>21751.417825691937</v>
      </c>
      <c r="T8">
        <v>2014</v>
      </c>
      <c r="U8" s="3">
        <f>'Vehicle price'!X10</f>
        <v>23</v>
      </c>
      <c r="V8">
        <v>1</v>
      </c>
      <c r="W8" s="3">
        <f t="shared" si="5"/>
        <v>33.541755956678692</v>
      </c>
      <c r="X8" s="3">
        <f>'Vehicle price'!T10</f>
        <v>33.541755956678692</v>
      </c>
      <c r="Y8" s="3">
        <f t="shared" si="9"/>
        <v>33.541755956678692</v>
      </c>
      <c r="Z8">
        <v>1</v>
      </c>
      <c r="AC8">
        <v>2014</v>
      </c>
      <c r="AD8">
        <v>0.757387838338895</v>
      </c>
      <c r="AF8" s="3"/>
      <c r="AG8">
        <v>2014</v>
      </c>
      <c r="AH8" s="3">
        <v>-6300</v>
      </c>
      <c r="AI8">
        <v>-3000</v>
      </c>
      <c r="AJ8" s="13">
        <f>CPIs!I53</f>
        <v>105.546875</v>
      </c>
      <c r="AK8" s="3">
        <f t="shared" si="10"/>
        <v>-6378.9699009320357</v>
      </c>
      <c r="AL8" s="3">
        <f t="shared" si="11"/>
        <v>-3037.6047147295403</v>
      </c>
    </row>
    <row r="9" spans="1:38">
      <c r="A9">
        <v>2015</v>
      </c>
      <c r="B9" s="3">
        <f t="shared" si="6"/>
        <v>30</v>
      </c>
      <c r="C9" s="3">
        <f t="shared" si="0"/>
        <v>27177.76686239925</v>
      </c>
      <c r="D9" s="12">
        <v>22.606176870748303</v>
      </c>
      <c r="E9" s="3">
        <f t="shared" si="1"/>
        <v>33321.620908832847</v>
      </c>
      <c r="F9" s="3">
        <f t="shared" si="2"/>
        <v>-6376.5587978232697</v>
      </c>
      <c r="G9" s="3">
        <f>Austria!I9</f>
        <v>1450</v>
      </c>
      <c r="H9" s="3">
        <f t="shared" si="7"/>
        <v>28395.062111009578</v>
      </c>
      <c r="J9">
        <v>50</v>
      </c>
      <c r="O9">
        <v>2015</v>
      </c>
      <c r="P9" s="3">
        <f t="shared" si="3"/>
        <v>28395.062111009578</v>
      </c>
      <c r="Q9" s="3">
        <f t="shared" si="4"/>
        <v>31735.164338440813</v>
      </c>
      <c r="R9" s="3">
        <f t="shared" si="8"/>
        <v>25546.576030105181</v>
      </c>
      <c r="T9">
        <v>2015</v>
      </c>
      <c r="U9" s="3">
        <f>'Vehicle price'!X11</f>
        <v>23</v>
      </c>
      <c r="V9">
        <v>1</v>
      </c>
      <c r="W9" s="3">
        <f t="shared" si="5"/>
        <v>30</v>
      </c>
      <c r="X9" s="3">
        <f>'Vehicle price'!T11</f>
        <v>30</v>
      </c>
      <c r="Y9" s="3">
        <f t="shared" si="9"/>
        <v>30</v>
      </c>
      <c r="Z9">
        <v>1</v>
      </c>
      <c r="AC9">
        <v>2015</v>
      </c>
      <c r="AD9">
        <v>0.90592556207997499</v>
      </c>
      <c r="AF9" s="3"/>
      <c r="AG9">
        <v>2015</v>
      </c>
      <c r="AH9" s="3">
        <v>-6300</v>
      </c>
      <c r="AI9">
        <v>-3000</v>
      </c>
      <c r="AJ9" s="13">
        <f>CPIs!I54</f>
        <v>105.58678436279297</v>
      </c>
      <c r="AK9" s="3">
        <f t="shared" si="10"/>
        <v>-6376.5587978232697</v>
      </c>
      <c r="AL9" s="3">
        <f t="shared" si="11"/>
        <v>-3036.456570392033</v>
      </c>
    </row>
    <row r="10" spans="1:38">
      <c r="A10">
        <v>2016</v>
      </c>
      <c r="B10" s="3">
        <f t="shared" si="6"/>
        <v>30</v>
      </c>
      <c r="C10" s="3">
        <f t="shared" si="0"/>
        <v>27202.412312659035</v>
      </c>
      <c r="D10" s="12">
        <v>21.686123333333327</v>
      </c>
      <c r="E10" s="3">
        <f t="shared" si="1"/>
        <v>33101.560996424123</v>
      </c>
      <c r="F10" s="3">
        <f t="shared" si="2"/>
        <v>-6364.89</v>
      </c>
      <c r="G10" s="3">
        <f>Austria!I10</f>
        <v>1450</v>
      </c>
      <c r="H10" s="3">
        <f t="shared" si="7"/>
        <v>28186.670996424124</v>
      </c>
      <c r="J10">
        <v>50</v>
      </c>
      <c r="O10">
        <v>2016</v>
      </c>
      <c r="P10" s="3">
        <f t="shared" si="3"/>
        <v>28186.670996424124</v>
      </c>
      <c r="Q10" s="3">
        <f t="shared" si="4"/>
        <v>33541.260996424127</v>
      </c>
      <c r="R10" s="3">
        <f t="shared" si="8"/>
        <v>25377.863430591831</v>
      </c>
      <c r="T10">
        <v>2016</v>
      </c>
      <c r="U10" s="3">
        <f>'Vehicle price'!X12</f>
        <v>23</v>
      </c>
      <c r="V10">
        <v>1</v>
      </c>
      <c r="W10" s="3">
        <f t="shared" si="5"/>
        <v>30</v>
      </c>
      <c r="X10" s="3">
        <f>'Vehicle price'!T12</f>
        <v>30</v>
      </c>
      <c r="Y10" s="3">
        <f t="shared" si="9"/>
        <v>30</v>
      </c>
      <c r="Z10">
        <v>1</v>
      </c>
      <c r="AC10">
        <v>2016</v>
      </c>
      <c r="AD10">
        <v>0.90674707708863456</v>
      </c>
      <c r="AF10" s="3"/>
      <c r="AG10">
        <v>2016</v>
      </c>
      <c r="AH10" s="3">
        <v>-6300</v>
      </c>
      <c r="AI10">
        <v>-1000</v>
      </c>
      <c r="AJ10" s="13">
        <f>CPIs!I55</f>
        <v>105.78035736083984</v>
      </c>
      <c r="AK10" s="3">
        <f t="shared" si="10"/>
        <v>-6364.89</v>
      </c>
      <c r="AL10" s="3">
        <f t="shared" si="11"/>
        <v>-1010.3</v>
      </c>
    </row>
    <row r="11" spans="1:38">
      <c r="A11">
        <v>2017</v>
      </c>
      <c r="B11" s="3">
        <f t="shared" si="6"/>
        <v>30</v>
      </c>
      <c r="C11" s="3">
        <f t="shared" si="0"/>
        <v>26462.003510368591</v>
      </c>
      <c r="D11" s="12">
        <v>22.922933333333333</v>
      </c>
      <c r="E11" s="3">
        <f t="shared" si="1"/>
        <v>32527.870933714708</v>
      </c>
      <c r="F11" s="3">
        <f t="shared" si="2"/>
        <v>-6000</v>
      </c>
      <c r="G11" s="3">
        <f>Austria!I11</f>
        <v>1450</v>
      </c>
      <c r="H11" s="3">
        <f t="shared" si="7"/>
        <v>27977.870933714708</v>
      </c>
      <c r="J11">
        <v>50</v>
      </c>
      <c r="O11">
        <v>2017</v>
      </c>
      <c r="P11" s="3">
        <f t="shared" si="3"/>
        <v>27977.870933714708</v>
      </c>
      <c r="Q11" s="3">
        <f t="shared" si="4"/>
        <v>32977.870933714708</v>
      </c>
      <c r="R11" s="3">
        <f t="shared" si="8"/>
        <v>24938.034382514612</v>
      </c>
      <c r="T11">
        <v>2017</v>
      </c>
      <c r="U11" s="3">
        <f>'Vehicle price'!X13</f>
        <v>23</v>
      </c>
      <c r="V11">
        <v>1</v>
      </c>
      <c r="W11" s="3">
        <f t="shared" si="5"/>
        <v>30</v>
      </c>
      <c r="X11" s="3">
        <f>'Vehicle price'!T13</f>
        <v>30</v>
      </c>
      <c r="Y11" s="3">
        <f t="shared" si="9"/>
        <v>30</v>
      </c>
      <c r="Z11">
        <v>1</v>
      </c>
      <c r="AC11">
        <v>2017</v>
      </c>
      <c r="AD11">
        <v>0.88206678367895308</v>
      </c>
      <c r="AF11" s="3"/>
      <c r="AG11">
        <v>2017</v>
      </c>
      <c r="AH11">
        <v>-6000</v>
      </c>
      <c r="AI11">
        <v>-1000</v>
      </c>
      <c r="AJ11" s="13">
        <f>CPIs!I56</f>
        <v>106.86989504165649</v>
      </c>
      <c r="AK11" s="3">
        <f t="shared" si="10"/>
        <v>-6000</v>
      </c>
      <c r="AL11" s="3">
        <f t="shared" si="11"/>
        <v>-1000</v>
      </c>
    </row>
    <row r="12" spans="1:38">
      <c r="A12">
        <v>2018</v>
      </c>
      <c r="B12" s="3">
        <f t="shared" si="6"/>
        <v>30.592100851060948</v>
      </c>
      <c r="C12" s="3">
        <f t="shared" si="0"/>
        <v>26003.285723401805</v>
      </c>
      <c r="D12" s="83">
        <v>23</v>
      </c>
      <c r="E12" s="3">
        <f>(C12)*(100+D12)/100</f>
        <v>31984.041439784221</v>
      </c>
      <c r="F12" s="3">
        <f t="shared" si="2"/>
        <v>-5938.8300504800554</v>
      </c>
      <c r="G12" s="3">
        <f>Austria!I12</f>
        <v>1450</v>
      </c>
      <c r="H12" s="3">
        <f t="shared" si="7"/>
        <v>27495.211389304168</v>
      </c>
      <c r="J12">
        <v>50</v>
      </c>
      <c r="O12">
        <v>2018</v>
      </c>
      <c r="P12" s="3">
        <f t="shared" si="3"/>
        <v>27495.211389304168</v>
      </c>
      <c r="Q12" s="3">
        <f t="shared" si="4"/>
        <v>32444.236431370879</v>
      </c>
      <c r="R12" s="3">
        <f t="shared" si="8"/>
        <v>24046.5</v>
      </c>
      <c r="T12">
        <v>2018</v>
      </c>
      <c r="U12" s="3">
        <f>'Vehicle price'!X14</f>
        <v>23</v>
      </c>
      <c r="V12">
        <v>1</v>
      </c>
      <c r="W12" s="3">
        <f t="shared" si="5"/>
        <v>30.592100851060948</v>
      </c>
      <c r="X12" s="3">
        <f>'Vehicle price'!T14</f>
        <v>30.592100851060948</v>
      </c>
      <c r="Y12" s="3">
        <f t="shared" si="9"/>
        <v>30.592100851060948</v>
      </c>
      <c r="Z12">
        <v>1</v>
      </c>
      <c r="AC12">
        <v>2018</v>
      </c>
      <c r="AD12" s="14">
        <v>0.85</v>
      </c>
      <c r="AF12" s="3"/>
      <c r="AG12">
        <v>2018</v>
      </c>
      <c r="AH12">
        <v>-6000</v>
      </c>
      <c r="AI12">
        <v>-1000</v>
      </c>
      <c r="AJ12" s="20">
        <f>AJ11*AJ11/AJ10</f>
        <v>107.97065496058555</v>
      </c>
      <c r="AK12" s="3">
        <f t="shared" si="10"/>
        <v>-5938.8300504800554</v>
      </c>
      <c r="AL12" s="3">
        <f t="shared" si="11"/>
        <v>-989.80500841334265</v>
      </c>
    </row>
    <row r="13" spans="1:38">
      <c r="A13">
        <v>2019</v>
      </c>
      <c r="B13" s="3">
        <f t="shared" si="6"/>
        <v>31.172994053473918</v>
      </c>
      <c r="C13" s="3">
        <f t="shared" si="0"/>
        <v>26497.044945452828</v>
      </c>
      <c r="D13" s="83">
        <v>23</v>
      </c>
      <c r="E13" s="3">
        <f t="shared" ref="E13:E24" si="12">(C13)*(100+D13)/100</f>
        <v>32591.36528290698</v>
      </c>
      <c r="F13" s="3">
        <f t="shared" si="2"/>
        <v>-5878.2837280808235</v>
      </c>
      <c r="G13" s="3">
        <f>Austria!I13</f>
        <v>1450</v>
      </c>
      <c r="H13" s="3">
        <f t="shared" si="7"/>
        <v>28163.081554826156</v>
      </c>
      <c r="I13" s="3"/>
      <c r="J13">
        <v>50</v>
      </c>
      <c r="K13" s="3"/>
      <c r="L13" s="3"/>
      <c r="M13" s="3"/>
      <c r="N13" s="3"/>
      <c r="O13">
        <v>2019</v>
      </c>
      <c r="P13" s="3">
        <f t="shared" si="3"/>
        <v>28163.081554826156</v>
      </c>
      <c r="Q13" s="3">
        <f t="shared" si="4"/>
        <v>33061.651328226842</v>
      </c>
      <c r="R13" s="3">
        <f t="shared" ref="R13:R24" si="13">E63</f>
        <v>24046.5</v>
      </c>
      <c r="S13" s="3"/>
      <c r="T13">
        <v>2019</v>
      </c>
      <c r="U13" s="3">
        <f>'Vehicle price'!X15</f>
        <v>23</v>
      </c>
      <c r="V13" s="20">
        <f>V12+(V24-V12)/12</f>
        <v>1.0249999999999999</v>
      </c>
      <c r="W13" s="3">
        <f t="shared" si="5"/>
        <v>31.952318904810763</v>
      </c>
      <c r="X13" s="3">
        <f>'Vehicle price'!T15</f>
        <v>31.172994053473918</v>
      </c>
      <c r="Y13" s="3">
        <f t="shared" si="9"/>
        <v>30.393669202137069</v>
      </c>
      <c r="Z13" s="20">
        <f>Z12+(Z24-Z12)/12</f>
        <v>0.97499999999999998</v>
      </c>
      <c r="AC13">
        <v>2019</v>
      </c>
      <c r="AD13" s="14">
        <v>0.85</v>
      </c>
      <c r="AF13" s="3"/>
      <c r="AG13">
        <v>2019</v>
      </c>
      <c r="AH13">
        <v>-6000</v>
      </c>
      <c r="AI13">
        <v>-1000</v>
      </c>
      <c r="AJ13" s="20">
        <f t="shared" ref="AJ13:AJ24" si="14">AJ12*AJ12/AJ11</f>
        <v>109.08275270667957</v>
      </c>
      <c r="AK13" s="3">
        <f t="shared" ref="AK13:AK24" si="15">AH13*AJ$11/AJ13</f>
        <v>-5878.2837280808235</v>
      </c>
      <c r="AL13" s="3">
        <f t="shared" ref="AL13:AL24" si="16">AI13*AJ$11/AJ13</f>
        <v>-979.71395468013725</v>
      </c>
    </row>
    <row r="14" spans="1:38">
      <c r="A14">
        <v>2020</v>
      </c>
      <c r="B14" s="3">
        <f t="shared" si="6"/>
        <v>30.985903123425071</v>
      </c>
      <c r="C14" s="3">
        <f t="shared" si="0"/>
        <v>26338.017654911313</v>
      </c>
      <c r="D14" s="83">
        <v>23</v>
      </c>
      <c r="E14" s="3">
        <f t="shared" si="12"/>
        <v>32395.761715540913</v>
      </c>
      <c r="F14" s="3">
        <f t="shared" si="2"/>
        <v>-5818.3546749290545</v>
      </c>
      <c r="G14" s="3">
        <f>Austria!I14</f>
        <v>1450</v>
      </c>
      <c r="H14" s="3">
        <f t="shared" si="7"/>
        <v>28027.407040611859</v>
      </c>
      <c r="I14" s="3"/>
      <c r="J14">
        <v>50</v>
      </c>
      <c r="K14" s="3"/>
      <c r="L14" s="3"/>
      <c r="M14" s="3"/>
      <c r="N14" s="3"/>
      <c r="O14">
        <v>2020</v>
      </c>
      <c r="P14" s="3">
        <f t="shared" si="3"/>
        <v>28027.407040611859</v>
      </c>
      <c r="Q14" s="3">
        <f t="shared" si="4"/>
        <v>32876.03593638607</v>
      </c>
      <c r="R14" s="3">
        <f t="shared" si="13"/>
        <v>24046.5</v>
      </c>
      <c r="S14" s="3"/>
      <c r="T14">
        <v>2020</v>
      </c>
      <c r="U14" s="3">
        <f>'Vehicle price'!X16</f>
        <v>23</v>
      </c>
      <c r="V14" s="20">
        <f>V13+(V24-V12)/12</f>
        <v>1.0499999999999998</v>
      </c>
      <c r="W14" s="3">
        <f t="shared" si="5"/>
        <v>32.535198279596322</v>
      </c>
      <c r="X14" s="3">
        <f>'Vehicle price'!T16</f>
        <v>30.985903123425071</v>
      </c>
      <c r="Y14" s="3">
        <f t="shared" si="9"/>
        <v>29.436607967253817</v>
      </c>
      <c r="Z14" s="20">
        <f>Z13+(Z24-Z12)/12</f>
        <v>0.95</v>
      </c>
      <c r="AC14">
        <v>2020</v>
      </c>
      <c r="AD14" s="14">
        <v>0.85</v>
      </c>
      <c r="AF14" s="3"/>
      <c r="AG14">
        <v>2020</v>
      </c>
      <c r="AH14">
        <v>-6000</v>
      </c>
      <c r="AI14">
        <v>-1000</v>
      </c>
      <c r="AJ14" s="20">
        <f t="shared" si="14"/>
        <v>110.20630505955836</v>
      </c>
      <c r="AK14" s="3">
        <f t="shared" si="15"/>
        <v>-5818.3546749290545</v>
      </c>
      <c r="AL14" s="3">
        <f t="shared" si="16"/>
        <v>-969.72577915484248</v>
      </c>
    </row>
    <row r="15" spans="1:38">
      <c r="A15">
        <v>2021</v>
      </c>
      <c r="B15" s="3">
        <f t="shared" si="6"/>
        <v>30.206708843097807</v>
      </c>
      <c r="C15" s="3">
        <f t="shared" si="0"/>
        <v>25675.702516633137</v>
      </c>
      <c r="D15" s="83">
        <v>23</v>
      </c>
      <c r="E15" s="3">
        <f t="shared" si="12"/>
        <v>31581.114095458757</v>
      </c>
      <c r="F15" s="3">
        <f t="shared" si="2"/>
        <v>-5759.0365979699645</v>
      </c>
      <c r="G15" s="3">
        <f>Austria!I15</f>
        <v>1450</v>
      </c>
      <c r="H15" s="3">
        <f t="shared" si="7"/>
        <v>27272.077497488794</v>
      </c>
      <c r="I15" s="3"/>
      <c r="J15">
        <v>50</v>
      </c>
      <c r="K15" s="3"/>
      <c r="L15" s="3"/>
      <c r="M15" s="3"/>
      <c r="N15" s="3"/>
      <c r="O15">
        <v>2021</v>
      </c>
      <c r="P15" s="3">
        <f t="shared" si="3"/>
        <v>27272.077497488794</v>
      </c>
      <c r="Q15" s="3">
        <f t="shared" si="4"/>
        <v>32071.274662463762</v>
      </c>
      <c r="R15" s="3">
        <f t="shared" si="13"/>
        <v>24046.5</v>
      </c>
      <c r="S15" s="3"/>
      <c r="T15">
        <v>2021</v>
      </c>
      <c r="U15" s="3">
        <f>'Vehicle price'!X17</f>
        <v>23</v>
      </c>
      <c r="V15" s="20">
        <f>V14+(V24-V12)/12</f>
        <v>1.0749999999999997</v>
      </c>
      <c r="W15" s="3">
        <f t="shared" si="5"/>
        <v>32.472212006330132</v>
      </c>
      <c r="X15" s="3">
        <f>'Vehicle price'!T17</f>
        <v>30.206708843097807</v>
      </c>
      <c r="Y15" s="3">
        <f t="shared" si="9"/>
        <v>27.941205679865469</v>
      </c>
      <c r="Z15" s="20">
        <f>Z14+(Z24-Z12)/12</f>
        <v>0.92499999999999993</v>
      </c>
      <c r="AC15">
        <v>2021</v>
      </c>
      <c r="AD15" s="14">
        <v>0.85</v>
      </c>
      <c r="AF15" s="3"/>
      <c r="AG15">
        <v>2021</v>
      </c>
      <c r="AH15">
        <v>-6000</v>
      </c>
      <c r="AI15">
        <v>-1000</v>
      </c>
      <c r="AJ15" s="20">
        <f t="shared" si="14"/>
        <v>111.34143000167181</v>
      </c>
      <c r="AK15" s="3">
        <f t="shared" si="15"/>
        <v>-5759.0365979699645</v>
      </c>
      <c r="AL15" s="3">
        <f t="shared" si="16"/>
        <v>-959.83943299499401</v>
      </c>
    </row>
    <row r="16" spans="1:38">
      <c r="A16">
        <v>2022</v>
      </c>
      <c r="B16" s="3">
        <f t="shared" si="6"/>
        <v>30.642454642697771</v>
      </c>
      <c r="C16" s="3">
        <f t="shared" si="0"/>
        <v>26046.086446293106</v>
      </c>
      <c r="D16" s="83">
        <v>23</v>
      </c>
      <c r="E16" s="3">
        <f t="shared" si="12"/>
        <v>32036.686328940523</v>
      </c>
      <c r="F16" s="3">
        <f t="shared" si="2"/>
        <v>-5700.323268306408</v>
      </c>
      <c r="G16" s="3">
        <f>Austria!I16</f>
        <v>1450</v>
      </c>
      <c r="H16" s="3">
        <f t="shared" si="7"/>
        <v>27786.363060634114</v>
      </c>
      <c r="I16" s="3"/>
      <c r="J16">
        <v>50</v>
      </c>
      <c r="K16" s="3"/>
      <c r="L16" s="3"/>
      <c r="M16" s="3"/>
      <c r="N16" s="3"/>
      <c r="O16">
        <v>2022</v>
      </c>
      <c r="P16" s="3">
        <f t="shared" si="3"/>
        <v>27786.363060634114</v>
      </c>
      <c r="Q16" s="3">
        <f t="shared" si="4"/>
        <v>32536.632450889454</v>
      </c>
      <c r="R16" s="3">
        <f t="shared" si="13"/>
        <v>24046.5</v>
      </c>
      <c r="S16" s="3"/>
      <c r="T16">
        <v>2022</v>
      </c>
      <c r="U16" s="3">
        <f>'Vehicle price'!X18</f>
        <v>23</v>
      </c>
      <c r="V16" s="20">
        <f>V15+(V24-V12)/12</f>
        <v>1.0999999999999996</v>
      </c>
      <c r="W16" s="3">
        <f t="shared" si="5"/>
        <v>33.706700106967538</v>
      </c>
      <c r="X16" s="3">
        <f>'Vehicle price'!T18</f>
        <v>30.642454642697771</v>
      </c>
      <c r="Y16" s="3">
        <f t="shared" si="9"/>
        <v>27.57820917842799</v>
      </c>
      <c r="Z16" s="20">
        <f>Z15+(Z24-Z12)/12</f>
        <v>0.89999999999999991</v>
      </c>
      <c r="AC16">
        <v>2022</v>
      </c>
      <c r="AD16" s="14">
        <v>0.85</v>
      </c>
      <c r="AF16" s="3"/>
      <c r="AG16">
        <v>2022</v>
      </c>
      <c r="AH16">
        <v>-6000</v>
      </c>
      <c r="AI16">
        <v>-1000</v>
      </c>
      <c r="AJ16" s="20">
        <f t="shared" si="14"/>
        <v>112.48824673068903</v>
      </c>
      <c r="AK16" s="3">
        <f t="shared" si="15"/>
        <v>-5700.323268306408</v>
      </c>
      <c r="AL16" s="3">
        <f t="shared" si="16"/>
        <v>-950.05387805106807</v>
      </c>
    </row>
    <row r="17" spans="1:38">
      <c r="A17">
        <v>2023</v>
      </c>
      <c r="B17" s="3">
        <f t="shared" si="6"/>
        <v>30.361546257811007</v>
      </c>
      <c r="C17" s="3">
        <f t="shared" si="0"/>
        <v>25807.314319139354</v>
      </c>
      <c r="D17" s="83">
        <v>23</v>
      </c>
      <c r="E17" s="3">
        <f t="shared" si="12"/>
        <v>31742.996612541407</v>
      </c>
      <c r="F17" s="3">
        <f t="shared" si="2"/>
        <v>-5642.2085205447966</v>
      </c>
      <c r="G17" s="3">
        <f>Austria!I17</f>
        <v>1450</v>
      </c>
      <c r="H17" s="3">
        <f t="shared" si="7"/>
        <v>27550.788091996612</v>
      </c>
      <c r="I17" s="3"/>
      <c r="J17">
        <v>50</v>
      </c>
      <c r="K17" s="3"/>
      <c r="L17" s="3"/>
      <c r="M17" s="3"/>
      <c r="N17" s="3"/>
      <c r="O17">
        <v>2023</v>
      </c>
      <c r="P17" s="3">
        <f t="shared" si="3"/>
        <v>27550.788091996612</v>
      </c>
      <c r="Q17" s="3">
        <f t="shared" si="4"/>
        <v>32252.628525783941</v>
      </c>
      <c r="R17" s="3">
        <f t="shared" si="13"/>
        <v>24046.5</v>
      </c>
      <c r="S17" s="3"/>
      <c r="T17">
        <v>2023</v>
      </c>
      <c r="U17" s="3">
        <f>'Vehicle price'!X19</f>
        <v>23</v>
      </c>
      <c r="V17" s="20">
        <f>V16+(V24-V12)/12</f>
        <v>1.1249999999999996</v>
      </c>
      <c r="W17" s="3">
        <f t="shared" si="5"/>
        <v>34.156739540037371</v>
      </c>
      <c r="X17" s="3">
        <f>'Vehicle price'!T19</f>
        <v>30.361546257811007</v>
      </c>
      <c r="Y17" s="3">
        <f t="shared" si="9"/>
        <v>26.566352975584628</v>
      </c>
      <c r="Z17" s="20">
        <f>Z16+(Z24-Z12)/12</f>
        <v>0.87499999999999989</v>
      </c>
      <c r="AC17">
        <v>2023</v>
      </c>
      <c r="AD17" s="14">
        <v>0.85</v>
      </c>
      <c r="AF17" s="3"/>
      <c r="AG17">
        <v>2023</v>
      </c>
      <c r="AH17">
        <v>-6000</v>
      </c>
      <c r="AI17">
        <v>-1000</v>
      </c>
      <c r="AJ17" s="20">
        <f t="shared" si="14"/>
        <v>113.64687567201513</v>
      </c>
      <c r="AK17" s="3">
        <f t="shared" si="15"/>
        <v>-5642.2085205447966</v>
      </c>
      <c r="AL17" s="3">
        <f t="shared" si="16"/>
        <v>-940.36808675746613</v>
      </c>
    </row>
    <row r="18" spans="1:38">
      <c r="A18">
        <v>2024</v>
      </c>
      <c r="B18" s="3">
        <f t="shared" si="6"/>
        <v>29.275640447464834</v>
      </c>
      <c r="C18" s="3">
        <f t="shared" si="0"/>
        <v>24884.294380345105</v>
      </c>
      <c r="D18" s="83">
        <v>23</v>
      </c>
      <c r="E18" s="3">
        <f t="shared" si="12"/>
        <v>30607.68208782448</v>
      </c>
      <c r="F18" s="3">
        <f t="shared" si="2"/>
        <v>-5584.6862521476751</v>
      </c>
      <c r="G18" s="3">
        <f>Austria!I18</f>
        <v>1450</v>
      </c>
      <c r="H18" s="3">
        <f t="shared" si="7"/>
        <v>26472.995835676804</v>
      </c>
      <c r="I18" s="3"/>
      <c r="J18">
        <v>50</v>
      </c>
      <c r="K18" s="3"/>
      <c r="L18" s="3"/>
      <c r="M18" s="3"/>
      <c r="N18" s="3"/>
      <c r="O18">
        <v>2024</v>
      </c>
      <c r="P18" s="3">
        <f t="shared" si="3"/>
        <v>26472.995835676804</v>
      </c>
      <c r="Q18" s="3">
        <f t="shared" si="4"/>
        <v>31126.901045799867</v>
      </c>
      <c r="R18" s="3">
        <f t="shared" si="13"/>
        <v>24046.5</v>
      </c>
      <c r="S18" s="3"/>
      <c r="T18">
        <v>2024</v>
      </c>
      <c r="U18" s="3">
        <f>'Vehicle price'!X20</f>
        <v>23</v>
      </c>
      <c r="V18" s="20">
        <f>V17+(V24-V12)/12</f>
        <v>1.1499999999999995</v>
      </c>
      <c r="W18" s="3">
        <f t="shared" si="5"/>
        <v>33.666986514584543</v>
      </c>
      <c r="X18" s="3">
        <f>'Vehicle price'!T20</f>
        <v>29.275640447464834</v>
      </c>
      <c r="Y18" s="3">
        <f t="shared" si="9"/>
        <v>24.884294380345104</v>
      </c>
      <c r="Z18" s="20">
        <f>Z17+(Z24-Z12)/12</f>
        <v>0.84999999999999987</v>
      </c>
      <c r="AC18">
        <v>2024</v>
      </c>
      <c r="AD18" s="14">
        <v>0.85</v>
      </c>
      <c r="AF18" s="3"/>
      <c r="AG18">
        <v>2024</v>
      </c>
      <c r="AH18">
        <v>-6000</v>
      </c>
      <c r="AI18">
        <v>-1000</v>
      </c>
      <c r="AJ18" s="20">
        <f t="shared" si="14"/>
        <v>114.81743849143689</v>
      </c>
      <c r="AK18" s="3">
        <f t="shared" si="15"/>
        <v>-5584.6862521476751</v>
      </c>
      <c r="AL18" s="3">
        <f t="shared" si="16"/>
        <v>-930.78104202461259</v>
      </c>
    </row>
    <row r="19" spans="1:38">
      <c r="A19">
        <v>2025</v>
      </c>
      <c r="B19" s="3">
        <f t="shared" si="6"/>
        <v>28.343375828936317</v>
      </c>
      <c r="C19" s="3">
        <f t="shared" si="0"/>
        <v>24091.869454595868</v>
      </c>
      <c r="D19" s="83">
        <v>23</v>
      </c>
      <c r="E19" s="3">
        <f t="shared" si="12"/>
        <v>29632.999429152915</v>
      </c>
      <c r="F19" s="3">
        <f t="shared" si="2"/>
        <v>-5527.7504227929085</v>
      </c>
      <c r="G19" s="3">
        <f>Austria!I19</f>
        <v>1450</v>
      </c>
      <c r="H19" s="3">
        <f t="shared" si="7"/>
        <v>25555.249006360005</v>
      </c>
      <c r="I19" s="3"/>
      <c r="J19">
        <v>50</v>
      </c>
      <c r="K19" s="3"/>
      <c r="L19" s="3"/>
      <c r="M19" s="3"/>
      <c r="N19" s="3"/>
      <c r="O19">
        <v>2025</v>
      </c>
      <c r="P19" s="3">
        <f t="shared" si="3"/>
        <v>25555.249006360005</v>
      </c>
      <c r="Q19" s="3">
        <f t="shared" si="4"/>
        <v>30161.707692020762</v>
      </c>
      <c r="R19" s="3">
        <f t="shared" si="13"/>
        <v>24046.5</v>
      </c>
      <c r="S19" s="3"/>
      <c r="T19">
        <v>2025</v>
      </c>
      <c r="U19" s="3">
        <f>'Vehicle price'!X21</f>
        <v>23</v>
      </c>
      <c r="V19" s="20">
        <f>V18+(V24-V12)/12</f>
        <v>1.1749999999999994</v>
      </c>
      <c r="W19" s="3">
        <f t="shared" si="5"/>
        <v>33.303466599000153</v>
      </c>
      <c r="X19" s="3">
        <f>'Vehicle price'!T21</f>
        <v>28.343375828936317</v>
      </c>
      <c r="Y19" s="3">
        <f t="shared" si="9"/>
        <v>23.383285058872456</v>
      </c>
      <c r="Z19" s="20">
        <f>Z18+(Z24-Z12)/12</f>
        <v>0.82499999999999984</v>
      </c>
      <c r="AC19">
        <v>2025</v>
      </c>
      <c r="AD19" s="14">
        <v>0.85</v>
      </c>
      <c r="AF19" s="3"/>
      <c r="AG19">
        <v>2025</v>
      </c>
      <c r="AH19">
        <v>-6000</v>
      </c>
      <c r="AI19">
        <v>-1000</v>
      </c>
      <c r="AJ19" s="20">
        <f t="shared" si="14"/>
        <v>116.0000581078987</v>
      </c>
      <c r="AK19" s="3">
        <f t="shared" si="15"/>
        <v>-5527.7504227929085</v>
      </c>
      <c r="AL19" s="3">
        <f t="shared" si="16"/>
        <v>-921.29173713215141</v>
      </c>
    </row>
    <row r="20" spans="1:38">
      <c r="A20">
        <v>2026</v>
      </c>
      <c r="B20" s="3">
        <f t="shared" si="6"/>
        <v>27.812270474504896</v>
      </c>
      <c r="C20" s="3">
        <f t="shared" si="0"/>
        <v>23640.429903329161</v>
      </c>
      <c r="D20" s="83">
        <v>23</v>
      </c>
      <c r="E20" s="3">
        <f t="shared" si="12"/>
        <v>29077.728781094869</v>
      </c>
      <c r="F20" s="3">
        <f t="shared" si="2"/>
        <v>-5471.3950537393921</v>
      </c>
      <c r="G20" s="3">
        <f>Austria!I20</f>
        <v>1450</v>
      </c>
      <c r="H20" s="3">
        <f t="shared" si="7"/>
        <v>25056.333727355479</v>
      </c>
      <c r="I20" s="3"/>
      <c r="J20">
        <v>50</v>
      </c>
      <c r="K20" s="3"/>
      <c r="L20" s="3"/>
      <c r="M20" s="3"/>
      <c r="N20" s="3"/>
      <c r="O20">
        <v>2026</v>
      </c>
      <c r="P20" s="3">
        <f t="shared" si="3"/>
        <v>25056.333727355479</v>
      </c>
      <c r="Q20" s="3">
        <f t="shared" si="4"/>
        <v>29615.829605471637</v>
      </c>
      <c r="R20" s="3">
        <f t="shared" si="13"/>
        <v>24046.5</v>
      </c>
      <c r="S20" s="3"/>
      <c r="T20">
        <v>2026</v>
      </c>
      <c r="U20" s="3">
        <f>'Vehicle price'!X22</f>
        <v>23</v>
      </c>
      <c r="V20" s="20">
        <f>V19+(V24-V12)/12</f>
        <v>1.1999999999999993</v>
      </c>
      <c r="W20" s="3">
        <f t="shared" si="5"/>
        <v>33.374724569405856</v>
      </c>
      <c r="X20" s="3">
        <f>'Vehicle price'!T22</f>
        <v>27.812270474504896</v>
      </c>
      <c r="Y20" s="3">
        <f t="shared" si="9"/>
        <v>22.24981637960391</v>
      </c>
      <c r="Z20" s="20">
        <f>Z19+(Z24-Z12)/12</f>
        <v>0.79999999999999982</v>
      </c>
      <c r="AC20">
        <v>2026</v>
      </c>
      <c r="AD20" s="14">
        <v>0.85</v>
      </c>
      <c r="AF20" s="3"/>
      <c r="AG20">
        <v>2026</v>
      </c>
      <c r="AH20">
        <v>-6000</v>
      </c>
      <c r="AI20">
        <v>-1000</v>
      </c>
      <c r="AJ20" s="20">
        <f t="shared" si="14"/>
        <v>117.19485870641006</v>
      </c>
      <c r="AK20" s="3">
        <f t="shared" si="15"/>
        <v>-5471.3950537393921</v>
      </c>
      <c r="AL20" s="3">
        <f t="shared" si="16"/>
        <v>-911.89917562323205</v>
      </c>
    </row>
    <row r="21" spans="1:38">
      <c r="A21">
        <v>2027</v>
      </c>
      <c r="B21" s="3">
        <f t="shared" si="6"/>
        <v>27.281165120073478</v>
      </c>
      <c r="C21" s="3">
        <f t="shared" si="0"/>
        <v>23188.990352062454</v>
      </c>
      <c r="D21" s="83">
        <v>23</v>
      </c>
      <c r="E21" s="3">
        <f t="shared" si="12"/>
        <v>28522.45813303682</v>
      </c>
      <c r="F21" s="3">
        <f t="shared" si="2"/>
        <v>-5415.6142271992403</v>
      </c>
      <c r="G21" s="3">
        <f>Austria!I21</f>
        <v>1450</v>
      </c>
      <c r="H21" s="3">
        <f t="shared" si="7"/>
        <v>24556.843905837581</v>
      </c>
      <c r="I21" s="3"/>
      <c r="J21">
        <v>50</v>
      </c>
      <c r="K21" s="3"/>
      <c r="L21" s="3"/>
      <c r="M21" s="3"/>
      <c r="N21" s="3"/>
      <c r="O21">
        <v>2027</v>
      </c>
      <c r="P21" s="3">
        <f t="shared" si="3"/>
        <v>24556.843905837581</v>
      </c>
      <c r="Q21" s="3">
        <f t="shared" si="4"/>
        <v>29069.855761836945</v>
      </c>
      <c r="R21" s="3">
        <f t="shared" si="13"/>
        <v>24046.5</v>
      </c>
      <c r="S21" s="3"/>
      <c r="T21">
        <v>2027</v>
      </c>
      <c r="U21" s="3">
        <f>'Vehicle price'!X23</f>
        <v>23</v>
      </c>
      <c r="V21" s="20">
        <f>V20+(V24-V12)/12</f>
        <v>1.2249999999999992</v>
      </c>
      <c r="W21" s="3">
        <f t="shared" si="5"/>
        <v>33.41942727208999</v>
      </c>
      <c r="X21" s="3">
        <f>'Vehicle price'!T23</f>
        <v>27.281165120073478</v>
      </c>
      <c r="Y21" s="3">
        <f t="shared" si="9"/>
        <v>21.142902968056941</v>
      </c>
      <c r="Z21" s="20">
        <f>Z20+(Z24-Z12)/12</f>
        <v>0.7749999999999998</v>
      </c>
      <c r="AC21">
        <v>2027</v>
      </c>
      <c r="AD21" s="14">
        <v>0.85</v>
      </c>
      <c r="AF21" s="3"/>
      <c r="AG21">
        <v>2027</v>
      </c>
      <c r="AH21">
        <v>-6000</v>
      </c>
      <c r="AI21">
        <v>-1000</v>
      </c>
      <c r="AJ21" s="20">
        <f t="shared" si="14"/>
        <v>118.40196575108608</v>
      </c>
      <c r="AK21" s="3">
        <f t="shared" si="15"/>
        <v>-5415.6142271992403</v>
      </c>
      <c r="AL21" s="3">
        <f t="shared" si="16"/>
        <v>-902.60237119987335</v>
      </c>
    </row>
    <row r="22" spans="1:38">
      <c r="A22">
        <v>2028</v>
      </c>
      <c r="B22" s="3">
        <f t="shared" si="6"/>
        <v>26.683671596338133</v>
      </c>
      <c r="C22" s="3">
        <f t="shared" si="0"/>
        <v>22681.12085688741</v>
      </c>
      <c r="D22" s="83">
        <v>23</v>
      </c>
      <c r="E22" s="3">
        <f t="shared" si="12"/>
        <v>27897.778653971516</v>
      </c>
      <c r="F22" s="3">
        <f t="shared" si="2"/>
        <v>-5360.4020857163614</v>
      </c>
      <c r="G22" s="3">
        <f>Austria!I22</f>
        <v>1450</v>
      </c>
      <c r="H22" s="3">
        <f t="shared" si="7"/>
        <v>23987.376568255153</v>
      </c>
      <c r="I22" s="3"/>
      <c r="J22">
        <v>50</v>
      </c>
      <c r="K22" s="3"/>
      <c r="L22" s="3"/>
      <c r="M22" s="3"/>
      <c r="N22" s="3"/>
      <c r="O22">
        <v>2028</v>
      </c>
      <c r="P22" s="3">
        <f t="shared" si="3"/>
        <v>23987.376568255153</v>
      </c>
      <c r="Q22" s="3">
        <f t="shared" si="4"/>
        <v>28454.378306352122</v>
      </c>
      <c r="R22" s="3">
        <f t="shared" si="13"/>
        <v>24046.5</v>
      </c>
      <c r="S22" s="3"/>
      <c r="T22">
        <v>2028</v>
      </c>
      <c r="U22" s="3">
        <f>'Vehicle price'!X24</f>
        <v>23</v>
      </c>
      <c r="V22" s="20">
        <f>V21+(V24-V12)/12</f>
        <v>1.2499999999999991</v>
      </c>
      <c r="W22" s="3">
        <f t="shared" si="5"/>
        <v>33.354589495422644</v>
      </c>
      <c r="X22" s="3">
        <f>'Vehicle price'!T24</f>
        <v>26.683671596338133</v>
      </c>
      <c r="Y22" s="3">
        <f t="shared" si="9"/>
        <v>20.012753697253594</v>
      </c>
      <c r="Z22" s="20">
        <f>Z21+(Z24-Z12)/12</f>
        <v>0.74999999999999978</v>
      </c>
      <c r="AC22">
        <v>2028</v>
      </c>
      <c r="AD22" s="14">
        <v>0.85</v>
      </c>
      <c r="AF22" s="3"/>
      <c r="AG22">
        <v>2028</v>
      </c>
      <c r="AH22">
        <v>-6000</v>
      </c>
      <c r="AI22">
        <v>-1000</v>
      </c>
      <c r="AJ22" s="20">
        <f t="shared" si="14"/>
        <v>119.62150599832226</v>
      </c>
      <c r="AK22" s="3">
        <f t="shared" si="15"/>
        <v>-5360.4020857163614</v>
      </c>
      <c r="AL22" s="3">
        <f t="shared" si="16"/>
        <v>-893.40034761939364</v>
      </c>
    </row>
    <row r="23" spans="1:38">
      <c r="A23">
        <v>2029</v>
      </c>
      <c r="B23" s="3">
        <f t="shared" si="6"/>
        <v>26.152566241906715</v>
      </c>
      <c r="C23" s="3">
        <f t="shared" si="0"/>
        <v>22229.68130562071</v>
      </c>
      <c r="D23" s="83">
        <v>23</v>
      </c>
      <c r="E23" s="3">
        <f t="shared" si="12"/>
        <v>27342.508005913474</v>
      </c>
      <c r="F23" s="3">
        <f t="shared" si="2"/>
        <v>-5305.7528315513828</v>
      </c>
      <c r="G23" s="3">
        <f>Austria!I23</f>
        <v>1450</v>
      </c>
      <c r="H23" s="3">
        <f t="shared" si="7"/>
        <v>23486.755174362093</v>
      </c>
      <c r="I23" s="3"/>
      <c r="J23">
        <v>50</v>
      </c>
      <c r="K23" s="3"/>
      <c r="L23" s="3"/>
      <c r="M23" s="3"/>
      <c r="N23" s="3"/>
      <c r="O23">
        <v>2029</v>
      </c>
      <c r="P23" s="3">
        <f t="shared" si="3"/>
        <v>23486.755174362093</v>
      </c>
      <c r="Q23" s="3">
        <f t="shared" si="4"/>
        <v>27908.215867321578</v>
      </c>
      <c r="R23" s="3">
        <f t="shared" si="13"/>
        <v>24046.5</v>
      </c>
      <c r="S23" s="3"/>
      <c r="T23">
        <v>2029</v>
      </c>
      <c r="U23" s="3">
        <f>'Vehicle price'!X25</f>
        <v>23</v>
      </c>
      <c r="V23" s="20">
        <f>V22+(V24-V12)/12</f>
        <v>1.274999999999999</v>
      </c>
      <c r="W23" s="3">
        <f t="shared" si="5"/>
        <v>33.344521958431038</v>
      </c>
      <c r="X23" s="3">
        <f>'Vehicle price'!T25</f>
        <v>26.152566241906715</v>
      </c>
      <c r="Y23" s="3">
        <f t="shared" si="9"/>
        <v>18.960610525382361</v>
      </c>
      <c r="Z23" s="20">
        <f>Z22+(Z24-Z12)/12</f>
        <v>0.72499999999999976</v>
      </c>
      <c r="AC23">
        <v>2029</v>
      </c>
      <c r="AD23" s="14">
        <v>0.85</v>
      </c>
      <c r="AF23" s="3"/>
      <c r="AG23">
        <v>2029</v>
      </c>
      <c r="AH23">
        <v>-6000</v>
      </c>
      <c r="AI23">
        <v>-1000</v>
      </c>
      <c r="AJ23" s="20">
        <f t="shared" si="14"/>
        <v>120.85360751010496</v>
      </c>
      <c r="AK23" s="3">
        <f t="shared" si="15"/>
        <v>-5305.7528315513828</v>
      </c>
      <c r="AL23" s="3">
        <f t="shared" si="16"/>
        <v>-884.29213859189724</v>
      </c>
    </row>
    <row r="24" spans="1:38">
      <c r="A24">
        <v>2030</v>
      </c>
      <c r="B24" s="3">
        <f t="shared" si="6"/>
        <v>25.55507271817137</v>
      </c>
      <c r="C24" s="3">
        <f t="shared" si="0"/>
        <v>21721.811810445666</v>
      </c>
      <c r="D24" s="83">
        <v>23</v>
      </c>
      <c r="E24" s="3">
        <f t="shared" si="12"/>
        <v>26717.828526848167</v>
      </c>
      <c r="F24" s="3">
        <f t="shared" si="2"/>
        <v>-5251.6607260728342</v>
      </c>
      <c r="G24" s="3">
        <f>Austria!I24</f>
        <v>1450</v>
      </c>
      <c r="H24" s="3">
        <f t="shared" si="7"/>
        <v>22916.167800775333</v>
      </c>
      <c r="I24" s="3"/>
      <c r="J24">
        <v>50</v>
      </c>
      <c r="K24" s="3"/>
      <c r="L24" s="3"/>
      <c r="M24" s="3"/>
      <c r="N24" s="3"/>
      <c r="O24">
        <v>2030</v>
      </c>
      <c r="P24" s="3">
        <f t="shared" si="3"/>
        <v>22916.167800775333</v>
      </c>
      <c r="Q24" s="3">
        <f t="shared" si="4"/>
        <v>27292.551739169361</v>
      </c>
      <c r="R24" s="3">
        <f t="shared" si="13"/>
        <v>24046.5</v>
      </c>
      <c r="S24" s="3"/>
      <c r="T24">
        <v>2030</v>
      </c>
      <c r="U24" s="3">
        <f>'Vehicle price'!X26</f>
        <v>23</v>
      </c>
      <c r="V24">
        <v>1.3</v>
      </c>
      <c r="W24" s="3">
        <f t="shared" si="5"/>
        <v>33.221594533622785</v>
      </c>
      <c r="X24" s="3">
        <f>'Vehicle price'!T26</f>
        <v>25.55507271817137</v>
      </c>
      <c r="Y24" s="3">
        <f t="shared" si="9"/>
        <v>17.88855090271996</v>
      </c>
      <c r="Z24">
        <v>0.7</v>
      </c>
      <c r="AC24">
        <v>2030</v>
      </c>
      <c r="AD24" s="14">
        <v>0.85</v>
      </c>
      <c r="AF24" s="3"/>
      <c r="AG24">
        <v>2030</v>
      </c>
      <c r="AH24">
        <v>-6000</v>
      </c>
      <c r="AI24">
        <v>-1000</v>
      </c>
      <c r="AJ24" s="20">
        <f t="shared" si="14"/>
        <v>122.09839966745902</v>
      </c>
      <c r="AK24" s="3">
        <f t="shared" si="15"/>
        <v>-5251.6607260728342</v>
      </c>
      <c r="AL24" s="3">
        <f t="shared" si="16"/>
        <v>-875.2767876788057</v>
      </c>
    </row>
    <row r="26" spans="1:38">
      <c r="A26" t="s">
        <v>324</v>
      </c>
      <c r="B26" t="s">
        <v>1395</v>
      </c>
      <c r="C26" t="s">
        <v>709</v>
      </c>
      <c r="E26" t="s">
        <v>793</v>
      </c>
      <c r="F26" t="s">
        <v>793</v>
      </c>
      <c r="G26" t="s">
        <v>793</v>
      </c>
      <c r="H26" t="s">
        <v>793</v>
      </c>
    </row>
    <row r="27" spans="1:38">
      <c r="B27" t="s">
        <v>711</v>
      </c>
      <c r="C27" t="s">
        <v>711</v>
      </c>
      <c r="D27" t="s">
        <v>714</v>
      </c>
      <c r="E27" t="s">
        <v>717</v>
      </c>
      <c r="F27" t="s">
        <v>721</v>
      </c>
      <c r="G27" t="s">
        <v>755</v>
      </c>
      <c r="H27" t="s">
        <v>717</v>
      </c>
      <c r="J27" t="s">
        <v>994</v>
      </c>
    </row>
    <row r="28" spans="1:38">
      <c r="A28">
        <v>2009</v>
      </c>
      <c r="B28" s="3">
        <f t="shared" ref="B28:B49" si="17">B3</f>
        <v>29.592572886961211</v>
      </c>
      <c r="C28" s="3">
        <f t="shared" ref="C28:C49" si="18">B28*AD3*1000</f>
        <v>21302.040969337188</v>
      </c>
      <c r="D28" s="12">
        <v>19.780267558528433</v>
      </c>
      <c r="E28" s="3">
        <f t="shared" ref="E28:E36" si="19">C28*(100+D28)/100</f>
        <v>25515.641668499429</v>
      </c>
      <c r="F28" s="3">
        <f t="shared" ref="F28:F49" si="20">AL3</f>
        <v>-3255.1385590641821</v>
      </c>
      <c r="G28" s="3">
        <f>Austria!I28</f>
        <v>1450</v>
      </c>
      <c r="H28" s="3">
        <f>E28+F28+G28</f>
        <v>23710.503109435245</v>
      </c>
      <c r="J28">
        <v>50</v>
      </c>
    </row>
    <row r="29" spans="1:38">
      <c r="A29">
        <v>2010</v>
      </c>
      <c r="B29" s="3">
        <f t="shared" si="17"/>
        <v>30</v>
      </c>
      <c r="C29" s="3">
        <f t="shared" si="18"/>
        <v>22760.138776915202</v>
      </c>
      <c r="D29" s="12">
        <v>22.025418060200671</v>
      </c>
      <c r="E29" s="3">
        <f t="shared" si="19"/>
        <v>27773.154493612619</v>
      </c>
      <c r="F29" s="3">
        <f t="shared" si="20"/>
        <v>-3206.0968512496947</v>
      </c>
      <c r="G29" s="3">
        <f>Austria!I29</f>
        <v>1450</v>
      </c>
      <c r="H29" s="3">
        <f t="shared" ref="H29:H49" si="21">E29+F29+G29</f>
        <v>26017.057642362925</v>
      </c>
      <c r="J29">
        <v>50</v>
      </c>
    </row>
    <row r="30" spans="1:38">
      <c r="A30">
        <v>2011</v>
      </c>
      <c r="B30" s="3">
        <f t="shared" si="17"/>
        <v>30</v>
      </c>
      <c r="C30" s="3">
        <f t="shared" si="18"/>
        <v>21463.232997813917</v>
      </c>
      <c r="D30" s="12">
        <v>24.551137123745818</v>
      </c>
      <c r="E30" s="3">
        <f t="shared" si="19"/>
        <v>26732.700762296274</v>
      </c>
      <c r="F30" s="3">
        <f t="shared" si="20"/>
        <v>-3139.6159529323795</v>
      </c>
      <c r="G30" s="3">
        <f>Austria!I30</f>
        <v>1450</v>
      </c>
      <c r="H30" s="3">
        <f t="shared" si="21"/>
        <v>25043.084809363892</v>
      </c>
      <c r="J30">
        <v>50</v>
      </c>
    </row>
    <row r="31" spans="1:38">
      <c r="A31">
        <v>2012</v>
      </c>
      <c r="B31" s="3">
        <f t="shared" si="17"/>
        <v>30.842462459493706</v>
      </c>
      <c r="C31" s="3">
        <f t="shared" si="18"/>
        <v>23868.964632772961</v>
      </c>
      <c r="D31" s="12">
        <v>25.670361204013371</v>
      </c>
      <c r="E31" s="3">
        <f t="shared" si="19"/>
        <v>29996.214069663984</v>
      </c>
      <c r="F31" s="3">
        <f t="shared" si="20"/>
        <v>-3079.3925983183826</v>
      </c>
      <c r="G31" s="3">
        <f>Austria!I31</f>
        <v>1450</v>
      </c>
      <c r="H31" s="3">
        <f t="shared" si="21"/>
        <v>28366.8214713456</v>
      </c>
      <c r="J31">
        <v>50</v>
      </c>
    </row>
    <row r="32" spans="1:38">
      <c r="A32">
        <v>2013</v>
      </c>
      <c r="B32" s="3">
        <f t="shared" si="17"/>
        <v>31.143929334439989</v>
      </c>
      <c r="C32" s="3">
        <f t="shared" si="18"/>
        <v>23409.918880648976</v>
      </c>
      <c r="D32" s="12">
        <v>25.191404682274243</v>
      </c>
      <c r="E32" s="3">
        <f t="shared" si="19"/>
        <v>29307.206281665382</v>
      </c>
      <c r="F32" s="3">
        <f t="shared" si="20"/>
        <v>-3053.026490278261</v>
      </c>
      <c r="G32" s="3">
        <f>Austria!I32</f>
        <v>1450</v>
      </c>
      <c r="H32" s="3">
        <f t="shared" si="21"/>
        <v>27704.17979138712</v>
      </c>
      <c r="J32">
        <v>50</v>
      </c>
    </row>
    <row r="33" spans="1:10">
      <c r="A33">
        <v>2014</v>
      </c>
      <c r="B33" s="3">
        <f t="shared" si="17"/>
        <v>33.541755956678692</v>
      </c>
      <c r="C33" s="3">
        <f t="shared" si="18"/>
        <v>25404.118038119632</v>
      </c>
      <c r="D33" s="12">
        <v>24.865197278911573</v>
      </c>
      <c r="E33" s="3">
        <f t="shared" si="19"/>
        <v>31720.902105265643</v>
      </c>
      <c r="F33" s="3">
        <f t="shared" si="20"/>
        <v>-3037.6047147295403</v>
      </c>
      <c r="G33" s="3">
        <f>Austria!I33</f>
        <v>1450</v>
      </c>
      <c r="H33" s="3">
        <f t="shared" si="21"/>
        <v>30133.297390536103</v>
      </c>
      <c r="J33">
        <v>50</v>
      </c>
    </row>
    <row r="34" spans="1:10">
      <c r="A34">
        <v>2015</v>
      </c>
      <c r="B34" s="3">
        <f t="shared" si="17"/>
        <v>30</v>
      </c>
      <c r="C34" s="3">
        <f t="shared" si="18"/>
        <v>27177.76686239925</v>
      </c>
      <c r="D34" s="12">
        <v>22.606176870748303</v>
      </c>
      <c r="E34" s="3">
        <f t="shared" si="19"/>
        <v>33321.620908832847</v>
      </c>
      <c r="F34" s="3">
        <f t="shared" si="20"/>
        <v>-3036.456570392033</v>
      </c>
      <c r="G34" s="3">
        <f>Austria!I34</f>
        <v>1450</v>
      </c>
      <c r="H34" s="3">
        <f t="shared" si="21"/>
        <v>31735.164338440813</v>
      </c>
      <c r="J34">
        <v>50</v>
      </c>
    </row>
    <row r="35" spans="1:10">
      <c r="A35">
        <v>2016</v>
      </c>
      <c r="B35" s="3">
        <f t="shared" si="17"/>
        <v>30</v>
      </c>
      <c r="C35" s="3">
        <f t="shared" si="18"/>
        <v>27202.412312659035</v>
      </c>
      <c r="D35" s="12">
        <v>21.686123333333327</v>
      </c>
      <c r="E35" s="3">
        <f t="shared" si="19"/>
        <v>33101.560996424123</v>
      </c>
      <c r="F35" s="3">
        <f t="shared" si="20"/>
        <v>-1010.3</v>
      </c>
      <c r="G35" s="3">
        <f>Austria!I35</f>
        <v>1450</v>
      </c>
      <c r="H35" s="3">
        <f t="shared" si="21"/>
        <v>33541.260996424127</v>
      </c>
      <c r="J35">
        <v>50</v>
      </c>
    </row>
    <row r="36" spans="1:10">
      <c r="A36">
        <v>2017</v>
      </c>
      <c r="B36" s="3">
        <f t="shared" si="17"/>
        <v>30</v>
      </c>
      <c r="C36" s="3">
        <f t="shared" si="18"/>
        <v>26462.003510368591</v>
      </c>
      <c r="D36" s="12">
        <v>22.922933333333333</v>
      </c>
      <c r="E36" s="3">
        <f t="shared" si="19"/>
        <v>32527.870933714708</v>
      </c>
      <c r="F36" s="3">
        <f t="shared" si="20"/>
        <v>-1000</v>
      </c>
      <c r="G36" s="3">
        <f>Austria!I36</f>
        <v>1450</v>
      </c>
      <c r="H36" s="3">
        <f t="shared" si="21"/>
        <v>32977.870933714708</v>
      </c>
      <c r="J36">
        <v>50</v>
      </c>
    </row>
    <row r="37" spans="1:10">
      <c r="A37">
        <v>2018</v>
      </c>
      <c r="B37" s="3">
        <f t="shared" si="17"/>
        <v>30.592100851060948</v>
      </c>
      <c r="C37" s="3">
        <f t="shared" si="18"/>
        <v>26003.285723401805</v>
      </c>
      <c r="D37" s="83">
        <v>23</v>
      </c>
      <c r="E37" s="3">
        <f>(C37)*(100+D37)/100</f>
        <v>31984.041439784221</v>
      </c>
      <c r="F37" s="3">
        <f t="shared" si="20"/>
        <v>-989.80500841334265</v>
      </c>
      <c r="G37" s="3">
        <f>Austria!I37</f>
        <v>1450</v>
      </c>
      <c r="H37" s="3">
        <f t="shared" si="21"/>
        <v>32444.236431370879</v>
      </c>
      <c r="J37">
        <v>50</v>
      </c>
    </row>
    <row r="38" spans="1:10">
      <c r="A38">
        <v>2019</v>
      </c>
      <c r="B38" s="3">
        <f t="shared" si="17"/>
        <v>31.172994053473918</v>
      </c>
      <c r="C38" s="3">
        <f t="shared" si="18"/>
        <v>26497.044945452828</v>
      </c>
      <c r="D38" s="83">
        <v>23</v>
      </c>
      <c r="E38" s="3">
        <f t="shared" ref="E38:E49" si="22">(C38)*(100+D38)/100</f>
        <v>32591.36528290698</v>
      </c>
      <c r="F38" s="3">
        <f t="shared" si="20"/>
        <v>-979.71395468013725</v>
      </c>
      <c r="G38" s="3">
        <f>Austria!I38</f>
        <v>1450</v>
      </c>
      <c r="H38" s="3">
        <f t="shared" si="21"/>
        <v>33061.651328226842</v>
      </c>
      <c r="J38">
        <v>50</v>
      </c>
    </row>
    <row r="39" spans="1:10">
      <c r="A39">
        <v>2020</v>
      </c>
      <c r="B39" s="3">
        <f t="shared" si="17"/>
        <v>30.985903123425071</v>
      </c>
      <c r="C39" s="3">
        <f t="shared" si="18"/>
        <v>26338.017654911313</v>
      </c>
      <c r="D39" s="83">
        <v>23</v>
      </c>
      <c r="E39" s="3">
        <f t="shared" si="22"/>
        <v>32395.761715540913</v>
      </c>
      <c r="F39" s="3">
        <f t="shared" si="20"/>
        <v>-969.72577915484248</v>
      </c>
      <c r="G39" s="3">
        <f>Austria!I39</f>
        <v>1450</v>
      </c>
      <c r="H39" s="3">
        <f t="shared" si="21"/>
        <v>32876.03593638607</v>
      </c>
      <c r="J39">
        <v>50</v>
      </c>
    </row>
    <row r="40" spans="1:10">
      <c r="A40">
        <v>2021</v>
      </c>
      <c r="B40" s="3">
        <f t="shared" si="17"/>
        <v>30.206708843097807</v>
      </c>
      <c r="C40" s="3">
        <f t="shared" si="18"/>
        <v>25675.702516633137</v>
      </c>
      <c r="D40" s="83">
        <v>23</v>
      </c>
      <c r="E40" s="3">
        <f t="shared" si="22"/>
        <v>31581.114095458757</v>
      </c>
      <c r="F40" s="3">
        <f t="shared" si="20"/>
        <v>-959.83943299499401</v>
      </c>
      <c r="G40" s="3">
        <f>Austria!I40</f>
        <v>1450</v>
      </c>
      <c r="H40" s="3">
        <f t="shared" si="21"/>
        <v>32071.274662463762</v>
      </c>
      <c r="J40">
        <v>50</v>
      </c>
    </row>
    <row r="41" spans="1:10">
      <c r="A41">
        <v>2022</v>
      </c>
      <c r="B41" s="3">
        <f t="shared" si="17"/>
        <v>30.642454642697771</v>
      </c>
      <c r="C41" s="3">
        <f t="shared" si="18"/>
        <v>26046.086446293106</v>
      </c>
      <c r="D41" s="83">
        <v>23</v>
      </c>
      <c r="E41" s="3">
        <f t="shared" si="22"/>
        <v>32036.686328940523</v>
      </c>
      <c r="F41" s="3">
        <f t="shared" si="20"/>
        <v>-950.05387805106807</v>
      </c>
      <c r="G41" s="3">
        <f>Austria!I41</f>
        <v>1450</v>
      </c>
      <c r="H41" s="3">
        <f t="shared" si="21"/>
        <v>32536.632450889454</v>
      </c>
      <c r="J41">
        <v>50</v>
      </c>
    </row>
    <row r="42" spans="1:10">
      <c r="A42">
        <v>2023</v>
      </c>
      <c r="B42" s="3">
        <f t="shared" si="17"/>
        <v>30.361546257811007</v>
      </c>
      <c r="C42" s="3">
        <f t="shared" si="18"/>
        <v>25807.314319139354</v>
      </c>
      <c r="D42" s="83">
        <v>23</v>
      </c>
      <c r="E42" s="3">
        <f t="shared" si="22"/>
        <v>31742.996612541407</v>
      </c>
      <c r="F42" s="3">
        <f t="shared" si="20"/>
        <v>-940.36808675746613</v>
      </c>
      <c r="G42" s="3">
        <f>Austria!I42</f>
        <v>1450</v>
      </c>
      <c r="H42" s="3">
        <f t="shared" si="21"/>
        <v>32252.628525783941</v>
      </c>
      <c r="J42">
        <v>50</v>
      </c>
    </row>
    <row r="43" spans="1:10">
      <c r="A43">
        <v>2024</v>
      </c>
      <c r="B43" s="3">
        <f t="shared" si="17"/>
        <v>29.275640447464834</v>
      </c>
      <c r="C43" s="3">
        <f t="shared" si="18"/>
        <v>24884.294380345105</v>
      </c>
      <c r="D43" s="83">
        <v>23</v>
      </c>
      <c r="E43" s="3">
        <f t="shared" si="22"/>
        <v>30607.68208782448</v>
      </c>
      <c r="F43" s="3">
        <f t="shared" si="20"/>
        <v>-930.78104202461259</v>
      </c>
      <c r="G43" s="3">
        <f>Austria!I43</f>
        <v>1450</v>
      </c>
      <c r="H43" s="3">
        <f t="shared" si="21"/>
        <v>31126.901045799867</v>
      </c>
      <c r="J43">
        <v>50</v>
      </c>
    </row>
    <row r="44" spans="1:10">
      <c r="A44">
        <v>2025</v>
      </c>
      <c r="B44" s="3">
        <f t="shared" si="17"/>
        <v>28.343375828936317</v>
      </c>
      <c r="C44" s="3">
        <f t="shared" si="18"/>
        <v>24091.869454595868</v>
      </c>
      <c r="D44" s="83">
        <v>23</v>
      </c>
      <c r="E44" s="3">
        <f t="shared" si="22"/>
        <v>29632.999429152915</v>
      </c>
      <c r="F44" s="3">
        <f t="shared" si="20"/>
        <v>-921.29173713215141</v>
      </c>
      <c r="G44" s="3">
        <f>Austria!I44</f>
        <v>1450</v>
      </c>
      <c r="H44" s="3">
        <f t="shared" si="21"/>
        <v>30161.707692020762</v>
      </c>
      <c r="J44">
        <v>50</v>
      </c>
    </row>
    <row r="45" spans="1:10">
      <c r="A45">
        <v>2026</v>
      </c>
      <c r="B45" s="3">
        <f t="shared" si="17"/>
        <v>27.812270474504896</v>
      </c>
      <c r="C45" s="3">
        <f t="shared" si="18"/>
        <v>23640.429903329161</v>
      </c>
      <c r="D45" s="83">
        <v>23</v>
      </c>
      <c r="E45" s="3">
        <f t="shared" si="22"/>
        <v>29077.728781094869</v>
      </c>
      <c r="F45" s="3">
        <f t="shared" si="20"/>
        <v>-911.89917562323205</v>
      </c>
      <c r="G45" s="3">
        <f>Austria!I45</f>
        <v>1450</v>
      </c>
      <c r="H45" s="3">
        <f t="shared" si="21"/>
        <v>29615.829605471637</v>
      </c>
      <c r="J45">
        <v>50</v>
      </c>
    </row>
    <row r="46" spans="1:10">
      <c r="A46">
        <v>2027</v>
      </c>
      <c r="B46" s="3">
        <f t="shared" si="17"/>
        <v>27.281165120073478</v>
      </c>
      <c r="C46" s="3">
        <f t="shared" si="18"/>
        <v>23188.990352062454</v>
      </c>
      <c r="D46" s="83">
        <v>23</v>
      </c>
      <c r="E46" s="3">
        <f t="shared" si="22"/>
        <v>28522.45813303682</v>
      </c>
      <c r="F46" s="3">
        <f t="shared" si="20"/>
        <v>-902.60237119987335</v>
      </c>
      <c r="G46" s="3">
        <f>Austria!I46</f>
        <v>1450</v>
      </c>
      <c r="H46" s="3">
        <f t="shared" si="21"/>
        <v>29069.855761836945</v>
      </c>
      <c r="J46">
        <v>50</v>
      </c>
    </row>
    <row r="47" spans="1:10">
      <c r="A47">
        <v>2028</v>
      </c>
      <c r="B47" s="3">
        <f t="shared" si="17"/>
        <v>26.683671596338133</v>
      </c>
      <c r="C47" s="3">
        <f t="shared" si="18"/>
        <v>22681.12085688741</v>
      </c>
      <c r="D47" s="83">
        <v>23</v>
      </c>
      <c r="E47" s="3">
        <f t="shared" si="22"/>
        <v>27897.778653971516</v>
      </c>
      <c r="F47" s="3">
        <f t="shared" si="20"/>
        <v>-893.40034761939364</v>
      </c>
      <c r="G47" s="3">
        <f>Austria!I47</f>
        <v>1450</v>
      </c>
      <c r="H47" s="3">
        <f t="shared" si="21"/>
        <v>28454.378306352122</v>
      </c>
      <c r="J47">
        <v>50</v>
      </c>
    </row>
    <row r="48" spans="1:10">
      <c r="A48">
        <v>2029</v>
      </c>
      <c r="B48" s="3">
        <f t="shared" si="17"/>
        <v>26.152566241906715</v>
      </c>
      <c r="C48" s="3">
        <f t="shared" si="18"/>
        <v>22229.68130562071</v>
      </c>
      <c r="D48" s="83">
        <v>23</v>
      </c>
      <c r="E48" s="3">
        <f t="shared" si="22"/>
        <v>27342.508005913474</v>
      </c>
      <c r="F48" s="3">
        <f t="shared" si="20"/>
        <v>-884.29213859189724</v>
      </c>
      <c r="G48" s="3">
        <f>Austria!I48</f>
        <v>1450</v>
      </c>
      <c r="H48" s="3">
        <f t="shared" si="21"/>
        <v>27908.215867321578</v>
      </c>
      <c r="J48">
        <v>50</v>
      </c>
    </row>
    <row r="49" spans="1:10">
      <c r="A49">
        <v>2030</v>
      </c>
      <c r="B49" s="3">
        <f t="shared" si="17"/>
        <v>25.55507271817137</v>
      </c>
      <c r="C49" s="3">
        <f t="shared" si="18"/>
        <v>21721.811810445666</v>
      </c>
      <c r="D49" s="83">
        <v>23</v>
      </c>
      <c r="E49" s="3">
        <f t="shared" si="22"/>
        <v>26717.828526848167</v>
      </c>
      <c r="F49" s="3">
        <f t="shared" si="20"/>
        <v>-875.2767876788057</v>
      </c>
      <c r="G49" s="3">
        <f>Austria!I49</f>
        <v>1450</v>
      </c>
      <c r="H49" s="3">
        <f t="shared" si="21"/>
        <v>27292.551739169361</v>
      </c>
      <c r="J49">
        <v>50</v>
      </c>
    </row>
    <row r="51" spans="1:10">
      <c r="A51" t="s">
        <v>716</v>
      </c>
      <c r="B51" t="s">
        <v>1395</v>
      </c>
      <c r="C51" t="s">
        <v>793</v>
      </c>
      <c r="E51" t="s">
        <v>793</v>
      </c>
    </row>
    <row r="52" spans="1:10">
      <c r="B52" t="s">
        <v>724</v>
      </c>
      <c r="C52" t="s">
        <v>724</v>
      </c>
      <c r="D52" t="s">
        <v>714</v>
      </c>
      <c r="E52" t="s">
        <v>725</v>
      </c>
    </row>
    <row r="53" spans="1:10">
      <c r="A53">
        <v>2009</v>
      </c>
      <c r="B53" s="3">
        <f t="shared" ref="B53:B74" si="23">U3</f>
        <v>23</v>
      </c>
      <c r="C53" s="3">
        <f t="shared" ref="C53:C74" si="24">B53*AD3*1000</f>
        <v>16556.415833333336</v>
      </c>
      <c r="D53" s="12">
        <v>19.780267558528433</v>
      </c>
      <c r="E53" s="3">
        <f>C53*(100+D53)/100</f>
        <v>19831.319183269236</v>
      </c>
    </row>
    <row r="54" spans="1:10">
      <c r="A54">
        <v>2010</v>
      </c>
      <c r="B54" s="3">
        <f t="shared" si="23"/>
        <v>23</v>
      </c>
      <c r="C54" s="3">
        <f t="shared" si="24"/>
        <v>17449.439728968322</v>
      </c>
      <c r="D54" s="12">
        <v>22.025418060200671</v>
      </c>
      <c r="E54" s="3">
        <f t="shared" ref="E54:E74" si="25">C54*(100+D54)/100</f>
        <v>21292.751778436344</v>
      </c>
    </row>
    <row r="55" spans="1:10">
      <c r="A55">
        <v>2011</v>
      </c>
      <c r="B55" s="3">
        <f t="shared" si="23"/>
        <v>23</v>
      </c>
      <c r="C55" s="3">
        <f t="shared" si="24"/>
        <v>16455.145298324001</v>
      </c>
      <c r="D55" s="12">
        <v>24.551137123745818</v>
      </c>
      <c r="E55" s="3">
        <f t="shared" si="25"/>
        <v>20495.07058442714</v>
      </c>
    </row>
    <row r="56" spans="1:10">
      <c r="A56">
        <v>2012</v>
      </c>
      <c r="B56" s="3">
        <f t="shared" si="23"/>
        <v>23</v>
      </c>
      <c r="C56" s="3">
        <f t="shared" si="24"/>
        <v>17799.687274476786</v>
      </c>
      <c r="D56" s="12">
        <v>25.670361204013371</v>
      </c>
      <c r="E56" s="3">
        <f t="shared" si="25"/>
        <v>22368.93129101978</v>
      </c>
    </row>
    <row r="57" spans="1:10">
      <c r="A57">
        <v>2013</v>
      </c>
      <c r="B57" s="3">
        <f t="shared" si="23"/>
        <v>23</v>
      </c>
      <c r="C57" s="3">
        <f t="shared" si="24"/>
        <v>17288.381580660563</v>
      </c>
      <c r="D57" s="12">
        <v>25.191404682274243</v>
      </c>
      <c r="E57" s="3">
        <f t="shared" si="25"/>
        <v>21643.567747660527</v>
      </c>
    </row>
    <row r="58" spans="1:10">
      <c r="A58">
        <v>2014</v>
      </c>
      <c r="B58" s="3">
        <f t="shared" si="23"/>
        <v>23</v>
      </c>
      <c r="C58" s="3">
        <f t="shared" si="24"/>
        <v>17419.920281794584</v>
      </c>
      <c r="D58" s="12">
        <v>24.865197278911573</v>
      </c>
      <c r="E58" s="3">
        <f t="shared" si="25"/>
        <v>21751.417825691937</v>
      </c>
    </row>
    <row r="59" spans="1:10">
      <c r="A59">
        <v>2015</v>
      </c>
      <c r="B59" s="3">
        <f t="shared" si="23"/>
        <v>23</v>
      </c>
      <c r="C59" s="3">
        <f t="shared" si="24"/>
        <v>20836.287927839425</v>
      </c>
      <c r="D59" s="12">
        <v>22.606176870748303</v>
      </c>
      <c r="E59" s="3">
        <f t="shared" si="25"/>
        <v>25546.576030105181</v>
      </c>
    </row>
    <row r="60" spans="1:10">
      <c r="A60">
        <v>2016</v>
      </c>
      <c r="B60" s="3">
        <f t="shared" si="23"/>
        <v>23</v>
      </c>
      <c r="C60" s="3">
        <f t="shared" si="24"/>
        <v>20855.182773038596</v>
      </c>
      <c r="D60" s="12">
        <v>21.686123333333327</v>
      </c>
      <c r="E60" s="3">
        <f t="shared" si="25"/>
        <v>25377.863430591831</v>
      </c>
    </row>
    <row r="61" spans="1:10">
      <c r="A61">
        <v>2017</v>
      </c>
      <c r="B61" s="3">
        <f t="shared" si="23"/>
        <v>23</v>
      </c>
      <c r="C61" s="3">
        <f t="shared" si="24"/>
        <v>20287.536024615922</v>
      </c>
      <c r="D61" s="12">
        <v>22.922933333333333</v>
      </c>
      <c r="E61" s="3">
        <f t="shared" si="25"/>
        <v>24938.034382514612</v>
      </c>
    </row>
    <row r="62" spans="1:10">
      <c r="A62">
        <v>2018</v>
      </c>
      <c r="B62" s="3">
        <f t="shared" si="23"/>
        <v>23</v>
      </c>
      <c r="C62" s="3">
        <f t="shared" si="24"/>
        <v>19550</v>
      </c>
      <c r="D62" s="83">
        <v>23</v>
      </c>
      <c r="E62" s="3">
        <f t="shared" si="25"/>
        <v>24046.5</v>
      </c>
    </row>
    <row r="63" spans="1:10">
      <c r="A63">
        <v>2019</v>
      </c>
      <c r="B63" s="3">
        <f t="shared" si="23"/>
        <v>23</v>
      </c>
      <c r="C63" s="3">
        <f t="shared" si="24"/>
        <v>19550</v>
      </c>
      <c r="D63" s="83">
        <v>23</v>
      </c>
      <c r="E63" s="3">
        <f t="shared" si="25"/>
        <v>24046.5</v>
      </c>
    </row>
    <row r="64" spans="1:10">
      <c r="A64">
        <v>2020</v>
      </c>
      <c r="B64" s="3">
        <f t="shared" si="23"/>
        <v>23</v>
      </c>
      <c r="C64" s="3">
        <f t="shared" si="24"/>
        <v>19550</v>
      </c>
      <c r="D64" s="83">
        <v>23</v>
      </c>
      <c r="E64" s="3">
        <f t="shared" si="25"/>
        <v>24046.5</v>
      </c>
    </row>
    <row r="65" spans="1:29">
      <c r="A65">
        <v>2021</v>
      </c>
      <c r="B65" s="3">
        <f t="shared" si="23"/>
        <v>23</v>
      </c>
      <c r="C65" s="3">
        <f t="shared" si="24"/>
        <v>19550</v>
      </c>
      <c r="D65" s="83">
        <v>23</v>
      </c>
      <c r="E65" s="3">
        <f t="shared" si="25"/>
        <v>24046.5</v>
      </c>
    </row>
    <row r="66" spans="1:29">
      <c r="A66">
        <v>2022</v>
      </c>
      <c r="B66" s="3">
        <f t="shared" si="23"/>
        <v>23</v>
      </c>
      <c r="C66" s="3">
        <f t="shared" si="24"/>
        <v>19550</v>
      </c>
      <c r="D66" s="83">
        <v>23</v>
      </c>
      <c r="E66" s="3">
        <f t="shared" si="25"/>
        <v>24046.5</v>
      </c>
    </row>
    <row r="67" spans="1:29">
      <c r="A67">
        <v>2023</v>
      </c>
      <c r="B67" s="3">
        <f t="shared" si="23"/>
        <v>23</v>
      </c>
      <c r="C67" s="3">
        <f t="shared" si="24"/>
        <v>19550</v>
      </c>
      <c r="D67" s="83">
        <v>23</v>
      </c>
      <c r="E67" s="3">
        <f t="shared" si="25"/>
        <v>24046.5</v>
      </c>
    </row>
    <row r="68" spans="1:29">
      <c r="A68">
        <v>2024</v>
      </c>
      <c r="B68" s="3">
        <f t="shared" si="23"/>
        <v>23</v>
      </c>
      <c r="C68" s="3">
        <f t="shared" si="24"/>
        <v>19550</v>
      </c>
      <c r="D68" s="83">
        <v>23</v>
      </c>
      <c r="E68" s="3">
        <f t="shared" si="25"/>
        <v>24046.5</v>
      </c>
    </row>
    <row r="69" spans="1:29">
      <c r="A69">
        <v>2025</v>
      </c>
      <c r="B69" s="3">
        <f t="shared" si="23"/>
        <v>23</v>
      </c>
      <c r="C69" s="3">
        <f t="shared" si="24"/>
        <v>19550</v>
      </c>
      <c r="D69" s="83">
        <v>23</v>
      </c>
      <c r="E69" s="3">
        <f t="shared" si="25"/>
        <v>24046.5</v>
      </c>
    </row>
    <row r="70" spans="1:29">
      <c r="A70">
        <v>2026</v>
      </c>
      <c r="B70" s="3">
        <f t="shared" si="23"/>
        <v>23</v>
      </c>
      <c r="C70" s="3">
        <f t="shared" si="24"/>
        <v>19550</v>
      </c>
      <c r="D70" s="83">
        <v>23</v>
      </c>
      <c r="E70" s="3">
        <f t="shared" si="25"/>
        <v>24046.5</v>
      </c>
    </row>
    <row r="71" spans="1:29">
      <c r="A71">
        <v>2027</v>
      </c>
      <c r="B71" s="3">
        <f t="shared" si="23"/>
        <v>23</v>
      </c>
      <c r="C71" s="3">
        <f t="shared" si="24"/>
        <v>19550</v>
      </c>
      <c r="D71" s="83">
        <v>23</v>
      </c>
      <c r="E71" s="3">
        <f t="shared" si="25"/>
        <v>24046.5</v>
      </c>
    </row>
    <row r="72" spans="1:29">
      <c r="A72">
        <v>2028</v>
      </c>
      <c r="B72" s="3">
        <f t="shared" si="23"/>
        <v>23</v>
      </c>
      <c r="C72" s="3">
        <f t="shared" si="24"/>
        <v>19550</v>
      </c>
      <c r="D72" s="83">
        <v>23</v>
      </c>
      <c r="E72" s="3">
        <f t="shared" si="25"/>
        <v>24046.5</v>
      </c>
    </row>
    <row r="73" spans="1:29">
      <c r="A73">
        <v>2029</v>
      </c>
      <c r="B73" s="3">
        <f t="shared" si="23"/>
        <v>23</v>
      </c>
      <c r="C73" s="3">
        <f t="shared" si="24"/>
        <v>19550</v>
      </c>
      <c r="D73" s="83">
        <v>23</v>
      </c>
      <c r="E73" s="3">
        <f t="shared" si="25"/>
        <v>24046.5</v>
      </c>
    </row>
    <row r="74" spans="1:29">
      <c r="A74">
        <v>2030</v>
      </c>
      <c r="B74" s="3">
        <f t="shared" si="23"/>
        <v>23</v>
      </c>
      <c r="C74" s="3">
        <f t="shared" si="24"/>
        <v>19550</v>
      </c>
      <c r="D74" s="83">
        <v>23</v>
      </c>
      <c r="E74" s="3">
        <f t="shared" si="25"/>
        <v>24046.5</v>
      </c>
    </row>
    <row r="79" spans="1:29">
      <c r="Z79" s="87" t="s">
        <v>1223</v>
      </c>
      <c r="AA79" s="87"/>
      <c r="AB79" s="87"/>
      <c r="AC79" s="234"/>
    </row>
    <row r="80" spans="1:29">
      <c r="Z80" s="235" t="s">
        <v>1167</v>
      </c>
      <c r="AA80" s="235" t="s">
        <v>1168</v>
      </c>
      <c r="AB80" s="235" t="s">
        <v>1169</v>
      </c>
      <c r="AC80" s="235" t="s">
        <v>1170</v>
      </c>
    </row>
    <row r="81" spans="1:29">
      <c r="B81" t="s">
        <v>980</v>
      </c>
      <c r="C81" t="s">
        <v>980</v>
      </c>
      <c r="D81" t="s">
        <v>980</v>
      </c>
      <c r="E81" t="s">
        <v>980</v>
      </c>
      <c r="F81" t="s">
        <v>980</v>
      </c>
      <c r="K81" t="s">
        <v>812</v>
      </c>
      <c r="L81" t="s">
        <v>812</v>
      </c>
      <c r="M81" t="s">
        <v>812</v>
      </c>
      <c r="N81" t="s">
        <v>812</v>
      </c>
      <c r="O81" t="s">
        <v>812</v>
      </c>
      <c r="U81" t="s">
        <v>1042</v>
      </c>
      <c r="Y81" s="3">
        <v>2010</v>
      </c>
      <c r="Z81" s="13">
        <v>1.4363313893598633</v>
      </c>
      <c r="AA81" s="13">
        <f t="shared" ref="AA81:AC81" si="26">Z81</f>
        <v>1.4363313893598633</v>
      </c>
      <c r="AB81" s="13">
        <f t="shared" si="26"/>
        <v>1.4363313893598633</v>
      </c>
      <c r="AC81" s="13">
        <f t="shared" si="26"/>
        <v>1.4363313893598633</v>
      </c>
    </row>
    <row r="82" spans="1:29">
      <c r="B82" t="s">
        <v>978</v>
      </c>
      <c r="C82" t="s">
        <v>979</v>
      </c>
      <c r="D82" t="s">
        <v>916</v>
      </c>
      <c r="E82" t="s">
        <v>981</v>
      </c>
      <c r="F82" t="s">
        <v>983</v>
      </c>
      <c r="K82" t="s">
        <v>725</v>
      </c>
      <c r="L82" t="s">
        <v>979</v>
      </c>
      <c r="M82" t="s">
        <v>916</v>
      </c>
      <c r="N82" t="s">
        <v>985</v>
      </c>
      <c r="O82" t="s">
        <v>983</v>
      </c>
      <c r="S82" t="s">
        <v>997</v>
      </c>
      <c r="U82" t="s">
        <v>934</v>
      </c>
      <c r="V82" t="s">
        <v>986</v>
      </c>
      <c r="W82" t="s">
        <v>987</v>
      </c>
      <c r="Y82" s="3">
        <v>2011</v>
      </c>
      <c r="Z82" s="13">
        <v>1.567840910960985</v>
      </c>
      <c r="AA82" s="13">
        <f t="shared" ref="AA82:AC82" si="27">Z82</f>
        <v>1.567840910960985</v>
      </c>
      <c r="AB82" s="13">
        <f t="shared" si="27"/>
        <v>1.567840910960985</v>
      </c>
      <c r="AC82" s="13">
        <f t="shared" si="27"/>
        <v>1.567840910960985</v>
      </c>
    </row>
    <row r="83" spans="1:29">
      <c r="A83" s="3">
        <v>2012</v>
      </c>
      <c r="B83" s="3">
        <f t="shared" ref="B83:B101" si="28">MIN(H6,H31)</f>
        <v>26313.893072466679</v>
      </c>
      <c r="C83" s="3">
        <f>B83/5</f>
        <v>5262.7786144933361</v>
      </c>
      <c r="D83" s="3">
        <f>B83*0.13</f>
        <v>3420.8060994206685</v>
      </c>
      <c r="E83" s="3">
        <v>50</v>
      </c>
      <c r="F83" s="3">
        <f>C83+D83-E83</f>
        <v>8633.5847139140042</v>
      </c>
      <c r="G83" s="3"/>
      <c r="H83" s="3"/>
      <c r="I83" s="3">
        <v>2012</v>
      </c>
      <c r="J83" s="3"/>
      <c r="K83" s="3">
        <f>E56</f>
        <v>22368.93129101978</v>
      </c>
      <c r="L83" s="3">
        <f>K83/5</f>
        <v>4473.7862582039561</v>
      </c>
      <c r="M83" s="3">
        <f>K83*0.13</f>
        <v>2907.9610678325716</v>
      </c>
      <c r="N83" s="3">
        <f t="shared" ref="N83:N101" si="29">W83/100*V83*U83</f>
        <v>1046.7827480648621</v>
      </c>
      <c r="O83" s="3">
        <f>SUM(L83:N83)</f>
        <v>8428.5300741013889</v>
      </c>
      <c r="P83" s="3"/>
      <c r="Q83" s="3"/>
      <c r="R83" s="3">
        <v>2012</v>
      </c>
      <c r="S83" s="13">
        <f>O83/F83</f>
        <v>0.97624918888186196</v>
      </c>
      <c r="T83" s="3"/>
      <c r="U83" s="13">
        <f>AB83</f>
        <v>1.607869861636166</v>
      </c>
      <c r="V83" s="12">
        <f>'Country L per 100 km'!I7</f>
        <v>5.1400362045418548</v>
      </c>
      <c r="W83" s="3">
        <f>'Country distance travelled'!I7</f>
        <v>12666</v>
      </c>
      <c r="Y83" s="3">
        <v>2012</v>
      </c>
      <c r="Z83" s="13">
        <v>1.607869861636166</v>
      </c>
      <c r="AA83" s="13">
        <f t="shared" ref="AA83:AC83" si="30">Z83</f>
        <v>1.607869861636166</v>
      </c>
      <c r="AB83" s="13">
        <f t="shared" si="30"/>
        <v>1.607869861636166</v>
      </c>
      <c r="AC83" s="13">
        <f t="shared" si="30"/>
        <v>1.607869861636166</v>
      </c>
    </row>
    <row r="84" spans="1:29">
      <c r="A84" s="3">
        <v>2013</v>
      </c>
      <c r="B84" s="3">
        <f t="shared" si="28"/>
        <v>23633.477804349437</v>
      </c>
      <c r="C84" s="3">
        <f t="shared" ref="C84:C101" si="31">B84/5</f>
        <v>4726.6955608698872</v>
      </c>
      <c r="D84" s="3">
        <f t="shared" ref="D84:D101" si="32">B84*0.13</f>
        <v>3072.3521145654267</v>
      </c>
      <c r="E84" s="3">
        <v>50</v>
      </c>
      <c r="F84" s="3">
        <f t="shared" ref="F84:F101" si="33">C84+D84-E84</f>
        <v>7749.047675435314</v>
      </c>
      <c r="G84" s="3"/>
      <c r="H84" s="3"/>
      <c r="I84" s="3">
        <v>2013</v>
      </c>
      <c r="J84" s="3"/>
      <c r="K84" s="3">
        <f t="shared" ref="K84:K101" si="34">E57</f>
        <v>21643.567747660527</v>
      </c>
      <c r="L84" s="3">
        <f t="shared" ref="L84:L101" si="35">K84/5</f>
        <v>4328.7135495321054</v>
      </c>
      <c r="M84" s="3">
        <f t="shared" ref="M84:M101" si="36">K84*0.13</f>
        <v>2813.6638071958687</v>
      </c>
      <c r="N84" s="3">
        <f t="shared" si="29"/>
        <v>1013.994156677032</v>
      </c>
      <c r="O84" s="3">
        <f t="shared" ref="O84:O100" si="37">SUM(L84:N84)</f>
        <v>8156.3715134050062</v>
      </c>
      <c r="P84" s="3"/>
      <c r="Q84" s="3"/>
      <c r="R84" s="3">
        <v>2013</v>
      </c>
      <c r="S84" s="13">
        <f t="shared" ref="S84:S101" si="38">O84/F84</f>
        <v>1.0525643737179369</v>
      </c>
      <c r="T84" s="3"/>
      <c r="U84" s="13">
        <f t="shared" ref="U84:U101" si="39">AB84</f>
        <v>1.5643603891747366</v>
      </c>
      <c r="V84" s="12">
        <f>'Country L per 100 km'!I8</f>
        <v>5.0999999999999996</v>
      </c>
      <c r="W84" s="3">
        <f>'Country distance travelled'!I8</f>
        <v>12709.5</v>
      </c>
      <c r="Y84" s="3">
        <v>2013</v>
      </c>
      <c r="Z84" s="13">
        <v>1.5643603891747366</v>
      </c>
      <c r="AA84" s="13">
        <f t="shared" ref="AA84:AC84" si="40">Z84</f>
        <v>1.5643603891747366</v>
      </c>
      <c r="AB84" s="13">
        <f t="shared" si="40"/>
        <v>1.5643603891747366</v>
      </c>
      <c r="AC84" s="13">
        <f t="shared" si="40"/>
        <v>1.5643603891747366</v>
      </c>
    </row>
    <row r="85" spans="1:29">
      <c r="A85" s="3">
        <v>2014</v>
      </c>
      <c r="B85" s="3">
        <f t="shared" si="28"/>
        <v>26791.932204333607</v>
      </c>
      <c r="C85" s="3">
        <f t="shared" si="31"/>
        <v>5358.3864408667214</v>
      </c>
      <c r="D85" s="3">
        <f t="shared" si="32"/>
        <v>3482.951186563369</v>
      </c>
      <c r="E85" s="3">
        <v>50</v>
      </c>
      <c r="F85" s="3">
        <f t="shared" si="33"/>
        <v>8791.3376274300899</v>
      </c>
      <c r="G85" s="3"/>
      <c r="H85" s="3"/>
      <c r="I85" s="3">
        <v>2014</v>
      </c>
      <c r="J85" s="3"/>
      <c r="K85" s="3">
        <f t="shared" si="34"/>
        <v>21751.417825691937</v>
      </c>
      <c r="L85" s="3">
        <f t="shared" si="35"/>
        <v>4350.2835651383875</v>
      </c>
      <c r="M85" s="3">
        <f t="shared" si="36"/>
        <v>2827.684317339952</v>
      </c>
      <c r="N85" s="3">
        <f t="shared" si="29"/>
        <v>970.85682143740223</v>
      </c>
      <c r="O85" s="3">
        <f t="shared" si="37"/>
        <v>8148.8247039157413</v>
      </c>
      <c r="P85" s="3"/>
      <c r="Q85" s="3"/>
      <c r="R85" s="3">
        <v>2014</v>
      </c>
      <c r="S85" s="13">
        <f t="shared" si="38"/>
        <v>0.92691522601638843</v>
      </c>
      <c r="T85" s="3"/>
      <c r="U85" s="13">
        <f t="shared" si="39"/>
        <v>1.5106128097420386</v>
      </c>
      <c r="V85" s="12">
        <f>'Country L per 100 km'!I9</f>
        <v>5.0395256916996036</v>
      </c>
      <c r="W85" s="3">
        <f>'Country distance travelled'!I9</f>
        <v>12753</v>
      </c>
      <c r="Y85" s="3">
        <v>2014</v>
      </c>
      <c r="Z85" s="13">
        <v>1.5106128097420386</v>
      </c>
      <c r="AA85" s="13">
        <f t="shared" ref="AA85:AC85" si="41">Z85</f>
        <v>1.5106128097420386</v>
      </c>
      <c r="AB85" s="13">
        <f t="shared" si="41"/>
        <v>1.5106128097420386</v>
      </c>
      <c r="AC85" s="13">
        <f t="shared" si="41"/>
        <v>1.5106128097420386</v>
      </c>
    </row>
    <row r="86" spans="1:29">
      <c r="A86" s="3">
        <v>2015</v>
      </c>
      <c r="B86" s="3">
        <f t="shared" si="28"/>
        <v>28395.062111009578</v>
      </c>
      <c r="C86" s="3">
        <f t="shared" si="31"/>
        <v>5679.0124222019158</v>
      </c>
      <c r="D86" s="3">
        <f t="shared" si="32"/>
        <v>3691.3580744312453</v>
      </c>
      <c r="E86" s="3">
        <v>50</v>
      </c>
      <c r="F86" s="3">
        <f t="shared" si="33"/>
        <v>9320.3704966331607</v>
      </c>
      <c r="G86" s="3"/>
      <c r="H86" s="3"/>
      <c r="I86" s="3">
        <v>2015</v>
      </c>
      <c r="J86" s="3"/>
      <c r="K86" s="3">
        <f t="shared" si="34"/>
        <v>25546.576030105181</v>
      </c>
      <c r="L86" s="3">
        <f t="shared" si="35"/>
        <v>5109.3152060210359</v>
      </c>
      <c r="M86" s="3">
        <f t="shared" si="36"/>
        <v>3321.0548839136736</v>
      </c>
      <c r="N86" s="3">
        <f t="shared" si="29"/>
        <v>889.4178019164674</v>
      </c>
      <c r="O86" s="3">
        <f t="shared" si="37"/>
        <v>9319.7878918511778</v>
      </c>
      <c r="P86" s="3"/>
      <c r="Q86" s="3"/>
      <c r="R86" s="3">
        <v>2015</v>
      </c>
      <c r="S86" s="13">
        <f t="shared" si="38"/>
        <v>0.99993749124219977</v>
      </c>
      <c r="T86" s="3"/>
      <c r="U86" s="13">
        <f t="shared" si="39"/>
        <v>1.3728534858125616</v>
      </c>
      <c r="V86" s="12">
        <f>'Country L per 100 km'!I10</f>
        <v>4.984694057071815</v>
      </c>
      <c r="W86" s="3">
        <f>'Country distance travelled'!I10</f>
        <v>12997</v>
      </c>
      <c r="Y86" s="3">
        <v>2015</v>
      </c>
      <c r="Z86" s="13">
        <v>1.3728534858125616</v>
      </c>
      <c r="AA86" s="13">
        <f t="shared" ref="AA86:AC86" si="42">Z86</f>
        <v>1.3728534858125616</v>
      </c>
      <c r="AB86" s="13">
        <f t="shared" si="42"/>
        <v>1.3728534858125616</v>
      </c>
      <c r="AC86" s="13">
        <f t="shared" si="42"/>
        <v>1.3728534858125616</v>
      </c>
    </row>
    <row r="87" spans="1:29">
      <c r="A87" s="3">
        <v>2016</v>
      </c>
      <c r="B87" s="3">
        <f t="shared" si="28"/>
        <v>28186.670996424124</v>
      </c>
      <c r="C87" s="3">
        <f t="shared" si="31"/>
        <v>5637.3341992848245</v>
      </c>
      <c r="D87" s="3">
        <f t="shared" si="32"/>
        <v>3664.2672295351363</v>
      </c>
      <c r="E87" s="3">
        <v>50</v>
      </c>
      <c r="F87" s="3">
        <f t="shared" si="33"/>
        <v>9251.6014288199603</v>
      </c>
      <c r="G87" s="3"/>
      <c r="H87" s="3"/>
      <c r="I87" s="3">
        <v>2016</v>
      </c>
      <c r="J87" s="3"/>
      <c r="K87" s="3">
        <f t="shared" si="34"/>
        <v>25377.863430591831</v>
      </c>
      <c r="L87" s="3">
        <f t="shared" si="35"/>
        <v>5075.5726861183666</v>
      </c>
      <c r="M87" s="3">
        <f t="shared" si="36"/>
        <v>3299.1222459769383</v>
      </c>
      <c r="N87" s="3">
        <f t="shared" si="29"/>
        <v>843.42022925475987</v>
      </c>
      <c r="O87" s="3">
        <f t="shared" si="37"/>
        <v>9218.1151613500642</v>
      </c>
      <c r="P87" s="3"/>
      <c r="Q87" s="3"/>
      <c r="R87" s="3">
        <v>2016</v>
      </c>
      <c r="S87" s="13">
        <f t="shared" si="38"/>
        <v>0.9963804896127948</v>
      </c>
      <c r="T87" s="3"/>
      <c r="U87" s="13">
        <f t="shared" si="39"/>
        <v>1.3145694242199997</v>
      </c>
      <c r="V87" s="12">
        <f>'Country L per 100 km'!I11</f>
        <v>4.935340650566153</v>
      </c>
      <c r="W87" s="3">
        <f>'Country distance travelled'!I11</f>
        <v>13000</v>
      </c>
      <c r="Y87" s="3">
        <v>2016</v>
      </c>
      <c r="Z87" s="13">
        <v>1.3145694242199997</v>
      </c>
      <c r="AA87" s="13">
        <f t="shared" ref="AA87:AC87" si="43">Z87</f>
        <v>1.3145694242199997</v>
      </c>
      <c r="AB87" s="13">
        <f t="shared" si="43"/>
        <v>1.3145694242199997</v>
      </c>
      <c r="AC87" s="13">
        <f t="shared" si="43"/>
        <v>1.3145694242199997</v>
      </c>
    </row>
    <row r="88" spans="1:29">
      <c r="A88" s="3">
        <v>2017</v>
      </c>
      <c r="B88" s="3">
        <f t="shared" si="28"/>
        <v>27977.870933714708</v>
      </c>
      <c r="C88" s="3">
        <f t="shared" si="31"/>
        <v>5595.5741867429415</v>
      </c>
      <c r="D88" s="3">
        <f t="shared" si="32"/>
        <v>3637.1232213829121</v>
      </c>
      <c r="E88" s="3">
        <v>50</v>
      </c>
      <c r="F88" s="3">
        <f t="shared" si="33"/>
        <v>9182.6974081258541</v>
      </c>
      <c r="G88" s="3"/>
      <c r="H88" s="3"/>
      <c r="I88" s="3">
        <v>2017</v>
      </c>
      <c r="J88" s="3"/>
      <c r="K88" s="3">
        <f t="shared" si="34"/>
        <v>24938.034382514612</v>
      </c>
      <c r="L88" s="3">
        <f t="shared" si="35"/>
        <v>4987.6068765029222</v>
      </c>
      <c r="M88" s="3">
        <f t="shared" si="36"/>
        <v>3241.9444697268996</v>
      </c>
      <c r="N88" s="3">
        <f t="shared" si="29"/>
        <v>873.69641657395982</v>
      </c>
      <c r="O88" s="3">
        <f t="shared" si="37"/>
        <v>9103.2477628037814</v>
      </c>
      <c r="P88" s="3"/>
      <c r="Q88" s="3"/>
      <c r="R88" s="3">
        <v>2017</v>
      </c>
      <c r="S88" s="13">
        <f t="shared" si="38"/>
        <v>0.99134789683347657</v>
      </c>
      <c r="T88" s="3"/>
      <c r="U88" s="13">
        <f t="shared" si="39"/>
        <v>1.3753759999999999</v>
      </c>
      <c r="V88" s="12">
        <f>'Country L per 100 km'!I12</f>
        <v>4.8864758916496562</v>
      </c>
      <c r="W88" s="3">
        <f>'Country distance travelled'!I12</f>
        <v>13000</v>
      </c>
      <c r="Y88" s="3">
        <v>2017</v>
      </c>
      <c r="Z88" s="13">
        <v>1.3753759999999999</v>
      </c>
      <c r="AA88" s="13">
        <f t="shared" ref="AA88:AC88" si="44">Z88</f>
        <v>1.3753759999999999</v>
      </c>
      <c r="AB88" s="13">
        <f t="shared" si="44"/>
        <v>1.3753759999999999</v>
      </c>
      <c r="AC88" s="13">
        <f t="shared" si="44"/>
        <v>1.3753759999999999</v>
      </c>
    </row>
    <row r="89" spans="1:29">
      <c r="A89" s="3">
        <v>2018</v>
      </c>
      <c r="B89" s="3">
        <f t="shared" si="28"/>
        <v>27495.211389304168</v>
      </c>
      <c r="C89" s="3">
        <f t="shared" si="31"/>
        <v>5499.0422778608336</v>
      </c>
      <c r="D89" s="3">
        <f t="shared" si="32"/>
        <v>3574.3774806095421</v>
      </c>
      <c r="E89" s="3">
        <v>50</v>
      </c>
      <c r="F89" s="3">
        <f t="shared" si="33"/>
        <v>9023.4197584703761</v>
      </c>
      <c r="G89" s="3"/>
      <c r="H89" s="3"/>
      <c r="I89" s="3">
        <v>2018</v>
      </c>
      <c r="J89" s="3"/>
      <c r="K89" s="3">
        <f t="shared" si="34"/>
        <v>24046.5</v>
      </c>
      <c r="L89" s="3">
        <f t="shared" si="35"/>
        <v>4809.3</v>
      </c>
      <c r="M89" s="3">
        <f t="shared" si="36"/>
        <v>3126.0450000000001</v>
      </c>
      <c r="N89" s="3">
        <f t="shared" si="29"/>
        <v>929.4126618476397</v>
      </c>
      <c r="O89" s="3">
        <f t="shared" si="37"/>
        <v>8864.7576618476396</v>
      </c>
      <c r="P89" s="3"/>
      <c r="Q89" s="3"/>
      <c r="R89" s="3">
        <v>2018</v>
      </c>
      <c r="S89" s="13">
        <f t="shared" si="38"/>
        <v>0.98241663350817754</v>
      </c>
      <c r="T89" s="3"/>
      <c r="U89" s="13">
        <f t="shared" si="39"/>
        <v>1.4777155581753276</v>
      </c>
      <c r="V89" s="12">
        <f>'Country L per 100 km'!I13</f>
        <v>4.8380949422273831</v>
      </c>
      <c r="W89" s="3">
        <f>'Country distance travelled'!I13</f>
        <v>13000</v>
      </c>
      <c r="Y89" s="3">
        <v>2018</v>
      </c>
      <c r="Z89" s="13">
        <v>1.4777155581753276</v>
      </c>
      <c r="AA89" s="13">
        <f>Z89</f>
        <v>1.4777155581753276</v>
      </c>
      <c r="AB89" s="13">
        <f t="shared" ref="AB89:AC89" si="45">AA89</f>
        <v>1.4777155581753276</v>
      </c>
      <c r="AC89" s="13">
        <f t="shared" si="45"/>
        <v>1.4777155581753276</v>
      </c>
    </row>
    <row r="90" spans="1:29">
      <c r="A90" s="3">
        <v>2019</v>
      </c>
      <c r="B90" s="3">
        <f t="shared" si="28"/>
        <v>28163.081554826156</v>
      </c>
      <c r="C90" s="3">
        <f t="shared" si="31"/>
        <v>5632.6163109652316</v>
      </c>
      <c r="D90" s="3">
        <f t="shared" si="32"/>
        <v>3661.2006021274005</v>
      </c>
      <c r="E90" s="3">
        <v>50</v>
      </c>
      <c r="F90" s="3">
        <f t="shared" si="33"/>
        <v>9243.8169130926326</v>
      </c>
      <c r="G90" s="3"/>
      <c r="H90" s="3"/>
      <c r="I90" s="3">
        <v>2019</v>
      </c>
      <c r="J90" s="3"/>
      <c r="K90" s="3">
        <f t="shared" si="34"/>
        <v>24046.5</v>
      </c>
      <c r="L90" s="3">
        <f t="shared" si="35"/>
        <v>4809.3</v>
      </c>
      <c r="M90" s="3">
        <f t="shared" si="36"/>
        <v>3126.0450000000001</v>
      </c>
      <c r="N90" s="3">
        <f t="shared" si="29"/>
        <v>886.29189630643918</v>
      </c>
      <c r="O90" s="3">
        <f t="shared" si="37"/>
        <v>8821.6368963064397</v>
      </c>
      <c r="P90" s="3"/>
      <c r="Q90" s="3"/>
      <c r="R90" s="3">
        <v>2019</v>
      </c>
      <c r="S90" s="13">
        <f t="shared" si="38"/>
        <v>0.95432838828858335</v>
      </c>
      <c r="T90" s="3"/>
      <c r="U90" s="13">
        <f t="shared" si="39"/>
        <v>1.4232474462631686</v>
      </c>
      <c r="V90" s="12">
        <f>'Country L per 100 km'!I14</f>
        <v>4.790193012106319</v>
      </c>
      <c r="W90" s="3">
        <f>'Country distance travelled'!I14</f>
        <v>13000</v>
      </c>
      <c r="Y90" s="3">
        <v>2019</v>
      </c>
      <c r="Z90" s="13"/>
      <c r="AA90" s="13">
        <v>1.658010744748154</v>
      </c>
      <c r="AB90" s="13">
        <v>1.4232474462631686</v>
      </c>
      <c r="AC90" s="13">
        <v>1.218761134917721</v>
      </c>
    </row>
    <row r="91" spans="1:29">
      <c r="A91" s="3">
        <v>2020</v>
      </c>
      <c r="B91" s="3">
        <f t="shared" si="28"/>
        <v>28027.407040611859</v>
      </c>
      <c r="C91" s="3">
        <f t="shared" si="31"/>
        <v>5605.4814081223722</v>
      </c>
      <c r="D91" s="3">
        <f t="shared" si="32"/>
        <v>3643.5629152795418</v>
      </c>
      <c r="E91" s="3">
        <v>50</v>
      </c>
      <c r="F91" s="3">
        <f t="shared" si="33"/>
        <v>9199.0443234019149</v>
      </c>
      <c r="G91" s="3"/>
      <c r="H91" s="3"/>
      <c r="I91" s="3">
        <v>2020</v>
      </c>
      <c r="J91" s="3"/>
      <c r="K91" s="3">
        <f t="shared" si="34"/>
        <v>24046.5</v>
      </c>
      <c r="L91" s="3">
        <f t="shared" si="35"/>
        <v>4809.3</v>
      </c>
      <c r="M91" s="3">
        <f t="shared" si="36"/>
        <v>3126.0450000000001</v>
      </c>
      <c r="N91" s="3">
        <f t="shared" si="29"/>
        <v>878.48685006045207</v>
      </c>
      <c r="O91" s="3">
        <f t="shared" si="37"/>
        <v>8813.8318500604528</v>
      </c>
      <c r="P91" s="3"/>
      <c r="Q91" s="3"/>
      <c r="R91" s="3">
        <v>2020</v>
      </c>
      <c r="S91" s="13">
        <f t="shared" si="38"/>
        <v>0.9581247290697904</v>
      </c>
      <c r="T91" s="3"/>
      <c r="U91" s="13">
        <f t="shared" si="39"/>
        <v>1.4248208889714766</v>
      </c>
      <c r="V91" s="12">
        <f>'Country L per 100 km'!I15</f>
        <v>4.7427653585211083</v>
      </c>
      <c r="W91" s="3">
        <f>'Country distance travelled'!I15</f>
        <v>13000</v>
      </c>
      <c r="Y91" s="3">
        <v>2020</v>
      </c>
      <c r="Z91" s="13"/>
      <c r="AA91" s="13">
        <v>1.7575739896430524</v>
      </c>
      <c r="AB91" s="13">
        <v>1.4248208889714766</v>
      </c>
      <c r="AC91" s="13">
        <v>1.224617796382127</v>
      </c>
    </row>
    <row r="92" spans="1:29">
      <c r="A92" s="3">
        <v>2021</v>
      </c>
      <c r="B92" s="3">
        <f t="shared" si="28"/>
        <v>27272.077497488794</v>
      </c>
      <c r="C92" s="3">
        <f t="shared" si="31"/>
        <v>5454.4154994977589</v>
      </c>
      <c r="D92" s="3">
        <f t="shared" si="32"/>
        <v>3545.3700746735435</v>
      </c>
      <c r="E92" s="3">
        <v>50</v>
      </c>
      <c r="F92" s="3">
        <f t="shared" si="33"/>
        <v>8949.7855741713029</v>
      </c>
      <c r="G92" s="3"/>
      <c r="H92" s="3"/>
      <c r="I92" s="3">
        <v>2021</v>
      </c>
      <c r="J92" s="3"/>
      <c r="K92" s="3">
        <f t="shared" si="34"/>
        <v>24046.5</v>
      </c>
      <c r="L92" s="3">
        <f t="shared" si="35"/>
        <v>4809.3</v>
      </c>
      <c r="M92" s="3">
        <f t="shared" si="36"/>
        <v>3126.0450000000001</v>
      </c>
      <c r="N92" s="3">
        <f t="shared" si="29"/>
        <v>898.08795984643655</v>
      </c>
      <c r="O92" s="3">
        <f t="shared" si="37"/>
        <v>8833.4329598464374</v>
      </c>
      <c r="P92" s="3"/>
      <c r="Q92" s="3"/>
      <c r="R92" s="3">
        <v>2021</v>
      </c>
      <c r="S92" s="13">
        <f t="shared" si="38"/>
        <v>0.98699939642569157</v>
      </c>
      <c r="T92" s="3"/>
      <c r="U92" s="13">
        <f t="shared" si="39"/>
        <v>1.4711781173358185</v>
      </c>
      <c r="V92" s="12">
        <f>'Country L per 100 km'!I16</f>
        <v>4.6958072856644639</v>
      </c>
      <c r="W92" s="3">
        <f>'Country distance travelled'!I16</f>
        <v>13000</v>
      </c>
      <c r="Y92" s="3">
        <v>2021</v>
      </c>
      <c r="Z92" s="13"/>
      <c r="AA92" s="13">
        <v>1.8629938960023567</v>
      </c>
      <c r="AB92" s="13">
        <v>1.4711781173358185</v>
      </c>
      <c r="AC92" s="13">
        <v>1.2363311193109388</v>
      </c>
    </row>
    <row r="93" spans="1:29">
      <c r="A93" s="3">
        <v>2022</v>
      </c>
      <c r="B93" s="3">
        <f t="shared" si="28"/>
        <v>27786.363060634114</v>
      </c>
      <c r="C93" s="3">
        <f t="shared" si="31"/>
        <v>5557.2726121268224</v>
      </c>
      <c r="D93" s="3">
        <f t="shared" si="32"/>
        <v>3612.2271978824351</v>
      </c>
      <c r="E93" s="3">
        <v>50</v>
      </c>
      <c r="F93" s="3">
        <f t="shared" si="33"/>
        <v>9119.499810009258</v>
      </c>
      <c r="G93" s="3"/>
      <c r="H93" s="3"/>
      <c r="I93" s="3">
        <v>2022</v>
      </c>
      <c r="J93" s="3"/>
      <c r="K93" s="3">
        <f t="shared" si="34"/>
        <v>24046.5</v>
      </c>
      <c r="L93" s="3">
        <f t="shared" si="35"/>
        <v>4809.3</v>
      </c>
      <c r="M93" s="3">
        <f t="shared" si="36"/>
        <v>3126.0450000000001</v>
      </c>
      <c r="N93" s="3">
        <f t="shared" si="29"/>
        <v>910.05793142489995</v>
      </c>
      <c r="O93" s="3">
        <f t="shared" si="37"/>
        <v>8845.4029314249001</v>
      </c>
      <c r="P93" s="3"/>
      <c r="Q93" s="3"/>
      <c r="R93" s="3">
        <v>2022</v>
      </c>
      <c r="S93" s="13">
        <f t="shared" si="38"/>
        <v>0.96994386925875931</v>
      </c>
      <c r="T93" s="3"/>
      <c r="U93" s="13">
        <f t="shared" si="39"/>
        <v>1.505694261387978</v>
      </c>
      <c r="V93" s="12">
        <f>'Country L per 100 km'!I17</f>
        <v>4.6493141442222399</v>
      </c>
      <c r="W93" s="3">
        <f>'Country distance travelled'!I17</f>
        <v>13000</v>
      </c>
      <c r="Y93" s="3">
        <v>2022</v>
      </c>
      <c r="Z93" s="13"/>
      <c r="AA93" s="13">
        <v>1.9098471877176031</v>
      </c>
      <c r="AB93" s="13">
        <v>1.505694261387978</v>
      </c>
      <c r="AC93" s="13">
        <v>1.2421877807753443</v>
      </c>
    </row>
    <row r="94" spans="1:29">
      <c r="A94" s="3">
        <v>2023</v>
      </c>
      <c r="B94" s="3">
        <f t="shared" si="28"/>
        <v>27550.788091996612</v>
      </c>
      <c r="C94" s="3">
        <f t="shared" si="31"/>
        <v>5510.157618399322</v>
      </c>
      <c r="D94" s="3">
        <f t="shared" si="32"/>
        <v>3581.6024519595599</v>
      </c>
      <c r="E94" s="3">
        <v>50</v>
      </c>
      <c r="F94" s="3">
        <f t="shared" si="33"/>
        <v>9041.7600703588814</v>
      </c>
      <c r="G94" s="3"/>
      <c r="H94" s="3"/>
      <c r="I94" s="3">
        <v>2023</v>
      </c>
      <c r="J94" s="3"/>
      <c r="K94" s="3">
        <f t="shared" si="34"/>
        <v>24046.5</v>
      </c>
      <c r="L94" s="3">
        <f t="shared" si="35"/>
        <v>4809.3</v>
      </c>
      <c r="M94" s="3">
        <f t="shared" si="36"/>
        <v>3126.0450000000001</v>
      </c>
      <c r="N94" s="3">
        <f t="shared" si="29"/>
        <v>910.55236505171467</v>
      </c>
      <c r="O94" s="3">
        <f t="shared" si="37"/>
        <v>8845.8973650517146</v>
      </c>
      <c r="P94" s="3"/>
      <c r="Q94" s="3"/>
      <c r="R94" s="3">
        <v>2023</v>
      </c>
      <c r="S94" s="13">
        <f t="shared" si="38"/>
        <v>0.97833798908807001</v>
      </c>
      <c r="T94" s="3"/>
      <c r="U94" s="13">
        <f t="shared" si="39"/>
        <v>1.5215774267150648</v>
      </c>
      <c r="V94" s="12">
        <f>'Country L per 100 km'!I18</f>
        <v>4.6032813309131093</v>
      </c>
      <c r="W94" s="3">
        <f>'Country distance travelled'!I18</f>
        <v>13000</v>
      </c>
      <c r="Y94" s="3">
        <v>2023</v>
      </c>
      <c r="Z94" s="13"/>
      <c r="AA94" s="13">
        <v>1.944987156504038</v>
      </c>
      <c r="AB94" s="13">
        <v>1.5215774267150648</v>
      </c>
      <c r="AC94" s="13">
        <v>1.2421877807753443</v>
      </c>
    </row>
    <row r="95" spans="1:29">
      <c r="A95" s="3">
        <v>2024</v>
      </c>
      <c r="B95" s="3">
        <f t="shared" si="28"/>
        <v>26472.995835676804</v>
      </c>
      <c r="C95" s="3">
        <f t="shared" si="31"/>
        <v>5294.5991671353604</v>
      </c>
      <c r="D95" s="3">
        <f t="shared" si="32"/>
        <v>3441.4894586379846</v>
      </c>
      <c r="E95" s="3">
        <v>50</v>
      </c>
      <c r="F95" s="3">
        <f t="shared" si="33"/>
        <v>8686.0886257733455</v>
      </c>
      <c r="G95" s="3"/>
      <c r="H95" s="3"/>
      <c r="I95" s="3">
        <v>2024</v>
      </c>
      <c r="J95" s="3"/>
      <c r="K95" s="3">
        <f t="shared" si="34"/>
        <v>24046.5</v>
      </c>
      <c r="L95" s="3">
        <f t="shared" si="35"/>
        <v>4809.3</v>
      </c>
      <c r="M95" s="3">
        <f t="shared" si="36"/>
        <v>3126.0450000000001</v>
      </c>
      <c r="N95" s="3">
        <f t="shared" si="29"/>
        <v>904.02509295307595</v>
      </c>
      <c r="O95" s="3">
        <f t="shared" si="37"/>
        <v>8839.3700929530769</v>
      </c>
      <c r="P95" s="3"/>
      <c r="Q95" s="3"/>
      <c r="R95" s="3">
        <v>2024</v>
      </c>
      <c r="S95" s="13">
        <f t="shared" si="38"/>
        <v>1.0176467767925963</v>
      </c>
      <c r="T95" s="3"/>
      <c r="U95" s="13">
        <f t="shared" si="39"/>
        <v>1.5257767369465864</v>
      </c>
      <c r="V95" s="12">
        <f>'Country L per 100 km'!I19</f>
        <v>4.5577042880327818</v>
      </c>
      <c r="W95" s="3">
        <f>'Country distance travelled'!I19</f>
        <v>13000</v>
      </c>
      <c r="Y95" s="3">
        <v>2024</v>
      </c>
      <c r="Z95" s="13"/>
      <c r="AA95" s="13">
        <v>1.9742704638260669</v>
      </c>
      <c r="AB95" s="13">
        <v>1.5257767369465864</v>
      </c>
      <c r="AC95" s="13">
        <v>1.2421877807753443</v>
      </c>
    </row>
    <row r="96" spans="1:29">
      <c r="A96" s="3">
        <v>2025</v>
      </c>
      <c r="B96" s="3">
        <f t="shared" si="28"/>
        <v>25555.249006360005</v>
      </c>
      <c r="C96" s="3">
        <f t="shared" si="31"/>
        <v>5111.0498012720009</v>
      </c>
      <c r="D96" s="3">
        <f t="shared" si="32"/>
        <v>3322.1823708268007</v>
      </c>
      <c r="E96" s="3">
        <v>50</v>
      </c>
      <c r="F96" s="3">
        <f t="shared" si="33"/>
        <v>8383.232172098802</v>
      </c>
      <c r="G96" s="3"/>
      <c r="H96" s="3"/>
      <c r="I96" s="3">
        <v>2025</v>
      </c>
      <c r="J96" s="3"/>
      <c r="K96" s="3">
        <f t="shared" si="34"/>
        <v>24046.5</v>
      </c>
      <c r="L96" s="3">
        <f t="shared" si="35"/>
        <v>4809.3</v>
      </c>
      <c r="M96" s="3">
        <f t="shared" si="36"/>
        <v>3126.0450000000001</v>
      </c>
      <c r="N96" s="3">
        <f t="shared" si="29"/>
        <v>907.96423067892567</v>
      </c>
      <c r="O96" s="3">
        <f t="shared" si="37"/>
        <v>8843.3092306789258</v>
      </c>
      <c r="P96" s="3"/>
      <c r="Q96" s="3"/>
      <c r="R96" s="3">
        <v>2025</v>
      </c>
      <c r="S96" s="13">
        <f t="shared" si="38"/>
        <v>1.054880629467875</v>
      </c>
      <c r="T96" s="3"/>
      <c r="U96" s="13">
        <f t="shared" si="39"/>
        <v>1.5477493037172039</v>
      </c>
      <c r="V96" s="12">
        <f>'Country L per 100 km'!I20</f>
        <v>4.5125785030027545</v>
      </c>
      <c r="W96" s="3">
        <f>'Country distance travelled'!I20</f>
        <v>13000</v>
      </c>
      <c r="Y96" s="3">
        <v>2025</v>
      </c>
      <c r="Z96" s="13"/>
      <c r="AA96" s="13">
        <v>2.0035537711480953</v>
      </c>
      <c r="AB96" s="13">
        <v>1.5477493037172039</v>
      </c>
      <c r="AC96" s="13">
        <v>1.2480444422397501</v>
      </c>
    </row>
    <row r="97" spans="1:29">
      <c r="A97" s="3">
        <v>2026</v>
      </c>
      <c r="B97" s="3">
        <f t="shared" si="28"/>
        <v>25056.333727355479</v>
      </c>
      <c r="C97" s="3">
        <f t="shared" si="31"/>
        <v>5011.2667454710954</v>
      </c>
      <c r="D97" s="3">
        <f t="shared" si="32"/>
        <v>3257.3233845562122</v>
      </c>
      <c r="E97" s="3">
        <v>50</v>
      </c>
      <c r="F97" s="3">
        <f t="shared" si="33"/>
        <v>8218.5901300273072</v>
      </c>
      <c r="G97" s="3"/>
      <c r="H97" s="3"/>
      <c r="I97" s="3">
        <v>2026</v>
      </c>
      <c r="J97" s="3"/>
      <c r="K97" s="3">
        <f t="shared" si="34"/>
        <v>24046.5</v>
      </c>
      <c r="L97" s="3">
        <f t="shared" si="35"/>
        <v>4809.3</v>
      </c>
      <c r="M97" s="3">
        <f t="shared" si="36"/>
        <v>3126.0450000000001</v>
      </c>
      <c r="N97" s="3">
        <f t="shared" si="29"/>
        <v>921.40564237229057</v>
      </c>
      <c r="O97" s="3">
        <f t="shared" si="37"/>
        <v>8856.7506423722916</v>
      </c>
      <c r="P97" s="3"/>
      <c r="Q97" s="3"/>
      <c r="R97" s="3">
        <v>2026</v>
      </c>
      <c r="S97" s="13">
        <f t="shared" si="38"/>
        <v>1.0776484168511351</v>
      </c>
      <c r="T97" s="3"/>
      <c r="U97" s="13">
        <f t="shared" si="39"/>
        <v>1.586368649963245</v>
      </c>
      <c r="V97" s="12">
        <f>'Country L per 100 km'!I21</f>
        <v>4.4678995079235202</v>
      </c>
      <c r="W97" s="3">
        <f>'Country distance travelled'!I21</f>
        <v>13000</v>
      </c>
      <c r="Y97" s="3">
        <v>2026</v>
      </c>
      <c r="Z97" s="13"/>
      <c r="AA97" s="13">
        <v>2.0328370784701244</v>
      </c>
      <c r="AB97" s="13">
        <v>1.586368649963245</v>
      </c>
      <c r="AC97" s="13">
        <v>1.2539011037041561</v>
      </c>
    </row>
    <row r="98" spans="1:29">
      <c r="A98" s="3">
        <v>2027</v>
      </c>
      <c r="B98" s="3">
        <f t="shared" si="28"/>
        <v>24556.843905837581</v>
      </c>
      <c r="C98" s="3">
        <f t="shared" si="31"/>
        <v>4911.3687811675163</v>
      </c>
      <c r="D98" s="3">
        <f t="shared" si="32"/>
        <v>3192.3897077588854</v>
      </c>
      <c r="E98" s="3">
        <v>50</v>
      </c>
      <c r="F98" s="3">
        <f t="shared" si="33"/>
        <v>8053.7584889264017</v>
      </c>
      <c r="G98" s="3"/>
      <c r="H98" s="3"/>
      <c r="I98" s="3">
        <v>2027</v>
      </c>
      <c r="J98" s="3"/>
      <c r="K98" s="3">
        <f t="shared" si="34"/>
        <v>24046.5</v>
      </c>
      <c r="L98" s="3">
        <f t="shared" si="35"/>
        <v>4809.3</v>
      </c>
      <c r="M98" s="3">
        <f t="shared" si="36"/>
        <v>3126.0450000000001</v>
      </c>
      <c r="N98" s="3">
        <f t="shared" si="29"/>
        <v>923.72880483612448</v>
      </c>
      <c r="O98" s="3">
        <f t="shared" si="37"/>
        <v>8859.0738048361254</v>
      </c>
      <c r="P98" s="3"/>
      <c r="Q98" s="3"/>
      <c r="R98" s="3">
        <v>2027</v>
      </c>
      <c r="S98" s="13">
        <f t="shared" si="38"/>
        <v>1.0999924838840152</v>
      </c>
      <c r="T98" s="3"/>
      <c r="U98" s="13">
        <f t="shared" si="39"/>
        <v>1.6062720838349771</v>
      </c>
      <c r="V98" s="12">
        <f>'Country L per 100 km'!I22</f>
        <v>4.4236628791321984</v>
      </c>
      <c r="W98" s="3">
        <f>'Country distance travelled'!I22</f>
        <v>13000</v>
      </c>
      <c r="Y98" s="3">
        <v>2027</v>
      </c>
      <c r="Z98" s="13"/>
      <c r="AA98" s="13">
        <v>2.0621203857921531</v>
      </c>
      <c r="AB98" s="13">
        <v>1.6062720838349771</v>
      </c>
      <c r="AC98" s="13">
        <v>1.2597577651685616</v>
      </c>
    </row>
    <row r="99" spans="1:29">
      <c r="A99" s="3">
        <v>2028</v>
      </c>
      <c r="B99" s="3">
        <f t="shared" si="28"/>
        <v>23987.376568255153</v>
      </c>
      <c r="C99" s="3">
        <f t="shared" si="31"/>
        <v>4797.4753136510308</v>
      </c>
      <c r="D99" s="3">
        <f t="shared" si="32"/>
        <v>3118.3589538731699</v>
      </c>
      <c r="E99" s="3">
        <v>50</v>
      </c>
      <c r="F99" s="3">
        <f t="shared" si="33"/>
        <v>7865.8342675242002</v>
      </c>
      <c r="G99" s="3"/>
      <c r="H99" s="3"/>
      <c r="I99" s="3">
        <v>2028</v>
      </c>
      <c r="J99" s="3"/>
      <c r="K99" s="3">
        <f t="shared" si="34"/>
        <v>24046.5</v>
      </c>
      <c r="L99" s="3">
        <f t="shared" si="35"/>
        <v>4809.3</v>
      </c>
      <c r="M99" s="3">
        <f t="shared" si="36"/>
        <v>3126.0450000000001</v>
      </c>
      <c r="N99" s="3">
        <f t="shared" si="29"/>
        <v>921.75683412491014</v>
      </c>
      <c r="O99" s="3">
        <f t="shared" si="37"/>
        <v>8857.101834124911</v>
      </c>
      <c r="P99" s="3"/>
      <c r="Q99" s="3"/>
      <c r="R99" s="3">
        <v>2028</v>
      </c>
      <c r="S99" s="13">
        <f t="shared" si="38"/>
        <v>1.1260219237892379</v>
      </c>
      <c r="T99" s="3"/>
      <c r="U99" s="13">
        <f t="shared" si="39"/>
        <v>1.6188714540645228</v>
      </c>
      <c r="V99" s="12">
        <f>'Country L per 100 km'!I23</f>
        <v>4.3798642367645524</v>
      </c>
      <c r="W99" s="3">
        <f>'Country distance travelled'!I23</f>
        <v>13000</v>
      </c>
      <c r="Y99" s="3">
        <v>2028</v>
      </c>
      <c r="Z99" s="13"/>
      <c r="AA99" s="13">
        <v>2.0855470316497762</v>
      </c>
      <c r="AB99" s="13">
        <v>1.6188714540645228</v>
      </c>
      <c r="AC99" s="13">
        <v>1.2597577651685616</v>
      </c>
    </row>
    <row r="100" spans="1:29">
      <c r="A100" s="3">
        <v>2029</v>
      </c>
      <c r="B100" s="3">
        <f t="shared" si="28"/>
        <v>23486.755174362093</v>
      </c>
      <c r="C100" s="3">
        <f t="shared" si="31"/>
        <v>4697.3510348724185</v>
      </c>
      <c r="D100" s="3">
        <f t="shared" si="32"/>
        <v>3053.2781726670723</v>
      </c>
      <c r="E100" s="3">
        <v>50</v>
      </c>
      <c r="F100" s="3">
        <f t="shared" si="33"/>
        <v>7700.6292075394904</v>
      </c>
      <c r="G100" s="3"/>
      <c r="H100" s="3"/>
      <c r="I100" s="3">
        <v>2029</v>
      </c>
      <c r="J100" s="3"/>
      <c r="K100" s="3">
        <f t="shared" si="34"/>
        <v>24046.5</v>
      </c>
      <c r="L100" s="3">
        <f t="shared" si="35"/>
        <v>4809.3</v>
      </c>
      <c r="M100" s="3">
        <f t="shared" si="36"/>
        <v>3126.0450000000001</v>
      </c>
      <c r="N100" s="3">
        <f t="shared" si="29"/>
        <v>922.25794202011832</v>
      </c>
      <c r="O100" s="3">
        <f t="shared" si="37"/>
        <v>8857.6029420201194</v>
      </c>
      <c r="P100" s="3"/>
      <c r="Q100" s="3"/>
      <c r="R100" s="3">
        <v>2029</v>
      </c>
      <c r="S100" s="13">
        <f t="shared" si="38"/>
        <v>1.1502440519208308</v>
      </c>
      <c r="T100" s="3"/>
      <c r="U100" s="13">
        <f t="shared" si="39"/>
        <v>1.6359490598282056</v>
      </c>
      <c r="V100" s="12">
        <f>'Country L per 100 km'!I24</f>
        <v>4.336499244321339</v>
      </c>
      <c r="W100" s="3">
        <f>'Country distance travelled'!I24</f>
        <v>13000</v>
      </c>
      <c r="Y100" s="3">
        <v>2029</v>
      </c>
      <c r="Z100" s="13"/>
      <c r="AA100" s="13">
        <v>2.1148303389718053</v>
      </c>
      <c r="AB100" s="13">
        <v>1.6359490598282056</v>
      </c>
      <c r="AC100" s="13">
        <v>1.2597577651685616</v>
      </c>
    </row>
    <row r="101" spans="1:29">
      <c r="A101" s="3">
        <v>2030</v>
      </c>
      <c r="B101" s="3">
        <f t="shared" si="28"/>
        <v>22916.167800775333</v>
      </c>
      <c r="C101" s="3">
        <f t="shared" si="31"/>
        <v>4583.2335601550667</v>
      </c>
      <c r="D101" s="3">
        <f t="shared" si="32"/>
        <v>2979.1018141007935</v>
      </c>
      <c r="E101" s="3">
        <v>50</v>
      </c>
      <c r="F101" s="3">
        <f t="shared" si="33"/>
        <v>7512.3353742558602</v>
      </c>
      <c r="G101" s="3"/>
      <c r="H101" s="3"/>
      <c r="I101" s="3">
        <v>2030</v>
      </c>
      <c r="J101" s="3"/>
      <c r="K101" s="3">
        <f t="shared" si="34"/>
        <v>24046.5</v>
      </c>
      <c r="L101" s="3">
        <f t="shared" si="35"/>
        <v>4809.3</v>
      </c>
      <c r="M101" s="3">
        <f t="shared" si="36"/>
        <v>3126.0450000000001</v>
      </c>
      <c r="N101" s="3">
        <f t="shared" si="29"/>
        <v>920.41518991503176</v>
      </c>
      <c r="O101" s="3">
        <f>SUM(L101:N101)</f>
        <v>8855.7601899150322</v>
      </c>
      <c r="P101" s="3"/>
      <c r="Q101" s="3"/>
      <c r="R101" s="3">
        <v>2030</v>
      </c>
      <c r="S101" s="13">
        <f t="shared" si="38"/>
        <v>1.1788291854305355</v>
      </c>
      <c r="T101" s="3"/>
      <c r="U101" s="13">
        <f t="shared" si="39"/>
        <v>1.6490070932952192</v>
      </c>
      <c r="V101" s="12">
        <f>'Country L per 100 km'!I25</f>
        <v>4.2935636082389497</v>
      </c>
      <c r="W101" s="3">
        <f>'Country distance travelled'!I25</f>
        <v>13000</v>
      </c>
      <c r="Y101" s="3">
        <v>2030</v>
      </c>
      <c r="Z101" s="13"/>
      <c r="AA101" s="13">
        <v>2.1324003233650224</v>
      </c>
      <c r="AB101" s="13">
        <v>1.6490070932952192</v>
      </c>
      <c r="AC101" s="13">
        <v>1.2656144266329674</v>
      </c>
    </row>
    <row r="102" spans="1:29">
      <c r="A102" s="3">
        <v>2031</v>
      </c>
      <c r="B102" s="3"/>
      <c r="C102" s="3"/>
      <c r="D102" s="3"/>
      <c r="E102" s="3"/>
      <c r="F102" s="3"/>
      <c r="G102" s="3"/>
      <c r="H102" s="3"/>
      <c r="I102" s="3">
        <v>2031</v>
      </c>
      <c r="J102" s="3"/>
      <c r="K102" s="3"/>
      <c r="L102" s="3"/>
      <c r="M102" s="3"/>
      <c r="N102" s="3"/>
      <c r="O102" s="3"/>
      <c r="P102" s="3"/>
      <c r="Q102" s="3"/>
      <c r="R102" s="3">
        <v>2031</v>
      </c>
      <c r="S102" s="3"/>
      <c r="T102" s="3"/>
      <c r="U102" s="13">
        <f>U101</f>
        <v>1.6490070932952192</v>
      </c>
      <c r="V102" s="12">
        <f>'Country L per 100 km'!I26</f>
        <v>4.2510530774643067</v>
      </c>
      <c r="W102" s="3">
        <f>'Country distance travelled'!I26</f>
        <v>13000</v>
      </c>
      <c r="Y102" s="3">
        <v>2031</v>
      </c>
    </row>
    <row r="103" spans="1:29">
      <c r="A103" s="3">
        <v>2032</v>
      </c>
      <c r="B103" s="3"/>
      <c r="C103" s="3"/>
      <c r="D103" s="3"/>
      <c r="E103" s="3"/>
      <c r="F103" s="3"/>
      <c r="G103" s="3"/>
      <c r="H103" s="3"/>
      <c r="I103" s="3">
        <v>2032</v>
      </c>
      <c r="J103" s="3"/>
      <c r="K103" s="3"/>
      <c r="L103" s="3"/>
      <c r="M103" s="3"/>
      <c r="N103" s="3"/>
      <c r="O103" s="3"/>
      <c r="P103" s="3"/>
      <c r="Q103" s="3"/>
      <c r="R103" s="3">
        <v>2032</v>
      </c>
      <c r="S103" s="3"/>
      <c r="T103" s="3"/>
      <c r="U103" s="13">
        <f t="shared" ref="U103:U111" si="46">U102</f>
        <v>1.6490070932952192</v>
      </c>
      <c r="V103" s="12">
        <f>'Country L per 100 km'!I27</f>
        <v>4.2089634430339666</v>
      </c>
      <c r="W103" s="3">
        <f>'Country distance travelled'!I27</f>
        <v>13000</v>
      </c>
      <c r="Y103" s="3">
        <v>2032</v>
      </c>
    </row>
    <row r="104" spans="1:29">
      <c r="A104" s="3">
        <v>2033</v>
      </c>
      <c r="B104" s="3"/>
      <c r="C104" s="3"/>
      <c r="D104" s="3"/>
      <c r="E104" s="3"/>
      <c r="F104" s="3"/>
      <c r="G104" s="3"/>
      <c r="H104" s="3"/>
      <c r="I104" s="3">
        <v>2033</v>
      </c>
      <c r="J104" s="3"/>
      <c r="K104" s="3"/>
      <c r="L104" s="3"/>
      <c r="M104" s="3"/>
      <c r="N104" s="3"/>
      <c r="O104" s="3"/>
      <c r="P104" s="3"/>
      <c r="Q104" s="3"/>
      <c r="R104" s="3">
        <v>2033</v>
      </c>
      <c r="S104" s="3"/>
      <c r="T104" s="3"/>
      <c r="U104" s="13">
        <f t="shared" si="46"/>
        <v>1.6490070932952192</v>
      </c>
      <c r="V104" s="12">
        <f>'Country L per 100 km'!I28</f>
        <v>4.1672905376573928</v>
      </c>
      <c r="W104" s="3">
        <f>'Country distance travelled'!I28</f>
        <v>13000</v>
      </c>
      <c r="Y104" s="3">
        <v>2033</v>
      </c>
    </row>
    <row r="105" spans="1:29">
      <c r="A105" s="3">
        <v>2034</v>
      </c>
      <c r="B105" s="3"/>
      <c r="C105" s="3"/>
      <c r="D105" s="3"/>
      <c r="E105" s="3"/>
      <c r="F105" s="3"/>
      <c r="G105" s="3"/>
      <c r="H105" s="3"/>
      <c r="I105" s="3">
        <v>2034</v>
      </c>
      <c r="J105" s="3"/>
      <c r="K105" s="3"/>
      <c r="L105" s="3"/>
      <c r="M105" s="3"/>
      <c r="N105" s="3"/>
      <c r="O105" s="3"/>
      <c r="P105" s="3"/>
      <c r="Q105" s="3"/>
      <c r="R105" s="3">
        <v>2034</v>
      </c>
      <c r="S105" s="3"/>
      <c r="T105" s="3"/>
      <c r="U105" s="13">
        <f t="shared" si="46"/>
        <v>1.6490070932952192</v>
      </c>
      <c r="V105" s="12">
        <f>'Country L per 100 km'!I29</f>
        <v>4.1260302353043485</v>
      </c>
      <c r="W105" s="3">
        <f>'Country distance travelled'!I29</f>
        <v>13000</v>
      </c>
      <c r="Y105" s="3">
        <v>2034</v>
      </c>
    </row>
    <row r="106" spans="1:29">
      <c r="A106" s="3">
        <v>2035</v>
      </c>
      <c r="B106" s="3"/>
      <c r="C106" s="3"/>
      <c r="D106" s="3"/>
      <c r="E106" s="3"/>
      <c r="F106" s="3"/>
      <c r="G106" s="3"/>
      <c r="H106" s="3"/>
      <c r="I106" s="3">
        <v>2035</v>
      </c>
      <c r="J106" s="3"/>
      <c r="K106" s="3"/>
      <c r="L106" s="3"/>
      <c r="M106" s="3"/>
      <c r="N106" s="3"/>
      <c r="O106" s="3"/>
      <c r="P106" s="3"/>
      <c r="Q106" s="3"/>
      <c r="R106" s="3">
        <v>2035</v>
      </c>
      <c r="S106" s="3"/>
      <c r="T106" s="3"/>
      <c r="U106" s="13">
        <f t="shared" si="46"/>
        <v>1.6490070932952192</v>
      </c>
      <c r="V106" s="12">
        <f>'Country L per 100 km'!I30</f>
        <v>4.0851784507963851</v>
      </c>
      <c r="W106" s="3">
        <f>'Country distance travelled'!I30</f>
        <v>13000</v>
      </c>
      <c r="Y106" s="3">
        <v>2035</v>
      </c>
    </row>
    <row r="107" spans="1:29">
      <c r="A107" s="3">
        <v>2036</v>
      </c>
      <c r="B107" s="3"/>
      <c r="C107" s="3"/>
      <c r="D107" s="3"/>
      <c r="E107" s="3"/>
      <c r="F107" s="3"/>
      <c r="G107" s="3"/>
      <c r="H107" s="3"/>
      <c r="I107" s="3">
        <v>2036</v>
      </c>
      <c r="J107" s="3"/>
      <c r="K107" s="3"/>
      <c r="L107" s="3"/>
      <c r="M107" s="3"/>
      <c r="N107" s="3"/>
      <c r="O107" s="3"/>
      <c r="P107" s="3"/>
      <c r="Q107" s="3"/>
      <c r="R107" s="3">
        <v>2036</v>
      </c>
      <c r="S107" s="3"/>
      <c r="T107" s="3"/>
      <c r="U107" s="13">
        <f t="shared" si="46"/>
        <v>1.6490070932952192</v>
      </c>
      <c r="V107" s="12">
        <f>'Country L per 100 km'!I31</f>
        <v>4.0447311394023613</v>
      </c>
      <c r="W107" s="3">
        <f>'Country distance travelled'!I31</f>
        <v>13000</v>
      </c>
      <c r="Y107" s="3">
        <v>2036</v>
      </c>
    </row>
    <row r="108" spans="1:29">
      <c r="A108" s="3">
        <v>2037</v>
      </c>
      <c r="B108" s="3"/>
      <c r="C108" s="3"/>
      <c r="D108" s="3"/>
      <c r="E108" s="3"/>
      <c r="F108" s="3"/>
      <c r="G108" s="3"/>
      <c r="H108" s="3"/>
      <c r="I108" s="3">
        <v>2037</v>
      </c>
      <c r="J108" s="3"/>
      <c r="K108" s="3"/>
      <c r="L108" s="3"/>
      <c r="M108" s="3"/>
      <c r="N108" s="3"/>
      <c r="O108" s="3"/>
      <c r="P108" s="3"/>
      <c r="Q108" s="3"/>
      <c r="R108" s="3">
        <v>2037</v>
      </c>
      <c r="S108" s="3"/>
      <c r="T108" s="3"/>
      <c r="U108" s="13">
        <f t="shared" si="46"/>
        <v>1.6490070932952192</v>
      </c>
      <c r="V108" s="12">
        <f>'Country L per 100 km'!I32</f>
        <v>4.004684296437981</v>
      </c>
      <c r="W108" s="3">
        <f>'Country distance travelled'!I32</f>
        <v>13000</v>
      </c>
      <c r="Y108" s="3">
        <v>2037</v>
      </c>
    </row>
    <row r="109" spans="1:29">
      <c r="A109" s="3">
        <v>2038</v>
      </c>
      <c r="B109" s="3"/>
      <c r="C109" s="3"/>
      <c r="D109" s="3"/>
      <c r="E109" s="3"/>
      <c r="F109" s="3"/>
      <c r="G109" s="3"/>
      <c r="H109" s="3"/>
      <c r="I109" s="3">
        <v>2038</v>
      </c>
      <c r="J109" s="3"/>
      <c r="K109" s="3"/>
      <c r="L109" s="3"/>
      <c r="M109" s="3"/>
      <c r="N109" s="3"/>
      <c r="O109" s="3"/>
      <c r="P109" s="3"/>
      <c r="Q109" s="3"/>
      <c r="R109" s="3">
        <v>2038</v>
      </c>
      <c r="S109" s="3"/>
      <c r="T109" s="3"/>
      <c r="U109" s="13">
        <f t="shared" si="46"/>
        <v>1.6490070932952192</v>
      </c>
      <c r="V109" s="12">
        <f>'Country L per 100 km'!I33</f>
        <v>3.9650339568692887</v>
      </c>
      <c r="W109" s="3">
        <f>'Country distance travelled'!I33</f>
        <v>13000</v>
      </c>
      <c r="Y109" s="3">
        <v>2038</v>
      </c>
    </row>
    <row r="110" spans="1:29">
      <c r="A110" s="3">
        <v>2039</v>
      </c>
      <c r="B110" s="3"/>
      <c r="C110" s="3"/>
      <c r="D110" s="3"/>
      <c r="E110" s="3"/>
      <c r="F110" s="3"/>
      <c r="G110" s="3"/>
      <c r="H110" s="3"/>
      <c r="I110" s="3">
        <v>2039</v>
      </c>
      <c r="J110" s="3"/>
      <c r="K110" s="3"/>
      <c r="L110" s="3"/>
      <c r="M110" s="3"/>
      <c r="N110" s="3"/>
      <c r="O110" s="3"/>
      <c r="P110" s="3"/>
      <c r="Q110" s="3"/>
      <c r="R110" s="3">
        <v>2039</v>
      </c>
      <c r="S110" s="3"/>
      <c r="T110" s="3"/>
      <c r="U110" s="13">
        <f t="shared" si="46"/>
        <v>1.6490070932952192</v>
      </c>
      <c r="V110" s="12">
        <f>'Country L per 100 km'!I34</f>
        <v>3.9257761949200876</v>
      </c>
      <c r="W110" s="3">
        <f>'Country distance travelled'!I34</f>
        <v>13000</v>
      </c>
      <c r="Y110" s="3">
        <v>2039</v>
      </c>
    </row>
    <row r="111" spans="1:29">
      <c r="A111" s="3">
        <v>2040</v>
      </c>
      <c r="B111" s="3"/>
      <c r="C111" s="3"/>
      <c r="D111" s="3"/>
      <c r="E111" s="3"/>
      <c r="F111" s="3"/>
      <c r="G111" s="3"/>
      <c r="H111" s="3"/>
      <c r="I111" s="3">
        <v>2040</v>
      </c>
      <c r="J111" s="3"/>
      <c r="K111" s="3"/>
      <c r="L111" s="3"/>
      <c r="M111" s="3"/>
      <c r="N111" s="3"/>
      <c r="O111" s="3"/>
      <c r="P111" s="3"/>
      <c r="Q111" s="3"/>
      <c r="R111" s="3">
        <v>2040</v>
      </c>
      <c r="S111" s="3"/>
      <c r="T111" s="3"/>
      <c r="U111" s="13">
        <f t="shared" si="46"/>
        <v>1.6490070932952192</v>
      </c>
      <c r="V111" s="12">
        <f>'Country L per 100 km'!I35</f>
        <v>3.8869071236832551</v>
      </c>
      <c r="W111" s="3">
        <f>'Country distance travelled'!I35</f>
        <v>13000</v>
      </c>
      <c r="Y111" s="3">
        <v>2040</v>
      </c>
    </row>
    <row r="117" spans="16:29">
      <c r="Q117" s="87" t="s">
        <v>980</v>
      </c>
      <c r="R117" s="87" t="s">
        <v>980</v>
      </c>
      <c r="S117" s="87" t="s">
        <v>980</v>
      </c>
      <c r="T117" s="87" t="s">
        <v>980</v>
      </c>
      <c r="U117" s="87" t="s">
        <v>980</v>
      </c>
      <c r="W117" s="14" t="s">
        <v>812</v>
      </c>
      <c r="X117" s="14" t="s">
        <v>812</v>
      </c>
      <c r="Y117" s="14" t="s">
        <v>812</v>
      </c>
      <c r="Z117" s="14" t="s">
        <v>812</v>
      </c>
      <c r="AA117" s="14" t="s">
        <v>812</v>
      </c>
      <c r="AC117" s="248" t="s">
        <v>952</v>
      </c>
    </row>
    <row r="118" spans="16:29">
      <c r="Q118" s="87" t="s">
        <v>978</v>
      </c>
      <c r="R118" s="87" t="s">
        <v>979</v>
      </c>
      <c r="S118" s="87" t="s">
        <v>916</v>
      </c>
      <c r="T118" s="87" t="s">
        <v>981</v>
      </c>
      <c r="U118" s="87" t="s">
        <v>983</v>
      </c>
      <c r="W118" s="14" t="s">
        <v>725</v>
      </c>
      <c r="X118" s="14" t="s">
        <v>979</v>
      </c>
      <c r="Y118" s="14" t="s">
        <v>916</v>
      </c>
      <c r="Z118" s="14" t="s">
        <v>985</v>
      </c>
      <c r="AA118" s="14" t="s">
        <v>983</v>
      </c>
      <c r="AC118" s="248" t="s">
        <v>1204</v>
      </c>
    </row>
    <row r="119" spans="16:29">
      <c r="P119">
        <v>2012</v>
      </c>
      <c r="Q119" s="3">
        <f>B83</f>
        <v>26313.893072466679</v>
      </c>
      <c r="R119" s="3">
        <f t="shared" ref="R119:U134" si="47">C83</f>
        <v>5262.7786144933361</v>
      </c>
      <c r="S119" s="3">
        <f t="shared" si="47"/>
        <v>3420.8060994206685</v>
      </c>
      <c r="T119" s="3">
        <f t="shared" si="47"/>
        <v>50</v>
      </c>
      <c r="U119" s="3">
        <f t="shared" si="47"/>
        <v>8633.5847139140042</v>
      </c>
      <c r="V119" s="3"/>
      <c r="W119" s="3">
        <f>K83</f>
        <v>22368.93129101978</v>
      </c>
      <c r="X119" s="3">
        <f t="shared" ref="X119:AA119" si="48">L83</f>
        <v>4473.7862582039561</v>
      </c>
      <c r="Y119" s="3">
        <f t="shared" si="48"/>
        <v>2907.9610678325716</v>
      </c>
      <c r="Z119" s="3">
        <f t="shared" si="48"/>
        <v>1046.7827480648621</v>
      </c>
      <c r="AA119" s="3">
        <f t="shared" si="48"/>
        <v>8428.5300741013889</v>
      </c>
      <c r="AC119" s="13">
        <f>U119/AA119</f>
        <v>1.0243286359554786</v>
      </c>
    </row>
    <row r="120" spans="16:29">
      <c r="P120">
        <v>2013</v>
      </c>
      <c r="Q120" s="3">
        <f t="shared" ref="Q120:U137" si="49">B84</f>
        <v>23633.477804349437</v>
      </c>
      <c r="R120" s="3">
        <f t="shared" si="47"/>
        <v>4726.6955608698872</v>
      </c>
      <c r="S120" s="3">
        <f t="shared" si="47"/>
        <v>3072.3521145654267</v>
      </c>
      <c r="T120" s="3">
        <f t="shared" si="47"/>
        <v>50</v>
      </c>
      <c r="U120" s="3">
        <f t="shared" si="47"/>
        <v>7749.047675435314</v>
      </c>
      <c r="V120" s="3"/>
      <c r="W120" s="3">
        <f t="shared" ref="W120:W137" si="50">K84</f>
        <v>21643.567747660527</v>
      </c>
      <c r="X120" s="3">
        <f t="shared" ref="X120:X137" si="51">L84</f>
        <v>4328.7135495321054</v>
      </c>
      <c r="Y120" s="3">
        <f t="shared" ref="Y120:Y137" si="52">M84</f>
        <v>2813.6638071958687</v>
      </c>
      <c r="Z120" s="3">
        <f t="shared" ref="Z120:Z137" si="53">N84</f>
        <v>1013.994156677032</v>
      </c>
      <c r="AA120" s="3">
        <f t="shared" ref="AA120:AA137" si="54">O84</f>
        <v>8156.3715134050062</v>
      </c>
      <c r="AC120" s="13">
        <f t="shared" ref="AC120:AC137" si="55">U120/AA120</f>
        <v>0.95006065659218009</v>
      </c>
    </row>
    <row r="121" spans="16:29">
      <c r="P121">
        <v>2014</v>
      </c>
      <c r="Q121" s="3">
        <f t="shared" si="49"/>
        <v>26791.932204333607</v>
      </c>
      <c r="R121" s="3">
        <f t="shared" si="47"/>
        <v>5358.3864408667214</v>
      </c>
      <c r="S121" s="3">
        <f t="shared" si="47"/>
        <v>3482.951186563369</v>
      </c>
      <c r="T121" s="3">
        <f t="shared" si="47"/>
        <v>50</v>
      </c>
      <c r="U121" s="3">
        <f t="shared" si="47"/>
        <v>8791.3376274300899</v>
      </c>
      <c r="V121" s="3"/>
      <c r="W121" s="3">
        <f t="shared" si="50"/>
        <v>21751.417825691937</v>
      </c>
      <c r="X121" s="3">
        <f t="shared" si="51"/>
        <v>4350.2835651383875</v>
      </c>
      <c r="Y121" s="3">
        <f t="shared" si="52"/>
        <v>2827.684317339952</v>
      </c>
      <c r="Z121" s="3">
        <f t="shared" si="53"/>
        <v>970.85682143740223</v>
      </c>
      <c r="AA121" s="3">
        <f t="shared" si="54"/>
        <v>8148.8247039157413</v>
      </c>
      <c r="AC121" s="13">
        <f t="shared" si="55"/>
        <v>1.0788473119572204</v>
      </c>
    </row>
    <row r="122" spans="16:29">
      <c r="P122">
        <v>2015</v>
      </c>
      <c r="Q122" s="3">
        <f t="shared" si="49"/>
        <v>28395.062111009578</v>
      </c>
      <c r="R122" s="3">
        <f t="shared" si="47"/>
        <v>5679.0124222019158</v>
      </c>
      <c r="S122" s="3">
        <f t="shared" si="47"/>
        <v>3691.3580744312453</v>
      </c>
      <c r="T122" s="3">
        <f t="shared" si="47"/>
        <v>50</v>
      </c>
      <c r="U122" s="3">
        <f t="shared" si="47"/>
        <v>9320.3704966331607</v>
      </c>
      <c r="V122" s="3"/>
      <c r="W122" s="3">
        <f t="shared" si="50"/>
        <v>25546.576030105181</v>
      </c>
      <c r="X122" s="3">
        <f t="shared" si="51"/>
        <v>5109.3152060210359</v>
      </c>
      <c r="Y122" s="3">
        <f t="shared" si="52"/>
        <v>3321.0548839136736</v>
      </c>
      <c r="Z122" s="3">
        <f t="shared" si="53"/>
        <v>889.4178019164674</v>
      </c>
      <c r="AA122" s="3">
        <f t="shared" si="54"/>
        <v>9319.7878918511778</v>
      </c>
      <c r="AC122" s="13">
        <f t="shared" si="55"/>
        <v>1.0000625126653893</v>
      </c>
    </row>
    <row r="123" spans="16:29">
      <c r="P123">
        <v>2016</v>
      </c>
      <c r="Q123" s="3">
        <f t="shared" si="49"/>
        <v>28186.670996424124</v>
      </c>
      <c r="R123" s="3">
        <f t="shared" si="47"/>
        <v>5637.3341992848245</v>
      </c>
      <c r="S123" s="3">
        <f t="shared" si="47"/>
        <v>3664.2672295351363</v>
      </c>
      <c r="T123" s="3">
        <f t="shared" si="47"/>
        <v>50</v>
      </c>
      <c r="U123" s="3">
        <f t="shared" si="47"/>
        <v>9251.6014288199603</v>
      </c>
      <c r="V123" s="3"/>
      <c r="W123" s="3">
        <f t="shared" si="50"/>
        <v>25377.863430591831</v>
      </c>
      <c r="X123" s="3">
        <f t="shared" si="51"/>
        <v>5075.5726861183666</v>
      </c>
      <c r="Y123" s="3">
        <f t="shared" si="52"/>
        <v>3299.1222459769383</v>
      </c>
      <c r="Z123" s="3">
        <f t="shared" si="53"/>
        <v>843.42022925475987</v>
      </c>
      <c r="AA123" s="3">
        <f t="shared" si="54"/>
        <v>9218.1151613500642</v>
      </c>
      <c r="AC123" s="13">
        <f t="shared" si="55"/>
        <v>1.0036326588335864</v>
      </c>
    </row>
    <row r="124" spans="16:29">
      <c r="P124">
        <v>2017</v>
      </c>
      <c r="Q124" s="3">
        <f t="shared" si="49"/>
        <v>27977.870933714708</v>
      </c>
      <c r="R124" s="3">
        <f t="shared" si="47"/>
        <v>5595.5741867429415</v>
      </c>
      <c r="S124" s="3">
        <f t="shared" si="47"/>
        <v>3637.1232213829121</v>
      </c>
      <c r="T124" s="3">
        <f t="shared" si="47"/>
        <v>50</v>
      </c>
      <c r="U124" s="3">
        <f t="shared" si="47"/>
        <v>9182.6974081258541</v>
      </c>
      <c r="V124" s="3"/>
      <c r="W124" s="3">
        <f t="shared" si="50"/>
        <v>24938.034382514612</v>
      </c>
      <c r="X124" s="3">
        <f t="shared" si="51"/>
        <v>4987.6068765029222</v>
      </c>
      <c r="Y124" s="3">
        <f t="shared" si="52"/>
        <v>3241.9444697268996</v>
      </c>
      <c r="Z124" s="3">
        <f t="shared" si="53"/>
        <v>873.69641657395982</v>
      </c>
      <c r="AA124" s="3">
        <f t="shared" si="54"/>
        <v>9103.2477628037814</v>
      </c>
      <c r="AC124" s="13">
        <f t="shared" si="55"/>
        <v>1.0087276153953215</v>
      </c>
    </row>
    <row r="125" spans="16:29">
      <c r="P125">
        <v>2018</v>
      </c>
      <c r="Q125" s="3">
        <f t="shared" si="49"/>
        <v>27495.211389304168</v>
      </c>
      <c r="R125" s="3">
        <f t="shared" si="47"/>
        <v>5499.0422778608336</v>
      </c>
      <c r="S125" s="3">
        <f t="shared" si="47"/>
        <v>3574.3774806095421</v>
      </c>
      <c r="T125" s="3">
        <f t="shared" si="47"/>
        <v>50</v>
      </c>
      <c r="U125" s="3">
        <f t="shared" si="47"/>
        <v>9023.4197584703761</v>
      </c>
      <c r="V125" s="3"/>
      <c r="W125" s="3">
        <f t="shared" si="50"/>
        <v>24046.5</v>
      </c>
      <c r="X125" s="3">
        <f t="shared" si="51"/>
        <v>4809.3</v>
      </c>
      <c r="Y125" s="3">
        <f t="shared" si="52"/>
        <v>3126.0450000000001</v>
      </c>
      <c r="Z125" s="3">
        <f t="shared" si="53"/>
        <v>929.4126618476397</v>
      </c>
      <c r="AA125" s="3">
        <f t="shared" si="54"/>
        <v>8864.7576618476396</v>
      </c>
      <c r="AC125" s="13">
        <f t="shared" si="55"/>
        <v>1.0178980749023281</v>
      </c>
    </row>
    <row r="126" spans="16:29">
      <c r="P126">
        <v>2019</v>
      </c>
      <c r="Q126" s="3">
        <f t="shared" si="49"/>
        <v>28163.081554826156</v>
      </c>
      <c r="R126" s="3">
        <f t="shared" si="47"/>
        <v>5632.6163109652316</v>
      </c>
      <c r="S126" s="3">
        <f t="shared" si="47"/>
        <v>3661.2006021274005</v>
      </c>
      <c r="T126" s="3">
        <f t="shared" si="47"/>
        <v>50</v>
      </c>
      <c r="U126" s="3">
        <f t="shared" si="47"/>
        <v>9243.8169130926326</v>
      </c>
      <c r="V126" s="3"/>
      <c r="W126" s="3">
        <f t="shared" si="50"/>
        <v>24046.5</v>
      </c>
      <c r="X126" s="3">
        <f t="shared" si="51"/>
        <v>4809.3</v>
      </c>
      <c r="Y126" s="3">
        <f t="shared" si="52"/>
        <v>3126.0450000000001</v>
      </c>
      <c r="Z126" s="3">
        <f t="shared" si="53"/>
        <v>886.29189630643918</v>
      </c>
      <c r="AA126" s="3">
        <f t="shared" si="54"/>
        <v>8821.6368963064397</v>
      </c>
      <c r="AC126" s="13">
        <f t="shared" si="55"/>
        <v>1.0478573332533054</v>
      </c>
    </row>
    <row r="127" spans="16:29">
      <c r="P127">
        <v>2020</v>
      </c>
      <c r="Q127" s="3">
        <f t="shared" si="49"/>
        <v>28027.407040611859</v>
      </c>
      <c r="R127" s="3">
        <f t="shared" si="47"/>
        <v>5605.4814081223722</v>
      </c>
      <c r="S127" s="3">
        <f t="shared" si="47"/>
        <v>3643.5629152795418</v>
      </c>
      <c r="T127" s="3">
        <f t="shared" si="47"/>
        <v>50</v>
      </c>
      <c r="U127" s="3">
        <f t="shared" si="47"/>
        <v>9199.0443234019149</v>
      </c>
      <c r="V127" s="3"/>
      <c r="W127" s="3">
        <f t="shared" si="50"/>
        <v>24046.5</v>
      </c>
      <c r="X127" s="3">
        <f t="shared" si="51"/>
        <v>4809.3</v>
      </c>
      <c r="Y127" s="3">
        <f t="shared" si="52"/>
        <v>3126.0450000000001</v>
      </c>
      <c r="Z127" s="3">
        <f t="shared" si="53"/>
        <v>878.48685006045207</v>
      </c>
      <c r="AA127" s="3">
        <f t="shared" si="54"/>
        <v>8813.8318500604528</v>
      </c>
      <c r="AC127" s="13">
        <f t="shared" si="55"/>
        <v>1.0437054484240949</v>
      </c>
    </row>
    <row r="128" spans="16:29">
      <c r="P128">
        <v>2021</v>
      </c>
      <c r="Q128" s="3">
        <f t="shared" si="49"/>
        <v>27272.077497488794</v>
      </c>
      <c r="R128" s="3">
        <f t="shared" si="47"/>
        <v>5454.4154994977589</v>
      </c>
      <c r="S128" s="3">
        <f t="shared" si="47"/>
        <v>3545.3700746735435</v>
      </c>
      <c r="T128" s="3">
        <f t="shared" si="47"/>
        <v>50</v>
      </c>
      <c r="U128" s="3">
        <f t="shared" si="47"/>
        <v>8949.7855741713029</v>
      </c>
      <c r="V128" s="3"/>
      <c r="W128" s="3">
        <f t="shared" si="50"/>
        <v>24046.5</v>
      </c>
      <c r="X128" s="3">
        <f t="shared" si="51"/>
        <v>4809.3</v>
      </c>
      <c r="Y128" s="3">
        <f t="shared" si="52"/>
        <v>3126.0450000000001</v>
      </c>
      <c r="Z128" s="3">
        <f t="shared" si="53"/>
        <v>898.08795984643655</v>
      </c>
      <c r="AA128" s="3">
        <f t="shared" si="54"/>
        <v>8833.4329598464374</v>
      </c>
      <c r="AC128" s="13">
        <f t="shared" si="55"/>
        <v>1.0131718455162066</v>
      </c>
    </row>
    <row r="129" spans="16:29">
      <c r="P129">
        <v>2022</v>
      </c>
      <c r="Q129" s="3">
        <f t="shared" si="49"/>
        <v>27786.363060634114</v>
      </c>
      <c r="R129" s="3">
        <f t="shared" si="47"/>
        <v>5557.2726121268224</v>
      </c>
      <c r="S129" s="3">
        <f t="shared" si="47"/>
        <v>3612.2271978824351</v>
      </c>
      <c r="T129" s="3">
        <f t="shared" si="47"/>
        <v>50</v>
      </c>
      <c r="U129" s="3">
        <f t="shared" si="47"/>
        <v>9119.499810009258</v>
      </c>
      <c r="V129" s="3"/>
      <c r="W129" s="3">
        <f t="shared" si="50"/>
        <v>24046.5</v>
      </c>
      <c r="X129" s="3">
        <f t="shared" si="51"/>
        <v>4809.3</v>
      </c>
      <c r="Y129" s="3">
        <f t="shared" si="52"/>
        <v>3126.0450000000001</v>
      </c>
      <c r="Z129" s="3">
        <f t="shared" si="53"/>
        <v>910.05793142489995</v>
      </c>
      <c r="AA129" s="3">
        <f t="shared" si="54"/>
        <v>8845.4029314249001</v>
      </c>
      <c r="AC129" s="13">
        <f t="shared" si="55"/>
        <v>1.0309874949405164</v>
      </c>
    </row>
    <row r="130" spans="16:29">
      <c r="P130">
        <v>2023</v>
      </c>
      <c r="Q130" s="3">
        <f t="shared" si="49"/>
        <v>27550.788091996612</v>
      </c>
      <c r="R130" s="3">
        <f t="shared" si="47"/>
        <v>5510.157618399322</v>
      </c>
      <c r="S130" s="3">
        <f t="shared" si="47"/>
        <v>3581.6024519595599</v>
      </c>
      <c r="T130" s="3">
        <f t="shared" si="47"/>
        <v>50</v>
      </c>
      <c r="U130" s="3">
        <f t="shared" si="47"/>
        <v>9041.7600703588814</v>
      </c>
      <c r="V130" s="3"/>
      <c r="W130" s="3">
        <f t="shared" si="50"/>
        <v>24046.5</v>
      </c>
      <c r="X130" s="3">
        <f t="shared" si="51"/>
        <v>4809.3</v>
      </c>
      <c r="Y130" s="3">
        <f t="shared" si="52"/>
        <v>3126.0450000000001</v>
      </c>
      <c r="Z130" s="3">
        <f t="shared" si="53"/>
        <v>910.55236505171467</v>
      </c>
      <c r="AA130" s="3">
        <f t="shared" si="54"/>
        <v>8845.8973650517146</v>
      </c>
      <c r="AC130" s="13">
        <f t="shared" si="55"/>
        <v>1.0221416434335966</v>
      </c>
    </row>
    <row r="131" spans="16:29">
      <c r="P131">
        <v>2024</v>
      </c>
      <c r="Q131" s="3">
        <f t="shared" si="49"/>
        <v>26472.995835676804</v>
      </c>
      <c r="R131" s="3">
        <f t="shared" si="47"/>
        <v>5294.5991671353604</v>
      </c>
      <c r="S131" s="3">
        <f t="shared" si="47"/>
        <v>3441.4894586379846</v>
      </c>
      <c r="T131" s="3">
        <f t="shared" si="47"/>
        <v>50</v>
      </c>
      <c r="U131" s="3">
        <f t="shared" si="47"/>
        <v>8686.0886257733455</v>
      </c>
      <c r="V131" s="3"/>
      <c r="W131" s="3">
        <f t="shared" si="50"/>
        <v>24046.5</v>
      </c>
      <c r="X131" s="3">
        <f t="shared" si="51"/>
        <v>4809.3</v>
      </c>
      <c r="Y131" s="3">
        <f t="shared" si="52"/>
        <v>3126.0450000000001</v>
      </c>
      <c r="Z131" s="3">
        <f t="shared" si="53"/>
        <v>904.02509295307595</v>
      </c>
      <c r="AA131" s="3">
        <f t="shared" si="54"/>
        <v>8839.3700929530769</v>
      </c>
      <c r="AC131" s="13">
        <f t="shared" si="55"/>
        <v>0.98265923187197124</v>
      </c>
    </row>
    <row r="132" spans="16:29">
      <c r="P132">
        <v>2025</v>
      </c>
      <c r="Q132" s="3">
        <f t="shared" si="49"/>
        <v>25555.249006360005</v>
      </c>
      <c r="R132" s="3">
        <f t="shared" si="47"/>
        <v>5111.0498012720009</v>
      </c>
      <c r="S132" s="3">
        <f t="shared" si="47"/>
        <v>3322.1823708268007</v>
      </c>
      <c r="T132" s="3">
        <f t="shared" si="47"/>
        <v>50</v>
      </c>
      <c r="U132" s="3">
        <f t="shared" si="47"/>
        <v>8383.232172098802</v>
      </c>
      <c r="V132" s="3"/>
      <c r="W132" s="3">
        <f t="shared" si="50"/>
        <v>24046.5</v>
      </c>
      <c r="X132" s="3">
        <f t="shared" si="51"/>
        <v>4809.3</v>
      </c>
      <c r="Y132" s="3">
        <f t="shared" si="52"/>
        <v>3126.0450000000001</v>
      </c>
      <c r="Z132" s="3">
        <f t="shared" si="53"/>
        <v>907.96423067892567</v>
      </c>
      <c r="AA132" s="3">
        <f t="shared" si="54"/>
        <v>8843.3092306789258</v>
      </c>
      <c r="AC132" s="13">
        <f t="shared" si="55"/>
        <v>0.94797455945744391</v>
      </c>
    </row>
    <row r="133" spans="16:29">
      <c r="P133">
        <v>2026</v>
      </c>
      <c r="Q133" s="3">
        <f t="shared" si="49"/>
        <v>25056.333727355479</v>
      </c>
      <c r="R133" s="3">
        <f t="shared" si="47"/>
        <v>5011.2667454710954</v>
      </c>
      <c r="S133" s="3">
        <f t="shared" si="47"/>
        <v>3257.3233845562122</v>
      </c>
      <c r="T133" s="3">
        <f t="shared" si="47"/>
        <v>50</v>
      </c>
      <c r="U133" s="3">
        <f t="shared" si="47"/>
        <v>8218.5901300273072</v>
      </c>
      <c r="V133" s="3"/>
      <c r="W133" s="3">
        <f t="shared" si="50"/>
        <v>24046.5</v>
      </c>
      <c r="X133" s="3">
        <f t="shared" si="51"/>
        <v>4809.3</v>
      </c>
      <c r="Y133" s="3">
        <f t="shared" si="52"/>
        <v>3126.0450000000001</v>
      </c>
      <c r="Z133" s="3">
        <f t="shared" si="53"/>
        <v>921.40564237229057</v>
      </c>
      <c r="AA133" s="3">
        <f t="shared" si="54"/>
        <v>8856.7506423722916</v>
      </c>
      <c r="AC133" s="13">
        <f t="shared" si="55"/>
        <v>0.92794642887517809</v>
      </c>
    </row>
    <row r="134" spans="16:29">
      <c r="P134">
        <v>2027</v>
      </c>
      <c r="Q134" s="3">
        <f t="shared" si="49"/>
        <v>24556.843905837581</v>
      </c>
      <c r="R134" s="3">
        <f t="shared" si="47"/>
        <v>4911.3687811675163</v>
      </c>
      <c r="S134" s="3">
        <f t="shared" si="47"/>
        <v>3192.3897077588854</v>
      </c>
      <c r="T134" s="3">
        <f t="shared" si="47"/>
        <v>50</v>
      </c>
      <c r="U134" s="3">
        <f t="shared" si="47"/>
        <v>8053.7584889264017</v>
      </c>
      <c r="V134" s="3"/>
      <c r="W134" s="3">
        <f t="shared" si="50"/>
        <v>24046.5</v>
      </c>
      <c r="X134" s="3">
        <f t="shared" si="51"/>
        <v>4809.3</v>
      </c>
      <c r="Y134" s="3">
        <f t="shared" si="52"/>
        <v>3126.0450000000001</v>
      </c>
      <c r="Z134" s="3">
        <f t="shared" si="53"/>
        <v>923.72880483612448</v>
      </c>
      <c r="AA134" s="3">
        <f t="shared" si="54"/>
        <v>8859.0738048361254</v>
      </c>
      <c r="AC134" s="13">
        <f t="shared" si="55"/>
        <v>0.90909712079945582</v>
      </c>
    </row>
    <row r="135" spans="16:29">
      <c r="P135">
        <v>2028</v>
      </c>
      <c r="Q135" s="3">
        <f t="shared" si="49"/>
        <v>23987.376568255153</v>
      </c>
      <c r="R135" s="3">
        <f t="shared" si="49"/>
        <v>4797.4753136510308</v>
      </c>
      <c r="S135" s="3">
        <f t="shared" si="49"/>
        <v>3118.3589538731699</v>
      </c>
      <c r="T135" s="3">
        <f t="shared" si="49"/>
        <v>50</v>
      </c>
      <c r="U135" s="3">
        <f t="shared" si="49"/>
        <v>7865.8342675242002</v>
      </c>
      <c r="V135" s="3"/>
      <c r="W135" s="3">
        <f t="shared" si="50"/>
        <v>24046.5</v>
      </c>
      <c r="X135" s="3">
        <f t="shared" si="51"/>
        <v>4809.3</v>
      </c>
      <c r="Y135" s="3">
        <f t="shared" si="52"/>
        <v>3126.0450000000001</v>
      </c>
      <c r="Z135" s="3">
        <f t="shared" si="53"/>
        <v>921.75683412491014</v>
      </c>
      <c r="AA135" s="3">
        <f t="shared" si="54"/>
        <v>8857.101834124911</v>
      </c>
      <c r="AC135" s="13">
        <f t="shared" si="55"/>
        <v>0.88808217573139725</v>
      </c>
    </row>
    <row r="136" spans="16:29">
      <c r="P136">
        <v>2029</v>
      </c>
      <c r="Q136" s="3">
        <f t="shared" si="49"/>
        <v>23486.755174362093</v>
      </c>
      <c r="R136" s="3">
        <f t="shared" si="49"/>
        <v>4697.3510348724185</v>
      </c>
      <c r="S136" s="3">
        <f t="shared" si="49"/>
        <v>3053.2781726670723</v>
      </c>
      <c r="T136" s="3">
        <f t="shared" si="49"/>
        <v>50</v>
      </c>
      <c r="U136" s="3">
        <f t="shared" si="49"/>
        <v>7700.6292075394904</v>
      </c>
      <c r="V136" s="3"/>
      <c r="W136" s="3">
        <f t="shared" si="50"/>
        <v>24046.5</v>
      </c>
      <c r="X136" s="3">
        <f t="shared" si="51"/>
        <v>4809.3</v>
      </c>
      <c r="Y136" s="3">
        <f t="shared" si="52"/>
        <v>3126.0450000000001</v>
      </c>
      <c r="Z136" s="3">
        <f t="shared" si="53"/>
        <v>922.25794202011832</v>
      </c>
      <c r="AA136" s="3">
        <f t="shared" si="54"/>
        <v>8857.6029420201194</v>
      </c>
      <c r="AC136" s="13">
        <f t="shared" si="55"/>
        <v>0.86938071823111518</v>
      </c>
    </row>
    <row r="137" spans="16:29">
      <c r="P137">
        <v>2030</v>
      </c>
      <c r="Q137" s="3">
        <f t="shared" si="49"/>
        <v>22916.167800775333</v>
      </c>
      <c r="R137" s="3">
        <f t="shared" si="49"/>
        <v>4583.2335601550667</v>
      </c>
      <c r="S137" s="3">
        <f t="shared" si="49"/>
        <v>2979.1018141007935</v>
      </c>
      <c r="T137" s="3">
        <f t="shared" si="49"/>
        <v>50</v>
      </c>
      <c r="U137" s="3">
        <f t="shared" si="49"/>
        <v>7512.3353742558602</v>
      </c>
      <c r="V137" s="3"/>
      <c r="W137" s="3">
        <f t="shared" si="50"/>
        <v>24046.5</v>
      </c>
      <c r="X137" s="3">
        <f t="shared" si="51"/>
        <v>4809.3</v>
      </c>
      <c r="Y137" s="3">
        <f t="shared" si="52"/>
        <v>3126.0450000000001</v>
      </c>
      <c r="Z137" s="3">
        <f t="shared" si="53"/>
        <v>920.41518991503176</v>
      </c>
      <c r="AA137" s="3">
        <f t="shared" si="54"/>
        <v>8855.7601899150322</v>
      </c>
      <c r="AC137" s="13">
        <f t="shared" si="55"/>
        <v>0.84829932305652667</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
  <sheetViews>
    <sheetView workbookViewId="0">
      <selection activeCell="N43" sqref="N43"/>
    </sheetView>
  </sheetViews>
  <sheetFormatPr defaultRowHeight="15"/>
  <sheetData>
    <row r="1" spans="1:22">
      <c r="B1" t="s">
        <v>351</v>
      </c>
      <c r="H1" t="s">
        <v>455</v>
      </c>
      <c r="O1" t="s">
        <v>354</v>
      </c>
    </row>
    <row r="3" spans="1:22">
      <c r="B3" t="s">
        <v>349</v>
      </c>
      <c r="C3" t="s">
        <v>349</v>
      </c>
      <c r="D3" t="s">
        <v>350</v>
      </c>
      <c r="J3" t="s">
        <v>352</v>
      </c>
      <c r="O3" t="s">
        <v>349</v>
      </c>
      <c r="P3" t="s">
        <v>349</v>
      </c>
      <c r="Q3" t="s">
        <v>350</v>
      </c>
      <c r="T3" t="s">
        <v>352</v>
      </c>
    </row>
    <row r="4" spans="1:22">
      <c r="B4" t="s">
        <v>5</v>
      </c>
      <c r="C4" t="s">
        <v>324</v>
      </c>
      <c r="D4" t="s">
        <v>5</v>
      </c>
      <c r="E4" t="s">
        <v>158</v>
      </c>
      <c r="G4" t="s">
        <v>355</v>
      </c>
      <c r="H4" t="s">
        <v>348</v>
      </c>
      <c r="J4" t="s">
        <v>324</v>
      </c>
      <c r="K4" t="s">
        <v>5</v>
      </c>
      <c r="L4" t="s">
        <v>158</v>
      </c>
      <c r="O4" t="s">
        <v>5</v>
      </c>
      <c r="P4" t="s">
        <v>324</v>
      </c>
      <c r="Q4" t="s">
        <v>5</v>
      </c>
      <c r="R4" t="s">
        <v>158</v>
      </c>
      <c r="T4" t="s">
        <v>324</v>
      </c>
      <c r="U4" t="s">
        <v>5</v>
      </c>
      <c r="V4" t="s">
        <v>158</v>
      </c>
    </row>
    <row r="5" spans="1:22">
      <c r="A5">
        <v>2010</v>
      </c>
      <c r="B5">
        <f>O5/1000</f>
        <v>0.184</v>
      </c>
      <c r="C5">
        <f>P5/1000</f>
        <v>0</v>
      </c>
      <c r="D5">
        <f>Q5/1000</f>
        <v>0.79600000000000004</v>
      </c>
      <c r="E5">
        <f>R5/1000</f>
        <v>0.98</v>
      </c>
      <c r="J5">
        <f>C5</f>
        <v>0</v>
      </c>
      <c r="K5">
        <f>B5+D5</f>
        <v>0.98</v>
      </c>
      <c r="L5">
        <f>J5+K5</f>
        <v>0.98</v>
      </c>
      <c r="N5">
        <v>2010</v>
      </c>
      <c r="O5">
        <v>184</v>
      </c>
      <c r="P5">
        <v>0</v>
      </c>
      <c r="Q5">
        <v>796</v>
      </c>
      <c r="R5">
        <v>980</v>
      </c>
      <c r="T5">
        <v>0</v>
      </c>
      <c r="U5">
        <v>980</v>
      </c>
      <c r="V5">
        <v>980</v>
      </c>
    </row>
    <row r="6" spans="1:22">
      <c r="A6">
        <v>2011</v>
      </c>
      <c r="B6">
        <f t="shared" ref="B6:B12" si="0">O6/1000</f>
        <v>2.63</v>
      </c>
      <c r="C6">
        <f t="shared" ref="C6:C12" si="1">P6/1000</f>
        <v>0</v>
      </c>
      <c r="D6">
        <f t="shared" ref="D6:D12" si="2">Q6/1000</f>
        <v>1.6819999999999999</v>
      </c>
      <c r="E6">
        <f t="shared" ref="E6:E12" si="3">R6/1000</f>
        <v>4.3120000000000003</v>
      </c>
      <c r="G6" s="12">
        <f t="shared" ref="G6:G11" si="4">E6-D6</f>
        <v>2.6300000000000003</v>
      </c>
      <c r="H6" s="12">
        <v>2.73</v>
      </c>
      <c r="J6">
        <f t="shared" ref="J6:J12" si="5">C6</f>
        <v>0</v>
      </c>
      <c r="K6">
        <f t="shared" ref="K6:K12" si="6">B6+D6</f>
        <v>4.3119999999999994</v>
      </c>
      <c r="L6">
        <f t="shared" ref="L6:L12" si="7">J6+K6</f>
        <v>4.3119999999999994</v>
      </c>
      <c r="N6">
        <v>2011</v>
      </c>
      <c r="O6">
        <v>2630</v>
      </c>
      <c r="P6">
        <v>0</v>
      </c>
      <c r="Q6">
        <v>1682</v>
      </c>
      <c r="R6">
        <v>4312</v>
      </c>
      <c r="T6">
        <v>0</v>
      </c>
      <c r="U6">
        <v>4312</v>
      </c>
      <c r="V6">
        <v>4312</v>
      </c>
    </row>
    <row r="7" spans="1:22">
      <c r="A7">
        <v>2012</v>
      </c>
      <c r="B7">
        <f t="shared" si="0"/>
        <v>5.6630000000000003</v>
      </c>
      <c r="C7">
        <f t="shared" si="1"/>
        <v>0.66600000000000004</v>
      </c>
      <c r="D7">
        <f t="shared" si="2"/>
        <v>3.6509999999999998</v>
      </c>
      <c r="E7">
        <f t="shared" si="3"/>
        <v>9.98</v>
      </c>
      <c r="G7" s="12">
        <f t="shared" si="4"/>
        <v>6.3290000000000006</v>
      </c>
      <c r="H7" s="12">
        <v>6.26</v>
      </c>
      <c r="J7">
        <f t="shared" si="5"/>
        <v>0.66600000000000004</v>
      </c>
      <c r="K7">
        <f t="shared" si="6"/>
        <v>9.3140000000000001</v>
      </c>
      <c r="L7">
        <f t="shared" si="7"/>
        <v>9.98</v>
      </c>
      <c r="N7">
        <v>2012</v>
      </c>
      <c r="O7">
        <v>5663</v>
      </c>
      <c r="P7">
        <v>666</v>
      </c>
      <c r="Q7">
        <v>3651</v>
      </c>
      <c r="R7">
        <v>9980</v>
      </c>
      <c r="T7">
        <v>666</v>
      </c>
      <c r="U7">
        <v>9314</v>
      </c>
      <c r="V7">
        <v>9980</v>
      </c>
    </row>
    <row r="8" spans="1:22">
      <c r="A8">
        <v>2013</v>
      </c>
      <c r="B8">
        <f t="shared" si="0"/>
        <v>8.7789999999999999</v>
      </c>
      <c r="C8">
        <f t="shared" si="1"/>
        <v>0.8</v>
      </c>
      <c r="D8">
        <f t="shared" si="2"/>
        <v>5.1749999999999998</v>
      </c>
      <c r="E8">
        <f t="shared" si="3"/>
        <v>14.754</v>
      </c>
      <c r="G8" s="12">
        <f t="shared" si="4"/>
        <v>9.5790000000000006</v>
      </c>
      <c r="H8" s="12">
        <v>9.6199999999999992</v>
      </c>
      <c r="J8">
        <f t="shared" si="5"/>
        <v>0.8</v>
      </c>
      <c r="K8">
        <f t="shared" si="6"/>
        <v>13.954000000000001</v>
      </c>
      <c r="L8">
        <f t="shared" si="7"/>
        <v>14.754000000000001</v>
      </c>
      <c r="N8">
        <v>2013</v>
      </c>
      <c r="O8">
        <v>8779</v>
      </c>
      <c r="P8">
        <v>800</v>
      </c>
      <c r="Q8">
        <v>5175</v>
      </c>
      <c r="R8">
        <v>14754</v>
      </c>
      <c r="T8">
        <v>800</v>
      </c>
      <c r="U8">
        <v>13954</v>
      </c>
      <c r="V8">
        <v>14754</v>
      </c>
    </row>
    <row r="9" spans="1:22">
      <c r="A9">
        <v>2014</v>
      </c>
      <c r="B9">
        <f t="shared" si="0"/>
        <v>10.56</v>
      </c>
      <c r="C9">
        <f t="shared" si="1"/>
        <v>1.5269999999999999</v>
      </c>
      <c r="D9">
        <f t="shared" si="2"/>
        <v>4.4850000000000003</v>
      </c>
      <c r="E9">
        <f t="shared" si="3"/>
        <v>16.571999999999999</v>
      </c>
      <c r="G9" s="12">
        <f t="shared" si="4"/>
        <v>12.087</v>
      </c>
      <c r="H9" s="12">
        <v>12.64</v>
      </c>
      <c r="J9">
        <f t="shared" si="5"/>
        <v>1.5269999999999999</v>
      </c>
      <c r="K9">
        <f t="shared" si="6"/>
        <v>15.045000000000002</v>
      </c>
      <c r="L9">
        <f t="shared" si="7"/>
        <v>16.572000000000003</v>
      </c>
      <c r="N9">
        <v>2014</v>
      </c>
      <c r="O9">
        <v>10560</v>
      </c>
      <c r="P9">
        <v>1527</v>
      </c>
      <c r="Q9">
        <v>4485</v>
      </c>
      <c r="R9">
        <v>16572</v>
      </c>
      <c r="T9">
        <v>1527</v>
      </c>
      <c r="U9">
        <v>15045</v>
      </c>
      <c r="V9">
        <v>16572</v>
      </c>
    </row>
    <row r="10" spans="1:22">
      <c r="A10">
        <v>2015</v>
      </c>
      <c r="B10">
        <f t="shared" si="0"/>
        <v>17.779</v>
      </c>
      <c r="C10">
        <f t="shared" si="1"/>
        <v>5.0060000000000002</v>
      </c>
      <c r="D10">
        <f t="shared" si="2"/>
        <v>4.9160000000000004</v>
      </c>
      <c r="E10">
        <f t="shared" si="3"/>
        <v>27.701000000000001</v>
      </c>
      <c r="G10" s="12">
        <f t="shared" si="4"/>
        <v>22.785</v>
      </c>
      <c r="H10" s="12">
        <v>22.95</v>
      </c>
      <c r="J10">
        <f t="shared" si="5"/>
        <v>5.0060000000000002</v>
      </c>
      <c r="K10">
        <f t="shared" si="6"/>
        <v>22.695</v>
      </c>
      <c r="L10">
        <f t="shared" si="7"/>
        <v>27.701000000000001</v>
      </c>
      <c r="N10">
        <v>2015</v>
      </c>
      <c r="O10">
        <v>17779</v>
      </c>
      <c r="P10">
        <v>5006</v>
      </c>
      <c r="Q10">
        <v>4916</v>
      </c>
      <c r="R10">
        <v>27701</v>
      </c>
      <c r="T10">
        <v>5006</v>
      </c>
      <c r="U10">
        <v>22695</v>
      </c>
      <c r="V10">
        <v>27701</v>
      </c>
    </row>
    <row r="11" spans="1:22">
      <c r="A11">
        <v>2016</v>
      </c>
      <c r="B11">
        <f t="shared" si="0"/>
        <v>21.751000000000001</v>
      </c>
      <c r="C11">
        <f t="shared" si="1"/>
        <v>6.4669999999999996</v>
      </c>
      <c r="D11">
        <f t="shared" si="2"/>
        <v>5.556</v>
      </c>
      <c r="E11">
        <f t="shared" si="3"/>
        <v>33.774000000000001</v>
      </c>
      <c r="G11" s="12">
        <f t="shared" si="4"/>
        <v>28.218</v>
      </c>
      <c r="H11" s="12">
        <v>29.51</v>
      </c>
      <c r="J11">
        <f t="shared" si="5"/>
        <v>6.4669999999999996</v>
      </c>
      <c r="K11">
        <f t="shared" si="6"/>
        <v>27.307000000000002</v>
      </c>
      <c r="L11">
        <f t="shared" si="7"/>
        <v>33.774000000000001</v>
      </c>
      <c r="N11">
        <v>2016</v>
      </c>
      <c r="O11">
        <v>21751</v>
      </c>
      <c r="P11">
        <v>6467</v>
      </c>
      <c r="Q11">
        <v>5556</v>
      </c>
      <c r="R11">
        <v>33774</v>
      </c>
      <c r="T11">
        <v>6467</v>
      </c>
      <c r="U11">
        <v>27307</v>
      </c>
      <c r="V11">
        <v>33774</v>
      </c>
    </row>
    <row r="12" spans="1:22">
      <c r="A12">
        <v>2017</v>
      </c>
      <c r="B12">
        <f t="shared" si="0"/>
        <v>24.91</v>
      </c>
      <c r="C12">
        <f t="shared" si="1"/>
        <v>10.803000000000001</v>
      </c>
      <c r="D12">
        <f t="shared" si="2"/>
        <v>6.0110000000000001</v>
      </c>
      <c r="E12">
        <f t="shared" si="3"/>
        <v>41.723999999999997</v>
      </c>
      <c r="G12" s="12">
        <f>E12-D12</f>
        <v>35.712999999999994</v>
      </c>
      <c r="H12" s="12">
        <v>36.208770000000001</v>
      </c>
      <c r="J12">
        <f t="shared" si="5"/>
        <v>10.803000000000001</v>
      </c>
      <c r="K12">
        <f t="shared" si="6"/>
        <v>30.920999999999999</v>
      </c>
      <c r="L12">
        <f t="shared" si="7"/>
        <v>41.724000000000004</v>
      </c>
      <c r="N12">
        <v>2017</v>
      </c>
      <c r="O12">
        <v>24910</v>
      </c>
      <c r="P12">
        <v>10803</v>
      </c>
      <c r="Q12">
        <v>6011</v>
      </c>
      <c r="R12">
        <v>41724</v>
      </c>
      <c r="T12">
        <v>10803</v>
      </c>
      <c r="U12">
        <v>30921</v>
      </c>
      <c r="V12">
        <v>41724</v>
      </c>
    </row>
    <row r="16" spans="1:22">
      <c r="B16" s="105" t="s">
        <v>353</v>
      </c>
    </row>
  </sheetData>
  <hyperlinks>
    <hyperlink ref="B16" r:id="rId1"/>
  </hyperlinks>
  <pageMargins left="0.7" right="0.7" top="0.75" bottom="0.75" header="0.3" footer="0.3"/>
  <pageSetup paperSize="9"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3" sqref="A3:G20"/>
    </sheetView>
  </sheetViews>
  <sheetFormatPr defaultRowHeight="15"/>
  <cols>
    <col min="1" max="1" width="18" customWidth="1"/>
    <col min="2" max="7" width="13.28515625" customWidth="1"/>
  </cols>
  <sheetData>
    <row r="1" spans="1:7">
      <c r="A1" t="s">
        <v>148</v>
      </c>
    </row>
    <row r="2" spans="1:7" ht="15.75" thickBot="1"/>
    <row r="3" spans="1:7">
      <c r="A3" s="44" t="s">
        <v>149</v>
      </c>
      <c r="B3" s="44"/>
    </row>
    <row r="4" spans="1:7">
      <c r="A4" s="41" t="s">
        <v>150</v>
      </c>
      <c r="B4" s="41">
        <v>0.99899030705724801</v>
      </c>
    </row>
    <row r="5" spans="1:7">
      <c r="A5" s="41" t="s">
        <v>151</v>
      </c>
      <c r="B5" s="41">
        <v>0.99798163359433467</v>
      </c>
    </row>
    <row r="6" spans="1:7">
      <c r="A6" s="41" t="s">
        <v>152</v>
      </c>
      <c r="B6" s="41">
        <v>0.99596326718866945</v>
      </c>
    </row>
    <row r="7" spans="1:7">
      <c r="A7" s="41" t="s">
        <v>153</v>
      </c>
      <c r="B7" s="41">
        <v>6.8742632380939112E-2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3</v>
      </c>
      <c r="C12" s="41">
        <v>7.0096464195760522</v>
      </c>
      <c r="D12" s="41">
        <v>2.3365488065253506</v>
      </c>
      <c r="E12" s="41">
        <v>494.45018049897658</v>
      </c>
      <c r="F12" s="41">
        <v>1.5384582838785013E-4</v>
      </c>
    </row>
    <row r="13" spans="1:7">
      <c r="A13" s="41" t="s">
        <v>157</v>
      </c>
      <c r="B13" s="41">
        <v>3</v>
      </c>
      <c r="C13" s="41">
        <v>1.4176648519982814E-2</v>
      </c>
      <c r="D13" s="41">
        <v>4.7255495066609379E-3</v>
      </c>
      <c r="E13" s="41"/>
      <c r="F13" s="41"/>
    </row>
    <row r="14" spans="1:7" ht="15.75" thickBot="1">
      <c r="A14" s="42" t="s">
        <v>158</v>
      </c>
      <c r="B14" s="42">
        <v>6</v>
      </c>
      <c r="C14" s="42">
        <v>7.0238230680960347</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-8.8063272081671027</v>
      </c>
      <c r="C17" s="41">
        <v>0.21346615379078357</v>
      </c>
      <c r="D17" s="41">
        <v>-41.253974233302166</v>
      </c>
      <c r="E17" s="41">
        <v>3.1344075782309881E-5</v>
      </c>
      <c r="F17" s="41">
        <v>-9.4856717806017059</v>
      </c>
      <c r="G17" s="41">
        <v>-8.1269826357324995</v>
      </c>
    </row>
    <row r="18" spans="1:7">
      <c r="A18" s="41" t="s">
        <v>329</v>
      </c>
      <c r="B18" s="41">
        <v>0.61927096817046523</v>
      </c>
      <c r="C18" s="41">
        <v>2.5982272821128683E-2</v>
      </c>
      <c r="D18" s="41">
        <v>23.83436477762163</v>
      </c>
      <c r="E18" s="41">
        <v>1.6185071834498395E-4</v>
      </c>
      <c r="F18" s="41">
        <v>0.5365837800279909</v>
      </c>
      <c r="G18" s="41">
        <v>0.70195815631293956</v>
      </c>
    </row>
    <row r="19" spans="1:7">
      <c r="A19" s="41" t="s">
        <v>1326</v>
      </c>
      <c r="B19" s="41">
        <v>0.63718504727692693</v>
      </c>
      <c r="C19" s="41">
        <v>0.10869164533970561</v>
      </c>
      <c r="D19" s="41">
        <v>5.8623185368614523</v>
      </c>
      <c r="E19" s="41">
        <v>9.8978718760226632E-3</v>
      </c>
      <c r="F19" s="41">
        <v>0.29127972215037351</v>
      </c>
      <c r="G19" s="41">
        <v>0.98309037240348029</v>
      </c>
    </row>
    <row r="20" spans="1:7" ht="15.75" thickBot="1">
      <c r="A20" s="42" t="s">
        <v>1094</v>
      </c>
      <c r="B20" s="42">
        <v>0.16446736652962907</v>
      </c>
      <c r="C20" s="42">
        <v>8.4192186454512541E-2</v>
      </c>
      <c r="D20" s="42">
        <v>1.953475416848661</v>
      </c>
      <c r="E20" s="42">
        <v>0.14577787431321071</v>
      </c>
      <c r="F20" s="42">
        <v>-0.10346974618629151</v>
      </c>
      <c r="G20" s="42">
        <v>0.43240447924554964</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3" max="3" width="13.28515625" customWidth="1"/>
  </cols>
  <sheetData>
    <row r="1" spans="1:35">
      <c r="P1" s="14"/>
      <c r="R1" s="236" t="s">
        <v>1318</v>
      </c>
      <c r="S1" s="236"/>
      <c r="T1" s="236"/>
      <c r="U1" s="236"/>
      <c r="W1" s="236" t="s">
        <v>1318</v>
      </c>
      <c r="X1" s="236"/>
      <c r="Y1" s="236"/>
      <c r="Z1" s="236"/>
    </row>
    <row r="2" spans="1:35">
      <c r="C2" t="s">
        <v>282</v>
      </c>
      <c r="L2" t="s">
        <v>282</v>
      </c>
      <c r="S2" t="s">
        <v>1172</v>
      </c>
      <c r="X2" t="s">
        <v>1184</v>
      </c>
      <c r="AB2" t="s">
        <v>960</v>
      </c>
    </row>
    <row r="3" spans="1:35">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1317</v>
      </c>
      <c r="AD3" t="s">
        <v>1310</v>
      </c>
      <c r="AE3" t="s">
        <v>1296</v>
      </c>
      <c r="AG3" t="s">
        <v>329</v>
      </c>
      <c r="AH3" t="s">
        <v>1326</v>
      </c>
      <c r="AI3" t="s">
        <v>1094</v>
      </c>
    </row>
    <row r="4" spans="1:35">
      <c r="A4">
        <v>2009</v>
      </c>
      <c r="B4" s="13">
        <f>'EV %sales'!J67</f>
        <v>5.2776519937385946E-4</v>
      </c>
      <c r="C4" s="20"/>
      <c r="D4" s="13"/>
      <c r="E4" s="13"/>
      <c r="F4" s="84"/>
      <c r="G4" s="84"/>
      <c r="H4" s="84"/>
      <c r="I4" s="13"/>
      <c r="J4" s="13"/>
      <c r="K4" s="13"/>
      <c r="L4" s="13"/>
      <c r="M4" s="13"/>
      <c r="N4" s="13"/>
      <c r="O4" s="13"/>
      <c r="P4" s="13"/>
      <c r="R4">
        <v>2009</v>
      </c>
      <c r="W4">
        <v>2009</v>
      </c>
      <c r="AB4" s="13"/>
      <c r="AC4" s="13"/>
    </row>
    <row r="5" spans="1:35">
      <c r="A5">
        <v>2010</v>
      </c>
      <c r="B5" s="13">
        <f>'EV %sales'!J68</f>
        <v>4.8648442033643879E-3</v>
      </c>
      <c r="C5" s="20"/>
      <c r="D5" s="13"/>
      <c r="E5" s="13"/>
      <c r="F5" s="230"/>
      <c r="G5" s="230"/>
      <c r="H5" s="230"/>
      <c r="I5" s="13"/>
      <c r="J5" s="13"/>
      <c r="K5" s="13"/>
      <c r="L5" s="13"/>
      <c r="M5" s="13"/>
      <c r="N5" s="13"/>
      <c r="O5" s="13"/>
      <c r="P5" s="13"/>
      <c r="R5">
        <v>2010</v>
      </c>
      <c r="W5">
        <v>2010</v>
      </c>
      <c r="AB5" s="13">
        <f>65*EXP(AE5)/(1+EXP(AE5))</f>
        <v>3.4183576746624901E-2</v>
      </c>
      <c r="AC5" s="13"/>
      <c r="AD5" s="155"/>
      <c r="AE5" s="33">
        <f t="shared" ref="AE5:AE50" si="0">AD$54+AD$55*AG5+AD$56*AH5+AD$57*AI5</f>
        <v>-7.5498711927197109</v>
      </c>
      <c r="AG5">
        <v>1</v>
      </c>
      <c r="AH5">
        <v>1</v>
      </c>
      <c r="AI5">
        <v>0</v>
      </c>
    </row>
    <row r="6" spans="1:35">
      <c r="A6">
        <v>2011</v>
      </c>
      <c r="B6" s="13">
        <f>'EV %sales'!J69</f>
        <v>5.1984877126654061E-2</v>
      </c>
      <c r="C6" s="20"/>
      <c r="D6" s="13"/>
      <c r="E6" s="13"/>
      <c r="F6" s="230"/>
      <c r="G6" s="230"/>
      <c r="H6" s="230"/>
      <c r="I6" s="13"/>
      <c r="J6" s="13"/>
      <c r="K6" s="13"/>
      <c r="L6" s="13"/>
      <c r="M6" s="13"/>
      <c r="N6" s="13"/>
      <c r="O6" s="13"/>
      <c r="P6" s="13"/>
      <c r="R6">
        <v>2011</v>
      </c>
      <c r="W6">
        <v>2011</v>
      </c>
      <c r="AB6" s="13">
        <f t="shared" ref="AB6:AB50" si="1">65*EXP(AE6)/(1+EXP(AE6))</f>
        <v>6.346987523992427E-2</v>
      </c>
      <c r="AC6" s="13"/>
      <c r="AD6">
        <f t="shared" ref="AD6:AD13" si="2">LN(B6/(65-B6))</f>
        <v>-7.130389609756481</v>
      </c>
      <c r="AE6" s="33">
        <f t="shared" si="0"/>
        <v>-6.9306002245492451</v>
      </c>
      <c r="AG6">
        <v>2</v>
      </c>
      <c r="AH6">
        <v>1</v>
      </c>
      <c r="AI6">
        <v>0</v>
      </c>
    </row>
    <row r="7" spans="1:35">
      <c r="A7">
        <v>2012</v>
      </c>
      <c r="B7" s="13">
        <f>'EV %sales'!J70</f>
        <v>0.10933209445254793</v>
      </c>
      <c r="C7" s="13">
        <f>D7</f>
        <v>6.346987523992427E-2</v>
      </c>
      <c r="D7" s="84">
        <f>65*EXP(E7)/(1+EXP(E7))</f>
        <v>6.346987523992427E-2</v>
      </c>
      <c r="E7" s="84">
        <f>J7-SUM(F7:F$7)</f>
        <v>-6.9306002245492451</v>
      </c>
      <c r="F7" s="13">
        <f>I7*G7</f>
        <v>0</v>
      </c>
      <c r="G7" s="13">
        <f>IF(H7&lt;0,0,H7)</f>
        <v>1</v>
      </c>
      <c r="H7" s="13">
        <f>IF((P7-0.6)/0.3&gt;1,1,(P7-0.6)/0.3)</f>
        <v>1</v>
      </c>
      <c r="I7" s="13">
        <v>0</v>
      </c>
      <c r="J7" s="13">
        <f>LN(M7/(65-M7))</f>
        <v>-6.9306002245492451</v>
      </c>
      <c r="K7" s="13"/>
      <c r="L7" s="84">
        <f t="shared" ref="L7:L16" si="3">M7</f>
        <v>6.346987523992427E-2</v>
      </c>
      <c r="M7" s="13">
        <f t="shared" ref="M7:M50" si="4">LOOKUP(ROUND(N7,0),A$4:A$50,AB$4:AB$50)</f>
        <v>6.346987523992427E-2</v>
      </c>
      <c r="N7" s="13">
        <f t="shared" ref="N7:N50" si="5">A7-(O7-O$11)</f>
        <v>2010.5626161659225</v>
      </c>
      <c r="O7" s="13">
        <f t="shared" ref="O7:O50" si="6">AA$56+AA$57*P7</f>
        <v>2018.2222335160914</v>
      </c>
      <c r="P7" s="13">
        <f>1/Germany!R84</f>
        <v>1.1245082472443846</v>
      </c>
      <c r="R7">
        <v>2012</v>
      </c>
      <c r="S7" s="13">
        <v>6.346987523992427E-2</v>
      </c>
      <c r="T7" s="13">
        <v>6.346987523992427E-2</v>
      </c>
      <c r="U7" s="13">
        <v>6.346987523992427E-2</v>
      </c>
      <c r="W7">
        <v>2012</v>
      </c>
      <c r="X7" s="13">
        <v>6.346987523992427E-2</v>
      </c>
      <c r="Y7" s="13">
        <f>T7</f>
        <v>6.346987523992427E-2</v>
      </c>
      <c r="Z7" s="13">
        <v>6.346987523992427E-2</v>
      </c>
      <c r="AB7" s="13">
        <f t="shared" si="1"/>
        <v>0.11780130161609073</v>
      </c>
      <c r="AC7" s="13"/>
      <c r="AD7" s="14">
        <f t="shared" si="2"/>
        <v>-6.3860691120257984</v>
      </c>
      <c r="AE7" s="33">
        <f t="shared" si="0"/>
        <v>-6.3113292563787802</v>
      </c>
      <c r="AG7">
        <v>3</v>
      </c>
      <c r="AH7">
        <v>1</v>
      </c>
      <c r="AI7">
        <v>0</v>
      </c>
    </row>
    <row r="8" spans="1:35">
      <c r="A8">
        <v>2013</v>
      </c>
      <c r="B8" s="13">
        <f>'EV %sales'!J71</f>
        <v>0.2347356615633395</v>
      </c>
      <c r="C8" s="13">
        <f t="shared" ref="C8:C13" si="7">D8</f>
        <v>0.40468534472849599</v>
      </c>
      <c r="D8" s="84">
        <f t="shared" ref="D8:D49" si="8">65*EXP(E8)/(1+EXP(E8))</f>
        <v>0.40468534472849599</v>
      </c>
      <c r="E8" s="84">
        <f>J8-SUM(F$7:F8)</f>
        <v>-5.0727873200378495</v>
      </c>
      <c r="F8" s="13">
        <f t="shared" ref="F8:F50" si="9">I8*G8</f>
        <v>0</v>
      </c>
      <c r="G8" s="13">
        <f t="shared" ref="G8:G50" si="10">IF(H8&lt;0,0,H8)</f>
        <v>1</v>
      </c>
      <c r="H8" s="13">
        <f t="shared" ref="H8:H50" si="11">IF((P8-0.6)/0.3&gt;1,1,(P8-0.6)/0.3)</f>
        <v>1</v>
      </c>
      <c r="I8" s="13">
        <v>0</v>
      </c>
      <c r="J8" s="13">
        <f t="shared" ref="J8:J13" si="12">LN(M8/(65-M8))</f>
        <v>-5.0727873200378495</v>
      </c>
      <c r="K8" s="13"/>
      <c r="L8" s="84">
        <f t="shared" si="3"/>
        <v>0.40468534472849599</v>
      </c>
      <c r="M8" s="13">
        <f t="shared" si="4"/>
        <v>0.40468534472849599</v>
      </c>
      <c r="N8" s="13">
        <f t="shared" si="5"/>
        <v>2013.5851729543729</v>
      </c>
      <c r="O8" s="13">
        <f t="shared" si="6"/>
        <v>2016.199676727641</v>
      </c>
      <c r="P8" s="13">
        <f>1/Germany!R85</f>
        <v>0.93695494860802853</v>
      </c>
      <c r="R8">
        <v>2013</v>
      </c>
      <c r="S8" s="13">
        <v>0.40468534472849599</v>
      </c>
      <c r="T8" s="13">
        <v>0.40468534472849599</v>
      </c>
      <c r="U8" s="13">
        <v>0.40468534472849599</v>
      </c>
      <c r="W8">
        <v>2013</v>
      </c>
      <c r="X8" s="13">
        <v>0.40468534472849599</v>
      </c>
      <c r="Y8" s="13">
        <f t="shared" ref="Y8:Y45" si="13">T8</f>
        <v>0.40468534472849599</v>
      </c>
      <c r="Z8" s="13">
        <v>0.40468534472849599</v>
      </c>
      <c r="AB8" s="13">
        <f t="shared" si="1"/>
        <v>0.21848498449567416</v>
      </c>
      <c r="AC8" s="13"/>
      <c r="AD8" s="14">
        <f t="shared" si="2"/>
        <v>-5.6200646578368545</v>
      </c>
      <c r="AE8" s="33">
        <f t="shared" si="0"/>
        <v>-5.6920582882083144</v>
      </c>
      <c r="AG8">
        <v>4</v>
      </c>
      <c r="AH8">
        <v>1</v>
      </c>
      <c r="AI8">
        <v>0</v>
      </c>
    </row>
    <row r="9" spans="1:35">
      <c r="A9">
        <v>2014</v>
      </c>
      <c r="B9" s="13">
        <f>'EV %sales'!J72</f>
        <v>0.41954417217249784</v>
      </c>
      <c r="C9" s="13">
        <f t="shared" si="7"/>
        <v>0.40468534472849599</v>
      </c>
      <c r="D9" s="84">
        <f t="shared" si="8"/>
        <v>0.40468534472849599</v>
      </c>
      <c r="E9" s="84">
        <f>J9-SUM(F$7:F9)</f>
        <v>-5.0727873200378495</v>
      </c>
      <c r="F9" s="13">
        <f t="shared" si="9"/>
        <v>0</v>
      </c>
      <c r="G9" s="13">
        <f t="shared" si="10"/>
        <v>1</v>
      </c>
      <c r="H9" s="13">
        <f t="shared" si="11"/>
        <v>1</v>
      </c>
      <c r="I9" s="13">
        <v>0</v>
      </c>
      <c r="J9" s="13">
        <f t="shared" si="12"/>
        <v>-5.0727873200378495</v>
      </c>
      <c r="K9" s="13"/>
      <c r="L9" s="84">
        <f t="shared" si="3"/>
        <v>0.40468534472849599</v>
      </c>
      <c r="M9" s="13">
        <f t="shared" si="4"/>
        <v>0.40468534472849599</v>
      </c>
      <c r="N9" s="13">
        <f t="shared" si="5"/>
        <v>2013.5691484949489</v>
      </c>
      <c r="O9" s="13">
        <f t="shared" si="6"/>
        <v>2017.215701187065</v>
      </c>
      <c r="P9" s="13">
        <f>1/Germany!R86</f>
        <v>1.0311717043245368</v>
      </c>
      <c r="R9">
        <v>2014</v>
      </c>
      <c r="S9" s="13">
        <v>0.40468534472849599</v>
      </c>
      <c r="T9" s="13">
        <v>0.40468534472849599</v>
      </c>
      <c r="U9" s="13">
        <v>0.40468534472849599</v>
      </c>
      <c r="W9">
        <v>2014</v>
      </c>
      <c r="X9" s="13">
        <v>0.40468534472849599</v>
      </c>
      <c r="Y9" s="13">
        <f t="shared" si="13"/>
        <v>0.40468534472849599</v>
      </c>
      <c r="Z9" s="13">
        <v>0.40468534472849599</v>
      </c>
      <c r="AB9" s="13">
        <f t="shared" si="1"/>
        <v>0.40468534472849599</v>
      </c>
      <c r="AC9" s="13"/>
      <c r="AD9" s="14">
        <f t="shared" si="2"/>
        <v>-5.0364982850739404</v>
      </c>
      <c r="AE9" s="33">
        <f t="shared" si="0"/>
        <v>-5.0727873200378495</v>
      </c>
      <c r="AG9">
        <v>5</v>
      </c>
      <c r="AH9">
        <v>1</v>
      </c>
      <c r="AI9">
        <v>0</v>
      </c>
    </row>
    <row r="10" spans="1:35">
      <c r="A10">
        <v>2015</v>
      </c>
      <c r="B10" s="13">
        <f>'EV %sales'!J73</f>
        <v>0.7233495294173059</v>
      </c>
      <c r="C10" s="13">
        <f t="shared" si="7"/>
        <v>0.74774037060532272</v>
      </c>
      <c r="D10" s="84">
        <f t="shared" si="8"/>
        <v>0.74774037060532272</v>
      </c>
      <c r="E10" s="84">
        <f>J10-SUM(F$7:F10)</f>
        <v>-4.4535163518673846</v>
      </c>
      <c r="F10" s="13">
        <f t="shared" si="9"/>
        <v>0</v>
      </c>
      <c r="G10" s="13">
        <f t="shared" si="10"/>
        <v>1</v>
      </c>
      <c r="H10" s="13">
        <f t="shared" si="11"/>
        <v>1</v>
      </c>
      <c r="I10" s="13">
        <v>0</v>
      </c>
      <c r="J10" s="13">
        <f t="shared" si="12"/>
        <v>-4.4535163518673846</v>
      </c>
      <c r="K10" s="13"/>
      <c r="L10" s="84">
        <f t="shared" si="3"/>
        <v>0.74774037060532272</v>
      </c>
      <c r="M10" s="13">
        <f t="shared" si="4"/>
        <v>0.74774037060532272</v>
      </c>
      <c r="N10" s="13">
        <f t="shared" si="5"/>
        <v>2015.0772711760553</v>
      </c>
      <c r="O10" s="13">
        <f t="shared" si="6"/>
        <v>2016.7075785059585</v>
      </c>
      <c r="P10" s="13">
        <f>1/Germany!R87</f>
        <v>0.98405308422068305</v>
      </c>
      <c r="R10">
        <v>2015</v>
      </c>
      <c r="S10" s="13">
        <v>0.74774037060532272</v>
      </c>
      <c r="T10" s="13">
        <v>0.74774037060532272</v>
      </c>
      <c r="U10" s="13">
        <v>0.74774037060532272</v>
      </c>
      <c r="W10">
        <v>2015</v>
      </c>
      <c r="X10" s="13">
        <v>0.74774037060532272</v>
      </c>
      <c r="Y10" s="13">
        <f t="shared" si="13"/>
        <v>0.74774037060532272</v>
      </c>
      <c r="Z10" s="13">
        <v>0.74774037060532272</v>
      </c>
      <c r="AB10" s="13">
        <f t="shared" si="1"/>
        <v>0.74774037060532272</v>
      </c>
      <c r="AC10" s="13"/>
      <c r="AD10" s="14">
        <f t="shared" si="2"/>
        <v>-4.487059161555738</v>
      </c>
      <c r="AE10" s="33">
        <f t="shared" si="0"/>
        <v>-4.4535163518673846</v>
      </c>
      <c r="AG10">
        <v>6</v>
      </c>
      <c r="AH10">
        <v>1</v>
      </c>
      <c r="AI10">
        <v>0</v>
      </c>
    </row>
    <row r="11" spans="1:35">
      <c r="A11">
        <v>2016</v>
      </c>
      <c r="B11" s="13">
        <f>'EV %sales'!J74</f>
        <v>0.75074541939668848</v>
      </c>
      <c r="C11" s="13">
        <f t="shared" si="7"/>
        <v>0.73461459756398872</v>
      </c>
      <c r="D11" s="84">
        <f t="shared" si="8"/>
        <v>0.73461459756398872</v>
      </c>
      <c r="E11" s="84">
        <f>J11-SUM(F$7:F11)</f>
        <v>-4.4714304309738457</v>
      </c>
      <c r="F11" s="13">
        <f t="shared" si="9"/>
        <v>0</v>
      </c>
      <c r="G11" s="13">
        <f t="shared" si="10"/>
        <v>1</v>
      </c>
      <c r="H11" s="13">
        <f t="shared" si="11"/>
        <v>1</v>
      </c>
      <c r="I11" s="13">
        <v>0</v>
      </c>
      <c r="J11" s="13">
        <f t="shared" si="12"/>
        <v>-4.4714304309738457</v>
      </c>
      <c r="K11" s="13"/>
      <c r="L11" s="84">
        <f t="shared" si="3"/>
        <v>0.73461459756398872</v>
      </c>
      <c r="M11" s="13">
        <f t="shared" si="4"/>
        <v>0.73461459756398872</v>
      </c>
      <c r="N11" s="13">
        <f t="shared" si="5"/>
        <v>2016</v>
      </c>
      <c r="O11" s="13">
        <f t="shared" si="6"/>
        <v>2016.7848496820138</v>
      </c>
      <c r="P11" s="13">
        <f>1/Germany!R88</f>
        <v>0.99121850179581694</v>
      </c>
      <c r="R11">
        <v>2016</v>
      </c>
      <c r="S11" s="13">
        <v>0.73461459756398872</v>
      </c>
      <c r="T11" s="13">
        <v>0.73461459756398872</v>
      </c>
      <c r="U11" s="13">
        <v>0.73461459756398872</v>
      </c>
      <c r="W11">
        <v>2016</v>
      </c>
      <c r="X11" s="13">
        <v>0.73461459756398872</v>
      </c>
      <c r="Y11" s="13">
        <f t="shared" si="13"/>
        <v>0.73461459756398872</v>
      </c>
      <c r="Z11" s="13">
        <v>0.73461459756398872</v>
      </c>
      <c r="AB11" s="13">
        <f t="shared" si="1"/>
        <v>0.73461459756398872</v>
      </c>
      <c r="AC11" s="13"/>
      <c r="AD11" s="14">
        <f t="shared" si="2"/>
        <v>-4.4494587953567359</v>
      </c>
      <c r="AE11" s="33">
        <f t="shared" si="0"/>
        <v>-4.4714304309738457</v>
      </c>
      <c r="AG11">
        <v>7</v>
      </c>
      <c r="AH11">
        <v>0</v>
      </c>
      <c r="AI11">
        <v>0</v>
      </c>
    </row>
    <row r="12" spans="1:35">
      <c r="A12">
        <v>2017</v>
      </c>
      <c r="B12" s="13">
        <f>'EV %sales'!J75</f>
        <v>1.5835764854801773</v>
      </c>
      <c r="C12" s="13">
        <f t="shared" si="7"/>
        <v>1.5872033755904482</v>
      </c>
      <c r="D12" s="84">
        <f t="shared" si="8"/>
        <v>1.5872033755904482</v>
      </c>
      <c r="E12" s="84">
        <f>J12-SUM(F$7:F12)</f>
        <v>-3.6876920962737518</v>
      </c>
      <c r="F12" s="13">
        <f t="shared" si="9"/>
        <v>0</v>
      </c>
      <c r="G12" s="13">
        <f t="shared" si="10"/>
        <v>1</v>
      </c>
      <c r="H12" s="13">
        <f t="shared" si="11"/>
        <v>1</v>
      </c>
      <c r="I12" s="13">
        <v>0</v>
      </c>
      <c r="J12" s="13">
        <f t="shared" si="12"/>
        <v>-3.6876920962737518</v>
      </c>
      <c r="K12" s="13"/>
      <c r="L12" s="84">
        <f t="shared" si="3"/>
        <v>1.5872033755904482</v>
      </c>
      <c r="M12" s="13">
        <f t="shared" si="4"/>
        <v>1.5872033755904482</v>
      </c>
      <c r="N12" s="13">
        <f t="shared" si="5"/>
        <v>2017.0552536061625</v>
      </c>
      <c r="O12" s="13">
        <f t="shared" si="6"/>
        <v>2016.7295960758513</v>
      </c>
      <c r="P12" s="13">
        <f>1/Germany!R89</f>
        <v>0.98609479097766795</v>
      </c>
      <c r="R12">
        <v>2017</v>
      </c>
      <c r="S12" s="13">
        <v>1.5872033755904482</v>
      </c>
      <c r="T12" s="13">
        <v>1.5872033755904482</v>
      </c>
      <c r="U12" s="13">
        <v>1.5872033755904482</v>
      </c>
      <c r="W12">
        <v>2017</v>
      </c>
      <c r="X12" s="13">
        <v>1.5872033755904482</v>
      </c>
      <c r="Y12" s="13">
        <f t="shared" si="13"/>
        <v>1.5872033755904482</v>
      </c>
      <c r="Z12" s="13">
        <v>1.5872033755904482</v>
      </c>
      <c r="AB12" s="13">
        <f t="shared" si="1"/>
        <v>1.5872033755904482</v>
      </c>
      <c r="AC12" s="13"/>
      <c r="AD12" s="14">
        <f t="shared" si="2"/>
        <v>-3.6900369865021472</v>
      </c>
      <c r="AE12" s="33">
        <f t="shared" si="0"/>
        <v>-3.6876920962737518</v>
      </c>
      <c r="AG12">
        <v>8</v>
      </c>
      <c r="AH12">
        <v>0</v>
      </c>
      <c r="AI12">
        <v>1</v>
      </c>
    </row>
    <row r="13" spans="1:35">
      <c r="A13">
        <v>2018</v>
      </c>
      <c r="B13" s="13">
        <f>'EV %sales'!J76</f>
        <v>2.3614375580722506</v>
      </c>
      <c r="C13" s="13">
        <f t="shared" si="7"/>
        <v>2.4665326913069379</v>
      </c>
      <c r="D13" s="84">
        <f t="shared" si="8"/>
        <v>2.4665326913069379</v>
      </c>
      <c r="E13" s="84">
        <f>J13-SUM(F$7:F13)</f>
        <v>-3.2328884946329159</v>
      </c>
      <c r="F13" s="13">
        <f t="shared" si="9"/>
        <v>0</v>
      </c>
      <c r="G13" s="13">
        <f t="shared" si="10"/>
        <v>1</v>
      </c>
      <c r="H13" s="13">
        <f t="shared" si="11"/>
        <v>1</v>
      </c>
      <c r="I13" s="13">
        <v>0</v>
      </c>
      <c r="J13" s="13">
        <f t="shared" si="12"/>
        <v>-3.2328884946329159</v>
      </c>
      <c r="K13" s="13"/>
      <c r="L13" s="84">
        <f t="shared" si="3"/>
        <v>2.4665326913069379</v>
      </c>
      <c r="M13" s="13">
        <f t="shared" si="4"/>
        <v>2.4665326913069379</v>
      </c>
      <c r="N13" s="13">
        <f t="shared" si="5"/>
        <v>2017.9177458137954</v>
      </c>
      <c r="O13" s="13">
        <f t="shared" si="6"/>
        <v>2016.8671038682185</v>
      </c>
      <c r="P13" s="13">
        <f>1/Germany!R90</f>
        <v>0.99884599786288319</v>
      </c>
      <c r="R13">
        <v>2018</v>
      </c>
      <c r="S13" s="13">
        <v>2.4665326913069379</v>
      </c>
      <c r="T13" s="13">
        <v>2.4665326913069379</v>
      </c>
      <c r="U13" s="13">
        <v>2.4665326913069379</v>
      </c>
      <c r="W13">
        <v>2018</v>
      </c>
      <c r="X13" s="13">
        <v>2.4665326913069379</v>
      </c>
      <c r="Y13" s="13">
        <f t="shared" si="13"/>
        <v>2.4665326913069379</v>
      </c>
      <c r="Z13" s="13">
        <v>2.4665326913069379</v>
      </c>
      <c r="AB13" s="13">
        <f t="shared" si="1"/>
        <v>2.4665326913069379</v>
      </c>
      <c r="AC13" s="13"/>
      <c r="AD13" s="14">
        <f t="shared" si="2"/>
        <v>-3.2781105335303646</v>
      </c>
      <c r="AE13" s="33">
        <f t="shared" si="0"/>
        <v>-3.2328884946329159</v>
      </c>
      <c r="AG13">
        <v>9</v>
      </c>
      <c r="AH13">
        <v>0</v>
      </c>
      <c r="AI13">
        <v>0</v>
      </c>
    </row>
    <row r="14" spans="1:35">
      <c r="A14">
        <v>2019</v>
      </c>
      <c r="B14" s="13"/>
      <c r="C14" s="13">
        <f>AVERAGE(D13:D15)</f>
        <v>4.2857980085890945</v>
      </c>
      <c r="D14" s="84">
        <f>65*EXP(E14)/(1+EXP(E14))</f>
        <v>4.4373644231824514</v>
      </c>
      <c r="E14" s="84">
        <f>J14-SUM(F$7:F14)</f>
        <v>-2.6136175264624497</v>
      </c>
      <c r="F14" s="13">
        <f>I14*G14</f>
        <v>0</v>
      </c>
      <c r="G14" s="13">
        <f t="shared" si="10"/>
        <v>1</v>
      </c>
      <c r="H14" s="13">
        <f t="shared" si="11"/>
        <v>1</v>
      </c>
      <c r="I14" s="13">
        <v>0</v>
      </c>
      <c r="J14" s="13">
        <f t="shared" ref="J14:J47" si="14">LN(L14/(65-L14))</f>
        <v>-2.6136175264624497</v>
      </c>
      <c r="K14" s="13"/>
      <c r="L14" s="84">
        <f t="shared" si="3"/>
        <v>4.4373644231824505</v>
      </c>
      <c r="M14" s="13">
        <f t="shared" si="4"/>
        <v>4.4373644231824505</v>
      </c>
      <c r="N14" s="13">
        <f t="shared" si="5"/>
        <v>2018.6457269833802</v>
      </c>
      <c r="O14" s="13">
        <f t="shared" si="6"/>
        <v>2017.1391226986336</v>
      </c>
      <c r="P14" s="13">
        <f>1/Germany!R91</f>
        <v>1.0240705202233606</v>
      </c>
      <c r="R14">
        <v>2019</v>
      </c>
      <c r="S14" s="13">
        <v>4.2857980085890945</v>
      </c>
      <c r="T14" s="13">
        <v>4.2857980085890945</v>
      </c>
      <c r="U14" s="20">
        <f>(U13+U15)/2</f>
        <v>3.9316422143818328</v>
      </c>
      <c r="W14">
        <v>2019</v>
      </c>
      <c r="X14" s="13">
        <v>2.7598524295483116</v>
      </c>
      <c r="Y14" s="13">
        <f t="shared" si="13"/>
        <v>4.2857980085890945</v>
      </c>
      <c r="Z14" s="13">
        <v>4.2857980085890945</v>
      </c>
      <c r="AB14" s="13">
        <f t="shared" si="1"/>
        <v>4.4373644231824505</v>
      </c>
      <c r="AC14" s="13"/>
      <c r="AE14" s="33">
        <f t="shared" si="0"/>
        <v>-2.6136175264624502</v>
      </c>
      <c r="AG14">
        <v>10</v>
      </c>
      <c r="AH14">
        <v>0</v>
      </c>
      <c r="AI14">
        <v>0</v>
      </c>
    </row>
    <row r="15" spans="1:35">
      <c r="A15">
        <v>2020</v>
      </c>
      <c r="B15" s="13"/>
      <c r="C15" s="13">
        <f>AVERAGE(D13:D17)</f>
        <v>6.3965483267176513</v>
      </c>
      <c r="D15" s="84">
        <f>65*EXP(E15)/(1+EXP(E15))</f>
        <v>5.9534969112778962</v>
      </c>
      <c r="E15" s="84">
        <f>J15-SUM(F$7:F15)</f>
        <v>-2.2943465582919851</v>
      </c>
      <c r="F15" s="13">
        <f t="shared" si="9"/>
        <v>0.3</v>
      </c>
      <c r="G15" s="13">
        <f t="shared" si="10"/>
        <v>1</v>
      </c>
      <c r="H15" s="13">
        <f t="shared" si="11"/>
        <v>1</v>
      </c>
      <c r="I15" s="231">
        <v>0.3</v>
      </c>
      <c r="J15" s="13">
        <f t="shared" si="14"/>
        <v>-1.9943465582919853</v>
      </c>
      <c r="K15" s="13"/>
      <c r="L15" s="84">
        <f t="shared" si="3"/>
        <v>7.7868554505897851</v>
      </c>
      <c r="M15" s="13">
        <f t="shared" si="4"/>
        <v>7.7868554505897851</v>
      </c>
      <c r="N15" s="13">
        <f t="shared" si="5"/>
        <v>2019.6813497988051</v>
      </c>
      <c r="O15" s="13">
        <f t="shared" si="6"/>
        <v>2017.1034998832088</v>
      </c>
      <c r="P15" s="13">
        <f>1/Germany!R92</f>
        <v>1.0207671882339606</v>
      </c>
      <c r="R15">
        <v>2020</v>
      </c>
      <c r="S15" s="13">
        <v>6.6188713150714591</v>
      </c>
      <c r="T15" s="13">
        <v>6.3965483267176513</v>
      </c>
      <c r="U15" s="13">
        <v>5.3967517374567278</v>
      </c>
      <c r="W15">
        <v>2020</v>
      </c>
      <c r="X15" s="13">
        <v>3.8058882256695035</v>
      </c>
      <c r="Y15" s="13">
        <f t="shared" si="13"/>
        <v>6.3965483267176513</v>
      </c>
      <c r="Z15" s="13">
        <v>8.6731326981820498</v>
      </c>
      <c r="AB15" s="13">
        <f t="shared" si="1"/>
        <v>7.7868554505897851</v>
      </c>
      <c r="AC15" s="13"/>
      <c r="AE15" s="33">
        <f t="shared" si="0"/>
        <v>-1.9943465582919853</v>
      </c>
      <c r="AG15">
        <v>11</v>
      </c>
      <c r="AH15">
        <v>0</v>
      </c>
      <c r="AI15">
        <v>0</v>
      </c>
    </row>
    <row r="16" spans="1:35">
      <c r="A16">
        <v>2021</v>
      </c>
      <c r="B16" s="13"/>
      <c r="C16" s="13">
        <f>AVERAGE(D13:D19)</f>
        <v>9.0282834753518948</v>
      </c>
      <c r="D16" s="84">
        <f t="shared" si="8"/>
        <v>7.8678955012675171</v>
      </c>
      <c r="E16" s="84">
        <f>J16-SUM(F$7:F16)</f>
        <v>-1.9825755901215201</v>
      </c>
      <c r="F16" s="13">
        <f t="shared" si="9"/>
        <v>0.3075</v>
      </c>
      <c r="G16" s="13">
        <f t="shared" si="10"/>
        <v>1</v>
      </c>
      <c r="H16" s="13">
        <f t="shared" si="11"/>
        <v>1</v>
      </c>
      <c r="I16" s="20">
        <f>I15+(I35-I15)/20</f>
        <v>0.3075</v>
      </c>
      <c r="J16" s="13">
        <f t="shared" si="14"/>
        <v>-1.3750755901215201</v>
      </c>
      <c r="K16" s="13"/>
      <c r="L16" s="84">
        <f t="shared" si="3"/>
        <v>13.117067998248489</v>
      </c>
      <c r="M16" s="13">
        <f t="shared" si="4"/>
        <v>13.117067998248489</v>
      </c>
      <c r="N16" s="13">
        <f t="shared" si="5"/>
        <v>2021.0012865488486</v>
      </c>
      <c r="O16" s="13">
        <f t="shared" si="6"/>
        <v>2016.7835631331652</v>
      </c>
      <c r="P16" s="13">
        <f>1/Germany!R93</f>
        <v>0.9910991990984771</v>
      </c>
      <c r="R16">
        <v>2021</v>
      </c>
      <c r="S16" s="13">
        <v>9.5730575257944697</v>
      </c>
      <c r="T16" s="13">
        <v>9.0282834753518948</v>
      </c>
      <c r="U16" s="13">
        <v>8.0465875966315785</v>
      </c>
      <c r="W16">
        <v>2021</v>
      </c>
      <c r="X16" s="13">
        <v>5.1678213989321904</v>
      </c>
      <c r="Y16" s="13">
        <f t="shared" si="13"/>
        <v>9.0282834753518948</v>
      </c>
      <c r="Z16" s="13">
        <v>13.664838426774764</v>
      </c>
      <c r="AB16" s="13">
        <f t="shared" si="1"/>
        <v>13.117067998248489</v>
      </c>
      <c r="AC16" s="13"/>
      <c r="AE16" s="33">
        <f t="shared" si="0"/>
        <v>-1.3750755901215204</v>
      </c>
      <c r="AG16">
        <v>12</v>
      </c>
      <c r="AH16">
        <v>0</v>
      </c>
      <c r="AI16">
        <v>0</v>
      </c>
    </row>
    <row r="17" spans="1:35">
      <c r="A17">
        <v>2022</v>
      </c>
      <c r="B17" s="13"/>
      <c r="C17" s="13">
        <f t="shared" ref="C17:C50" si="15">AVERAGE(D14:D20)</f>
        <v>11.62524357232658</v>
      </c>
      <c r="D17" s="84">
        <f t="shared" si="8"/>
        <v>11.257452106553451</v>
      </c>
      <c r="E17" s="84">
        <f>J17-SUM(F$7:F17)</f>
        <v>-1.563174694727441</v>
      </c>
      <c r="F17" s="13">
        <f t="shared" si="9"/>
        <v>0.315</v>
      </c>
      <c r="G17" s="13">
        <f t="shared" si="10"/>
        <v>1</v>
      </c>
      <c r="H17" s="13">
        <f t="shared" si="11"/>
        <v>1</v>
      </c>
      <c r="I17" s="20">
        <f>I16+(I35-I15)/20</f>
        <v>0.315</v>
      </c>
      <c r="J17" s="13">
        <f t="shared" si="14"/>
        <v>-0.64067469472744099</v>
      </c>
      <c r="K17" s="13"/>
      <c r="L17" s="84">
        <f>AVERAGE(M15:M19)</f>
        <v>22.431112577711943</v>
      </c>
      <c r="M17" s="13">
        <f t="shared" si="4"/>
        <v>20.771258326627883</v>
      </c>
      <c r="N17" s="13">
        <f t="shared" si="5"/>
        <v>2021.8109215731515</v>
      </c>
      <c r="O17" s="13">
        <f t="shared" si="6"/>
        <v>2016.9739281088623</v>
      </c>
      <c r="P17" s="13">
        <f>1/Germany!R94</f>
        <v>1.0087518946077951</v>
      </c>
      <c r="R17">
        <v>2022</v>
      </c>
      <c r="S17" s="13">
        <v>12.487931159700109</v>
      </c>
      <c r="T17" s="13">
        <v>11.62524357232658</v>
      </c>
      <c r="U17" s="13">
        <v>10.438270508944154</v>
      </c>
      <c r="W17">
        <v>2022</v>
      </c>
      <c r="X17" s="13">
        <v>6.3727033081873703</v>
      </c>
      <c r="Y17" s="13">
        <f t="shared" si="13"/>
        <v>11.62524357232658</v>
      </c>
      <c r="Z17" s="13">
        <v>18.863925911999551</v>
      </c>
      <c r="AB17" s="13">
        <f t="shared" si="1"/>
        <v>20.771258326627883</v>
      </c>
      <c r="AC17" s="13"/>
      <c r="AE17" s="33">
        <f t="shared" si="0"/>
        <v>-0.75580462195105547</v>
      </c>
      <c r="AG17">
        <v>13</v>
      </c>
      <c r="AH17">
        <v>0</v>
      </c>
      <c r="AI17">
        <v>0</v>
      </c>
    </row>
    <row r="18" spans="1:35">
      <c r="A18">
        <v>2023</v>
      </c>
      <c r="B18" s="13"/>
      <c r="C18" s="13">
        <f>AVERAGE(D15:D21)</f>
        <v>14.633056848848486</v>
      </c>
      <c r="D18" s="84">
        <f t="shared" si="8"/>
        <v>14.120511663028765</v>
      </c>
      <c r="E18" s="84">
        <f>J18-SUM(F$7:F18)</f>
        <v>-1.2818313945441109</v>
      </c>
      <c r="F18" s="13">
        <f t="shared" si="9"/>
        <v>0.32250000000000001</v>
      </c>
      <c r="G18" s="13">
        <f t="shared" si="10"/>
        <v>1</v>
      </c>
      <c r="H18" s="13">
        <f t="shared" si="11"/>
        <v>1</v>
      </c>
      <c r="I18" s="20">
        <f>I17+(I35-I15)/20</f>
        <v>0.32250000000000001</v>
      </c>
      <c r="J18" s="13">
        <f t="shared" si="14"/>
        <v>-3.683139454411094E-2</v>
      </c>
      <c r="K18" s="13"/>
      <c r="L18" s="84">
        <f t="shared" ref="L18:L48" si="16">AVERAGE(M16:M20)</f>
        <v>31.901557488642091</v>
      </c>
      <c r="M18" s="13">
        <f t="shared" si="4"/>
        <v>30.284768316160477</v>
      </c>
      <c r="N18" s="13">
        <f t="shared" si="5"/>
        <v>2022.8986660981752</v>
      </c>
      <c r="O18" s="13">
        <f t="shared" si="6"/>
        <v>2016.8861835838386</v>
      </c>
      <c r="P18" s="13">
        <f>1/Germany!R95</f>
        <v>1.0006152750579975</v>
      </c>
      <c r="R18">
        <v>2023</v>
      </c>
      <c r="S18" s="13">
        <v>16.159146279223727</v>
      </c>
      <c r="T18" s="13">
        <v>14.633056848848486</v>
      </c>
      <c r="U18" s="13">
        <v>13.392996076981936</v>
      </c>
      <c r="W18">
        <v>2023</v>
      </c>
      <c r="X18" s="13">
        <v>7.9816903808613375</v>
      </c>
      <c r="Y18" s="13">
        <f t="shared" si="13"/>
        <v>14.633056848848486</v>
      </c>
      <c r="Z18" s="13">
        <v>25.541460388492737</v>
      </c>
      <c r="AB18" s="13">
        <f t="shared" si="1"/>
        <v>30.284768316160477</v>
      </c>
      <c r="AC18" s="13"/>
      <c r="AE18" s="33">
        <f t="shared" si="0"/>
        <v>-0.13653365378058879</v>
      </c>
      <c r="AG18">
        <v>14</v>
      </c>
      <c r="AH18">
        <v>0</v>
      </c>
      <c r="AI18">
        <v>0</v>
      </c>
    </row>
    <row r="19" spans="1:35">
      <c r="A19">
        <v>2024</v>
      </c>
      <c r="B19" s="13"/>
      <c r="C19" s="13">
        <f t="shared" si="15"/>
        <v>18.534462224743553</v>
      </c>
      <c r="D19" s="84">
        <f t="shared" si="8"/>
        <v>17.094731030846244</v>
      </c>
      <c r="E19" s="84">
        <f>J19-SUM(F$7:F19)</f>
        <v>-1.0304552085467269</v>
      </c>
      <c r="F19" s="13">
        <f t="shared" si="9"/>
        <v>0.33</v>
      </c>
      <c r="G19" s="13">
        <f t="shared" si="10"/>
        <v>1</v>
      </c>
      <c r="H19" s="13">
        <f t="shared" si="11"/>
        <v>1</v>
      </c>
      <c r="I19" s="20">
        <f>I18+(I35-I15)/20</f>
        <v>0.33</v>
      </c>
      <c r="J19" s="13">
        <f t="shared" si="14"/>
        <v>0.54454479145327306</v>
      </c>
      <c r="K19" s="13"/>
      <c r="L19" s="84">
        <f t="shared" si="16"/>
        <v>41.136486122806794</v>
      </c>
      <c r="M19" s="13">
        <f t="shared" si="4"/>
        <v>40.195612796933077</v>
      </c>
      <c r="N19" s="13">
        <f t="shared" si="5"/>
        <v>2024.307397855946</v>
      </c>
      <c r="O19" s="13">
        <f t="shared" si="6"/>
        <v>2016.4774518260679</v>
      </c>
      <c r="P19" s="13">
        <f>1/Germany!R96</f>
        <v>0.96271325427662346</v>
      </c>
      <c r="R19">
        <v>2024</v>
      </c>
      <c r="S19" s="13">
        <v>20.352597720827013</v>
      </c>
      <c r="T19" s="13">
        <v>18.534462224743553</v>
      </c>
      <c r="U19" s="13">
        <v>16.997721686159476</v>
      </c>
      <c r="W19">
        <v>2024</v>
      </c>
      <c r="X19" s="13">
        <v>9.7876393359841103</v>
      </c>
      <c r="Y19" s="13">
        <f t="shared" si="13"/>
        <v>18.534462224743553</v>
      </c>
      <c r="Z19" s="13">
        <v>33.08464588086678</v>
      </c>
      <c r="AB19" s="13">
        <f t="shared" si="1"/>
        <v>40.195612796933077</v>
      </c>
      <c r="AC19" s="13"/>
      <c r="AE19" s="33">
        <f t="shared" si="0"/>
        <v>0.4827373143898761</v>
      </c>
      <c r="AG19">
        <v>15</v>
      </c>
      <c r="AH19">
        <v>0</v>
      </c>
      <c r="AI19">
        <v>0</v>
      </c>
    </row>
    <row r="20" spans="1:35">
      <c r="A20" s="14">
        <v>2025</v>
      </c>
      <c r="B20" s="13"/>
      <c r="C20" s="20">
        <f t="shared" si="15"/>
        <v>22.839043393520146</v>
      </c>
      <c r="D20" s="84">
        <f t="shared" si="8"/>
        <v>20.64525337012974</v>
      </c>
      <c r="E20" s="84">
        <f>J20-SUM(F$7:F20)</f>
        <v>-0.76473429765797918</v>
      </c>
      <c r="F20" s="13">
        <f t="shared" si="9"/>
        <v>0.33750000000000002</v>
      </c>
      <c r="G20" s="13">
        <f t="shared" si="10"/>
        <v>1</v>
      </c>
      <c r="H20" s="13">
        <f t="shared" si="11"/>
        <v>1</v>
      </c>
      <c r="I20" s="20">
        <f>I19+(I35-I15)/20</f>
        <v>0.33750000000000002</v>
      </c>
      <c r="J20" s="13">
        <f t="shared" si="14"/>
        <v>1.1477657023420209</v>
      </c>
      <c r="K20" s="13"/>
      <c r="L20" s="84">
        <f t="shared" si="16"/>
        <v>49.341667489479121</v>
      </c>
      <c r="M20" s="13">
        <f t="shared" si="4"/>
        <v>55.139080005240515</v>
      </c>
      <c r="N20" s="13">
        <f t="shared" si="5"/>
        <v>2025.6682770166608</v>
      </c>
      <c r="O20" s="13">
        <f t="shared" si="6"/>
        <v>2016.116572665353</v>
      </c>
      <c r="P20" s="13">
        <f>1/Germany!R97</f>
        <v>0.92924864285623854</v>
      </c>
      <c r="R20" s="87">
        <v>2025</v>
      </c>
      <c r="S20" s="13">
        <v>25.126428312132621</v>
      </c>
      <c r="T20" s="13">
        <v>22.839043393520146</v>
      </c>
      <c r="U20" s="13">
        <v>21.167058277688785</v>
      </c>
      <c r="W20" s="87">
        <v>2025</v>
      </c>
      <c r="X20" s="13">
        <v>11.811441484121014</v>
      </c>
      <c r="Y20" s="13">
        <f t="shared" si="13"/>
        <v>22.839043393520146</v>
      </c>
      <c r="Z20" s="13">
        <v>40.034999968065797</v>
      </c>
      <c r="AB20" s="13">
        <f t="shared" si="1"/>
        <v>48.791353526737112</v>
      </c>
      <c r="AC20" s="13"/>
      <c r="AE20" s="33">
        <f t="shared" si="0"/>
        <v>1.102008282560341</v>
      </c>
      <c r="AG20">
        <v>16</v>
      </c>
      <c r="AH20">
        <v>0</v>
      </c>
      <c r="AI20">
        <v>0</v>
      </c>
    </row>
    <row r="21" spans="1:35">
      <c r="A21">
        <v>2026</v>
      </c>
      <c r="B21" s="13"/>
      <c r="C21" s="13">
        <f t="shared" si="15"/>
        <v>27.385803410641039</v>
      </c>
      <c r="D21" s="84">
        <f t="shared" si="8"/>
        <v>25.492057358835794</v>
      </c>
      <c r="E21" s="84">
        <f>J21-SUM(F$7:F21)</f>
        <v>-0.4381348036949122</v>
      </c>
      <c r="F21" s="13">
        <f t="shared" si="9"/>
        <v>0.34500000000000003</v>
      </c>
      <c r="G21" s="13">
        <f>IF(H21&lt;0,0,H21)</f>
        <v>1</v>
      </c>
      <c r="H21" s="13">
        <f t="shared" si="11"/>
        <v>1</v>
      </c>
      <c r="I21" s="20">
        <f>I20+(I35-I15)/20</f>
        <v>0.34500000000000003</v>
      </c>
      <c r="J21" s="13">
        <f t="shared" si="14"/>
        <v>1.8193651963050881</v>
      </c>
      <c r="K21" s="13"/>
      <c r="L21" s="84">
        <f t="shared" si="16"/>
        <v>55.931845982609673</v>
      </c>
      <c r="M21" s="13">
        <f t="shared" si="4"/>
        <v>59.291711169072009</v>
      </c>
      <c r="N21" s="13">
        <f t="shared" si="5"/>
        <v>2026.8771756227682</v>
      </c>
      <c r="O21" s="13">
        <f t="shared" si="6"/>
        <v>2015.9076740592457</v>
      </c>
      <c r="P21" s="13">
        <f>1/Germany!R98</f>
        <v>0.90987730906738706</v>
      </c>
      <c r="R21">
        <v>2026</v>
      </c>
      <c r="S21" s="13">
        <v>30.206272404111047</v>
      </c>
      <c r="T21" s="13">
        <v>27.385803410641039</v>
      </c>
      <c r="U21" s="13">
        <v>25.504830331576009</v>
      </c>
      <c r="W21">
        <v>2026</v>
      </c>
      <c r="X21" s="13">
        <v>14.018203126811004</v>
      </c>
      <c r="Y21" s="13">
        <f>T21</f>
        <v>27.385803410641039</v>
      </c>
      <c r="Z21" s="13">
        <v>46.685436612564544</v>
      </c>
      <c r="AB21" s="13">
        <f t="shared" si="1"/>
        <v>55.139080005240515</v>
      </c>
      <c r="AC21" s="13"/>
      <c r="AE21" s="33">
        <f t="shared" si="0"/>
        <v>1.7212792507308059</v>
      </c>
      <c r="AG21">
        <v>17</v>
      </c>
      <c r="AH21">
        <v>0</v>
      </c>
      <c r="AI21">
        <v>0</v>
      </c>
    </row>
    <row r="22" spans="1:35">
      <c r="A22">
        <v>2027</v>
      </c>
      <c r="B22" s="13"/>
      <c r="C22" s="13">
        <f t="shared" si="15"/>
        <v>32.279020304359399</v>
      </c>
      <c r="D22" s="84">
        <f t="shared" si="8"/>
        <v>33.263334542543369</v>
      </c>
      <c r="E22" s="84">
        <f>J22-SUM(F$7:F22)</f>
        <v>4.6983074052619145E-2</v>
      </c>
      <c r="F22" s="13">
        <f t="shared" si="9"/>
        <v>0.34293302187258962</v>
      </c>
      <c r="G22" s="13">
        <f t="shared" si="10"/>
        <v>0.97285963651798468</v>
      </c>
      <c r="H22" s="13">
        <f t="shared" si="11"/>
        <v>0.97285963651798468</v>
      </c>
      <c r="I22" s="20">
        <f>I21+(I35-I15)/20</f>
        <v>0.35250000000000004</v>
      </c>
      <c r="J22" s="13">
        <f t="shared" si="14"/>
        <v>2.6474160959252089</v>
      </c>
      <c r="K22" s="13"/>
      <c r="L22" s="84">
        <f t="shared" si="16"/>
        <v>60.700351027304428</v>
      </c>
      <c r="M22" s="13">
        <f t="shared" si="4"/>
        <v>61.797165159989525</v>
      </c>
      <c r="N22" s="13">
        <f t="shared" si="5"/>
        <v>2028.0714952998483</v>
      </c>
      <c r="O22" s="13">
        <f t="shared" si="6"/>
        <v>2015.7133543821656</v>
      </c>
      <c r="P22" s="13">
        <f>1/Germany!R99</f>
        <v>0.89185789095539536</v>
      </c>
      <c r="R22">
        <v>2027</v>
      </c>
      <c r="S22" s="13">
        <v>35.900471373939567</v>
      </c>
      <c r="T22" s="13">
        <v>32.279020304359399</v>
      </c>
      <c r="U22" s="13">
        <v>30.092367707822046</v>
      </c>
      <c r="W22">
        <v>2027</v>
      </c>
      <c r="X22" s="13">
        <v>16.485958406341044</v>
      </c>
      <c r="Y22" s="13">
        <f t="shared" si="13"/>
        <v>32.279020304359399</v>
      </c>
      <c r="Z22" s="13">
        <v>52.620526722704241</v>
      </c>
      <c r="AB22" s="13">
        <f t="shared" si="1"/>
        <v>59.291711169072009</v>
      </c>
      <c r="AC22" s="13"/>
      <c r="AE22" s="33">
        <f t="shared" si="0"/>
        <v>2.3405502189012708</v>
      </c>
      <c r="AG22">
        <v>18</v>
      </c>
      <c r="AH22">
        <v>0</v>
      </c>
      <c r="AI22">
        <v>0</v>
      </c>
    </row>
    <row r="23" spans="1:35">
      <c r="A23">
        <v>2028</v>
      </c>
      <c r="B23" s="13"/>
      <c r="C23" s="13">
        <f t="shared" si="15"/>
        <v>37.472066512159685</v>
      </c>
      <c r="D23" s="84">
        <f t="shared" si="8"/>
        <v>37.999963682703694</v>
      </c>
      <c r="E23" s="84">
        <f>J23-SUM(F$7:F23)</f>
        <v>0.34174699291913191</v>
      </c>
      <c r="F23" s="13">
        <f t="shared" si="9"/>
        <v>0.32614473751917267</v>
      </c>
      <c r="G23" s="13">
        <f t="shared" si="10"/>
        <v>0.905957604219924</v>
      </c>
      <c r="H23" s="13">
        <f t="shared" si="11"/>
        <v>0.905957604219924</v>
      </c>
      <c r="I23" s="20">
        <f>I22+(I35-I15)/20</f>
        <v>0.36000000000000004</v>
      </c>
      <c r="J23" s="13">
        <f t="shared" si="14"/>
        <v>3.2683247523108943</v>
      </c>
      <c r="K23" s="13"/>
      <c r="L23" s="84">
        <f t="shared" si="16"/>
        <v>62.616192134456071</v>
      </c>
      <c r="M23" s="13">
        <f t="shared" si="4"/>
        <v>63.235660781813245</v>
      </c>
      <c r="N23" s="13">
        <f t="shared" si="5"/>
        <v>2029.2879348302154</v>
      </c>
      <c r="O23" s="13">
        <f t="shared" si="6"/>
        <v>2015.4969148517985</v>
      </c>
      <c r="P23" s="13">
        <f>1/Germany!R100</f>
        <v>0.87178728126597715</v>
      </c>
      <c r="R23">
        <v>2028</v>
      </c>
      <c r="S23" s="13">
        <v>41.501939606471026</v>
      </c>
      <c r="T23" s="13">
        <v>37.472066512159685</v>
      </c>
      <c r="U23" s="13">
        <v>34.808012923736747</v>
      </c>
      <c r="W23">
        <v>2028</v>
      </c>
      <c r="X23" s="13">
        <v>19.242309073151343</v>
      </c>
      <c r="Y23" s="13">
        <f t="shared" si="13"/>
        <v>37.472066512159685</v>
      </c>
      <c r="Z23" s="13">
        <v>57.661855100559379</v>
      </c>
      <c r="AB23" s="13">
        <f t="shared" si="1"/>
        <v>61.797165159989525</v>
      </c>
      <c r="AC23" s="13"/>
      <c r="AE23" s="33">
        <f t="shared" si="0"/>
        <v>2.9598211870717375</v>
      </c>
      <c r="AG23">
        <v>19</v>
      </c>
      <c r="AH23">
        <v>0</v>
      </c>
      <c r="AI23">
        <v>0</v>
      </c>
    </row>
    <row r="24" spans="1:35">
      <c r="A24">
        <v>2029</v>
      </c>
      <c r="B24" s="13"/>
      <c r="C24" s="13">
        <f t="shared" si="15"/>
        <v>42.873198148679599</v>
      </c>
      <c r="D24" s="84">
        <f t="shared" si="8"/>
        <v>43.084772226399672</v>
      </c>
      <c r="E24" s="84">
        <f>J24-SUM(F$7:F24)</f>
        <v>0.6759878947486162</v>
      </c>
      <c r="F24" s="13">
        <f t="shared" si="9"/>
        <v>0.31103310370226728</v>
      </c>
      <c r="G24" s="13">
        <f t="shared" si="10"/>
        <v>0.84634858150276793</v>
      </c>
      <c r="H24" s="13">
        <f t="shared" si="11"/>
        <v>0.84634858150276793</v>
      </c>
      <c r="I24" s="20">
        <f>I23+(I35-I15)/20</f>
        <v>0.36750000000000005</v>
      </c>
      <c r="J24" s="13">
        <f t="shared" si="14"/>
        <v>3.9135987578426459</v>
      </c>
      <c r="K24" s="13"/>
      <c r="L24" s="84">
        <f t="shared" si="16"/>
        <v>63.727457639593823</v>
      </c>
      <c r="M24" s="13">
        <f t="shared" si="4"/>
        <v>64.038138020406834</v>
      </c>
      <c r="N24" s="13">
        <f t="shared" si="5"/>
        <v>2030.4807802257794</v>
      </c>
      <c r="O24" s="13">
        <f t="shared" si="6"/>
        <v>2015.3040694562344</v>
      </c>
      <c r="P24" s="13">
        <f>1/Germany!R101</f>
        <v>0.85390457445083034</v>
      </c>
      <c r="R24">
        <v>2029</v>
      </c>
      <c r="S24" s="13">
        <v>46.77286972305852</v>
      </c>
      <c r="T24" s="13">
        <v>42.873198148679599</v>
      </c>
      <c r="U24" s="13">
        <v>39.523495575358801</v>
      </c>
      <c r="W24">
        <v>2029</v>
      </c>
      <c r="X24" s="13">
        <v>22.291204729267154</v>
      </c>
      <c r="Y24" s="13">
        <f t="shared" si="13"/>
        <v>42.873198148679599</v>
      </c>
      <c r="Z24" s="13">
        <v>61.380880895328104</v>
      </c>
      <c r="AB24" s="13">
        <f t="shared" si="1"/>
        <v>63.235660781813245</v>
      </c>
      <c r="AC24" s="13"/>
      <c r="AE24" s="33">
        <f t="shared" si="0"/>
        <v>3.5790921552422024</v>
      </c>
      <c r="AG24">
        <v>20</v>
      </c>
      <c r="AH24">
        <v>0</v>
      </c>
      <c r="AI24">
        <v>0</v>
      </c>
    </row>
    <row r="25" spans="1:35">
      <c r="A25" s="14">
        <v>2030</v>
      </c>
      <c r="B25" s="13"/>
      <c r="C25" s="20">
        <f t="shared" si="15"/>
        <v>47.811686522248429</v>
      </c>
      <c r="D25" s="84">
        <f t="shared" si="8"/>
        <v>48.373029919057309</v>
      </c>
      <c r="E25" s="84">
        <f>J25-SUM(F$7:F25)</f>
        <v>1.0679163447026565</v>
      </c>
      <c r="F25" s="13">
        <f t="shared" si="9"/>
        <v>0.2921532080485702</v>
      </c>
      <c r="G25" s="13">
        <f t="shared" si="10"/>
        <v>0.7790752214628538</v>
      </c>
      <c r="H25" s="13">
        <f t="shared" si="11"/>
        <v>0.7790752214628538</v>
      </c>
      <c r="I25" s="20">
        <f>I24+(I35-I15)/20</f>
        <v>0.37500000000000006</v>
      </c>
      <c r="J25" s="13">
        <f t="shared" si="14"/>
        <v>4.5976804158452564</v>
      </c>
      <c r="K25" s="13"/>
      <c r="L25" s="84">
        <f t="shared" si="16"/>
        <v>64.351645658365641</v>
      </c>
      <c r="M25" s="13">
        <f t="shared" si="4"/>
        <v>64.71828554099875</v>
      </c>
      <c r="N25" s="13">
        <f t="shared" si="5"/>
        <v>2031.6984210649753</v>
      </c>
      <c r="O25" s="13">
        <f t="shared" si="6"/>
        <v>2015.0864286170386</v>
      </c>
      <c r="P25" s="13">
        <f>1/Germany!R102</f>
        <v>0.83372256643885612</v>
      </c>
      <c r="R25" s="87">
        <v>2030</v>
      </c>
      <c r="S25" s="13">
        <v>51.212614342285221</v>
      </c>
      <c r="T25" s="13">
        <v>47.811686522248429</v>
      </c>
      <c r="U25" s="13">
        <v>44.047390611418123</v>
      </c>
      <c r="W25" s="87">
        <v>2030</v>
      </c>
      <c r="X25" s="13">
        <v>25.441453059378002</v>
      </c>
      <c r="Y25" s="13">
        <f t="shared" si="13"/>
        <v>47.811686522248429</v>
      </c>
      <c r="Z25" s="13">
        <v>63.346940780008381</v>
      </c>
      <c r="AB25" s="13">
        <f t="shared" si="1"/>
        <v>64.038138020406834</v>
      </c>
      <c r="AC25" s="13"/>
      <c r="AE25" s="33">
        <f t="shared" si="0"/>
        <v>4.1983631234126673</v>
      </c>
      <c r="AG25">
        <v>21</v>
      </c>
      <c r="AH25">
        <v>0</v>
      </c>
      <c r="AI25">
        <v>0</v>
      </c>
    </row>
    <row r="26" spans="1:35">
      <c r="A26">
        <v>2031</v>
      </c>
      <c r="C26" s="13">
        <f t="shared" si="15"/>
        <v>51.814082722476925</v>
      </c>
      <c r="D26" s="84">
        <f>65*EXP(E26)/(1+EXP(E26))</f>
        <v>53.446054485448201</v>
      </c>
      <c r="E26" s="84">
        <f>J26-SUM(F$7:F26)</f>
        <v>1.5316458361968421</v>
      </c>
      <c r="F26" s="13">
        <f t="shared" si="9"/>
        <v>0.29799627220954161</v>
      </c>
      <c r="G26" s="13">
        <f t="shared" si="10"/>
        <v>0.7790752214628538</v>
      </c>
      <c r="H26" s="13">
        <f t="shared" si="11"/>
        <v>0.7790752214628538</v>
      </c>
      <c r="I26" s="20">
        <f>I25+(I35-I15)/20</f>
        <v>0.38250000000000006</v>
      </c>
      <c r="J26" s="13">
        <f t="shared" si="14"/>
        <v>5.3594061795489836</v>
      </c>
      <c r="K26" s="13"/>
      <c r="L26" s="84">
        <f t="shared" si="16"/>
        <v>64.695690979861382</v>
      </c>
      <c r="M26" s="13">
        <f t="shared" si="4"/>
        <v>64.84803869476076</v>
      </c>
      <c r="N26" s="13">
        <f t="shared" si="5"/>
        <v>2032.6984210649753</v>
      </c>
      <c r="O26" s="13">
        <f t="shared" si="6"/>
        <v>2015.0864286170386</v>
      </c>
      <c r="P26" s="13">
        <f>P25</f>
        <v>0.83372256643885612</v>
      </c>
      <c r="R26">
        <v>2031</v>
      </c>
      <c r="S26" s="13">
        <v>55.063864354505071</v>
      </c>
      <c r="T26" s="13">
        <v>51.814082722476925</v>
      </c>
      <c r="U26" s="13">
        <v>48.097044919736291</v>
      </c>
      <c r="W26">
        <v>2031</v>
      </c>
      <c r="X26" s="13">
        <v>28.750224657791517</v>
      </c>
      <c r="Y26" s="13">
        <f t="shared" si="13"/>
        <v>51.814082722476925</v>
      </c>
      <c r="Z26" s="13">
        <v>64.234547878189559</v>
      </c>
      <c r="AB26" s="13">
        <f t="shared" si="1"/>
        <v>64.478632546612985</v>
      </c>
      <c r="AC26" s="13"/>
      <c r="AE26" s="33">
        <f t="shared" si="0"/>
        <v>4.8176340915831322</v>
      </c>
      <c r="AG26">
        <v>22</v>
      </c>
      <c r="AH26">
        <v>0</v>
      </c>
      <c r="AI26">
        <v>0</v>
      </c>
    </row>
    <row r="27" spans="1:35">
      <c r="A27">
        <v>2032</v>
      </c>
      <c r="C27" s="13">
        <f t="shared" si="15"/>
        <v>55.270760789028323</v>
      </c>
      <c r="D27" s="84">
        <f t="shared" si="8"/>
        <v>58.453174825769189</v>
      </c>
      <c r="E27" s="84">
        <f>J27-SUM(F$7:F27)</f>
        <v>2.189245777478857</v>
      </c>
      <c r="F27" s="13">
        <f t="shared" si="9"/>
        <v>0.30383933637051302</v>
      </c>
      <c r="G27" s="13">
        <f t="shared" si="10"/>
        <v>0.7790752214628538</v>
      </c>
      <c r="H27" s="13">
        <f t="shared" si="11"/>
        <v>0.7790752214628538</v>
      </c>
      <c r="I27" s="20">
        <f>I26+(I35-I15)/20</f>
        <v>0.39000000000000007</v>
      </c>
      <c r="J27" s="13">
        <f t="shared" si="14"/>
        <v>6.3208454572015116</v>
      </c>
      <c r="K27" s="13"/>
      <c r="L27" s="84">
        <f t="shared" si="16"/>
        <v>64.883312399272342</v>
      </c>
      <c r="M27" s="13">
        <f t="shared" si="4"/>
        <v>64.918105253848566</v>
      </c>
      <c r="N27" s="13">
        <f t="shared" si="5"/>
        <v>2033.6984210649753</v>
      </c>
      <c r="O27" s="13">
        <f t="shared" si="6"/>
        <v>2015.0864286170386</v>
      </c>
      <c r="P27" s="13">
        <f t="shared" ref="P27:P50" si="17">P26</f>
        <v>0.83372256643885612</v>
      </c>
      <c r="R27">
        <v>2032</v>
      </c>
      <c r="S27" s="13">
        <v>58.169777286194467</v>
      </c>
      <c r="T27" s="13">
        <v>55.270760789028323</v>
      </c>
      <c r="U27" s="13">
        <v>51.177305825814109</v>
      </c>
      <c r="W27">
        <v>2032</v>
      </c>
      <c r="X27" s="13">
        <v>32.125054493140027</v>
      </c>
      <c r="Y27" s="13">
        <f t="shared" si="13"/>
        <v>55.270760789028323</v>
      </c>
      <c r="Z27" s="13">
        <v>64.675992172804143</v>
      </c>
      <c r="AB27" s="13">
        <f t="shared" si="1"/>
        <v>64.71828554099875</v>
      </c>
      <c r="AC27" s="13"/>
      <c r="AE27" s="33">
        <f t="shared" si="0"/>
        <v>5.4369050597535971</v>
      </c>
      <c r="AG27">
        <v>23</v>
      </c>
      <c r="AH27">
        <v>0</v>
      </c>
      <c r="AI27">
        <v>0</v>
      </c>
    </row>
    <row r="28" spans="1:35">
      <c r="A28">
        <v>2033</v>
      </c>
      <c r="C28" s="13">
        <f t="shared" si="15"/>
        <v>58.099140083468527</v>
      </c>
      <c r="D28" s="84">
        <f t="shared" si="8"/>
        <v>60.061475973817629</v>
      </c>
      <c r="E28" s="84">
        <f>J28-SUM(F$7:F28)</f>
        <v>2.4983021308107318</v>
      </c>
      <c r="F28" s="13">
        <f t="shared" si="9"/>
        <v>0.30968240053148444</v>
      </c>
      <c r="G28" s="13">
        <f t="shared" si="10"/>
        <v>0.7790752214628538</v>
      </c>
      <c r="H28" s="13">
        <f t="shared" si="11"/>
        <v>0.7790752214628538</v>
      </c>
      <c r="I28" s="20">
        <f>I27+(I35-I15)/20</f>
        <v>0.39750000000000008</v>
      </c>
      <c r="J28" s="13">
        <f t="shared" si="14"/>
        <v>6.9395842110648704</v>
      </c>
      <c r="K28" s="13"/>
      <c r="L28" s="84">
        <f t="shared" si="16"/>
        <v>64.937097234182787</v>
      </c>
      <c r="M28" s="13">
        <f t="shared" si="4"/>
        <v>64.955887389291988</v>
      </c>
      <c r="N28" s="13">
        <f t="shared" si="5"/>
        <v>2034.6984210649753</v>
      </c>
      <c r="O28" s="13">
        <f t="shared" si="6"/>
        <v>2015.0864286170386</v>
      </c>
      <c r="P28" s="13">
        <f t="shared" si="17"/>
        <v>0.83372256643885612</v>
      </c>
      <c r="R28">
        <v>2033</v>
      </c>
      <c r="S28" s="13">
        <v>60.40470318269395</v>
      </c>
      <c r="T28" s="13">
        <v>58.099140083468527</v>
      </c>
      <c r="U28" s="13">
        <v>53.856035892692134</v>
      </c>
      <c r="W28">
        <v>2033</v>
      </c>
      <c r="X28" s="13">
        <v>35.469152800796294</v>
      </c>
      <c r="Y28" s="13">
        <f t="shared" si="13"/>
        <v>58.099140083468527</v>
      </c>
      <c r="Z28" s="13">
        <v>64.843198284103025</v>
      </c>
      <c r="AB28" s="13">
        <f t="shared" si="1"/>
        <v>64.84803869476076</v>
      </c>
      <c r="AC28" s="13"/>
      <c r="AE28" s="33">
        <f t="shared" si="0"/>
        <v>6.056176027924062</v>
      </c>
      <c r="AG28">
        <v>24</v>
      </c>
      <c r="AH28">
        <v>0</v>
      </c>
      <c r="AI28">
        <v>0</v>
      </c>
    </row>
    <row r="29" spans="1:35">
      <c r="A29">
        <v>2034</v>
      </c>
      <c r="C29" s="13">
        <f t="shared" si="15"/>
        <v>60.245447499995393</v>
      </c>
      <c r="D29" s="84">
        <f t="shared" si="8"/>
        <v>61.280107944142799</v>
      </c>
      <c r="E29" s="84">
        <f>J29-SUM(F$7:F29)</f>
        <v>2.801760636300008</v>
      </c>
      <c r="F29" s="13">
        <f t="shared" si="9"/>
        <v>0.31552546469245585</v>
      </c>
      <c r="G29" s="13">
        <f t="shared" si="10"/>
        <v>0.7790752214628538</v>
      </c>
      <c r="H29" s="13">
        <f t="shared" si="11"/>
        <v>0.7790752214628538</v>
      </c>
      <c r="I29" s="20">
        <f>I28+(I35-I15)/20</f>
        <v>0.40500000000000008</v>
      </c>
      <c r="J29" s="13">
        <f t="shared" si="14"/>
        <v>7.5585681812466028</v>
      </c>
      <c r="K29" s="13"/>
      <c r="L29" s="84">
        <f t="shared" si="16"/>
        <v>64.966112274063605</v>
      </c>
      <c r="M29" s="13">
        <f t="shared" si="4"/>
        <v>64.976245117461644</v>
      </c>
      <c r="N29" s="13">
        <f t="shared" si="5"/>
        <v>2035.6984210649753</v>
      </c>
      <c r="O29" s="13">
        <f t="shared" si="6"/>
        <v>2015.0864286170386</v>
      </c>
      <c r="P29" s="13">
        <f t="shared" si="17"/>
        <v>0.83372256643885612</v>
      </c>
      <c r="R29">
        <v>2034</v>
      </c>
      <c r="S29" s="13">
        <v>61.65904423470996</v>
      </c>
      <c r="T29" s="13">
        <v>60.245447499995393</v>
      </c>
      <c r="U29" s="13">
        <v>56.086928220109385</v>
      </c>
      <c r="W29">
        <v>2034</v>
      </c>
      <c r="X29" s="13">
        <v>38.694943377314083</v>
      </c>
      <c r="Y29" s="13">
        <f t="shared" si="13"/>
        <v>60.245447499995393</v>
      </c>
      <c r="Z29" s="13">
        <v>64.927864694301761</v>
      </c>
      <c r="AB29" s="13">
        <f t="shared" si="1"/>
        <v>64.918105253848566</v>
      </c>
      <c r="AC29" s="13"/>
      <c r="AE29" s="33">
        <f t="shared" si="0"/>
        <v>6.6754469960945286</v>
      </c>
      <c r="AG29">
        <v>25</v>
      </c>
      <c r="AH29">
        <v>0</v>
      </c>
      <c r="AI29">
        <v>0</v>
      </c>
    </row>
    <row r="30" spans="1:35">
      <c r="A30">
        <v>2035</v>
      </c>
      <c r="C30" s="13">
        <f t="shared" si="15"/>
        <v>61.721967468788776</v>
      </c>
      <c r="D30" s="84">
        <f t="shared" si="8"/>
        <v>62.196710148563447</v>
      </c>
      <c r="E30" s="84">
        <f>J30-SUM(F$7:F30)</f>
        <v>3.0995084324313114</v>
      </c>
      <c r="F30" s="13">
        <f t="shared" si="9"/>
        <v>0.32136852885342726</v>
      </c>
      <c r="G30" s="13">
        <f t="shared" si="10"/>
        <v>0.7790752214628538</v>
      </c>
      <c r="H30" s="13">
        <f t="shared" si="11"/>
        <v>0.7790752214628538</v>
      </c>
      <c r="I30" s="20">
        <f>I29+(I35-I15)/20</f>
        <v>0.41250000000000009</v>
      </c>
      <c r="J30" s="13">
        <f t="shared" si="14"/>
        <v>8.1776845062313335</v>
      </c>
      <c r="K30" s="13"/>
      <c r="L30" s="84">
        <f t="shared" si="16"/>
        <v>64.981749778251086</v>
      </c>
      <c r="M30" s="13">
        <f t="shared" si="4"/>
        <v>64.987209715550918</v>
      </c>
      <c r="N30" s="13">
        <f t="shared" si="5"/>
        <v>2036.6984210649753</v>
      </c>
      <c r="O30" s="13">
        <f t="shared" si="6"/>
        <v>2015.0864286170386</v>
      </c>
      <c r="P30" s="13">
        <f t="shared" si="17"/>
        <v>0.83372256643885612</v>
      </c>
      <c r="R30">
        <v>2035</v>
      </c>
      <c r="S30" s="13">
        <v>62.579721337800414</v>
      </c>
      <c r="T30" s="13">
        <v>61.721967468788776</v>
      </c>
      <c r="U30" s="13">
        <v>57.90859293278254</v>
      </c>
      <c r="W30">
        <v>2035</v>
      </c>
      <c r="X30" s="13">
        <v>41.732610037824053</v>
      </c>
      <c r="Y30" s="13">
        <f t="shared" si="13"/>
        <v>61.721967468788776</v>
      </c>
      <c r="Z30" s="13">
        <v>64.967402919088627</v>
      </c>
      <c r="AB30" s="13">
        <f t="shared" si="1"/>
        <v>64.955887389291988</v>
      </c>
      <c r="AC30" s="13"/>
      <c r="AE30" s="33">
        <f t="shared" si="0"/>
        <v>7.2947179642649917</v>
      </c>
      <c r="AG30">
        <v>26</v>
      </c>
      <c r="AH30">
        <v>0</v>
      </c>
      <c r="AI30">
        <v>0</v>
      </c>
    </row>
    <row r="31" spans="1:35">
      <c r="A31">
        <v>2036</v>
      </c>
      <c r="C31" s="13">
        <f t="shared" si="15"/>
        <v>62.524367834205222</v>
      </c>
      <c r="D31" s="84">
        <f t="shared" si="8"/>
        <v>62.883427287481119</v>
      </c>
      <c r="E31" s="84">
        <f>J31-SUM(F$7:F31)</f>
        <v>3.3914845163786635</v>
      </c>
      <c r="F31" s="13">
        <f t="shared" si="9"/>
        <v>0.32721159301439867</v>
      </c>
      <c r="G31" s="13">
        <f t="shared" si="10"/>
        <v>0.7790752214628538</v>
      </c>
      <c r="H31" s="13">
        <f t="shared" si="11"/>
        <v>0.7790752214628538</v>
      </c>
      <c r="I31" s="20">
        <f>I30+(I35-I15)/20</f>
        <v>0.4200000000000001</v>
      </c>
      <c r="J31" s="13">
        <f t="shared" si="14"/>
        <v>8.7968721831930843</v>
      </c>
      <c r="K31" s="13"/>
      <c r="L31" s="84">
        <f t="shared" si="16"/>
        <v>64.990173142761137</v>
      </c>
      <c r="M31" s="13">
        <f t="shared" si="4"/>
        <v>64.993113894164921</v>
      </c>
      <c r="N31" s="13">
        <f t="shared" si="5"/>
        <v>2037.6984210649753</v>
      </c>
      <c r="O31" s="13">
        <f t="shared" si="6"/>
        <v>2015.0864286170386</v>
      </c>
      <c r="P31" s="13">
        <f t="shared" si="17"/>
        <v>0.83372256643885612</v>
      </c>
      <c r="R31">
        <v>2036</v>
      </c>
      <c r="S31" s="13">
        <v>63.248701244848561</v>
      </c>
      <c r="T31" s="13">
        <v>62.524367834205222</v>
      </c>
      <c r="U31" s="13">
        <v>59.374042612585292</v>
      </c>
      <c r="W31">
        <v>2036</v>
      </c>
      <c r="X31" s="13">
        <v>44.533522115753286</v>
      </c>
      <c r="Y31" s="13">
        <f t="shared" si="13"/>
        <v>62.524367834205222</v>
      </c>
      <c r="Z31" s="13">
        <v>64.982442069612034</v>
      </c>
      <c r="AB31" s="13">
        <f t="shared" si="1"/>
        <v>64.976245117461644</v>
      </c>
      <c r="AC31" s="13"/>
      <c r="AE31" s="33">
        <f t="shared" si="0"/>
        <v>7.9139889324354602</v>
      </c>
      <c r="AG31">
        <v>27</v>
      </c>
      <c r="AH31">
        <v>0</v>
      </c>
      <c r="AI31">
        <v>0</v>
      </c>
    </row>
    <row r="32" spans="1:35">
      <c r="A32">
        <v>2037</v>
      </c>
      <c r="C32" s="13">
        <f t="shared" si="15"/>
        <v>63.127970905709084</v>
      </c>
      <c r="D32" s="84">
        <f t="shared" si="8"/>
        <v>63.397181834745311</v>
      </c>
      <c r="E32" s="84">
        <f>J32-SUM(F$7:F32)</f>
        <v>3.6776559767328862</v>
      </c>
      <c r="F32" s="13">
        <f t="shared" si="9"/>
        <v>0.33305465717537008</v>
      </c>
      <c r="G32" s="13">
        <f t="shared" si="10"/>
        <v>0.7790752214628538</v>
      </c>
      <c r="H32" s="13">
        <f t="shared" si="11"/>
        <v>0.7790752214628538</v>
      </c>
      <c r="I32" s="20">
        <f>I31+(I35-I15)/20</f>
        <v>0.4275000000000001</v>
      </c>
      <c r="J32" s="13">
        <f t="shared" si="14"/>
        <v>9.4160983007226768</v>
      </c>
      <c r="K32" s="13"/>
      <c r="L32" s="84">
        <f t="shared" si="16"/>
        <v>64.994709234997003</v>
      </c>
      <c r="M32" s="13">
        <f t="shared" si="4"/>
        <v>64.996292774785871</v>
      </c>
      <c r="N32" s="13">
        <f t="shared" si="5"/>
        <v>2038.6984210649753</v>
      </c>
      <c r="O32" s="13">
        <f t="shared" si="6"/>
        <v>2015.0864286170386</v>
      </c>
      <c r="P32" s="13">
        <f t="shared" si="17"/>
        <v>0.83372256643885612</v>
      </c>
      <c r="R32">
        <v>2037</v>
      </c>
      <c r="S32" s="13">
        <v>63.731922119311712</v>
      </c>
      <c r="T32" s="13">
        <v>63.127970905709084</v>
      </c>
      <c r="U32" s="13">
        <v>60.540345497651643</v>
      </c>
      <c r="W32">
        <v>2037</v>
      </c>
      <c r="X32" s="13">
        <v>47.069865098779914</v>
      </c>
      <c r="Y32" s="13">
        <f t="shared" si="13"/>
        <v>63.127970905709084</v>
      </c>
      <c r="Z32" s="13">
        <v>64.9905450996078</v>
      </c>
      <c r="AB32" s="13">
        <f t="shared" si="1"/>
        <v>64.987209715550918</v>
      </c>
      <c r="AC32" s="13"/>
      <c r="AE32" s="33">
        <f t="shared" si="0"/>
        <v>8.5332599006059251</v>
      </c>
      <c r="AG32">
        <v>28</v>
      </c>
      <c r="AH32">
        <v>0</v>
      </c>
      <c r="AI32">
        <v>0</v>
      </c>
    </row>
    <row r="33" spans="1:35">
      <c r="A33">
        <v>2038</v>
      </c>
      <c r="C33" s="13">
        <f t="shared" si="15"/>
        <v>63.581291004702464</v>
      </c>
      <c r="D33" s="84">
        <f t="shared" si="8"/>
        <v>63.781694267001903</v>
      </c>
      <c r="E33" s="84">
        <f>J33-SUM(F$7:F33)</f>
        <v>3.9580050753624629</v>
      </c>
      <c r="F33" s="13">
        <f t="shared" si="9"/>
        <v>0.3388977213363415</v>
      </c>
      <c r="G33" s="13">
        <f t="shared" si="10"/>
        <v>0.7790752214628538</v>
      </c>
      <c r="H33" s="13">
        <f t="shared" si="11"/>
        <v>0.7790752214628538</v>
      </c>
      <c r="I33" s="20">
        <f>I32+(I35-I15)/20</f>
        <v>0.43500000000000011</v>
      </c>
      <c r="J33" s="13">
        <f t="shared" si="14"/>
        <v>10.035345120688595</v>
      </c>
      <c r="K33" s="13"/>
      <c r="L33" s="84">
        <f t="shared" si="16"/>
        <v>64.997151610901568</v>
      </c>
      <c r="M33" s="13">
        <f t="shared" si="4"/>
        <v>64.998004211842257</v>
      </c>
      <c r="N33" s="13">
        <f t="shared" si="5"/>
        <v>2039.6984210649753</v>
      </c>
      <c r="O33" s="13">
        <f t="shared" si="6"/>
        <v>2015.0864286170386</v>
      </c>
      <c r="P33" s="13">
        <f t="shared" si="17"/>
        <v>0.83372256643885612</v>
      </c>
      <c r="R33">
        <v>2038</v>
      </c>
      <c r="S33" s="13">
        <v>64.080197815180924</v>
      </c>
      <c r="T33" s="13">
        <v>63.581291004702464</v>
      </c>
      <c r="U33" s="13">
        <v>61.46337022602895</v>
      </c>
      <c r="W33">
        <v>2038</v>
      </c>
      <c r="X33" s="13">
        <v>49.34096966866381</v>
      </c>
      <c r="Y33" s="13">
        <f t="shared" si="13"/>
        <v>63.581291004702464</v>
      </c>
      <c r="Z33" s="13">
        <v>64.99490926151887</v>
      </c>
      <c r="AB33" s="13">
        <f t="shared" si="1"/>
        <v>64.993113894164921</v>
      </c>
      <c r="AC33" s="13"/>
      <c r="AE33" s="33">
        <f t="shared" si="0"/>
        <v>9.15253086877639</v>
      </c>
      <c r="AG33">
        <v>29</v>
      </c>
      <c r="AH33">
        <v>0</v>
      </c>
      <c r="AI33">
        <v>0</v>
      </c>
    </row>
    <row r="34" spans="1:35">
      <c r="A34">
        <v>2039</v>
      </c>
      <c r="C34" s="13">
        <f t="shared" si="15"/>
        <v>63.921949390789045</v>
      </c>
      <c r="D34" s="84">
        <f t="shared" si="8"/>
        <v>64.069977383684318</v>
      </c>
      <c r="E34" s="84">
        <f>J34-SUM(F$7:F34)</f>
        <v>4.2325222571685259</v>
      </c>
      <c r="F34" s="13">
        <f t="shared" si="9"/>
        <v>0.34474078549731291</v>
      </c>
      <c r="G34" s="13">
        <f t="shared" si="10"/>
        <v>0.7790752214628538</v>
      </c>
      <c r="H34" s="13">
        <f t="shared" si="11"/>
        <v>0.7790752214628538</v>
      </c>
      <c r="I34" s="20">
        <f>I33+(I35-I15)/20</f>
        <v>0.44250000000000012</v>
      </c>
      <c r="J34" s="13">
        <f t="shared" si="14"/>
        <v>10.654603087991971</v>
      </c>
      <c r="K34" s="13"/>
      <c r="L34" s="84">
        <f t="shared" si="16"/>
        <v>64.998466556486051</v>
      </c>
      <c r="M34" s="13">
        <f t="shared" si="4"/>
        <v>64.998925578641064</v>
      </c>
      <c r="N34" s="13">
        <f t="shared" si="5"/>
        <v>2040.6984210649753</v>
      </c>
      <c r="O34" s="13">
        <f t="shared" si="6"/>
        <v>2015.0864286170386</v>
      </c>
      <c r="P34" s="13">
        <f t="shared" si="17"/>
        <v>0.83372256643885612</v>
      </c>
      <c r="R34">
        <v>2039</v>
      </c>
      <c r="S34" s="13">
        <v>64.331238042899457</v>
      </c>
      <c r="T34" s="13">
        <v>63.921949390789045</v>
      </c>
      <c r="U34" s="13">
        <v>62.191952699148814</v>
      </c>
      <c r="W34">
        <v>2039</v>
      </c>
      <c r="X34" s="13">
        <v>51.357406349636328</v>
      </c>
      <c r="Y34" s="13">
        <f t="shared" si="13"/>
        <v>63.921949390789045</v>
      </c>
      <c r="Z34" s="13">
        <v>64.997259231193212</v>
      </c>
      <c r="AB34" s="13">
        <f t="shared" si="1"/>
        <v>64.996292774785871</v>
      </c>
      <c r="AC34" s="13"/>
      <c r="AE34" s="33">
        <f t="shared" si="0"/>
        <v>9.7718018369468549</v>
      </c>
      <c r="AG34">
        <v>30</v>
      </c>
      <c r="AH34">
        <v>0</v>
      </c>
      <c r="AI34">
        <v>0</v>
      </c>
    </row>
    <row r="35" spans="1:35">
      <c r="A35">
        <v>2040</v>
      </c>
      <c r="C35" s="13">
        <f t="shared" si="15"/>
        <v>64.178528452075398</v>
      </c>
      <c r="D35" s="84">
        <f>65*EXP(E35)/(1+EXP(E35))</f>
        <v>64.286697474344692</v>
      </c>
      <c r="E35" s="84">
        <f>J35-SUM(F$7:F35)</f>
        <v>4.5012023765381288</v>
      </c>
      <c r="F35" s="13">
        <f t="shared" si="9"/>
        <v>0.35058384965828421</v>
      </c>
      <c r="G35" s="13">
        <f t="shared" si="10"/>
        <v>0.7790752214628538</v>
      </c>
      <c r="H35" s="13">
        <f t="shared" si="11"/>
        <v>0.7790752214628538</v>
      </c>
      <c r="I35" s="89">
        <v>0.45</v>
      </c>
      <c r="J35" s="13">
        <f t="shared" si="14"/>
        <v>11.273867057019858</v>
      </c>
      <c r="K35" s="13"/>
      <c r="L35" s="84">
        <f t="shared" si="16"/>
        <v>64.999174476219451</v>
      </c>
      <c r="M35" s="13">
        <f t="shared" si="4"/>
        <v>64.999421595073755</v>
      </c>
      <c r="N35" s="13">
        <f t="shared" si="5"/>
        <v>2041.6984210649753</v>
      </c>
      <c r="O35" s="13">
        <f t="shared" si="6"/>
        <v>2015.0864286170386</v>
      </c>
      <c r="P35" s="13">
        <f t="shared" si="17"/>
        <v>0.83372256643885612</v>
      </c>
      <c r="R35" s="87">
        <v>2040</v>
      </c>
      <c r="S35" s="13">
        <v>64.512507916538866</v>
      </c>
      <c r="T35" s="13">
        <v>64.178528452075398</v>
      </c>
      <c r="U35" s="13">
        <v>62.76694686690184</v>
      </c>
      <c r="W35" s="87">
        <v>2040</v>
      </c>
      <c r="X35" s="13">
        <v>53.137338664652034</v>
      </c>
      <c r="Y35" s="13">
        <f t="shared" si="13"/>
        <v>64.178528452075398</v>
      </c>
      <c r="Z35" s="13">
        <v>64.998524474663085</v>
      </c>
      <c r="AB35" s="13">
        <f t="shared" si="1"/>
        <v>64.998004211842257</v>
      </c>
      <c r="AC35" s="13"/>
      <c r="AE35" s="33">
        <f t="shared" si="0"/>
        <v>10.39107280511732</v>
      </c>
      <c r="AG35">
        <v>31</v>
      </c>
      <c r="AH35">
        <v>0</v>
      </c>
      <c r="AI35">
        <v>0</v>
      </c>
    </row>
    <row r="36" spans="1:35">
      <c r="A36">
        <v>2041</v>
      </c>
      <c r="C36" s="13">
        <f t="shared" si="15"/>
        <v>64.372461844428173</v>
      </c>
      <c r="D36" s="84">
        <f t="shared" si="8"/>
        <v>64.45334863709644</v>
      </c>
      <c r="E36" s="84">
        <f>J36-SUM(F$7:F36)</f>
        <v>4.7698857270790018</v>
      </c>
      <c r="F36" s="13">
        <f t="shared" si="9"/>
        <v>0.35058384965828421</v>
      </c>
      <c r="G36" s="13">
        <f t="shared" si="10"/>
        <v>0.7790752214628538</v>
      </c>
      <c r="H36" s="13">
        <f t="shared" si="11"/>
        <v>0.7790752214628538</v>
      </c>
      <c r="I36" s="89">
        <f>I35</f>
        <v>0.45</v>
      </c>
      <c r="J36" s="13">
        <f t="shared" si="14"/>
        <v>11.893134257219016</v>
      </c>
      <c r="K36" s="13"/>
      <c r="L36" s="84">
        <f t="shared" si="16"/>
        <v>64.99955558592309</v>
      </c>
      <c r="M36" s="13">
        <f t="shared" si="4"/>
        <v>64.999688622087319</v>
      </c>
      <c r="N36" s="13">
        <f t="shared" si="5"/>
        <v>2042.6984210649753</v>
      </c>
      <c r="O36" s="13">
        <f t="shared" si="6"/>
        <v>2015.0864286170386</v>
      </c>
      <c r="P36" s="13">
        <f t="shared" si="17"/>
        <v>0.83372256643885612</v>
      </c>
      <c r="R36">
        <v>2041</v>
      </c>
      <c r="S36" s="13">
        <v>64.643783427834848</v>
      </c>
      <c r="T36" s="13">
        <v>64.372461844428173</v>
      </c>
      <c r="U36" s="13">
        <v>63.221522571771615</v>
      </c>
      <c r="W36">
        <v>2041</v>
      </c>
      <c r="X36" s="13">
        <v>54.703254153030286</v>
      </c>
      <c r="Y36" s="13">
        <f t="shared" si="13"/>
        <v>64.372461844428173</v>
      </c>
      <c r="Z36" s="13">
        <v>64.99920565054893</v>
      </c>
      <c r="AB36" s="13">
        <f t="shared" si="1"/>
        <v>64.998925578641064</v>
      </c>
      <c r="AE36" s="33">
        <f t="shared" si="0"/>
        <v>11.010343773287785</v>
      </c>
      <c r="AG36">
        <v>32</v>
      </c>
      <c r="AH36">
        <v>0</v>
      </c>
      <c r="AI36">
        <v>0</v>
      </c>
    </row>
    <row r="37" spans="1:35">
      <c r="A37">
        <v>2042</v>
      </c>
      <c r="C37" s="13">
        <f t="shared" si="15"/>
        <v>64.51969723503025</v>
      </c>
      <c r="D37" s="84">
        <f t="shared" si="8"/>
        <v>64.581318851169556</v>
      </c>
      <c r="E37" s="84">
        <f>J37-SUM(F$7:F37)</f>
        <v>5.0385708171618413</v>
      </c>
      <c r="F37" s="13">
        <f t="shared" si="9"/>
        <v>0.35058384965828421</v>
      </c>
      <c r="G37" s="13">
        <f t="shared" si="10"/>
        <v>0.7790752214628538</v>
      </c>
      <c r="H37" s="13">
        <f t="shared" si="11"/>
        <v>0.7790752214628538</v>
      </c>
      <c r="I37" s="89">
        <f t="shared" ref="I37:I50" si="18">I36</f>
        <v>0.45</v>
      </c>
      <c r="J37" s="13">
        <f t="shared" si="14"/>
        <v>12.51240319696014</v>
      </c>
      <c r="K37" s="13"/>
      <c r="L37" s="84">
        <f t="shared" si="16"/>
        <v>64.999760754325635</v>
      </c>
      <c r="M37" s="13">
        <f t="shared" si="4"/>
        <v>64.999832373452875</v>
      </c>
      <c r="N37" s="13">
        <f t="shared" si="5"/>
        <v>2043.6984210649753</v>
      </c>
      <c r="O37" s="13">
        <f t="shared" si="6"/>
        <v>2015.0864286170386</v>
      </c>
      <c r="P37" s="13">
        <f t="shared" si="17"/>
        <v>0.83372256643885612</v>
      </c>
      <c r="R37">
        <v>2042</v>
      </c>
      <c r="S37" s="13">
        <v>64.739212701165258</v>
      </c>
      <c r="T37" s="13">
        <v>64.51969723503025</v>
      </c>
      <c r="U37" s="13">
        <v>63.582069247951814</v>
      </c>
      <c r="W37">
        <v>2042</v>
      </c>
      <c r="X37" s="13">
        <v>56.07934733555048</v>
      </c>
      <c r="Y37" s="13">
        <f t="shared" si="13"/>
        <v>64.51969723503025</v>
      </c>
      <c r="Z37" s="13">
        <v>64.99957236671672</v>
      </c>
      <c r="AB37" s="13">
        <f t="shared" si="1"/>
        <v>64.999421595073755</v>
      </c>
      <c r="AE37" s="33">
        <f t="shared" si="0"/>
        <v>11.62961474145825</v>
      </c>
      <c r="AG37">
        <v>33</v>
      </c>
      <c r="AH37">
        <v>0</v>
      </c>
      <c r="AI37">
        <v>0</v>
      </c>
    </row>
    <row r="38" spans="1:35">
      <c r="A38">
        <v>2043</v>
      </c>
      <c r="C38" s="13">
        <f t="shared" si="15"/>
        <v>64.63205187542529</v>
      </c>
      <c r="D38" s="84">
        <f t="shared" si="8"/>
        <v>64.679480716485571</v>
      </c>
      <c r="E38" s="84">
        <f>J38-SUM(F$7:F38)</f>
        <v>5.3072568436342795</v>
      </c>
      <c r="F38" s="13">
        <f t="shared" si="9"/>
        <v>0.35058384965828421</v>
      </c>
      <c r="G38" s="13">
        <f t="shared" si="10"/>
        <v>0.7790752214628538</v>
      </c>
      <c r="H38" s="13">
        <f t="shared" si="11"/>
        <v>0.7790752214628538</v>
      </c>
      <c r="I38" s="89">
        <f t="shared" si="18"/>
        <v>0.45</v>
      </c>
      <c r="J38" s="13">
        <f t="shared" si="14"/>
        <v>13.131673073090862</v>
      </c>
      <c r="K38" s="13"/>
      <c r="L38" s="84">
        <f t="shared" si="16"/>
        <v>64.999871204899506</v>
      </c>
      <c r="M38" s="13">
        <f t="shared" si="4"/>
        <v>64.999909760360424</v>
      </c>
      <c r="N38" s="13">
        <f t="shared" si="5"/>
        <v>2044.6984210649753</v>
      </c>
      <c r="O38" s="13">
        <f t="shared" si="6"/>
        <v>2015.0864286170386</v>
      </c>
      <c r="P38" s="13">
        <f t="shared" si="17"/>
        <v>0.83372256643885612</v>
      </c>
      <c r="R38">
        <v>2043</v>
      </c>
      <c r="S38" s="13">
        <v>64.808887476992851</v>
      </c>
      <c r="T38" s="13">
        <v>64.63205187542529</v>
      </c>
      <c r="U38" s="13">
        <v>63.869300104541033</v>
      </c>
      <c r="W38">
        <v>2043</v>
      </c>
      <c r="X38" s="13">
        <v>57.289629469552722</v>
      </c>
      <c r="Y38" s="13">
        <f t="shared" si="13"/>
        <v>64.63205187542529</v>
      </c>
      <c r="Z38" s="13">
        <v>64.999769787610717</v>
      </c>
      <c r="AB38" s="13">
        <f t="shared" si="1"/>
        <v>64.999688622087319</v>
      </c>
      <c r="AE38" s="33">
        <f t="shared" si="0"/>
        <v>12.248885709628714</v>
      </c>
      <c r="AG38">
        <v>34</v>
      </c>
      <c r="AH38">
        <v>0</v>
      </c>
      <c r="AI38">
        <v>0</v>
      </c>
    </row>
    <row r="39" spans="1:35">
      <c r="A39">
        <v>2044</v>
      </c>
      <c r="C39" s="13">
        <f t="shared" si="15"/>
        <v>64.718269853721509</v>
      </c>
      <c r="D39" s="84">
        <f t="shared" si="8"/>
        <v>64.754715581214725</v>
      </c>
      <c r="E39" s="84">
        <f>J39-SUM(F$7:F39)</f>
        <v>5.5759433741885136</v>
      </c>
      <c r="F39" s="13">
        <f t="shared" si="9"/>
        <v>0.35058384965828421</v>
      </c>
      <c r="G39" s="13">
        <f t="shared" si="10"/>
        <v>0.7790752214628538</v>
      </c>
      <c r="H39" s="13">
        <f t="shared" si="11"/>
        <v>0.7790752214628538</v>
      </c>
      <c r="I39" s="89">
        <f t="shared" si="18"/>
        <v>0.45</v>
      </c>
      <c r="J39" s="13">
        <f t="shared" si="14"/>
        <v>13.75094345330338</v>
      </c>
      <c r="K39" s="13"/>
      <c r="L39" s="84">
        <f t="shared" si="16"/>
        <v>64.999930664758807</v>
      </c>
      <c r="M39" s="13">
        <f t="shared" si="4"/>
        <v>64.999951420653758</v>
      </c>
      <c r="N39" s="13">
        <f t="shared" si="5"/>
        <v>2045.6984210649753</v>
      </c>
      <c r="O39" s="13">
        <f t="shared" si="6"/>
        <v>2015.0864286170386</v>
      </c>
      <c r="P39" s="13">
        <f t="shared" si="17"/>
        <v>0.83372256643885612</v>
      </c>
      <c r="R39">
        <v>2044</v>
      </c>
      <c r="S39" s="13">
        <v>64.860001997457701</v>
      </c>
      <c r="T39" s="13">
        <v>64.718269853721509</v>
      </c>
      <c r="U39" s="13">
        <v>64.09933420520403</v>
      </c>
      <c r="W39">
        <v>2044</v>
      </c>
      <c r="X39" s="13">
        <v>58.356705984760033</v>
      </c>
      <c r="Y39" s="13">
        <f t="shared" si="13"/>
        <v>64.718269853721509</v>
      </c>
      <c r="Z39" s="13">
        <v>64.999876067723463</v>
      </c>
      <c r="AB39" s="13">
        <f t="shared" si="1"/>
        <v>64.999832373452875</v>
      </c>
      <c r="AE39" s="33">
        <f t="shared" si="0"/>
        <v>12.868156677799179</v>
      </c>
      <c r="AG39">
        <v>35</v>
      </c>
      <c r="AH39">
        <v>0</v>
      </c>
      <c r="AI39">
        <v>0</v>
      </c>
    </row>
    <row r="40" spans="1:35">
      <c r="A40">
        <v>2045</v>
      </c>
      <c r="C40" s="13">
        <f t="shared" si="15"/>
        <v>64.784370796121877</v>
      </c>
      <c r="D40" s="84">
        <f t="shared" si="8"/>
        <v>64.812342001216493</v>
      </c>
      <c r="E40" s="84">
        <f>J40-SUM(F$7:F40)</f>
        <v>5.8446301764358921</v>
      </c>
      <c r="F40" s="13">
        <f t="shared" si="9"/>
        <v>0.35058384965828421</v>
      </c>
      <c r="G40" s="13">
        <f t="shared" si="10"/>
        <v>0.7790752214628538</v>
      </c>
      <c r="H40" s="13">
        <f t="shared" si="11"/>
        <v>0.7790752214628538</v>
      </c>
      <c r="I40" s="89">
        <f t="shared" si="18"/>
        <v>0.45</v>
      </c>
      <c r="J40" s="13">
        <f t="shared" si="14"/>
        <v>14.370214105209042</v>
      </c>
      <c r="K40" s="13"/>
      <c r="L40" s="84">
        <f t="shared" si="16"/>
        <v>64.999962674260772</v>
      </c>
      <c r="M40" s="13">
        <f t="shared" si="4"/>
        <v>64.999973847943153</v>
      </c>
      <c r="N40" s="13">
        <f t="shared" si="5"/>
        <v>2046.6984210649753</v>
      </c>
      <c r="O40" s="13">
        <f t="shared" si="6"/>
        <v>2015.0864286170386</v>
      </c>
      <c r="P40" s="13">
        <f t="shared" si="17"/>
        <v>0.83372256643885612</v>
      </c>
      <c r="R40">
        <v>2045</v>
      </c>
      <c r="S40" s="13">
        <v>64.897474977913916</v>
      </c>
      <c r="T40" s="13">
        <v>64.784370796121877</v>
      </c>
      <c r="U40" s="13">
        <v>64.283199191631638</v>
      </c>
      <c r="W40">
        <v>2045</v>
      </c>
      <c r="X40" s="13">
        <v>59.292040224394164</v>
      </c>
      <c r="Y40" s="13">
        <f t="shared" si="13"/>
        <v>64.784370796121877</v>
      </c>
      <c r="Z40" s="13">
        <v>64.99993328255934</v>
      </c>
      <c r="AB40" s="13">
        <f t="shared" si="1"/>
        <v>64.999909760360424</v>
      </c>
      <c r="AE40" s="33">
        <f t="shared" si="0"/>
        <v>13.487427645969644</v>
      </c>
      <c r="AG40">
        <v>36</v>
      </c>
      <c r="AH40">
        <v>0</v>
      </c>
      <c r="AI40">
        <v>0</v>
      </c>
    </row>
    <row r="41" spans="1:35">
      <c r="A41">
        <v>2046</v>
      </c>
      <c r="C41" s="13">
        <f t="shared" si="15"/>
        <v>64.835013041277492</v>
      </c>
      <c r="D41" s="84">
        <f t="shared" si="8"/>
        <v>64.856459866449583</v>
      </c>
      <c r="E41" s="84">
        <f>J41-SUM(F$7:F41)</f>
        <v>6.1133171248121059</v>
      </c>
      <c r="F41" s="13">
        <f t="shared" si="9"/>
        <v>0.35058384965828421</v>
      </c>
      <c r="G41" s="13">
        <f t="shared" si="10"/>
        <v>0.7790752214628538</v>
      </c>
      <c r="H41" s="13">
        <f t="shared" si="11"/>
        <v>0.7790752214628538</v>
      </c>
      <c r="I41" s="89">
        <f t="shared" si="18"/>
        <v>0.45</v>
      </c>
      <c r="J41" s="13">
        <f t="shared" si="14"/>
        <v>14.98948490324354</v>
      </c>
      <c r="K41" s="13"/>
      <c r="L41" s="84">
        <f t="shared" si="16"/>
        <v>64.999979906173763</v>
      </c>
      <c r="M41" s="13">
        <f t="shared" si="4"/>
        <v>64.999985921383853</v>
      </c>
      <c r="N41" s="13">
        <f t="shared" si="5"/>
        <v>2047.6984210649753</v>
      </c>
      <c r="O41" s="13">
        <f t="shared" si="6"/>
        <v>2015.0864286170386</v>
      </c>
      <c r="P41" s="13">
        <f t="shared" si="17"/>
        <v>0.83372256643885612</v>
      </c>
      <c r="R41">
        <v>2046</v>
      </c>
      <c r="S41" s="13">
        <v>64.924933434190194</v>
      </c>
      <c r="T41" s="13">
        <v>64.835013041277492</v>
      </c>
      <c r="U41" s="13">
        <v>64.429930027637795</v>
      </c>
      <c r="W41">
        <v>2046</v>
      </c>
      <c r="X41" s="13">
        <v>60.107681099661761</v>
      </c>
      <c r="Y41" s="13">
        <f t="shared" si="13"/>
        <v>64.835013041277492</v>
      </c>
      <c r="Z41" s="13">
        <v>64.999964069266241</v>
      </c>
      <c r="AB41" s="13">
        <f t="shared" si="1"/>
        <v>64.999951420653758</v>
      </c>
      <c r="AE41" s="33">
        <f t="shared" si="0"/>
        <v>14.106698614140109</v>
      </c>
      <c r="AG41">
        <v>37</v>
      </c>
      <c r="AH41">
        <v>0</v>
      </c>
      <c r="AI41">
        <v>0</v>
      </c>
    </row>
    <row r="42" spans="1:35">
      <c r="A42">
        <v>2047</v>
      </c>
      <c r="C42" s="13">
        <f t="shared" si="15"/>
        <v>64.873790991487027</v>
      </c>
      <c r="D42" s="84">
        <f t="shared" si="8"/>
        <v>64.890223322418137</v>
      </c>
      <c r="E42" s="84">
        <f>J42-SUM(F$7:F42)</f>
        <v>6.3820041508290704</v>
      </c>
      <c r="F42" s="13">
        <f t="shared" si="9"/>
        <v>0.35058384965828421</v>
      </c>
      <c r="G42" s="13">
        <f t="shared" si="10"/>
        <v>0.7790752214628538</v>
      </c>
      <c r="H42" s="13">
        <f t="shared" si="11"/>
        <v>0.7790752214628538</v>
      </c>
      <c r="I42" s="89">
        <f t="shared" si="18"/>
        <v>0.45</v>
      </c>
      <c r="J42" s="13">
        <f t="shared" si="14"/>
        <v>15.608755778918788</v>
      </c>
      <c r="K42" s="13"/>
      <c r="L42" s="84">
        <f t="shared" si="16"/>
        <v>64.999989182752159</v>
      </c>
      <c r="M42" s="13">
        <f t="shared" si="4"/>
        <v>64.999992420962656</v>
      </c>
      <c r="N42" s="13">
        <f t="shared" si="5"/>
        <v>2048.6984210649753</v>
      </c>
      <c r="O42" s="13">
        <f t="shared" si="6"/>
        <v>2015.0864286170386</v>
      </c>
      <c r="P42" s="13">
        <f t="shared" si="17"/>
        <v>0.83372256643885612</v>
      </c>
      <c r="R42">
        <v>2047</v>
      </c>
      <c r="S42" s="13">
        <v>64.945046380499306</v>
      </c>
      <c r="T42" s="13">
        <v>64.873790991487027</v>
      </c>
      <c r="U42" s="13">
        <v>64.546879002724822</v>
      </c>
      <c r="W42">
        <v>2047</v>
      </c>
      <c r="X42" s="13">
        <v>60.815734467479835</v>
      </c>
      <c r="Y42" s="13">
        <f t="shared" si="13"/>
        <v>64.873790991487027</v>
      </c>
      <c r="Z42" s="13">
        <v>64.999980614426676</v>
      </c>
      <c r="AB42" s="13">
        <f t="shared" si="1"/>
        <v>64.999973847943153</v>
      </c>
      <c r="AE42" s="33">
        <f t="shared" si="0"/>
        <v>14.725969582310578</v>
      </c>
      <c r="AG42">
        <v>38</v>
      </c>
      <c r="AH42">
        <v>0</v>
      </c>
      <c r="AI42">
        <v>0</v>
      </c>
    </row>
    <row r="43" spans="1:35">
      <c r="A43">
        <v>2048</v>
      </c>
      <c r="C43" s="13">
        <f t="shared" si="15"/>
        <v>64.903471952219789</v>
      </c>
      <c r="D43" s="84">
        <f t="shared" si="8"/>
        <v>64.916055233899044</v>
      </c>
      <c r="E43" s="84">
        <f>J43-SUM(F$7:F43)</f>
        <v>6.6506912201396027</v>
      </c>
      <c r="F43" s="13">
        <f t="shared" si="9"/>
        <v>0.35058384965828421</v>
      </c>
      <c r="G43" s="13">
        <f t="shared" si="10"/>
        <v>0.7790752214628538</v>
      </c>
      <c r="H43" s="13">
        <f t="shared" si="11"/>
        <v>0.7790752214628538</v>
      </c>
      <c r="I43" s="89">
        <f t="shared" si="18"/>
        <v>0.45</v>
      </c>
      <c r="J43" s="13">
        <f t="shared" si="14"/>
        <v>16.228026697887604</v>
      </c>
      <c r="K43" s="13"/>
      <c r="L43" s="84">
        <f t="shared" si="16"/>
        <v>64.99999417667712</v>
      </c>
      <c r="M43" s="13">
        <f t="shared" si="4"/>
        <v>64.999995919925368</v>
      </c>
      <c r="N43" s="13">
        <f t="shared" si="5"/>
        <v>2049.6984210649753</v>
      </c>
      <c r="O43" s="13">
        <f t="shared" si="6"/>
        <v>2015.0864286170386</v>
      </c>
      <c r="P43" s="13">
        <f t="shared" si="17"/>
        <v>0.83372256643885612</v>
      </c>
      <c r="R43">
        <v>2048</v>
      </c>
      <c r="S43" s="13">
        <v>64.959774907853685</v>
      </c>
      <c r="T43" s="13">
        <v>64.903471952219789</v>
      </c>
      <c r="U43" s="13">
        <v>64.639997178145777</v>
      </c>
      <c r="W43">
        <v>2048</v>
      </c>
      <c r="X43" s="13">
        <v>61.42796759834993</v>
      </c>
      <c r="Y43" s="13">
        <f t="shared" si="13"/>
        <v>64.903471952219789</v>
      </c>
      <c r="Z43" s="13">
        <v>64.999989478576353</v>
      </c>
      <c r="AB43" s="13">
        <f t="shared" si="1"/>
        <v>64.999985921383853</v>
      </c>
      <c r="AE43" s="33">
        <f t="shared" si="0"/>
        <v>15.345240550481043</v>
      </c>
      <c r="AG43">
        <v>39</v>
      </c>
      <c r="AH43">
        <v>0</v>
      </c>
      <c r="AI43">
        <v>0</v>
      </c>
    </row>
    <row r="44" spans="1:35">
      <c r="A44">
        <v>2049</v>
      </c>
      <c r="C44" s="13">
        <f t="shared" si="15"/>
        <v>64.926040211215508</v>
      </c>
      <c r="D44" s="84">
        <f t="shared" si="8"/>
        <v>64.935814567258802</v>
      </c>
      <c r="E44" s="84">
        <f>J44-SUM(F$7:F44)</f>
        <v>6.9193783122072627</v>
      </c>
      <c r="F44" s="13">
        <f t="shared" si="9"/>
        <v>0.35058384965828421</v>
      </c>
      <c r="G44" s="13">
        <f t="shared" si="10"/>
        <v>0.7790752214628538</v>
      </c>
      <c r="H44" s="13">
        <f t="shared" si="11"/>
        <v>0.7790752214628538</v>
      </c>
      <c r="I44" s="89">
        <f t="shared" si="18"/>
        <v>0.45</v>
      </c>
      <c r="J44" s="13">
        <f t="shared" si="14"/>
        <v>16.847297639613547</v>
      </c>
      <c r="K44" s="13"/>
      <c r="L44" s="84">
        <f t="shared" si="16"/>
        <v>64.99999686509102</v>
      </c>
      <c r="M44" s="13">
        <f t="shared" si="4"/>
        <v>64.999997803545781</v>
      </c>
      <c r="N44" s="13">
        <f t="shared" si="5"/>
        <v>2050.6984210649753</v>
      </c>
      <c r="O44" s="13">
        <f t="shared" si="6"/>
        <v>2015.0864286170386</v>
      </c>
      <c r="P44" s="13">
        <f t="shared" si="17"/>
        <v>0.83372256643885612</v>
      </c>
      <c r="R44">
        <v>2049</v>
      </c>
      <c r="S44" s="13">
        <v>64.970510778498451</v>
      </c>
      <c r="T44" s="13">
        <v>64.926040211215508</v>
      </c>
      <c r="U44" s="13">
        <v>64.714081114254995</v>
      </c>
      <c r="W44">
        <v>2049</v>
      </c>
      <c r="X44" s="13">
        <v>61.955532141792709</v>
      </c>
      <c r="Y44" s="13">
        <f t="shared" si="13"/>
        <v>64.926040211215508</v>
      </c>
      <c r="Z44" s="13">
        <v>64.999994193507376</v>
      </c>
      <c r="AB44" s="13">
        <f t="shared" si="1"/>
        <v>64.999992420962656</v>
      </c>
      <c r="AE44" s="33">
        <f t="shared" si="0"/>
        <v>15.964511518651507</v>
      </c>
      <c r="AG44">
        <v>40</v>
      </c>
      <c r="AH44">
        <v>0</v>
      </c>
      <c r="AI44">
        <v>0</v>
      </c>
    </row>
    <row r="45" spans="1:35">
      <c r="A45">
        <v>2050</v>
      </c>
      <c r="C45" s="13">
        <f t="shared" si="15"/>
        <v>64.942899486631774</v>
      </c>
      <c r="D45" s="84">
        <f t="shared" si="8"/>
        <v>64.950926367952462</v>
      </c>
      <c r="E45" s="84">
        <f>J45-SUM(F$7:F45)</f>
        <v>7.1880654197409228</v>
      </c>
      <c r="F45" s="13">
        <f t="shared" si="9"/>
        <v>0.35058384965828421</v>
      </c>
      <c r="G45" s="13">
        <f t="shared" si="10"/>
        <v>0.7790752214628538</v>
      </c>
      <c r="H45" s="13">
        <f t="shared" si="11"/>
        <v>0.7790752214628538</v>
      </c>
      <c r="I45" s="89">
        <f t="shared" si="18"/>
        <v>0.45</v>
      </c>
      <c r="J45" s="13">
        <f t="shared" si="14"/>
        <v>17.466568596805491</v>
      </c>
      <c r="K45" s="13"/>
      <c r="L45" s="84">
        <f t="shared" si="16"/>
        <v>64.999998312363203</v>
      </c>
      <c r="M45" s="13">
        <f t="shared" si="4"/>
        <v>64.999998817567942</v>
      </c>
      <c r="N45" s="13">
        <f t="shared" si="5"/>
        <v>2051.6984210649753</v>
      </c>
      <c r="O45" s="13">
        <f t="shared" si="6"/>
        <v>2015.0864286170386</v>
      </c>
      <c r="P45" s="13">
        <f t="shared" si="17"/>
        <v>0.83372256643885612</v>
      </c>
      <c r="R45">
        <v>2050</v>
      </c>
      <c r="S45" s="13">
        <v>64.978240529150156</v>
      </c>
      <c r="T45" s="13">
        <v>64.942899486631774</v>
      </c>
      <c r="U45" s="13">
        <v>64.772476175399575</v>
      </c>
      <c r="W45">
        <v>2050</v>
      </c>
      <c r="X45" s="13">
        <v>62.408786857790908</v>
      </c>
      <c r="Y45" s="13">
        <f t="shared" si="13"/>
        <v>64.942899486631774</v>
      </c>
      <c r="Z45" s="13">
        <v>64.999996660517496</v>
      </c>
      <c r="AB45" s="13">
        <f t="shared" si="1"/>
        <v>64.999995919925368</v>
      </c>
      <c r="AE45" s="33">
        <f t="shared" si="0"/>
        <v>16.583782486821974</v>
      </c>
      <c r="AG45">
        <v>41</v>
      </c>
      <c r="AH45">
        <v>0</v>
      </c>
      <c r="AI45">
        <v>0</v>
      </c>
    </row>
    <row r="46" spans="1:35">
      <c r="A46">
        <v>2051</v>
      </c>
      <c r="C46" s="20">
        <f t="shared" si="15"/>
        <v>64.952432137305394</v>
      </c>
      <c r="D46" s="84">
        <f t="shared" si="8"/>
        <v>64.962482306343986</v>
      </c>
      <c r="E46" s="84">
        <f>J46-SUM(F$7:F46)</f>
        <v>7.4567525344233356</v>
      </c>
      <c r="F46" s="13">
        <f t="shared" si="9"/>
        <v>0.35058384965828421</v>
      </c>
      <c r="G46" s="13">
        <f t="shared" si="10"/>
        <v>0.7790752214628538</v>
      </c>
      <c r="H46" s="13">
        <f t="shared" si="11"/>
        <v>0.7790752214628538</v>
      </c>
      <c r="I46" s="89">
        <f t="shared" si="18"/>
        <v>0.45</v>
      </c>
      <c r="J46" s="13">
        <f t="shared" si="14"/>
        <v>18.085839561146187</v>
      </c>
      <c r="K46" s="13"/>
      <c r="L46" s="84">
        <f t="shared" si="16"/>
        <v>64.999999091483062</v>
      </c>
      <c r="M46" s="13">
        <f t="shared" si="4"/>
        <v>64.999999363453341</v>
      </c>
      <c r="N46" s="13">
        <f t="shared" si="5"/>
        <v>2052.6984210649753</v>
      </c>
      <c r="O46" s="13">
        <f t="shared" si="6"/>
        <v>2015.0864286170386</v>
      </c>
      <c r="P46" s="13">
        <f t="shared" si="17"/>
        <v>0.83372256643885612</v>
      </c>
      <c r="AB46" s="13">
        <f t="shared" si="1"/>
        <v>64.999997803545781</v>
      </c>
      <c r="AE46" s="33">
        <f t="shared" si="0"/>
        <v>17.203053454992435</v>
      </c>
      <c r="AG46">
        <v>42</v>
      </c>
      <c r="AH46">
        <v>0</v>
      </c>
      <c r="AI46">
        <v>0</v>
      </c>
    </row>
    <row r="47" spans="1:35">
      <c r="A47">
        <v>2052</v>
      </c>
      <c r="C47" s="20">
        <f t="shared" si="15"/>
        <v>64.959127545353738</v>
      </c>
      <c r="D47" s="84">
        <f t="shared" si="8"/>
        <v>64.970319814186468</v>
      </c>
      <c r="E47" s="84">
        <f>J47-SUM(F$7:F47)</f>
        <v>7.6912061475094156</v>
      </c>
      <c r="F47" s="13">
        <f t="shared" si="9"/>
        <v>0.35058384965828421</v>
      </c>
      <c r="G47" s="13">
        <f t="shared" si="10"/>
        <v>0.7790752214628538</v>
      </c>
      <c r="H47" s="13">
        <f t="shared" si="11"/>
        <v>0.7790752214628538</v>
      </c>
      <c r="I47" s="89">
        <f t="shared" si="18"/>
        <v>0.45</v>
      </c>
      <c r="J47" s="13">
        <f t="shared" si="14"/>
        <v>18.670877023890551</v>
      </c>
      <c r="K47" s="13"/>
      <c r="L47" s="84">
        <f t="shared" si="16"/>
        <v>64.999999493878846</v>
      </c>
      <c r="M47" s="13">
        <f t="shared" si="4"/>
        <v>64.999999657323542</v>
      </c>
      <c r="N47" s="13">
        <f t="shared" si="5"/>
        <v>2053.6984210649753</v>
      </c>
      <c r="O47" s="13">
        <f t="shared" si="6"/>
        <v>2015.0864286170386</v>
      </c>
      <c r="P47" s="13">
        <f t="shared" si="17"/>
        <v>0.83372256643885612</v>
      </c>
      <c r="AB47" s="13">
        <f t="shared" si="1"/>
        <v>64.999998817567942</v>
      </c>
      <c r="AE47" s="33">
        <f t="shared" si="0"/>
        <v>17.822324423162904</v>
      </c>
      <c r="AG47">
        <v>43</v>
      </c>
      <c r="AH47">
        <v>0</v>
      </c>
      <c r="AI47">
        <v>0</v>
      </c>
    </row>
    <row r="48" spans="1:35">
      <c r="A48">
        <v>2053</v>
      </c>
      <c r="C48" s="20">
        <f t="shared" si="15"/>
        <v>64.963013041702894</v>
      </c>
      <c r="D48" s="84">
        <f t="shared" si="8"/>
        <v>64.974474794363545</v>
      </c>
      <c r="E48" s="84">
        <f>J48-SUM(F$7:F48)</f>
        <v>7.8420833559865191</v>
      </c>
      <c r="F48" s="13">
        <f t="shared" si="9"/>
        <v>0.35058384965828421</v>
      </c>
      <c r="G48" s="13">
        <f t="shared" si="10"/>
        <v>0.7790752214628538</v>
      </c>
      <c r="H48" s="13">
        <f t="shared" si="11"/>
        <v>0.7790752214628538</v>
      </c>
      <c r="I48" s="89">
        <f t="shared" si="18"/>
        <v>0.45</v>
      </c>
      <c r="J48" s="13">
        <f>LN(L48/(65-L48))</f>
        <v>19.172338082025938</v>
      </c>
      <c r="K48" s="13"/>
      <c r="L48" s="84">
        <f t="shared" si="16"/>
        <v>64.999999693470187</v>
      </c>
      <c r="M48" s="13">
        <f t="shared" si="4"/>
        <v>64.999999815524674</v>
      </c>
      <c r="N48" s="13">
        <f t="shared" si="5"/>
        <v>2054.6984210649753</v>
      </c>
      <c r="O48" s="13">
        <f t="shared" si="6"/>
        <v>2015.0864286170386</v>
      </c>
      <c r="P48" s="13">
        <f t="shared" si="17"/>
        <v>0.83372256643885612</v>
      </c>
      <c r="AB48" s="13">
        <f t="shared" si="1"/>
        <v>64.999999363453341</v>
      </c>
      <c r="AE48" s="33">
        <f t="shared" si="0"/>
        <v>18.441595391333365</v>
      </c>
      <c r="AG48">
        <v>44</v>
      </c>
      <c r="AH48">
        <v>0</v>
      </c>
      <c r="AI48">
        <v>0</v>
      </c>
    </row>
    <row r="49" spans="1:35">
      <c r="A49">
        <v>2054</v>
      </c>
      <c r="C49" s="20">
        <f t="shared" si="15"/>
        <v>64.965430376452971</v>
      </c>
      <c r="D49" s="84">
        <f t="shared" si="8"/>
        <v>64.956951877133449</v>
      </c>
      <c r="E49" s="84">
        <f>J49-SUM(F$7:F49)</f>
        <v>7.3191614243022975</v>
      </c>
      <c r="F49" s="13">
        <f t="shared" si="9"/>
        <v>0.35058384965828421</v>
      </c>
      <c r="G49" s="13">
        <f t="shared" si="10"/>
        <v>0.7790752214628538</v>
      </c>
      <c r="H49" s="13">
        <f t="shared" si="11"/>
        <v>0.7790752214628538</v>
      </c>
      <c r="I49" s="89">
        <f t="shared" si="18"/>
        <v>0.45</v>
      </c>
      <c r="J49" s="13">
        <v>19</v>
      </c>
      <c r="K49" s="13"/>
      <c r="L49" s="84">
        <f>AVERAGE(M45:M50)</f>
        <v>64.999999547486482</v>
      </c>
      <c r="M49" s="13">
        <f t="shared" si="4"/>
        <v>64.999999815524674</v>
      </c>
      <c r="N49" s="13">
        <f t="shared" si="5"/>
        <v>2055.6984210649753</v>
      </c>
      <c r="O49" s="13">
        <f t="shared" si="6"/>
        <v>2015.0864286170386</v>
      </c>
      <c r="P49" s="13">
        <f t="shared" si="17"/>
        <v>0.83372256643885612</v>
      </c>
      <c r="AB49" s="13">
        <f t="shared" si="1"/>
        <v>64.999999657323542</v>
      </c>
      <c r="AE49" s="33">
        <f t="shared" si="0"/>
        <v>19.060866359503834</v>
      </c>
      <c r="AG49">
        <v>45</v>
      </c>
      <c r="AH49">
        <v>0</v>
      </c>
      <c r="AI49">
        <v>0</v>
      </c>
    </row>
    <row r="50" spans="1:35">
      <c r="A50">
        <v>2055</v>
      </c>
      <c r="C50" s="20">
        <f t="shared" si="15"/>
        <v>64.966167393980214</v>
      </c>
      <c r="D50" s="84">
        <f>65*EXP(E50)/(1+EXP(E50))</f>
        <v>64.962923090237382</v>
      </c>
      <c r="E50" s="84">
        <f>J50-SUM(F$7:F50)</f>
        <v>7.4685775746440139</v>
      </c>
      <c r="F50" s="13">
        <f t="shared" si="9"/>
        <v>0.35058384965828421</v>
      </c>
      <c r="G50" s="13">
        <f t="shared" si="10"/>
        <v>0.7790752214628538</v>
      </c>
      <c r="H50" s="13">
        <f t="shared" si="11"/>
        <v>0.7790752214628538</v>
      </c>
      <c r="I50" s="89">
        <f t="shared" si="18"/>
        <v>0.45</v>
      </c>
      <c r="J50" s="13">
        <v>19.5</v>
      </c>
      <c r="K50" s="13"/>
      <c r="L50" s="84">
        <f>AVERAGE(M45:M50)</f>
        <v>64.999999547486482</v>
      </c>
      <c r="M50" s="13">
        <f t="shared" si="4"/>
        <v>64.999999815524674</v>
      </c>
      <c r="N50" s="13">
        <f t="shared" si="5"/>
        <v>2056.6984210649753</v>
      </c>
      <c r="O50" s="13">
        <f t="shared" si="6"/>
        <v>2015.0864286170386</v>
      </c>
      <c r="P50" s="13">
        <f t="shared" si="17"/>
        <v>0.83372256643885612</v>
      </c>
      <c r="AB50" s="13">
        <f t="shared" si="1"/>
        <v>64.999999815524674</v>
      </c>
      <c r="AE50" s="33">
        <f t="shared" si="0"/>
        <v>19.680137327674295</v>
      </c>
      <c r="AG50">
        <v>46</v>
      </c>
      <c r="AH50">
        <v>0</v>
      </c>
      <c r="AI50">
        <v>0</v>
      </c>
    </row>
    <row r="54" spans="1:35">
      <c r="AC54" s="41" t="s">
        <v>159</v>
      </c>
      <c r="AD54" s="41">
        <v>-8.8063272081671027</v>
      </c>
    </row>
    <row r="55" spans="1:35">
      <c r="AC55" t="s">
        <v>329</v>
      </c>
      <c r="AD55" s="41">
        <v>0.61927096817046523</v>
      </c>
    </row>
    <row r="56" spans="1:35">
      <c r="C56" t="s">
        <v>1219</v>
      </c>
      <c r="D56" s="12">
        <f>K69</f>
        <v>2.4094031489584125</v>
      </c>
      <c r="Z56" s="41" t="str">
        <f>' All EV uptake'!D46</f>
        <v>Intercept</v>
      </c>
      <c r="AA56" s="41">
        <f>' All EV uptake'!E46</f>
        <v>2006.0956444042549</v>
      </c>
      <c r="AC56" t="s">
        <v>1326</v>
      </c>
      <c r="AD56" s="41">
        <v>0.63718504727692693</v>
      </c>
    </row>
    <row r="57" spans="1:35" ht="15.75" thickBot="1">
      <c r="Z57" s="41" t="str">
        <f>' All EV uptake'!D47</f>
        <v>EV/FFV cost ratio</v>
      </c>
      <c r="AA57" s="41">
        <f>' All EV uptake'!E47</f>
        <v>10.783904112355547</v>
      </c>
      <c r="AC57" t="s">
        <v>1094</v>
      </c>
      <c r="AD57" s="42">
        <v>0.16446736652962907</v>
      </c>
    </row>
    <row r="58" spans="1:35">
      <c r="Z58" s="41" t="str">
        <f>' All EV uptake'!D48</f>
        <v>dumKorea</v>
      </c>
      <c r="AA58" s="41">
        <f>' All EV uptake'!E48</f>
        <v>3.2747008164932261</v>
      </c>
    </row>
    <row r="59" spans="1:35">
      <c r="Z59" s="41" t="str">
        <f>' All EV uptake'!D49</f>
        <v>dumUK</v>
      </c>
      <c r="AA59" s="41">
        <f>' All EV uptake'!E49</f>
        <v>2.7276845521810786</v>
      </c>
    </row>
    <row r="60" spans="1:35">
      <c r="Z60" s="41" t="str">
        <f>' All EV uptake'!D50</f>
        <v>dumNeth</v>
      </c>
      <c r="AA60" s="41">
        <f>' All EV uptake'!E50</f>
        <v>-1.2544269368470402</v>
      </c>
    </row>
    <row r="61" spans="1:35">
      <c r="F61" s="242">
        <v>2016</v>
      </c>
      <c r="G61" s="242"/>
      <c r="H61" s="242">
        <v>2017</v>
      </c>
      <c r="I61" s="242"/>
      <c r="J61" s="242">
        <v>2018</v>
      </c>
      <c r="K61" s="242"/>
      <c r="Z61" s="41" t="str">
        <f>' All EV uptake'!D51</f>
        <v>dumChina</v>
      </c>
      <c r="AA61" s="41">
        <f>' All EV uptake'!E51</f>
        <v>1.6840641661301363</v>
      </c>
    </row>
    <row r="62" spans="1:35">
      <c r="E62" t="s">
        <v>1235</v>
      </c>
      <c r="F62">
        <v>5760</v>
      </c>
      <c r="H62">
        <v>10065</v>
      </c>
      <c r="J62">
        <v>17419</v>
      </c>
      <c r="Z62" s="41" t="str">
        <f>' All EV uptake'!D52</f>
        <v>dumDenmark</v>
      </c>
      <c r="AA62" s="41">
        <f>' All EV uptake'!E52</f>
        <v>3.2654872236791634</v>
      </c>
    </row>
    <row r="63" spans="1:35">
      <c r="E63" t="s">
        <v>1236</v>
      </c>
      <c r="F63">
        <v>4503</v>
      </c>
      <c r="G63">
        <f>F62+F63</f>
        <v>10263</v>
      </c>
      <c r="H63">
        <v>11987</v>
      </c>
      <c r="I63">
        <f>H62+H63</f>
        <v>22052</v>
      </c>
      <c r="J63">
        <v>16133</v>
      </c>
      <c r="K63">
        <f>J62+J63</f>
        <v>33552</v>
      </c>
      <c r="Z63" s="41" t="str">
        <f>' All EV uptake'!D53</f>
        <v>dumIreland</v>
      </c>
      <c r="AA63" s="41">
        <f>' All EV uptake'!E53</f>
        <v>3.5582490934682056</v>
      </c>
    </row>
    <row r="64" spans="1:35">
      <c r="E64" t="s">
        <v>1237</v>
      </c>
      <c r="F64">
        <v>6437</v>
      </c>
      <c r="H64">
        <v>14132</v>
      </c>
      <c r="Z64" s="41" t="str">
        <f>' All EV uptake'!D54</f>
        <v>dumNZ</v>
      </c>
      <c r="AA64" s="41">
        <f>' All EV uptake'!E54</f>
        <v>1.900474768762227</v>
      </c>
    </row>
    <row r="65" spans="5:27">
      <c r="E65" t="s">
        <v>1238</v>
      </c>
      <c r="F65" s="18">
        <v>7926</v>
      </c>
      <c r="G65" s="18">
        <f>SUM(F64:F65)</f>
        <v>14363</v>
      </c>
      <c r="H65" s="18">
        <v>17378</v>
      </c>
      <c r="I65" s="18">
        <f>SUM(H64:H65)</f>
        <v>31510</v>
      </c>
      <c r="J65" s="18"/>
      <c r="K65" s="18">
        <f>K63*I65/I63</f>
        <v>47942.296390350079</v>
      </c>
      <c r="Z65" s="41" t="str">
        <f>' All EV uptake'!D55</f>
        <v>dumSwitzerland</v>
      </c>
      <c r="AA65" s="41">
        <f>' All EV uptake'!E55</f>
        <v>-2.1041729879229703</v>
      </c>
    </row>
    <row r="66" spans="5:27">
      <c r="F66">
        <f>SUM(F62:F65)</f>
        <v>24626</v>
      </c>
      <c r="G66">
        <f>SUM(G62:G65)</f>
        <v>24626</v>
      </c>
      <c r="H66">
        <f>SUM(H62:H65)</f>
        <v>53562</v>
      </c>
      <c r="I66">
        <f>SUM(I62:I65)</f>
        <v>53562</v>
      </c>
      <c r="K66">
        <f>SUM(K62:K65)</f>
        <v>81494.296390350079</v>
      </c>
      <c r="Z66" s="41" t="str">
        <f>' All EV uptake'!D56</f>
        <v>dumSpain</v>
      </c>
      <c r="AA66" s="41">
        <f>' All EV uptake'!E56</f>
        <v>4.4168133039283006</v>
      </c>
    </row>
    <row r="67" spans="5:27">
      <c r="Z67" s="41" t="str">
        <f>' All EV uptake'!D57</f>
        <v>dumIndia</v>
      </c>
      <c r="AA67" s="41">
        <f>' All EV uptake'!E57</f>
        <v>8.3918907463589623</v>
      </c>
    </row>
    <row r="68" spans="5:27">
      <c r="Z68" s="41" t="str">
        <f>' All EV uptake'!D58</f>
        <v>dumUSA</v>
      </c>
      <c r="AA68" s="41">
        <f>' All EV uptake'!E58</f>
        <v>2.1386885311349126</v>
      </c>
    </row>
    <row r="69" spans="5:27">
      <c r="F69" s="13">
        <f>B11</f>
        <v>0.75074541939668848</v>
      </c>
      <c r="H69" s="13">
        <f>B12</f>
        <v>1.5835764854801773</v>
      </c>
      <c r="I69" s="13">
        <f>F69*H66/F66</f>
        <v>1.6328850058363287</v>
      </c>
      <c r="K69" s="13">
        <f>H69*K66/H66</f>
        <v>2.4094031489584125</v>
      </c>
      <c r="Z69" s="41" t="str">
        <f>' All EV uptake'!D59</f>
        <v>dumAustria</v>
      </c>
      <c r="AA69" s="41">
        <f>' All EV uptake'!E59</f>
        <v>-0.86657486911619475</v>
      </c>
    </row>
    <row r="70" spans="5:27">
      <c r="Z70" s="41" t="str">
        <f>' All EV uptake'!D60</f>
        <v>dumItaly</v>
      </c>
      <c r="AA70" s="41">
        <f>' All EV uptake'!E60</f>
        <v>2.0513905871244105</v>
      </c>
    </row>
    <row r="71" spans="5:27">
      <c r="Z71" s="41" t="str">
        <f>' All EV uptake'!D61</f>
        <v>dumJapan</v>
      </c>
      <c r="AA71" s="41">
        <f>' All EV uptake'!E61</f>
        <v>4.0948893434577212</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S138"/>
  <sheetViews>
    <sheetView topLeftCell="A91" zoomScale="75" zoomScaleNormal="75" workbookViewId="0">
      <selection activeCell="P118" sqref="P118:AC138"/>
    </sheetView>
  </sheetViews>
  <sheetFormatPr defaultRowHeight="15"/>
  <cols>
    <col min="2" max="2" width="12.140625" customWidth="1"/>
    <col min="3" max="3" width="10.42578125" customWidth="1"/>
    <col min="4" max="4" width="12.42578125" customWidth="1"/>
    <col min="5" max="5" width="13" customWidth="1"/>
    <col min="8" max="8" width="11.5703125" customWidth="1"/>
    <col min="9" max="9" width="13.85546875" customWidth="1"/>
    <col min="12" max="12" width="10.5703125" customWidth="1"/>
    <col min="13" max="13" width="10.7109375" customWidth="1"/>
    <col min="18" max="18" width="11.28515625" customWidth="1"/>
    <col min="20" max="20" width="15.42578125" customWidth="1"/>
    <col min="21" max="21" width="13.140625" customWidth="1"/>
    <col min="27" max="28" width="15.85546875" customWidth="1"/>
    <col min="30" max="31" width="15.42578125" customWidth="1"/>
  </cols>
  <sheetData>
    <row r="1" spans="1:45">
      <c r="A1" t="s">
        <v>5</v>
      </c>
      <c r="B1" t="s">
        <v>1395</v>
      </c>
      <c r="C1" t="s">
        <v>709</v>
      </c>
      <c r="D1" t="s">
        <v>777</v>
      </c>
      <c r="E1" s="178" t="s">
        <v>871</v>
      </c>
      <c r="G1" t="s">
        <v>709</v>
      </c>
      <c r="L1" t="s">
        <v>904</v>
      </c>
      <c r="N1" t="s">
        <v>3</v>
      </c>
      <c r="U1" t="s">
        <v>730</v>
      </c>
      <c r="V1" s="33" t="s">
        <v>715</v>
      </c>
      <c r="W1" s="87" t="s">
        <v>1181</v>
      </c>
      <c r="X1" s="87" t="s">
        <v>1181</v>
      </c>
      <c r="Y1" s="87" t="s">
        <v>1181</v>
      </c>
      <c r="AD1" t="s">
        <v>720</v>
      </c>
      <c r="AE1" t="s">
        <v>1327</v>
      </c>
      <c r="AI1" t="s">
        <v>852</v>
      </c>
      <c r="AJ1" t="s">
        <v>852</v>
      </c>
      <c r="AL1" t="s">
        <v>853</v>
      </c>
      <c r="AM1" t="s">
        <v>853</v>
      </c>
      <c r="AS1" t="s">
        <v>709</v>
      </c>
    </row>
    <row r="2" spans="1:45">
      <c r="B2" t="s">
        <v>710</v>
      </c>
      <c r="C2" t="s">
        <v>710</v>
      </c>
      <c r="D2" t="s">
        <v>771</v>
      </c>
      <c r="E2" t="s">
        <v>756</v>
      </c>
      <c r="F2" t="s">
        <v>714</v>
      </c>
      <c r="G2" t="s">
        <v>728</v>
      </c>
      <c r="H2" t="s">
        <v>269</v>
      </c>
      <c r="I2" t="s">
        <v>755</v>
      </c>
      <c r="J2" t="s">
        <v>269</v>
      </c>
      <c r="L2" t="s">
        <v>721</v>
      </c>
      <c r="M2" t="s">
        <v>995</v>
      </c>
      <c r="N2" t="s">
        <v>981</v>
      </c>
      <c r="Q2" t="s">
        <v>269</v>
      </c>
      <c r="R2" t="s">
        <v>717</v>
      </c>
      <c r="S2" t="s">
        <v>725</v>
      </c>
      <c r="V2" s="33"/>
      <c r="W2" s="87" t="s">
        <v>338</v>
      </c>
      <c r="X2" s="87" t="s">
        <v>1182</v>
      </c>
      <c r="Y2" s="87" t="s">
        <v>1183</v>
      </c>
      <c r="AE2" t="s">
        <v>708</v>
      </c>
      <c r="AI2" t="s">
        <v>872</v>
      </c>
      <c r="AJ2" t="s">
        <v>873</v>
      </c>
      <c r="AK2" t="s">
        <v>850</v>
      </c>
      <c r="AL2" t="s">
        <v>869</v>
      </c>
      <c r="AM2" t="s">
        <v>870</v>
      </c>
      <c r="AS2" t="s">
        <v>713</v>
      </c>
    </row>
    <row r="3" spans="1:45">
      <c r="A3">
        <v>2009</v>
      </c>
      <c r="B3" s="3">
        <f>X3</f>
        <v>29.592572886961211</v>
      </c>
      <c r="C3" s="3">
        <f t="shared" ref="C3:C24" si="0">B3*AE3*1000</f>
        <v>21302.040969337188</v>
      </c>
      <c r="D3" s="3">
        <v>0</v>
      </c>
      <c r="E3">
        <v>0</v>
      </c>
      <c r="F3" s="12">
        <v>20.149899159663867</v>
      </c>
      <c r="G3" s="3">
        <f t="shared" ref="G3:G24" si="1">C3*F3/100</f>
        <v>4292.3397742717261</v>
      </c>
      <c r="H3" s="3">
        <f t="shared" ref="H3:H24" si="2">C3+E3+G3</f>
        <v>25594.380743608912</v>
      </c>
      <c r="I3" s="3">
        <f>Austria!I3</f>
        <v>1450</v>
      </c>
      <c r="J3" s="3">
        <f>H3+I3</f>
        <v>27044.380743608912</v>
      </c>
      <c r="L3" s="3">
        <f>200</f>
        <v>200</v>
      </c>
      <c r="M3" s="3">
        <f>(130-120)*2+130*2</f>
        <v>280</v>
      </c>
      <c r="N3" s="3">
        <f>L3+M3</f>
        <v>480</v>
      </c>
      <c r="P3">
        <v>2009</v>
      </c>
      <c r="Q3" s="3">
        <f t="shared" ref="Q3:Q24" si="3">J3</f>
        <v>27044.380743608912</v>
      </c>
      <c r="R3" s="3">
        <f t="shared" ref="R3:R24" si="4">J28</f>
        <v>27044.380743608912</v>
      </c>
      <c r="S3" s="3">
        <f t="shared" ref="S3:S24" si="5">G53</f>
        <v>19892.516928204626</v>
      </c>
      <c r="T3">
        <v>2009</v>
      </c>
      <c r="U3" s="3">
        <f>'Vehicle price'!X5</f>
        <v>23</v>
      </c>
      <c r="V3">
        <v>1</v>
      </c>
      <c r="W3" s="3">
        <f t="shared" ref="W3:W24" si="6">X3*V3</f>
        <v>29.592572886961211</v>
      </c>
      <c r="X3" s="3">
        <f>'Vehicle price'!T5</f>
        <v>29.592572886961211</v>
      </c>
      <c r="Y3" s="3">
        <f>X3*Z3</f>
        <v>29.592572886961211</v>
      </c>
      <c r="Z3">
        <v>1</v>
      </c>
      <c r="AD3">
        <v>2009</v>
      </c>
      <c r="AE3">
        <v>0.71984416666666673</v>
      </c>
      <c r="AH3">
        <v>2009</v>
      </c>
      <c r="AI3">
        <v>0</v>
      </c>
      <c r="AJ3">
        <v>0</v>
      </c>
      <c r="AK3" s="13">
        <f>CPIs!J48</f>
        <v>98.890943018593617</v>
      </c>
      <c r="AL3">
        <v>0</v>
      </c>
      <c r="AM3">
        <v>0</v>
      </c>
      <c r="AS3">
        <v>0</v>
      </c>
    </row>
    <row r="4" spans="1:45">
      <c r="A4">
        <v>2010</v>
      </c>
      <c r="B4" s="3">
        <f t="shared" ref="B4:B24" si="7">X4</f>
        <v>30</v>
      </c>
      <c r="C4" s="3">
        <f t="shared" si="0"/>
        <v>22760.138776915202</v>
      </c>
      <c r="D4" s="3">
        <v>0</v>
      </c>
      <c r="E4">
        <v>0</v>
      </c>
      <c r="F4" s="12">
        <v>22.210058309037908</v>
      </c>
      <c r="G4" s="3">
        <f t="shared" si="1"/>
        <v>5055.040093570814</v>
      </c>
      <c r="H4" s="3">
        <f t="shared" si="2"/>
        <v>27815.178870486016</v>
      </c>
      <c r="I4" s="3">
        <f>Austria!I4</f>
        <v>1450</v>
      </c>
      <c r="J4" s="3">
        <f t="shared" ref="J4:J24" si="8">H4+I4</f>
        <v>29265.178870486016</v>
      </c>
      <c r="L4" s="3">
        <f>200</f>
        <v>200</v>
      </c>
      <c r="M4" s="3">
        <f>(130-120)*2+130*2</f>
        <v>280</v>
      </c>
      <c r="N4" s="3">
        <f t="shared" ref="N4:N24" si="9">L4+M4</f>
        <v>480</v>
      </c>
      <c r="P4">
        <v>2010</v>
      </c>
      <c r="Q4" s="3">
        <f t="shared" si="3"/>
        <v>29265.178870486016</v>
      </c>
      <c r="R4" s="3">
        <f t="shared" si="4"/>
        <v>29265.178870486016</v>
      </c>
      <c r="S4" s="3">
        <f t="shared" si="5"/>
        <v>21324.970467372612</v>
      </c>
      <c r="T4">
        <v>2010</v>
      </c>
      <c r="U4" s="3">
        <f>'Vehicle price'!X6</f>
        <v>23</v>
      </c>
      <c r="V4">
        <v>1</v>
      </c>
      <c r="W4" s="3">
        <f t="shared" si="6"/>
        <v>30</v>
      </c>
      <c r="X4" s="3">
        <f>'Vehicle price'!T6</f>
        <v>30</v>
      </c>
      <c r="Y4" s="3">
        <f t="shared" ref="Y4:Y24" si="10">X4*Z4</f>
        <v>30</v>
      </c>
      <c r="Z4">
        <v>1</v>
      </c>
      <c r="AD4">
        <v>2010</v>
      </c>
      <c r="AE4">
        <v>0.75867129256384003</v>
      </c>
      <c r="AG4" s="3"/>
      <c r="AH4">
        <v>2010</v>
      </c>
      <c r="AI4">
        <v>0</v>
      </c>
      <c r="AJ4">
        <v>0</v>
      </c>
      <c r="AK4" s="13">
        <f>CPIs!J49</f>
        <v>100</v>
      </c>
      <c r="AL4">
        <v>0</v>
      </c>
      <c r="AM4">
        <v>0</v>
      </c>
      <c r="AS4">
        <v>0</v>
      </c>
    </row>
    <row r="5" spans="1:45">
      <c r="A5">
        <v>2011</v>
      </c>
      <c r="B5" s="3">
        <f t="shared" si="7"/>
        <v>30</v>
      </c>
      <c r="C5" s="3">
        <f t="shared" si="0"/>
        <v>21463.232997813917</v>
      </c>
      <c r="D5" s="3">
        <v>0</v>
      </c>
      <c r="E5">
        <v>0</v>
      </c>
      <c r="F5" s="12">
        <v>24.379694735036868</v>
      </c>
      <c r="G5" s="3">
        <f t="shared" si="1"/>
        <v>5232.6706851367353</v>
      </c>
      <c r="H5" s="3">
        <f t="shared" si="2"/>
        <v>26695.903682950651</v>
      </c>
      <c r="I5" s="3">
        <f>Austria!I5</f>
        <v>1450</v>
      </c>
      <c r="J5" s="3">
        <f t="shared" si="8"/>
        <v>28145.903682950651</v>
      </c>
      <c r="L5" s="3">
        <f>200</f>
        <v>200</v>
      </c>
      <c r="M5" s="3">
        <f>(130-120)*2+130*2</f>
        <v>280</v>
      </c>
      <c r="N5" s="3">
        <f t="shared" si="9"/>
        <v>480</v>
      </c>
      <c r="P5">
        <v>2011</v>
      </c>
      <c r="Q5" s="3">
        <f t="shared" si="3"/>
        <v>28145.903682950651</v>
      </c>
      <c r="R5" s="3">
        <f t="shared" si="4"/>
        <v>28145.903682950651</v>
      </c>
      <c r="S5" s="3">
        <f t="shared" si="5"/>
        <v>20466.859490262166</v>
      </c>
      <c r="T5">
        <v>2011</v>
      </c>
      <c r="U5" s="3">
        <f>'Vehicle price'!X7</f>
        <v>23</v>
      </c>
      <c r="V5">
        <v>1</v>
      </c>
      <c r="W5" s="3">
        <f t="shared" si="6"/>
        <v>30</v>
      </c>
      <c r="X5" s="3">
        <f>'Vehicle price'!T7</f>
        <v>30</v>
      </c>
      <c r="Y5" s="3">
        <f t="shared" si="10"/>
        <v>30</v>
      </c>
      <c r="Z5">
        <v>1</v>
      </c>
      <c r="AD5">
        <v>2011</v>
      </c>
      <c r="AE5">
        <v>0.71544109992713056</v>
      </c>
      <c r="AG5" s="3"/>
      <c r="AH5">
        <v>2011</v>
      </c>
      <c r="AI5">
        <v>0</v>
      </c>
      <c r="AJ5">
        <v>0</v>
      </c>
      <c r="AK5" s="13">
        <f>CPIs!J50</f>
        <v>102.07516479492188</v>
      </c>
      <c r="AL5">
        <v>0</v>
      </c>
      <c r="AM5">
        <v>0</v>
      </c>
      <c r="AS5">
        <v>0</v>
      </c>
    </row>
    <row r="6" spans="1:45">
      <c r="A6">
        <v>2012</v>
      </c>
      <c r="B6" s="3">
        <f t="shared" si="7"/>
        <v>30.842462459493706</v>
      </c>
      <c r="C6" s="3">
        <f t="shared" si="0"/>
        <v>23868.964632772961</v>
      </c>
      <c r="D6" s="3">
        <v>0</v>
      </c>
      <c r="E6">
        <v>0</v>
      </c>
      <c r="F6" s="12">
        <v>26.364740181786999</v>
      </c>
      <c r="G6" s="3">
        <f t="shared" si="1"/>
        <v>6292.9905095132208</v>
      </c>
      <c r="H6" s="3">
        <f t="shared" si="2"/>
        <v>30161.95514228618</v>
      </c>
      <c r="I6" s="3">
        <f>Austria!I6</f>
        <v>1450</v>
      </c>
      <c r="J6" s="3">
        <f t="shared" si="8"/>
        <v>31611.95514228618</v>
      </c>
      <c r="L6" s="3">
        <f>200</f>
        <v>200</v>
      </c>
      <c r="M6" s="3">
        <f>(130-110)*2+130*2</f>
        <v>300</v>
      </c>
      <c r="N6" s="3">
        <f t="shared" si="9"/>
        <v>500</v>
      </c>
      <c r="P6">
        <v>2012</v>
      </c>
      <c r="Q6" s="3">
        <f t="shared" si="3"/>
        <v>31611.95514228618</v>
      </c>
      <c r="R6" s="3">
        <f t="shared" si="4"/>
        <v>31611.95514228618</v>
      </c>
      <c r="S6" s="3">
        <f t="shared" si="5"/>
        <v>22492.528577563193</v>
      </c>
      <c r="T6">
        <v>2012</v>
      </c>
      <c r="U6" s="3">
        <f>'Vehicle price'!X8</f>
        <v>23</v>
      </c>
      <c r="V6">
        <v>1</v>
      </c>
      <c r="W6" s="3">
        <f t="shared" si="6"/>
        <v>30.842462459493706</v>
      </c>
      <c r="X6" s="3">
        <f>'Vehicle price'!T8</f>
        <v>30.842462459493706</v>
      </c>
      <c r="Y6" s="3">
        <f t="shared" si="10"/>
        <v>30.842462459493706</v>
      </c>
      <c r="Z6">
        <v>1</v>
      </c>
      <c r="AD6">
        <v>2012</v>
      </c>
      <c r="AE6">
        <v>0.773899446716382</v>
      </c>
      <c r="AG6" s="3"/>
      <c r="AH6">
        <v>2012</v>
      </c>
      <c r="AI6">
        <v>0</v>
      </c>
      <c r="AJ6">
        <v>0</v>
      </c>
      <c r="AK6" s="13">
        <f>CPIs!J51</f>
        <v>104.12535095214844</v>
      </c>
      <c r="AL6">
        <v>0</v>
      </c>
      <c r="AM6">
        <v>0</v>
      </c>
      <c r="AS6">
        <v>0</v>
      </c>
    </row>
    <row r="7" spans="1:45">
      <c r="A7">
        <v>2013</v>
      </c>
      <c r="B7" s="3">
        <f t="shared" si="7"/>
        <v>31.143929334439989</v>
      </c>
      <c r="C7" s="3">
        <f t="shared" si="0"/>
        <v>23409.918880648976</v>
      </c>
      <c r="D7" s="3">
        <v>0</v>
      </c>
      <c r="E7" s="3">
        <f t="shared" ref="E7:E24" si="11">AL7</f>
        <v>-5170.0321365071777</v>
      </c>
      <c r="F7" s="12">
        <v>25.5638140970674</v>
      </c>
      <c r="G7" s="3">
        <f t="shared" si="1"/>
        <v>5984.468142923386</v>
      </c>
      <c r="H7" s="3">
        <f t="shared" si="2"/>
        <v>24224.354887065183</v>
      </c>
      <c r="I7" s="3">
        <f>Austria!I7</f>
        <v>1450</v>
      </c>
      <c r="J7" s="3">
        <f t="shared" si="8"/>
        <v>25674.354887065183</v>
      </c>
      <c r="L7" s="3">
        <f>200</f>
        <v>200</v>
      </c>
      <c r="M7" s="3">
        <f>(130-110)*2+130*2</f>
        <v>300</v>
      </c>
      <c r="N7" s="3">
        <f t="shared" si="9"/>
        <v>500</v>
      </c>
      <c r="P7">
        <v>2013</v>
      </c>
      <c r="Q7" s="3">
        <f t="shared" si="3"/>
        <v>25674.354887065183</v>
      </c>
      <c r="R7" s="3">
        <f t="shared" si="4"/>
        <v>28259.370955318773</v>
      </c>
      <c r="S7" s="3">
        <f t="shared" si="5"/>
        <v>21707.951308332271</v>
      </c>
      <c r="T7">
        <v>2013</v>
      </c>
      <c r="U7" s="3">
        <f>'Vehicle price'!X9</f>
        <v>23</v>
      </c>
      <c r="V7">
        <v>1</v>
      </c>
      <c r="W7" s="3">
        <f t="shared" si="6"/>
        <v>31.143929334439989</v>
      </c>
      <c r="X7" s="3">
        <f>'Vehicle price'!T9</f>
        <v>31.143929334439989</v>
      </c>
      <c r="Y7" s="3">
        <f t="shared" si="10"/>
        <v>31.143929334439989</v>
      </c>
      <c r="Z7">
        <v>1</v>
      </c>
      <c r="AD7">
        <v>2013</v>
      </c>
      <c r="AE7">
        <v>0.75166876437654617</v>
      </c>
      <c r="AG7" s="3"/>
      <c r="AH7">
        <v>2013</v>
      </c>
      <c r="AI7">
        <v>-5000</v>
      </c>
      <c r="AJ7">
        <v>-2500</v>
      </c>
      <c r="AK7" s="13">
        <f>CPIs!J52</f>
        <v>105.69213104248047</v>
      </c>
      <c r="AL7" s="3">
        <f>AI7*AK$11/AK7</f>
        <v>-5170.0321365071777</v>
      </c>
      <c r="AM7" s="3">
        <f>AJ7*AK$11/AK7</f>
        <v>-2585.0160682535889</v>
      </c>
      <c r="AS7">
        <v>0</v>
      </c>
    </row>
    <row r="8" spans="1:45">
      <c r="A8">
        <v>2014</v>
      </c>
      <c r="B8" s="3">
        <f t="shared" si="7"/>
        <v>33.541755956678692</v>
      </c>
      <c r="C8" s="3">
        <f t="shared" si="0"/>
        <v>25404.118038119632</v>
      </c>
      <c r="D8" s="3">
        <v>0</v>
      </c>
      <c r="E8" s="3">
        <f t="shared" si="11"/>
        <v>-5123.5710520039429</v>
      </c>
      <c r="F8" s="12">
        <v>24.638741210770021</v>
      </c>
      <c r="G8" s="3">
        <f t="shared" si="1"/>
        <v>6259.2549002908427</v>
      </c>
      <c r="H8" s="3">
        <f t="shared" si="2"/>
        <v>26539.801886406531</v>
      </c>
      <c r="I8" s="3">
        <f>Austria!I8</f>
        <v>1450</v>
      </c>
      <c r="J8" s="3">
        <f t="shared" si="8"/>
        <v>27989.801886406531</v>
      </c>
      <c r="L8" s="3">
        <f>200</f>
        <v>200</v>
      </c>
      <c r="M8" s="3">
        <f>(130-95)*2+130*2</f>
        <v>330</v>
      </c>
      <c r="N8" s="3">
        <f t="shared" si="9"/>
        <v>530</v>
      </c>
      <c r="P8">
        <v>2014</v>
      </c>
      <c r="Q8" s="3">
        <f t="shared" si="3"/>
        <v>27989.801886406531</v>
      </c>
      <c r="R8" s="3">
        <f t="shared" si="4"/>
        <v>30551.587412408502</v>
      </c>
      <c r="S8" s="3">
        <f t="shared" si="5"/>
        <v>21711.969359148392</v>
      </c>
      <c r="T8">
        <v>2014</v>
      </c>
      <c r="U8" s="3">
        <f>'Vehicle price'!X10</f>
        <v>23</v>
      </c>
      <c r="V8">
        <v>1</v>
      </c>
      <c r="W8" s="3">
        <f t="shared" si="6"/>
        <v>33.541755956678692</v>
      </c>
      <c r="X8" s="3">
        <f>'Vehicle price'!T10</f>
        <v>33.541755956678692</v>
      </c>
      <c r="Y8" s="3">
        <f t="shared" si="10"/>
        <v>33.541755956678692</v>
      </c>
      <c r="Z8">
        <v>1</v>
      </c>
      <c r="AD8">
        <v>2014</v>
      </c>
      <c r="AE8">
        <v>0.757387838338895</v>
      </c>
      <c r="AG8" s="3"/>
      <c r="AH8">
        <v>2014</v>
      </c>
      <c r="AI8">
        <v>-5000</v>
      </c>
      <c r="AJ8">
        <v>-2500</v>
      </c>
      <c r="AK8" s="13">
        <f>CPIs!J53</f>
        <v>106.65055847167969</v>
      </c>
      <c r="AL8" s="3">
        <f t="shared" ref="AL8:AL24" si="12">AI8*AK$11/AK8</f>
        <v>-5123.5710520039429</v>
      </c>
      <c r="AM8" s="3">
        <f t="shared" ref="AM8:AM24" si="13">AJ8*AK$11/AK8</f>
        <v>-2561.7855260019714</v>
      </c>
      <c r="AS8">
        <v>0</v>
      </c>
    </row>
    <row r="9" spans="1:45">
      <c r="A9">
        <v>2015</v>
      </c>
      <c r="B9" s="3">
        <f t="shared" si="7"/>
        <v>30</v>
      </c>
      <c r="C9" s="3">
        <f t="shared" si="0"/>
        <v>27177.76686239925</v>
      </c>
      <c r="D9" s="3">
        <v>0</v>
      </c>
      <c r="E9" s="3">
        <f t="shared" si="11"/>
        <v>-4600.4300603282845</v>
      </c>
      <c r="F9" s="12">
        <v>22.305693706053855</v>
      </c>
      <c r="G9" s="3">
        <f t="shared" si="1"/>
        <v>6062.1894324721807</v>
      </c>
      <c r="H9" s="3">
        <f t="shared" si="2"/>
        <v>28639.526234543147</v>
      </c>
      <c r="I9" s="3">
        <f>Austria!I9</f>
        <v>1450</v>
      </c>
      <c r="J9" s="3">
        <f t="shared" si="8"/>
        <v>30089.526234543147</v>
      </c>
      <c r="L9" s="3">
        <f>200</f>
        <v>200</v>
      </c>
      <c r="M9" s="3">
        <f t="shared" ref="M9:M24" si="14">(130-95)*2+130*2</f>
        <v>330</v>
      </c>
      <c r="N9" s="3">
        <f t="shared" si="9"/>
        <v>530</v>
      </c>
      <c r="P9">
        <v>2015</v>
      </c>
      <c r="Q9" s="3">
        <f t="shared" si="3"/>
        <v>30089.526234543147</v>
      </c>
      <c r="R9" s="3">
        <f t="shared" si="4"/>
        <v>32389.741264707289</v>
      </c>
      <c r="S9" s="3">
        <f t="shared" si="5"/>
        <v>25483.966492734766</v>
      </c>
      <c r="T9">
        <v>2015</v>
      </c>
      <c r="U9" s="3">
        <f>'Vehicle price'!X11</f>
        <v>23</v>
      </c>
      <c r="V9">
        <v>1</v>
      </c>
      <c r="W9" s="3">
        <f t="shared" si="6"/>
        <v>30</v>
      </c>
      <c r="X9" s="3">
        <f>'Vehicle price'!T11</f>
        <v>30</v>
      </c>
      <c r="Y9" s="3">
        <f t="shared" si="10"/>
        <v>30</v>
      </c>
      <c r="Z9">
        <v>1</v>
      </c>
      <c r="AD9">
        <v>2015</v>
      </c>
      <c r="AE9">
        <v>0.90592556207997499</v>
      </c>
      <c r="AG9" s="3"/>
      <c r="AH9">
        <v>2015</v>
      </c>
      <c r="AI9">
        <v>-4500</v>
      </c>
      <c r="AJ9">
        <v>-2250</v>
      </c>
      <c r="AK9" s="13">
        <f>CPIs!J54</f>
        <v>106.90055847167969</v>
      </c>
      <c r="AL9" s="3">
        <f t="shared" si="12"/>
        <v>-4600.4300603282845</v>
      </c>
      <c r="AM9" s="3">
        <f t="shared" si="13"/>
        <v>-2300.2150301641423</v>
      </c>
      <c r="AS9">
        <v>0</v>
      </c>
    </row>
    <row r="10" spans="1:45">
      <c r="A10">
        <v>2016</v>
      </c>
      <c r="B10" s="3">
        <f t="shared" si="7"/>
        <v>30</v>
      </c>
      <c r="C10" s="3">
        <f t="shared" si="0"/>
        <v>27202.412312659035</v>
      </c>
      <c r="D10" s="3">
        <v>0</v>
      </c>
      <c r="E10" s="3">
        <f t="shared" si="11"/>
        <v>-4578.3000000000011</v>
      </c>
      <c r="F10" s="12">
        <v>20.842840336134451</v>
      </c>
      <c r="G10" s="3">
        <f t="shared" si="1"/>
        <v>5669.7553659045025</v>
      </c>
      <c r="H10" s="3">
        <f t="shared" si="2"/>
        <v>28293.867678563533</v>
      </c>
      <c r="I10" s="3">
        <f>Austria!I10</f>
        <v>1450</v>
      </c>
      <c r="J10" s="3">
        <f t="shared" si="8"/>
        <v>29743.867678563533</v>
      </c>
      <c r="L10" s="3">
        <f>200</f>
        <v>200</v>
      </c>
      <c r="M10" s="3">
        <f t="shared" si="14"/>
        <v>330</v>
      </c>
      <c r="N10" s="3">
        <f t="shared" si="9"/>
        <v>530</v>
      </c>
      <c r="P10">
        <v>2016</v>
      </c>
      <c r="Q10" s="3">
        <f t="shared" si="3"/>
        <v>29743.867678563533</v>
      </c>
      <c r="R10" s="3">
        <f t="shared" si="4"/>
        <v>32033.017678563534</v>
      </c>
      <c r="S10" s="3">
        <f t="shared" si="5"/>
        <v>25201.995220232046</v>
      </c>
      <c r="T10">
        <v>2016</v>
      </c>
      <c r="U10" s="3">
        <f>'Vehicle price'!X12</f>
        <v>23</v>
      </c>
      <c r="V10">
        <v>1</v>
      </c>
      <c r="W10" s="3">
        <f t="shared" si="6"/>
        <v>30</v>
      </c>
      <c r="X10" s="3">
        <f>'Vehicle price'!T12</f>
        <v>30</v>
      </c>
      <c r="Y10" s="3">
        <f t="shared" si="10"/>
        <v>30</v>
      </c>
      <c r="Z10">
        <v>1</v>
      </c>
      <c r="AD10">
        <v>2016</v>
      </c>
      <c r="AE10">
        <v>0.90674707708863456</v>
      </c>
      <c r="AG10" s="3"/>
      <c r="AH10">
        <v>2016</v>
      </c>
      <c r="AI10">
        <v>-4500</v>
      </c>
      <c r="AJ10">
        <v>-2250</v>
      </c>
      <c r="AK10" s="13">
        <f>CPIs!J55</f>
        <v>107.41728210449219</v>
      </c>
      <c r="AL10" s="3">
        <f t="shared" si="12"/>
        <v>-4578.3000000000011</v>
      </c>
      <c r="AM10" s="3">
        <f t="shared" si="13"/>
        <v>-2289.1500000000005</v>
      </c>
      <c r="AS10">
        <v>-3500</v>
      </c>
    </row>
    <row r="11" spans="1:45">
      <c r="A11">
        <v>2017</v>
      </c>
      <c r="B11" s="3">
        <f t="shared" si="7"/>
        <v>30</v>
      </c>
      <c r="C11" s="3">
        <f t="shared" si="0"/>
        <v>26462.003510368591</v>
      </c>
      <c r="D11" s="3">
        <v>0</v>
      </c>
      <c r="E11" s="3">
        <f t="shared" si="11"/>
        <v>-4500</v>
      </c>
      <c r="F11" s="12">
        <v>21.935899159663872</v>
      </c>
      <c r="G11" s="3">
        <f t="shared" si="1"/>
        <v>5804.6784056611687</v>
      </c>
      <c r="H11" s="3">
        <f t="shared" si="2"/>
        <v>27766.68191602976</v>
      </c>
      <c r="I11" s="3">
        <f>Austria!I11</f>
        <v>1450</v>
      </c>
      <c r="J11" s="3">
        <f t="shared" si="8"/>
        <v>29216.68191602976</v>
      </c>
      <c r="L11" s="3">
        <f>200</f>
        <v>200</v>
      </c>
      <c r="M11" s="3">
        <f t="shared" si="14"/>
        <v>330</v>
      </c>
      <c r="N11" s="3">
        <f t="shared" si="9"/>
        <v>530</v>
      </c>
      <c r="P11">
        <v>2017</v>
      </c>
      <c r="Q11" s="3">
        <f t="shared" si="3"/>
        <v>29216.68191602976</v>
      </c>
      <c r="R11" s="3">
        <f t="shared" si="4"/>
        <v>31466.68191602976</v>
      </c>
      <c r="S11" s="3">
        <f t="shared" si="5"/>
        <v>24737.789468956151</v>
      </c>
      <c r="T11">
        <v>2017</v>
      </c>
      <c r="U11" s="3">
        <f>'Vehicle price'!X13</f>
        <v>23</v>
      </c>
      <c r="V11">
        <v>1</v>
      </c>
      <c r="W11" s="3">
        <f t="shared" si="6"/>
        <v>30</v>
      </c>
      <c r="X11" s="3">
        <f>'Vehicle price'!T13</f>
        <v>30</v>
      </c>
      <c r="Y11" s="3">
        <f t="shared" si="10"/>
        <v>30</v>
      </c>
      <c r="Z11">
        <v>1</v>
      </c>
      <c r="AD11">
        <v>2017</v>
      </c>
      <c r="AE11">
        <v>0.88206678367895308</v>
      </c>
      <c r="AG11" s="3"/>
      <c r="AH11">
        <v>2017</v>
      </c>
      <c r="AI11">
        <v>-4500</v>
      </c>
      <c r="AJ11">
        <v>-2250</v>
      </c>
      <c r="AK11" s="13">
        <f>CPIs!J56</f>
        <v>109.28634281311037</v>
      </c>
      <c r="AL11" s="3">
        <f t="shared" si="12"/>
        <v>-4500</v>
      </c>
      <c r="AM11" s="3">
        <f t="shared" si="13"/>
        <v>-2250</v>
      </c>
      <c r="AS11">
        <v>-3000</v>
      </c>
    </row>
    <row r="12" spans="1:45">
      <c r="A12">
        <v>2018</v>
      </c>
      <c r="B12" s="3">
        <f t="shared" si="7"/>
        <v>30.592100851060948</v>
      </c>
      <c r="C12" s="3">
        <f t="shared" si="0"/>
        <v>26003.285723401805</v>
      </c>
      <c r="D12" s="3">
        <v>0</v>
      </c>
      <c r="E12" s="3">
        <f t="shared" si="11"/>
        <v>-4423.0391193237656</v>
      </c>
      <c r="F12" s="12">
        <v>22</v>
      </c>
      <c r="G12" s="3">
        <f t="shared" si="1"/>
        <v>5720.7228591483972</v>
      </c>
      <c r="H12" s="3">
        <f t="shared" si="2"/>
        <v>27300.969463226436</v>
      </c>
      <c r="I12" s="3">
        <f>Austria!I12</f>
        <v>1450</v>
      </c>
      <c r="J12" s="3">
        <f t="shared" si="8"/>
        <v>28750.969463226436</v>
      </c>
      <c r="L12" s="3">
        <f>200</f>
        <v>200</v>
      </c>
      <c r="M12" s="3">
        <f t="shared" si="14"/>
        <v>330</v>
      </c>
      <c r="N12" s="3">
        <f t="shared" si="9"/>
        <v>530</v>
      </c>
      <c r="P12">
        <v>2018</v>
      </c>
      <c r="Q12" s="3">
        <f t="shared" si="3"/>
        <v>28750.969463226436</v>
      </c>
      <c r="R12" s="3">
        <f t="shared" si="4"/>
        <v>30962.48902288832</v>
      </c>
      <c r="S12" s="3">
        <f t="shared" si="5"/>
        <v>23851</v>
      </c>
      <c r="T12">
        <v>2018</v>
      </c>
      <c r="U12" s="3">
        <f>'Vehicle price'!X14</f>
        <v>23</v>
      </c>
      <c r="V12">
        <v>1</v>
      </c>
      <c r="W12" s="3">
        <f t="shared" si="6"/>
        <v>30.592100851060948</v>
      </c>
      <c r="X12" s="3">
        <f>'Vehicle price'!T14</f>
        <v>30.592100851060948</v>
      </c>
      <c r="Y12" s="3">
        <f t="shared" si="10"/>
        <v>30.592100851060948</v>
      </c>
      <c r="Z12">
        <v>1</v>
      </c>
      <c r="AD12">
        <v>2018</v>
      </c>
      <c r="AE12" s="14">
        <v>0.85</v>
      </c>
      <c r="AG12" s="3"/>
      <c r="AH12">
        <v>2018</v>
      </c>
      <c r="AI12">
        <v>-4500</v>
      </c>
      <c r="AJ12">
        <v>-2250</v>
      </c>
      <c r="AK12" s="13">
        <f>AK11*AK11/AK10</f>
        <v>111.18792517805851</v>
      </c>
      <c r="AL12" s="3">
        <f t="shared" si="12"/>
        <v>-4423.0391193237656</v>
      </c>
      <c r="AM12" s="3">
        <f t="shared" si="13"/>
        <v>-2211.5195596618828</v>
      </c>
      <c r="AS12">
        <v>-2500</v>
      </c>
    </row>
    <row r="13" spans="1:45">
      <c r="A13">
        <v>2019</v>
      </c>
      <c r="B13" s="3">
        <f t="shared" si="7"/>
        <v>31.172994053473918</v>
      </c>
      <c r="C13" s="3">
        <f t="shared" si="0"/>
        <v>26497.044945452828</v>
      </c>
      <c r="D13" s="3">
        <v>0</v>
      </c>
      <c r="E13" s="3">
        <f t="shared" si="11"/>
        <v>-4347.3944557929672</v>
      </c>
      <c r="F13" s="12">
        <v>22</v>
      </c>
      <c r="G13" s="3">
        <f t="shared" si="1"/>
        <v>5829.3498879996223</v>
      </c>
      <c r="H13" s="3">
        <f t="shared" si="2"/>
        <v>27979.000377659482</v>
      </c>
      <c r="I13" s="3">
        <f>Austria!I13</f>
        <v>1450</v>
      </c>
      <c r="J13" s="3">
        <f t="shared" si="8"/>
        <v>29429.000377659482</v>
      </c>
      <c r="L13" s="3">
        <f>200</f>
        <v>200</v>
      </c>
      <c r="M13" s="3">
        <f t="shared" si="14"/>
        <v>330</v>
      </c>
      <c r="N13" s="3">
        <f t="shared" si="9"/>
        <v>530</v>
      </c>
      <c r="P13">
        <v>2019</v>
      </c>
      <c r="Q13" s="3">
        <f t="shared" si="3"/>
        <v>29429.000377659482</v>
      </c>
      <c r="R13" s="3">
        <f t="shared" si="4"/>
        <v>31602.697605555968</v>
      </c>
      <c r="S13" s="3">
        <f t="shared" si="5"/>
        <v>23851</v>
      </c>
      <c r="T13">
        <v>2019</v>
      </c>
      <c r="U13" s="3">
        <f>'Vehicle price'!X15</f>
        <v>23</v>
      </c>
      <c r="V13" s="20">
        <f>V12+(V24-V12)/12</f>
        <v>1.0249999999999999</v>
      </c>
      <c r="W13" s="3">
        <f t="shared" si="6"/>
        <v>31.952318904810763</v>
      </c>
      <c r="X13" s="3">
        <f>'Vehicle price'!T15</f>
        <v>31.172994053473918</v>
      </c>
      <c r="Y13" s="3">
        <f t="shared" si="10"/>
        <v>30.393669202137069</v>
      </c>
      <c r="Z13" s="20">
        <f>Z12+(Z24-Z12)/12</f>
        <v>0.97499999999999998</v>
      </c>
      <c r="AD13">
        <v>2019</v>
      </c>
      <c r="AE13" s="14">
        <v>0.85</v>
      </c>
      <c r="AG13" s="3"/>
      <c r="AH13">
        <v>2019</v>
      </c>
      <c r="AI13">
        <v>-4500</v>
      </c>
      <c r="AJ13">
        <v>-2250</v>
      </c>
      <c r="AK13" s="13">
        <f t="shared" ref="AK13:AK24" si="15">AK12*AK12/AK11</f>
        <v>113.12259507615676</v>
      </c>
      <c r="AL13" s="3">
        <f t="shared" si="12"/>
        <v>-4347.3944557929672</v>
      </c>
      <c r="AM13" s="3">
        <f t="shared" si="13"/>
        <v>-2173.6972278964836</v>
      </c>
      <c r="AS13">
        <v>-2000</v>
      </c>
    </row>
    <row r="14" spans="1:45">
      <c r="A14">
        <v>2020</v>
      </c>
      <c r="B14" s="3">
        <f t="shared" si="7"/>
        <v>30.985903123425071</v>
      </c>
      <c r="C14" s="3">
        <f t="shared" si="0"/>
        <v>26338.017654911313</v>
      </c>
      <c r="D14" s="3">
        <v>0</v>
      </c>
      <c r="E14" s="3">
        <f t="shared" si="11"/>
        <v>-4273.0434989118985</v>
      </c>
      <c r="F14" s="12">
        <v>22</v>
      </c>
      <c r="G14" s="3">
        <f t="shared" si="1"/>
        <v>5794.3638840804888</v>
      </c>
      <c r="H14" s="3">
        <f t="shared" si="2"/>
        <v>27859.338040079903</v>
      </c>
      <c r="I14" s="3">
        <f>Austria!I14</f>
        <v>1450</v>
      </c>
      <c r="J14" s="3">
        <f t="shared" si="8"/>
        <v>29309.338040079903</v>
      </c>
      <c r="L14" s="3">
        <f>200</f>
        <v>200</v>
      </c>
      <c r="M14" s="3">
        <f t="shared" si="14"/>
        <v>330</v>
      </c>
      <c r="N14" s="3">
        <f t="shared" si="9"/>
        <v>530</v>
      </c>
      <c r="P14">
        <v>2020</v>
      </c>
      <c r="Q14" s="3">
        <f t="shared" si="3"/>
        <v>29309.338040079903</v>
      </c>
      <c r="R14" s="3">
        <f t="shared" si="4"/>
        <v>31445.859789535851</v>
      </c>
      <c r="S14" s="3">
        <f t="shared" si="5"/>
        <v>23851</v>
      </c>
      <c r="T14">
        <v>2020</v>
      </c>
      <c r="U14" s="3">
        <f>'Vehicle price'!X16</f>
        <v>23</v>
      </c>
      <c r="V14" s="20">
        <f>V13+(V24-V12)/12</f>
        <v>1.0499999999999998</v>
      </c>
      <c r="W14" s="3">
        <f t="shared" si="6"/>
        <v>32.535198279596322</v>
      </c>
      <c r="X14" s="3">
        <f>'Vehicle price'!T16</f>
        <v>30.985903123425071</v>
      </c>
      <c r="Y14" s="3">
        <f t="shared" si="10"/>
        <v>29.436607967253817</v>
      </c>
      <c r="Z14" s="20">
        <f>Z13+(Z24-Z12)/12</f>
        <v>0.95</v>
      </c>
      <c r="AD14">
        <v>2020</v>
      </c>
      <c r="AE14" s="14">
        <v>0.85</v>
      </c>
      <c r="AG14" s="3"/>
      <c r="AH14">
        <v>2020</v>
      </c>
      <c r="AI14">
        <v>-4500</v>
      </c>
      <c r="AJ14">
        <v>-2250</v>
      </c>
      <c r="AK14" s="13">
        <f t="shared" si="15"/>
        <v>115.09092823048191</v>
      </c>
      <c r="AL14" s="3">
        <f t="shared" si="12"/>
        <v>-4273.0434989118985</v>
      </c>
      <c r="AM14" s="3">
        <f t="shared" si="13"/>
        <v>-2136.5217494559492</v>
      </c>
      <c r="AS14">
        <v>-1500</v>
      </c>
    </row>
    <row r="15" spans="1:45">
      <c r="A15">
        <v>2021</v>
      </c>
      <c r="B15" s="3">
        <f t="shared" si="7"/>
        <v>30.206708843097807</v>
      </c>
      <c r="C15" s="3">
        <f t="shared" si="0"/>
        <v>25675.702516633137</v>
      </c>
      <c r="D15" s="3">
        <v>0</v>
      </c>
      <c r="E15" s="3">
        <f t="shared" si="11"/>
        <v>-4199.9641231687619</v>
      </c>
      <c r="F15" s="12">
        <v>22</v>
      </c>
      <c r="G15" s="3">
        <f t="shared" si="1"/>
        <v>5648.6545536592903</v>
      </c>
      <c r="H15" s="3">
        <f t="shared" si="2"/>
        <v>27124.392947123662</v>
      </c>
      <c r="I15" s="3">
        <f>Austria!I15</f>
        <v>1450</v>
      </c>
      <c r="J15" s="3">
        <f t="shared" si="8"/>
        <v>28574.392947123662</v>
      </c>
      <c r="L15" s="3">
        <f>200</f>
        <v>200</v>
      </c>
      <c r="M15" s="3">
        <f t="shared" si="14"/>
        <v>330</v>
      </c>
      <c r="N15" s="3">
        <f t="shared" si="9"/>
        <v>530</v>
      </c>
      <c r="P15">
        <v>2021</v>
      </c>
      <c r="Q15" s="3">
        <f t="shared" si="3"/>
        <v>28574.392947123662</v>
      </c>
      <c r="R15" s="3">
        <f t="shared" si="4"/>
        <v>30674.375008708044</v>
      </c>
      <c r="S15" s="3">
        <f t="shared" si="5"/>
        <v>23851</v>
      </c>
      <c r="T15">
        <v>2021</v>
      </c>
      <c r="U15" s="3">
        <f>'Vehicle price'!X17</f>
        <v>23</v>
      </c>
      <c r="V15" s="20">
        <f>V14+(V24-V12)/12</f>
        <v>1.0749999999999997</v>
      </c>
      <c r="W15" s="3">
        <f t="shared" si="6"/>
        <v>32.472212006330132</v>
      </c>
      <c r="X15" s="3">
        <f>'Vehicle price'!T17</f>
        <v>30.206708843097807</v>
      </c>
      <c r="Y15" s="3">
        <f t="shared" si="10"/>
        <v>27.941205679865469</v>
      </c>
      <c r="Z15" s="20">
        <f>Z14+(Z24-Z12)/12</f>
        <v>0.92499999999999993</v>
      </c>
      <c r="AD15">
        <v>2021</v>
      </c>
      <c r="AE15" s="14">
        <v>0.85</v>
      </c>
      <c r="AG15" s="3"/>
      <c r="AH15">
        <v>2021</v>
      </c>
      <c r="AI15">
        <v>-4500</v>
      </c>
      <c r="AJ15">
        <v>-2250</v>
      </c>
      <c r="AK15" s="13">
        <f t="shared" si="15"/>
        <v>117.09351038169231</v>
      </c>
      <c r="AL15" s="3">
        <f t="shared" si="12"/>
        <v>-4199.9641231687619</v>
      </c>
      <c r="AM15" s="3">
        <f t="shared" si="13"/>
        <v>-2099.982061584381</v>
      </c>
      <c r="AS15">
        <v>0</v>
      </c>
    </row>
    <row r="16" spans="1:45">
      <c r="A16">
        <v>2022</v>
      </c>
      <c r="B16" s="3">
        <f t="shared" si="7"/>
        <v>30.642454642697771</v>
      </c>
      <c r="C16" s="3">
        <f t="shared" si="0"/>
        <v>26046.086446293106</v>
      </c>
      <c r="D16" s="3">
        <v>0</v>
      </c>
      <c r="E16" s="3">
        <f t="shared" si="11"/>
        <v>-4128.1345814515053</v>
      </c>
      <c r="F16" s="12">
        <v>22</v>
      </c>
      <c r="G16" s="3">
        <f t="shared" si="1"/>
        <v>5730.1390181844836</v>
      </c>
      <c r="H16" s="3">
        <f t="shared" si="2"/>
        <v>27648.090883026085</v>
      </c>
      <c r="I16" s="3">
        <f>Austria!I16</f>
        <v>1450</v>
      </c>
      <c r="J16" s="3">
        <f t="shared" si="8"/>
        <v>29098.090883026085</v>
      </c>
      <c r="L16" s="3">
        <f>200</f>
        <v>200</v>
      </c>
      <c r="M16" s="3">
        <f t="shared" si="14"/>
        <v>330</v>
      </c>
      <c r="N16" s="3">
        <f t="shared" si="9"/>
        <v>530</v>
      </c>
      <c r="P16">
        <v>2022</v>
      </c>
      <c r="Q16" s="3">
        <f t="shared" si="3"/>
        <v>29098.090883026085</v>
      </c>
      <c r="R16" s="3">
        <f t="shared" si="4"/>
        <v>31162.158173751835</v>
      </c>
      <c r="S16" s="3">
        <f t="shared" si="5"/>
        <v>23851</v>
      </c>
      <c r="T16">
        <v>2022</v>
      </c>
      <c r="U16" s="3">
        <f>'Vehicle price'!X18</f>
        <v>23</v>
      </c>
      <c r="V16" s="20">
        <f>V15+(V24-V12)/12</f>
        <v>1.0999999999999996</v>
      </c>
      <c r="W16" s="3">
        <f t="shared" si="6"/>
        <v>33.706700106967538</v>
      </c>
      <c r="X16" s="3">
        <f>'Vehicle price'!T18</f>
        <v>30.642454642697771</v>
      </c>
      <c r="Y16" s="3">
        <f t="shared" si="10"/>
        <v>27.57820917842799</v>
      </c>
      <c r="Z16" s="20">
        <f>Z15+(Z24-Z12)/12</f>
        <v>0.89999999999999991</v>
      </c>
      <c r="AD16">
        <v>2022</v>
      </c>
      <c r="AE16" s="14">
        <v>0.85</v>
      </c>
      <c r="AG16" s="3"/>
      <c r="AH16">
        <v>2022</v>
      </c>
      <c r="AI16">
        <v>-4500</v>
      </c>
      <c r="AJ16">
        <v>-2250</v>
      </c>
      <c r="AK16" s="13">
        <f t="shared" si="15"/>
        <v>119.13093746233378</v>
      </c>
      <c r="AL16" s="3">
        <f t="shared" si="12"/>
        <v>-4128.1345814515053</v>
      </c>
      <c r="AM16" s="3">
        <f t="shared" si="13"/>
        <v>-2064.0672907257526</v>
      </c>
    </row>
    <row r="17" spans="1:39">
      <c r="A17">
        <v>2023</v>
      </c>
      <c r="B17" s="3">
        <f t="shared" si="7"/>
        <v>30.361546257811007</v>
      </c>
      <c r="C17" s="3">
        <f t="shared" si="0"/>
        <v>25807.314319139354</v>
      </c>
      <c r="D17" s="3">
        <v>0</v>
      </c>
      <c r="E17" s="3">
        <f t="shared" si="11"/>
        <v>-4057.5334985762775</v>
      </c>
      <c r="F17" s="12">
        <v>22</v>
      </c>
      <c r="G17" s="3">
        <f t="shared" si="1"/>
        <v>5677.6091502106574</v>
      </c>
      <c r="H17" s="3">
        <f t="shared" si="2"/>
        <v>27427.389970773733</v>
      </c>
      <c r="I17" s="3">
        <f>Austria!I17</f>
        <v>1450</v>
      </c>
      <c r="J17" s="3">
        <f t="shared" si="8"/>
        <v>28877.389970773733</v>
      </c>
      <c r="L17" s="3">
        <f>200</f>
        <v>200</v>
      </c>
      <c r="M17" s="3">
        <f t="shared" si="14"/>
        <v>330</v>
      </c>
      <c r="N17" s="3">
        <f t="shared" si="9"/>
        <v>530</v>
      </c>
      <c r="P17">
        <v>2023</v>
      </c>
      <c r="Q17" s="3">
        <f t="shared" si="3"/>
        <v>28877.389970773733</v>
      </c>
      <c r="R17" s="3">
        <f t="shared" si="4"/>
        <v>30906.156720061874</v>
      </c>
      <c r="S17" s="3">
        <f t="shared" si="5"/>
        <v>23851</v>
      </c>
      <c r="T17">
        <v>2023</v>
      </c>
      <c r="U17" s="3">
        <f>'Vehicle price'!X19</f>
        <v>23</v>
      </c>
      <c r="V17" s="20">
        <f>V16+(V24-V12)/12</f>
        <v>1.1249999999999996</v>
      </c>
      <c r="W17" s="3">
        <f t="shared" si="6"/>
        <v>34.156739540037371</v>
      </c>
      <c r="X17" s="3">
        <f>'Vehicle price'!T19</f>
        <v>30.361546257811007</v>
      </c>
      <c r="Y17" s="3">
        <f t="shared" si="10"/>
        <v>26.566352975584628</v>
      </c>
      <c r="Z17" s="20">
        <f>Z16+(Z24-Z12)/12</f>
        <v>0.87499999999999989</v>
      </c>
      <c r="AD17">
        <v>2023</v>
      </c>
      <c r="AE17" s="14">
        <v>0.85</v>
      </c>
      <c r="AG17" s="3"/>
      <c r="AH17">
        <v>2023</v>
      </c>
      <c r="AI17">
        <v>-4500</v>
      </c>
      <c r="AJ17">
        <v>-2250</v>
      </c>
      <c r="AK17" s="13">
        <f t="shared" si="15"/>
        <v>121.20381577417839</v>
      </c>
      <c r="AL17" s="3">
        <f t="shared" si="12"/>
        <v>-4057.5334985762775</v>
      </c>
      <c r="AM17" s="3">
        <f t="shared" si="13"/>
        <v>-2028.7667492881387</v>
      </c>
    </row>
    <row r="18" spans="1:39">
      <c r="A18">
        <v>2024</v>
      </c>
      <c r="B18" s="3">
        <f t="shared" si="7"/>
        <v>29.275640447464834</v>
      </c>
      <c r="C18" s="3">
        <f t="shared" si="0"/>
        <v>24884.294380345105</v>
      </c>
      <c r="D18" s="3">
        <v>0</v>
      </c>
      <c r="E18" s="3">
        <f t="shared" si="11"/>
        <v>-3988.1398649265552</v>
      </c>
      <c r="F18" s="12">
        <v>22</v>
      </c>
      <c r="G18" s="3">
        <f t="shared" si="1"/>
        <v>5474.5447636759236</v>
      </c>
      <c r="H18" s="3">
        <f t="shared" si="2"/>
        <v>26370.699279094475</v>
      </c>
      <c r="I18" s="3">
        <f>Austria!I18</f>
        <v>1450</v>
      </c>
      <c r="J18" s="3">
        <f t="shared" si="8"/>
        <v>27820.699279094475</v>
      </c>
      <c r="L18" s="3">
        <f>200</f>
        <v>200</v>
      </c>
      <c r="M18" s="3">
        <f t="shared" si="14"/>
        <v>330</v>
      </c>
      <c r="N18" s="3">
        <f t="shared" si="9"/>
        <v>530</v>
      </c>
      <c r="P18">
        <v>2024</v>
      </c>
      <c r="Q18" s="3">
        <f t="shared" si="3"/>
        <v>27820.699279094475</v>
      </c>
      <c r="R18" s="3">
        <f t="shared" si="4"/>
        <v>29814.769211557752</v>
      </c>
      <c r="S18" s="3">
        <f t="shared" si="5"/>
        <v>23851</v>
      </c>
      <c r="T18">
        <v>2024</v>
      </c>
      <c r="U18" s="3">
        <f>'Vehicle price'!X20</f>
        <v>23</v>
      </c>
      <c r="V18" s="20">
        <f>V17+(V24-V12)/12</f>
        <v>1.1499999999999995</v>
      </c>
      <c r="W18" s="3">
        <f t="shared" si="6"/>
        <v>33.666986514584543</v>
      </c>
      <c r="X18" s="3">
        <f>'Vehicle price'!T20</f>
        <v>29.275640447464834</v>
      </c>
      <c r="Y18" s="3">
        <f t="shared" si="10"/>
        <v>24.884294380345104</v>
      </c>
      <c r="Z18" s="20">
        <f>Z17+(Z24-Z12)/12</f>
        <v>0.84999999999999987</v>
      </c>
      <c r="AD18">
        <v>2024</v>
      </c>
      <c r="AE18" s="14">
        <v>0.85</v>
      </c>
      <c r="AG18" s="3"/>
      <c r="AH18">
        <v>2024</v>
      </c>
      <c r="AI18">
        <v>-4500</v>
      </c>
      <c r="AJ18">
        <v>-2250</v>
      </c>
      <c r="AK18" s="13">
        <f t="shared" si="15"/>
        <v>123.3127621686491</v>
      </c>
      <c r="AL18" s="3">
        <f t="shared" si="12"/>
        <v>-3988.1398649265552</v>
      </c>
      <c r="AM18" s="3">
        <f t="shared" si="13"/>
        <v>-1994.0699324632776</v>
      </c>
    </row>
    <row r="19" spans="1:39">
      <c r="A19">
        <v>2025</v>
      </c>
      <c r="B19" s="3">
        <f t="shared" si="7"/>
        <v>28.343375828936317</v>
      </c>
      <c r="C19" s="3">
        <f t="shared" si="0"/>
        <v>24091.869454595868</v>
      </c>
      <c r="D19" s="3">
        <v>0</v>
      </c>
      <c r="E19" s="3">
        <f t="shared" si="11"/>
        <v>-3919.9330302010567</v>
      </c>
      <c r="F19" s="12">
        <v>22</v>
      </c>
      <c r="G19" s="3">
        <f t="shared" si="1"/>
        <v>5300.2112800110908</v>
      </c>
      <c r="H19" s="3">
        <f t="shared" si="2"/>
        <v>25472.147704405903</v>
      </c>
      <c r="I19" s="3">
        <f>Austria!I19</f>
        <v>1450</v>
      </c>
      <c r="J19" s="3">
        <f t="shared" si="8"/>
        <v>26922.147704405903</v>
      </c>
      <c r="L19" s="3">
        <f>200</f>
        <v>200</v>
      </c>
      <c r="M19" s="3">
        <f t="shared" si="14"/>
        <v>330</v>
      </c>
      <c r="N19" s="3">
        <f t="shared" si="9"/>
        <v>530</v>
      </c>
      <c r="P19">
        <v>2025</v>
      </c>
      <c r="Q19" s="3">
        <f t="shared" si="3"/>
        <v>26922.147704405903</v>
      </c>
      <c r="R19" s="3">
        <f t="shared" si="4"/>
        <v>28882.114219506431</v>
      </c>
      <c r="S19" s="3">
        <f t="shared" si="5"/>
        <v>23851</v>
      </c>
      <c r="T19">
        <v>2025</v>
      </c>
      <c r="U19" s="3">
        <f>'Vehicle price'!X21</f>
        <v>23</v>
      </c>
      <c r="V19" s="20">
        <f>V18+(V24-V12)/12</f>
        <v>1.1749999999999994</v>
      </c>
      <c r="W19" s="3">
        <f t="shared" si="6"/>
        <v>33.303466599000153</v>
      </c>
      <c r="X19" s="3">
        <f>'Vehicle price'!T21</f>
        <v>28.343375828936317</v>
      </c>
      <c r="Y19" s="3">
        <f t="shared" si="10"/>
        <v>23.383285058872456</v>
      </c>
      <c r="Z19" s="20">
        <f>Z18+(Z24-Z12)/12</f>
        <v>0.82499999999999984</v>
      </c>
      <c r="AD19">
        <v>2025</v>
      </c>
      <c r="AE19" s="14">
        <v>0.85</v>
      </c>
      <c r="AG19" s="3"/>
      <c r="AH19">
        <v>2025</v>
      </c>
      <c r="AI19">
        <v>-4500</v>
      </c>
      <c r="AJ19">
        <v>-2250</v>
      </c>
      <c r="AK19" s="13">
        <f t="shared" si="15"/>
        <v>125.45840423038359</v>
      </c>
      <c r="AL19" s="3">
        <f t="shared" si="12"/>
        <v>-3919.9330302010567</v>
      </c>
      <c r="AM19" s="3">
        <f t="shared" si="13"/>
        <v>-1959.9665151005283</v>
      </c>
    </row>
    <row r="20" spans="1:39">
      <c r="A20">
        <v>2026</v>
      </c>
      <c r="B20" s="3">
        <f t="shared" si="7"/>
        <v>27.812270474504896</v>
      </c>
      <c r="C20" s="3">
        <f t="shared" si="0"/>
        <v>23640.429903329161</v>
      </c>
      <c r="D20" s="3">
        <v>0</v>
      </c>
      <c r="E20" s="3">
        <f t="shared" si="11"/>
        <v>-3852.8926972685831</v>
      </c>
      <c r="F20" s="12">
        <v>22</v>
      </c>
      <c r="G20" s="3">
        <f t="shared" si="1"/>
        <v>5200.8945787324155</v>
      </c>
      <c r="H20" s="3">
        <f t="shared" si="2"/>
        <v>24988.431784792992</v>
      </c>
      <c r="I20" s="3">
        <f>Austria!I20</f>
        <v>1450</v>
      </c>
      <c r="J20" s="3">
        <f t="shared" si="8"/>
        <v>26438.431784792992</v>
      </c>
      <c r="L20" s="3">
        <f>200</f>
        <v>200</v>
      </c>
      <c r="M20" s="3">
        <f t="shared" si="14"/>
        <v>330</v>
      </c>
      <c r="N20" s="3">
        <f t="shared" si="9"/>
        <v>530</v>
      </c>
      <c r="P20">
        <v>2026</v>
      </c>
      <c r="Q20" s="3">
        <f t="shared" si="3"/>
        <v>26438.431784792992</v>
      </c>
      <c r="R20" s="3">
        <f t="shared" si="4"/>
        <v>28364.878133427286</v>
      </c>
      <c r="S20" s="3">
        <f t="shared" si="5"/>
        <v>23851</v>
      </c>
      <c r="T20">
        <v>2026</v>
      </c>
      <c r="U20" s="3">
        <f>'Vehicle price'!X22</f>
        <v>23</v>
      </c>
      <c r="V20" s="20">
        <f>V19+(V24-V12)/12</f>
        <v>1.1999999999999993</v>
      </c>
      <c r="W20" s="3">
        <f t="shared" si="6"/>
        <v>33.374724569405856</v>
      </c>
      <c r="X20" s="3">
        <f>'Vehicle price'!T22</f>
        <v>27.812270474504896</v>
      </c>
      <c r="Y20" s="3">
        <f t="shared" si="10"/>
        <v>22.24981637960391</v>
      </c>
      <c r="Z20" s="20">
        <f>Z19+(Z24-Z12)/12</f>
        <v>0.79999999999999982</v>
      </c>
      <c r="AD20">
        <v>2026</v>
      </c>
      <c r="AE20" s="14">
        <v>0.85</v>
      </c>
      <c r="AG20" s="3"/>
      <c r="AH20">
        <v>2026</v>
      </c>
      <c r="AI20">
        <v>-4500</v>
      </c>
      <c r="AJ20">
        <v>-2250</v>
      </c>
      <c r="AK20" s="13">
        <f t="shared" si="15"/>
        <v>127.64138046399228</v>
      </c>
      <c r="AL20" s="3">
        <f t="shared" si="12"/>
        <v>-3852.8926972685831</v>
      </c>
      <c r="AM20" s="3">
        <f t="shared" si="13"/>
        <v>-1926.4463486342916</v>
      </c>
    </row>
    <row r="21" spans="1:39">
      <c r="A21">
        <v>2027</v>
      </c>
      <c r="B21" s="3">
        <f t="shared" si="7"/>
        <v>27.281165120073478</v>
      </c>
      <c r="C21" s="3">
        <f t="shared" si="0"/>
        <v>23188.990352062454</v>
      </c>
      <c r="D21" s="3">
        <v>0</v>
      </c>
      <c r="E21" s="3">
        <f t="shared" si="11"/>
        <v>-3786.9989161279564</v>
      </c>
      <c r="F21" s="12">
        <v>22</v>
      </c>
      <c r="G21" s="3">
        <f t="shared" si="1"/>
        <v>5101.5778774537393</v>
      </c>
      <c r="H21" s="3">
        <f t="shared" si="2"/>
        <v>24503.569313388238</v>
      </c>
      <c r="I21" s="3">
        <f>Austria!I21</f>
        <v>1450</v>
      </c>
      <c r="J21" s="3">
        <f t="shared" si="8"/>
        <v>25953.569313388238</v>
      </c>
      <c r="L21" s="3">
        <f>200</f>
        <v>200</v>
      </c>
      <c r="M21" s="3">
        <f t="shared" si="14"/>
        <v>330</v>
      </c>
      <c r="N21" s="3">
        <f t="shared" si="9"/>
        <v>530</v>
      </c>
      <c r="P21">
        <v>2027</v>
      </c>
      <c r="Q21" s="3">
        <f t="shared" si="3"/>
        <v>25953.569313388238</v>
      </c>
      <c r="R21" s="3">
        <f t="shared" si="4"/>
        <v>27847.068771452214</v>
      </c>
      <c r="S21" s="3">
        <f t="shared" si="5"/>
        <v>23851</v>
      </c>
      <c r="T21">
        <v>2027</v>
      </c>
      <c r="U21" s="3">
        <f>'Vehicle price'!X23</f>
        <v>23</v>
      </c>
      <c r="V21" s="20">
        <f>V20+(V24-V12)/12</f>
        <v>1.2249999999999992</v>
      </c>
      <c r="W21" s="3">
        <f t="shared" si="6"/>
        <v>33.41942727208999</v>
      </c>
      <c r="X21" s="3">
        <f>'Vehicle price'!T23</f>
        <v>27.281165120073478</v>
      </c>
      <c r="Y21" s="3">
        <f t="shared" si="10"/>
        <v>21.142902968056941</v>
      </c>
      <c r="Z21" s="20">
        <f>Z20+(Z24-Z12)/12</f>
        <v>0.7749999999999998</v>
      </c>
      <c r="AD21">
        <v>2027</v>
      </c>
      <c r="AE21" s="14">
        <v>0.85</v>
      </c>
      <c r="AG21" s="3"/>
      <c r="AH21">
        <v>2027</v>
      </c>
      <c r="AI21">
        <v>-4500</v>
      </c>
      <c r="AJ21">
        <v>-2250</v>
      </c>
      <c r="AK21" s="13">
        <f t="shared" si="15"/>
        <v>129.86234048406575</v>
      </c>
      <c r="AL21" s="3">
        <f t="shared" si="12"/>
        <v>-3786.9989161279564</v>
      </c>
      <c r="AM21" s="3">
        <f t="shared" si="13"/>
        <v>-1893.4994580639782</v>
      </c>
    </row>
    <row r="22" spans="1:39">
      <c r="A22">
        <v>2028</v>
      </c>
      <c r="B22" s="3">
        <f t="shared" si="7"/>
        <v>26.683671596338133</v>
      </c>
      <c r="C22" s="3">
        <f t="shared" si="0"/>
        <v>22681.12085688741</v>
      </c>
      <c r="D22" s="3">
        <v>0</v>
      </c>
      <c r="E22" s="3">
        <f t="shared" si="11"/>
        <v>-3722.2320779712568</v>
      </c>
      <c r="F22" s="12">
        <v>22</v>
      </c>
      <c r="G22" s="3">
        <f t="shared" si="1"/>
        <v>4989.84658851523</v>
      </c>
      <c r="H22" s="3">
        <f t="shared" si="2"/>
        <v>23948.735367431382</v>
      </c>
      <c r="I22" s="3">
        <f>Austria!I22</f>
        <v>1450</v>
      </c>
      <c r="J22" s="3">
        <f t="shared" si="8"/>
        <v>25398.735367431382</v>
      </c>
      <c r="L22" s="3">
        <f>200</f>
        <v>200</v>
      </c>
      <c r="M22" s="3">
        <f t="shared" si="14"/>
        <v>330</v>
      </c>
      <c r="N22" s="3">
        <f t="shared" si="9"/>
        <v>530</v>
      </c>
      <c r="P22">
        <v>2028</v>
      </c>
      <c r="Q22" s="3">
        <f t="shared" si="3"/>
        <v>25398.735367431382</v>
      </c>
      <c r="R22" s="3">
        <f t="shared" si="4"/>
        <v>27259.851406417012</v>
      </c>
      <c r="S22" s="3">
        <f t="shared" si="5"/>
        <v>23851</v>
      </c>
      <c r="T22">
        <v>2028</v>
      </c>
      <c r="U22" s="3">
        <f>'Vehicle price'!X24</f>
        <v>23</v>
      </c>
      <c r="V22" s="20">
        <f>V21+(V24-V12)/12</f>
        <v>1.2499999999999991</v>
      </c>
      <c r="W22" s="3">
        <f t="shared" si="6"/>
        <v>33.354589495422644</v>
      </c>
      <c r="X22" s="3">
        <f>'Vehicle price'!T24</f>
        <v>26.683671596338133</v>
      </c>
      <c r="Y22" s="3">
        <f t="shared" si="10"/>
        <v>20.012753697253594</v>
      </c>
      <c r="Z22" s="20">
        <f>Z21+(Z24-Z12)/12</f>
        <v>0.74999999999999978</v>
      </c>
      <c r="AD22">
        <v>2028</v>
      </c>
      <c r="AE22" s="14">
        <v>0.85</v>
      </c>
      <c r="AG22" s="3"/>
      <c r="AH22">
        <v>2028</v>
      </c>
      <c r="AI22">
        <v>-4500</v>
      </c>
      <c r="AJ22">
        <v>-2250</v>
      </c>
      <c r="AK22" s="13">
        <f t="shared" si="15"/>
        <v>132.12194520848848</v>
      </c>
      <c r="AL22" s="3">
        <f t="shared" si="12"/>
        <v>-3722.2320779712568</v>
      </c>
      <c r="AM22" s="3">
        <f t="shared" si="13"/>
        <v>-1861.1160389856284</v>
      </c>
    </row>
    <row r="23" spans="1:39">
      <c r="A23">
        <v>2029</v>
      </c>
      <c r="B23" s="3">
        <f t="shared" si="7"/>
        <v>26.152566241906715</v>
      </c>
      <c r="C23" s="3">
        <f t="shared" si="0"/>
        <v>22229.68130562071</v>
      </c>
      <c r="D23" s="3">
        <v>0</v>
      </c>
      <c r="E23" s="3">
        <f t="shared" si="11"/>
        <v>-3658.572909348592</v>
      </c>
      <c r="F23" s="12">
        <v>22</v>
      </c>
      <c r="G23" s="3">
        <f t="shared" si="1"/>
        <v>4890.5298872365565</v>
      </c>
      <c r="H23" s="3">
        <f t="shared" si="2"/>
        <v>23461.638283508673</v>
      </c>
      <c r="I23" s="3">
        <f>Austria!I23</f>
        <v>1450</v>
      </c>
      <c r="J23" s="3">
        <f t="shared" si="8"/>
        <v>24911.638283508673</v>
      </c>
      <c r="L23" s="3">
        <f>200</f>
        <v>200</v>
      </c>
      <c r="M23" s="3">
        <f t="shared" si="14"/>
        <v>330</v>
      </c>
      <c r="N23" s="3">
        <f t="shared" si="9"/>
        <v>530</v>
      </c>
      <c r="P23">
        <v>2029</v>
      </c>
      <c r="Q23" s="3">
        <f t="shared" si="3"/>
        <v>24911.638283508673</v>
      </c>
      <c r="R23" s="3">
        <f t="shared" si="4"/>
        <v>26740.92473818297</v>
      </c>
      <c r="S23" s="3">
        <f t="shared" si="5"/>
        <v>23851</v>
      </c>
      <c r="T23">
        <v>2029</v>
      </c>
      <c r="U23" s="3">
        <f>'Vehicle price'!X25</f>
        <v>23</v>
      </c>
      <c r="V23" s="20">
        <f>V22+(V24-V12)/12</f>
        <v>1.274999999999999</v>
      </c>
      <c r="W23" s="3">
        <f t="shared" si="6"/>
        <v>33.344521958431038</v>
      </c>
      <c r="X23" s="3">
        <f>'Vehicle price'!T25</f>
        <v>26.152566241906715</v>
      </c>
      <c r="Y23" s="3">
        <f t="shared" si="10"/>
        <v>18.960610525382361</v>
      </c>
      <c r="Z23" s="20">
        <f>Z22+(Z24-Z12)/12</f>
        <v>0.72499999999999976</v>
      </c>
      <c r="AD23">
        <v>2029</v>
      </c>
      <c r="AE23" s="14">
        <v>0.85</v>
      </c>
      <c r="AG23" s="3"/>
      <c r="AH23">
        <v>2029</v>
      </c>
      <c r="AI23">
        <v>-4500</v>
      </c>
      <c r="AJ23">
        <v>-2250</v>
      </c>
      <c r="AK23" s="13">
        <f t="shared" si="15"/>
        <v>134.42086705511616</v>
      </c>
      <c r="AL23" s="3">
        <f t="shared" si="12"/>
        <v>-3658.572909348592</v>
      </c>
      <c r="AM23" s="3">
        <f t="shared" si="13"/>
        <v>-1829.286454674296</v>
      </c>
    </row>
    <row r="24" spans="1:39">
      <c r="A24">
        <v>2030</v>
      </c>
      <c r="B24" s="3">
        <f t="shared" si="7"/>
        <v>25.55507271817137</v>
      </c>
      <c r="C24" s="3">
        <f t="shared" si="0"/>
        <v>21721.811810445666</v>
      </c>
      <c r="D24" s="3">
        <v>0</v>
      </c>
      <c r="E24" s="3">
        <f t="shared" si="11"/>
        <v>-3596.0024664326643</v>
      </c>
      <c r="F24" s="12">
        <v>22</v>
      </c>
      <c r="G24" s="3">
        <f t="shared" si="1"/>
        <v>4778.7985982980463</v>
      </c>
      <c r="H24" s="3">
        <f t="shared" si="2"/>
        <v>22904.60794231105</v>
      </c>
      <c r="I24" s="3">
        <f>Austria!I24</f>
        <v>1450</v>
      </c>
      <c r="J24" s="3">
        <f t="shared" si="8"/>
        <v>24354.60794231105</v>
      </c>
      <c r="L24" s="3">
        <f>200</f>
        <v>200</v>
      </c>
      <c r="M24" s="3">
        <f t="shared" si="14"/>
        <v>330</v>
      </c>
      <c r="N24" s="3">
        <f t="shared" si="9"/>
        <v>530</v>
      </c>
      <c r="P24">
        <v>2030</v>
      </c>
      <c r="Q24" s="3">
        <f t="shared" si="3"/>
        <v>24354.60794231105</v>
      </c>
      <c r="R24" s="3">
        <f t="shared" si="4"/>
        <v>26152.609175527381</v>
      </c>
      <c r="S24" s="3">
        <f t="shared" si="5"/>
        <v>23851</v>
      </c>
      <c r="T24">
        <v>2030</v>
      </c>
      <c r="U24" s="3">
        <f>'Vehicle price'!X26</f>
        <v>23</v>
      </c>
      <c r="V24">
        <v>1.3</v>
      </c>
      <c r="W24" s="3">
        <f t="shared" si="6"/>
        <v>33.221594533622785</v>
      </c>
      <c r="X24" s="3">
        <f>'Vehicle price'!T26</f>
        <v>25.55507271817137</v>
      </c>
      <c r="Y24" s="3">
        <f t="shared" si="10"/>
        <v>17.88855090271996</v>
      </c>
      <c r="Z24">
        <v>0.7</v>
      </c>
      <c r="AD24">
        <v>2030</v>
      </c>
      <c r="AE24" s="14">
        <v>0.85</v>
      </c>
      <c r="AG24" s="3"/>
      <c r="AH24">
        <v>2030</v>
      </c>
      <c r="AI24">
        <v>-4500</v>
      </c>
      <c r="AJ24">
        <v>-2250</v>
      </c>
      <c r="AK24" s="13">
        <f t="shared" si="15"/>
        <v>136.75979014187516</v>
      </c>
      <c r="AL24" s="3">
        <f t="shared" si="12"/>
        <v>-3596.0024664326643</v>
      </c>
      <c r="AM24" s="3">
        <f t="shared" si="13"/>
        <v>-1798.0012332163321</v>
      </c>
    </row>
    <row r="25" spans="1:39">
      <c r="G25" s="3"/>
    </row>
    <row r="26" spans="1:39">
      <c r="A26" t="s">
        <v>324</v>
      </c>
      <c r="B26" t="s">
        <v>1395</v>
      </c>
      <c r="C26" t="s">
        <v>709</v>
      </c>
      <c r="D26" t="s">
        <v>777</v>
      </c>
      <c r="E26" s="178" t="s">
        <v>871</v>
      </c>
      <c r="G26" s="3"/>
      <c r="L26" t="s">
        <v>904</v>
      </c>
      <c r="N26" t="s">
        <v>3</v>
      </c>
      <c r="AL26" t="s">
        <v>709</v>
      </c>
    </row>
    <row r="27" spans="1:39">
      <c r="B27" t="s">
        <v>711</v>
      </c>
      <c r="C27" t="s">
        <v>711</v>
      </c>
      <c r="D27" t="s">
        <v>771</v>
      </c>
      <c r="E27" t="s">
        <v>756</v>
      </c>
      <c r="F27" t="s">
        <v>714</v>
      </c>
      <c r="G27" s="3" t="s">
        <v>728</v>
      </c>
      <c r="H27" t="s">
        <v>717</v>
      </c>
      <c r="I27" t="s">
        <v>755</v>
      </c>
      <c r="J27" t="s">
        <v>717</v>
      </c>
      <c r="L27" t="s">
        <v>721</v>
      </c>
      <c r="N27" t="s">
        <v>981</v>
      </c>
      <c r="AL27" t="s">
        <v>713</v>
      </c>
    </row>
    <row r="28" spans="1:39">
      <c r="A28">
        <v>2009</v>
      </c>
      <c r="B28" s="3">
        <f t="shared" ref="B28:B49" si="16">B3</f>
        <v>29.592572886961211</v>
      </c>
      <c r="C28" s="3">
        <f t="shared" ref="C28:C49" si="17">B28*AE3*1000</f>
        <v>21302.040969337188</v>
      </c>
      <c r="D28" s="3">
        <v>0</v>
      </c>
      <c r="E28">
        <v>0</v>
      </c>
      <c r="F28" s="12">
        <v>20.149899159663867</v>
      </c>
      <c r="G28" s="3">
        <f t="shared" ref="G28:G49" si="18">C28*F28/100</f>
        <v>4292.3397742717261</v>
      </c>
      <c r="H28" s="3">
        <f t="shared" ref="H28:H49" si="19">C28+E28+G28</f>
        <v>25594.380743608912</v>
      </c>
      <c r="I28" s="3">
        <f>Austria!I28</f>
        <v>1450</v>
      </c>
      <c r="J28" s="3">
        <f>H28+I28</f>
        <v>27044.380743608912</v>
      </c>
      <c r="L28" s="3">
        <f t="shared" ref="L28:M49" si="20">L3/2</f>
        <v>100</v>
      </c>
      <c r="M28" s="3">
        <f t="shared" si="20"/>
        <v>140</v>
      </c>
      <c r="N28" s="3">
        <f>L28+M28</f>
        <v>240</v>
      </c>
      <c r="AL28">
        <v>0</v>
      </c>
    </row>
    <row r="29" spans="1:39">
      <c r="A29">
        <v>2010</v>
      </c>
      <c r="B29" s="3">
        <f t="shared" si="16"/>
        <v>30</v>
      </c>
      <c r="C29" s="3">
        <f t="shared" si="17"/>
        <v>22760.138776915202</v>
      </c>
      <c r="D29" s="3">
        <v>0</v>
      </c>
      <c r="E29">
        <v>0</v>
      </c>
      <c r="F29" s="12">
        <v>22.210058309037908</v>
      </c>
      <c r="G29" s="3">
        <f t="shared" si="18"/>
        <v>5055.040093570814</v>
      </c>
      <c r="H29" s="3">
        <f t="shared" si="19"/>
        <v>27815.178870486016</v>
      </c>
      <c r="I29" s="3">
        <f>Austria!I29</f>
        <v>1450</v>
      </c>
      <c r="J29" s="3">
        <f t="shared" ref="J29:J49" si="21">H29+I29</f>
        <v>29265.178870486016</v>
      </c>
      <c r="L29" s="3">
        <f t="shared" si="20"/>
        <v>100</v>
      </c>
      <c r="M29" s="3">
        <f t="shared" si="20"/>
        <v>140</v>
      </c>
      <c r="N29" s="3">
        <f t="shared" ref="N29:N49" si="22">L29+M29</f>
        <v>240</v>
      </c>
      <c r="AL29">
        <v>0</v>
      </c>
    </row>
    <row r="30" spans="1:39">
      <c r="A30">
        <v>2011</v>
      </c>
      <c r="B30" s="3">
        <f t="shared" si="16"/>
        <v>30</v>
      </c>
      <c r="C30" s="3">
        <f t="shared" si="17"/>
        <v>21463.232997813917</v>
      </c>
      <c r="D30" s="3">
        <v>0</v>
      </c>
      <c r="E30">
        <v>0</v>
      </c>
      <c r="F30" s="12">
        <v>24.379694735036868</v>
      </c>
      <c r="G30" s="3">
        <f t="shared" si="18"/>
        <v>5232.6706851367353</v>
      </c>
      <c r="H30" s="3">
        <f t="shared" si="19"/>
        <v>26695.903682950651</v>
      </c>
      <c r="I30" s="3">
        <f>Austria!I30</f>
        <v>1450</v>
      </c>
      <c r="J30" s="3">
        <f t="shared" si="21"/>
        <v>28145.903682950651</v>
      </c>
      <c r="L30" s="3">
        <f t="shared" si="20"/>
        <v>100</v>
      </c>
      <c r="M30" s="3">
        <f t="shared" si="20"/>
        <v>140</v>
      </c>
      <c r="N30" s="3">
        <f t="shared" si="22"/>
        <v>240</v>
      </c>
      <c r="AL30">
        <v>0</v>
      </c>
    </row>
    <row r="31" spans="1:39">
      <c r="A31">
        <v>2012</v>
      </c>
      <c r="B31" s="3">
        <f t="shared" si="16"/>
        <v>30.842462459493706</v>
      </c>
      <c r="C31" s="3">
        <f t="shared" si="17"/>
        <v>23868.964632772961</v>
      </c>
      <c r="D31" s="3">
        <v>0</v>
      </c>
      <c r="E31">
        <v>0</v>
      </c>
      <c r="F31" s="12">
        <v>26.364740181786999</v>
      </c>
      <c r="G31" s="3">
        <f t="shared" si="18"/>
        <v>6292.9905095132208</v>
      </c>
      <c r="H31" s="3">
        <f t="shared" si="19"/>
        <v>30161.95514228618</v>
      </c>
      <c r="I31" s="3">
        <f>Austria!I31</f>
        <v>1450</v>
      </c>
      <c r="J31" s="3">
        <f t="shared" si="21"/>
        <v>31611.95514228618</v>
      </c>
      <c r="L31" s="3">
        <f t="shared" si="20"/>
        <v>100</v>
      </c>
      <c r="M31" s="3">
        <f t="shared" si="20"/>
        <v>150</v>
      </c>
      <c r="N31" s="3">
        <f t="shared" si="22"/>
        <v>250</v>
      </c>
      <c r="AL31">
        <v>0</v>
      </c>
    </row>
    <row r="32" spans="1:39">
      <c r="A32">
        <v>2013</v>
      </c>
      <c r="B32" s="3">
        <f t="shared" si="16"/>
        <v>31.143929334439989</v>
      </c>
      <c r="C32" s="3">
        <f t="shared" si="17"/>
        <v>23409.918880648976</v>
      </c>
      <c r="D32" s="3">
        <v>0</v>
      </c>
      <c r="E32" s="3">
        <f t="shared" ref="E32:E49" si="23">AM7</f>
        <v>-2585.0160682535889</v>
      </c>
      <c r="F32" s="12">
        <v>25.5638140970674</v>
      </c>
      <c r="G32" s="3">
        <f t="shared" si="18"/>
        <v>5984.468142923386</v>
      </c>
      <c r="H32" s="3">
        <f t="shared" si="19"/>
        <v>26809.370955318773</v>
      </c>
      <c r="I32" s="3">
        <f>Austria!I32</f>
        <v>1450</v>
      </c>
      <c r="J32" s="3">
        <f t="shared" si="21"/>
        <v>28259.370955318773</v>
      </c>
      <c r="L32" s="3">
        <f t="shared" si="20"/>
        <v>100</v>
      </c>
      <c r="M32" s="3">
        <f t="shared" si="20"/>
        <v>150</v>
      </c>
      <c r="N32" s="3">
        <f t="shared" si="22"/>
        <v>250</v>
      </c>
      <c r="AL32">
        <v>0</v>
      </c>
    </row>
    <row r="33" spans="1:38">
      <c r="A33">
        <v>2014</v>
      </c>
      <c r="B33" s="3">
        <f t="shared" si="16"/>
        <v>33.541755956678692</v>
      </c>
      <c r="C33" s="3">
        <f t="shared" si="17"/>
        <v>25404.118038119632</v>
      </c>
      <c r="D33" s="3">
        <v>0</v>
      </c>
      <c r="E33" s="3">
        <f t="shared" si="23"/>
        <v>-2561.7855260019714</v>
      </c>
      <c r="F33" s="12">
        <v>24.638741210770021</v>
      </c>
      <c r="G33" s="3">
        <f t="shared" si="18"/>
        <v>6259.2549002908427</v>
      </c>
      <c r="H33" s="3">
        <f t="shared" si="19"/>
        <v>29101.587412408502</v>
      </c>
      <c r="I33" s="3">
        <f>Austria!I33</f>
        <v>1450</v>
      </c>
      <c r="J33" s="3">
        <f t="shared" si="21"/>
        <v>30551.587412408502</v>
      </c>
      <c r="L33" s="3">
        <f t="shared" si="20"/>
        <v>100</v>
      </c>
      <c r="M33" s="3">
        <f t="shared" si="20"/>
        <v>165</v>
      </c>
      <c r="N33" s="3">
        <f t="shared" si="22"/>
        <v>265</v>
      </c>
      <c r="AL33">
        <v>0</v>
      </c>
    </row>
    <row r="34" spans="1:38">
      <c r="A34">
        <v>2015</v>
      </c>
      <c r="B34" s="3">
        <f t="shared" si="16"/>
        <v>30</v>
      </c>
      <c r="C34" s="3">
        <f t="shared" si="17"/>
        <v>27177.76686239925</v>
      </c>
      <c r="D34" s="3">
        <v>0</v>
      </c>
      <c r="E34" s="3">
        <f t="shared" si="23"/>
        <v>-2300.2150301641423</v>
      </c>
      <c r="F34" s="12">
        <v>22.305693706053855</v>
      </c>
      <c r="G34" s="3">
        <f t="shared" si="18"/>
        <v>6062.1894324721807</v>
      </c>
      <c r="H34" s="3">
        <f t="shared" si="19"/>
        <v>30939.741264707289</v>
      </c>
      <c r="I34" s="3">
        <f>Austria!I34</f>
        <v>1450</v>
      </c>
      <c r="J34" s="3">
        <f t="shared" si="21"/>
        <v>32389.741264707289</v>
      </c>
      <c r="L34" s="3">
        <f t="shared" si="20"/>
        <v>100</v>
      </c>
      <c r="M34" s="3">
        <f t="shared" si="20"/>
        <v>165</v>
      </c>
      <c r="N34" s="3">
        <f t="shared" si="22"/>
        <v>265</v>
      </c>
      <c r="AL34">
        <v>0</v>
      </c>
    </row>
    <row r="35" spans="1:38">
      <c r="A35">
        <v>2016</v>
      </c>
      <c r="B35" s="3">
        <f t="shared" si="16"/>
        <v>30</v>
      </c>
      <c r="C35" s="3">
        <f t="shared" si="17"/>
        <v>27202.412312659035</v>
      </c>
      <c r="D35" s="3">
        <v>0</v>
      </c>
      <c r="E35" s="3">
        <f t="shared" si="23"/>
        <v>-2289.1500000000005</v>
      </c>
      <c r="F35" s="12">
        <v>20.842840336134451</v>
      </c>
      <c r="G35" s="3">
        <f t="shared" si="18"/>
        <v>5669.7553659045025</v>
      </c>
      <c r="H35" s="3">
        <f t="shared" si="19"/>
        <v>30583.017678563534</v>
      </c>
      <c r="I35" s="3">
        <f>Austria!I35</f>
        <v>1450</v>
      </c>
      <c r="J35" s="3">
        <f t="shared" si="21"/>
        <v>32033.017678563534</v>
      </c>
      <c r="L35" s="3">
        <f t="shared" si="20"/>
        <v>100</v>
      </c>
      <c r="M35" s="3">
        <f t="shared" si="20"/>
        <v>165</v>
      </c>
      <c r="N35" s="3">
        <f t="shared" si="22"/>
        <v>265</v>
      </c>
      <c r="AL35">
        <v>-3500</v>
      </c>
    </row>
    <row r="36" spans="1:38">
      <c r="A36">
        <v>2017</v>
      </c>
      <c r="B36" s="3">
        <f t="shared" si="16"/>
        <v>30</v>
      </c>
      <c r="C36" s="3">
        <f t="shared" si="17"/>
        <v>26462.003510368591</v>
      </c>
      <c r="D36" s="3">
        <v>0</v>
      </c>
      <c r="E36" s="3">
        <f t="shared" si="23"/>
        <v>-2250</v>
      </c>
      <c r="F36" s="12">
        <v>21.935899159663872</v>
      </c>
      <c r="G36" s="3">
        <f t="shared" si="18"/>
        <v>5804.6784056611687</v>
      </c>
      <c r="H36" s="3">
        <f t="shared" si="19"/>
        <v>30016.68191602976</v>
      </c>
      <c r="I36" s="3">
        <f>Austria!I36</f>
        <v>1450</v>
      </c>
      <c r="J36" s="3">
        <f t="shared" si="21"/>
        <v>31466.68191602976</v>
      </c>
      <c r="L36" s="3">
        <f t="shared" si="20"/>
        <v>100</v>
      </c>
      <c r="M36" s="3">
        <f t="shared" si="20"/>
        <v>165</v>
      </c>
      <c r="N36" s="3">
        <f t="shared" si="22"/>
        <v>265</v>
      </c>
      <c r="AL36">
        <v>-3000</v>
      </c>
    </row>
    <row r="37" spans="1:38">
      <c r="A37">
        <v>2018</v>
      </c>
      <c r="B37" s="3">
        <f t="shared" si="16"/>
        <v>30.592100851060948</v>
      </c>
      <c r="C37" s="3">
        <f t="shared" si="17"/>
        <v>26003.285723401805</v>
      </c>
      <c r="D37" s="3">
        <v>0</v>
      </c>
      <c r="E37" s="3">
        <f t="shared" si="23"/>
        <v>-2211.5195596618828</v>
      </c>
      <c r="F37" s="12">
        <v>22</v>
      </c>
      <c r="G37" s="3">
        <f t="shared" si="18"/>
        <v>5720.7228591483972</v>
      </c>
      <c r="H37" s="3">
        <f t="shared" si="19"/>
        <v>29512.48902288832</v>
      </c>
      <c r="I37" s="3">
        <f>Austria!I37</f>
        <v>1450</v>
      </c>
      <c r="J37" s="3">
        <f t="shared" si="21"/>
        <v>30962.48902288832</v>
      </c>
      <c r="L37" s="3">
        <f t="shared" si="20"/>
        <v>100</v>
      </c>
      <c r="M37" s="3">
        <f t="shared" si="20"/>
        <v>165</v>
      </c>
      <c r="N37" s="3">
        <f t="shared" si="22"/>
        <v>265</v>
      </c>
      <c r="AL37">
        <v>-2500</v>
      </c>
    </row>
    <row r="38" spans="1:38">
      <c r="A38">
        <v>2019</v>
      </c>
      <c r="B38" s="3">
        <f t="shared" si="16"/>
        <v>31.172994053473918</v>
      </c>
      <c r="C38" s="3">
        <f t="shared" si="17"/>
        <v>26497.044945452828</v>
      </c>
      <c r="D38" s="3">
        <v>0</v>
      </c>
      <c r="E38" s="3">
        <f t="shared" si="23"/>
        <v>-2173.6972278964836</v>
      </c>
      <c r="F38" s="12">
        <v>22</v>
      </c>
      <c r="G38" s="3">
        <f t="shared" si="18"/>
        <v>5829.3498879996223</v>
      </c>
      <c r="H38" s="3">
        <f t="shared" si="19"/>
        <v>30152.697605555968</v>
      </c>
      <c r="I38" s="3">
        <f>Austria!I38</f>
        <v>1450</v>
      </c>
      <c r="J38" s="3">
        <f t="shared" si="21"/>
        <v>31602.697605555968</v>
      </c>
      <c r="L38" s="3">
        <f t="shared" si="20"/>
        <v>100</v>
      </c>
      <c r="M38" s="3">
        <f t="shared" si="20"/>
        <v>165</v>
      </c>
      <c r="N38" s="3">
        <f t="shared" si="22"/>
        <v>265</v>
      </c>
      <c r="AL38">
        <v>-2000</v>
      </c>
    </row>
    <row r="39" spans="1:38">
      <c r="A39">
        <v>2020</v>
      </c>
      <c r="B39" s="3">
        <f t="shared" si="16"/>
        <v>30.985903123425071</v>
      </c>
      <c r="C39" s="3">
        <f t="shared" si="17"/>
        <v>26338.017654911313</v>
      </c>
      <c r="D39" s="3">
        <v>0</v>
      </c>
      <c r="E39" s="3">
        <f t="shared" si="23"/>
        <v>-2136.5217494559492</v>
      </c>
      <c r="F39" s="12">
        <v>22</v>
      </c>
      <c r="G39" s="3">
        <f t="shared" si="18"/>
        <v>5794.3638840804888</v>
      </c>
      <c r="H39" s="3">
        <f t="shared" si="19"/>
        <v>29995.859789535851</v>
      </c>
      <c r="I39" s="3">
        <f>Austria!I39</f>
        <v>1450</v>
      </c>
      <c r="J39" s="3">
        <f t="shared" si="21"/>
        <v>31445.859789535851</v>
      </c>
      <c r="L39" s="3">
        <f t="shared" si="20"/>
        <v>100</v>
      </c>
      <c r="M39" s="3">
        <f t="shared" si="20"/>
        <v>165</v>
      </c>
      <c r="N39" s="3">
        <f t="shared" si="22"/>
        <v>265</v>
      </c>
      <c r="AL39">
        <v>-1500</v>
      </c>
    </row>
    <row r="40" spans="1:38">
      <c r="A40">
        <v>2021</v>
      </c>
      <c r="B40" s="3">
        <f t="shared" si="16"/>
        <v>30.206708843097807</v>
      </c>
      <c r="C40" s="3">
        <f t="shared" si="17"/>
        <v>25675.702516633137</v>
      </c>
      <c r="D40" s="3">
        <v>0</v>
      </c>
      <c r="E40" s="3">
        <f t="shared" si="23"/>
        <v>-2099.982061584381</v>
      </c>
      <c r="F40" s="12">
        <v>22</v>
      </c>
      <c r="G40" s="3">
        <f t="shared" si="18"/>
        <v>5648.6545536592903</v>
      </c>
      <c r="H40" s="3">
        <f t="shared" si="19"/>
        <v>29224.375008708044</v>
      </c>
      <c r="I40" s="3">
        <f>Austria!I40</f>
        <v>1450</v>
      </c>
      <c r="J40" s="3">
        <f t="shared" si="21"/>
        <v>30674.375008708044</v>
      </c>
      <c r="L40" s="3">
        <f t="shared" si="20"/>
        <v>100</v>
      </c>
      <c r="M40" s="3">
        <f t="shared" si="20"/>
        <v>165</v>
      </c>
      <c r="N40" s="3">
        <f t="shared" si="22"/>
        <v>265</v>
      </c>
      <c r="AL40">
        <v>0</v>
      </c>
    </row>
    <row r="41" spans="1:38">
      <c r="A41">
        <v>2022</v>
      </c>
      <c r="B41" s="3">
        <f t="shared" si="16"/>
        <v>30.642454642697771</v>
      </c>
      <c r="C41" s="3">
        <f t="shared" si="17"/>
        <v>26046.086446293106</v>
      </c>
      <c r="D41" s="3">
        <v>0</v>
      </c>
      <c r="E41" s="3">
        <f t="shared" si="23"/>
        <v>-2064.0672907257526</v>
      </c>
      <c r="F41" s="12">
        <v>22</v>
      </c>
      <c r="G41" s="3">
        <f t="shared" si="18"/>
        <v>5730.1390181844836</v>
      </c>
      <c r="H41" s="3">
        <f t="shared" si="19"/>
        <v>29712.158173751835</v>
      </c>
      <c r="I41" s="3">
        <f>Austria!I41</f>
        <v>1450</v>
      </c>
      <c r="J41" s="3">
        <f t="shared" si="21"/>
        <v>31162.158173751835</v>
      </c>
      <c r="L41" s="3">
        <f t="shared" si="20"/>
        <v>100</v>
      </c>
      <c r="M41" s="3">
        <f t="shared" si="20"/>
        <v>165</v>
      </c>
      <c r="N41" s="3">
        <f t="shared" si="22"/>
        <v>265</v>
      </c>
    </row>
    <row r="42" spans="1:38">
      <c r="A42">
        <v>2023</v>
      </c>
      <c r="B42" s="3">
        <f t="shared" si="16"/>
        <v>30.361546257811007</v>
      </c>
      <c r="C42" s="3">
        <f t="shared" si="17"/>
        <v>25807.314319139354</v>
      </c>
      <c r="D42" s="3">
        <v>0</v>
      </c>
      <c r="E42" s="3">
        <f t="shared" si="23"/>
        <v>-2028.7667492881387</v>
      </c>
      <c r="F42" s="12">
        <v>22</v>
      </c>
      <c r="G42" s="3">
        <f t="shared" si="18"/>
        <v>5677.6091502106574</v>
      </c>
      <c r="H42" s="3">
        <f t="shared" si="19"/>
        <v>29456.156720061874</v>
      </c>
      <c r="I42" s="3">
        <f>Austria!I42</f>
        <v>1450</v>
      </c>
      <c r="J42" s="3">
        <f t="shared" si="21"/>
        <v>30906.156720061874</v>
      </c>
      <c r="L42" s="3">
        <f t="shared" si="20"/>
        <v>100</v>
      </c>
      <c r="M42" s="3">
        <f t="shared" si="20"/>
        <v>165</v>
      </c>
      <c r="N42" s="3">
        <f t="shared" si="22"/>
        <v>265</v>
      </c>
    </row>
    <row r="43" spans="1:38">
      <c r="A43">
        <v>2024</v>
      </c>
      <c r="B43" s="3">
        <f t="shared" si="16"/>
        <v>29.275640447464834</v>
      </c>
      <c r="C43" s="3">
        <f t="shared" si="17"/>
        <v>24884.294380345105</v>
      </c>
      <c r="D43" s="3">
        <v>0</v>
      </c>
      <c r="E43" s="3">
        <f t="shared" si="23"/>
        <v>-1994.0699324632776</v>
      </c>
      <c r="F43" s="12">
        <v>22</v>
      </c>
      <c r="G43" s="3">
        <f t="shared" si="18"/>
        <v>5474.5447636759236</v>
      </c>
      <c r="H43" s="3">
        <f t="shared" si="19"/>
        <v>28364.769211557752</v>
      </c>
      <c r="I43" s="3">
        <f>Austria!I43</f>
        <v>1450</v>
      </c>
      <c r="J43" s="3">
        <f t="shared" si="21"/>
        <v>29814.769211557752</v>
      </c>
      <c r="L43" s="3">
        <f t="shared" si="20"/>
        <v>100</v>
      </c>
      <c r="M43" s="3">
        <f t="shared" si="20"/>
        <v>165</v>
      </c>
      <c r="N43" s="3">
        <f t="shared" si="22"/>
        <v>265</v>
      </c>
    </row>
    <row r="44" spans="1:38">
      <c r="A44">
        <v>2025</v>
      </c>
      <c r="B44" s="3">
        <f t="shared" si="16"/>
        <v>28.343375828936317</v>
      </c>
      <c r="C44" s="3">
        <f t="shared" si="17"/>
        <v>24091.869454595868</v>
      </c>
      <c r="D44" s="3">
        <v>0</v>
      </c>
      <c r="E44" s="3">
        <f t="shared" si="23"/>
        <v>-1959.9665151005283</v>
      </c>
      <c r="F44" s="12">
        <v>22</v>
      </c>
      <c r="G44" s="3">
        <f t="shared" si="18"/>
        <v>5300.2112800110908</v>
      </c>
      <c r="H44" s="3">
        <f t="shared" si="19"/>
        <v>27432.114219506431</v>
      </c>
      <c r="I44" s="3">
        <f>Austria!I44</f>
        <v>1450</v>
      </c>
      <c r="J44" s="3">
        <f t="shared" si="21"/>
        <v>28882.114219506431</v>
      </c>
      <c r="L44" s="3">
        <f t="shared" si="20"/>
        <v>100</v>
      </c>
      <c r="M44" s="3">
        <f t="shared" si="20"/>
        <v>165</v>
      </c>
      <c r="N44" s="3">
        <f t="shared" si="22"/>
        <v>265</v>
      </c>
    </row>
    <row r="45" spans="1:38">
      <c r="A45">
        <v>2026</v>
      </c>
      <c r="B45" s="3">
        <f t="shared" si="16"/>
        <v>27.812270474504896</v>
      </c>
      <c r="C45" s="3">
        <f t="shared" si="17"/>
        <v>23640.429903329161</v>
      </c>
      <c r="D45" s="3">
        <v>0</v>
      </c>
      <c r="E45" s="3">
        <f t="shared" si="23"/>
        <v>-1926.4463486342916</v>
      </c>
      <c r="F45" s="12">
        <v>22</v>
      </c>
      <c r="G45" s="3">
        <f t="shared" si="18"/>
        <v>5200.8945787324155</v>
      </c>
      <c r="H45" s="3">
        <f t="shared" si="19"/>
        <v>26914.878133427286</v>
      </c>
      <c r="I45" s="3">
        <f>Austria!I45</f>
        <v>1450</v>
      </c>
      <c r="J45" s="3">
        <f t="shared" si="21"/>
        <v>28364.878133427286</v>
      </c>
      <c r="L45" s="3">
        <f t="shared" si="20"/>
        <v>100</v>
      </c>
      <c r="M45" s="3">
        <f t="shared" si="20"/>
        <v>165</v>
      </c>
      <c r="N45" s="3">
        <f t="shared" si="22"/>
        <v>265</v>
      </c>
    </row>
    <row r="46" spans="1:38">
      <c r="A46">
        <v>2027</v>
      </c>
      <c r="B46" s="3">
        <f t="shared" si="16"/>
        <v>27.281165120073478</v>
      </c>
      <c r="C46" s="3">
        <f t="shared" si="17"/>
        <v>23188.990352062454</v>
      </c>
      <c r="D46" s="3">
        <v>0</v>
      </c>
      <c r="E46" s="3">
        <f t="shared" si="23"/>
        <v>-1893.4994580639782</v>
      </c>
      <c r="F46" s="12">
        <v>22</v>
      </c>
      <c r="G46" s="3">
        <f t="shared" si="18"/>
        <v>5101.5778774537393</v>
      </c>
      <c r="H46" s="3">
        <f t="shared" si="19"/>
        <v>26397.068771452214</v>
      </c>
      <c r="I46" s="3">
        <f>Austria!I46</f>
        <v>1450</v>
      </c>
      <c r="J46" s="3">
        <f t="shared" si="21"/>
        <v>27847.068771452214</v>
      </c>
      <c r="L46" s="3">
        <f t="shared" si="20"/>
        <v>100</v>
      </c>
      <c r="M46" s="3">
        <f t="shared" si="20"/>
        <v>165</v>
      </c>
      <c r="N46" s="3">
        <f t="shared" si="22"/>
        <v>265</v>
      </c>
    </row>
    <row r="47" spans="1:38">
      <c r="A47">
        <v>2028</v>
      </c>
      <c r="B47" s="3">
        <f t="shared" si="16"/>
        <v>26.683671596338133</v>
      </c>
      <c r="C47" s="3">
        <f t="shared" si="17"/>
        <v>22681.12085688741</v>
      </c>
      <c r="D47" s="3">
        <v>0</v>
      </c>
      <c r="E47" s="3">
        <f t="shared" si="23"/>
        <v>-1861.1160389856284</v>
      </c>
      <c r="F47" s="12">
        <v>22</v>
      </c>
      <c r="G47" s="3">
        <f t="shared" si="18"/>
        <v>4989.84658851523</v>
      </c>
      <c r="H47" s="3">
        <f t="shared" si="19"/>
        <v>25809.851406417012</v>
      </c>
      <c r="I47" s="3">
        <f>Austria!I47</f>
        <v>1450</v>
      </c>
      <c r="J47" s="3">
        <f t="shared" si="21"/>
        <v>27259.851406417012</v>
      </c>
      <c r="L47" s="3">
        <f t="shared" si="20"/>
        <v>100</v>
      </c>
      <c r="M47" s="3">
        <f t="shared" si="20"/>
        <v>165</v>
      </c>
      <c r="N47" s="3">
        <f t="shared" si="22"/>
        <v>265</v>
      </c>
    </row>
    <row r="48" spans="1:38">
      <c r="A48">
        <v>2029</v>
      </c>
      <c r="B48" s="3">
        <f t="shared" si="16"/>
        <v>26.152566241906715</v>
      </c>
      <c r="C48" s="3">
        <f t="shared" si="17"/>
        <v>22229.68130562071</v>
      </c>
      <c r="D48" s="3">
        <v>0</v>
      </c>
      <c r="E48" s="3">
        <f t="shared" si="23"/>
        <v>-1829.286454674296</v>
      </c>
      <c r="F48" s="12">
        <v>22</v>
      </c>
      <c r="G48" s="3">
        <f t="shared" si="18"/>
        <v>4890.5298872365565</v>
      </c>
      <c r="H48" s="3">
        <f t="shared" si="19"/>
        <v>25290.92473818297</v>
      </c>
      <c r="I48" s="3">
        <f>Austria!I48</f>
        <v>1450</v>
      </c>
      <c r="J48" s="3">
        <f t="shared" si="21"/>
        <v>26740.92473818297</v>
      </c>
      <c r="L48" s="3">
        <f t="shared" si="20"/>
        <v>100</v>
      </c>
      <c r="M48" s="3">
        <f t="shared" si="20"/>
        <v>165</v>
      </c>
      <c r="N48" s="3">
        <f t="shared" si="22"/>
        <v>265</v>
      </c>
    </row>
    <row r="49" spans="1:14">
      <c r="A49">
        <v>2030</v>
      </c>
      <c r="B49" s="3">
        <f t="shared" si="16"/>
        <v>25.55507271817137</v>
      </c>
      <c r="C49" s="3">
        <f t="shared" si="17"/>
        <v>21721.811810445666</v>
      </c>
      <c r="D49" s="3">
        <v>0</v>
      </c>
      <c r="E49" s="3">
        <f t="shared" si="23"/>
        <v>-1798.0012332163321</v>
      </c>
      <c r="F49" s="12">
        <v>22</v>
      </c>
      <c r="G49" s="3">
        <f t="shared" si="18"/>
        <v>4778.7985982980463</v>
      </c>
      <c r="H49" s="3">
        <f t="shared" si="19"/>
        <v>24702.609175527381</v>
      </c>
      <c r="I49" s="3">
        <f>Austria!I49</f>
        <v>1450</v>
      </c>
      <c r="J49" s="3">
        <f t="shared" si="21"/>
        <v>26152.609175527381</v>
      </c>
      <c r="L49" s="3">
        <f t="shared" si="20"/>
        <v>100</v>
      </c>
      <c r="M49" s="3">
        <f t="shared" si="20"/>
        <v>165</v>
      </c>
      <c r="N49" s="3">
        <f t="shared" si="22"/>
        <v>265</v>
      </c>
    </row>
    <row r="51" spans="1:14">
      <c r="A51" t="s">
        <v>716</v>
      </c>
      <c r="B51" t="s">
        <v>1395</v>
      </c>
      <c r="C51" t="s">
        <v>793</v>
      </c>
      <c r="D51" t="s">
        <v>777</v>
      </c>
    </row>
    <row r="52" spans="1:14">
      <c r="B52" t="s">
        <v>724</v>
      </c>
      <c r="C52" t="s">
        <v>724</v>
      </c>
      <c r="D52" t="s">
        <v>771</v>
      </c>
      <c r="E52" t="s">
        <v>714</v>
      </c>
      <c r="F52" t="s">
        <v>728</v>
      </c>
      <c r="G52" t="s">
        <v>725</v>
      </c>
    </row>
    <row r="53" spans="1:14">
      <c r="A53">
        <v>2009</v>
      </c>
      <c r="B53" s="3">
        <f t="shared" ref="B53:B74" si="24">U3</f>
        <v>23</v>
      </c>
      <c r="C53" s="3">
        <f t="shared" ref="C53:C74" si="25">B53*AE3*1000</f>
        <v>16556.415833333336</v>
      </c>
      <c r="D53" s="3">
        <v>0</v>
      </c>
      <c r="E53" s="12">
        <v>20.149899159663867</v>
      </c>
      <c r="F53" s="3">
        <f>C53*E53/100</f>
        <v>3336.1010948712897</v>
      </c>
      <c r="G53" s="3">
        <f t="shared" ref="G53:G74" si="26">D53+C53*(100+E53)/100</f>
        <v>19892.516928204626</v>
      </c>
    </row>
    <row r="54" spans="1:14">
      <c r="A54">
        <v>2010</v>
      </c>
      <c r="B54" s="3">
        <f t="shared" si="24"/>
        <v>23</v>
      </c>
      <c r="C54" s="3">
        <f t="shared" si="25"/>
        <v>17449.439728968322</v>
      </c>
      <c r="D54" s="3">
        <v>0</v>
      </c>
      <c r="E54" s="12">
        <v>22.210058309037908</v>
      </c>
      <c r="F54" s="3">
        <f t="shared" ref="F54:F74" si="27">C54*E54/100</f>
        <v>3875.5307384042908</v>
      </c>
      <c r="G54" s="3">
        <f t="shared" si="26"/>
        <v>21324.970467372612</v>
      </c>
    </row>
    <row r="55" spans="1:14">
      <c r="A55">
        <v>2011</v>
      </c>
      <c r="B55" s="3">
        <f t="shared" si="24"/>
        <v>23</v>
      </c>
      <c r="C55" s="3">
        <f t="shared" si="25"/>
        <v>16455.145298324001</v>
      </c>
      <c r="D55" s="3">
        <v>0</v>
      </c>
      <c r="E55" s="12">
        <v>24.379694735036868</v>
      </c>
      <c r="F55" s="3">
        <f t="shared" si="27"/>
        <v>4011.7141919381629</v>
      </c>
      <c r="G55" s="3">
        <f t="shared" si="26"/>
        <v>20466.859490262166</v>
      </c>
    </row>
    <row r="56" spans="1:14">
      <c r="A56">
        <v>2012</v>
      </c>
      <c r="B56" s="3">
        <f t="shared" si="24"/>
        <v>23</v>
      </c>
      <c r="C56" s="3">
        <f t="shared" si="25"/>
        <v>17799.687274476786</v>
      </c>
      <c r="D56" s="3">
        <v>0</v>
      </c>
      <c r="E56" s="12">
        <v>26.364740181786999</v>
      </c>
      <c r="F56" s="3">
        <f t="shared" si="27"/>
        <v>4692.8413030864085</v>
      </c>
      <c r="G56" s="3">
        <f t="shared" si="26"/>
        <v>22492.528577563193</v>
      </c>
    </row>
    <row r="57" spans="1:14">
      <c r="A57">
        <v>2013</v>
      </c>
      <c r="B57" s="3">
        <f t="shared" si="24"/>
        <v>23</v>
      </c>
      <c r="C57" s="3">
        <f t="shared" si="25"/>
        <v>17288.381580660563</v>
      </c>
      <c r="D57" s="3">
        <v>0</v>
      </c>
      <c r="E57" s="12">
        <v>25.5638140970674</v>
      </c>
      <c r="F57" s="3">
        <f t="shared" si="27"/>
        <v>4419.5697276717083</v>
      </c>
      <c r="G57" s="3">
        <f t="shared" si="26"/>
        <v>21707.951308332271</v>
      </c>
    </row>
    <row r="58" spans="1:14">
      <c r="A58">
        <v>2014</v>
      </c>
      <c r="B58" s="3">
        <f t="shared" si="24"/>
        <v>23</v>
      </c>
      <c r="C58" s="3">
        <f t="shared" si="25"/>
        <v>17419.920281794584</v>
      </c>
      <c r="D58" s="3">
        <v>0</v>
      </c>
      <c r="E58" s="12">
        <v>24.638741210770021</v>
      </c>
      <c r="F58" s="3">
        <f t="shared" si="27"/>
        <v>4292.0490773538077</v>
      </c>
      <c r="G58" s="3">
        <f t="shared" si="26"/>
        <v>21711.969359148392</v>
      </c>
    </row>
    <row r="59" spans="1:14">
      <c r="A59">
        <v>2015</v>
      </c>
      <c r="B59" s="3">
        <f t="shared" si="24"/>
        <v>23</v>
      </c>
      <c r="C59" s="3">
        <f t="shared" si="25"/>
        <v>20836.287927839425</v>
      </c>
      <c r="D59" s="3">
        <v>0</v>
      </c>
      <c r="E59" s="12">
        <v>22.305693706053855</v>
      </c>
      <c r="F59" s="3">
        <f t="shared" si="27"/>
        <v>4647.6785648953382</v>
      </c>
      <c r="G59" s="3">
        <f t="shared" si="26"/>
        <v>25483.966492734766</v>
      </c>
    </row>
    <row r="60" spans="1:14">
      <c r="A60">
        <v>2016</v>
      </c>
      <c r="B60" s="3">
        <f t="shared" si="24"/>
        <v>23</v>
      </c>
      <c r="C60" s="3">
        <f t="shared" si="25"/>
        <v>20855.182773038596</v>
      </c>
      <c r="D60" s="3">
        <v>0</v>
      </c>
      <c r="E60" s="12">
        <v>20.842840336134451</v>
      </c>
      <c r="F60" s="3">
        <f t="shared" si="27"/>
        <v>4346.8124471934516</v>
      </c>
      <c r="G60" s="3">
        <f t="shared" si="26"/>
        <v>25201.995220232046</v>
      </c>
    </row>
    <row r="61" spans="1:14">
      <c r="A61">
        <v>2017</v>
      </c>
      <c r="B61" s="3">
        <f t="shared" si="24"/>
        <v>23</v>
      </c>
      <c r="C61" s="3">
        <f t="shared" si="25"/>
        <v>20287.536024615922</v>
      </c>
      <c r="D61" s="3">
        <v>0</v>
      </c>
      <c r="E61" s="12">
        <v>21.935899159663872</v>
      </c>
      <c r="F61" s="3">
        <f t="shared" si="27"/>
        <v>4450.2534443402292</v>
      </c>
      <c r="G61" s="3">
        <f t="shared" si="26"/>
        <v>24737.789468956151</v>
      </c>
    </row>
    <row r="62" spans="1:14">
      <c r="A62">
        <v>2018</v>
      </c>
      <c r="B62" s="3">
        <f t="shared" si="24"/>
        <v>23</v>
      </c>
      <c r="C62" s="3">
        <f t="shared" si="25"/>
        <v>19550</v>
      </c>
      <c r="D62" s="3">
        <v>0</v>
      </c>
      <c r="E62" s="12">
        <v>22</v>
      </c>
      <c r="F62" s="3">
        <f t="shared" si="27"/>
        <v>4301</v>
      </c>
      <c r="G62" s="3">
        <f t="shared" si="26"/>
        <v>23851</v>
      </c>
    </row>
    <row r="63" spans="1:14">
      <c r="A63">
        <v>2019</v>
      </c>
      <c r="B63" s="3">
        <f t="shared" si="24"/>
        <v>23</v>
      </c>
      <c r="C63" s="3">
        <f t="shared" si="25"/>
        <v>19550</v>
      </c>
      <c r="D63" s="3">
        <v>0</v>
      </c>
      <c r="E63" s="12">
        <v>22</v>
      </c>
      <c r="F63" s="3">
        <f t="shared" si="27"/>
        <v>4301</v>
      </c>
      <c r="G63" s="3">
        <f t="shared" si="26"/>
        <v>23851</v>
      </c>
    </row>
    <row r="64" spans="1:14">
      <c r="A64">
        <v>2020</v>
      </c>
      <c r="B64" s="3">
        <f t="shared" si="24"/>
        <v>23</v>
      </c>
      <c r="C64" s="3">
        <f t="shared" si="25"/>
        <v>19550</v>
      </c>
      <c r="D64" s="3">
        <v>0</v>
      </c>
      <c r="E64" s="12">
        <v>22</v>
      </c>
      <c r="F64" s="3">
        <f t="shared" si="27"/>
        <v>4301</v>
      </c>
      <c r="G64" s="3">
        <f t="shared" si="26"/>
        <v>23851</v>
      </c>
    </row>
    <row r="65" spans="1:28">
      <c r="A65">
        <v>2021</v>
      </c>
      <c r="B65" s="3">
        <f t="shared" si="24"/>
        <v>23</v>
      </c>
      <c r="C65" s="3">
        <f t="shared" si="25"/>
        <v>19550</v>
      </c>
      <c r="D65" s="3">
        <v>0</v>
      </c>
      <c r="E65" s="12">
        <v>22</v>
      </c>
      <c r="F65" s="3">
        <f t="shared" si="27"/>
        <v>4301</v>
      </c>
      <c r="G65" s="3">
        <f t="shared" si="26"/>
        <v>23851</v>
      </c>
    </row>
    <row r="66" spans="1:28">
      <c r="A66">
        <v>2022</v>
      </c>
      <c r="B66" s="3">
        <f t="shared" si="24"/>
        <v>23</v>
      </c>
      <c r="C66" s="3">
        <f t="shared" si="25"/>
        <v>19550</v>
      </c>
      <c r="D66" s="3">
        <v>0</v>
      </c>
      <c r="E66" s="12">
        <v>22</v>
      </c>
      <c r="F66" s="3">
        <f t="shared" si="27"/>
        <v>4301</v>
      </c>
      <c r="G66" s="3">
        <f t="shared" si="26"/>
        <v>23851</v>
      </c>
    </row>
    <row r="67" spans="1:28">
      <c r="A67">
        <v>2023</v>
      </c>
      <c r="B67" s="3">
        <f t="shared" si="24"/>
        <v>23</v>
      </c>
      <c r="C67" s="3">
        <f t="shared" si="25"/>
        <v>19550</v>
      </c>
      <c r="D67" s="3">
        <v>0</v>
      </c>
      <c r="E67" s="12">
        <v>22</v>
      </c>
      <c r="F67" s="3">
        <f t="shared" si="27"/>
        <v>4301</v>
      </c>
      <c r="G67" s="3">
        <f t="shared" si="26"/>
        <v>23851</v>
      </c>
    </row>
    <row r="68" spans="1:28">
      <c r="A68">
        <v>2024</v>
      </c>
      <c r="B68" s="3">
        <f t="shared" si="24"/>
        <v>23</v>
      </c>
      <c r="C68" s="3">
        <f t="shared" si="25"/>
        <v>19550</v>
      </c>
      <c r="D68" s="3">
        <v>0</v>
      </c>
      <c r="E68" s="12">
        <v>22</v>
      </c>
      <c r="F68" s="3">
        <f t="shared" si="27"/>
        <v>4301</v>
      </c>
      <c r="G68" s="3">
        <f t="shared" si="26"/>
        <v>23851</v>
      </c>
    </row>
    <row r="69" spans="1:28">
      <c r="A69">
        <v>2025</v>
      </c>
      <c r="B69" s="3">
        <f t="shared" si="24"/>
        <v>23</v>
      </c>
      <c r="C69" s="3">
        <f t="shared" si="25"/>
        <v>19550</v>
      </c>
      <c r="D69" s="3">
        <v>0</v>
      </c>
      <c r="E69" s="12">
        <v>22</v>
      </c>
      <c r="F69" s="3">
        <f t="shared" si="27"/>
        <v>4301</v>
      </c>
      <c r="G69" s="3">
        <f t="shared" si="26"/>
        <v>23851</v>
      </c>
    </row>
    <row r="70" spans="1:28">
      <c r="A70">
        <v>2026</v>
      </c>
      <c r="B70" s="3">
        <f t="shared" si="24"/>
        <v>23</v>
      </c>
      <c r="C70" s="3">
        <f t="shared" si="25"/>
        <v>19550</v>
      </c>
      <c r="D70" s="3">
        <v>0</v>
      </c>
      <c r="E70" s="12">
        <v>22</v>
      </c>
      <c r="F70" s="3">
        <f t="shared" si="27"/>
        <v>4301</v>
      </c>
      <c r="G70" s="3">
        <f t="shared" si="26"/>
        <v>23851</v>
      </c>
    </row>
    <row r="71" spans="1:28">
      <c r="A71">
        <v>2027</v>
      </c>
      <c r="B71" s="3">
        <f t="shared" si="24"/>
        <v>23</v>
      </c>
      <c r="C71" s="3">
        <f t="shared" si="25"/>
        <v>19550</v>
      </c>
      <c r="D71" s="3">
        <v>0</v>
      </c>
      <c r="E71" s="12">
        <v>22</v>
      </c>
      <c r="F71" s="3">
        <f t="shared" si="27"/>
        <v>4301</v>
      </c>
      <c r="G71" s="3">
        <f t="shared" si="26"/>
        <v>23851</v>
      </c>
    </row>
    <row r="72" spans="1:28">
      <c r="A72">
        <v>2028</v>
      </c>
      <c r="B72" s="3">
        <f t="shared" si="24"/>
        <v>23</v>
      </c>
      <c r="C72" s="3">
        <f t="shared" si="25"/>
        <v>19550</v>
      </c>
      <c r="D72" s="3">
        <v>0</v>
      </c>
      <c r="E72" s="12">
        <v>22</v>
      </c>
      <c r="F72" s="3">
        <f t="shared" si="27"/>
        <v>4301</v>
      </c>
      <c r="G72" s="3">
        <f t="shared" si="26"/>
        <v>23851</v>
      </c>
    </row>
    <row r="73" spans="1:28">
      <c r="A73">
        <v>2029</v>
      </c>
      <c r="B73" s="3">
        <f t="shared" si="24"/>
        <v>23</v>
      </c>
      <c r="C73" s="3">
        <f t="shared" si="25"/>
        <v>19550</v>
      </c>
      <c r="D73" s="3">
        <v>0</v>
      </c>
      <c r="E73" s="12">
        <v>22</v>
      </c>
      <c r="F73" s="3">
        <f t="shared" si="27"/>
        <v>4301</v>
      </c>
      <c r="G73" s="3">
        <f t="shared" si="26"/>
        <v>23851</v>
      </c>
    </row>
    <row r="74" spans="1:28">
      <c r="A74">
        <v>2030</v>
      </c>
      <c r="B74" s="3">
        <f t="shared" si="24"/>
        <v>23</v>
      </c>
      <c r="C74" s="3">
        <f t="shared" si="25"/>
        <v>19550</v>
      </c>
      <c r="D74" s="3">
        <v>0</v>
      </c>
      <c r="E74" s="12">
        <v>22</v>
      </c>
      <c r="F74" s="3">
        <f t="shared" si="27"/>
        <v>4301</v>
      </c>
      <c r="G74" s="3">
        <f t="shared" si="26"/>
        <v>23851</v>
      </c>
    </row>
    <row r="80" spans="1:28">
      <c r="Y80" s="87" t="s">
        <v>1223</v>
      </c>
      <c r="Z80" s="87"/>
      <c r="AA80" s="87"/>
      <c r="AB80" s="234"/>
    </row>
    <row r="81" spans="1:28">
      <c r="Y81" s="235" t="s">
        <v>1167</v>
      </c>
      <c r="Z81" s="235" t="s">
        <v>1168</v>
      </c>
      <c r="AA81" s="235" t="s">
        <v>1169</v>
      </c>
      <c r="AB81" s="235" t="s">
        <v>1170</v>
      </c>
    </row>
    <row r="82" spans="1:28">
      <c r="B82" t="s">
        <v>980</v>
      </c>
      <c r="C82" t="s">
        <v>980</v>
      </c>
      <c r="D82" t="s">
        <v>980</v>
      </c>
      <c r="E82" t="s">
        <v>980</v>
      </c>
      <c r="F82" t="s">
        <v>980</v>
      </c>
      <c r="J82" t="s">
        <v>812</v>
      </c>
      <c r="K82" t="s">
        <v>812</v>
      </c>
      <c r="L82" t="s">
        <v>812</v>
      </c>
      <c r="M82" t="s">
        <v>812</v>
      </c>
      <c r="N82" t="s">
        <v>812</v>
      </c>
      <c r="T82" t="s">
        <v>1042</v>
      </c>
      <c r="X82" s="3">
        <v>2010</v>
      </c>
      <c r="Y82" s="13">
        <v>1.5202287868685354</v>
      </c>
      <c r="Z82" s="13">
        <f t="shared" ref="Z82:AB82" si="28">Y82</f>
        <v>1.5202287868685354</v>
      </c>
      <c r="AA82" s="13">
        <f t="shared" si="28"/>
        <v>1.5202287868685354</v>
      </c>
      <c r="AB82" s="13">
        <f t="shared" si="28"/>
        <v>1.5202287868685354</v>
      </c>
    </row>
    <row r="83" spans="1:28">
      <c r="B83" t="s">
        <v>978</v>
      </c>
      <c r="C83" t="s">
        <v>979</v>
      </c>
      <c r="D83" t="s">
        <v>916</v>
      </c>
      <c r="E83" t="s">
        <v>981</v>
      </c>
      <c r="F83" t="s">
        <v>983</v>
      </c>
      <c r="J83" t="s">
        <v>725</v>
      </c>
      <c r="K83" t="s">
        <v>979</v>
      </c>
      <c r="L83" t="s">
        <v>916</v>
      </c>
      <c r="M83" t="s">
        <v>985</v>
      </c>
      <c r="N83" t="s">
        <v>983</v>
      </c>
      <c r="R83" t="s">
        <v>997</v>
      </c>
      <c r="T83" t="s">
        <v>934</v>
      </c>
      <c r="U83" t="s">
        <v>986</v>
      </c>
      <c r="V83" t="s">
        <v>987</v>
      </c>
      <c r="X83" s="3">
        <v>2011</v>
      </c>
      <c r="Y83" s="13">
        <v>1.6348105321240771</v>
      </c>
      <c r="Z83" s="13">
        <f t="shared" ref="Z83:AB83" si="29">Y83</f>
        <v>1.6348105321240771</v>
      </c>
      <c r="AA83" s="13">
        <f t="shared" si="29"/>
        <v>1.6348105321240771</v>
      </c>
      <c r="AB83" s="13">
        <f t="shared" si="29"/>
        <v>1.6348105321240771</v>
      </c>
    </row>
    <row r="84" spans="1:28">
      <c r="A84" s="3">
        <v>2012</v>
      </c>
      <c r="B84" s="3">
        <f t="shared" ref="B84:B102" si="30">MIN(J6,J31)</f>
        <v>31611.95514228618</v>
      </c>
      <c r="C84" s="3">
        <f>B84/5</f>
        <v>6322.3910284572357</v>
      </c>
      <c r="D84" s="3">
        <f>B84*0.13</f>
        <v>4109.554168497204</v>
      </c>
      <c r="E84" s="3">
        <f t="shared" ref="E84:E102" si="31">AVERAGE(N6,NL31)</f>
        <v>500</v>
      </c>
      <c r="F84" s="3">
        <f>C84+D84-E84</f>
        <v>9931.9451969544389</v>
      </c>
      <c r="G84" s="3"/>
      <c r="H84" s="3"/>
      <c r="I84" s="3">
        <v>2012</v>
      </c>
      <c r="J84" s="3">
        <f>G56</f>
        <v>22492.528577563193</v>
      </c>
      <c r="K84" s="3">
        <f>J84/5</f>
        <v>4498.5057155126387</v>
      </c>
      <c r="L84" s="3">
        <f>J84*0.13</f>
        <v>2924.028715083215</v>
      </c>
      <c r="M84" s="3">
        <f t="shared" ref="M84:M102" si="32">V84/100*U84*T84</f>
        <v>1409.721999085958</v>
      </c>
      <c r="N84" s="3">
        <f t="shared" ref="N84:N102" si="33">SUM(K84:M84)</f>
        <v>8832.2564296818109</v>
      </c>
      <c r="O84" s="3"/>
      <c r="P84" s="3"/>
      <c r="Q84" s="3">
        <v>2012</v>
      </c>
      <c r="R84" s="13">
        <f>N84/F84</f>
        <v>0.88927760418877067</v>
      </c>
      <c r="S84" s="3"/>
      <c r="T84" s="13">
        <f>AA84</f>
        <v>1.7331105698095135</v>
      </c>
      <c r="U84" s="12">
        <f>'Country L per 100 km'!J7</f>
        <v>5.8455313698711286</v>
      </c>
      <c r="V84" s="3">
        <f>'Country distance travelled'!J7</f>
        <v>13915</v>
      </c>
      <c r="X84" s="3">
        <v>2012</v>
      </c>
      <c r="Y84" s="13">
        <v>1.7331105698095135</v>
      </c>
      <c r="Z84" s="13">
        <f t="shared" ref="Z84:AB84" si="34">Y84</f>
        <v>1.7331105698095135</v>
      </c>
      <c r="AA84" s="13">
        <f t="shared" si="34"/>
        <v>1.7331105698095135</v>
      </c>
      <c r="AB84" s="13">
        <f t="shared" si="34"/>
        <v>1.7331105698095135</v>
      </c>
    </row>
    <row r="85" spans="1:28">
      <c r="A85" s="3">
        <v>2013</v>
      </c>
      <c r="B85" s="3">
        <f t="shared" si="30"/>
        <v>25674.354887065183</v>
      </c>
      <c r="C85" s="3">
        <f t="shared" ref="C85:C102" si="35">B85/5</f>
        <v>5134.8709774130366</v>
      </c>
      <c r="D85" s="3">
        <f t="shared" ref="D85:D102" si="36">B85*0.13</f>
        <v>3337.6661353184741</v>
      </c>
      <c r="E85" s="3">
        <f t="shared" si="31"/>
        <v>500</v>
      </c>
      <c r="F85" s="3">
        <f t="shared" ref="F85:F102" si="37">C85+D85-E85</f>
        <v>7972.5371127315102</v>
      </c>
      <c r="G85" s="3"/>
      <c r="H85" s="3"/>
      <c r="I85" s="3">
        <v>2013</v>
      </c>
      <c r="J85" s="3">
        <f t="shared" ref="J85:J102" si="38">G57</f>
        <v>21707.951308332271</v>
      </c>
      <c r="K85" s="3">
        <f t="shared" ref="K85:K102" si="39">J85/5</f>
        <v>4341.5902616664544</v>
      </c>
      <c r="L85" s="3">
        <f t="shared" ref="L85:L102" si="40">J85*0.13</f>
        <v>2822.0336700831954</v>
      </c>
      <c r="M85" s="3">
        <f t="shared" si="32"/>
        <v>1345.362679160274</v>
      </c>
      <c r="N85" s="3">
        <f t="shared" si="33"/>
        <v>8508.9866109099239</v>
      </c>
      <c r="O85" s="3"/>
      <c r="P85" s="3"/>
      <c r="Q85" s="3">
        <v>2013</v>
      </c>
      <c r="R85" s="13">
        <f t="shared" ref="R85:R102" si="41">N85/F85</f>
        <v>1.067287174784266</v>
      </c>
      <c r="S85" s="3"/>
      <c r="T85" s="13">
        <f t="shared" ref="T85:T102" si="42">AA85</f>
        <v>1.6555498009695264</v>
      </c>
      <c r="U85" s="12">
        <f>'Country L per 100 km'!J8</f>
        <v>5.8</v>
      </c>
      <c r="V85" s="3">
        <f>'Country distance travelled'!J8</f>
        <v>14011</v>
      </c>
      <c r="X85" s="3">
        <v>2013</v>
      </c>
      <c r="Y85" s="13">
        <v>1.6555498009695264</v>
      </c>
      <c r="Z85" s="13">
        <f t="shared" ref="Z85:AB85" si="43">Y85</f>
        <v>1.6555498009695264</v>
      </c>
      <c r="AA85" s="13">
        <f t="shared" si="43"/>
        <v>1.6555498009695264</v>
      </c>
      <c r="AB85" s="13">
        <f t="shared" si="43"/>
        <v>1.6555498009695264</v>
      </c>
    </row>
    <row r="86" spans="1:28">
      <c r="A86" s="3">
        <v>2014</v>
      </c>
      <c r="B86" s="3">
        <f t="shared" si="30"/>
        <v>27989.801886406531</v>
      </c>
      <c r="C86" s="3">
        <f t="shared" si="35"/>
        <v>5597.9603772813061</v>
      </c>
      <c r="D86" s="3">
        <f t="shared" si="36"/>
        <v>3638.674245232849</v>
      </c>
      <c r="E86" s="3">
        <f t="shared" si="31"/>
        <v>530</v>
      </c>
      <c r="F86" s="3">
        <f t="shared" si="37"/>
        <v>8706.6346225141551</v>
      </c>
      <c r="G86" s="3"/>
      <c r="H86" s="3"/>
      <c r="I86" s="3">
        <v>2014</v>
      </c>
      <c r="J86" s="3">
        <f t="shared" si="38"/>
        <v>21711.969359148392</v>
      </c>
      <c r="K86" s="3">
        <f t="shared" si="39"/>
        <v>4342.3938718296786</v>
      </c>
      <c r="L86" s="3">
        <f t="shared" si="40"/>
        <v>2822.556016689291</v>
      </c>
      <c r="M86" s="3">
        <f t="shared" si="32"/>
        <v>1278.4883730238905</v>
      </c>
      <c r="N86" s="3">
        <f t="shared" si="33"/>
        <v>8443.4382615428603</v>
      </c>
      <c r="O86" s="3"/>
      <c r="P86" s="3"/>
      <c r="Q86" s="3">
        <v>2014</v>
      </c>
      <c r="R86" s="13">
        <f t="shared" si="41"/>
        <v>0.9697705976668981</v>
      </c>
      <c r="S86" s="3"/>
      <c r="T86" s="13">
        <f t="shared" si="42"/>
        <v>1.5813013269276655</v>
      </c>
      <c r="U86" s="12">
        <f>'Country L per 100 km'!J9</f>
        <v>5.7312252964426875</v>
      </c>
      <c r="V86" s="3">
        <f>'Country distance travelled'!J9</f>
        <v>14107</v>
      </c>
      <c r="X86" s="3">
        <v>2014</v>
      </c>
      <c r="Y86" s="13">
        <v>1.5813013269276655</v>
      </c>
      <c r="Z86" s="13">
        <f t="shared" ref="Z86:AB86" si="44">Y86</f>
        <v>1.5813013269276655</v>
      </c>
      <c r="AA86" s="13">
        <f t="shared" si="44"/>
        <v>1.5813013269276655</v>
      </c>
      <c r="AB86" s="13">
        <f t="shared" si="44"/>
        <v>1.5813013269276655</v>
      </c>
    </row>
    <row r="87" spans="1:28">
      <c r="A87" s="3">
        <v>2015</v>
      </c>
      <c r="B87" s="3">
        <f t="shared" si="30"/>
        <v>30089.526234543147</v>
      </c>
      <c r="C87" s="3">
        <f t="shared" si="35"/>
        <v>6017.9052469086291</v>
      </c>
      <c r="D87" s="3">
        <f t="shared" si="36"/>
        <v>3911.6384104906092</v>
      </c>
      <c r="E87" s="3">
        <f t="shared" si="31"/>
        <v>530</v>
      </c>
      <c r="F87" s="3">
        <f t="shared" si="37"/>
        <v>9399.5436573992374</v>
      </c>
      <c r="G87" s="3"/>
      <c r="H87" s="3"/>
      <c r="I87" s="3">
        <v>2015</v>
      </c>
      <c r="J87" s="3">
        <f t="shared" si="38"/>
        <v>25483.966492734766</v>
      </c>
      <c r="K87" s="3">
        <f t="shared" si="39"/>
        <v>5096.7932985469533</v>
      </c>
      <c r="L87" s="3">
        <f t="shared" si="40"/>
        <v>3312.9156440555198</v>
      </c>
      <c r="M87" s="3">
        <f t="shared" si="32"/>
        <v>1142.157524889134</v>
      </c>
      <c r="N87" s="3">
        <f t="shared" si="33"/>
        <v>9551.8664674916072</v>
      </c>
      <c r="O87" s="3"/>
      <c r="P87" s="3"/>
      <c r="Q87" s="3">
        <v>2015</v>
      </c>
      <c r="R87" s="13">
        <f t="shared" si="41"/>
        <v>1.0162053409872152</v>
      </c>
      <c r="S87" s="3"/>
      <c r="T87" s="13">
        <f t="shared" si="42"/>
        <v>1.4282196815409196</v>
      </c>
      <c r="U87" s="12">
        <f>'Country L per 100 km'!J10</f>
        <v>5.668867751179711</v>
      </c>
      <c r="V87" s="3">
        <f>'Country distance travelled'!J10</f>
        <v>14107</v>
      </c>
      <c r="X87" s="3">
        <v>2015</v>
      </c>
      <c r="Y87" s="13">
        <v>1.4282196815409196</v>
      </c>
      <c r="Z87" s="13">
        <f t="shared" ref="Z87:AB87" si="45">Y87</f>
        <v>1.4282196815409196</v>
      </c>
      <c r="AA87" s="13">
        <f t="shared" si="45"/>
        <v>1.4282196815409196</v>
      </c>
      <c r="AB87" s="13">
        <f t="shared" si="45"/>
        <v>1.4282196815409196</v>
      </c>
    </row>
    <row r="88" spans="1:28">
      <c r="A88" s="3">
        <v>2016</v>
      </c>
      <c r="B88" s="3">
        <f t="shared" si="30"/>
        <v>29743.867678563533</v>
      </c>
      <c r="C88" s="3">
        <f t="shared" si="35"/>
        <v>5948.7735357127067</v>
      </c>
      <c r="D88" s="3">
        <f t="shared" si="36"/>
        <v>3866.7027982132595</v>
      </c>
      <c r="E88" s="3">
        <f t="shared" si="31"/>
        <v>530</v>
      </c>
      <c r="F88" s="3">
        <f t="shared" si="37"/>
        <v>9285.4763339259662</v>
      </c>
      <c r="G88" s="3"/>
      <c r="H88" s="3"/>
      <c r="I88" s="3">
        <v>2016</v>
      </c>
      <c r="J88" s="3">
        <f t="shared" si="38"/>
        <v>25201.995220232046</v>
      </c>
      <c r="K88" s="3">
        <f t="shared" si="39"/>
        <v>5040.3990440464095</v>
      </c>
      <c r="L88" s="3">
        <f t="shared" si="40"/>
        <v>3276.2593786301659</v>
      </c>
      <c r="M88" s="3">
        <f t="shared" si="32"/>
        <v>1051.0806954928496</v>
      </c>
      <c r="N88" s="3">
        <f t="shared" si="33"/>
        <v>9367.7391181694256</v>
      </c>
      <c r="O88" s="3"/>
      <c r="P88" s="3"/>
      <c r="Q88" s="3">
        <v>2016</v>
      </c>
      <c r="R88" s="13">
        <f t="shared" si="41"/>
        <v>1.0088592960969487</v>
      </c>
      <c r="S88" s="3"/>
      <c r="T88" s="13">
        <f t="shared" si="42"/>
        <v>1.3281343080000001</v>
      </c>
      <c r="U88" s="12">
        <f>'Country L per 100 km'!J11</f>
        <v>5.612740347702684</v>
      </c>
      <c r="V88" s="3">
        <f>'Country distance travelled'!J11</f>
        <v>14100</v>
      </c>
      <c r="X88" s="3">
        <v>2016</v>
      </c>
      <c r="Y88" s="13">
        <v>1.3281343080000001</v>
      </c>
      <c r="Z88" s="13">
        <f t="shared" ref="Z88:AB88" si="46">Y88</f>
        <v>1.3281343080000001</v>
      </c>
      <c r="AA88" s="13">
        <f t="shared" si="46"/>
        <v>1.3281343080000001</v>
      </c>
      <c r="AB88" s="13">
        <f t="shared" si="46"/>
        <v>1.3281343080000001</v>
      </c>
    </row>
    <row r="89" spans="1:28">
      <c r="A89" s="3">
        <v>2017</v>
      </c>
      <c r="B89" s="3">
        <f t="shared" si="30"/>
        <v>29216.68191602976</v>
      </c>
      <c r="C89" s="3">
        <f t="shared" si="35"/>
        <v>5843.3363832059522</v>
      </c>
      <c r="D89" s="3">
        <f t="shared" si="36"/>
        <v>3798.1686490838688</v>
      </c>
      <c r="E89" s="3">
        <f t="shared" si="31"/>
        <v>530</v>
      </c>
      <c r="F89" s="3">
        <f t="shared" si="37"/>
        <v>9111.5050322898205</v>
      </c>
      <c r="G89" s="3"/>
      <c r="H89" s="3"/>
      <c r="I89" s="3">
        <v>2017</v>
      </c>
      <c r="J89" s="3">
        <f t="shared" si="38"/>
        <v>24737.789468956151</v>
      </c>
      <c r="K89" s="3">
        <f t="shared" si="39"/>
        <v>4947.5578937912305</v>
      </c>
      <c r="L89" s="3">
        <f t="shared" si="40"/>
        <v>3215.9126309642998</v>
      </c>
      <c r="M89" s="3">
        <f t="shared" si="32"/>
        <v>1076.518486094207</v>
      </c>
      <c r="N89" s="3">
        <f t="shared" si="33"/>
        <v>9239.9890108497366</v>
      </c>
      <c r="O89" s="3"/>
      <c r="P89" s="3"/>
      <c r="Q89" s="3">
        <v>2017</v>
      </c>
      <c r="R89" s="13">
        <f>N89/F89</f>
        <v>1.0141012904130096</v>
      </c>
      <c r="S89" s="3"/>
      <c r="T89" s="13">
        <f t="shared" si="42"/>
        <v>1.3738800000000004</v>
      </c>
      <c r="U89" s="12">
        <f>'Country L per 100 km'!J12</f>
        <v>5.557168661091767</v>
      </c>
      <c r="V89" s="3">
        <f>'Country distance travelled'!J12</f>
        <v>14100</v>
      </c>
      <c r="X89" s="3">
        <v>2017</v>
      </c>
      <c r="Y89" s="13">
        <v>1.3738800000000004</v>
      </c>
      <c r="Z89" s="13">
        <f t="shared" ref="Z89:AB89" si="47">Y89</f>
        <v>1.3738800000000004</v>
      </c>
      <c r="AA89" s="13">
        <f t="shared" si="47"/>
        <v>1.3738800000000004</v>
      </c>
      <c r="AB89" s="13">
        <f t="shared" si="47"/>
        <v>1.3738800000000004</v>
      </c>
    </row>
    <row r="90" spans="1:28">
      <c r="A90" s="3">
        <v>2018</v>
      </c>
      <c r="B90" s="3">
        <f t="shared" si="30"/>
        <v>28750.969463226436</v>
      </c>
      <c r="C90" s="3">
        <f t="shared" si="35"/>
        <v>5750.1938926452876</v>
      </c>
      <c r="D90" s="3">
        <f t="shared" si="36"/>
        <v>3737.6260302194369</v>
      </c>
      <c r="E90" s="3">
        <f t="shared" si="31"/>
        <v>530</v>
      </c>
      <c r="F90" s="3">
        <f t="shared" si="37"/>
        <v>8957.8199228647245</v>
      </c>
      <c r="G90" s="3"/>
      <c r="H90" s="3"/>
      <c r="I90" s="3">
        <v>2018</v>
      </c>
      <c r="J90" s="3">
        <f t="shared" si="38"/>
        <v>23851</v>
      </c>
      <c r="K90" s="3">
        <f t="shared" si="39"/>
        <v>4770.2</v>
      </c>
      <c r="L90" s="3">
        <f t="shared" si="40"/>
        <v>3100.63</v>
      </c>
      <c r="M90" s="3">
        <f t="shared" si="32"/>
        <v>1097.339209298279</v>
      </c>
      <c r="N90" s="3">
        <f t="shared" si="33"/>
        <v>8968.1692092982794</v>
      </c>
      <c r="O90" s="3"/>
      <c r="P90" s="3"/>
      <c r="Q90" s="3">
        <v>2018</v>
      </c>
      <c r="R90" s="13">
        <f t="shared" si="41"/>
        <v>1.0011553353966336</v>
      </c>
      <c r="S90" s="3"/>
      <c r="T90" s="13">
        <f t="shared" si="42"/>
        <v>1.414456450556647</v>
      </c>
      <c r="U90" s="12">
        <f>'Country L per 100 km'!J13</f>
        <v>5.5021471891997686</v>
      </c>
      <c r="V90" s="3">
        <f>'Country distance travelled'!J13</f>
        <v>14100</v>
      </c>
      <c r="X90" s="3">
        <v>2018</v>
      </c>
      <c r="Y90" s="13">
        <v>1.414456450556647</v>
      </c>
      <c r="Z90" s="13">
        <f>Y90</f>
        <v>1.414456450556647</v>
      </c>
      <c r="AA90" s="13">
        <f t="shared" ref="AA90:AB90" si="48">Z90</f>
        <v>1.414456450556647</v>
      </c>
      <c r="AB90" s="13">
        <f t="shared" si="48"/>
        <v>1.414456450556647</v>
      </c>
    </row>
    <row r="91" spans="1:28">
      <c r="A91" s="3">
        <v>2019</v>
      </c>
      <c r="B91" s="3">
        <f t="shared" si="30"/>
        <v>29429.000377659482</v>
      </c>
      <c r="C91" s="3">
        <f t="shared" si="35"/>
        <v>5885.8000755318963</v>
      </c>
      <c r="D91" s="3">
        <f t="shared" si="36"/>
        <v>3825.7700490957327</v>
      </c>
      <c r="E91" s="3">
        <f t="shared" si="31"/>
        <v>530</v>
      </c>
      <c r="F91" s="3">
        <f t="shared" si="37"/>
        <v>9181.5701246276294</v>
      </c>
      <c r="G91" s="3"/>
      <c r="H91" s="3"/>
      <c r="I91" s="3">
        <v>2019</v>
      </c>
      <c r="J91" s="3">
        <f t="shared" si="38"/>
        <v>23851</v>
      </c>
      <c r="K91" s="3">
        <f t="shared" si="39"/>
        <v>4770.2</v>
      </c>
      <c r="L91" s="3">
        <f t="shared" si="40"/>
        <v>3100.63</v>
      </c>
      <c r="M91" s="3">
        <f t="shared" si="32"/>
        <v>1094.9296262267483</v>
      </c>
      <c r="N91" s="3">
        <f t="shared" si="33"/>
        <v>8965.7596262267489</v>
      </c>
      <c r="O91" s="3"/>
      <c r="P91" s="3"/>
      <c r="Q91" s="3">
        <v>2019</v>
      </c>
      <c r="R91" s="13">
        <f t="shared" si="41"/>
        <v>0.97649525130543691</v>
      </c>
      <c r="S91" s="3"/>
      <c r="T91" s="13">
        <f t="shared" si="42"/>
        <v>1.4254640335411881</v>
      </c>
      <c r="U91" s="12">
        <f>'Country L per 100 km'!J14</f>
        <v>5.4476704843562063</v>
      </c>
      <c r="V91" s="3">
        <f>'Country distance travelled'!J14</f>
        <v>14100</v>
      </c>
      <c r="X91" s="3">
        <v>2019</v>
      </c>
      <c r="Y91" s="13"/>
      <c r="Z91" s="13">
        <v>1.6550095523127277</v>
      </c>
      <c r="AA91" s="13">
        <v>1.4254640335411881</v>
      </c>
      <c r="AB91" s="13">
        <v>1.225522574538084</v>
      </c>
    </row>
    <row r="92" spans="1:28">
      <c r="A92" s="3">
        <v>2020</v>
      </c>
      <c r="B92" s="3">
        <f t="shared" si="30"/>
        <v>29309.338040079903</v>
      </c>
      <c r="C92" s="3">
        <f t="shared" si="35"/>
        <v>5861.8676080159803</v>
      </c>
      <c r="D92" s="3">
        <f t="shared" si="36"/>
        <v>3810.2139452103875</v>
      </c>
      <c r="E92" s="3">
        <f t="shared" si="31"/>
        <v>530</v>
      </c>
      <c r="F92" s="3">
        <f t="shared" si="37"/>
        <v>9142.0815532263678</v>
      </c>
      <c r="G92" s="3"/>
      <c r="H92" s="3"/>
      <c r="I92" s="3">
        <v>2020</v>
      </c>
      <c r="J92" s="3">
        <f t="shared" si="38"/>
        <v>23851</v>
      </c>
      <c r="K92" s="3">
        <f t="shared" si="39"/>
        <v>4770.2</v>
      </c>
      <c r="L92" s="3">
        <f t="shared" si="40"/>
        <v>3100.63</v>
      </c>
      <c r="M92" s="3">
        <f t="shared" si="32"/>
        <v>1085.2587718610691</v>
      </c>
      <c r="N92" s="3">
        <f t="shared" si="33"/>
        <v>8956.0887718610684</v>
      </c>
      <c r="O92" s="3"/>
      <c r="P92" s="3"/>
      <c r="Q92" s="3">
        <v>2020</v>
      </c>
      <c r="R92" s="13">
        <f t="shared" si="41"/>
        <v>0.97965531369607395</v>
      </c>
      <c r="S92" s="3"/>
      <c r="T92" s="13">
        <f t="shared" si="42"/>
        <v>1.4270025053767206</v>
      </c>
      <c r="U92" s="12">
        <f>'Country L per 100 km'!J15</f>
        <v>5.3937331528279273</v>
      </c>
      <c r="V92" s="3">
        <f>'Country distance travelled'!J15</f>
        <v>14100</v>
      </c>
      <c r="X92" s="3">
        <v>2020</v>
      </c>
      <c r="Y92" s="13"/>
      <c r="Z92" s="13">
        <v>1.7523599339416476</v>
      </c>
      <c r="AA92" s="13">
        <v>1.4270025053767206</v>
      </c>
      <c r="AB92" s="13">
        <v>1.2312490675750791</v>
      </c>
    </row>
    <row r="93" spans="1:28">
      <c r="A93" s="3">
        <v>2021</v>
      </c>
      <c r="B93" s="3">
        <f t="shared" si="30"/>
        <v>28574.392947123662</v>
      </c>
      <c r="C93" s="3">
        <f t="shared" si="35"/>
        <v>5714.8785894247321</v>
      </c>
      <c r="D93" s="3">
        <f t="shared" si="36"/>
        <v>3714.6710831260762</v>
      </c>
      <c r="E93" s="3">
        <f t="shared" si="31"/>
        <v>530</v>
      </c>
      <c r="F93" s="3">
        <f t="shared" si="37"/>
        <v>8899.5496725508092</v>
      </c>
      <c r="G93" s="3"/>
      <c r="H93" s="3"/>
      <c r="I93" s="3">
        <v>2021</v>
      </c>
      <c r="J93" s="3">
        <f t="shared" si="38"/>
        <v>23851</v>
      </c>
      <c r="K93" s="3">
        <f t="shared" si="39"/>
        <v>4770.2</v>
      </c>
      <c r="L93" s="3">
        <f t="shared" si="40"/>
        <v>3100.63</v>
      </c>
      <c r="M93" s="3">
        <f t="shared" si="32"/>
        <v>1108.6441844671144</v>
      </c>
      <c r="N93" s="3">
        <f t="shared" si="33"/>
        <v>8979.4741844671153</v>
      </c>
      <c r="O93" s="3"/>
      <c r="P93" s="3"/>
      <c r="Q93" s="3">
        <v>2021</v>
      </c>
      <c r="R93" s="13">
        <f t="shared" si="41"/>
        <v>1.0089807366503971</v>
      </c>
      <c r="S93" s="3"/>
      <c r="T93" s="13">
        <f t="shared" si="42"/>
        <v>1.4723294116792585</v>
      </c>
      <c r="U93" s="12">
        <f>'Country L per 100 km'!J16</f>
        <v>5.3403298542850761</v>
      </c>
      <c r="V93" s="3">
        <f>'Country distance travelled'!J16</f>
        <v>14100</v>
      </c>
      <c r="X93" s="3">
        <v>2021</v>
      </c>
      <c r="Y93" s="13"/>
      <c r="Z93" s="13">
        <v>1.8554368086075619</v>
      </c>
      <c r="AA93" s="13">
        <v>1.4723294116792585</v>
      </c>
      <c r="AB93" s="13">
        <v>1.2427020536490698</v>
      </c>
    </row>
    <row r="94" spans="1:28">
      <c r="A94" s="3">
        <v>2022</v>
      </c>
      <c r="B94" s="3">
        <f t="shared" si="30"/>
        <v>29098.090883026085</v>
      </c>
      <c r="C94" s="3">
        <f t="shared" si="35"/>
        <v>5819.6181766052168</v>
      </c>
      <c r="D94" s="3">
        <f t="shared" si="36"/>
        <v>3782.7518147933911</v>
      </c>
      <c r="E94" s="3">
        <f t="shared" si="31"/>
        <v>530</v>
      </c>
      <c r="F94" s="3">
        <f t="shared" si="37"/>
        <v>9072.3699913986075</v>
      </c>
      <c r="G94" s="3"/>
      <c r="H94" s="3"/>
      <c r="I94" s="3">
        <v>2022</v>
      </c>
      <c r="J94" s="3">
        <f t="shared" si="38"/>
        <v>23851</v>
      </c>
      <c r="K94" s="3">
        <f t="shared" si="39"/>
        <v>4770.2</v>
      </c>
      <c r="L94" s="3">
        <f t="shared" si="40"/>
        <v>3100.63</v>
      </c>
      <c r="M94" s="3">
        <f t="shared" si="32"/>
        <v>1122.8284405880731</v>
      </c>
      <c r="N94" s="3">
        <f t="shared" si="33"/>
        <v>8993.6584405880731</v>
      </c>
      <c r="O94" s="3"/>
      <c r="P94" s="3"/>
      <c r="Q94" s="3">
        <v>2022</v>
      </c>
      <c r="R94" s="13">
        <f t="shared" si="41"/>
        <v>0.99132403651028789</v>
      </c>
      <c r="S94" s="3"/>
      <c r="T94" s="13">
        <f t="shared" si="42"/>
        <v>1.5060784101111955</v>
      </c>
      <c r="U94" s="12">
        <f>'Country L per 100 km'!J17</f>
        <v>5.2874553012723524</v>
      </c>
      <c r="V94" s="3">
        <f>'Country distance travelled'!J17</f>
        <v>14100</v>
      </c>
      <c r="X94" s="3">
        <v>2022</v>
      </c>
      <c r="Y94" s="13"/>
      <c r="Z94" s="13">
        <v>1.901248752903524</v>
      </c>
      <c r="AA94" s="13">
        <v>1.5060784101111955</v>
      </c>
      <c r="AB94" s="13">
        <v>1.248428546686065</v>
      </c>
    </row>
    <row r="95" spans="1:28">
      <c r="A95" s="3">
        <v>2023</v>
      </c>
      <c r="B95" s="3">
        <f t="shared" si="30"/>
        <v>28877.389970773733</v>
      </c>
      <c r="C95" s="3">
        <f t="shared" si="35"/>
        <v>5775.4779941547467</v>
      </c>
      <c r="D95" s="3">
        <f t="shared" si="36"/>
        <v>3754.0606962005854</v>
      </c>
      <c r="E95" s="3">
        <f t="shared" si="31"/>
        <v>530</v>
      </c>
      <c r="F95" s="3">
        <f t="shared" si="37"/>
        <v>8999.5386903553317</v>
      </c>
      <c r="G95" s="3"/>
      <c r="H95" s="3"/>
      <c r="I95" s="3">
        <v>2023</v>
      </c>
      <c r="J95" s="3">
        <f t="shared" si="38"/>
        <v>23851</v>
      </c>
      <c r="K95" s="3">
        <f t="shared" si="39"/>
        <v>4770.2</v>
      </c>
      <c r="L95" s="3">
        <f t="shared" si="40"/>
        <v>3100.63</v>
      </c>
      <c r="M95" s="3">
        <f t="shared" si="32"/>
        <v>1123.1749034667207</v>
      </c>
      <c r="N95" s="3">
        <f t="shared" si="33"/>
        <v>8994.0049034667209</v>
      </c>
      <c r="O95" s="3"/>
      <c r="P95" s="3"/>
      <c r="Q95" s="3">
        <v>2023</v>
      </c>
      <c r="R95" s="13">
        <f t="shared" si="41"/>
        <v>0.99938510327262209</v>
      </c>
      <c r="S95" s="3"/>
      <c r="T95" s="13">
        <f t="shared" si="42"/>
        <v>1.521608560898259</v>
      </c>
      <c r="U95" s="12">
        <f>'Country L per 100 km'!J18</f>
        <v>5.2351042586854968</v>
      </c>
      <c r="V95" s="3">
        <f>'Country distance travelled'!J18</f>
        <v>14100</v>
      </c>
      <c r="X95" s="3">
        <v>2023</v>
      </c>
      <c r="Y95" s="13"/>
      <c r="Z95" s="13">
        <v>1.9356077111254952</v>
      </c>
      <c r="AA95" s="13">
        <v>1.521608560898259</v>
      </c>
      <c r="AB95" s="13">
        <v>1.248428546686065</v>
      </c>
    </row>
    <row r="96" spans="1:28">
      <c r="A96" s="3">
        <v>2024</v>
      </c>
      <c r="B96" s="3">
        <f t="shared" si="30"/>
        <v>27820.699279094475</v>
      </c>
      <c r="C96" s="3">
        <f t="shared" si="35"/>
        <v>5564.1398558188948</v>
      </c>
      <c r="D96" s="3">
        <f t="shared" si="36"/>
        <v>3616.690906282282</v>
      </c>
      <c r="E96" s="3">
        <f t="shared" si="31"/>
        <v>530</v>
      </c>
      <c r="F96" s="3">
        <f t="shared" si="37"/>
        <v>8650.8307621011772</v>
      </c>
      <c r="G96" s="3"/>
      <c r="H96" s="3"/>
      <c r="I96" s="3">
        <v>2024</v>
      </c>
      <c r="J96" s="3">
        <f t="shared" si="38"/>
        <v>23851</v>
      </c>
      <c r="K96" s="3">
        <f t="shared" si="39"/>
        <v>4770.2</v>
      </c>
      <c r="L96" s="3">
        <f t="shared" si="40"/>
        <v>3100.63</v>
      </c>
      <c r="M96" s="3">
        <f t="shared" si="32"/>
        <v>1115.0551778262418</v>
      </c>
      <c r="N96" s="3">
        <f t="shared" si="33"/>
        <v>8985.8851778262415</v>
      </c>
      <c r="O96" s="3"/>
      <c r="P96" s="3"/>
      <c r="Q96" s="3">
        <v>2024</v>
      </c>
      <c r="R96" s="13">
        <f t="shared" si="41"/>
        <v>1.0387308947474641</v>
      </c>
      <c r="S96" s="3"/>
      <c r="T96" s="13">
        <f t="shared" si="42"/>
        <v>1.5257145385012227</v>
      </c>
      <c r="U96" s="12">
        <f>'Country L per 100 km'!J19</f>
        <v>5.1832715432529675</v>
      </c>
      <c r="V96" s="3">
        <f>'Country distance travelled'!J19</f>
        <v>14100</v>
      </c>
      <c r="X96" s="3">
        <v>2024</v>
      </c>
      <c r="Y96" s="13"/>
      <c r="Z96" s="13">
        <v>1.9642401763104718</v>
      </c>
      <c r="AA96" s="13">
        <v>1.5257145385012227</v>
      </c>
      <c r="AB96" s="13">
        <v>1.248428546686065</v>
      </c>
    </row>
    <row r="97" spans="1:28">
      <c r="A97" s="3">
        <v>2025</v>
      </c>
      <c r="B97" s="3">
        <f t="shared" si="30"/>
        <v>26922.147704405903</v>
      </c>
      <c r="C97" s="3">
        <f t="shared" si="35"/>
        <v>5384.4295408811804</v>
      </c>
      <c r="D97" s="3">
        <f t="shared" si="36"/>
        <v>3499.8792015727677</v>
      </c>
      <c r="E97" s="3">
        <f t="shared" si="31"/>
        <v>530</v>
      </c>
      <c r="F97" s="3">
        <f t="shared" si="37"/>
        <v>8354.3087424539481</v>
      </c>
      <c r="G97" s="3"/>
      <c r="H97" s="3"/>
      <c r="I97" s="3">
        <v>2025</v>
      </c>
      <c r="J97" s="3">
        <f t="shared" si="38"/>
        <v>23851</v>
      </c>
      <c r="K97" s="3">
        <f t="shared" si="39"/>
        <v>4770.2</v>
      </c>
      <c r="L97" s="3">
        <f t="shared" si="40"/>
        <v>3100.63</v>
      </c>
      <c r="M97" s="3">
        <f t="shared" si="32"/>
        <v>1119.5611151005251</v>
      </c>
      <c r="N97" s="3">
        <f t="shared" si="33"/>
        <v>8990.391115100525</v>
      </c>
      <c r="O97" s="3"/>
      <c r="P97" s="3"/>
      <c r="Q97" s="3">
        <v>2025</v>
      </c>
      <c r="R97" s="13">
        <f t="shared" si="41"/>
        <v>1.0761382410269575</v>
      </c>
      <c r="S97" s="3"/>
      <c r="T97" s="13">
        <f t="shared" si="42"/>
        <v>1.5471987494943911</v>
      </c>
      <c r="U97" s="12">
        <f>'Country L per 100 km'!J20</f>
        <v>5.1319520230227402</v>
      </c>
      <c r="V97" s="3">
        <f>'Country distance travelled'!J20</f>
        <v>14100</v>
      </c>
      <c r="X97" s="3">
        <v>2025</v>
      </c>
      <c r="Y97" s="13"/>
      <c r="Z97" s="13">
        <v>1.9928726414954481</v>
      </c>
      <c r="AA97" s="13">
        <v>1.5471987494943911</v>
      </c>
      <c r="AB97" s="13">
        <v>1.2541550397230601</v>
      </c>
    </row>
    <row r="98" spans="1:28">
      <c r="A98" s="3">
        <v>2026</v>
      </c>
      <c r="B98" s="3">
        <f t="shared" si="30"/>
        <v>26438.431784792992</v>
      </c>
      <c r="C98" s="3">
        <f t="shared" si="35"/>
        <v>5287.6863569585985</v>
      </c>
      <c r="D98" s="3">
        <f t="shared" si="36"/>
        <v>3436.9961320230891</v>
      </c>
      <c r="E98" s="3">
        <f t="shared" si="31"/>
        <v>530</v>
      </c>
      <c r="F98" s="3">
        <f t="shared" si="37"/>
        <v>8194.6824889816871</v>
      </c>
      <c r="G98" s="3"/>
      <c r="H98" s="3"/>
      <c r="I98" s="3">
        <v>2026</v>
      </c>
      <c r="J98" s="3">
        <f t="shared" si="38"/>
        <v>23851</v>
      </c>
      <c r="K98" s="3">
        <f t="shared" si="39"/>
        <v>4770.2</v>
      </c>
      <c r="L98" s="3">
        <f t="shared" si="40"/>
        <v>3100.63</v>
      </c>
      <c r="M98" s="3">
        <f t="shared" si="32"/>
        <v>1135.5298765652642</v>
      </c>
      <c r="N98" s="3">
        <f t="shared" si="33"/>
        <v>9006.3598765652641</v>
      </c>
      <c r="O98" s="3"/>
      <c r="P98" s="3"/>
      <c r="Q98" s="3">
        <v>2026</v>
      </c>
      <c r="R98" s="13">
        <f t="shared" si="41"/>
        <v>1.0990492784406147</v>
      </c>
      <c r="S98" s="3"/>
      <c r="T98" s="13">
        <f t="shared" si="42"/>
        <v>1.5849597535605029</v>
      </c>
      <c r="U98" s="12">
        <f>'Country L per 100 km'!J21</f>
        <v>5.0811406168541984</v>
      </c>
      <c r="V98" s="3">
        <f>'Country distance travelled'!J21</f>
        <v>14100</v>
      </c>
      <c r="X98" s="3">
        <v>2026</v>
      </c>
      <c r="Y98" s="13"/>
      <c r="Z98" s="13">
        <v>2.0215051066804244</v>
      </c>
      <c r="AA98" s="13">
        <v>1.5849597535605029</v>
      </c>
      <c r="AB98" s="13">
        <v>1.2598815327600554</v>
      </c>
    </row>
    <row r="99" spans="1:28">
      <c r="A99" s="3">
        <v>2027</v>
      </c>
      <c r="B99" s="3">
        <f t="shared" si="30"/>
        <v>25953.569313388238</v>
      </c>
      <c r="C99" s="3">
        <f t="shared" si="35"/>
        <v>5190.7138626776477</v>
      </c>
      <c r="D99" s="3">
        <f t="shared" si="36"/>
        <v>3373.9640107404712</v>
      </c>
      <c r="E99" s="3">
        <f t="shared" si="31"/>
        <v>530</v>
      </c>
      <c r="F99" s="3">
        <f t="shared" si="37"/>
        <v>8034.6778734181189</v>
      </c>
      <c r="G99" s="3"/>
      <c r="H99" s="3"/>
      <c r="I99" s="3">
        <v>2027</v>
      </c>
      <c r="J99" s="3">
        <f t="shared" si="38"/>
        <v>23851</v>
      </c>
      <c r="K99" s="3">
        <f t="shared" si="39"/>
        <v>4770.2</v>
      </c>
      <c r="L99" s="3">
        <f t="shared" si="40"/>
        <v>3100.63</v>
      </c>
      <c r="M99" s="3">
        <f t="shared" si="32"/>
        <v>1138.0916621843614</v>
      </c>
      <c r="N99" s="3">
        <f t="shared" si="33"/>
        <v>9008.9216621843607</v>
      </c>
      <c r="O99" s="3"/>
      <c r="P99" s="3"/>
      <c r="Q99" s="3">
        <v>2027</v>
      </c>
      <c r="R99" s="13">
        <f t="shared" si="41"/>
        <v>1.1212548659840396</v>
      </c>
      <c r="S99" s="3"/>
      <c r="T99" s="13">
        <f t="shared" si="42"/>
        <v>1.6044208195912901</v>
      </c>
      <c r="U99" s="12">
        <f>'Country L per 100 km'!J22</f>
        <v>5.0308322939150489</v>
      </c>
      <c r="V99" s="3">
        <f>'Country distance travelled'!J22</f>
        <v>14100</v>
      </c>
      <c r="X99" s="3">
        <v>2027</v>
      </c>
      <c r="Y99" s="13"/>
      <c r="Z99" s="13">
        <v>2.0501375718654002</v>
      </c>
      <c r="AA99" s="13">
        <v>1.6044208195912901</v>
      </c>
      <c r="AB99" s="13">
        <v>1.2656080257970508</v>
      </c>
    </row>
    <row r="100" spans="1:28">
      <c r="A100" s="3">
        <v>2028</v>
      </c>
      <c r="B100" s="3">
        <f t="shared" si="30"/>
        <v>25398.735367431382</v>
      </c>
      <c r="C100" s="3">
        <f t="shared" si="35"/>
        <v>5079.7470734862763</v>
      </c>
      <c r="D100" s="3">
        <f t="shared" si="36"/>
        <v>3301.8355977660799</v>
      </c>
      <c r="E100" s="3">
        <f t="shared" si="31"/>
        <v>530</v>
      </c>
      <c r="F100" s="3">
        <f t="shared" si="37"/>
        <v>7851.5826712523558</v>
      </c>
      <c r="G100" s="3"/>
      <c r="H100" s="3"/>
      <c r="I100" s="3">
        <v>2028</v>
      </c>
      <c r="J100" s="3">
        <f t="shared" si="38"/>
        <v>23851</v>
      </c>
      <c r="K100" s="3">
        <f t="shared" si="39"/>
        <v>4770.2</v>
      </c>
      <c r="L100" s="3">
        <f t="shared" si="40"/>
        <v>3100.63</v>
      </c>
      <c r="M100" s="3">
        <f t="shared" si="32"/>
        <v>1135.475597680409</v>
      </c>
      <c r="N100" s="3">
        <f t="shared" si="33"/>
        <v>9006.3055976804098</v>
      </c>
      <c r="O100" s="3"/>
      <c r="P100" s="3"/>
      <c r="Q100" s="3">
        <v>2028</v>
      </c>
      <c r="R100" s="13">
        <f t="shared" si="41"/>
        <v>1.1470688108087985</v>
      </c>
      <c r="S100" s="3"/>
      <c r="T100" s="13">
        <f t="shared" si="42"/>
        <v>1.6167401599404834</v>
      </c>
      <c r="U100" s="12">
        <f>'Country L per 100 km'!J23</f>
        <v>4.9810220731832171</v>
      </c>
      <c r="V100" s="3">
        <f>'Country distance travelled'!J23</f>
        <v>14100</v>
      </c>
      <c r="X100" s="3">
        <v>2028</v>
      </c>
      <c r="Y100" s="13"/>
      <c r="Z100" s="13">
        <v>2.0730435440133821</v>
      </c>
      <c r="AA100" s="13">
        <v>1.6167401599404834</v>
      </c>
      <c r="AB100" s="13">
        <v>1.2656080257970508</v>
      </c>
    </row>
    <row r="101" spans="1:28">
      <c r="A101" s="3">
        <v>2029</v>
      </c>
      <c r="B101" s="3">
        <f t="shared" si="30"/>
        <v>24911.638283508673</v>
      </c>
      <c r="C101" s="3">
        <f t="shared" si="35"/>
        <v>4982.3276567017347</v>
      </c>
      <c r="D101" s="3">
        <f t="shared" si="36"/>
        <v>3238.5129768561278</v>
      </c>
      <c r="E101" s="3">
        <f t="shared" si="31"/>
        <v>530</v>
      </c>
      <c r="F101" s="3">
        <f t="shared" si="37"/>
        <v>7690.840633557862</v>
      </c>
      <c r="G101" s="3"/>
      <c r="H101" s="3"/>
      <c r="I101" s="3">
        <v>2029</v>
      </c>
      <c r="J101" s="3">
        <f t="shared" si="38"/>
        <v>23851</v>
      </c>
      <c r="K101" s="3">
        <f t="shared" si="39"/>
        <v>4770.2</v>
      </c>
      <c r="L101" s="3">
        <f t="shared" si="40"/>
        <v>3100.63</v>
      </c>
      <c r="M101" s="3">
        <f t="shared" si="32"/>
        <v>1135.8445906637817</v>
      </c>
      <c r="N101" s="3">
        <f t="shared" si="33"/>
        <v>9006.6745906637807</v>
      </c>
      <c r="O101" s="3"/>
      <c r="P101" s="3"/>
      <c r="Q101" s="3">
        <v>2029</v>
      </c>
      <c r="R101" s="13">
        <f t="shared" si="41"/>
        <v>1.1710910445035707</v>
      </c>
      <c r="S101" s="3"/>
      <c r="T101" s="13">
        <f t="shared" si="42"/>
        <v>1.6334382038838853</v>
      </c>
      <c r="U101" s="12">
        <f>'Country L per 100 km'!J24</f>
        <v>4.9317050229536799</v>
      </c>
      <c r="V101" s="3">
        <f>'Country distance travelled'!J24</f>
        <v>14100</v>
      </c>
      <c r="X101" s="3">
        <v>2029</v>
      </c>
      <c r="Y101" s="13"/>
      <c r="Z101" s="13">
        <v>2.1016760091983575</v>
      </c>
      <c r="AA101" s="13">
        <v>1.6334382038838853</v>
      </c>
      <c r="AB101" s="13">
        <v>1.2656080257970508</v>
      </c>
    </row>
    <row r="102" spans="1:28">
      <c r="A102" s="3">
        <v>2030</v>
      </c>
      <c r="B102" s="3">
        <f t="shared" si="30"/>
        <v>24354.60794231105</v>
      </c>
      <c r="C102" s="3">
        <f t="shared" si="35"/>
        <v>4870.9215884622099</v>
      </c>
      <c r="D102" s="3">
        <f t="shared" si="36"/>
        <v>3166.0990325004364</v>
      </c>
      <c r="E102" s="3">
        <f t="shared" si="31"/>
        <v>530</v>
      </c>
      <c r="F102" s="3">
        <f t="shared" si="37"/>
        <v>7507.0206209626467</v>
      </c>
      <c r="G102" s="3"/>
      <c r="H102" s="3"/>
      <c r="I102" s="3">
        <v>2030</v>
      </c>
      <c r="J102" s="3">
        <f t="shared" si="38"/>
        <v>23851</v>
      </c>
      <c r="K102" s="3">
        <f t="shared" si="39"/>
        <v>4770.2</v>
      </c>
      <c r="L102" s="3">
        <f t="shared" si="40"/>
        <v>3100.63</v>
      </c>
      <c r="M102" s="3">
        <f t="shared" si="32"/>
        <v>1133.389056979549</v>
      </c>
      <c r="N102" s="3">
        <f t="shared" si="33"/>
        <v>9004.2190569795494</v>
      </c>
      <c r="O102" s="3"/>
      <c r="P102" s="3"/>
      <c r="Q102" s="3">
        <v>2030</v>
      </c>
      <c r="R102" s="13">
        <f t="shared" si="41"/>
        <v>1.1994397660019898</v>
      </c>
      <c r="S102" s="3"/>
      <c r="T102" s="13">
        <f t="shared" si="42"/>
        <v>1.6462060133569387</v>
      </c>
      <c r="U102" s="12">
        <f>'Country L per 100 km'!J25</f>
        <v>4.8828762603501783</v>
      </c>
      <c r="V102" s="3">
        <f>'Country distance travelled'!J25</f>
        <v>14100</v>
      </c>
      <c r="X102" s="3">
        <v>2030</v>
      </c>
      <c r="Y102" s="13"/>
      <c r="Z102" s="13">
        <v>2.1188554883093436</v>
      </c>
      <c r="AA102" s="13">
        <v>1.6462060133569387</v>
      </c>
      <c r="AB102" s="13">
        <v>1.2713345188340461</v>
      </c>
    </row>
    <row r="103" spans="1:28">
      <c r="A103" s="3">
        <v>2031</v>
      </c>
      <c r="B103" s="3"/>
      <c r="C103" s="3"/>
      <c r="D103" s="3"/>
      <c r="E103" s="3"/>
      <c r="F103" s="3"/>
      <c r="G103" s="3"/>
      <c r="H103" s="3"/>
      <c r="I103" s="3">
        <v>2031</v>
      </c>
      <c r="J103" s="3"/>
      <c r="K103" s="3"/>
      <c r="L103" s="3"/>
      <c r="M103" s="3"/>
      <c r="N103" s="3"/>
      <c r="O103" s="3"/>
      <c r="P103" s="3"/>
      <c r="Q103" s="3">
        <v>2031</v>
      </c>
      <c r="R103" s="3"/>
      <c r="S103" s="3"/>
      <c r="T103" s="13">
        <f>T102</f>
        <v>1.6462060133569387</v>
      </c>
      <c r="U103" s="12">
        <f>'Country L per 100 km'!J26</f>
        <v>4.83453095084176</v>
      </c>
      <c r="V103" s="3">
        <f>'Country distance travelled'!J26</f>
        <v>14100</v>
      </c>
      <c r="X103" s="3">
        <v>2031</v>
      </c>
    </row>
    <row r="104" spans="1:28">
      <c r="A104" s="3">
        <v>2032</v>
      </c>
      <c r="B104" s="3"/>
      <c r="C104" s="3"/>
      <c r="D104" s="3"/>
      <c r="E104" s="3"/>
      <c r="F104" s="3"/>
      <c r="G104" s="3"/>
      <c r="H104" s="3"/>
      <c r="I104" s="3">
        <v>2032</v>
      </c>
      <c r="J104" s="3"/>
      <c r="K104" s="3"/>
      <c r="L104" s="3"/>
      <c r="M104" s="3"/>
      <c r="N104" s="3"/>
      <c r="O104" s="3"/>
      <c r="P104" s="3"/>
      <c r="Q104" s="3">
        <v>2032</v>
      </c>
      <c r="R104" s="3"/>
      <c r="S104" s="3"/>
      <c r="T104" s="13">
        <f t="shared" ref="T104:T112" si="49">T103</f>
        <v>1.6462060133569387</v>
      </c>
      <c r="U104" s="12">
        <f>'Country L per 100 km'!J27</f>
        <v>4.7866643077641191</v>
      </c>
      <c r="V104" s="3">
        <f>'Country distance travelled'!J27</f>
        <v>14100</v>
      </c>
      <c r="X104" s="3">
        <v>2032</v>
      </c>
    </row>
    <row r="105" spans="1:28">
      <c r="A105" s="3">
        <v>2033</v>
      </c>
      <c r="B105" s="3"/>
      <c r="C105" s="3"/>
      <c r="D105" s="3"/>
      <c r="E105" s="3"/>
      <c r="F105" s="3"/>
      <c r="G105" s="3"/>
      <c r="H105" s="3"/>
      <c r="I105" s="3">
        <v>2033</v>
      </c>
      <c r="J105" s="3"/>
      <c r="K105" s="3"/>
      <c r="L105" s="3"/>
      <c r="M105" s="3"/>
      <c r="N105" s="3"/>
      <c r="O105" s="3"/>
      <c r="P105" s="3"/>
      <c r="Q105" s="3">
        <v>2033</v>
      </c>
      <c r="R105" s="3"/>
      <c r="S105" s="3"/>
      <c r="T105" s="13">
        <f t="shared" si="49"/>
        <v>1.6462060133569387</v>
      </c>
      <c r="U105" s="12">
        <f>'Country L per 100 km'!J28</f>
        <v>4.7392715918456618</v>
      </c>
      <c r="V105" s="3">
        <f>'Country distance travelled'!J28</f>
        <v>14100</v>
      </c>
      <c r="X105" s="3">
        <v>2033</v>
      </c>
    </row>
    <row r="106" spans="1:28">
      <c r="A106" s="3">
        <v>2034</v>
      </c>
      <c r="B106" s="3"/>
      <c r="C106" s="3"/>
      <c r="D106" s="3"/>
      <c r="E106" s="3"/>
      <c r="F106" s="3"/>
      <c r="G106" s="3"/>
      <c r="H106" s="3"/>
      <c r="I106" s="3">
        <v>2034</v>
      </c>
      <c r="J106" s="3"/>
      <c r="K106" s="3"/>
      <c r="L106" s="3"/>
      <c r="M106" s="3"/>
      <c r="N106" s="3"/>
      <c r="O106" s="3"/>
      <c r="P106" s="3"/>
      <c r="Q106" s="3">
        <v>2034</v>
      </c>
      <c r="R106" s="3"/>
      <c r="S106" s="3"/>
      <c r="T106" s="13">
        <f t="shared" si="49"/>
        <v>1.6462060133569387</v>
      </c>
      <c r="U106" s="12">
        <f>'Country L per 100 km'!J29</f>
        <v>4.692348110738279</v>
      </c>
      <c r="V106" s="3">
        <f>'Country distance travelled'!J29</f>
        <v>14100</v>
      </c>
      <c r="X106" s="3">
        <v>2034</v>
      </c>
    </row>
    <row r="107" spans="1:28">
      <c r="A107" s="3">
        <v>2035</v>
      </c>
      <c r="B107" s="3"/>
      <c r="C107" s="3"/>
      <c r="D107" s="3"/>
      <c r="E107" s="3"/>
      <c r="F107" s="3"/>
      <c r="G107" s="3"/>
      <c r="H107" s="3"/>
      <c r="I107" s="3">
        <v>2035</v>
      </c>
      <c r="J107" s="3"/>
      <c r="K107" s="3"/>
      <c r="L107" s="3"/>
      <c r="M107" s="3"/>
      <c r="N107" s="3"/>
      <c r="O107" s="3"/>
      <c r="P107" s="3"/>
      <c r="Q107" s="3">
        <v>2035</v>
      </c>
      <c r="R107" s="3"/>
      <c r="S107" s="3"/>
      <c r="T107" s="13">
        <f t="shared" si="49"/>
        <v>1.6462060133569387</v>
      </c>
      <c r="U107" s="12">
        <f>'Country L per 100 km'!J30</f>
        <v>4.6458892185527514</v>
      </c>
      <c r="V107" s="3">
        <f>'Country distance travelled'!J30</f>
        <v>14100</v>
      </c>
      <c r="X107" s="3">
        <v>2035</v>
      </c>
    </row>
    <row r="108" spans="1:28">
      <c r="A108" s="3">
        <v>2036</v>
      </c>
      <c r="B108" s="3"/>
      <c r="C108" s="3"/>
      <c r="D108" s="3"/>
      <c r="E108" s="3"/>
      <c r="F108" s="3"/>
      <c r="G108" s="3"/>
      <c r="H108" s="3"/>
      <c r="I108" s="3">
        <v>2036</v>
      </c>
      <c r="J108" s="3"/>
      <c r="K108" s="3"/>
      <c r="L108" s="3"/>
      <c r="M108" s="3"/>
      <c r="N108" s="3"/>
      <c r="O108" s="3"/>
      <c r="P108" s="3"/>
      <c r="Q108" s="3">
        <v>2036</v>
      </c>
      <c r="R108" s="3"/>
      <c r="S108" s="3"/>
      <c r="T108" s="13">
        <f t="shared" si="49"/>
        <v>1.6462060133569387</v>
      </c>
      <c r="U108" s="12">
        <f>'Country L per 100 km'!J31</f>
        <v>4.5998903153987634</v>
      </c>
      <c r="V108" s="3">
        <f>'Country distance travelled'!J31</f>
        <v>14100</v>
      </c>
      <c r="X108" s="3">
        <v>2036</v>
      </c>
    </row>
    <row r="109" spans="1:28">
      <c r="A109" s="3">
        <v>2037</v>
      </c>
      <c r="B109" s="3"/>
      <c r="C109" s="3"/>
      <c r="D109" s="3"/>
      <c r="E109" s="3"/>
      <c r="F109" s="3"/>
      <c r="G109" s="3"/>
      <c r="H109" s="3"/>
      <c r="I109" s="3">
        <v>2037</v>
      </c>
      <c r="J109" s="3"/>
      <c r="K109" s="3"/>
      <c r="L109" s="3"/>
      <c r="M109" s="3"/>
      <c r="N109" s="3"/>
      <c r="O109" s="3"/>
      <c r="P109" s="3"/>
      <c r="Q109" s="3">
        <v>2037</v>
      </c>
      <c r="R109" s="3"/>
      <c r="S109" s="3"/>
      <c r="T109" s="13">
        <f t="shared" si="49"/>
        <v>1.6462060133569387</v>
      </c>
      <c r="U109" s="12">
        <f>'Country L per 100 km'!J32</f>
        <v>4.5543468469294695</v>
      </c>
      <c r="V109" s="3">
        <f>'Country distance travelled'!J32</f>
        <v>14100</v>
      </c>
      <c r="X109" s="3">
        <v>2037</v>
      </c>
    </row>
    <row r="110" spans="1:28">
      <c r="A110" s="3">
        <v>2038</v>
      </c>
      <c r="B110" s="3"/>
      <c r="C110" s="3"/>
      <c r="D110" s="3"/>
      <c r="E110" s="3"/>
      <c r="F110" s="3"/>
      <c r="G110" s="3"/>
      <c r="H110" s="3"/>
      <c r="I110" s="3">
        <v>2038</v>
      </c>
      <c r="J110" s="3"/>
      <c r="K110" s="3"/>
      <c r="L110" s="3"/>
      <c r="M110" s="3"/>
      <c r="N110" s="3"/>
      <c r="O110" s="3"/>
      <c r="P110" s="3"/>
      <c r="Q110" s="3">
        <v>2038</v>
      </c>
      <c r="R110" s="3"/>
      <c r="S110" s="3"/>
      <c r="T110" s="13">
        <f t="shared" si="49"/>
        <v>1.6462060133569387</v>
      </c>
      <c r="U110" s="12">
        <f>'Country L per 100 km'!J33</f>
        <v>4.5092543038905637</v>
      </c>
      <c r="V110" s="3">
        <f>'Country distance travelled'!J33</f>
        <v>14100</v>
      </c>
      <c r="X110" s="3">
        <v>2038</v>
      </c>
    </row>
    <row r="111" spans="1:28">
      <c r="A111" s="3">
        <v>2039</v>
      </c>
      <c r="B111" s="3"/>
      <c r="C111" s="3"/>
      <c r="D111" s="3"/>
      <c r="E111" s="3"/>
      <c r="F111" s="3"/>
      <c r="G111" s="3"/>
      <c r="H111" s="3"/>
      <c r="I111" s="3">
        <v>2039</v>
      </c>
      <c r="J111" s="3"/>
      <c r="K111" s="3"/>
      <c r="L111" s="3"/>
      <c r="M111" s="3"/>
      <c r="N111" s="3"/>
      <c r="O111" s="3"/>
      <c r="P111" s="3"/>
      <c r="Q111" s="3">
        <v>2039</v>
      </c>
      <c r="R111" s="3"/>
      <c r="S111" s="3"/>
      <c r="T111" s="13">
        <f t="shared" si="49"/>
        <v>1.6462060133569387</v>
      </c>
      <c r="U111" s="12">
        <f>'Country L per 100 km'!J34</f>
        <v>4.4646082216738252</v>
      </c>
      <c r="V111" s="3">
        <f>'Country distance travelled'!J34</f>
        <v>14100</v>
      </c>
      <c r="X111" s="3">
        <v>2039</v>
      </c>
    </row>
    <row r="112" spans="1:28">
      <c r="A112" s="3">
        <v>2040</v>
      </c>
      <c r="B112" s="3"/>
      <c r="C112" s="3"/>
      <c r="D112" s="3"/>
      <c r="E112" s="3"/>
      <c r="F112" s="3"/>
      <c r="G112" s="3"/>
      <c r="H112" s="3"/>
      <c r="I112" s="3">
        <v>2040</v>
      </c>
      <c r="J112" s="3"/>
      <c r="K112" s="3"/>
      <c r="L112" s="3"/>
      <c r="M112" s="3"/>
      <c r="N112" s="3"/>
      <c r="O112" s="3"/>
      <c r="P112" s="3"/>
      <c r="Q112" s="3">
        <v>2040</v>
      </c>
      <c r="R112" s="3"/>
      <c r="S112" s="3"/>
      <c r="T112" s="13">
        <f t="shared" si="49"/>
        <v>1.6462060133569387</v>
      </c>
      <c r="U112" s="12">
        <f>'Country L per 100 km'!J35</f>
        <v>4.4204041798750753</v>
      </c>
      <c r="V112" s="3">
        <f>'Country distance travelled'!J35</f>
        <v>14100</v>
      </c>
      <c r="X112" s="3">
        <v>2040</v>
      </c>
    </row>
    <row r="118" spans="16:29">
      <c r="Q118" s="87" t="s">
        <v>980</v>
      </c>
      <c r="R118" s="87" t="s">
        <v>980</v>
      </c>
      <c r="S118" s="87" t="s">
        <v>980</v>
      </c>
      <c r="T118" s="87" t="s">
        <v>980</v>
      </c>
      <c r="U118" s="87" t="s">
        <v>980</v>
      </c>
      <c r="W118" s="14" t="s">
        <v>812</v>
      </c>
      <c r="X118" s="14" t="s">
        <v>812</v>
      </c>
      <c r="Y118" s="14" t="s">
        <v>812</v>
      </c>
      <c r="Z118" s="14" t="s">
        <v>812</v>
      </c>
      <c r="AA118" s="14" t="s">
        <v>812</v>
      </c>
      <c r="AC118" s="248" t="s">
        <v>952</v>
      </c>
    </row>
    <row r="119" spans="16:29">
      <c r="Q119" s="87" t="s">
        <v>978</v>
      </c>
      <c r="R119" s="87" t="s">
        <v>979</v>
      </c>
      <c r="S119" s="87" t="s">
        <v>916</v>
      </c>
      <c r="T119" s="87" t="s">
        <v>981</v>
      </c>
      <c r="U119" s="87" t="s">
        <v>983</v>
      </c>
      <c r="W119" s="14" t="s">
        <v>725</v>
      </c>
      <c r="X119" s="14" t="s">
        <v>979</v>
      </c>
      <c r="Y119" s="14" t="s">
        <v>916</v>
      </c>
      <c r="Z119" s="14" t="s">
        <v>985</v>
      </c>
      <c r="AA119" s="14" t="s">
        <v>983</v>
      </c>
      <c r="AC119" s="248" t="s">
        <v>1204</v>
      </c>
    </row>
    <row r="120" spans="16:29">
      <c r="P120">
        <v>2012</v>
      </c>
      <c r="Q120" s="3">
        <f>B84</f>
        <v>31611.95514228618</v>
      </c>
      <c r="R120" s="3">
        <f t="shared" ref="R120:U135" si="50">C84</f>
        <v>6322.3910284572357</v>
      </c>
      <c r="S120" s="3">
        <f t="shared" si="50"/>
        <v>4109.554168497204</v>
      </c>
      <c r="T120" s="3">
        <f t="shared" si="50"/>
        <v>500</v>
      </c>
      <c r="U120" s="3">
        <f t="shared" si="50"/>
        <v>9931.9451969544389</v>
      </c>
      <c r="V120" s="3"/>
      <c r="W120" s="3">
        <f>J84</f>
        <v>22492.528577563193</v>
      </c>
      <c r="X120" s="3">
        <f t="shared" ref="X120:AA120" si="51">K84</f>
        <v>4498.5057155126387</v>
      </c>
      <c r="Y120" s="3">
        <f t="shared" si="51"/>
        <v>2924.028715083215</v>
      </c>
      <c r="Z120" s="3">
        <f t="shared" si="51"/>
        <v>1409.721999085958</v>
      </c>
      <c r="AA120" s="3">
        <f t="shared" si="51"/>
        <v>8832.2564296818109</v>
      </c>
      <c r="AC120" s="13">
        <f>U120/AA120</f>
        <v>1.1245082472443846</v>
      </c>
    </row>
    <row r="121" spans="16:29">
      <c r="P121">
        <v>2013</v>
      </c>
      <c r="Q121" s="3">
        <f t="shared" ref="Q121:U138" si="52">B85</f>
        <v>25674.354887065183</v>
      </c>
      <c r="R121" s="3">
        <f t="shared" si="50"/>
        <v>5134.8709774130366</v>
      </c>
      <c r="S121" s="3">
        <f t="shared" si="50"/>
        <v>3337.6661353184741</v>
      </c>
      <c r="T121" s="3">
        <f t="shared" si="50"/>
        <v>500</v>
      </c>
      <c r="U121" s="3">
        <f t="shared" si="50"/>
        <v>7972.5371127315102</v>
      </c>
      <c r="V121" s="3"/>
      <c r="W121" s="3">
        <f t="shared" ref="W121:W138" si="53">J85</f>
        <v>21707.951308332271</v>
      </c>
      <c r="X121" s="3">
        <f t="shared" ref="X121:X138" si="54">K85</f>
        <v>4341.5902616664544</v>
      </c>
      <c r="Y121" s="3">
        <f t="shared" ref="Y121:Y138" si="55">L85</f>
        <v>2822.0336700831954</v>
      </c>
      <c r="Z121" s="3">
        <f t="shared" ref="Z121:Z138" si="56">M85</f>
        <v>1345.362679160274</v>
      </c>
      <c r="AA121" s="3">
        <f t="shared" ref="AA121:AA138" si="57">N85</f>
        <v>8508.9866109099239</v>
      </c>
      <c r="AC121" s="13">
        <f t="shared" ref="AC121:AC138" si="58">U121/AA121</f>
        <v>0.93695494860802853</v>
      </c>
    </row>
    <row r="122" spans="16:29">
      <c r="P122">
        <v>2014</v>
      </c>
      <c r="Q122" s="3">
        <f t="shared" si="52"/>
        <v>27989.801886406531</v>
      </c>
      <c r="R122" s="3">
        <f t="shared" si="50"/>
        <v>5597.9603772813061</v>
      </c>
      <c r="S122" s="3">
        <f t="shared" si="50"/>
        <v>3638.674245232849</v>
      </c>
      <c r="T122" s="3">
        <f t="shared" si="50"/>
        <v>530</v>
      </c>
      <c r="U122" s="3">
        <f t="shared" si="50"/>
        <v>8706.6346225141551</v>
      </c>
      <c r="V122" s="3"/>
      <c r="W122" s="3">
        <f t="shared" si="53"/>
        <v>21711.969359148392</v>
      </c>
      <c r="X122" s="3">
        <f t="shared" si="54"/>
        <v>4342.3938718296786</v>
      </c>
      <c r="Y122" s="3">
        <f t="shared" si="55"/>
        <v>2822.556016689291</v>
      </c>
      <c r="Z122" s="3">
        <f t="shared" si="56"/>
        <v>1278.4883730238905</v>
      </c>
      <c r="AA122" s="3">
        <f t="shared" si="57"/>
        <v>8443.4382615428603</v>
      </c>
      <c r="AC122" s="13">
        <f t="shared" si="58"/>
        <v>1.0311717043245368</v>
      </c>
    </row>
    <row r="123" spans="16:29">
      <c r="P123">
        <v>2015</v>
      </c>
      <c r="Q123" s="3">
        <f t="shared" si="52"/>
        <v>30089.526234543147</v>
      </c>
      <c r="R123" s="3">
        <f t="shared" si="50"/>
        <v>6017.9052469086291</v>
      </c>
      <c r="S123" s="3">
        <f t="shared" si="50"/>
        <v>3911.6384104906092</v>
      </c>
      <c r="T123" s="3">
        <f t="shared" si="50"/>
        <v>530</v>
      </c>
      <c r="U123" s="3">
        <f t="shared" si="50"/>
        <v>9399.5436573992374</v>
      </c>
      <c r="V123" s="3"/>
      <c r="W123" s="3">
        <f t="shared" si="53"/>
        <v>25483.966492734766</v>
      </c>
      <c r="X123" s="3">
        <f t="shared" si="54"/>
        <v>5096.7932985469533</v>
      </c>
      <c r="Y123" s="3">
        <f t="shared" si="55"/>
        <v>3312.9156440555198</v>
      </c>
      <c r="Z123" s="3">
        <f t="shared" si="56"/>
        <v>1142.157524889134</v>
      </c>
      <c r="AA123" s="3">
        <f t="shared" si="57"/>
        <v>9551.8664674916072</v>
      </c>
      <c r="AC123" s="13">
        <f t="shared" si="58"/>
        <v>0.98405308422068316</v>
      </c>
    </row>
    <row r="124" spans="16:29">
      <c r="P124">
        <v>2016</v>
      </c>
      <c r="Q124" s="3">
        <f t="shared" si="52"/>
        <v>29743.867678563533</v>
      </c>
      <c r="R124" s="3">
        <f t="shared" si="50"/>
        <v>5948.7735357127067</v>
      </c>
      <c r="S124" s="3">
        <f t="shared" si="50"/>
        <v>3866.7027982132595</v>
      </c>
      <c r="T124" s="3">
        <f t="shared" si="50"/>
        <v>530</v>
      </c>
      <c r="U124" s="3">
        <f t="shared" si="50"/>
        <v>9285.4763339259662</v>
      </c>
      <c r="V124" s="3"/>
      <c r="W124" s="3">
        <f t="shared" si="53"/>
        <v>25201.995220232046</v>
      </c>
      <c r="X124" s="3">
        <f t="shared" si="54"/>
        <v>5040.3990440464095</v>
      </c>
      <c r="Y124" s="3">
        <f t="shared" si="55"/>
        <v>3276.2593786301659</v>
      </c>
      <c r="Z124" s="3">
        <f t="shared" si="56"/>
        <v>1051.0806954928496</v>
      </c>
      <c r="AA124" s="3">
        <f t="shared" si="57"/>
        <v>9367.7391181694256</v>
      </c>
      <c r="AC124" s="13">
        <f t="shared" si="58"/>
        <v>0.99121850179581705</v>
      </c>
    </row>
    <row r="125" spans="16:29">
      <c r="P125">
        <v>2017</v>
      </c>
      <c r="Q125" s="3">
        <f t="shared" si="52"/>
        <v>29216.68191602976</v>
      </c>
      <c r="R125" s="3">
        <f t="shared" si="50"/>
        <v>5843.3363832059522</v>
      </c>
      <c r="S125" s="3">
        <f t="shared" si="50"/>
        <v>3798.1686490838688</v>
      </c>
      <c r="T125" s="3">
        <f t="shared" si="50"/>
        <v>530</v>
      </c>
      <c r="U125" s="3">
        <f t="shared" si="50"/>
        <v>9111.5050322898205</v>
      </c>
      <c r="V125" s="3"/>
      <c r="W125" s="3">
        <f t="shared" si="53"/>
        <v>24737.789468956151</v>
      </c>
      <c r="X125" s="3">
        <f t="shared" si="54"/>
        <v>4947.5578937912305</v>
      </c>
      <c r="Y125" s="3">
        <f t="shared" si="55"/>
        <v>3215.9126309642998</v>
      </c>
      <c r="Z125" s="3">
        <f t="shared" si="56"/>
        <v>1076.518486094207</v>
      </c>
      <c r="AA125" s="3">
        <f t="shared" si="57"/>
        <v>9239.9890108497366</v>
      </c>
      <c r="AC125" s="13">
        <f t="shared" si="58"/>
        <v>0.98609479097766806</v>
      </c>
    </row>
    <row r="126" spans="16:29">
      <c r="P126">
        <v>2018</v>
      </c>
      <c r="Q126" s="3">
        <f t="shared" si="52"/>
        <v>28750.969463226436</v>
      </c>
      <c r="R126" s="3">
        <f t="shared" si="50"/>
        <v>5750.1938926452876</v>
      </c>
      <c r="S126" s="3">
        <f t="shared" si="50"/>
        <v>3737.6260302194369</v>
      </c>
      <c r="T126" s="3">
        <f t="shared" si="50"/>
        <v>530</v>
      </c>
      <c r="U126" s="3">
        <f t="shared" si="50"/>
        <v>8957.8199228647245</v>
      </c>
      <c r="V126" s="3"/>
      <c r="W126" s="3">
        <f t="shared" si="53"/>
        <v>23851</v>
      </c>
      <c r="X126" s="3">
        <f t="shared" si="54"/>
        <v>4770.2</v>
      </c>
      <c r="Y126" s="3">
        <f t="shared" si="55"/>
        <v>3100.63</v>
      </c>
      <c r="Z126" s="3">
        <f t="shared" si="56"/>
        <v>1097.339209298279</v>
      </c>
      <c r="AA126" s="3">
        <f t="shared" si="57"/>
        <v>8968.1692092982794</v>
      </c>
      <c r="AC126" s="13">
        <f t="shared" si="58"/>
        <v>0.99884599786288319</v>
      </c>
    </row>
    <row r="127" spans="16:29">
      <c r="P127">
        <v>2019</v>
      </c>
      <c r="Q127" s="3">
        <f t="shared" si="52"/>
        <v>29429.000377659482</v>
      </c>
      <c r="R127" s="3">
        <f t="shared" si="50"/>
        <v>5885.8000755318963</v>
      </c>
      <c r="S127" s="3">
        <f t="shared" si="50"/>
        <v>3825.7700490957327</v>
      </c>
      <c r="T127" s="3">
        <f t="shared" si="50"/>
        <v>530</v>
      </c>
      <c r="U127" s="3">
        <f t="shared" si="50"/>
        <v>9181.5701246276294</v>
      </c>
      <c r="V127" s="3"/>
      <c r="W127" s="3">
        <f t="shared" si="53"/>
        <v>23851</v>
      </c>
      <c r="X127" s="3">
        <f t="shared" si="54"/>
        <v>4770.2</v>
      </c>
      <c r="Y127" s="3">
        <f t="shared" si="55"/>
        <v>3100.63</v>
      </c>
      <c r="Z127" s="3">
        <f t="shared" si="56"/>
        <v>1094.9296262267483</v>
      </c>
      <c r="AA127" s="3">
        <f t="shared" si="57"/>
        <v>8965.7596262267489</v>
      </c>
      <c r="AC127" s="13">
        <f t="shared" si="58"/>
        <v>1.0240705202233606</v>
      </c>
    </row>
    <row r="128" spans="16:29">
      <c r="P128">
        <v>2020</v>
      </c>
      <c r="Q128" s="3">
        <f t="shared" si="52"/>
        <v>29309.338040079903</v>
      </c>
      <c r="R128" s="3">
        <f t="shared" si="50"/>
        <v>5861.8676080159803</v>
      </c>
      <c r="S128" s="3">
        <f t="shared" si="50"/>
        <v>3810.2139452103875</v>
      </c>
      <c r="T128" s="3">
        <f t="shared" si="50"/>
        <v>530</v>
      </c>
      <c r="U128" s="3">
        <f t="shared" si="50"/>
        <v>9142.0815532263678</v>
      </c>
      <c r="V128" s="3"/>
      <c r="W128" s="3">
        <f t="shared" si="53"/>
        <v>23851</v>
      </c>
      <c r="X128" s="3">
        <f t="shared" si="54"/>
        <v>4770.2</v>
      </c>
      <c r="Y128" s="3">
        <f t="shared" si="55"/>
        <v>3100.63</v>
      </c>
      <c r="Z128" s="3">
        <f t="shared" si="56"/>
        <v>1085.2587718610691</v>
      </c>
      <c r="AA128" s="3">
        <f t="shared" si="57"/>
        <v>8956.0887718610684</v>
      </c>
      <c r="AC128" s="13">
        <f t="shared" si="58"/>
        <v>1.0207671882339606</v>
      </c>
    </row>
    <row r="129" spans="16:29">
      <c r="P129">
        <v>2021</v>
      </c>
      <c r="Q129" s="3">
        <f t="shared" si="52"/>
        <v>28574.392947123662</v>
      </c>
      <c r="R129" s="3">
        <f t="shared" si="50"/>
        <v>5714.8785894247321</v>
      </c>
      <c r="S129" s="3">
        <f t="shared" si="50"/>
        <v>3714.6710831260762</v>
      </c>
      <c r="T129" s="3">
        <f t="shared" si="50"/>
        <v>530</v>
      </c>
      <c r="U129" s="3">
        <f t="shared" si="50"/>
        <v>8899.5496725508092</v>
      </c>
      <c r="V129" s="3"/>
      <c r="W129" s="3">
        <f t="shared" si="53"/>
        <v>23851</v>
      </c>
      <c r="X129" s="3">
        <f t="shared" si="54"/>
        <v>4770.2</v>
      </c>
      <c r="Y129" s="3">
        <f t="shared" si="55"/>
        <v>3100.63</v>
      </c>
      <c r="Z129" s="3">
        <f t="shared" si="56"/>
        <v>1108.6441844671144</v>
      </c>
      <c r="AA129" s="3">
        <f t="shared" si="57"/>
        <v>8979.4741844671153</v>
      </c>
      <c r="AC129" s="13">
        <f t="shared" si="58"/>
        <v>0.9910991990984771</v>
      </c>
    </row>
    <row r="130" spans="16:29">
      <c r="P130">
        <v>2022</v>
      </c>
      <c r="Q130" s="3">
        <f t="shared" si="52"/>
        <v>29098.090883026085</v>
      </c>
      <c r="R130" s="3">
        <f t="shared" si="50"/>
        <v>5819.6181766052168</v>
      </c>
      <c r="S130" s="3">
        <f t="shared" si="50"/>
        <v>3782.7518147933911</v>
      </c>
      <c r="T130" s="3">
        <f t="shared" si="50"/>
        <v>530</v>
      </c>
      <c r="U130" s="3">
        <f t="shared" si="50"/>
        <v>9072.3699913986075</v>
      </c>
      <c r="V130" s="3"/>
      <c r="W130" s="3">
        <f t="shared" si="53"/>
        <v>23851</v>
      </c>
      <c r="X130" s="3">
        <f t="shared" si="54"/>
        <v>4770.2</v>
      </c>
      <c r="Y130" s="3">
        <f t="shared" si="55"/>
        <v>3100.63</v>
      </c>
      <c r="Z130" s="3">
        <f t="shared" si="56"/>
        <v>1122.8284405880731</v>
      </c>
      <c r="AA130" s="3">
        <f t="shared" si="57"/>
        <v>8993.6584405880731</v>
      </c>
      <c r="AC130" s="13">
        <f t="shared" si="58"/>
        <v>1.0087518946077951</v>
      </c>
    </row>
    <row r="131" spans="16:29">
      <c r="P131">
        <v>2023</v>
      </c>
      <c r="Q131" s="3">
        <f t="shared" si="52"/>
        <v>28877.389970773733</v>
      </c>
      <c r="R131" s="3">
        <f t="shared" si="50"/>
        <v>5775.4779941547467</v>
      </c>
      <c r="S131" s="3">
        <f t="shared" si="50"/>
        <v>3754.0606962005854</v>
      </c>
      <c r="T131" s="3">
        <f t="shared" si="50"/>
        <v>530</v>
      </c>
      <c r="U131" s="3">
        <f t="shared" si="50"/>
        <v>8999.5386903553317</v>
      </c>
      <c r="V131" s="3"/>
      <c r="W131" s="3">
        <f t="shared" si="53"/>
        <v>23851</v>
      </c>
      <c r="X131" s="3">
        <f t="shared" si="54"/>
        <v>4770.2</v>
      </c>
      <c r="Y131" s="3">
        <f t="shared" si="55"/>
        <v>3100.63</v>
      </c>
      <c r="Z131" s="3">
        <f t="shared" si="56"/>
        <v>1123.1749034667207</v>
      </c>
      <c r="AA131" s="3">
        <f t="shared" si="57"/>
        <v>8994.0049034667209</v>
      </c>
      <c r="AC131" s="13">
        <f t="shared" si="58"/>
        <v>1.0006152750579975</v>
      </c>
    </row>
    <row r="132" spans="16:29">
      <c r="P132">
        <v>2024</v>
      </c>
      <c r="Q132" s="3">
        <f t="shared" si="52"/>
        <v>27820.699279094475</v>
      </c>
      <c r="R132" s="3">
        <f t="shared" si="50"/>
        <v>5564.1398558188948</v>
      </c>
      <c r="S132" s="3">
        <f t="shared" si="50"/>
        <v>3616.690906282282</v>
      </c>
      <c r="T132" s="3">
        <f t="shared" si="50"/>
        <v>530</v>
      </c>
      <c r="U132" s="3">
        <f t="shared" si="50"/>
        <v>8650.8307621011772</v>
      </c>
      <c r="V132" s="3"/>
      <c r="W132" s="3">
        <f t="shared" si="53"/>
        <v>23851</v>
      </c>
      <c r="X132" s="3">
        <f t="shared" si="54"/>
        <v>4770.2</v>
      </c>
      <c r="Y132" s="3">
        <f t="shared" si="55"/>
        <v>3100.63</v>
      </c>
      <c r="Z132" s="3">
        <f t="shared" si="56"/>
        <v>1115.0551778262418</v>
      </c>
      <c r="AA132" s="3">
        <f t="shared" si="57"/>
        <v>8985.8851778262415</v>
      </c>
      <c r="AC132" s="13">
        <f t="shared" si="58"/>
        <v>0.96271325427662358</v>
      </c>
    </row>
    <row r="133" spans="16:29">
      <c r="P133">
        <v>2025</v>
      </c>
      <c r="Q133" s="3">
        <f t="shared" si="52"/>
        <v>26922.147704405903</v>
      </c>
      <c r="R133" s="3">
        <f t="shared" si="50"/>
        <v>5384.4295408811804</v>
      </c>
      <c r="S133" s="3">
        <f t="shared" si="50"/>
        <v>3499.8792015727677</v>
      </c>
      <c r="T133" s="3">
        <f t="shared" si="50"/>
        <v>530</v>
      </c>
      <c r="U133" s="3">
        <f t="shared" si="50"/>
        <v>8354.3087424539481</v>
      </c>
      <c r="V133" s="3"/>
      <c r="W133" s="3">
        <f t="shared" si="53"/>
        <v>23851</v>
      </c>
      <c r="X133" s="3">
        <f t="shared" si="54"/>
        <v>4770.2</v>
      </c>
      <c r="Y133" s="3">
        <f t="shared" si="55"/>
        <v>3100.63</v>
      </c>
      <c r="Z133" s="3">
        <f t="shared" si="56"/>
        <v>1119.5611151005251</v>
      </c>
      <c r="AA133" s="3">
        <f t="shared" si="57"/>
        <v>8990.391115100525</v>
      </c>
      <c r="AC133" s="13">
        <f t="shared" si="58"/>
        <v>0.92924864285623854</v>
      </c>
    </row>
    <row r="134" spans="16:29">
      <c r="P134">
        <v>2026</v>
      </c>
      <c r="Q134" s="3">
        <f t="shared" si="52"/>
        <v>26438.431784792992</v>
      </c>
      <c r="R134" s="3">
        <f t="shared" si="50"/>
        <v>5287.6863569585985</v>
      </c>
      <c r="S134" s="3">
        <f t="shared" si="50"/>
        <v>3436.9961320230891</v>
      </c>
      <c r="T134" s="3">
        <f t="shared" si="50"/>
        <v>530</v>
      </c>
      <c r="U134" s="3">
        <f t="shared" si="50"/>
        <v>8194.6824889816871</v>
      </c>
      <c r="V134" s="3"/>
      <c r="W134" s="3">
        <f t="shared" si="53"/>
        <v>23851</v>
      </c>
      <c r="X134" s="3">
        <f t="shared" si="54"/>
        <v>4770.2</v>
      </c>
      <c r="Y134" s="3">
        <f t="shared" si="55"/>
        <v>3100.63</v>
      </c>
      <c r="Z134" s="3">
        <f t="shared" si="56"/>
        <v>1135.5298765652642</v>
      </c>
      <c r="AA134" s="3">
        <f t="shared" si="57"/>
        <v>9006.3598765652641</v>
      </c>
      <c r="AC134" s="13">
        <f t="shared" si="58"/>
        <v>0.90987730906738706</v>
      </c>
    </row>
    <row r="135" spans="16:29">
      <c r="P135">
        <v>2027</v>
      </c>
      <c r="Q135" s="3">
        <f t="shared" si="52"/>
        <v>25953.569313388238</v>
      </c>
      <c r="R135" s="3">
        <f t="shared" si="50"/>
        <v>5190.7138626776477</v>
      </c>
      <c r="S135" s="3">
        <f t="shared" si="50"/>
        <v>3373.9640107404712</v>
      </c>
      <c r="T135" s="3">
        <f t="shared" si="50"/>
        <v>530</v>
      </c>
      <c r="U135" s="3">
        <f t="shared" si="50"/>
        <v>8034.6778734181189</v>
      </c>
      <c r="V135" s="3"/>
      <c r="W135" s="3">
        <f t="shared" si="53"/>
        <v>23851</v>
      </c>
      <c r="X135" s="3">
        <f t="shared" si="54"/>
        <v>4770.2</v>
      </c>
      <c r="Y135" s="3">
        <f t="shared" si="55"/>
        <v>3100.63</v>
      </c>
      <c r="Z135" s="3">
        <f t="shared" si="56"/>
        <v>1138.0916621843614</v>
      </c>
      <c r="AA135" s="3">
        <f t="shared" si="57"/>
        <v>9008.9216621843607</v>
      </c>
      <c r="AC135" s="13">
        <f t="shared" si="58"/>
        <v>0.89185789095539536</v>
      </c>
    </row>
    <row r="136" spans="16:29">
      <c r="P136">
        <v>2028</v>
      </c>
      <c r="Q136" s="3">
        <f t="shared" si="52"/>
        <v>25398.735367431382</v>
      </c>
      <c r="R136" s="3">
        <f t="shared" si="52"/>
        <v>5079.7470734862763</v>
      </c>
      <c r="S136" s="3">
        <f t="shared" si="52"/>
        <v>3301.8355977660799</v>
      </c>
      <c r="T136" s="3">
        <f t="shared" si="52"/>
        <v>530</v>
      </c>
      <c r="U136" s="3">
        <f t="shared" si="52"/>
        <v>7851.5826712523558</v>
      </c>
      <c r="V136" s="3"/>
      <c r="W136" s="3">
        <f t="shared" si="53"/>
        <v>23851</v>
      </c>
      <c r="X136" s="3">
        <f t="shared" si="54"/>
        <v>4770.2</v>
      </c>
      <c r="Y136" s="3">
        <f t="shared" si="55"/>
        <v>3100.63</v>
      </c>
      <c r="Z136" s="3">
        <f t="shared" si="56"/>
        <v>1135.475597680409</v>
      </c>
      <c r="AA136" s="3">
        <f t="shared" si="57"/>
        <v>9006.3055976804098</v>
      </c>
      <c r="AC136" s="13">
        <f t="shared" si="58"/>
        <v>0.87178728126597715</v>
      </c>
    </row>
    <row r="137" spans="16:29">
      <c r="P137">
        <v>2029</v>
      </c>
      <c r="Q137" s="3">
        <f t="shared" si="52"/>
        <v>24911.638283508673</v>
      </c>
      <c r="R137" s="3">
        <f t="shared" si="52"/>
        <v>4982.3276567017347</v>
      </c>
      <c r="S137" s="3">
        <f t="shared" si="52"/>
        <v>3238.5129768561278</v>
      </c>
      <c r="T137" s="3">
        <f t="shared" si="52"/>
        <v>530</v>
      </c>
      <c r="U137" s="3">
        <f t="shared" si="52"/>
        <v>7690.840633557862</v>
      </c>
      <c r="V137" s="3"/>
      <c r="W137" s="3">
        <f t="shared" si="53"/>
        <v>23851</v>
      </c>
      <c r="X137" s="3">
        <f t="shared" si="54"/>
        <v>4770.2</v>
      </c>
      <c r="Y137" s="3">
        <f t="shared" si="55"/>
        <v>3100.63</v>
      </c>
      <c r="Z137" s="3">
        <f t="shared" si="56"/>
        <v>1135.8445906637817</v>
      </c>
      <c r="AA137" s="3">
        <f t="shared" si="57"/>
        <v>9006.6745906637807</v>
      </c>
      <c r="AC137" s="13">
        <f t="shared" si="58"/>
        <v>0.85390457445083034</v>
      </c>
    </row>
    <row r="138" spans="16:29">
      <c r="P138">
        <v>2030</v>
      </c>
      <c r="Q138" s="3">
        <f t="shared" si="52"/>
        <v>24354.60794231105</v>
      </c>
      <c r="R138" s="3">
        <f t="shared" si="52"/>
        <v>4870.9215884622099</v>
      </c>
      <c r="S138" s="3">
        <f t="shared" si="52"/>
        <v>3166.0990325004364</v>
      </c>
      <c r="T138" s="3">
        <f t="shared" si="52"/>
        <v>530</v>
      </c>
      <c r="U138" s="3">
        <f t="shared" si="52"/>
        <v>7507.0206209626467</v>
      </c>
      <c r="V138" s="3"/>
      <c r="W138" s="3">
        <f t="shared" si="53"/>
        <v>23851</v>
      </c>
      <c r="X138" s="3">
        <f t="shared" si="54"/>
        <v>4770.2</v>
      </c>
      <c r="Y138" s="3">
        <f t="shared" si="55"/>
        <v>3100.63</v>
      </c>
      <c r="Z138" s="3">
        <f t="shared" si="56"/>
        <v>1133.389056979549</v>
      </c>
      <c r="AA138" s="3">
        <f t="shared" si="57"/>
        <v>9004.2190569795494</v>
      </c>
      <c r="AC138" s="13">
        <f t="shared" si="58"/>
        <v>0.83372256643885612</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election activeCell="A3" sqref="A3:G18"/>
    </sheetView>
  </sheetViews>
  <sheetFormatPr defaultRowHeight="15"/>
  <cols>
    <col min="1" max="1" width="18" customWidth="1"/>
    <col min="2" max="7" width="13.42578125" customWidth="1"/>
  </cols>
  <sheetData>
    <row r="1" spans="1:7">
      <c r="A1" t="s">
        <v>148</v>
      </c>
    </row>
    <row r="2" spans="1:7" ht="15.75" thickBot="1"/>
    <row r="3" spans="1:7">
      <c r="A3" s="44" t="s">
        <v>149</v>
      </c>
      <c r="B3" s="44"/>
    </row>
    <row r="4" spans="1:7">
      <c r="A4" s="41" t="s">
        <v>150</v>
      </c>
      <c r="B4" s="41">
        <v>0.99854590828714085</v>
      </c>
    </row>
    <row r="5" spans="1:7">
      <c r="A5" s="41" t="s">
        <v>151</v>
      </c>
      <c r="B5" s="41">
        <v>0.99709393095699117</v>
      </c>
    </row>
    <row r="6" spans="1:7">
      <c r="A6" s="41" t="s">
        <v>152</v>
      </c>
      <c r="B6" s="41">
        <v>0.99636741369623905</v>
      </c>
    </row>
    <row r="7" spans="1:7">
      <c r="A7" s="41" t="s">
        <v>153</v>
      </c>
      <c r="B7" s="41">
        <v>2.169692216670864E-2</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1</v>
      </c>
      <c r="C12" s="41">
        <v>0.64608015001572905</v>
      </c>
      <c r="D12" s="41">
        <v>0.64608015001572905</v>
      </c>
      <c r="E12" s="41">
        <v>1372.4297891073159</v>
      </c>
      <c r="F12" s="41">
        <v>3.1700368109206541E-6</v>
      </c>
    </row>
    <row r="13" spans="1:7">
      <c r="A13" s="41" t="s">
        <v>157</v>
      </c>
      <c r="B13" s="41">
        <v>4</v>
      </c>
      <c r="C13" s="41">
        <v>1.883025726032851E-3</v>
      </c>
      <c r="D13" s="41">
        <v>4.7075643150821275E-4</v>
      </c>
      <c r="E13" s="41"/>
      <c r="F13" s="41"/>
    </row>
    <row r="14" spans="1:7" ht="15.75" thickBot="1">
      <c r="A14" s="42" t="s">
        <v>158</v>
      </c>
      <c r="B14" s="42">
        <v>5</v>
      </c>
      <c r="C14" s="42">
        <v>0.64796317574176188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-6.9707146368678021</v>
      </c>
      <c r="C17" s="41">
        <v>2.9869642156756884E-2</v>
      </c>
      <c r="D17" s="41">
        <v>-233.37121349781353</v>
      </c>
      <c r="E17" s="41">
        <v>2.0225951087934226E-9</v>
      </c>
      <c r="F17" s="41">
        <v>-7.0536460586279395</v>
      </c>
      <c r="G17" s="41">
        <v>-6.8877832151076648</v>
      </c>
    </row>
    <row r="18" spans="1:7" ht="15.75" thickBot="1">
      <c r="A18" s="42" t="s">
        <v>329</v>
      </c>
      <c r="B18" s="42">
        <v>0.19214282634328178</v>
      </c>
      <c r="C18" s="42">
        <v>5.1865564216303497E-3</v>
      </c>
      <c r="D18" s="42">
        <v>37.046319508249624</v>
      </c>
      <c r="E18" s="42">
        <v>3.1700368109206541E-6</v>
      </c>
      <c r="F18" s="42">
        <v>0.17774263715361402</v>
      </c>
      <c r="G18" s="42">
        <v>0.20654301553294954</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sheetData>
    <row r="1" spans="1:33">
      <c r="P1" s="14"/>
      <c r="R1" s="236" t="s">
        <v>1318</v>
      </c>
      <c r="S1" s="236"/>
      <c r="T1" s="236"/>
      <c r="U1" s="236"/>
      <c r="W1" s="236" t="s">
        <v>1318</v>
      </c>
      <c r="X1" s="236"/>
      <c r="Y1" s="236"/>
      <c r="Z1" s="236"/>
    </row>
    <row r="2" spans="1:33">
      <c r="C2" t="s">
        <v>282</v>
      </c>
      <c r="L2" t="s">
        <v>282</v>
      </c>
      <c r="S2" t="s">
        <v>1172</v>
      </c>
      <c r="X2" t="s">
        <v>1184</v>
      </c>
      <c r="AB2" t="s">
        <v>960</v>
      </c>
    </row>
    <row r="3" spans="1:33">
      <c r="B3" t="s">
        <v>938</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1317</v>
      </c>
      <c r="AD3" t="s">
        <v>1310</v>
      </c>
      <c r="AE3" t="s">
        <v>1296</v>
      </c>
      <c r="AG3" t="s">
        <v>329</v>
      </c>
    </row>
    <row r="4" spans="1:33">
      <c r="A4">
        <v>2009</v>
      </c>
      <c r="B4" s="13">
        <f>'EV %sales'!K67</f>
        <v>4.4397939471989695E-2</v>
      </c>
      <c r="C4" s="20"/>
      <c r="D4" s="13"/>
      <c r="E4" s="13"/>
      <c r="F4" s="84"/>
      <c r="G4" s="84"/>
      <c r="H4" s="84"/>
      <c r="I4" s="13"/>
      <c r="J4" s="13"/>
      <c r="K4" s="13"/>
      <c r="L4" s="13"/>
      <c r="M4" s="13"/>
      <c r="N4" s="13"/>
      <c r="O4" s="13"/>
      <c r="P4" s="13"/>
      <c r="R4">
        <v>2009</v>
      </c>
      <c r="W4">
        <v>2009</v>
      </c>
      <c r="AB4" s="13"/>
      <c r="AC4" s="13"/>
    </row>
    <row r="5" spans="1:33">
      <c r="A5">
        <v>2010</v>
      </c>
      <c r="B5" s="13">
        <f>'EV %sales'!K68</f>
        <v>0.06</v>
      </c>
      <c r="C5" s="20"/>
      <c r="D5" s="13"/>
      <c r="E5" s="13"/>
      <c r="F5" s="230"/>
      <c r="G5" s="230"/>
      <c r="H5" s="230"/>
      <c r="I5" s="13"/>
      <c r="J5" s="13"/>
      <c r="K5" s="13"/>
      <c r="L5" s="13"/>
      <c r="M5" s="13"/>
      <c r="N5" s="13"/>
      <c r="O5" s="13"/>
      <c r="P5" s="13"/>
      <c r="R5">
        <v>2010</v>
      </c>
      <c r="W5">
        <v>2010</v>
      </c>
      <c r="AB5" s="13">
        <f>65*EXP(AE5)/(1+EXP(AE5))</f>
        <v>7.3879359541848419E-2</v>
      </c>
      <c r="AC5" s="13"/>
      <c r="AD5" s="155"/>
      <c r="AE5" s="33">
        <f t="shared" ref="AE5:AE50" si="0">AD$55+AD$56*AG5+AD$57*AH5</f>
        <v>-6.7785718105245207</v>
      </c>
      <c r="AG5">
        <v>1</v>
      </c>
    </row>
    <row r="6" spans="1:33">
      <c r="A6">
        <v>2011</v>
      </c>
      <c r="B6" s="13">
        <f>'EV %sales'!K69</f>
        <v>6.9192521877486077E-2</v>
      </c>
      <c r="C6" s="20"/>
      <c r="D6" s="13"/>
      <c r="E6" s="13"/>
      <c r="F6" s="230"/>
      <c r="G6" s="230"/>
      <c r="H6" s="230"/>
      <c r="I6" s="13"/>
      <c r="J6" s="13"/>
      <c r="K6" s="13"/>
      <c r="L6" s="13"/>
      <c r="M6" s="13"/>
      <c r="N6" s="13"/>
      <c r="O6" s="13"/>
      <c r="P6" s="13"/>
      <c r="R6">
        <v>2011</v>
      </c>
      <c r="W6">
        <v>2011</v>
      </c>
      <c r="AB6" s="13">
        <f t="shared" ref="AB6:AB50" si="1">65*EXP(AE6)/(1+EXP(AE6))</f>
        <v>8.9508675999903864E-2</v>
      </c>
      <c r="AC6" s="13"/>
      <c r="AD6">
        <f t="shared" ref="AD6:AD13" si="2">LN(B6/(65-B6))</f>
        <v>-6.8441846901284142</v>
      </c>
      <c r="AE6" s="33">
        <f t="shared" si="0"/>
        <v>-6.5864289841812385</v>
      </c>
      <c r="AG6">
        <v>2</v>
      </c>
    </row>
    <row r="7" spans="1:33">
      <c r="A7">
        <v>2012</v>
      </c>
      <c r="B7" s="13">
        <f>'EV %sales'!K70</f>
        <v>0.11082940963419051</v>
      </c>
      <c r="C7" s="13">
        <f t="shared" ref="C7:C12" si="3">D7</f>
        <v>0.15912514420898602</v>
      </c>
      <c r="D7" s="84">
        <f>65*EXP(E7)/(1+EXP(E7))</f>
        <v>0.15912514420898602</v>
      </c>
      <c r="E7" s="84">
        <f>J7-SUM(F7:F$7)</f>
        <v>-6.0100005051513934</v>
      </c>
      <c r="F7" s="13">
        <f>I7*G7</f>
        <v>0</v>
      </c>
      <c r="G7" s="13">
        <f>IF(H7&lt;0,0,H7)</f>
        <v>1</v>
      </c>
      <c r="H7" s="13">
        <f>IF((P7-0.6)/0.3&gt;1,1,(P7-0.6)/0.3)</f>
        <v>1</v>
      </c>
      <c r="I7" s="13">
        <v>0</v>
      </c>
      <c r="J7" s="13">
        <f>LN(L7/(65-L7))</f>
        <v>-6.0100005051513934</v>
      </c>
      <c r="K7" s="13"/>
      <c r="L7" s="84">
        <f t="shared" ref="L7:L12" si="4">M7</f>
        <v>0.15912514420898602</v>
      </c>
      <c r="M7" s="13">
        <f t="shared" ref="M7:M50" si="5">LOOKUP(ROUND(N7,0),A$4:A$50,AB$4:AB$50)</f>
        <v>0.15912514420898602</v>
      </c>
      <c r="N7" s="13">
        <f t="shared" ref="N7:N50" si="6">A7-(O7-O$11)</f>
        <v>2013.6548196652946</v>
      </c>
      <c r="O7" s="13">
        <f t="shared" ref="O7:O50" si="7">M$56+M$57*P7+M$67*1</f>
        <v>2025.7753083178627</v>
      </c>
      <c r="P7" s="13">
        <f>1/India!S84</f>
        <v>1.0467241779640895</v>
      </c>
      <c r="R7">
        <v>2012</v>
      </c>
      <c r="S7" s="13">
        <v>0.15912514420898602</v>
      </c>
      <c r="T7" s="13">
        <v>0.15912514420898602</v>
      </c>
      <c r="U7" s="13">
        <v>0.15912514420898602</v>
      </c>
      <c r="W7">
        <v>2012</v>
      </c>
      <c r="X7" s="13">
        <v>0.15912514420898602</v>
      </c>
      <c r="Y7" s="13">
        <f>T7</f>
        <v>0.15912514420898602</v>
      </c>
      <c r="Z7" s="13">
        <v>0.15912514420898602</v>
      </c>
      <c r="AB7" s="13">
        <f t="shared" si="1"/>
        <v>0.10843888120676225</v>
      </c>
      <c r="AC7" s="13"/>
      <c r="AD7">
        <f t="shared" si="2"/>
        <v>-6.3724438567502419</v>
      </c>
      <c r="AE7" s="33">
        <f t="shared" si="0"/>
        <v>-6.3942861578379571</v>
      </c>
      <c r="AG7">
        <v>3</v>
      </c>
    </row>
    <row r="8" spans="1:33">
      <c r="A8">
        <v>2013</v>
      </c>
      <c r="B8" s="13">
        <f>'EV %sales'!K71</f>
        <v>0.13033359193173003</v>
      </c>
      <c r="C8" s="13">
        <f t="shared" si="3"/>
        <v>0.10843888120676225</v>
      </c>
      <c r="D8" s="84">
        <f t="shared" ref="D8:D49" si="8">65*EXP(E8)/(1+EXP(E8))</f>
        <v>0.10843888120676225</v>
      </c>
      <c r="E8" s="84">
        <f>J8-SUM(F$7:F8)</f>
        <v>-6.3942861578379571</v>
      </c>
      <c r="F8" s="13">
        <f t="shared" ref="F8:F50" si="9">I8*G8</f>
        <v>0</v>
      </c>
      <c r="G8" s="13">
        <f t="shared" ref="G8:G50" si="10">IF(H8&lt;0,0,H8)</f>
        <v>1</v>
      </c>
      <c r="H8" s="13">
        <f t="shared" ref="H8:H50" si="11">IF((P8-0.6)/0.3&gt;1,1,(P8-0.6)/0.3)</f>
        <v>1</v>
      </c>
      <c r="I8" s="13">
        <v>0</v>
      </c>
      <c r="J8" s="13">
        <f t="shared" ref="J8:J47" si="12">LN(L8/(65-L8))</f>
        <v>-6.3942861578379571</v>
      </c>
      <c r="K8" s="13"/>
      <c r="L8" s="84">
        <f t="shared" si="4"/>
        <v>0.10843888120676225</v>
      </c>
      <c r="M8" s="13">
        <f t="shared" si="5"/>
        <v>0.10843888120676225</v>
      </c>
      <c r="N8" s="13">
        <f t="shared" si="6"/>
        <v>2012.0411403381916</v>
      </c>
      <c r="O8" s="13">
        <f t="shared" si="7"/>
        <v>2028.3889876449657</v>
      </c>
      <c r="P8" s="13">
        <f>1/India!S85</f>
        <v>1.2890927394675591</v>
      </c>
      <c r="R8">
        <v>2013</v>
      </c>
      <c r="S8" s="13">
        <v>0.10843888120676225</v>
      </c>
      <c r="T8" s="13">
        <v>0.10843888120676225</v>
      </c>
      <c r="U8" s="13">
        <v>0.10843888120676225</v>
      </c>
      <c r="W8">
        <v>2013</v>
      </c>
      <c r="X8" s="13">
        <v>0.10843888120676225</v>
      </c>
      <c r="Y8" s="13">
        <f t="shared" ref="Y8:Y45" si="13">T8</f>
        <v>0.10843888120676225</v>
      </c>
      <c r="Z8" s="13">
        <v>0.10843888120676225</v>
      </c>
      <c r="AB8" s="13">
        <f t="shared" si="1"/>
        <v>0.13136453644471022</v>
      </c>
      <c r="AC8" s="13"/>
      <c r="AD8" s="33">
        <f t="shared" si="2"/>
        <v>-6.2100381482791676</v>
      </c>
      <c r="AE8" s="33">
        <f t="shared" si="0"/>
        <v>-6.2021433314946748</v>
      </c>
      <c r="AG8">
        <v>4</v>
      </c>
    </row>
    <row r="9" spans="1:33">
      <c r="A9">
        <v>2014</v>
      </c>
      <c r="B9" s="13">
        <f>'EV %sales'!K72</f>
        <v>0.15546055188495919</v>
      </c>
      <c r="C9" s="13">
        <f t="shared" si="3"/>
        <v>0.13136453644471022</v>
      </c>
      <c r="D9" s="84">
        <f t="shared" si="8"/>
        <v>0.13136453644471022</v>
      </c>
      <c r="E9" s="84">
        <f>J9-SUM(F$7:F9)</f>
        <v>-6.2021433314946748</v>
      </c>
      <c r="F9" s="13">
        <f t="shared" si="9"/>
        <v>0</v>
      </c>
      <c r="G9" s="13">
        <f t="shared" si="10"/>
        <v>1</v>
      </c>
      <c r="H9" s="13">
        <f t="shared" si="11"/>
        <v>1</v>
      </c>
      <c r="I9" s="13">
        <v>0</v>
      </c>
      <c r="J9" s="13">
        <f t="shared" si="12"/>
        <v>-6.2021433314946748</v>
      </c>
      <c r="K9" s="13"/>
      <c r="L9" s="84">
        <f t="shared" si="4"/>
        <v>0.13136453644471022</v>
      </c>
      <c r="M9" s="13">
        <f t="shared" si="5"/>
        <v>0.13136453644471022</v>
      </c>
      <c r="N9" s="13">
        <f t="shared" si="6"/>
        <v>2012.8742653369454</v>
      </c>
      <c r="O9" s="13">
        <f t="shared" si="7"/>
        <v>2028.5558626462118</v>
      </c>
      <c r="P9" s="13">
        <f>1/India!S86</f>
        <v>1.3045671909748624</v>
      </c>
      <c r="R9">
        <v>2014</v>
      </c>
      <c r="S9" s="13">
        <v>0.13136453644471022</v>
      </c>
      <c r="T9" s="13">
        <v>0.13136453644471022</v>
      </c>
      <c r="U9" s="13">
        <v>0.13136453644471022</v>
      </c>
      <c r="W9">
        <v>2014</v>
      </c>
      <c r="X9" s="13">
        <v>0.13136453644471022</v>
      </c>
      <c r="Y9" s="13">
        <f t="shared" si="13"/>
        <v>0.13136453644471022</v>
      </c>
      <c r="Z9" s="13">
        <v>0.13136453644471022</v>
      </c>
      <c r="AB9" s="13">
        <f t="shared" si="1"/>
        <v>0.15912514420898602</v>
      </c>
      <c r="AC9" s="13"/>
      <c r="AD9" s="33">
        <f t="shared" si="2"/>
        <v>-6.0333559695862577</v>
      </c>
      <c r="AE9" s="33">
        <f t="shared" si="0"/>
        <v>-6.0100005051513934</v>
      </c>
      <c r="AG9">
        <v>5</v>
      </c>
    </row>
    <row r="10" spans="1:33">
      <c r="A10">
        <v>2015</v>
      </c>
      <c r="B10" s="13">
        <f>'EV %sales'!K73</f>
        <v>0.18976897689768976</v>
      </c>
      <c r="C10" s="13">
        <f t="shared" si="3"/>
        <v>0.1927348314807267</v>
      </c>
      <c r="D10" s="84">
        <f t="shared" si="8"/>
        <v>0.1927348314807267</v>
      </c>
      <c r="E10" s="84">
        <f>J10-SUM(F$7:F10)</f>
        <v>-5.817857678808112</v>
      </c>
      <c r="F10" s="13">
        <f t="shared" si="9"/>
        <v>0</v>
      </c>
      <c r="G10" s="13">
        <f t="shared" si="10"/>
        <v>1</v>
      </c>
      <c r="H10" s="13">
        <f t="shared" si="11"/>
        <v>1</v>
      </c>
      <c r="I10" s="13">
        <v>0</v>
      </c>
      <c r="J10" s="13">
        <f t="shared" si="12"/>
        <v>-5.817857678808112</v>
      </c>
      <c r="K10" s="13"/>
      <c r="L10" s="84">
        <f t="shared" si="4"/>
        <v>0.1927348314807267</v>
      </c>
      <c r="M10" s="13">
        <f t="shared" si="5"/>
        <v>0.1927348314807267</v>
      </c>
      <c r="N10" s="13">
        <f t="shared" si="6"/>
        <v>2015.13832849454</v>
      </c>
      <c r="O10" s="13">
        <f t="shared" si="7"/>
        <v>2027.2917994886172</v>
      </c>
      <c r="P10" s="13">
        <f>1/India!S87</f>
        <v>1.1873496096217075</v>
      </c>
      <c r="R10">
        <v>2015</v>
      </c>
      <c r="S10" s="13">
        <v>0.1927348314807267</v>
      </c>
      <c r="T10" s="13">
        <v>0.1927348314807267</v>
      </c>
      <c r="U10" s="13">
        <v>0.1927348314807267</v>
      </c>
      <c r="W10">
        <v>2015</v>
      </c>
      <c r="X10" s="13">
        <v>0.1927348314807267</v>
      </c>
      <c r="Y10" s="13">
        <f t="shared" si="13"/>
        <v>0.1927348314807267</v>
      </c>
      <c r="Z10" s="13">
        <v>0.1927348314807267</v>
      </c>
      <c r="AB10" s="13">
        <f t="shared" si="1"/>
        <v>0.1927348314807267</v>
      </c>
      <c r="AC10" s="13"/>
      <c r="AD10" s="33">
        <f t="shared" si="2"/>
        <v>-5.8334113347605721</v>
      </c>
      <c r="AE10" s="33">
        <f t="shared" si="0"/>
        <v>-5.817857678808112</v>
      </c>
      <c r="AG10">
        <v>6</v>
      </c>
    </row>
    <row r="11" spans="1:33">
      <c r="A11">
        <v>2016</v>
      </c>
      <c r="B11" s="13">
        <f>'EV %sales'!K74</f>
        <v>0.23895759717314485</v>
      </c>
      <c r="C11" s="13">
        <f t="shared" si="3"/>
        <v>0.23341784865421891</v>
      </c>
      <c r="D11" s="84">
        <f t="shared" si="8"/>
        <v>0.23341784865421891</v>
      </c>
      <c r="E11" s="84">
        <f>J11-SUM(F$7:F11)</f>
        <v>-5.6257148524648297</v>
      </c>
      <c r="F11" s="13">
        <f t="shared" si="9"/>
        <v>0</v>
      </c>
      <c r="G11" s="13">
        <f t="shared" si="10"/>
        <v>1</v>
      </c>
      <c r="H11" s="13">
        <f t="shared" si="11"/>
        <v>1</v>
      </c>
      <c r="I11" s="13">
        <v>0</v>
      </c>
      <c r="J11" s="13">
        <f t="shared" si="12"/>
        <v>-5.6257148524648297</v>
      </c>
      <c r="K11" s="13"/>
      <c r="L11" s="84">
        <f t="shared" si="4"/>
        <v>0.23341784865421891</v>
      </c>
      <c r="M11" s="13">
        <f t="shared" si="5"/>
        <v>0.23341784865421891</v>
      </c>
      <c r="N11" s="13">
        <f t="shared" si="6"/>
        <v>2016</v>
      </c>
      <c r="O11" s="13">
        <f t="shared" si="7"/>
        <v>2027.4301279831573</v>
      </c>
      <c r="P11" s="13">
        <f>1/India!S88</f>
        <v>1.200176920871777</v>
      </c>
      <c r="R11">
        <v>2016</v>
      </c>
      <c r="S11" s="13">
        <v>0.23341784865421891</v>
      </c>
      <c r="T11" s="13">
        <v>0.23341784865421891</v>
      </c>
      <c r="U11" s="13">
        <v>0.23341784865421891</v>
      </c>
      <c r="W11">
        <v>2016</v>
      </c>
      <c r="X11" s="13">
        <v>0.23341784865421891</v>
      </c>
      <c r="Y11" s="13">
        <f t="shared" si="13"/>
        <v>0.23341784865421891</v>
      </c>
      <c r="Z11" s="13">
        <v>0.23341784865421891</v>
      </c>
      <c r="AB11" s="13">
        <f t="shared" si="1"/>
        <v>0.23341784865421891</v>
      </c>
      <c r="AC11" s="13"/>
      <c r="AD11" s="33">
        <f t="shared" si="2"/>
        <v>-5.6021733855559077</v>
      </c>
      <c r="AE11" s="33">
        <f t="shared" si="0"/>
        <v>-5.6257148524648297</v>
      </c>
      <c r="AG11">
        <v>7</v>
      </c>
    </row>
    <row r="12" spans="1:33">
      <c r="A12">
        <v>2017</v>
      </c>
      <c r="B12" s="13">
        <f>'EV %sales'!K75</f>
        <v>0.2830508474576271</v>
      </c>
      <c r="C12" s="13">
        <f t="shared" si="3"/>
        <v>0.28265089943372285</v>
      </c>
      <c r="D12" s="84">
        <f t="shared" si="8"/>
        <v>0.28265089943372285</v>
      </c>
      <c r="E12" s="84">
        <f>J12-SUM(F$7:F12)</f>
        <v>-5.4335720261215474</v>
      </c>
      <c r="F12" s="13">
        <f t="shared" si="9"/>
        <v>0</v>
      </c>
      <c r="G12" s="13">
        <f t="shared" si="10"/>
        <v>1</v>
      </c>
      <c r="H12" s="13">
        <f t="shared" si="11"/>
        <v>1</v>
      </c>
      <c r="I12" s="13">
        <v>0</v>
      </c>
      <c r="J12" s="13">
        <f t="shared" si="12"/>
        <v>-5.4335720261215474</v>
      </c>
      <c r="K12" s="13"/>
      <c r="L12" s="84">
        <f t="shared" si="4"/>
        <v>0.28265089943372285</v>
      </c>
      <c r="M12" s="13">
        <f t="shared" si="5"/>
        <v>0.28265089943372285</v>
      </c>
      <c r="N12" s="13">
        <f t="shared" si="6"/>
        <v>2017.0581659998741</v>
      </c>
      <c r="O12" s="13">
        <f t="shared" si="7"/>
        <v>2027.3719619832832</v>
      </c>
      <c r="P12" s="13">
        <f>1/India!S89</f>
        <v>1.194783141469804</v>
      </c>
      <c r="R12">
        <v>2017</v>
      </c>
      <c r="S12" s="13">
        <v>0.28265089943372285</v>
      </c>
      <c r="T12" s="13">
        <v>0.28265089943372285</v>
      </c>
      <c r="U12" s="13">
        <v>0.28265089943372285</v>
      </c>
      <c r="W12">
        <v>2017</v>
      </c>
      <c r="X12" s="13">
        <v>0.28265089943372285</v>
      </c>
      <c r="Y12" s="13">
        <f t="shared" si="13"/>
        <v>0.28265089943372285</v>
      </c>
      <c r="Z12" s="13">
        <v>0.28265089943372285</v>
      </c>
      <c r="AB12" s="13">
        <f t="shared" si="1"/>
        <v>0.28265089943372285</v>
      </c>
      <c r="AC12" s="13"/>
      <c r="AD12" s="33">
        <f t="shared" si="2"/>
        <v>-5.4321518569463629</v>
      </c>
      <c r="AE12" s="33">
        <f t="shared" si="0"/>
        <v>-5.4335720261215474</v>
      </c>
      <c r="AG12">
        <v>8</v>
      </c>
    </row>
    <row r="13" spans="1:33">
      <c r="A13">
        <v>2018</v>
      </c>
      <c r="B13" s="13">
        <f>'EV %sales'!K76</f>
        <v>0.38714787769313308</v>
      </c>
      <c r="C13" s="13">
        <f>AVERAGE(D11:D15)</f>
        <v>0.36396305984338306</v>
      </c>
      <c r="D13" s="84">
        <f t="shared" si="8"/>
        <v>0.35477104513663171</v>
      </c>
      <c r="E13" s="84">
        <f>J13-SUM(F$7:F13)</f>
        <v>-5.2051969452752251</v>
      </c>
      <c r="F13" s="13">
        <f t="shared" si="9"/>
        <v>0</v>
      </c>
      <c r="G13" s="13">
        <f t="shared" si="10"/>
        <v>1</v>
      </c>
      <c r="H13" s="13">
        <f t="shared" si="11"/>
        <v>1</v>
      </c>
      <c r="I13" s="13">
        <v>0</v>
      </c>
      <c r="J13" s="13">
        <f t="shared" si="12"/>
        <v>-5.2051969452752251</v>
      </c>
      <c r="K13" s="13"/>
      <c r="L13" s="84">
        <f t="shared" ref="L13:L48" si="14">AVERAGE(M11:M15)</f>
        <v>0.3547710451366316</v>
      </c>
      <c r="M13" s="13">
        <f t="shared" si="5"/>
        <v>0.34221343420214007</v>
      </c>
      <c r="N13" s="13">
        <f t="shared" si="6"/>
        <v>2017.8269355506413</v>
      </c>
      <c r="O13" s="13">
        <f t="shared" si="7"/>
        <v>2027.6031924325159</v>
      </c>
      <c r="P13" s="13">
        <f>1/India!S90</f>
        <v>1.2162253248222967</v>
      </c>
      <c r="R13">
        <v>2018</v>
      </c>
      <c r="S13" s="13">
        <v>0.36396305984338306</v>
      </c>
      <c r="T13" s="13">
        <v>0.36396305984338306</v>
      </c>
      <c r="U13" s="13">
        <v>0.33978792465323998</v>
      </c>
      <c r="W13">
        <v>2018</v>
      </c>
      <c r="X13" s="13">
        <v>0.32716252493413767</v>
      </c>
      <c r="Y13" s="13">
        <f t="shared" si="13"/>
        <v>0.36396305984338306</v>
      </c>
      <c r="Z13" s="13">
        <v>0.38025768012836608</v>
      </c>
      <c r="AB13" s="13">
        <f t="shared" si="1"/>
        <v>0.34221343420214007</v>
      </c>
      <c r="AC13" s="13"/>
      <c r="AD13" s="33">
        <f t="shared" si="2"/>
        <v>-5.1173618862992374</v>
      </c>
      <c r="AE13" s="33">
        <f t="shared" si="0"/>
        <v>-5.241429199778266</v>
      </c>
      <c r="AG13">
        <v>9</v>
      </c>
    </row>
    <row r="14" spans="1:33">
      <c r="A14">
        <v>2019</v>
      </c>
      <c r="B14" s="13"/>
      <c r="C14" s="13">
        <f>AVERAGE(D12:D16)</f>
        <v>0.44298154046646898</v>
      </c>
      <c r="D14" s="84">
        <f>65*EXP(E14)/(1+EXP(E14))</f>
        <v>0.42939498929449377</v>
      </c>
      <c r="E14" s="84">
        <f>J14-SUM(F$7:F14)</f>
        <v>-5.0131373391280851</v>
      </c>
      <c r="F14" s="13">
        <f>I14*G14</f>
        <v>0</v>
      </c>
      <c r="G14" s="13">
        <f t="shared" si="10"/>
        <v>1</v>
      </c>
      <c r="H14" s="13">
        <f t="shared" si="11"/>
        <v>1</v>
      </c>
      <c r="I14" s="13">
        <v>0</v>
      </c>
      <c r="J14" s="13">
        <f t="shared" si="12"/>
        <v>-5.0131373391280851</v>
      </c>
      <c r="K14" s="13"/>
      <c r="L14" s="84">
        <f t="shared" si="14"/>
        <v>0.42939498929449388</v>
      </c>
      <c r="M14" s="13">
        <f t="shared" si="5"/>
        <v>0.41424713827539777</v>
      </c>
      <c r="N14" s="13">
        <f t="shared" si="6"/>
        <v>2018.5305987678996</v>
      </c>
      <c r="O14" s="13">
        <f t="shared" si="7"/>
        <v>2027.8995292152576</v>
      </c>
      <c r="P14" s="13">
        <f>1/India!S91</f>
        <v>1.243704870231289</v>
      </c>
      <c r="R14">
        <v>2019</v>
      </c>
      <c r="S14" s="13">
        <v>0.44298154046646898</v>
      </c>
      <c r="T14" s="13">
        <v>0.44298154046646898</v>
      </c>
      <c r="U14" s="13">
        <v>0.40736026775942563</v>
      </c>
      <c r="W14">
        <v>2019</v>
      </c>
      <c r="X14" s="13">
        <v>0.37510495328955085</v>
      </c>
      <c r="Y14" s="13">
        <f t="shared" si="13"/>
        <v>0.44298154046646898</v>
      </c>
      <c r="Z14" s="13">
        <v>0.4867802962690787</v>
      </c>
      <c r="AB14" s="13">
        <f t="shared" si="1"/>
        <v>0.41424713827539777</v>
      </c>
      <c r="AC14" s="13"/>
      <c r="AE14" s="33">
        <f t="shared" si="0"/>
        <v>-5.0492863734349847</v>
      </c>
      <c r="AG14">
        <v>10</v>
      </c>
    </row>
    <row r="15" spans="1:33">
      <c r="A15">
        <v>2020</v>
      </c>
      <c r="B15" s="13"/>
      <c r="C15" s="13">
        <f>AVERAGE(D13:D17)</f>
        <v>0.5384491529880634</v>
      </c>
      <c r="D15" s="84">
        <f>65*EXP(E15)/(1+EXP(E15))</f>
        <v>0.51958051669784822</v>
      </c>
      <c r="E15" s="84">
        <f>J15-SUM(F$7:F15)</f>
        <v>-4.8210950954326561</v>
      </c>
      <c r="F15" s="13">
        <f t="shared" si="9"/>
        <v>0</v>
      </c>
      <c r="G15" s="13">
        <f t="shared" si="10"/>
        <v>1</v>
      </c>
      <c r="H15" s="13">
        <f t="shared" si="11"/>
        <v>1</v>
      </c>
      <c r="I15" s="231">
        <v>0</v>
      </c>
      <c r="J15" s="13">
        <f t="shared" si="12"/>
        <v>-4.8210950954326561</v>
      </c>
      <c r="K15" s="13"/>
      <c r="L15" s="84">
        <f t="shared" si="14"/>
        <v>0.51958051669784855</v>
      </c>
      <c r="M15" s="13">
        <f t="shared" si="5"/>
        <v>0.50132590511767838</v>
      </c>
      <c r="N15" s="13">
        <f t="shared" si="6"/>
        <v>2019.5862645235575</v>
      </c>
      <c r="O15" s="13">
        <f t="shared" si="7"/>
        <v>2027.8438634595998</v>
      </c>
      <c r="P15" s="13">
        <f>1/India!S92</f>
        <v>1.2385429404628223</v>
      </c>
      <c r="R15">
        <v>2020</v>
      </c>
      <c r="S15" s="13">
        <v>0.54734916369800601</v>
      </c>
      <c r="T15" s="13">
        <v>0.5384491529880634</v>
      </c>
      <c r="U15" s="13">
        <v>0.49426309092705029</v>
      </c>
      <c r="W15">
        <v>2020</v>
      </c>
      <c r="X15" s="13">
        <v>0.42885537557899756</v>
      </c>
      <c r="Y15" s="13">
        <f t="shared" si="13"/>
        <v>0.5384491529880634</v>
      </c>
      <c r="Z15" s="13">
        <v>0.62935479590606158</v>
      </c>
      <c r="AB15" s="13">
        <f t="shared" si="1"/>
        <v>0.50132590511767838</v>
      </c>
      <c r="AC15" s="13"/>
      <c r="AE15" s="33">
        <f t="shared" si="0"/>
        <v>-4.8571435470917024</v>
      </c>
      <c r="AG15">
        <v>11</v>
      </c>
    </row>
    <row r="16" spans="1:33">
      <c r="A16">
        <v>2021</v>
      </c>
      <c r="B16" s="13"/>
      <c r="C16" s="13">
        <f>AVERAGE(D13:D19)</f>
        <v>0.69880890576847388</v>
      </c>
      <c r="D16" s="84">
        <f t="shared" si="8"/>
        <v>0.62851025176964825</v>
      </c>
      <c r="E16" s="84">
        <f>J16-SUM(F$7:F16)</f>
        <v>-4.6290737689121118</v>
      </c>
      <c r="F16" s="13">
        <f t="shared" si="9"/>
        <v>0</v>
      </c>
      <c r="G16" s="13">
        <f t="shared" si="10"/>
        <v>1</v>
      </c>
      <c r="H16" s="13">
        <f t="shared" si="11"/>
        <v>1</v>
      </c>
      <c r="I16" s="20">
        <f>I15+(I35-I15)/20</f>
        <v>0</v>
      </c>
      <c r="J16" s="13">
        <f t="shared" si="12"/>
        <v>-4.6290737689121118</v>
      </c>
      <c r="K16" s="13"/>
      <c r="L16" s="84">
        <f t="shared" si="14"/>
        <v>0.62851025176964792</v>
      </c>
      <c r="M16" s="13">
        <f t="shared" si="5"/>
        <v>0.60653756944353054</v>
      </c>
      <c r="N16" s="13">
        <f t="shared" si="6"/>
        <v>2020.9511699805946</v>
      </c>
      <c r="O16" s="13">
        <f t="shared" si="7"/>
        <v>2027.4789580025626</v>
      </c>
      <c r="P16" s="13">
        <f>1/India!S93</f>
        <v>1.2047049673841101</v>
      </c>
      <c r="R16">
        <v>2021</v>
      </c>
      <c r="S16" s="13">
        <v>0.71788035728977928</v>
      </c>
      <c r="T16" s="13">
        <v>0.69880890576847388</v>
      </c>
      <c r="U16" s="13">
        <v>0.6446983191990393</v>
      </c>
      <c r="W16">
        <v>2021</v>
      </c>
      <c r="X16" s="13">
        <v>0.52408619009347124</v>
      </c>
      <c r="Y16" s="13">
        <f t="shared" si="13"/>
        <v>0.69880890576847388</v>
      </c>
      <c r="Z16" s="13">
        <v>0.89191356542140177</v>
      </c>
      <c r="AB16" s="13">
        <f t="shared" si="1"/>
        <v>0.60653756944353054</v>
      </c>
      <c r="AC16" s="13"/>
      <c r="AE16" s="33">
        <f t="shared" si="0"/>
        <v>-4.665000720748421</v>
      </c>
      <c r="AG16">
        <v>12</v>
      </c>
    </row>
    <row r="17" spans="1:33">
      <c r="A17">
        <v>2022</v>
      </c>
      <c r="B17" s="13"/>
      <c r="C17" s="13">
        <f t="shared" ref="C17:C50" si="15">AVERAGE(D14:D20)</f>
        <v>0.86730205535340221</v>
      </c>
      <c r="D17" s="84">
        <f t="shared" si="8"/>
        <v>0.75998896204169508</v>
      </c>
      <c r="E17" s="84">
        <f>J17-SUM(F$7:F17)</f>
        <v>-4.4370776108988288</v>
      </c>
      <c r="F17" s="13">
        <f t="shared" si="9"/>
        <v>0</v>
      </c>
      <c r="G17" s="13">
        <f t="shared" si="10"/>
        <v>1</v>
      </c>
      <c r="H17" s="13">
        <f t="shared" si="11"/>
        <v>1</v>
      </c>
      <c r="I17" s="20">
        <f>I16+(I35-I15)/20</f>
        <v>0</v>
      </c>
      <c r="J17" s="13">
        <f t="shared" si="12"/>
        <v>-4.4370776108988288</v>
      </c>
      <c r="K17" s="13"/>
      <c r="L17" s="84">
        <f>AVERAGE(M15:M19)</f>
        <v>0.75998896204169508</v>
      </c>
      <c r="M17" s="13">
        <f t="shared" si="5"/>
        <v>0.7335785364504962</v>
      </c>
      <c r="N17" s="13">
        <f t="shared" si="6"/>
        <v>2021.7737703810417</v>
      </c>
      <c r="O17" s="13">
        <f t="shared" si="7"/>
        <v>2027.6563576021156</v>
      </c>
      <c r="P17" s="13">
        <f>1/India!S94</f>
        <v>1.2211553732579759</v>
      </c>
      <c r="R17">
        <v>2022</v>
      </c>
      <c r="S17" s="13">
        <v>0.90588159302044213</v>
      </c>
      <c r="T17" s="13">
        <v>0.86730205535340221</v>
      </c>
      <c r="U17" s="13">
        <v>0.81009272446168368</v>
      </c>
      <c r="W17">
        <v>2022</v>
      </c>
      <c r="X17" s="13">
        <v>0.62845374659992592</v>
      </c>
      <c r="Y17" s="13">
        <f t="shared" si="13"/>
        <v>0.86730205535340221</v>
      </c>
      <c r="Z17" s="13">
        <v>1.1778407448587067</v>
      </c>
      <c r="AB17" s="13">
        <f t="shared" si="1"/>
        <v>0.7335785364504962</v>
      </c>
      <c r="AC17" s="13"/>
      <c r="AE17" s="33">
        <f t="shared" si="0"/>
        <v>-4.4728578944051396</v>
      </c>
      <c r="AG17">
        <v>13</v>
      </c>
    </row>
    <row r="18" spans="1:33">
      <c r="A18">
        <v>2023</v>
      </c>
      <c r="B18" s="13"/>
      <c r="C18" s="13">
        <f>AVERAGE(D15:D21)</f>
        <v>1.0777449312835681</v>
      </c>
      <c r="D18" s="84">
        <f t="shared" si="8"/>
        <v>0.97206567693409462</v>
      </c>
      <c r="E18" s="84">
        <f>J18-SUM(F$7:F18)</f>
        <v>-4.1876513698727305</v>
      </c>
      <c r="F18" s="13">
        <f t="shared" si="9"/>
        <v>0</v>
      </c>
      <c r="G18" s="13">
        <f t="shared" si="10"/>
        <v>1</v>
      </c>
      <c r="H18" s="13">
        <f t="shared" si="11"/>
        <v>1</v>
      </c>
      <c r="I18" s="20">
        <f>I17+(I35-I15)/20</f>
        <v>0</v>
      </c>
      <c r="J18" s="13">
        <f t="shared" si="12"/>
        <v>-4.1876513698727305</v>
      </c>
      <c r="K18" s="13"/>
      <c r="L18" s="84">
        <f t="shared" si="14"/>
        <v>0.97206567693409451</v>
      </c>
      <c r="M18" s="13">
        <f t="shared" si="5"/>
        <v>0.88686210956113698</v>
      </c>
      <c r="N18" s="13">
        <f t="shared" si="6"/>
        <v>2022.8863798359339</v>
      </c>
      <c r="O18" s="13">
        <f t="shared" si="7"/>
        <v>2027.5437481472234</v>
      </c>
      <c r="P18" s="13">
        <f>1/India!S95</f>
        <v>1.2107130089974016</v>
      </c>
      <c r="R18">
        <v>2023</v>
      </c>
      <c r="S18" s="13">
        <v>1.1515130733082224</v>
      </c>
      <c r="T18" s="13">
        <v>1.0777449312835681</v>
      </c>
      <c r="U18" s="13">
        <v>1.0174368560695657</v>
      </c>
      <c r="W18">
        <v>2023</v>
      </c>
      <c r="X18" s="13">
        <v>0.76163610457468334</v>
      </c>
      <c r="Y18" s="13">
        <f t="shared" si="13"/>
        <v>1.0777449312835681</v>
      </c>
      <c r="Z18" s="13">
        <v>1.546830234750294</v>
      </c>
      <c r="AB18" s="13">
        <f t="shared" si="1"/>
        <v>0.88686210956113698</v>
      </c>
      <c r="AC18" s="13"/>
      <c r="AE18" s="33">
        <f t="shared" si="0"/>
        <v>-4.2807150680618573</v>
      </c>
      <c r="AG18">
        <v>14</v>
      </c>
    </row>
    <row r="19" spans="1:33">
      <c r="A19">
        <v>2024</v>
      </c>
      <c r="B19" s="13"/>
      <c r="C19" s="13">
        <f t="shared" si="15"/>
        <v>1.3569514067810817</v>
      </c>
      <c r="D19" s="84">
        <f t="shared" si="8"/>
        <v>1.2273508985049053</v>
      </c>
      <c r="E19" s="84">
        <f>J19-SUM(F$7:F19)</f>
        <v>-3.9504662952693459</v>
      </c>
      <c r="F19" s="13">
        <f t="shared" si="9"/>
        <v>0</v>
      </c>
      <c r="G19" s="13">
        <f t="shared" si="10"/>
        <v>1</v>
      </c>
      <c r="H19" s="13">
        <f t="shared" si="11"/>
        <v>1</v>
      </c>
      <c r="I19" s="20">
        <f>I18+(I35-I15)/20</f>
        <v>0</v>
      </c>
      <c r="J19" s="13">
        <f t="shared" si="12"/>
        <v>-3.9504662952693459</v>
      </c>
      <c r="K19" s="13"/>
      <c r="L19" s="84">
        <f t="shared" si="14"/>
        <v>1.2273508985049053</v>
      </c>
      <c r="M19" s="13">
        <f t="shared" si="5"/>
        <v>1.0716406896356336</v>
      </c>
      <c r="N19" s="13">
        <f t="shared" si="6"/>
        <v>2024.3352617753642</v>
      </c>
      <c r="O19" s="13">
        <f t="shared" si="7"/>
        <v>2027.0948662077931</v>
      </c>
      <c r="P19" s="13">
        <f>1/India!S96</f>
        <v>1.169087829957089</v>
      </c>
      <c r="R19">
        <v>2024</v>
      </c>
      <c r="S19" s="13">
        <v>1.4595510026562484</v>
      </c>
      <c r="T19" s="13">
        <v>1.3569514067810817</v>
      </c>
      <c r="U19" s="13">
        <v>1.2785385028261369</v>
      </c>
      <c r="W19">
        <v>2024</v>
      </c>
      <c r="X19" s="13">
        <v>0.93240949006221696</v>
      </c>
      <c r="Y19" s="13">
        <f t="shared" si="13"/>
        <v>1.3569514067810817</v>
      </c>
      <c r="Z19" s="13">
        <v>2.0447391629206311</v>
      </c>
      <c r="AB19" s="13">
        <f t="shared" si="1"/>
        <v>1.0716406896356336</v>
      </c>
      <c r="AC19" s="13"/>
      <c r="AE19" s="33">
        <f t="shared" si="0"/>
        <v>-4.088572241718575</v>
      </c>
      <c r="AG19">
        <v>15</v>
      </c>
    </row>
    <row r="20" spans="1:33">
      <c r="A20" s="14">
        <v>2025</v>
      </c>
      <c r="B20" s="13"/>
      <c r="C20" s="20">
        <f t="shared" si="15"/>
        <v>1.7103042924540723</v>
      </c>
      <c r="D20" s="84">
        <f t="shared" si="8"/>
        <v>1.5342230922311302</v>
      </c>
      <c r="E20" s="84">
        <f>J20-SUM(F$7:F20)</f>
        <v>-3.7224766902074489</v>
      </c>
      <c r="F20" s="13">
        <f t="shared" si="9"/>
        <v>0</v>
      </c>
      <c r="G20" s="13">
        <f t="shared" si="10"/>
        <v>1</v>
      </c>
      <c r="H20" s="13">
        <f t="shared" si="11"/>
        <v>1</v>
      </c>
      <c r="I20" s="20">
        <f>I19+(I35-I15)/20</f>
        <v>0</v>
      </c>
      <c r="J20" s="13">
        <f t="shared" si="12"/>
        <v>-3.7224766902074489</v>
      </c>
      <c r="K20" s="13"/>
      <c r="L20" s="84">
        <f t="shared" si="14"/>
        <v>1.5342230922311302</v>
      </c>
      <c r="M20" s="13">
        <f t="shared" si="5"/>
        <v>1.5617094795796753</v>
      </c>
      <c r="N20" s="13">
        <f t="shared" si="6"/>
        <v>2025.7362637359863</v>
      </c>
      <c r="O20" s="13">
        <f t="shared" si="7"/>
        <v>2026.6938642471709</v>
      </c>
      <c r="P20" s="13">
        <f>1/India!S97</f>
        <v>1.1319025994094072</v>
      </c>
      <c r="R20" s="87">
        <v>2025</v>
      </c>
      <c r="S20" s="13">
        <v>1.8417353421797515</v>
      </c>
      <c r="T20" s="13">
        <v>1.7103042924540723</v>
      </c>
      <c r="U20" s="13">
        <v>1.6214313746780553</v>
      </c>
      <c r="W20" s="87">
        <v>2025</v>
      </c>
      <c r="X20" s="13">
        <v>1.1429616591942284</v>
      </c>
      <c r="Y20" s="13">
        <f t="shared" si="13"/>
        <v>1.7103042924540723</v>
      </c>
      <c r="Z20" s="13">
        <v>2.676949812795272</v>
      </c>
      <c r="AB20" s="13">
        <f t="shared" si="1"/>
        <v>1.2941409573841982</v>
      </c>
      <c r="AC20" s="13"/>
      <c r="AE20" s="33">
        <f t="shared" si="0"/>
        <v>-3.8964294153752936</v>
      </c>
      <c r="AG20">
        <v>16</v>
      </c>
    </row>
    <row r="21" spans="1:33">
      <c r="A21">
        <v>2026</v>
      </c>
      <c r="B21" s="13"/>
      <c r="C21" s="13">
        <f t="shared" si="15"/>
        <v>2.151403489951798</v>
      </c>
      <c r="D21" s="84">
        <f t="shared" si="8"/>
        <v>1.9024951208056546</v>
      </c>
      <c r="E21" s="84">
        <f>J21-SUM(F$7:F21)</f>
        <v>-3.5015149803108989</v>
      </c>
      <c r="F21" s="13">
        <f t="shared" si="9"/>
        <v>0</v>
      </c>
      <c r="G21" s="13">
        <f>IF(H21&lt;0,0,H21)</f>
        <v>1</v>
      </c>
      <c r="H21" s="13">
        <f t="shared" si="11"/>
        <v>1</v>
      </c>
      <c r="I21" s="20">
        <f>I20+(I35-I15)/20</f>
        <v>0</v>
      </c>
      <c r="J21" s="13">
        <f t="shared" si="12"/>
        <v>-3.5015149803108989</v>
      </c>
      <c r="K21" s="13"/>
      <c r="L21" s="84">
        <f t="shared" si="14"/>
        <v>1.9024951208056549</v>
      </c>
      <c r="M21" s="13">
        <f t="shared" si="5"/>
        <v>1.8829636772975846</v>
      </c>
      <c r="N21" s="13">
        <f t="shared" si="6"/>
        <v>2026.9792546622803</v>
      </c>
      <c r="O21" s="13">
        <f t="shared" si="7"/>
        <v>2026.450873320877</v>
      </c>
      <c r="P21" s="13">
        <f>1/India!S98</f>
        <v>1.1093698576711386</v>
      </c>
      <c r="R21">
        <v>2026</v>
      </c>
      <c r="S21" s="13">
        <v>2.3053088430208883</v>
      </c>
      <c r="T21" s="13">
        <v>2.151403489951798</v>
      </c>
      <c r="U21" s="13">
        <v>2.0500124525240442</v>
      </c>
      <c r="W21">
        <v>2026</v>
      </c>
      <c r="X21" s="13">
        <v>1.3989862377610121</v>
      </c>
      <c r="Y21" s="13">
        <f>T21</f>
        <v>2.151403489951798</v>
      </c>
      <c r="Z21" s="13">
        <v>3.4657633482130796</v>
      </c>
      <c r="AB21" s="13">
        <f t="shared" si="1"/>
        <v>1.5617094795796753</v>
      </c>
      <c r="AC21" s="13"/>
      <c r="AE21" s="33">
        <f t="shared" si="0"/>
        <v>-3.7042865890320118</v>
      </c>
      <c r="AG21">
        <v>17</v>
      </c>
    </row>
    <row r="22" spans="1:33">
      <c r="A22">
        <v>2027</v>
      </c>
      <c r="B22" s="13"/>
      <c r="C22" s="13">
        <f t="shared" si="15"/>
        <v>2.6882106288758019</v>
      </c>
      <c r="D22" s="84">
        <f t="shared" si="8"/>
        <v>2.4740258451804444</v>
      </c>
      <c r="E22" s="84">
        <f>J22-SUM(F$7:F22)</f>
        <v>-3.2297353362535519</v>
      </c>
      <c r="F22" s="13">
        <f t="shared" si="9"/>
        <v>0</v>
      </c>
      <c r="G22" s="13">
        <f t="shared" si="10"/>
        <v>1</v>
      </c>
      <c r="H22" s="13">
        <f t="shared" si="11"/>
        <v>1</v>
      </c>
      <c r="I22" s="20">
        <f>I21+(I35-I15)/20</f>
        <v>0</v>
      </c>
      <c r="J22" s="13">
        <f t="shared" si="12"/>
        <v>-3.2297353362535519</v>
      </c>
      <c r="K22" s="13"/>
      <c r="L22" s="84">
        <f t="shared" si="14"/>
        <v>2.4740258451804444</v>
      </c>
      <c r="M22" s="13">
        <f t="shared" si="5"/>
        <v>2.2679395050816198</v>
      </c>
      <c r="N22" s="13">
        <f t="shared" si="6"/>
        <v>2028.2030923581838</v>
      </c>
      <c r="O22" s="13">
        <f t="shared" si="7"/>
        <v>2026.2270356249735</v>
      </c>
      <c r="P22" s="13">
        <f>1/India!S99</f>
        <v>1.0886132102110584</v>
      </c>
      <c r="R22">
        <v>2027</v>
      </c>
      <c r="S22" s="13">
        <v>2.8514393496496697</v>
      </c>
      <c r="T22" s="13">
        <v>2.6882106288758019</v>
      </c>
      <c r="U22" s="13">
        <v>2.5794583219492599</v>
      </c>
      <c r="W22">
        <v>2027</v>
      </c>
      <c r="X22" s="13">
        <v>1.7038734243440714</v>
      </c>
      <c r="Y22" s="13">
        <f t="shared" si="13"/>
        <v>2.6882106288758019</v>
      </c>
      <c r="Z22" s="13">
        <v>4.4062198454725792</v>
      </c>
      <c r="AB22" s="13">
        <f t="shared" si="1"/>
        <v>1.8829636772975846</v>
      </c>
      <c r="AC22" s="13"/>
      <c r="AE22" s="33">
        <f t="shared" si="0"/>
        <v>-3.51214376268873</v>
      </c>
      <c r="AG22">
        <v>18</v>
      </c>
    </row>
    <row r="23" spans="1:33">
      <c r="A23">
        <v>2028</v>
      </c>
      <c r="B23" s="13"/>
      <c r="C23" s="13">
        <f t="shared" si="15"/>
        <v>3.3368971657319908</v>
      </c>
      <c r="D23" s="84">
        <f t="shared" si="8"/>
        <v>3.1019804514805811</v>
      </c>
      <c r="E23" s="84">
        <f>J23-SUM(F$7:F23)</f>
        <v>-2.9934474219828506</v>
      </c>
      <c r="F23" s="13">
        <f t="shared" si="9"/>
        <v>0</v>
      </c>
      <c r="G23" s="13">
        <f t="shared" si="10"/>
        <v>1</v>
      </c>
      <c r="H23" s="13">
        <f t="shared" si="11"/>
        <v>1</v>
      </c>
      <c r="I23" s="20">
        <f>I22+(I35-I15)/20</f>
        <v>0</v>
      </c>
      <c r="J23" s="13">
        <f t="shared" si="12"/>
        <v>-2.9934474219828506</v>
      </c>
      <c r="K23" s="13"/>
      <c r="L23" s="84">
        <f t="shared" si="14"/>
        <v>3.1019804514805807</v>
      </c>
      <c r="M23" s="13">
        <f t="shared" si="5"/>
        <v>2.7282222524337612</v>
      </c>
      <c r="N23" s="13">
        <f t="shared" si="6"/>
        <v>2029.4485675578535</v>
      </c>
      <c r="O23" s="13">
        <f t="shared" si="7"/>
        <v>2025.9815604253038</v>
      </c>
      <c r="P23" s="13">
        <f>1/India!S100</f>
        <v>1.0658500998280089</v>
      </c>
      <c r="R23">
        <v>2028</v>
      </c>
      <c r="S23" s="13">
        <v>3.4937687359987568</v>
      </c>
      <c r="T23" s="13">
        <v>3.3368971657319908</v>
      </c>
      <c r="U23" s="13">
        <v>3.2207835893066599</v>
      </c>
      <c r="W23">
        <v>2028</v>
      </c>
      <c r="X23" s="13">
        <v>2.066637861827596</v>
      </c>
      <c r="Y23" s="13">
        <f t="shared" si="13"/>
        <v>3.3368971657319908</v>
      </c>
      <c r="Z23" s="13">
        <v>5.5231520443946085</v>
      </c>
      <c r="AB23" s="13">
        <f t="shared" si="1"/>
        <v>2.2679395050816198</v>
      </c>
      <c r="AC23" s="13"/>
      <c r="AE23" s="33">
        <f t="shared" si="0"/>
        <v>-3.3200009363454481</v>
      </c>
      <c r="AG23">
        <v>19</v>
      </c>
    </row>
    <row r="24" spans="1:33">
      <c r="A24">
        <v>2029</v>
      </c>
      <c r="B24" s="13"/>
      <c r="C24" s="13">
        <f t="shared" si="15"/>
        <v>4.0968159970912694</v>
      </c>
      <c r="D24" s="84">
        <f t="shared" si="8"/>
        <v>3.8476833445257763</v>
      </c>
      <c r="E24" s="84">
        <f>J24-SUM(F$7:F24)</f>
        <v>-2.7658965077211004</v>
      </c>
      <c r="F24" s="13">
        <f t="shared" si="9"/>
        <v>0</v>
      </c>
      <c r="G24" s="13">
        <f t="shared" si="10"/>
        <v>1</v>
      </c>
      <c r="H24" s="13">
        <f t="shared" si="11"/>
        <v>1</v>
      </c>
      <c r="I24" s="20">
        <f>I23+(I35-I15)/20</f>
        <v>0</v>
      </c>
      <c r="J24" s="13">
        <f t="shared" si="12"/>
        <v>-2.7658965077211004</v>
      </c>
      <c r="K24" s="13"/>
      <c r="L24" s="84">
        <f t="shared" si="14"/>
        <v>3.8476833445257759</v>
      </c>
      <c r="M24" s="13">
        <f t="shared" si="5"/>
        <v>3.9292943115095809</v>
      </c>
      <c r="N24" s="13">
        <f t="shared" si="6"/>
        <v>2030.6695200354807</v>
      </c>
      <c r="O24" s="13">
        <f t="shared" si="7"/>
        <v>2025.7606079476766</v>
      </c>
      <c r="P24" s="13">
        <f>1/India!S101</f>
        <v>1.045361000952028</v>
      </c>
      <c r="R24">
        <v>2029</v>
      </c>
      <c r="S24" s="13">
        <v>4.2341794812123013</v>
      </c>
      <c r="T24" s="13">
        <v>4.0968159970912694</v>
      </c>
      <c r="U24" s="13">
        <v>3.9883472355858109</v>
      </c>
      <c r="W24">
        <v>2029</v>
      </c>
      <c r="X24" s="13">
        <v>2.4946353011105464</v>
      </c>
      <c r="Y24" s="13">
        <f t="shared" si="13"/>
        <v>4.0968159970912694</v>
      </c>
      <c r="Z24" s="13">
        <v>6.7901166729503561</v>
      </c>
      <c r="AB24" s="13">
        <f t="shared" si="1"/>
        <v>2.7282222524337612</v>
      </c>
      <c r="AC24" s="13"/>
      <c r="AE24" s="33">
        <f t="shared" si="0"/>
        <v>-3.1278581100021663</v>
      </c>
      <c r="AG24">
        <v>20</v>
      </c>
    </row>
    <row r="25" spans="1:33">
      <c r="A25" s="14">
        <v>2030</v>
      </c>
      <c r="B25" s="13"/>
      <c r="C25" s="20">
        <f t="shared" si="15"/>
        <v>4.9841796547928281</v>
      </c>
      <c r="D25" s="84">
        <f t="shared" si="8"/>
        <v>4.7297156494021193</v>
      </c>
      <c r="E25" s="84">
        <f>J25-SUM(F$7:F25)</f>
        <v>-2.5449741011383917</v>
      </c>
      <c r="F25" s="13">
        <f t="shared" si="9"/>
        <v>0</v>
      </c>
      <c r="G25" s="13">
        <f t="shared" si="10"/>
        <v>1</v>
      </c>
      <c r="H25" s="13">
        <f t="shared" si="11"/>
        <v>1</v>
      </c>
      <c r="I25" s="20">
        <f>I24+(I35-I15)/20</f>
        <v>0</v>
      </c>
      <c r="J25" s="13">
        <f t="shared" si="12"/>
        <v>-2.5449741011383917</v>
      </c>
      <c r="K25" s="13"/>
      <c r="L25" s="84">
        <f t="shared" si="14"/>
        <v>4.7297156494021184</v>
      </c>
      <c r="M25" s="13">
        <f t="shared" si="5"/>
        <v>4.7014825110803562</v>
      </c>
      <c r="N25" s="13">
        <f t="shared" si="6"/>
        <v>2031.9155073810271</v>
      </c>
      <c r="O25" s="13">
        <f t="shared" si="7"/>
        <v>2025.5146206021302</v>
      </c>
      <c r="P25" s="13">
        <f>1/India!S102</f>
        <v>1.0225503988747613</v>
      </c>
      <c r="R25" s="87">
        <v>2030</v>
      </c>
      <c r="S25" s="13">
        <v>5.0863545345562455</v>
      </c>
      <c r="T25" s="13">
        <v>4.9841796547928281</v>
      </c>
      <c r="U25" s="13">
        <v>4.8833557082072403</v>
      </c>
      <c r="W25" s="87">
        <v>2030</v>
      </c>
      <c r="X25" s="13">
        <v>2.9990171023699412</v>
      </c>
      <c r="Y25" s="13">
        <f t="shared" si="13"/>
        <v>4.9841796547928281</v>
      </c>
      <c r="Z25" s="13">
        <v>8.2276939436290828</v>
      </c>
      <c r="AB25" s="13">
        <f t="shared" si="1"/>
        <v>3.2770403898495579</v>
      </c>
      <c r="AC25" s="13"/>
      <c r="AE25" s="33">
        <f t="shared" si="0"/>
        <v>-2.9357152836588849</v>
      </c>
      <c r="AG25">
        <v>21</v>
      </c>
    </row>
    <row r="26" spans="1:33">
      <c r="A26">
        <v>2031</v>
      </c>
      <c r="C26" s="13">
        <f t="shared" si="15"/>
        <v>5.9973617130902346</v>
      </c>
      <c r="D26" s="84">
        <f>65*EXP(E26)/(1+EXP(E26))</f>
        <v>5.7681566564982285</v>
      </c>
      <c r="E26" s="84">
        <f>J26-SUM(F$7:F26)</f>
        <v>-2.3291067323916717</v>
      </c>
      <c r="F26" s="13">
        <f t="shared" si="9"/>
        <v>0</v>
      </c>
      <c r="G26" s="13">
        <f t="shared" si="10"/>
        <v>1</v>
      </c>
      <c r="H26" s="13">
        <f t="shared" si="11"/>
        <v>1</v>
      </c>
      <c r="I26" s="20">
        <f>I25+(I35-I15)/20</f>
        <v>0</v>
      </c>
      <c r="J26" s="13">
        <f t="shared" si="12"/>
        <v>-2.3291067323916717</v>
      </c>
      <c r="K26" s="13"/>
      <c r="L26" s="84">
        <f t="shared" si="14"/>
        <v>5.7681566564982285</v>
      </c>
      <c r="M26" s="13">
        <f t="shared" si="5"/>
        <v>5.6114781425235627</v>
      </c>
      <c r="N26" s="13">
        <f t="shared" si="6"/>
        <v>2032.9155073810271</v>
      </c>
      <c r="O26" s="13">
        <f t="shared" si="7"/>
        <v>2025.5146206021302</v>
      </c>
      <c r="P26" s="13">
        <f>P25</f>
        <v>1.0225503988747613</v>
      </c>
      <c r="R26">
        <v>2031</v>
      </c>
      <c r="S26" s="13">
        <v>6.070705139003139</v>
      </c>
      <c r="T26" s="13">
        <v>5.9973617130902346</v>
      </c>
      <c r="U26" s="13">
        <v>5.92281840775766</v>
      </c>
      <c r="W26">
        <v>2031</v>
      </c>
      <c r="X26" s="13">
        <v>3.5922282158988676</v>
      </c>
      <c r="Y26" s="13">
        <f t="shared" si="13"/>
        <v>5.9973617130902346</v>
      </c>
      <c r="Z26" s="13">
        <v>9.8187537328221346</v>
      </c>
      <c r="AB26" s="13">
        <f t="shared" si="1"/>
        <v>3.9292943115095809</v>
      </c>
      <c r="AC26" s="13"/>
      <c r="AE26" s="33">
        <f t="shared" si="0"/>
        <v>-2.7435724573156026</v>
      </c>
      <c r="AG26">
        <v>22</v>
      </c>
    </row>
    <row r="27" spans="1:33">
      <c r="A27">
        <v>2032</v>
      </c>
      <c r="C27" s="13">
        <f t="shared" si="15"/>
        <v>7.1577950344627235</v>
      </c>
      <c r="D27" s="84">
        <f t="shared" si="8"/>
        <v>6.8536549117460854</v>
      </c>
      <c r="E27" s="84">
        <f>J27-SUM(F$7:F27)</f>
        <v>-2.1381809500827105</v>
      </c>
      <c r="F27" s="13">
        <f t="shared" si="9"/>
        <v>0</v>
      </c>
      <c r="G27" s="13">
        <f t="shared" si="10"/>
        <v>1</v>
      </c>
      <c r="H27" s="13">
        <f t="shared" si="11"/>
        <v>1</v>
      </c>
      <c r="I27" s="20">
        <f>I26+(I35-I15)/20</f>
        <v>0</v>
      </c>
      <c r="J27" s="13">
        <f t="shared" si="12"/>
        <v>-2.1381809500827105</v>
      </c>
      <c r="K27" s="13"/>
      <c r="L27" s="84">
        <f t="shared" si="14"/>
        <v>6.8536549117460863</v>
      </c>
      <c r="M27" s="13">
        <f t="shared" si="5"/>
        <v>6.6781010294633321</v>
      </c>
      <c r="N27" s="13">
        <f t="shared" si="6"/>
        <v>2033.9155073810271</v>
      </c>
      <c r="O27" s="13">
        <f t="shared" si="7"/>
        <v>2025.5146206021302</v>
      </c>
      <c r="P27" s="13">
        <f t="shared" ref="P27:P50" si="16">P26</f>
        <v>1.0225503988747613</v>
      </c>
      <c r="R27">
        <v>2032</v>
      </c>
      <c r="S27" s="13">
        <v>7.2023070065251158</v>
      </c>
      <c r="T27" s="13">
        <v>7.1577950344627235</v>
      </c>
      <c r="U27" s="13">
        <v>7.1018875554632928</v>
      </c>
      <c r="W27">
        <v>2032</v>
      </c>
      <c r="X27" s="13">
        <v>4.293179606954685</v>
      </c>
      <c r="Y27" s="13">
        <f t="shared" si="13"/>
        <v>7.1577950344627235</v>
      </c>
      <c r="Z27" s="13">
        <v>11.579306820391112</v>
      </c>
      <c r="AB27" s="13">
        <f t="shared" si="1"/>
        <v>4.7014825110803562</v>
      </c>
      <c r="AC27" s="13"/>
      <c r="AE27" s="33">
        <f t="shared" si="0"/>
        <v>-2.5514296309723212</v>
      </c>
      <c r="AG27">
        <v>23</v>
      </c>
    </row>
    <row r="28" spans="1:33">
      <c r="A28">
        <v>2033</v>
      </c>
      <c r="C28" s="13">
        <f t="shared" si="15"/>
        <v>8.4796646290573392</v>
      </c>
      <c r="D28" s="84">
        <f t="shared" si="8"/>
        <v>8.1140407247165651</v>
      </c>
      <c r="E28" s="84">
        <f>J28-SUM(F$7:F28)</f>
        <v>-1.9474525654235946</v>
      </c>
      <c r="F28" s="13">
        <f t="shared" si="9"/>
        <v>0</v>
      </c>
      <c r="G28" s="13">
        <f t="shared" si="10"/>
        <v>1</v>
      </c>
      <c r="H28" s="13">
        <f t="shared" si="11"/>
        <v>1</v>
      </c>
      <c r="I28" s="20">
        <f>I27+(I35-I15)/20</f>
        <v>0</v>
      </c>
      <c r="J28" s="13">
        <f t="shared" si="12"/>
        <v>-1.9474525654235946</v>
      </c>
      <c r="K28" s="13"/>
      <c r="L28" s="84">
        <f t="shared" si="14"/>
        <v>8.1140407247165633</v>
      </c>
      <c r="M28" s="13">
        <f t="shared" si="5"/>
        <v>7.9204272879143121</v>
      </c>
      <c r="N28" s="13">
        <f t="shared" si="6"/>
        <v>2034.9155073810271</v>
      </c>
      <c r="O28" s="13">
        <f t="shared" si="7"/>
        <v>2025.5146206021302</v>
      </c>
      <c r="P28" s="13">
        <f t="shared" si="16"/>
        <v>1.0225503988747613</v>
      </c>
      <c r="R28">
        <v>2033</v>
      </c>
      <c r="S28" s="13">
        <v>8.4953451472692194</v>
      </c>
      <c r="T28" s="13">
        <v>8.4796646290573392</v>
      </c>
      <c r="U28" s="13">
        <v>8.4423929763910515</v>
      </c>
      <c r="W28">
        <v>2033</v>
      </c>
      <c r="X28" s="13">
        <v>5.1175318446501317</v>
      </c>
      <c r="Y28" s="13">
        <f t="shared" si="13"/>
        <v>8.4796646290573392</v>
      </c>
      <c r="Z28" s="13">
        <v>13.511145590789981</v>
      </c>
      <c r="AB28" s="13">
        <f t="shared" si="1"/>
        <v>5.6114781425235627</v>
      </c>
      <c r="AC28" s="13"/>
      <c r="AE28" s="33">
        <f t="shared" si="0"/>
        <v>-2.3592868046290398</v>
      </c>
      <c r="AG28">
        <v>24</v>
      </c>
    </row>
    <row r="29" spans="1:33">
      <c r="A29">
        <v>2034</v>
      </c>
      <c r="C29" s="13">
        <f t="shared" si="15"/>
        <v>9.9751947428949048</v>
      </c>
      <c r="D29" s="84">
        <f t="shared" si="8"/>
        <v>9.5663002532622823</v>
      </c>
      <c r="E29" s="84">
        <f>J29-SUM(F$7:F29)</f>
        <v>-1.7569411751809298</v>
      </c>
      <c r="F29" s="13">
        <f t="shared" si="9"/>
        <v>0</v>
      </c>
      <c r="G29" s="13">
        <f t="shared" si="10"/>
        <v>1</v>
      </c>
      <c r="H29" s="13">
        <f t="shared" si="11"/>
        <v>1</v>
      </c>
      <c r="I29" s="20">
        <f>I28+(I35-I15)/20</f>
        <v>0</v>
      </c>
      <c r="J29" s="13">
        <f t="shared" si="12"/>
        <v>-1.7569411751809298</v>
      </c>
      <c r="K29" s="13"/>
      <c r="L29" s="84">
        <f t="shared" si="14"/>
        <v>9.5663002532622823</v>
      </c>
      <c r="M29" s="13">
        <f t="shared" si="5"/>
        <v>9.3567855877488721</v>
      </c>
      <c r="N29" s="13">
        <f t="shared" si="6"/>
        <v>2035.9155073810271</v>
      </c>
      <c r="O29" s="13">
        <f t="shared" si="7"/>
        <v>2025.5146206021302</v>
      </c>
      <c r="P29" s="13">
        <f t="shared" si="16"/>
        <v>1.0225503988747613</v>
      </c>
      <c r="R29">
        <v>2034</v>
      </c>
      <c r="S29" s="13">
        <v>9.9751947428949048</v>
      </c>
      <c r="T29" s="13">
        <v>9.9751947428949048</v>
      </c>
      <c r="U29" s="13">
        <v>9.9565589165617627</v>
      </c>
      <c r="W29">
        <v>2034</v>
      </c>
      <c r="X29" s="13">
        <v>6.0817044483683977</v>
      </c>
      <c r="Y29" s="13">
        <f t="shared" si="13"/>
        <v>9.9751947428949048</v>
      </c>
      <c r="Z29" s="13">
        <v>15.628164450522215</v>
      </c>
      <c r="AB29" s="13">
        <f t="shared" si="1"/>
        <v>6.6781010294633321</v>
      </c>
      <c r="AC29" s="13"/>
      <c r="AE29" s="33">
        <f t="shared" si="0"/>
        <v>-2.1671439782857576</v>
      </c>
      <c r="AG29">
        <v>25</v>
      </c>
    </row>
    <row r="30" spans="1:33">
      <c r="A30">
        <v>2035</v>
      </c>
      <c r="C30" s="13">
        <f t="shared" si="15"/>
        <v>11.653369090747033</v>
      </c>
      <c r="D30" s="84">
        <f t="shared" si="8"/>
        <v>11.225013701088001</v>
      </c>
      <c r="E30" s="84">
        <f>J30-SUM(F$7:F30)</f>
        <v>-1.5666637661538261</v>
      </c>
      <c r="F30" s="13">
        <f t="shared" si="9"/>
        <v>0</v>
      </c>
      <c r="G30" s="13">
        <f t="shared" si="10"/>
        <v>1</v>
      </c>
      <c r="H30" s="13">
        <f t="shared" si="11"/>
        <v>1</v>
      </c>
      <c r="I30" s="20">
        <f>I29+(I35-I15)/20</f>
        <v>0</v>
      </c>
      <c r="J30" s="13">
        <f t="shared" si="12"/>
        <v>-1.5666637661538261</v>
      </c>
      <c r="K30" s="13"/>
      <c r="L30" s="84">
        <f t="shared" si="14"/>
        <v>11.225013701087999</v>
      </c>
      <c r="M30" s="13">
        <f t="shared" si="5"/>
        <v>11.003411575932741</v>
      </c>
      <c r="N30" s="13">
        <f t="shared" si="6"/>
        <v>2036.9155073810271</v>
      </c>
      <c r="O30" s="13">
        <f t="shared" si="7"/>
        <v>2025.5146206021302</v>
      </c>
      <c r="P30" s="13">
        <f t="shared" si="16"/>
        <v>1.0225503988747613</v>
      </c>
      <c r="R30">
        <v>2035</v>
      </c>
      <c r="S30" s="13">
        <v>11.653369090747033</v>
      </c>
      <c r="T30" s="13">
        <v>11.653369090747033</v>
      </c>
      <c r="U30" s="13">
        <v>11.653369090747033</v>
      </c>
      <c r="W30">
        <v>2035</v>
      </c>
      <c r="X30" s="13">
        <v>7.2023070065251158</v>
      </c>
      <c r="Y30" s="13">
        <f t="shared" si="13"/>
        <v>11.653369090747033</v>
      </c>
      <c r="Z30" s="13">
        <v>17.921158856672587</v>
      </c>
      <c r="AB30" s="13">
        <f t="shared" si="1"/>
        <v>7.9204272879143121</v>
      </c>
      <c r="AC30" s="13"/>
      <c r="AE30" s="33">
        <f t="shared" si="0"/>
        <v>-1.9750011519424762</v>
      </c>
      <c r="AG30">
        <v>26</v>
      </c>
    </row>
    <row r="31" spans="1:33">
      <c r="A31">
        <v>2036</v>
      </c>
      <c r="C31" s="13">
        <f t="shared" si="15"/>
        <v>13.537145465974074</v>
      </c>
      <c r="D31" s="84">
        <f t="shared" si="8"/>
        <v>13.10077050668809</v>
      </c>
      <c r="E31" s="84">
        <f>J31-SUM(F$7:F31)</f>
        <v>-1.3766328982934868</v>
      </c>
      <c r="F31" s="13">
        <f t="shared" si="9"/>
        <v>0</v>
      </c>
      <c r="G31" s="13">
        <f t="shared" si="10"/>
        <v>1</v>
      </c>
      <c r="H31" s="13">
        <f t="shared" si="11"/>
        <v>1</v>
      </c>
      <c r="I31" s="20">
        <f>I30+(I35-I15)/20</f>
        <v>0</v>
      </c>
      <c r="J31" s="13">
        <f t="shared" si="12"/>
        <v>-1.3766328982934868</v>
      </c>
      <c r="K31" s="13"/>
      <c r="L31" s="84">
        <f t="shared" si="14"/>
        <v>13.10077050668809</v>
      </c>
      <c r="M31" s="13">
        <f t="shared" si="5"/>
        <v>12.872775785252154</v>
      </c>
      <c r="N31" s="13">
        <f t="shared" si="6"/>
        <v>2037.9155073810271</v>
      </c>
      <c r="O31" s="13">
        <f t="shared" si="7"/>
        <v>2025.5146206021302</v>
      </c>
      <c r="P31" s="13">
        <f t="shared" si="16"/>
        <v>1.0225503988747613</v>
      </c>
      <c r="R31">
        <v>2036</v>
      </c>
      <c r="S31" s="13">
        <v>13.537145465974074</v>
      </c>
      <c r="T31" s="13">
        <v>13.537145465974074</v>
      </c>
      <c r="U31" s="13">
        <v>13.537145465974074</v>
      </c>
      <c r="W31">
        <v>2036</v>
      </c>
      <c r="X31" s="13">
        <v>8.4953451472692194</v>
      </c>
      <c r="Y31" s="13">
        <f t="shared" si="13"/>
        <v>13.537145465974074</v>
      </c>
      <c r="Z31" s="13">
        <v>20.402997055576975</v>
      </c>
      <c r="AB31" s="13">
        <f t="shared" si="1"/>
        <v>9.3567855877488721</v>
      </c>
      <c r="AC31" s="13"/>
      <c r="AE31" s="33">
        <f t="shared" si="0"/>
        <v>-1.7828583255991939</v>
      </c>
      <c r="AG31">
        <v>27</v>
      </c>
    </row>
    <row r="32" spans="1:33">
      <c r="A32">
        <v>2037</v>
      </c>
      <c r="C32" s="13">
        <f t="shared" si="15"/>
        <v>15.628164450522215</v>
      </c>
      <c r="D32" s="84">
        <f t="shared" si="8"/>
        <v>15.198426446265087</v>
      </c>
      <c r="E32" s="84">
        <f>J32-SUM(F$7:F32)</f>
        <v>-1.186854681774681</v>
      </c>
      <c r="F32" s="13">
        <f t="shared" si="9"/>
        <v>0</v>
      </c>
      <c r="G32" s="13">
        <f t="shared" si="10"/>
        <v>1</v>
      </c>
      <c r="H32" s="13">
        <f t="shared" si="11"/>
        <v>1</v>
      </c>
      <c r="I32" s="20">
        <f>I31+(I35-I15)/20</f>
        <v>0</v>
      </c>
      <c r="J32" s="13">
        <f t="shared" si="12"/>
        <v>-1.186854681774681</v>
      </c>
      <c r="K32" s="13"/>
      <c r="L32" s="84">
        <f t="shared" si="14"/>
        <v>15.198426446265092</v>
      </c>
      <c r="M32" s="13">
        <f t="shared" si="5"/>
        <v>14.971668268591911</v>
      </c>
      <c r="N32" s="13">
        <f t="shared" si="6"/>
        <v>2038.9155073810271</v>
      </c>
      <c r="O32" s="13">
        <f t="shared" si="7"/>
        <v>2025.5146206021302</v>
      </c>
      <c r="P32" s="13">
        <f t="shared" si="16"/>
        <v>1.0225503988747613</v>
      </c>
      <c r="R32">
        <v>2037</v>
      </c>
      <c r="S32" s="13">
        <v>15.628164450522215</v>
      </c>
      <c r="T32" s="13">
        <v>15.628164450522215</v>
      </c>
      <c r="U32" s="13">
        <v>15.628164450522215</v>
      </c>
      <c r="W32">
        <v>2037</v>
      </c>
      <c r="X32" s="13">
        <v>9.9751947428949048</v>
      </c>
      <c r="Y32" s="13">
        <f t="shared" si="13"/>
        <v>15.628164450522215</v>
      </c>
      <c r="Z32" s="13">
        <v>23.052226189629614</v>
      </c>
      <c r="AB32" s="13">
        <f t="shared" si="1"/>
        <v>11.003411575932741</v>
      </c>
      <c r="AC32" s="13"/>
      <c r="AE32" s="33">
        <f t="shared" si="0"/>
        <v>-1.5907154992559125</v>
      </c>
      <c r="AG32">
        <v>28</v>
      </c>
    </row>
    <row r="33" spans="1:33">
      <c r="A33">
        <v>2038</v>
      </c>
      <c r="C33" s="13">
        <f t="shared" si="15"/>
        <v>17.921158856672587</v>
      </c>
      <c r="D33" s="84">
        <f t="shared" si="8"/>
        <v>17.515377091463112</v>
      </c>
      <c r="E33" s="84">
        <f>J33-SUM(F$7:F33)</f>
        <v>-0.99732674434063928</v>
      </c>
      <c r="F33" s="13">
        <f t="shared" si="9"/>
        <v>0</v>
      </c>
      <c r="G33" s="13">
        <f t="shared" si="10"/>
        <v>1</v>
      </c>
      <c r="H33" s="13">
        <f t="shared" si="11"/>
        <v>1</v>
      </c>
      <c r="I33" s="20">
        <f>I32+(I35-I15)/20</f>
        <v>0</v>
      </c>
      <c r="J33" s="13">
        <f t="shared" si="12"/>
        <v>-0.99732674434063928</v>
      </c>
      <c r="K33" s="13"/>
      <c r="L33" s="84">
        <f t="shared" si="14"/>
        <v>17.515377091463108</v>
      </c>
      <c r="M33" s="13">
        <f t="shared" si="5"/>
        <v>17.299211315914775</v>
      </c>
      <c r="N33" s="13">
        <f t="shared" si="6"/>
        <v>2039.9155073810271</v>
      </c>
      <c r="O33" s="13">
        <f t="shared" si="7"/>
        <v>2025.5146206021302</v>
      </c>
      <c r="P33" s="13">
        <f t="shared" si="16"/>
        <v>1.0225503988747613</v>
      </c>
      <c r="R33">
        <v>2038</v>
      </c>
      <c r="S33" s="13">
        <v>17.921158856672587</v>
      </c>
      <c r="T33" s="13">
        <v>17.921158856672587</v>
      </c>
      <c r="U33" s="13">
        <v>17.921158856672587</v>
      </c>
      <c r="W33">
        <v>2038</v>
      </c>
      <c r="X33" s="13">
        <v>11.653369090747033</v>
      </c>
      <c r="Y33" s="13">
        <f t="shared" si="13"/>
        <v>17.921158856672587</v>
      </c>
      <c r="Z33" s="13">
        <v>25.839266007324305</v>
      </c>
      <c r="AB33" s="13">
        <f t="shared" si="1"/>
        <v>12.872775785252154</v>
      </c>
      <c r="AC33" s="13"/>
      <c r="AE33" s="33">
        <f t="shared" si="0"/>
        <v>-1.3985726729126302</v>
      </c>
      <c r="AG33">
        <v>29</v>
      </c>
    </row>
    <row r="34" spans="1:33">
      <c r="A34">
        <v>2039</v>
      </c>
      <c r="C34" s="13">
        <f t="shared" si="15"/>
        <v>20.402997055576975</v>
      </c>
      <c r="D34" s="84">
        <f t="shared" si="8"/>
        <v>20.040089538335373</v>
      </c>
      <c r="E34" s="84">
        <f>J34-SUM(F$7:F34)</f>
        <v>-0.80803646988494482</v>
      </c>
      <c r="F34" s="13">
        <f t="shared" si="9"/>
        <v>0</v>
      </c>
      <c r="G34" s="13">
        <f t="shared" si="10"/>
        <v>1</v>
      </c>
      <c r="H34" s="13">
        <f t="shared" si="11"/>
        <v>1</v>
      </c>
      <c r="I34" s="20">
        <f>I33+(I35-I15)/20</f>
        <v>0</v>
      </c>
      <c r="J34" s="13">
        <f t="shared" si="12"/>
        <v>-0.80803646988494482</v>
      </c>
      <c r="K34" s="13"/>
      <c r="L34" s="84">
        <f t="shared" si="14"/>
        <v>20.040089538335373</v>
      </c>
      <c r="M34" s="13">
        <f t="shared" si="5"/>
        <v>19.845065285633876</v>
      </c>
      <c r="N34" s="13">
        <f t="shared" si="6"/>
        <v>2040.9155073810271</v>
      </c>
      <c r="O34" s="13">
        <f t="shared" si="7"/>
        <v>2025.5146206021302</v>
      </c>
      <c r="P34" s="13">
        <f t="shared" si="16"/>
        <v>1.0225503988747613</v>
      </c>
      <c r="R34">
        <v>2039</v>
      </c>
      <c r="S34" s="13">
        <v>20.402997055576975</v>
      </c>
      <c r="T34" s="13">
        <v>20.402997055576975</v>
      </c>
      <c r="U34" s="13">
        <v>20.402997055576975</v>
      </c>
      <c r="W34">
        <v>2039</v>
      </c>
      <c r="X34" s="13">
        <v>13.537145465974074</v>
      </c>
      <c r="Y34" s="13">
        <f t="shared" si="13"/>
        <v>20.402997055576975</v>
      </c>
      <c r="Z34" s="13">
        <v>28.727333329013732</v>
      </c>
      <c r="AB34" s="13">
        <f t="shared" si="1"/>
        <v>14.971668268591911</v>
      </c>
      <c r="AC34" s="13"/>
      <c r="AE34" s="33">
        <f t="shared" si="0"/>
        <v>-1.2064298465693488</v>
      </c>
      <c r="AG34">
        <v>30</v>
      </c>
    </row>
    <row r="35" spans="1:33">
      <c r="A35">
        <v>2040</v>
      </c>
      <c r="C35" s="13">
        <f t="shared" si="15"/>
        <v>23.052226189629614</v>
      </c>
      <c r="D35" s="84">
        <f>65*EXP(E35)/(1+EXP(E35))</f>
        <v>22.751173616553551</v>
      </c>
      <c r="E35" s="84">
        <f>J35-SUM(F$7:F35)</f>
        <v>-0.61895984390359327</v>
      </c>
      <c r="F35" s="13">
        <f t="shared" si="9"/>
        <v>0</v>
      </c>
      <c r="G35" s="13">
        <f t="shared" si="10"/>
        <v>1</v>
      </c>
      <c r="H35" s="13">
        <f t="shared" si="11"/>
        <v>1</v>
      </c>
      <c r="I35" s="89">
        <v>0</v>
      </c>
      <c r="J35" s="13">
        <f t="shared" si="12"/>
        <v>-0.61895984390359327</v>
      </c>
      <c r="K35" s="13"/>
      <c r="L35" s="84">
        <f t="shared" si="14"/>
        <v>22.751173616553551</v>
      </c>
      <c r="M35" s="13">
        <f t="shared" si="5"/>
        <v>22.588164801922829</v>
      </c>
      <c r="N35" s="13">
        <f t="shared" si="6"/>
        <v>2041.9155073810271</v>
      </c>
      <c r="O35" s="13">
        <f t="shared" si="7"/>
        <v>2025.5146206021302</v>
      </c>
      <c r="P35" s="13">
        <f t="shared" si="16"/>
        <v>1.0225503988747613</v>
      </c>
      <c r="R35" s="87">
        <v>2040</v>
      </c>
      <c r="S35" s="13">
        <v>23.052226189629614</v>
      </c>
      <c r="T35" s="13">
        <v>23.052226189629614</v>
      </c>
      <c r="U35" s="13">
        <v>23.052226189629614</v>
      </c>
      <c r="W35" s="87">
        <v>2040</v>
      </c>
      <c r="X35" s="13">
        <v>15.628164450522215</v>
      </c>
      <c r="Y35" s="13">
        <f t="shared" si="13"/>
        <v>23.052226189629614</v>
      </c>
      <c r="Z35" s="13">
        <v>31.674079283100475</v>
      </c>
      <c r="AB35" s="13">
        <f t="shared" si="1"/>
        <v>17.299211315914775</v>
      </c>
      <c r="AC35" s="13"/>
      <c r="AE35" s="33">
        <f t="shared" si="0"/>
        <v>-1.0142870202260665</v>
      </c>
      <c r="AG35">
        <v>31</v>
      </c>
    </row>
    <row r="36" spans="1:33">
      <c r="A36">
        <v>2041</v>
      </c>
      <c r="C36" s="13">
        <f t="shared" si="15"/>
        <v>25.839266007324305</v>
      </c>
      <c r="D36" s="84">
        <f t="shared" si="8"/>
        <v>25.617261096314898</v>
      </c>
      <c r="E36" s="84">
        <f>J36-SUM(F$7:F36)</f>
        <v>-0.43006123557118053</v>
      </c>
      <c r="F36" s="13">
        <f t="shared" si="9"/>
        <v>0</v>
      </c>
      <c r="G36" s="13">
        <f t="shared" si="10"/>
        <v>1</v>
      </c>
      <c r="H36" s="13">
        <f t="shared" si="11"/>
        <v>1</v>
      </c>
      <c r="I36" s="89">
        <f>I35</f>
        <v>0</v>
      </c>
      <c r="J36" s="13">
        <f t="shared" si="12"/>
        <v>-0.43006123557118053</v>
      </c>
      <c r="K36" s="13"/>
      <c r="L36" s="84">
        <f t="shared" si="14"/>
        <v>25.617261096314898</v>
      </c>
      <c r="M36" s="13">
        <f t="shared" si="5"/>
        <v>25.496338019613471</v>
      </c>
      <c r="N36" s="13">
        <f t="shared" si="6"/>
        <v>2042.9155073810271</v>
      </c>
      <c r="O36" s="13">
        <f t="shared" si="7"/>
        <v>2025.5146206021302</v>
      </c>
      <c r="P36" s="13">
        <f t="shared" si="16"/>
        <v>1.0225503988747613</v>
      </c>
      <c r="R36">
        <v>2041</v>
      </c>
      <c r="S36" s="13">
        <v>25.839266007324305</v>
      </c>
      <c r="T36" s="13">
        <v>25.839266007324305</v>
      </c>
      <c r="U36" s="13">
        <v>25.839266007324305</v>
      </c>
      <c r="W36">
        <v>2041</v>
      </c>
      <c r="X36" s="13">
        <v>17.921158856672587</v>
      </c>
      <c r="Y36" s="13">
        <f t="shared" si="13"/>
        <v>25.839266007324305</v>
      </c>
      <c r="Z36" s="13">
        <v>34.633813816963077</v>
      </c>
      <c r="AB36" s="13">
        <f t="shared" si="1"/>
        <v>19.845065285633876</v>
      </c>
      <c r="AE36" s="33">
        <f t="shared" si="0"/>
        <v>-0.82214419388278515</v>
      </c>
      <c r="AG36">
        <v>32</v>
      </c>
    </row>
    <row r="37" spans="1:33">
      <c r="A37">
        <v>2042</v>
      </c>
      <c r="C37" s="13">
        <f t="shared" si="15"/>
        <v>28.727333329013732</v>
      </c>
      <c r="D37" s="84">
        <f t="shared" si="8"/>
        <v>28.597881093418678</v>
      </c>
      <c r="E37" s="84">
        <f>J37-SUM(F$7:F37)</f>
        <v>-0.24129435722924741</v>
      </c>
      <c r="F37" s="13">
        <f t="shared" si="9"/>
        <v>0</v>
      </c>
      <c r="G37" s="13">
        <f t="shared" si="10"/>
        <v>1</v>
      </c>
      <c r="H37" s="13">
        <f t="shared" si="11"/>
        <v>1</v>
      </c>
      <c r="I37" s="89">
        <f t="shared" ref="I37:I50" si="17">I36</f>
        <v>0</v>
      </c>
      <c r="J37" s="13">
        <f t="shared" si="12"/>
        <v>-0.24129435722924741</v>
      </c>
      <c r="K37" s="13"/>
      <c r="L37" s="84">
        <f t="shared" si="14"/>
        <v>28.597881093418675</v>
      </c>
      <c r="M37" s="13">
        <f t="shared" si="5"/>
        <v>28.527088659682786</v>
      </c>
      <c r="N37" s="13">
        <f t="shared" si="6"/>
        <v>2043.9155073810271</v>
      </c>
      <c r="O37" s="13">
        <f t="shared" si="7"/>
        <v>2025.5146206021302</v>
      </c>
      <c r="P37" s="13">
        <f t="shared" si="16"/>
        <v>1.0225503988747613</v>
      </c>
      <c r="R37">
        <v>2042</v>
      </c>
      <c r="S37" s="13">
        <v>28.727333329013732</v>
      </c>
      <c r="T37" s="13">
        <v>28.727333329013732</v>
      </c>
      <c r="U37" s="13">
        <v>28.727333329013732</v>
      </c>
      <c r="W37">
        <v>2042</v>
      </c>
      <c r="X37" s="13">
        <v>20.402997055576975</v>
      </c>
      <c r="Y37" s="13">
        <f t="shared" si="13"/>
        <v>28.727333329013732</v>
      </c>
      <c r="Z37" s="13">
        <v>37.56009665291883</v>
      </c>
      <c r="AB37" s="13">
        <f t="shared" si="1"/>
        <v>22.588164801922829</v>
      </c>
      <c r="AE37" s="33">
        <f t="shared" si="0"/>
        <v>-0.63000136753950375</v>
      </c>
      <c r="AG37">
        <v>33</v>
      </c>
    </row>
    <row r="38" spans="1:33">
      <c r="A38">
        <v>2043</v>
      </c>
      <c r="C38" s="13">
        <f t="shared" si="15"/>
        <v>31.674079283100475</v>
      </c>
      <c r="D38" s="84">
        <f t="shared" si="8"/>
        <v>31.645374445056618</v>
      </c>
      <c r="E38" s="84">
        <f>J38-SUM(F$7:F38)</f>
        <v>-5.2604469209662691E-2</v>
      </c>
      <c r="F38" s="13">
        <f t="shared" si="9"/>
        <v>0</v>
      </c>
      <c r="G38" s="13">
        <f t="shared" si="10"/>
        <v>1</v>
      </c>
      <c r="H38" s="13">
        <f t="shared" si="11"/>
        <v>1</v>
      </c>
      <c r="I38" s="89">
        <f t="shared" si="17"/>
        <v>0</v>
      </c>
      <c r="J38" s="13">
        <f t="shared" si="12"/>
        <v>-5.2604469209662691E-2</v>
      </c>
      <c r="K38" s="13"/>
      <c r="L38" s="84">
        <f t="shared" si="14"/>
        <v>31.645374445056621</v>
      </c>
      <c r="M38" s="13">
        <f t="shared" si="5"/>
        <v>31.629648714721533</v>
      </c>
      <c r="N38" s="13">
        <f t="shared" si="6"/>
        <v>2044.9155073810271</v>
      </c>
      <c r="O38" s="13">
        <f t="shared" si="7"/>
        <v>2025.5146206021302</v>
      </c>
      <c r="P38" s="13">
        <f t="shared" si="16"/>
        <v>1.0225503988747613</v>
      </c>
      <c r="R38">
        <v>2043</v>
      </c>
      <c r="S38" s="13">
        <v>31.674079283100475</v>
      </c>
      <c r="T38" s="13">
        <v>31.674079283100475</v>
      </c>
      <c r="U38" s="13">
        <v>31.674079283100475</v>
      </c>
      <c r="W38">
        <v>2043</v>
      </c>
      <c r="X38" s="13">
        <v>23.052226189629614</v>
      </c>
      <c r="Y38" s="13">
        <f t="shared" si="13"/>
        <v>31.674079283100475</v>
      </c>
      <c r="Z38" s="13">
        <v>40.408411883767009</v>
      </c>
      <c r="AB38" s="13">
        <f t="shared" si="1"/>
        <v>25.496338019613471</v>
      </c>
      <c r="AE38" s="33">
        <f t="shared" si="0"/>
        <v>-0.43785854119622147</v>
      </c>
      <c r="AG38">
        <v>34</v>
      </c>
    </row>
    <row r="39" spans="1:33">
      <c r="A39">
        <v>2044</v>
      </c>
      <c r="C39" s="13">
        <f t="shared" si="15"/>
        <v>34.633813816963077</v>
      </c>
      <c r="D39" s="84">
        <f t="shared" si="8"/>
        <v>34.707705170127895</v>
      </c>
      <c r="E39" s="84">
        <f>J39-SUM(F$7:F39)</f>
        <v>0.1360683291826906</v>
      </c>
      <c r="F39" s="13">
        <f t="shared" si="9"/>
        <v>0</v>
      </c>
      <c r="G39" s="13">
        <f t="shared" si="10"/>
        <v>1</v>
      </c>
      <c r="H39" s="13">
        <f t="shared" si="11"/>
        <v>1</v>
      </c>
      <c r="I39" s="89">
        <f t="shared" si="17"/>
        <v>0</v>
      </c>
      <c r="J39" s="13">
        <f t="shared" si="12"/>
        <v>0.1360683291826906</v>
      </c>
      <c r="K39" s="13"/>
      <c r="L39" s="84">
        <f t="shared" si="14"/>
        <v>34.707705170127895</v>
      </c>
      <c r="M39" s="13">
        <f t="shared" si="5"/>
        <v>34.748165271152757</v>
      </c>
      <c r="N39" s="13">
        <f t="shared" si="6"/>
        <v>2045.9155073810271</v>
      </c>
      <c r="O39" s="13">
        <f t="shared" si="7"/>
        <v>2025.5146206021302</v>
      </c>
      <c r="P39" s="13">
        <f t="shared" si="16"/>
        <v>1.0225503988747613</v>
      </c>
      <c r="R39">
        <v>2044</v>
      </c>
      <c r="S39" s="13">
        <v>34.633813816963077</v>
      </c>
      <c r="T39" s="13">
        <v>34.633813816963077</v>
      </c>
      <c r="U39" s="13">
        <v>34.633813816963077</v>
      </c>
      <c r="W39">
        <v>2044</v>
      </c>
      <c r="X39" s="13">
        <v>25.839266007324305</v>
      </c>
      <c r="Y39" s="13">
        <f t="shared" si="13"/>
        <v>34.633813816963077</v>
      </c>
      <c r="Z39" s="13">
        <v>43.138629016381564</v>
      </c>
      <c r="AB39" s="13">
        <f t="shared" si="1"/>
        <v>28.527088659682786</v>
      </c>
      <c r="AE39" s="33">
        <f t="shared" si="0"/>
        <v>-0.24571571485294008</v>
      </c>
      <c r="AG39">
        <v>35</v>
      </c>
    </row>
    <row r="40" spans="1:33">
      <c r="A40">
        <v>2045</v>
      </c>
      <c r="C40" s="13">
        <f t="shared" si="15"/>
        <v>37.56009665291883</v>
      </c>
      <c r="D40" s="84">
        <f t="shared" si="8"/>
        <v>37.731848343289094</v>
      </c>
      <c r="E40" s="84">
        <f>J40-SUM(F$7:F40)</f>
        <v>0.32478510627155155</v>
      </c>
      <c r="F40" s="13">
        <f t="shared" si="9"/>
        <v>0</v>
      </c>
      <c r="G40" s="13">
        <f t="shared" si="10"/>
        <v>1</v>
      </c>
      <c r="H40" s="13">
        <f t="shared" si="11"/>
        <v>1</v>
      </c>
      <c r="I40" s="89">
        <f t="shared" si="17"/>
        <v>0</v>
      </c>
      <c r="J40" s="13">
        <f t="shared" si="12"/>
        <v>0.32478510627155155</v>
      </c>
      <c r="K40" s="13"/>
      <c r="L40" s="84">
        <f t="shared" si="14"/>
        <v>37.731848343289094</v>
      </c>
      <c r="M40" s="13">
        <f t="shared" si="5"/>
        <v>37.825631560112548</v>
      </c>
      <c r="N40" s="13">
        <f t="shared" si="6"/>
        <v>2046.9155073810271</v>
      </c>
      <c r="O40" s="13">
        <f t="shared" si="7"/>
        <v>2025.5146206021302</v>
      </c>
      <c r="P40" s="13">
        <f t="shared" si="16"/>
        <v>1.0225503988747613</v>
      </c>
      <c r="R40">
        <v>2045</v>
      </c>
      <c r="S40" s="13">
        <v>37.56009665291883</v>
      </c>
      <c r="T40" s="13">
        <v>37.56009665291883</v>
      </c>
      <c r="U40" s="13">
        <v>37.56009665291883</v>
      </c>
      <c r="W40">
        <v>2045</v>
      </c>
      <c r="X40" s="13">
        <v>28.727333329013732</v>
      </c>
      <c r="Y40" s="13">
        <f t="shared" si="13"/>
        <v>37.56009665291883</v>
      </c>
      <c r="Z40" s="13">
        <v>45.716989829919676</v>
      </c>
      <c r="AB40" s="13">
        <f t="shared" si="1"/>
        <v>31.629648714721533</v>
      </c>
      <c r="AE40" s="33">
        <f t="shared" si="0"/>
        <v>-5.3572888509657801E-2</v>
      </c>
      <c r="AG40">
        <v>36</v>
      </c>
    </row>
    <row r="41" spans="1:33">
      <c r="A41">
        <v>2046</v>
      </c>
      <c r="C41" s="13">
        <f t="shared" si="15"/>
        <v>40.408411883767009</v>
      </c>
      <c r="D41" s="84">
        <f t="shared" si="8"/>
        <v>40.667311216942586</v>
      </c>
      <c r="E41" s="84">
        <f>J41-SUM(F$7:F41)</f>
        <v>0.51360394177453728</v>
      </c>
      <c r="F41" s="13">
        <f t="shared" si="9"/>
        <v>0</v>
      </c>
      <c r="G41" s="13">
        <f t="shared" si="10"/>
        <v>1</v>
      </c>
      <c r="H41" s="13">
        <f t="shared" si="11"/>
        <v>1</v>
      </c>
      <c r="I41" s="89">
        <f t="shared" si="17"/>
        <v>0</v>
      </c>
      <c r="J41" s="13">
        <f t="shared" si="12"/>
        <v>0.51360394177453728</v>
      </c>
      <c r="K41" s="13"/>
      <c r="L41" s="84">
        <f t="shared" si="14"/>
        <v>40.667311216942586</v>
      </c>
      <c r="M41" s="13">
        <f t="shared" si="5"/>
        <v>40.80799164496986</v>
      </c>
      <c r="N41" s="13">
        <f t="shared" si="6"/>
        <v>2047.9155073810271</v>
      </c>
      <c r="O41" s="13">
        <f t="shared" si="7"/>
        <v>2025.5146206021302</v>
      </c>
      <c r="P41" s="13">
        <f t="shared" si="16"/>
        <v>1.0225503988747613</v>
      </c>
      <c r="R41">
        <v>2046</v>
      </c>
      <c r="S41" s="13">
        <v>40.408411883767009</v>
      </c>
      <c r="T41" s="13">
        <v>40.408411883767009</v>
      </c>
      <c r="U41" s="13">
        <v>40.408411883767009</v>
      </c>
      <c r="W41">
        <v>2046</v>
      </c>
      <c r="X41" s="13">
        <v>31.674079283100475</v>
      </c>
      <c r="Y41" s="13">
        <f t="shared" si="13"/>
        <v>40.408411883767009</v>
      </c>
      <c r="Z41" s="13">
        <v>48.078914749756805</v>
      </c>
      <c r="AB41" s="13">
        <f t="shared" si="1"/>
        <v>34.748165271152757</v>
      </c>
      <c r="AE41" s="33">
        <f t="shared" si="0"/>
        <v>0.13856993783362359</v>
      </c>
      <c r="AG41">
        <v>37</v>
      </c>
    </row>
    <row r="42" spans="1:33">
      <c r="A42">
        <v>2047</v>
      </c>
      <c r="C42" s="13">
        <f t="shared" si="15"/>
        <v>43.138629016381564</v>
      </c>
      <c r="D42" s="84">
        <f t="shared" si="8"/>
        <v>43.469315353591767</v>
      </c>
      <c r="E42" s="84">
        <f>J42-SUM(F$7:F42)</f>
        <v>0.70257618449874737</v>
      </c>
      <c r="F42" s="13">
        <f t="shared" si="9"/>
        <v>0</v>
      </c>
      <c r="G42" s="13">
        <f t="shared" si="10"/>
        <v>1</v>
      </c>
      <c r="H42" s="13">
        <f t="shared" si="11"/>
        <v>1</v>
      </c>
      <c r="I42" s="89">
        <f t="shared" si="17"/>
        <v>0</v>
      </c>
      <c r="J42" s="13">
        <f t="shared" si="12"/>
        <v>0.70257618449874737</v>
      </c>
      <c r="K42" s="13"/>
      <c r="L42" s="84">
        <f t="shared" si="14"/>
        <v>43.469315353591767</v>
      </c>
      <c r="M42" s="13">
        <f t="shared" si="5"/>
        <v>43.647804525488773</v>
      </c>
      <c r="N42" s="13">
        <f t="shared" si="6"/>
        <v>2048.9155073810271</v>
      </c>
      <c r="O42" s="13">
        <f t="shared" si="7"/>
        <v>2025.5146206021302</v>
      </c>
      <c r="P42" s="13">
        <f t="shared" si="16"/>
        <v>1.0225503988747613</v>
      </c>
      <c r="R42">
        <v>2047</v>
      </c>
      <c r="S42" s="13">
        <v>43.138629016381564</v>
      </c>
      <c r="T42" s="13">
        <v>43.138629016381564</v>
      </c>
      <c r="U42" s="13">
        <v>43.138629016381564</v>
      </c>
      <c r="W42">
        <v>2047</v>
      </c>
      <c r="X42" s="13">
        <v>34.633813816963077</v>
      </c>
      <c r="Y42" s="13">
        <f t="shared" si="13"/>
        <v>43.138629016381564</v>
      </c>
      <c r="Z42" s="13">
        <v>50.173441716457447</v>
      </c>
      <c r="AB42" s="13">
        <f t="shared" si="1"/>
        <v>37.825631560112548</v>
      </c>
      <c r="AE42" s="33">
        <f t="shared" si="0"/>
        <v>0.33071276417690587</v>
      </c>
      <c r="AG42">
        <v>38</v>
      </c>
    </row>
    <row r="43" spans="1:33">
      <c r="A43">
        <v>2048</v>
      </c>
      <c r="C43" s="13">
        <f t="shared" si="15"/>
        <v>45.716989829919676</v>
      </c>
      <c r="D43" s="84">
        <f t="shared" si="8"/>
        <v>46.101240948005184</v>
      </c>
      <c r="E43" s="84">
        <f>J43-SUM(F$7:F43)</f>
        <v>0.89174360696676769</v>
      </c>
      <c r="F43" s="13">
        <f t="shared" si="9"/>
        <v>0</v>
      </c>
      <c r="G43" s="13">
        <f t="shared" si="10"/>
        <v>1</v>
      </c>
      <c r="H43" s="13">
        <f t="shared" si="11"/>
        <v>1</v>
      </c>
      <c r="I43" s="89">
        <f t="shared" si="17"/>
        <v>0</v>
      </c>
      <c r="J43" s="13">
        <f t="shared" si="12"/>
        <v>0.89174360696676769</v>
      </c>
      <c r="K43" s="13"/>
      <c r="L43" s="84">
        <f t="shared" si="14"/>
        <v>46.101240948005184</v>
      </c>
      <c r="M43" s="13">
        <f t="shared" si="5"/>
        <v>46.306963082988986</v>
      </c>
      <c r="N43" s="13">
        <f t="shared" si="6"/>
        <v>2049.9155073810271</v>
      </c>
      <c r="O43" s="13">
        <f t="shared" si="7"/>
        <v>2025.5146206021302</v>
      </c>
      <c r="P43" s="13">
        <f t="shared" si="16"/>
        <v>1.0225503988747613</v>
      </c>
      <c r="R43">
        <v>2048</v>
      </c>
      <c r="S43" s="13">
        <v>45.716989829919676</v>
      </c>
      <c r="T43" s="13">
        <v>45.716989829919676</v>
      </c>
      <c r="U43" s="13">
        <v>45.716989829919676</v>
      </c>
      <c r="W43">
        <v>2048</v>
      </c>
      <c r="X43" s="13">
        <v>37.56009665291883</v>
      </c>
      <c r="Y43" s="13">
        <f t="shared" si="13"/>
        <v>45.716989829919676</v>
      </c>
      <c r="Z43" s="13">
        <v>51.962580094749548</v>
      </c>
      <c r="AB43" s="13">
        <f t="shared" si="1"/>
        <v>40.80799164496986</v>
      </c>
      <c r="AE43" s="33">
        <f t="shared" si="0"/>
        <v>0.52285559052018726</v>
      </c>
      <c r="AG43">
        <v>39</v>
      </c>
    </row>
    <row r="44" spans="1:33">
      <c r="A44">
        <v>2049</v>
      </c>
      <c r="C44" s="13">
        <f t="shared" si="15"/>
        <v>48.078914749756805</v>
      </c>
      <c r="D44" s="84">
        <f t="shared" si="8"/>
        <v>48.536087709355897</v>
      </c>
      <c r="E44" s="84">
        <f>J44-SUM(F$7:F44)</f>
        <v>1.081136746001667</v>
      </c>
      <c r="F44" s="13">
        <f t="shared" si="9"/>
        <v>0</v>
      </c>
      <c r="G44" s="13">
        <f t="shared" si="10"/>
        <v>1</v>
      </c>
      <c r="H44" s="13">
        <f t="shared" si="11"/>
        <v>1</v>
      </c>
      <c r="I44" s="89">
        <f t="shared" si="17"/>
        <v>0</v>
      </c>
      <c r="J44" s="13">
        <f t="shared" si="12"/>
        <v>1.081136746001667</v>
      </c>
      <c r="K44" s="13"/>
      <c r="L44" s="84">
        <f t="shared" si="14"/>
        <v>48.536087709355897</v>
      </c>
      <c r="M44" s="13">
        <f t="shared" si="5"/>
        <v>48.758185954398662</v>
      </c>
      <c r="N44" s="13">
        <f t="shared" si="6"/>
        <v>2050.9155073810271</v>
      </c>
      <c r="O44" s="13">
        <f t="shared" si="7"/>
        <v>2025.5146206021302</v>
      </c>
      <c r="P44" s="13">
        <f t="shared" si="16"/>
        <v>1.0225503988747613</v>
      </c>
      <c r="R44">
        <v>2049</v>
      </c>
      <c r="S44" s="13">
        <v>48.078914749756805</v>
      </c>
      <c r="T44" s="13">
        <v>48.078914749756805</v>
      </c>
      <c r="U44" s="13">
        <v>48.078914749756805</v>
      </c>
      <c r="W44">
        <v>2049</v>
      </c>
      <c r="X44" s="13">
        <v>40.408411883767009</v>
      </c>
      <c r="Y44" s="13">
        <f t="shared" si="13"/>
        <v>48.078914749756805</v>
      </c>
      <c r="Z44" s="13">
        <v>53.42006646513024</v>
      </c>
      <c r="AB44" s="13">
        <f t="shared" si="1"/>
        <v>43.647804525488773</v>
      </c>
      <c r="AE44" s="33">
        <f t="shared" si="0"/>
        <v>0.71499841686346954</v>
      </c>
      <c r="AG44">
        <v>40</v>
      </c>
    </row>
    <row r="45" spans="1:33">
      <c r="A45">
        <v>2050</v>
      </c>
      <c r="C45" s="13">
        <f t="shared" si="15"/>
        <v>50.173441716457447</v>
      </c>
      <c r="D45" s="84">
        <f t="shared" si="8"/>
        <v>50.756894373358506</v>
      </c>
      <c r="E45" s="84">
        <f>J45-SUM(F$7:F45)</f>
        <v>1.2707744844526982</v>
      </c>
      <c r="F45" s="13">
        <f t="shared" si="9"/>
        <v>0</v>
      </c>
      <c r="G45" s="13">
        <f t="shared" si="10"/>
        <v>1</v>
      </c>
      <c r="H45" s="13">
        <f t="shared" si="11"/>
        <v>1</v>
      </c>
      <c r="I45" s="89">
        <f t="shared" si="17"/>
        <v>0</v>
      </c>
      <c r="J45" s="13">
        <f t="shared" si="12"/>
        <v>1.2707744844526982</v>
      </c>
      <c r="K45" s="13"/>
      <c r="L45" s="84">
        <f t="shared" si="14"/>
        <v>50.756894373358513</v>
      </c>
      <c r="M45" s="13">
        <f t="shared" si="5"/>
        <v>50.985259532179676</v>
      </c>
      <c r="N45" s="13">
        <f t="shared" si="6"/>
        <v>2051.9155073810271</v>
      </c>
      <c r="O45" s="13">
        <f t="shared" si="7"/>
        <v>2025.5146206021302</v>
      </c>
      <c r="P45" s="13">
        <f t="shared" si="16"/>
        <v>1.0225503988747613</v>
      </c>
      <c r="R45">
        <v>2050</v>
      </c>
      <c r="S45" s="13">
        <v>50.173441716457447</v>
      </c>
      <c r="T45" s="13">
        <v>50.173441716457447</v>
      </c>
      <c r="U45" s="13">
        <v>50.173441716457447</v>
      </c>
      <c r="W45">
        <v>2050</v>
      </c>
      <c r="X45" s="13">
        <v>43.138629016381564</v>
      </c>
      <c r="Y45" s="13">
        <f t="shared" si="13"/>
        <v>50.173441716457447</v>
      </c>
      <c r="Z45" s="13">
        <v>54.529717583889408</v>
      </c>
      <c r="AB45" s="13">
        <f t="shared" si="1"/>
        <v>46.306963082988986</v>
      </c>
      <c r="AE45" s="33">
        <f t="shared" si="0"/>
        <v>0.90714124320675094</v>
      </c>
      <c r="AG45">
        <v>41</v>
      </c>
    </row>
    <row r="46" spans="1:33">
      <c r="A46">
        <v>2051</v>
      </c>
      <c r="C46" s="20">
        <f t="shared" si="15"/>
        <v>53.249253756775524</v>
      </c>
      <c r="D46" s="84">
        <f t="shared" si="8"/>
        <v>52.756230864894725</v>
      </c>
      <c r="E46" s="84">
        <f>J46-SUM(F$7:F46)</f>
        <v>1.4606647204857175</v>
      </c>
      <c r="F46" s="13">
        <f t="shared" si="9"/>
        <v>0</v>
      </c>
      <c r="G46" s="13">
        <f t="shared" si="10"/>
        <v>1</v>
      </c>
      <c r="H46" s="13">
        <f t="shared" si="11"/>
        <v>1</v>
      </c>
      <c r="I46" s="89">
        <f t="shared" si="17"/>
        <v>0</v>
      </c>
      <c r="J46" s="13">
        <f t="shared" si="12"/>
        <v>1.4606647204857175</v>
      </c>
      <c r="K46" s="13"/>
      <c r="L46" s="84">
        <f t="shared" si="14"/>
        <v>52.756230864894725</v>
      </c>
      <c r="M46" s="13">
        <f t="shared" si="5"/>
        <v>52.982225451723409</v>
      </c>
      <c r="N46" s="13">
        <f t="shared" si="6"/>
        <v>2052.9155073810271</v>
      </c>
      <c r="O46" s="13">
        <f t="shared" si="7"/>
        <v>2025.5146206021302</v>
      </c>
      <c r="P46" s="13">
        <f t="shared" si="16"/>
        <v>1.0225503988747613</v>
      </c>
      <c r="AB46" s="13">
        <f t="shared" si="1"/>
        <v>48.758185954398662</v>
      </c>
      <c r="AE46" s="33">
        <f t="shared" si="0"/>
        <v>1.0992840695500323</v>
      </c>
      <c r="AG46">
        <v>42</v>
      </c>
    </row>
    <row r="47" spans="1:33">
      <c r="A47">
        <v>2052</v>
      </c>
      <c r="C47" s="20">
        <f t="shared" si="15"/>
        <v>55.949076446933724</v>
      </c>
      <c r="D47" s="84">
        <f t="shared" si="8"/>
        <v>54.265322782149006</v>
      </c>
      <c r="E47" s="84">
        <f>J47-SUM(F$7:F47)</f>
        <v>1.6204060374603346</v>
      </c>
      <c r="F47" s="13">
        <f t="shared" si="9"/>
        <v>0</v>
      </c>
      <c r="G47" s="13">
        <f t="shared" si="10"/>
        <v>1</v>
      </c>
      <c r="H47" s="13">
        <f t="shared" si="11"/>
        <v>1</v>
      </c>
      <c r="I47" s="89">
        <f t="shared" si="17"/>
        <v>0</v>
      </c>
      <c r="J47" s="13">
        <f t="shared" si="12"/>
        <v>1.6204060374603346</v>
      </c>
      <c r="K47" s="13"/>
      <c r="L47" s="84">
        <f t="shared" si="14"/>
        <v>54.265322782148999</v>
      </c>
      <c r="M47" s="13">
        <f t="shared" si="5"/>
        <v>54.751837845501832</v>
      </c>
      <c r="N47" s="13">
        <f t="shared" si="6"/>
        <v>2053.9155073810271</v>
      </c>
      <c r="O47" s="13">
        <f t="shared" si="7"/>
        <v>2025.5146206021302</v>
      </c>
      <c r="P47" s="13">
        <f t="shared" si="16"/>
        <v>1.0225503988747613</v>
      </c>
      <c r="AB47" s="13">
        <f t="shared" si="1"/>
        <v>50.985259532179676</v>
      </c>
      <c r="AE47" s="33">
        <f t="shared" si="0"/>
        <v>1.2914268958933146</v>
      </c>
      <c r="AG47">
        <v>43</v>
      </c>
    </row>
    <row r="48" spans="1:33">
      <c r="A48">
        <v>2053</v>
      </c>
      <c r="C48" s="20">
        <f t="shared" si="15"/>
        <v>57.184574569863365</v>
      </c>
      <c r="D48" s="84">
        <f t="shared" si="8"/>
        <v>55.328999983847076</v>
      </c>
      <c r="E48" s="84">
        <f>J48-SUM(F$7:F48)</f>
        <v>1.7441654646717659</v>
      </c>
      <c r="F48" s="13">
        <f t="shared" si="9"/>
        <v>0</v>
      </c>
      <c r="G48" s="13">
        <f t="shared" si="10"/>
        <v>1</v>
      </c>
      <c r="H48" s="13">
        <f t="shared" si="11"/>
        <v>1</v>
      </c>
      <c r="I48" s="89">
        <f t="shared" si="17"/>
        <v>0</v>
      </c>
      <c r="J48" s="13">
        <f>LN(L48/(65-L48))</f>
        <v>1.7441654646717659</v>
      </c>
      <c r="K48" s="13"/>
      <c r="L48" s="84">
        <f t="shared" si="14"/>
        <v>55.328999983847076</v>
      </c>
      <c r="M48" s="13">
        <f t="shared" si="5"/>
        <v>56.30364554067004</v>
      </c>
      <c r="N48" s="13">
        <f t="shared" si="6"/>
        <v>2054.9155073810271</v>
      </c>
      <c r="O48" s="13">
        <f t="shared" si="7"/>
        <v>2025.5146206021302</v>
      </c>
      <c r="P48" s="13">
        <f t="shared" si="16"/>
        <v>1.0225503988747613</v>
      </c>
      <c r="AB48" s="13">
        <f t="shared" si="1"/>
        <v>52.982225451723409</v>
      </c>
      <c r="AE48" s="33">
        <f t="shared" si="0"/>
        <v>1.4835697222365969</v>
      </c>
      <c r="AG48">
        <v>44</v>
      </c>
    </row>
    <row r="49" spans="1:33">
      <c r="A49">
        <v>2054</v>
      </c>
      <c r="C49" s="20">
        <f t="shared" si="15"/>
        <v>58.470110609164315</v>
      </c>
      <c r="D49" s="84">
        <f t="shared" si="8"/>
        <v>64.999999635818241</v>
      </c>
      <c r="E49" s="84">
        <f>J49-SUM(F$7:F49)</f>
        <v>19</v>
      </c>
      <c r="F49" s="13">
        <f t="shared" si="9"/>
        <v>0</v>
      </c>
      <c r="G49" s="13">
        <f t="shared" si="10"/>
        <v>1</v>
      </c>
      <c r="H49" s="13">
        <f t="shared" si="11"/>
        <v>1</v>
      </c>
      <c r="I49" s="89">
        <f t="shared" si="17"/>
        <v>0</v>
      </c>
      <c r="J49" s="13">
        <v>19</v>
      </c>
      <c r="K49" s="13"/>
      <c r="L49" s="84">
        <f>AVERAGE(M45:M50)</f>
        <v>54.605043241902507</v>
      </c>
      <c r="M49" s="13">
        <f t="shared" si="5"/>
        <v>56.30364554067004</v>
      </c>
      <c r="N49" s="13">
        <f t="shared" si="6"/>
        <v>2055.9155073810271</v>
      </c>
      <c r="O49" s="13">
        <f t="shared" si="7"/>
        <v>2025.5146206021302</v>
      </c>
      <c r="P49" s="13">
        <f t="shared" si="16"/>
        <v>1.0225503988747613</v>
      </c>
      <c r="AB49" s="13">
        <f t="shared" si="1"/>
        <v>54.751837845501832</v>
      </c>
      <c r="AE49" s="33">
        <f t="shared" si="0"/>
        <v>1.6757125485798774</v>
      </c>
      <c r="AG49">
        <v>45</v>
      </c>
    </row>
    <row r="50" spans="1:33">
      <c r="A50">
        <v>2055</v>
      </c>
      <c r="C50" s="20">
        <f t="shared" si="15"/>
        <v>59.898580545231731</v>
      </c>
      <c r="D50" s="84">
        <f>65*EXP(E50)/(1+EXP(E50))</f>
        <v>64.999999779112585</v>
      </c>
      <c r="E50" s="84">
        <f>J50-SUM(F$7:F50)</f>
        <v>19.5</v>
      </c>
      <c r="F50" s="13">
        <f t="shared" si="9"/>
        <v>0</v>
      </c>
      <c r="G50" s="13">
        <f t="shared" si="10"/>
        <v>1</v>
      </c>
      <c r="H50" s="13">
        <f t="shared" si="11"/>
        <v>1</v>
      </c>
      <c r="I50" s="89">
        <f t="shared" si="17"/>
        <v>0</v>
      </c>
      <c r="J50" s="13">
        <v>19.5</v>
      </c>
      <c r="K50" s="13"/>
      <c r="L50" s="84">
        <f>AVERAGE(M45:M50)</f>
        <v>54.605043241902507</v>
      </c>
      <c r="M50" s="13">
        <f t="shared" si="5"/>
        <v>56.30364554067004</v>
      </c>
      <c r="N50" s="13">
        <f t="shared" si="6"/>
        <v>2056.9155073810271</v>
      </c>
      <c r="O50" s="13">
        <f t="shared" si="7"/>
        <v>2025.5146206021302</v>
      </c>
      <c r="P50" s="13">
        <f t="shared" si="16"/>
        <v>1.0225503988747613</v>
      </c>
      <c r="AB50" s="13">
        <f t="shared" si="1"/>
        <v>56.30364554067004</v>
      </c>
      <c r="AE50" s="33">
        <f t="shared" si="0"/>
        <v>1.8678553749231597</v>
      </c>
      <c r="AG50">
        <v>46</v>
      </c>
    </row>
    <row r="55" spans="1:33">
      <c r="AC55" s="41" t="s">
        <v>159</v>
      </c>
      <c r="AD55" s="41">
        <v>-6.9707146368678021</v>
      </c>
    </row>
    <row r="56" spans="1:33" ht="15.75" thickBot="1">
      <c r="L56" s="41" t="str">
        <f>' All EV uptake'!D46</f>
        <v>Intercept</v>
      </c>
      <c r="M56" s="41">
        <f>' All EV uptake'!E46</f>
        <v>2006.0956444042549</v>
      </c>
      <c r="AC56" s="41" t="s">
        <v>329</v>
      </c>
      <c r="AD56" s="42">
        <v>0.19214282634328178</v>
      </c>
    </row>
    <row r="57" spans="1:33" ht="15.75" thickBot="1">
      <c r="L57" s="41" t="str">
        <f>' All EV uptake'!D47</f>
        <v>EV/FFV cost ratio</v>
      </c>
      <c r="M57" s="41">
        <f>' All EV uptake'!E47</f>
        <v>10.783904112355547</v>
      </c>
      <c r="AC57" s="42"/>
      <c r="AD57" s="42"/>
    </row>
    <row r="58" spans="1:33">
      <c r="L58" s="41" t="str">
        <f>' All EV uptake'!D48</f>
        <v>dumKorea</v>
      </c>
      <c r="M58" s="41">
        <f>' All EV uptake'!E48</f>
        <v>3.2747008164932261</v>
      </c>
    </row>
    <row r="59" spans="1:33">
      <c r="L59" s="41" t="str">
        <f>' All EV uptake'!D49</f>
        <v>dumUK</v>
      </c>
      <c r="M59" s="41">
        <f>' All EV uptake'!E49</f>
        <v>2.7276845521810786</v>
      </c>
    </row>
    <row r="60" spans="1:33">
      <c r="L60" s="41" t="str">
        <f>' All EV uptake'!D50</f>
        <v>dumNeth</v>
      </c>
      <c r="M60" s="41">
        <f>' All EV uptake'!E50</f>
        <v>-1.2544269368470402</v>
      </c>
    </row>
    <row r="61" spans="1:33">
      <c r="L61" s="41" t="str">
        <f>' All EV uptake'!D51</f>
        <v>dumChina</v>
      </c>
      <c r="M61" s="41">
        <f>' All EV uptake'!E51</f>
        <v>1.6840641661301363</v>
      </c>
    </row>
    <row r="62" spans="1:33">
      <c r="L62" s="41" t="str">
        <f>' All EV uptake'!D52</f>
        <v>dumDenmark</v>
      </c>
      <c r="M62" s="41">
        <f>' All EV uptake'!E52</f>
        <v>3.2654872236791634</v>
      </c>
    </row>
    <row r="63" spans="1:33">
      <c r="L63" s="41" t="str">
        <f>' All EV uptake'!D53</f>
        <v>dumIreland</v>
      </c>
      <c r="M63" s="41">
        <f>' All EV uptake'!E53</f>
        <v>3.5582490934682056</v>
      </c>
    </row>
    <row r="64" spans="1:33">
      <c r="L64" s="41" t="str">
        <f>' All EV uptake'!D54</f>
        <v>dumNZ</v>
      </c>
      <c r="M64" s="41">
        <f>' All EV uptake'!E54</f>
        <v>1.900474768762227</v>
      </c>
    </row>
    <row r="65" spans="12:13">
      <c r="L65" s="41" t="str">
        <f>' All EV uptake'!D55</f>
        <v>dumSwitzerland</v>
      </c>
      <c r="M65" s="41">
        <f>' All EV uptake'!E55</f>
        <v>-2.1041729879229703</v>
      </c>
    </row>
    <row r="66" spans="12:13">
      <c r="L66" s="41" t="str">
        <f>' All EV uptake'!D56</f>
        <v>dumSpain</v>
      </c>
      <c r="M66" s="41">
        <f>' All EV uptake'!E56</f>
        <v>4.4168133039283006</v>
      </c>
    </row>
    <row r="67" spans="12:13">
      <c r="L67" s="41" t="str">
        <f>' All EV uptake'!D57</f>
        <v>dumIndia</v>
      </c>
      <c r="M67" s="41">
        <f>' All EV uptake'!E57</f>
        <v>8.3918907463589623</v>
      </c>
    </row>
    <row r="68" spans="12:13">
      <c r="L68" s="41" t="str">
        <f>' All EV uptake'!D58</f>
        <v>dumUSA</v>
      </c>
      <c r="M68" s="41">
        <f>' All EV uptake'!E58</f>
        <v>2.1386885311349126</v>
      </c>
    </row>
    <row r="69" spans="12:13">
      <c r="L69" s="41" t="str">
        <f>' All EV uptake'!D59</f>
        <v>dumAustria</v>
      </c>
      <c r="M69" s="41">
        <f>' All EV uptake'!E59</f>
        <v>-0.86657486911619475</v>
      </c>
    </row>
    <row r="70" spans="12:13">
      <c r="L70" s="41" t="str">
        <f>' All EV uptake'!D60</f>
        <v>dumItaly</v>
      </c>
      <c r="M70" s="41">
        <f>' All EV uptake'!E60</f>
        <v>2.0513905871244105</v>
      </c>
    </row>
    <row r="71" spans="12:13">
      <c r="L71" s="41" t="str">
        <f>' All EV uptake'!D61</f>
        <v>dumJapan</v>
      </c>
      <c r="M71" s="41">
        <f>' All EV uptake'!E61</f>
        <v>4.0948893434577212</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38"/>
  <sheetViews>
    <sheetView topLeftCell="A91" zoomScale="75" zoomScaleNormal="75" workbookViewId="0">
      <selection activeCell="P118" sqref="P118:AC138"/>
    </sheetView>
  </sheetViews>
  <sheetFormatPr defaultRowHeight="15"/>
  <cols>
    <col min="2" max="2" width="12" customWidth="1"/>
    <col min="4" max="4" width="12.42578125" customWidth="1"/>
    <col min="7" max="7" width="10.85546875" customWidth="1"/>
    <col min="8" max="8" width="16.28515625" customWidth="1"/>
    <col min="9" max="9" width="15.28515625" customWidth="1"/>
    <col min="10" max="10" width="10.42578125" customWidth="1"/>
    <col min="21" max="21" width="15.140625" customWidth="1"/>
    <col min="22" max="22" width="11.5703125" customWidth="1"/>
    <col min="27" max="27" width="16.5703125" customWidth="1"/>
    <col min="29" max="29" width="12.5703125" customWidth="1"/>
  </cols>
  <sheetData>
    <row r="1" spans="1:38">
      <c r="A1" t="s">
        <v>5</v>
      </c>
      <c r="B1" t="s">
        <v>1395</v>
      </c>
      <c r="C1" t="s">
        <v>704</v>
      </c>
      <c r="D1" t="s">
        <v>704</v>
      </c>
      <c r="E1" t="s">
        <v>498</v>
      </c>
      <c r="F1" t="s">
        <v>704</v>
      </c>
      <c r="G1" t="s">
        <v>704</v>
      </c>
      <c r="H1" t="s">
        <v>704</v>
      </c>
      <c r="I1" t="s">
        <v>704</v>
      </c>
      <c r="J1" t="s">
        <v>704</v>
      </c>
      <c r="O1" t="s">
        <v>704</v>
      </c>
      <c r="P1" t="s">
        <v>704</v>
      </c>
      <c r="Q1" t="s">
        <v>704</v>
      </c>
      <c r="U1" t="s">
        <v>730</v>
      </c>
      <c r="V1" s="33" t="s">
        <v>715</v>
      </c>
      <c r="W1" s="87" t="s">
        <v>1181</v>
      </c>
      <c r="X1" s="87" t="s">
        <v>1181</v>
      </c>
      <c r="Y1" s="87" t="s">
        <v>1181</v>
      </c>
      <c r="AB1" t="s">
        <v>747</v>
      </c>
      <c r="AH1" t="s">
        <v>874</v>
      </c>
      <c r="AJ1" t="s">
        <v>875</v>
      </c>
    </row>
    <row r="2" spans="1:38">
      <c r="B2" t="s">
        <v>710</v>
      </c>
      <c r="C2" t="s">
        <v>710</v>
      </c>
      <c r="D2" t="s">
        <v>749</v>
      </c>
      <c r="E2" t="s">
        <v>714</v>
      </c>
      <c r="F2" t="s">
        <v>728</v>
      </c>
      <c r="G2" t="s">
        <v>269</v>
      </c>
      <c r="H2" t="s">
        <v>750</v>
      </c>
      <c r="I2" t="s">
        <v>755</v>
      </c>
      <c r="J2" t="s">
        <v>269</v>
      </c>
      <c r="O2" t="s">
        <v>269</v>
      </c>
      <c r="P2" t="s">
        <v>717</v>
      </c>
      <c r="Q2" t="s">
        <v>725</v>
      </c>
      <c r="V2" s="33"/>
      <c r="W2" s="87" t="s">
        <v>338</v>
      </c>
      <c r="X2" s="87" t="s">
        <v>1182</v>
      </c>
      <c r="Y2" s="87" t="s">
        <v>1183</v>
      </c>
      <c r="AC2" t="s">
        <v>778</v>
      </c>
      <c r="AD2" t="s">
        <v>665</v>
      </c>
      <c r="AH2" t="s">
        <v>750</v>
      </c>
      <c r="AI2" t="s">
        <v>850</v>
      </c>
      <c r="AJ2" t="s">
        <v>750</v>
      </c>
    </row>
    <row r="3" spans="1:38">
      <c r="A3">
        <v>2009</v>
      </c>
      <c r="B3" s="3">
        <f>X3</f>
        <v>29.592572886961211</v>
      </c>
      <c r="C3" s="3">
        <f t="shared" ref="C3:C24" si="0">B3*AC3*1000</f>
        <v>1430280.0698017641</v>
      </c>
      <c r="D3" s="61"/>
      <c r="E3" s="33">
        <v>16.7</v>
      </c>
      <c r="F3" s="61">
        <f>C3*E3/100</f>
        <v>238856.77165689462</v>
      </c>
      <c r="G3" s="3">
        <f t="shared" ref="G3:G12" si="1">C3+F3+D3</f>
        <v>1669136.8414586587</v>
      </c>
      <c r="H3" s="3">
        <v>0</v>
      </c>
      <c r="I3" s="3">
        <f>Austria!I3/AD3*AC3</f>
        <v>97357.154847171783</v>
      </c>
      <c r="J3" s="3">
        <f>G3+H3+I3</f>
        <v>1766493.9963058305</v>
      </c>
      <c r="N3">
        <v>2009</v>
      </c>
      <c r="O3" s="3">
        <f>J3</f>
        <v>1766493.9963058305</v>
      </c>
      <c r="P3" s="3">
        <f>J28</f>
        <v>1766493.9963058305</v>
      </c>
      <c r="Q3" s="3">
        <f>G53</f>
        <v>1297289.9483999999</v>
      </c>
      <c r="T3">
        <v>2009</v>
      </c>
      <c r="U3" s="3">
        <f>'Vehicle price'!X5</f>
        <v>23</v>
      </c>
      <c r="V3">
        <v>1</v>
      </c>
      <c r="W3" s="3">
        <f t="shared" ref="W3:W24" si="2">X3*V3</f>
        <v>29.592572886961211</v>
      </c>
      <c r="X3" s="3">
        <f>'Vehicle price'!T5</f>
        <v>29.592572886961211</v>
      </c>
      <c r="Y3" s="3">
        <f>X3*Z3</f>
        <v>29.592572886961211</v>
      </c>
      <c r="Z3">
        <v>1</v>
      </c>
      <c r="AB3">
        <v>2009</v>
      </c>
      <c r="AC3" s="156">
        <v>48.3324</v>
      </c>
      <c r="AD3">
        <v>0.71984416666666673</v>
      </c>
      <c r="AG3">
        <v>2009</v>
      </c>
      <c r="AH3" s="3"/>
      <c r="AI3" s="13">
        <f>CPIs!K48</f>
        <v>89.291855556309812</v>
      </c>
    </row>
    <row r="4" spans="1:38">
      <c r="A4">
        <v>2010</v>
      </c>
      <c r="B4" s="3">
        <f t="shared" ref="B4:B24" si="3">X4</f>
        <v>30</v>
      </c>
      <c r="C4" s="3">
        <f t="shared" si="0"/>
        <v>1369521</v>
      </c>
      <c r="D4" s="61"/>
      <c r="E4" s="33">
        <v>16.7</v>
      </c>
      <c r="F4" s="61">
        <f t="shared" ref="F4:F12" si="4">C4*E4/100</f>
        <v>228710.00699999998</v>
      </c>
      <c r="G4" s="3">
        <f t="shared" si="1"/>
        <v>1598231.007</v>
      </c>
      <c r="H4" s="3">
        <f>-C4*0.2</f>
        <v>-273904.2</v>
      </c>
      <c r="I4" s="3">
        <f>Austria!I4/AD4*AC4</f>
        <v>87249.268093836581</v>
      </c>
      <c r="J4" s="3">
        <f t="shared" ref="J4:J11" si="5">G4+H4+I4</f>
        <v>1411576.0750938365</v>
      </c>
      <c r="N4">
        <v>2010</v>
      </c>
      <c r="O4" s="3">
        <f t="shared" ref="O4:O12" si="6">J4</f>
        <v>1411576.0750938365</v>
      </c>
      <c r="P4" s="3">
        <f t="shared" ref="P4:P12" si="7">J29</f>
        <v>1411576.0750938365</v>
      </c>
      <c r="Q4" s="3">
        <f t="shared" ref="Q4:Q24" si="8">G54</f>
        <v>1225310.4387000001</v>
      </c>
      <c r="T4">
        <v>2010</v>
      </c>
      <c r="U4" s="3">
        <f>'Vehicle price'!X6</f>
        <v>23</v>
      </c>
      <c r="V4">
        <v>1</v>
      </c>
      <c r="W4" s="3">
        <f t="shared" si="2"/>
        <v>30</v>
      </c>
      <c r="X4" s="3">
        <f>'Vehicle price'!T6</f>
        <v>30</v>
      </c>
      <c r="Y4" s="3">
        <f t="shared" ref="Y4:Y24" si="9">X4*Z4</f>
        <v>30</v>
      </c>
      <c r="Z4">
        <v>1</v>
      </c>
      <c r="AB4">
        <v>2010</v>
      </c>
      <c r="AC4" s="156">
        <v>45.650700000000001</v>
      </c>
      <c r="AD4">
        <v>0.75867129256384003</v>
      </c>
      <c r="AG4">
        <v>2010</v>
      </c>
      <c r="AH4" s="3"/>
      <c r="AI4" s="13">
        <f>CPIs!K49</f>
        <v>100</v>
      </c>
    </row>
    <row r="5" spans="1:38">
      <c r="A5">
        <v>2011</v>
      </c>
      <c r="B5" s="3">
        <f t="shared" si="3"/>
        <v>30</v>
      </c>
      <c r="C5" s="3">
        <f t="shared" si="0"/>
        <v>1397346</v>
      </c>
      <c r="D5" s="61"/>
      <c r="E5" s="33">
        <v>16.7</v>
      </c>
      <c r="F5" s="61">
        <f t="shared" si="4"/>
        <v>233356.78200000001</v>
      </c>
      <c r="G5" s="3">
        <f t="shared" si="1"/>
        <v>1630702.7820000001</v>
      </c>
      <c r="H5" s="3">
        <f>-C5*0.2</f>
        <v>-279469.2</v>
      </c>
      <c r="I5" s="3">
        <f>Austria!I5/AD5*AC5</f>
        <v>94401.048537579059</v>
      </c>
      <c r="J5" s="3">
        <f t="shared" si="5"/>
        <v>1445634.6305375793</v>
      </c>
      <c r="N5">
        <v>2011</v>
      </c>
      <c r="O5" s="3">
        <f t="shared" si="6"/>
        <v>1445634.6305375793</v>
      </c>
      <c r="P5" s="3">
        <f t="shared" si="7"/>
        <v>1445634.6305375791</v>
      </c>
      <c r="Q5" s="3">
        <f t="shared" si="8"/>
        <v>1250205.4662000001</v>
      </c>
      <c r="T5">
        <v>2011</v>
      </c>
      <c r="U5" s="3">
        <f>'Vehicle price'!X7</f>
        <v>23</v>
      </c>
      <c r="V5">
        <v>1</v>
      </c>
      <c r="W5" s="3">
        <f t="shared" si="2"/>
        <v>30</v>
      </c>
      <c r="X5" s="3">
        <f>'Vehicle price'!T7</f>
        <v>30</v>
      </c>
      <c r="Y5" s="3">
        <f t="shared" si="9"/>
        <v>30</v>
      </c>
      <c r="Z5">
        <v>1</v>
      </c>
      <c r="AB5">
        <v>2011</v>
      </c>
      <c r="AC5" s="156">
        <v>46.578200000000002</v>
      </c>
      <c r="AD5">
        <v>0.71544109992713056</v>
      </c>
      <c r="AG5">
        <v>2011</v>
      </c>
      <c r="AH5" s="3"/>
      <c r="AI5" s="13">
        <f>CPIs!K50</f>
        <v>108.857845297</v>
      </c>
    </row>
    <row r="6" spans="1:38">
      <c r="A6">
        <v>2012</v>
      </c>
      <c r="B6" s="3">
        <f t="shared" si="3"/>
        <v>30.842462459493706</v>
      </c>
      <c r="C6" s="3">
        <f t="shared" si="0"/>
        <v>1646194.8440517548</v>
      </c>
      <c r="D6" s="61"/>
      <c r="E6" s="33">
        <v>16.7</v>
      </c>
      <c r="F6" s="61">
        <f t="shared" si="4"/>
        <v>274914.53895664302</v>
      </c>
      <c r="G6" s="3">
        <f t="shared" si="1"/>
        <v>1921109.3830083979</v>
      </c>
      <c r="H6" s="3">
        <f>-C6*0.2</f>
        <v>-329238.96881035098</v>
      </c>
      <c r="I6" s="3">
        <f>Austria!I6/AD6*AC6</f>
        <v>100003.60554381274</v>
      </c>
      <c r="J6" s="3">
        <f t="shared" si="5"/>
        <v>1691874.0197418598</v>
      </c>
      <c r="N6">
        <v>2012</v>
      </c>
      <c r="O6" s="3">
        <f t="shared" si="6"/>
        <v>1691874.0197418598</v>
      </c>
      <c r="P6" s="3">
        <f t="shared" si="7"/>
        <v>1691874.0197418598</v>
      </c>
      <c r="Q6" s="3">
        <f t="shared" si="8"/>
        <v>1432619.5862999998</v>
      </c>
      <c r="T6">
        <v>2012</v>
      </c>
      <c r="U6" s="3">
        <f>'Vehicle price'!X8</f>
        <v>23</v>
      </c>
      <c r="V6">
        <v>1</v>
      </c>
      <c r="W6" s="3">
        <f t="shared" si="2"/>
        <v>30.842462459493706</v>
      </c>
      <c r="X6" s="3">
        <f>'Vehicle price'!T8</f>
        <v>30.842462459493706</v>
      </c>
      <c r="Y6" s="3">
        <f t="shared" si="9"/>
        <v>30.842462459493706</v>
      </c>
      <c r="Z6">
        <v>1</v>
      </c>
      <c r="AB6">
        <v>2012</v>
      </c>
      <c r="AC6" s="156">
        <v>53.374299999999998</v>
      </c>
      <c r="AD6">
        <v>0.773899446716382</v>
      </c>
      <c r="AG6">
        <v>2012</v>
      </c>
      <c r="AH6" s="3"/>
      <c r="AI6" s="13">
        <f>CPIs!K51</f>
        <v>118.99517292705816</v>
      </c>
    </row>
    <row r="7" spans="1:38">
      <c r="A7">
        <v>2013</v>
      </c>
      <c r="B7" s="3">
        <f t="shared" si="3"/>
        <v>31.143929334439989</v>
      </c>
      <c r="C7" s="3">
        <f t="shared" si="0"/>
        <v>1822383.9106118223</v>
      </c>
      <c r="D7" s="61"/>
      <c r="E7" s="33">
        <v>20</v>
      </c>
      <c r="F7" s="61">
        <f t="shared" si="4"/>
        <v>364476.7821223645</v>
      </c>
      <c r="G7" s="3">
        <f t="shared" si="1"/>
        <v>2186860.6927341865</v>
      </c>
      <c r="H7" s="3">
        <v>0</v>
      </c>
      <c r="I7" s="3">
        <f>Austria!I7/AD7*AC7</f>
        <v>112877.65172785116</v>
      </c>
      <c r="J7" s="3">
        <f t="shared" si="5"/>
        <v>2299738.3444620376</v>
      </c>
      <c r="N7">
        <v>2013</v>
      </c>
      <c r="O7" s="3">
        <f t="shared" si="6"/>
        <v>2299738.3444620376</v>
      </c>
      <c r="P7" s="3">
        <f t="shared" si="7"/>
        <v>2299738.3444620376</v>
      </c>
      <c r="Q7" s="3">
        <f t="shared" si="8"/>
        <v>1615011.24</v>
      </c>
      <c r="T7">
        <v>2013</v>
      </c>
      <c r="U7" s="3">
        <f>'Vehicle price'!X9</f>
        <v>23</v>
      </c>
      <c r="V7">
        <v>1</v>
      </c>
      <c r="W7" s="3">
        <f t="shared" si="2"/>
        <v>31.143929334439989</v>
      </c>
      <c r="X7" s="3">
        <f>'Vehicle price'!T9</f>
        <v>31.143929334439989</v>
      </c>
      <c r="Y7" s="3">
        <f t="shared" si="9"/>
        <v>31.143929334439989</v>
      </c>
      <c r="Z7">
        <v>1</v>
      </c>
      <c r="AB7">
        <v>2013</v>
      </c>
      <c r="AC7" s="156">
        <v>58.514899999999997</v>
      </c>
      <c r="AD7">
        <v>0.75166876437654617</v>
      </c>
      <c r="AG7">
        <v>2013</v>
      </c>
      <c r="AH7" s="3"/>
      <c r="AI7" s="13">
        <f>CPIs!K52</f>
        <v>131.97474194605937</v>
      </c>
    </row>
    <row r="8" spans="1:38">
      <c r="A8">
        <v>2014</v>
      </c>
      <c r="B8" s="3">
        <f t="shared" si="3"/>
        <v>33.541755956678692</v>
      </c>
      <c r="C8" s="3">
        <f t="shared" si="0"/>
        <v>2045889.4671044038</v>
      </c>
      <c r="D8" s="61"/>
      <c r="E8" s="33">
        <v>20</v>
      </c>
      <c r="F8" s="61">
        <f t="shared" si="4"/>
        <v>409177.89342088072</v>
      </c>
      <c r="G8" s="3">
        <f t="shared" si="1"/>
        <v>2455067.3605252844</v>
      </c>
      <c r="H8" s="3">
        <f t="shared" ref="H8:H24" si="10">AJ8</f>
        <v>-169248.23924143513</v>
      </c>
      <c r="I8" s="3">
        <f>Austria!I8/AD8*AC8</f>
        <v>116773.97037952686</v>
      </c>
      <c r="J8" s="3">
        <f t="shared" si="5"/>
        <v>2402593.091663376</v>
      </c>
      <c r="N8">
        <v>2014</v>
      </c>
      <c r="O8" s="3">
        <f t="shared" si="6"/>
        <v>2402593.091663376</v>
      </c>
      <c r="P8" s="3">
        <f t="shared" si="7"/>
        <v>2402593.091663376</v>
      </c>
      <c r="Q8" s="3">
        <f t="shared" si="8"/>
        <v>1683470.2800000003</v>
      </c>
      <c r="T8">
        <v>2014</v>
      </c>
      <c r="U8" s="3">
        <f>'Vehicle price'!X10</f>
        <v>23</v>
      </c>
      <c r="V8">
        <v>1</v>
      </c>
      <c r="W8" s="3">
        <f t="shared" si="2"/>
        <v>33.541755956678692</v>
      </c>
      <c r="X8" s="3">
        <f>'Vehicle price'!T10</f>
        <v>33.541755956678692</v>
      </c>
      <c r="Y8" s="3">
        <f t="shared" si="9"/>
        <v>33.541755956678692</v>
      </c>
      <c r="Z8">
        <v>1</v>
      </c>
      <c r="AB8">
        <v>2014</v>
      </c>
      <c r="AC8" s="156">
        <v>60.9953</v>
      </c>
      <c r="AD8">
        <v>0.757387838338895</v>
      </c>
      <c r="AG8">
        <v>2014</v>
      </c>
      <c r="AH8" s="3">
        <v>-150000</v>
      </c>
      <c r="AI8" s="13">
        <f>CPIs!K53</f>
        <v>140.75040261104445</v>
      </c>
      <c r="AJ8" s="3">
        <f>AH8*AI$11/AI8</f>
        <v>-169248.23924143513</v>
      </c>
    </row>
    <row r="9" spans="1:38">
      <c r="A9">
        <v>2015</v>
      </c>
      <c r="B9" s="3">
        <f t="shared" si="3"/>
        <v>30</v>
      </c>
      <c r="C9" s="3">
        <f t="shared" si="0"/>
        <v>1923218.9999999998</v>
      </c>
      <c r="D9" s="61"/>
      <c r="E9" s="33">
        <v>25</v>
      </c>
      <c r="F9" s="61">
        <f t="shared" si="4"/>
        <v>480804.74999999994</v>
      </c>
      <c r="G9" s="3">
        <f t="shared" si="1"/>
        <v>2404023.7499999995</v>
      </c>
      <c r="H9" s="3">
        <f t="shared" si="10"/>
        <v>-161331.73390672726</v>
      </c>
      <c r="I9" s="3">
        <f>Austria!I9/AD9*AC9</f>
        <v>102608.4138597183</v>
      </c>
      <c r="J9" s="3">
        <f t="shared" si="5"/>
        <v>2345300.4299529907</v>
      </c>
      <c r="N9">
        <v>2015</v>
      </c>
      <c r="O9" s="3">
        <f t="shared" si="6"/>
        <v>2345300.4299529907</v>
      </c>
      <c r="P9" s="3">
        <f t="shared" si="7"/>
        <v>2345300.4299529907</v>
      </c>
      <c r="Q9" s="3">
        <f t="shared" si="8"/>
        <v>1843084.875</v>
      </c>
      <c r="T9">
        <v>2015</v>
      </c>
      <c r="U9" s="3">
        <f>'Vehicle price'!X11</f>
        <v>23</v>
      </c>
      <c r="V9">
        <v>1</v>
      </c>
      <c r="W9" s="3">
        <f t="shared" si="2"/>
        <v>30</v>
      </c>
      <c r="X9" s="3">
        <f>'Vehicle price'!T11</f>
        <v>30</v>
      </c>
      <c r="Y9" s="3">
        <f t="shared" si="9"/>
        <v>30</v>
      </c>
      <c r="Z9">
        <v>1</v>
      </c>
      <c r="AB9">
        <v>2015</v>
      </c>
      <c r="AC9" s="156">
        <v>64.107299999999995</v>
      </c>
      <c r="AD9">
        <v>0.90592556207997499</v>
      </c>
      <c r="AG9">
        <v>2015</v>
      </c>
      <c r="AH9" s="3">
        <v>-150000</v>
      </c>
      <c r="AI9" s="13">
        <f>CPIs!K54</f>
        <v>147.65698748526896</v>
      </c>
      <c r="AJ9" s="3">
        <f t="shared" ref="AJ9:AJ24" si="11">AH9*AI$11/AI9</f>
        <v>-161331.73390672726</v>
      </c>
      <c r="AK9" s="13"/>
      <c r="AL9" s="13"/>
    </row>
    <row r="10" spans="1:38">
      <c r="A10">
        <v>2016</v>
      </c>
      <c r="B10" s="3">
        <f t="shared" si="3"/>
        <v>30</v>
      </c>
      <c r="C10" s="3">
        <f t="shared" si="0"/>
        <v>2014716.0000000002</v>
      </c>
      <c r="D10" s="61"/>
      <c r="E10" s="33">
        <v>27</v>
      </c>
      <c r="F10" s="61">
        <f t="shared" si="4"/>
        <v>543973.32000000007</v>
      </c>
      <c r="G10" s="3">
        <f t="shared" si="1"/>
        <v>2558689.3200000003</v>
      </c>
      <c r="H10" s="3">
        <f t="shared" si="10"/>
        <v>-153735</v>
      </c>
      <c r="I10" s="3">
        <f>Austria!I10/AD10*AC10</f>
        <v>107392.61527333416</v>
      </c>
      <c r="J10" s="3">
        <f t="shared" si="5"/>
        <v>2512346.9352733344</v>
      </c>
      <c r="N10">
        <v>2016</v>
      </c>
      <c r="O10" s="3">
        <f t="shared" si="6"/>
        <v>2512346.9352733344</v>
      </c>
      <c r="P10" s="3">
        <f t="shared" si="7"/>
        <v>2512346.9352733344</v>
      </c>
      <c r="Q10" s="3">
        <f t="shared" si="8"/>
        <v>1961661.8120000002</v>
      </c>
      <c r="T10">
        <v>2016</v>
      </c>
      <c r="U10" s="3">
        <f>'Vehicle price'!X12</f>
        <v>23</v>
      </c>
      <c r="V10">
        <v>1</v>
      </c>
      <c r="W10" s="3">
        <f t="shared" si="2"/>
        <v>30</v>
      </c>
      <c r="X10" s="3">
        <f>'Vehicle price'!T12</f>
        <v>30</v>
      </c>
      <c r="Y10" s="3">
        <f t="shared" si="9"/>
        <v>30</v>
      </c>
      <c r="Z10">
        <v>1</v>
      </c>
      <c r="AB10">
        <v>2016</v>
      </c>
      <c r="AC10" s="156">
        <v>67.157200000000003</v>
      </c>
      <c r="AD10">
        <v>0.90674707708863456</v>
      </c>
      <c r="AG10">
        <v>2016</v>
      </c>
      <c r="AH10" s="3">
        <v>-150000</v>
      </c>
      <c r="AI10" s="13">
        <f>CPIs!K55</f>
        <v>154.95337961064408</v>
      </c>
      <c r="AJ10" s="3">
        <f t="shared" si="11"/>
        <v>-153735</v>
      </c>
      <c r="AK10" s="13"/>
      <c r="AL10" s="13"/>
    </row>
    <row r="11" spans="1:38">
      <c r="A11">
        <v>2017</v>
      </c>
      <c r="B11" s="3">
        <f t="shared" si="3"/>
        <v>30</v>
      </c>
      <c r="C11" s="3">
        <f t="shared" si="0"/>
        <v>1951976.9999999998</v>
      </c>
      <c r="D11" s="61"/>
      <c r="E11" s="33">
        <v>27</v>
      </c>
      <c r="F11" s="61">
        <f t="shared" si="4"/>
        <v>527033.78999999992</v>
      </c>
      <c r="G11" s="3">
        <f t="shared" si="1"/>
        <v>2479010.7899999996</v>
      </c>
      <c r="H11" s="3">
        <f t="shared" si="10"/>
        <v>-150000</v>
      </c>
      <c r="I11" s="3">
        <f>Austria!I11/AD11*AC11</f>
        <v>106959.65061341552</v>
      </c>
      <c r="J11" s="3">
        <f t="shared" si="5"/>
        <v>2435970.4406134151</v>
      </c>
      <c r="N11">
        <v>2017</v>
      </c>
      <c r="O11" s="3">
        <f t="shared" si="6"/>
        <v>2435970.4406134151</v>
      </c>
      <c r="P11" s="3">
        <f t="shared" si="7"/>
        <v>2435970.4406134151</v>
      </c>
      <c r="Q11" s="3">
        <f t="shared" si="8"/>
        <v>1900574.939</v>
      </c>
      <c r="T11">
        <v>2017</v>
      </c>
      <c r="U11" s="3">
        <f>'Vehicle price'!X13</f>
        <v>23</v>
      </c>
      <c r="V11">
        <v>1</v>
      </c>
      <c r="W11" s="3">
        <f t="shared" si="2"/>
        <v>30</v>
      </c>
      <c r="X11" s="3">
        <f>'Vehicle price'!T13</f>
        <v>30</v>
      </c>
      <c r="Y11" s="3">
        <f t="shared" si="9"/>
        <v>30</v>
      </c>
      <c r="Z11">
        <v>1</v>
      </c>
      <c r="AB11">
        <v>2017</v>
      </c>
      <c r="AC11" s="156">
        <v>65.065899999999999</v>
      </c>
      <c r="AD11">
        <v>0.88206678367895308</v>
      </c>
      <c r="AG11">
        <v>2017</v>
      </c>
      <c r="AH11" s="3">
        <v>-150000</v>
      </c>
      <c r="AI11" s="13">
        <f>CPIs!K56</f>
        <v>158.81171876294911</v>
      </c>
      <c r="AJ11" s="3">
        <f t="shared" si="11"/>
        <v>-150000</v>
      </c>
      <c r="AK11" s="13"/>
      <c r="AL11" s="13"/>
    </row>
    <row r="12" spans="1:38">
      <c r="A12">
        <v>2018</v>
      </c>
      <c r="B12" s="3">
        <f t="shared" si="3"/>
        <v>30.592100851060948</v>
      </c>
      <c r="C12" s="3">
        <f t="shared" si="0"/>
        <v>1988486.5553189616</v>
      </c>
      <c r="D12" s="61"/>
      <c r="E12" s="33">
        <v>27</v>
      </c>
      <c r="F12" s="61">
        <f t="shared" si="4"/>
        <v>536891.36993611965</v>
      </c>
      <c r="G12" s="3">
        <f t="shared" si="1"/>
        <v>2525377.9252550812</v>
      </c>
      <c r="H12" s="3">
        <f t="shared" si="10"/>
        <v>-146355.74202361205</v>
      </c>
      <c r="I12" s="3">
        <f>Austria!I12/AD12*AC12</f>
        <v>110882.35294117648</v>
      </c>
      <c r="J12" s="3">
        <f>G12+H12+I12</f>
        <v>2489904.5361726456</v>
      </c>
      <c r="N12">
        <v>2018</v>
      </c>
      <c r="O12" s="3">
        <f t="shared" si="6"/>
        <v>2489904.5361726456</v>
      </c>
      <c r="P12" s="3">
        <f t="shared" si="7"/>
        <v>2489904.5361726456</v>
      </c>
      <c r="Q12" s="3">
        <f t="shared" si="8"/>
        <v>1898650</v>
      </c>
      <c r="T12">
        <v>2018</v>
      </c>
      <c r="U12" s="3">
        <f>'Vehicle price'!X14</f>
        <v>23</v>
      </c>
      <c r="V12">
        <v>1</v>
      </c>
      <c r="W12" s="3">
        <f t="shared" si="2"/>
        <v>30.592100851060948</v>
      </c>
      <c r="X12" s="3">
        <f>'Vehicle price'!T14</f>
        <v>30.592100851060948</v>
      </c>
      <c r="Y12" s="3">
        <f t="shared" si="9"/>
        <v>30.592100851060948</v>
      </c>
      <c r="Z12">
        <v>1</v>
      </c>
      <c r="AB12">
        <v>2018</v>
      </c>
      <c r="AC12" s="14">
        <v>65</v>
      </c>
      <c r="AD12" s="14">
        <v>0.85</v>
      </c>
      <c r="AG12">
        <v>2018</v>
      </c>
      <c r="AH12" s="3">
        <v>-150000</v>
      </c>
      <c r="AI12" s="13">
        <f>AI11*AI11/AI10</f>
        <v>162.76613056014654</v>
      </c>
      <c r="AJ12" s="3">
        <f t="shared" si="11"/>
        <v>-146355.74202361205</v>
      </c>
      <c r="AK12" s="13"/>
      <c r="AL12" s="13"/>
    </row>
    <row r="13" spans="1:38">
      <c r="A13">
        <v>2019</v>
      </c>
      <c r="B13" s="3">
        <f t="shared" si="3"/>
        <v>31.172994053473918</v>
      </c>
      <c r="C13" s="3">
        <f t="shared" si="0"/>
        <v>2026244.6134758047</v>
      </c>
      <c r="D13" s="61"/>
      <c r="E13" s="33">
        <v>27</v>
      </c>
      <c r="F13" s="61">
        <f t="shared" ref="F13:F24" si="12">C13*E13/100</f>
        <v>547086.0456384673</v>
      </c>
      <c r="G13" s="3">
        <f t="shared" ref="G13:G24" si="13">C13+F13+D13</f>
        <v>2573330.6591142719</v>
      </c>
      <c r="H13" s="3">
        <f t="shared" si="10"/>
        <v>-142800.02148854724</v>
      </c>
      <c r="I13" s="3">
        <f>Austria!I13/AD13*AC13</f>
        <v>110882.35294117648</v>
      </c>
      <c r="J13" s="3">
        <f t="shared" ref="J13:J24" si="14">G13+H13+I13</f>
        <v>2541412.9905669009</v>
      </c>
      <c r="N13">
        <v>2019</v>
      </c>
      <c r="O13" s="3">
        <f t="shared" ref="O13:O24" si="15">J13</f>
        <v>2541412.9905669009</v>
      </c>
      <c r="P13" s="3">
        <f t="shared" ref="P13:P24" si="16">J38</f>
        <v>2541412.9905669009</v>
      </c>
      <c r="Q13" s="3">
        <f t="shared" si="8"/>
        <v>1898650</v>
      </c>
      <c r="T13">
        <v>2019</v>
      </c>
      <c r="U13" s="3">
        <f>'Vehicle price'!X15</f>
        <v>23</v>
      </c>
      <c r="V13" s="20">
        <f>V12+(V24-V12)/12</f>
        <v>1.0249999999999999</v>
      </c>
      <c r="W13" s="3">
        <f t="shared" si="2"/>
        <v>31.952318904810763</v>
      </c>
      <c r="X13" s="3">
        <f>'Vehicle price'!T15</f>
        <v>31.172994053473918</v>
      </c>
      <c r="Y13" s="3">
        <f t="shared" si="9"/>
        <v>30.393669202137069</v>
      </c>
      <c r="Z13" s="20">
        <f>Z12+(Z24-Z12)/12</f>
        <v>0.97499999999999998</v>
      </c>
      <c r="AB13">
        <v>2019</v>
      </c>
      <c r="AC13" s="14">
        <v>65</v>
      </c>
      <c r="AD13" s="14">
        <v>0.85</v>
      </c>
      <c r="AG13">
        <v>2019</v>
      </c>
      <c r="AH13" s="3">
        <v>-150000</v>
      </c>
      <c r="AI13" s="13">
        <f t="shared" ref="AI13:AI24" si="17">AI12*AI12/AI11</f>
        <v>166.81900721109417</v>
      </c>
      <c r="AJ13" s="3">
        <f t="shared" si="11"/>
        <v>-142800.02148854724</v>
      </c>
      <c r="AK13" s="13"/>
      <c r="AL13" s="13"/>
    </row>
    <row r="14" spans="1:38">
      <c r="A14">
        <v>2020</v>
      </c>
      <c r="B14" s="3">
        <f t="shared" si="3"/>
        <v>30.985903123425071</v>
      </c>
      <c r="C14" s="3">
        <f t="shared" si="0"/>
        <v>2014083.7030226297</v>
      </c>
      <c r="D14" s="61"/>
      <c r="E14" s="33">
        <v>27</v>
      </c>
      <c r="F14" s="61">
        <f t="shared" si="12"/>
        <v>543802.5998161101</v>
      </c>
      <c r="G14" s="3">
        <f t="shared" si="13"/>
        <v>2557886.3028387399</v>
      </c>
      <c r="H14" s="3">
        <f t="shared" si="10"/>
        <v>-139330.68737296053</v>
      </c>
      <c r="I14" s="3">
        <f>Austria!I14/AD14*AC14</f>
        <v>110882.35294117648</v>
      </c>
      <c r="J14" s="3">
        <f t="shared" si="14"/>
        <v>2529437.9684069557</v>
      </c>
      <c r="N14">
        <v>2020</v>
      </c>
      <c r="O14" s="3">
        <f t="shared" si="15"/>
        <v>2529437.9684069557</v>
      </c>
      <c r="P14" s="3">
        <f t="shared" si="16"/>
        <v>2529437.9684069557</v>
      </c>
      <c r="Q14" s="3">
        <f t="shared" si="8"/>
        <v>1898650</v>
      </c>
      <c r="T14">
        <v>2020</v>
      </c>
      <c r="U14" s="3">
        <f>'Vehicle price'!X16</f>
        <v>23</v>
      </c>
      <c r="V14" s="20">
        <f>V13+(V24-V12)/12</f>
        <v>1.0499999999999998</v>
      </c>
      <c r="W14" s="3">
        <f t="shared" si="2"/>
        <v>32.535198279596322</v>
      </c>
      <c r="X14" s="3">
        <f>'Vehicle price'!T16</f>
        <v>30.985903123425071</v>
      </c>
      <c r="Y14" s="3">
        <f t="shared" si="9"/>
        <v>29.436607967253817</v>
      </c>
      <c r="Z14" s="20">
        <f>Z13+(Z24-Z12)/12</f>
        <v>0.95</v>
      </c>
      <c r="AB14">
        <v>2020</v>
      </c>
      <c r="AC14" s="14">
        <v>65</v>
      </c>
      <c r="AD14" s="14">
        <v>0.85</v>
      </c>
      <c r="AG14">
        <v>2020</v>
      </c>
      <c r="AH14" s="3">
        <v>-150000</v>
      </c>
      <c r="AI14" s="13">
        <f t="shared" si="17"/>
        <v>170.97280049065043</v>
      </c>
      <c r="AJ14" s="3">
        <f t="shared" si="11"/>
        <v>-139330.68737296053</v>
      </c>
      <c r="AK14" s="13"/>
      <c r="AL14" s="13"/>
    </row>
    <row r="15" spans="1:38">
      <c r="A15">
        <v>2021</v>
      </c>
      <c r="B15" s="3">
        <f t="shared" si="3"/>
        <v>30.206708843097807</v>
      </c>
      <c r="C15" s="3">
        <f t="shared" si="0"/>
        <v>1963436.0748013575</v>
      </c>
      <c r="E15" s="33">
        <v>27</v>
      </c>
      <c r="F15" s="61">
        <f t="shared" si="12"/>
        <v>530127.74019636656</v>
      </c>
      <c r="G15" s="3">
        <f t="shared" si="13"/>
        <v>2493563.8149977243</v>
      </c>
      <c r="H15" s="3">
        <f t="shared" si="10"/>
        <v>-135945.64091419702</v>
      </c>
      <c r="I15" s="3">
        <f>Austria!I15/AD15*AC15</f>
        <v>110882.35294117648</v>
      </c>
      <c r="J15" s="3">
        <f t="shared" si="14"/>
        <v>2468500.5270247036</v>
      </c>
      <c r="N15">
        <v>2021</v>
      </c>
      <c r="O15" s="3">
        <f t="shared" si="15"/>
        <v>2468500.5270247036</v>
      </c>
      <c r="P15" s="3">
        <f t="shared" si="16"/>
        <v>2468500.5270247036</v>
      </c>
      <c r="Q15" s="3">
        <f t="shared" si="8"/>
        <v>1898650</v>
      </c>
      <c r="T15">
        <v>2021</v>
      </c>
      <c r="U15" s="3">
        <f>'Vehicle price'!X17</f>
        <v>23</v>
      </c>
      <c r="V15" s="20">
        <f>V14+(V24-V12)/12</f>
        <v>1.0749999999999997</v>
      </c>
      <c r="W15" s="3">
        <f t="shared" si="2"/>
        <v>32.472212006330132</v>
      </c>
      <c r="X15" s="3">
        <f>'Vehicle price'!T17</f>
        <v>30.206708843097807</v>
      </c>
      <c r="Y15" s="3">
        <f t="shared" si="9"/>
        <v>27.941205679865469</v>
      </c>
      <c r="Z15" s="20">
        <f>Z14+(Z24-Z12)/12</f>
        <v>0.92499999999999993</v>
      </c>
      <c r="AB15">
        <v>2021</v>
      </c>
      <c r="AC15" s="14">
        <v>65</v>
      </c>
      <c r="AD15" s="14">
        <v>0.85</v>
      </c>
      <c r="AG15">
        <v>2021</v>
      </c>
      <c r="AH15" s="3">
        <v>-150000</v>
      </c>
      <c r="AI15" s="13">
        <f t="shared" si="17"/>
        <v>175.23002322286763</v>
      </c>
      <c r="AJ15" s="3">
        <f t="shared" si="11"/>
        <v>-135945.64091419702</v>
      </c>
      <c r="AK15" s="13"/>
      <c r="AL15" s="13"/>
    </row>
    <row r="16" spans="1:38">
      <c r="A16">
        <v>2022</v>
      </c>
      <c r="B16" s="3">
        <f t="shared" si="3"/>
        <v>30.642454642697771</v>
      </c>
      <c r="C16" s="3">
        <f t="shared" si="0"/>
        <v>1991759.5517753554</v>
      </c>
      <c r="E16" s="33">
        <v>27</v>
      </c>
      <c r="F16" s="61">
        <f t="shared" si="12"/>
        <v>537775.07897934597</v>
      </c>
      <c r="G16" s="3">
        <f t="shared" si="13"/>
        <v>2529534.6307547013</v>
      </c>
      <c r="H16" s="3">
        <f t="shared" si="10"/>
        <v>-132642.83433915212</v>
      </c>
      <c r="I16" s="3">
        <f>Austria!I16/AD16*AC16</f>
        <v>110882.35294117648</v>
      </c>
      <c r="J16" s="3">
        <f t="shared" si="14"/>
        <v>2507774.1493567256</v>
      </c>
      <c r="N16">
        <v>2022</v>
      </c>
      <c r="O16" s="3">
        <f t="shared" si="15"/>
        <v>2507774.1493567256</v>
      </c>
      <c r="P16" s="3">
        <f t="shared" si="16"/>
        <v>2507774.1493567256</v>
      </c>
      <c r="Q16" s="3">
        <f t="shared" si="8"/>
        <v>1898650</v>
      </c>
      <c r="T16">
        <v>2022</v>
      </c>
      <c r="U16" s="3">
        <f>'Vehicle price'!X18</f>
        <v>23</v>
      </c>
      <c r="V16" s="20">
        <f>V15+(V24-V12)/12</f>
        <v>1.0999999999999996</v>
      </c>
      <c r="W16" s="3">
        <f t="shared" si="2"/>
        <v>33.706700106967538</v>
      </c>
      <c r="X16" s="3">
        <f>'Vehicle price'!T18</f>
        <v>30.642454642697771</v>
      </c>
      <c r="Y16" s="3">
        <f t="shared" si="9"/>
        <v>27.57820917842799</v>
      </c>
      <c r="Z16" s="20">
        <f>Z15+(Z24-Z12)/12</f>
        <v>0.89999999999999991</v>
      </c>
      <c r="AB16">
        <v>2022</v>
      </c>
      <c r="AC16" s="14">
        <v>65</v>
      </c>
      <c r="AD16" s="14">
        <v>0.85</v>
      </c>
      <c r="AG16">
        <v>2022</v>
      </c>
      <c r="AH16" s="3">
        <v>-150000</v>
      </c>
      <c r="AI16" s="13">
        <f t="shared" si="17"/>
        <v>179.59325080111705</v>
      </c>
      <c r="AJ16" s="3">
        <f t="shared" si="11"/>
        <v>-132642.83433915212</v>
      </c>
      <c r="AK16" s="13"/>
      <c r="AL16" s="13"/>
    </row>
    <row r="17" spans="1:38">
      <c r="A17">
        <v>2023</v>
      </c>
      <c r="B17" s="3">
        <f t="shared" si="3"/>
        <v>30.361546257811007</v>
      </c>
      <c r="C17" s="3">
        <f t="shared" si="0"/>
        <v>1973500.5067577153</v>
      </c>
      <c r="E17" s="33">
        <v>27</v>
      </c>
      <c r="F17" s="61">
        <f t="shared" si="12"/>
        <v>532845.13682458317</v>
      </c>
      <c r="G17" s="3">
        <f t="shared" si="13"/>
        <v>2506345.6435822984</v>
      </c>
      <c r="H17" s="3">
        <f t="shared" si="10"/>
        <v>-129420.26962547771</v>
      </c>
      <c r="I17" s="3">
        <f>Austria!I17/AD17*AC17</f>
        <v>110882.35294117648</v>
      </c>
      <c r="J17" s="3">
        <f t="shared" si="14"/>
        <v>2487807.7268979973</v>
      </c>
      <c r="N17">
        <v>2023</v>
      </c>
      <c r="O17" s="3">
        <f t="shared" si="15"/>
        <v>2487807.7268979973</v>
      </c>
      <c r="P17" s="3">
        <f t="shared" si="16"/>
        <v>2487807.7268979973</v>
      </c>
      <c r="Q17" s="3">
        <f t="shared" si="8"/>
        <v>1898650</v>
      </c>
      <c r="T17">
        <v>2023</v>
      </c>
      <c r="U17" s="3">
        <f>'Vehicle price'!X19</f>
        <v>23</v>
      </c>
      <c r="V17" s="20">
        <f>V16+(V24-V12)/12</f>
        <v>1.1249999999999996</v>
      </c>
      <c r="W17" s="3">
        <f t="shared" si="2"/>
        <v>34.156739540037371</v>
      </c>
      <c r="X17" s="3">
        <f>'Vehicle price'!T19</f>
        <v>30.361546257811007</v>
      </c>
      <c r="Y17" s="3">
        <f t="shared" si="9"/>
        <v>26.566352975584628</v>
      </c>
      <c r="Z17" s="20">
        <f>Z16+(Z24-Z12)/12</f>
        <v>0.87499999999999989</v>
      </c>
      <c r="AB17">
        <v>2023</v>
      </c>
      <c r="AC17" s="14">
        <v>65</v>
      </c>
      <c r="AD17" s="14">
        <v>0.85</v>
      </c>
      <c r="AG17">
        <v>2023</v>
      </c>
      <c r="AH17" s="3">
        <v>-150000</v>
      </c>
      <c r="AI17" s="13">
        <f t="shared" si="17"/>
        <v>184.06512274606487</v>
      </c>
      <c r="AJ17" s="3">
        <f t="shared" si="11"/>
        <v>-129420.26962547771</v>
      </c>
      <c r="AK17" s="13"/>
      <c r="AL17" s="13"/>
    </row>
    <row r="18" spans="1:38">
      <c r="A18">
        <v>2024</v>
      </c>
      <c r="B18" s="3">
        <f t="shared" si="3"/>
        <v>29.275640447464834</v>
      </c>
      <c r="C18" s="3">
        <f t="shared" si="0"/>
        <v>1902916.6290852143</v>
      </c>
      <c r="E18" s="33">
        <v>27</v>
      </c>
      <c r="F18" s="61">
        <f t="shared" si="12"/>
        <v>513787.48985300789</v>
      </c>
      <c r="G18" s="3">
        <f t="shared" si="13"/>
        <v>2416704.1189382221</v>
      </c>
      <c r="H18" s="3">
        <f t="shared" si="10"/>
        <v>-126275.99729288489</v>
      </c>
      <c r="I18" s="3">
        <f>Austria!I18/AD18*AC18</f>
        <v>110882.35294117648</v>
      </c>
      <c r="J18" s="3">
        <f t="shared" si="14"/>
        <v>2401310.4745865134</v>
      </c>
      <c r="N18">
        <v>2024</v>
      </c>
      <c r="O18" s="3">
        <f t="shared" si="15"/>
        <v>2401310.4745865134</v>
      </c>
      <c r="P18" s="3">
        <f t="shared" si="16"/>
        <v>2401310.4745865134</v>
      </c>
      <c r="Q18" s="3">
        <f t="shared" si="8"/>
        <v>1898650</v>
      </c>
      <c r="T18">
        <v>2024</v>
      </c>
      <c r="U18" s="3">
        <f>'Vehicle price'!X20</f>
        <v>23</v>
      </c>
      <c r="V18" s="20">
        <f>V17+(V24-V12)/12</f>
        <v>1.1499999999999995</v>
      </c>
      <c r="W18" s="3">
        <f t="shared" si="2"/>
        <v>33.666986514584543</v>
      </c>
      <c r="X18" s="3">
        <f>'Vehicle price'!T20</f>
        <v>29.275640447464834</v>
      </c>
      <c r="Y18" s="3">
        <f t="shared" si="9"/>
        <v>24.884294380345104</v>
      </c>
      <c r="Z18" s="20">
        <f>Z17+(Z24-Z12)/12</f>
        <v>0.84999999999999987</v>
      </c>
      <c r="AB18">
        <v>2024</v>
      </c>
      <c r="AC18" s="14">
        <v>65</v>
      </c>
      <c r="AD18" s="14">
        <v>0.85</v>
      </c>
      <c r="AG18">
        <v>2024</v>
      </c>
      <c r="AH18" s="3">
        <v>-150000</v>
      </c>
      <c r="AI18" s="13">
        <f t="shared" si="17"/>
        <v>188.64834430244187</v>
      </c>
      <c r="AJ18" s="3">
        <f t="shared" si="11"/>
        <v>-126275.99729288489</v>
      </c>
      <c r="AK18" s="13"/>
      <c r="AL18" s="13"/>
    </row>
    <row r="19" spans="1:38">
      <c r="A19">
        <v>2025</v>
      </c>
      <c r="B19" s="3">
        <f t="shared" si="3"/>
        <v>28.343375828936317</v>
      </c>
      <c r="C19" s="3">
        <f t="shared" si="0"/>
        <v>1842319.4288808606</v>
      </c>
      <c r="E19" s="33">
        <v>27</v>
      </c>
      <c r="F19" s="61">
        <f t="shared" si="12"/>
        <v>497426.24579783238</v>
      </c>
      <c r="G19" s="3">
        <f t="shared" si="13"/>
        <v>2339745.6746786931</v>
      </c>
      <c r="H19" s="3">
        <f t="shared" si="10"/>
        <v>-123208.11522381198</v>
      </c>
      <c r="I19" s="3">
        <f>Austria!I19/AD19*AC19</f>
        <v>110882.35294117648</v>
      </c>
      <c r="J19" s="3">
        <f t="shared" si="14"/>
        <v>2327419.9123960575</v>
      </c>
      <c r="N19">
        <v>2025</v>
      </c>
      <c r="O19" s="3">
        <f t="shared" si="15"/>
        <v>2327419.9123960575</v>
      </c>
      <c r="P19" s="3">
        <f t="shared" si="16"/>
        <v>2327419.9123960575</v>
      </c>
      <c r="Q19" s="3">
        <f t="shared" si="8"/>
        <v>1898650</v>
      </c>
      <c r="T19">
        <v>2025</v>
      </c>
      <c r="U19" s="3">
        <f>'Vehicle price'!X21</f>
        <v>23</v>
      </c>
      <c r="V19" s="20">
        <f>V18+(V24-V12)/12</f>
        <v>1.1749999999999994</v>
      </c>
      <c r="W19" s="3">
        <f t="shared" si="2"/>
        <v>33.303466599000153</v>
      </c>
      <c r="X19" s="3">
        <f>'Vehicle price'!T21</f>
        <v>28.343375828936317</v>
      </c>
      <c r="Y19" s="3">
        <f t="shared" si="9"/>
        <v>23.383285058872456</v>
      </c>
      <c r="Z19" s="20">
        <f>Z18+(Z24-Z12)/12</f>
        <v>0.82499999999999984</v>
      </c>
      <c r="AB19">
        <v>2025</v>
      </c>
      <c r="AC19" s="14">
        <v>65</v>
      </c>
      <c r="AD19" s="14">
        <v>0.85</v>
      </c>
      <c r="AG19">
        <v>2025</v>
      </c>
      <c r="AH19" s="3">
        <v>-150000</v>
      </c>
      <c r="AI19" s="13">
        <f t="shared" si="17"/>
        <v>193.34568807557267</v>
      </c>
      <c r="AJ19" s="3">
        <f t="shared" si="11"/>
        <v>-123208.11522381198</v>
      </c>
      <c r="AK19" s="13"/>
      <c r="AL19" s="13"/>
    </row>
    <row r="20" spans="1:38">
      <c r="A20">
        <v>2026</v>
      </c>
      <c r="B20" s="3">
        <f t="shared" si="3"/>
        <v>27.812270474504896</v>
      </c>
      <c r="C20" s="3">
        <f t="shared" si="0"/>
        <v>1807797.5808428181</v>
      </c>
      <c r="E20" s="33">
        <v>27</v>
      </c>
      <c r="F20" s="61">
        <f t="shared" si="12"/>
        <v>488105.34682756086</v>
      </c>
      <c r="G20" s="3">
        <f t="shared" si="13"/>
        <v>2295902.9276703792</v>
      </c>
      <c r="H20" s="3">
        <f t="shared" si="10"/>
        <v>-120214.76751274464</v>
      </c>
      <c r="I20" s="3">
        <f>Austria!I20/AD20*AC20</f>
        <v>110882.35294117648</v>
      </c>
      <c r="J20" s="3">
        <f t="shared" si="14"/>
        <v>2286570.5130988108</v>
      </c>
      <c r="N20">
        <v>2026</v>
      </c>
      <c r="O20" s="3">
        <f t="shared" si="15"/>
        <v>2286570.5130988108</v>
      </c>
      <c r="P20" s="3">
        <f t="shared" si="16"/>
        <v>2286570.5130988108</v>
      </c>
      <c r="Q20" s="3">
        <f t="shared" si="8"/>
        <v>1898650</v>
      </c>
      <c r="T20">
        <v>2026</v>
      </c>
      <c r="U20" s="3">
        <f>'Vehicle price'!X22</f>
        <v>23</v>
      </c>
      <c r="V20" s="20">
        <f>V19+(V24-V12)/12</f>
        <v>1.1999999999999993</v>
      </c>
      <c r="W20" s="3">
        <f t="shared" si="2"/>
        <v>33.374724569405856</v>
      </c>
      <c r="X20" s="3">
        <f>'Vehicle price'!T22</f>
        <v>27.812270474504896</v>
      </c>
      <c r="Y20" s="3">
        <f t="shared" si="9"/>
        <v>22.24981637960391</v>
      </c>
      <c r="Z20" s="20">
        <f>Z19+(Z24-Z12)/12</f>
        <v>0.79999999999999982</v>
      </c>
      <c r="AB20">
        <v>2026</v>
      </c>
      <c r="AC20" s="14">
        <v>65</v>
      </c>
      <c r="AD20" s="14">
        <v>0.85</v>
      </c>
      <c r="AG20">
        <v>2026</v>
      </c>
      <c r="AH20" s="3">
        <v>-150000</v>
      </c>
      <c r="AI20" s="13">
        <f t="shared" si="17"/>
        <v>198.15999570865441</v>
      </c>
      <c r="AJ20" s="3">
        <f t="shared" si="11"/>
        <v>-120214.76751274464</v>
      </c>
      <c r="AK20" s="13"/>
      <c r="AL20" s="13"/>
    </row>
    <row r="21" spans="1:38">
      <c r="A21">
        <v>2027</v>
      </c>
      <c r="B21" s="3">
        <f t="shared" si="3"/>
        <v>27.281165120073478</v>
      </c>
      <c r="C21" s="3">
        <f t="shared" si="0"/>
        <v>1773275.7328047759</v>
      </c>
      <c r="E21" s="33">
        <v>27</v>
      </c>
      <c r="F21" s="61">
        <f t="shared" si="12"/>
        <v>478784.44785728952</v>
      </c>
      <c r="G21" s="3">
        <f t="shared" si="13"/>
        <v>2252060.1806620653</v>
      </c>
      <c r="H21" s="3">
        <f t="shared" si="10"/>
        <v>-117294.14334349171</v>
      </c>
      <c r="I21" s="3">
        <f>Austria!I21/AD21*AC21</f>
        <v>110882.35294117648</v>
      </c>
      <c r="J21" s="3">
        <f t="shared" si="14"/>
        <v>2245648.3902597497</v>
      </c>
      <c r="N21">
        <v>2027</v>
      </c>
      <c r="O21" s="3">
        <f t="shared" si="15"/>
        <v>2245648.3902597497</v>
      </c>
      <c r="P21" s="3">
        <f t="shared" si="16"/>
        <v>2245648.3902597497</v>
      </c>
      <c r="Q21" s="3">
        <f t="shared" si="8"/>
        <v>1898650</v>
      </c>
      <c r="T21">
        <v>2027</v>
      </c>
      <c r="U21" s="3">
        <f>'Vehicle price'!X23</f>
        <v>23</v>
      </c>
      <c r="V21" s="20">
        <f>V20+(V24-V12)/12</f>
        <v>1.2249999999999992</v>
      </c>
      <c r="W21" s="3">
        <f t="shared" si="2"/>
        <v>33.41942727208999</v>
      </c>
      <c r="X21" s="3">
        <f>'Vehicle price'!T23</f>
        <v>27.281165120073478</v>
      </c>
      <c r="Y21" s="3">
        <f t="shared" si="9"/>
        <v>21.142902968056941</v>
      </c>
      <c r="Z21" s="20">
        <f>Z20+(Z24-Z12)/12</f>
        <v>0.7749999999999998</v>
      </c>
      <c r="AB21">
        <v>2027</v>
      </c>
      <c r="AC21" s="14">
        <v>65</v>
      </c>
      <c r="AD21" s="14">
        <v>0.85</v>
      </c>
      <c r="AG21">
        <v>2027</v>
      </c>
      <c r="AH21" s="3">
        <v>-150000</v>
      </c>
      <c r="AI21" s="13">
        <f t="shared" si="17"/>
        <v>203.09417960179988</v>
      </c>
      <c r="AJ21" s="3">
        <f t="shared" si="11"/>
        <v>-117294.14334349171</v>
      </c>
      <c r="AK21" s="13"/>
      <c r="AL21" s="13"/>
    </row>
    <row r="22" spans="1:38">
      <c r="A22">
        <v>2028</v>
      </c>
      <c r="B22" s="3">
        <f t="shared" si="3"/>
        <v>26.683671596338133</v>
      </c>
      <c r="C22" s="3">
        <f t="shared" si="0"/>
        <v>1734438.6537619787</v>
      </c>
      <c r="E22" s="33">
        <v>27</v>
      </c>
      <c r="F22" s="61">
        <f t="shared" si="12"/>
        <v>468298.4365157343</v>
      </c>
      <c r="G22" s="3">
        <f t="shared" si="13"/>
        <v>2202737.0902777128</v>
      </c>
      <c r="H22" s="3">
        <f t="shared" si="10"/>
        <v>-114444.47589373768</v>
      </c>
      <c r="I22" s="3">
        <f>Austria!I22/AD22*AC22</f>
        <v>110882.35294117648</v>
      </c>
      <c r="J22" s="3">
        <f t="shared" si="14"/>
        <v>2199174.9673251514</v>
      </c>
      <c r="N22">
        <v>2028</v>
      </c>
      <c r="O22" s="3">
        <f t="shared" si="15"/>
        <v>2199174.9673251514</v>
      </c>
      <c r="P22" s="3">
        <f t="shared" si="16"/>
        <v>2199174.9673251514</v>
      </c>
      <c r="Q22" s="3">
        <f t="shared" si="8"/>
        <v>1898650</v>
      </c>
      <c r="T22">
        <v>2028</v>
      </c>
      <c r="U22" s="3">
        <f>'Vehicle price'!X24</f>
        <v>23</v>
      </c>
      <c r="V22" s="20">
        <f>V21+(V24-V12)/12</f>
        <v>1.2499999999999991</v>
      </c>
      <c r="W22" s="3">
        <f t="shared" si="2"/>
        <v>33.354589495422644</v>
      </c>
      <c r="X22" s="3">
        <f>'Vehicle price'!T24</f>
        <v>26.683671596338133</v>
      </c>
      <c r="Y22" s="3">
        <f t="shared" si="9"/>
        <v>20.012753697253594</v>
      </c>
      <c r="Z22" s="20">
        <f>Z21+(Z24-Z12)/12</f>
        <v>0.74999999999999978</v>
      </c>
      <c r="AB22">
        <v>2028</v>
      </c>
      <c r="AC22" s="14">
        <v>65</v>
      </c>
      <c r="AD22" s="14">
        <v>0.85</v>
      </c>
      <c r="AG22">
        <v>2028</v>
      </c>
      <c r="AH22" s="3">
        <v>-150000</v>
      </c>
      <c r="AI22" s="13">
        <f t="shared" si="17"/>
        <v>208.15122467388466</v>
      </c>
      <c r="AJ22" s="3">
        <f t="shared" si="11"/>
        <v>-114444.47589373768</v>
      </c>
      <c r="AK22" s="13"/>
      <c r="AL22" s="13"/>
    </row>
    <row r="23" spans="1:38">
      <c r="A23">
        <v>2029</v>
      </c>
      <c r="B23" s="3">
        <f t="shared" si="3"/>
        <v>26.152566241906715</v>
      </c>
      <c r="C23" s="3">
        <f t="shared" si="0"/>
        <v>1699916.8057239365</v>
      </c>
      <c r="E23" s="33">
        <v>27</v>
      </c>
      <c r="F23" s="61">
        <f t="shared" si="12"/>
        <v>458977.53754546284</v>
      </c>
      <c r="G23" s="3">
        <f t="shared" si="13"/>
        <v>2158894.3432693994</v>
      </c>
      <c r="H23" s="3">
        <f t="shared" si="10"/>
        <v>-111664.04126620908</v>
      </c>
      <c r="I23" s="3">
        <f>Austria!I23/AD23*AC23</f>
        <v>110882.35294117648</v>
      </c>
      <c r="J23" s="3">
        <f t="shared" si="14"/>
        <v>2158112.6549443668</v>
      </c>
      <c r="N23">
        <v>2029</v>
      </c>
      <c r="O23" s="3">
        <f t="shared" si="15"/>
        <v>2158112.6549443668</v>
      </c>
      <c r="P23" s="3">
        <f t="shared" si="16"/>
        <v>2158112.6549443668</v>
      </c>
      <c r="Q23" s="3">
        <f t="shared" si="8"/>
        <v>1898650</v>
      </c>
      <c r="T23">
        <v>2029</v>
      </c>
      <c r="U23" s="3">
        <f>'Vehicle price'!X25</f>
        <v>23</v>
      </c>
      <c r="V23" s="20">
        <f>V22+(V24-V12)/12</f>
        <v>1.274999999999999</v>
      </c>
      <c r="W23" s="3">
        <f t="shared" si="2"/>
        <v>33.344521958431038</v>
      </c>
      <c r="X23" s="3">
        <f>'Vehicle price'!T25</f>
        <v>26.152566241906715</v>
      </c>
      <c r="Y23" s="3">
        <f t="shared" si="9"/>
        <v>18.960610525382361</v>
      </c>
      <c r="Z23" s="20">
        <f>Z22+(Z24-Z12)/12</f>
        <v>0.72499999999999976</v>
      </c>
      <c r="AB23">
        <v>2029</v>
      </c>
      <c r="AC23" s="14">
        <v>65</v>
      </c>
      <c r="AD23" s="14">
        <v>0.85</v>
      </c>
      <c r="AG23">
        <v>2029</v>
      </c>
      <c r="AH23" s="3">
        <v>-150000</v>
      </c>
      <c r="AI23" s="13">
        <f t="shared" si="17"/>
        <v>213.33419016826434</v>
      </c>
      <c r="AJ23" s="3">
        <f t="shared" si="11"/>
        <v>-111664.04126620908</v>
      </c>
      <c r="AK23" s="13"/>
      <c r="AL23" s="13"/>
    </row>
    <row r="24" spans="1:38">
      <c r="A24">
        <v>2030</v>
      </c>
      <c r="B24" s="3">
        <f t="shared" si="3"/>
        <v>25.55507271817137</v>
      </c>
      <c r="C24" s="3">
        <f t="shared" si="0"/>
        <v>1661079.7266811391</v>
      </c>
      <c r="E24" s="33">
        <v>27</v>
      </c>
      <c r="F24" s="61">
        <f t="shared" si="12"/>
        <v>448491.52620390756</v>
      </c>
      <c r="G24" s="3">
        <f t="shared" si="13"/>
        <v>2109571.2528850464</v>
      </c>
      <c r="H24" s="3">
        <f t="shared" si="10"/>
        <v>-108951.15744580848</v>
      </c>
      <c r="I24" s="3">
        <f>Austria!I24/AD24*AC24</f>
        <v>110882.35294117648</v>
      </c>
      <c r="J24" s="3">
        <f t="shared" si="14"/>
        <v>2111502.4483804144</v>
      </c>
      <c r="N24">
        <v>2030</v>
      </c>
      <c r="O24" s="3">
        <f t="shared" si="15"/>
        <v>2111502.4483804144</v>
      </c>
      <c r="P24" s="3">
        <f t="shared" si="16"/>
        <v>2111502.4483804144</v>
      </c>
      <c r="Q24" s="3">
        <f t="shared" si="8"/>
        <v>1898650</v>
      </c>
      <c r="T24">
        <v>2030</v>
      </c>
      <c r="U24" s="3">
        <f>'Vehicle price'!X26</f>
        <v>23</v>
      </c>
      <c r="V24">
        <v>1.3</v>
      </c>
      <c r="W24" s="3">
        <f t="shared" si="2"/>
        <v>33.221594533622785</v>
      </c>
      <c r="X24" s="3">
        <f>'Vehicle price'!T26</f>
        <v>25.55507271817137</v>
      </c>
      <c r="Y24" s="3">
        <f t="shared" si="9"/>
        <v>17.88855090271996</v>
      </c>
      <c r="Z24">
        <v>0.7</v>
      </c>
      <c r="AB24">
        <v>2030</v>
      </c>
      <c r="AC24" s="14">
        <v>65</v>
      </c>
      <c r="AD24" s="14">
        <v>0.85</v>
      </c>
      <c r="AG24">
        <v>2030</v>
      </c>
      <c r="AH24" s="3">
        <v>-150000</v>
      </c>
      <c r="AI24" s="13">
        <f t="shared" si="17"/>
        <v>218.64621150345408</v>
      </c>
      <c r="AJ24" s="3">
        <f t="shared" si="11"/>
        <v>-108951.15744580848</v>
      </c>
      <c r="AK24" s="13"/>
      <c r="AL24" s="13"/>
    </row>
    <row r="25" spans="1:38">
      <c r="F25" s="3"/>
      <c r="AD25" s="13"/>
      <c r="AE25" s="13"/>
    </row>
    <row r="26" spans="1:38">
      <c r="A26" t="s">
        <v>324</v>
      </c>
      <c r="B26" t="s">
        <v>1395</v>
      </c>
      <c r="C26" t="s">
        <v>704</v>
      </c>
      <c r="D26" t="s">
        <v>704</v>
      </c>
      <c r="E26" t="s">
        <v>498</v>
      </c>
      <c r="F26" t="s">
        <v>704</v>
      </c>
      <c r="G26" t="s">
        <v>704</v>
      </c>
      <c r="H26" t="s">
        <v>704</v>
      </c>
      <c r="I26" t="s">
        <v>704</v>
      </c>
      <c r="J26" t="s">
        <v>704</v>
      </c>
      <c r="AD26" s="13"/>
      <c r="AE26" s="13"/>
    </row>
    <row r="27" spans="1:38">
      <c r="B27" t="s">
        <v>711</v>
      </c>
      <c r="C27" t="s">
        <v>711</v>
      </c>
      <c r="D27" t="s">
        <v>749</v>
      </c>
      <c r="E27" t="s">
        <v>714</v>
      </c>
      <c r="F27" s="3" t="s">
        <v>728</v>
      </c>
      <c r="G27" t="s">
        <v>717</v>
      </c>
      <c r="H27" t="s">
        <v>750</v>
      </c>
      <c r="I27" t="s">
        <v>755</v>
      </c>
      <c r="J27" t="s">
        <v>717</v>
      </c>
      <c r="AE27" s="13"/>
    </row>
    <row r="28" spans="1:38">
      <c r="A28">
        <v>2009</v>
      </c>
      <c r="B28" s="3">
        <f t="shared" ref="B28:B49" si="18">B3</f>
        <v>29.592572886961211</v>
      </c>
      <c r="C28" s="3">
        <f t="shared" ref="C28:C49" si="19">B28*AC3*1000</f>
        <v>1430280.0698017641</v>
      </c>
      <c r="D28" s="61"/>
      <c r="E28" s="33">
        <v>16.7</v>
      </c>
      <c r="F28" s="61">
        <f>E28/100*C28</f>
        <v>238856.77165689459</v>
      </c>
      <c r="G28" s="3">
        <f t="shared" ref="G28:G37" si="20">C28+F28+D28</f>
        <v>1669136.8414586587</v>
      </c>
      <c r="H28" s="3">
        <v>0</v>
      </c>
      <c r="I28" s="3">
        <f>Austria!I28/AD3*AC3</f>
        <v>97357.154847171783</v>
      </c>
      <c r="J28" s="3">
        <f>G28+H28+I28</f>
        <v>1766493.9963058305</v>
      </c>
      <c r="AE28" s="72"/>
    </row>
    <row r="29" spans="1:38">
      <c r="A29">
        <v>2010</v>
      </c>
      <c r="B29" s="3">
        <f t="shared" si="18"/>
        <v>30</v>
      </c>
      <c r="C29" s="3">
        <f t="shared" si="19"/>
        <v>1369521</v>
      </c>
      <c r="D29" s="61"/>
      <c r="E29" s="33">
        <v>16.7</v>
      </c>
      <c r="F29" s="61">
        <f t="shared" ref="F29:F37" si="21">E29/100*C29</f>
        <v>228710.00699999998</v>
      </c>
      <c r="G29" s="3">
        <f t="shared" si="20"/>
        <v>1598231.007</v>
      </c>
      <c r="H29" s="3">
        <f>-C29*0.2</f>
        <v>-273904.2</v>
      </c>
      <c r="I29" s="3">
        <f>Austria!I29/AD4*AC4</f>
        <v>87249.268093836581</v>
      </c>
      <c r="J29" s="3">
        <f t="shared" ref="J29:J49" si="22">G29+H29+I29</f>
        <v>1411576.0750938365</v>
      </c>
    </row>
    <row r="30" spans="1:38">
      <c r="A30">
        <v>2011</v>
      </c>
      <c r="B30" s="3">
        <f t="shared" si="18"/>
        <v>30</v>
      </c>
      <c r="C30" s="3">
        <f t="shared" si="19"/>
        <v>1397346</v>
      </c>
      <c r="D30" s="61"/>
      <c r="E30" s="33">
        <v>16.7</v>
      </c>
      <c r="F30" s="61">
        <f t="shared" si="21"/>
        <v>233356.78199999998</v>
      </c>
      <c r="G30" s="3">
        <f t="shared" si="20"/>
        <v>1630702.7819999999</v>
      </c>
      <c r="H30" s="3">
        <f>-C30*0.2</f>
        <v>-279469.2</v>
      </c>
      <c r="I30" s="3">
        <f>Austria!I30/AD5*AC5</f>
        <v>94401.048537579059</v>
      </c>
      <c r="J30" s="3">
        <f t="shared" si="22"/>
        <v>1445634.6305375791</v>
      </c>
    </row>
    <row r="31" spans="1:38">
      <c r="A31">
        <v>2012</v>
      </c>
      <c r="B31" s="3">
        <f t="shared" si="18"/>
        <v>30.842462459493706</v>
      </c>
      <c r="C31" s="3">
        <f t="shared" si="19"/>
        <v>1646194.8440517548</v>
      </c>
      <c r="D31" s="61"/>
      <c r="E31" s="33">
        <v>16.7</v>
      </c>
      <c r="F31" s="61">
        <f t="shared" si="21"/>
        <v>274914.53895664302</v>
      </c>
      <c r="G31" s="3">
        <f t="shared" si="20"/>
        <v>1921109.3830083979</v>
      </c>
      <c r="H31" s="3">
        <f>-C31*0.2</f>
        <v>-329238.96881035098</v>
      </c>
      <c r="I31" s="3">
        <f>Austria!I31/AD6*AC6</f>
        <v>100003.60554381274</v>
      </c>
      <c r="J31" s="3">
        <f t="shared" si="22"/>
        <v>1691874.0197418598</v>
      </c>
    </row>
    <row r="32" spans="1:38">
      <c r="A32">
        <v>2013</v>
      </c>
      <c r="B32" s="3">
        <f t="shared" si="18"/>
        <v>31.143929334439989</v>
      </c>
      <c r="C32" s="3">
        <f t="shared" si="19"/>
        <v>1822383.9106118223</v>
      </c>
      <c r="D32" s="61"/>
      <c r="E32" s="33">
        <v>20</v>
      </c>
      <c r="F32" s="61">
        <f t="shared" si="21"/>
        <v>364476.7821223645</v>
      </c>
      <c r="G32" s="3">
        <f t="shared" si="20"/>
        <v>2186860.6927341865</v>
      </c>
      <c r="H32" s="3">
        <v>0</v>
      </c>
      <c r="I32" s="3">
        <f>Austria!I32/AD7*AC7</f>
        <v>112877.65172785116</v>
      </c>
      <c r="J32" s="3">
        <f t="shared" si="22"/>
        <v>2299738.3444620376</v>
      </c>
    </row>
    <row r="33" spans="1:22">
      <c r="A33">
        <v>2014</v>
      </c>
      <c r="B33" s="3">
        <f t="shared" si="18"/>
        <v>33.541755956678692</v>
      </c>
      <c r="C33" s="3">
        <f t="shared" si="19"/>
        <v>2045889.4671044038</v>
      </c>
      <c r="D33" s="61"/>
      <c r="E33" s="33">
        <v>20</v>
      </c>
      <c r="F33" s="61">
        <f t="shared" si="21"/>
        <v>409177.89342088078</v>
      </c>
      <c r="G33" s="3">
        <f t="shared" si="20"/>
        <v>2455067.3605252844</v>
      </c>
      <c r="H33" s="3">
        <f t="shared" ref="H33:H49" si="23">H8</f>
        <v>-169248.23924143513</v>
      </c>
      <c r="I33" s="3">
        <f>Austria!I33/AD8*AC8</f>
        <v>116773.97037952686</v>
      </c>
      <c r="J33" s="3">
        <f t="shared" si="22"/>
        <v>2402593.091663376</v>
      </c>
      <c r="V33" s="167"/>
    </row>
    <row r="34" spans="1:22">
      <c r="A34">
        <v>2015</v>
      </c>
      <c r="B34" s="3">
        <f t="shared" si="18"/>
        <v>30</v>
      </c>
      <c r="C34" s="3">
        <f t="shared" si="19"/>
        <v>1923218.9999999998</v>
      </c>
      <c r="D34" s="61"/>
      <c r="E34" s="33">
        <v>25</v>
      </c>
      <c r="F34" s="61">
        <f t="shared" si="21"/>
        <v>480804.74999999994</v>
      </c>
      <c r="G34" s="3">
        <f t="shared" si="20"/>
        <v>2404023.7499999995</v>
      </c>
      <c r="H34" s="3">
        <f t="shared" si="23"/>
        <v>-161331.73390672726</v>
      </c>
      <c r="I34" s="3">
        <f>Austria!I34/AD9*AC9</f>
        <v>102608.4138597183</v>
      </c>
      <c r="J34" s="3">
        <f t="shared" si="22"/>
        <v>2345300.4299529907</v>
      </c>
    </row>
    <row r="35" spans="1:22">
      <c r="A35">
        <v>2016</v>
      </c>
      <c r="B35" s="3">
        <f t="shared" si="18"/>
        <v>30</v>
      </c>
      <c r="C35" s="3">
        <f t="shared" si="19"/>
        <v>2014716.0000000002</v>
      </c>
      <c r="D35" s="61"/>
      <c r="E35" s="33">
        <v>27</v>
      </c>
      <c r="F35" s="61">
        <f t="shared" si="21"/>
        <v>543973.32000000007</v>
      </c>
      <c r="G35" s="3">
        <f t="shared" si="20"/>
        <v>2558689.3200000003</v>
      </c>
      <c r="H35" s="3">
        <f t="shared" si="23"/>
        <v>-153735</v>
      </c>
      <c r="I35" s="3">
        <f>Austria!I35/AD10*AC10</f>
        <v>107392.61527333416</v>
      </c>
      <c r="J35" s="3">
        <f t="shared" si="22"/>
        <v>2512346.9352733344</v>
      </c>
      <c r="V35" s="167"/>
    </row>
    <row r="36" spans="1:22">
      <c r="A36">
        <v>2017</v>
      </c>
      <c r="B36" s="3">
        <f t="shared" si="18"/>
        <v>30</v>
      </c>
      <c r="C36" s="3">
        <f t="shared" si="19"/>
        <v>1951976.9999999998</v>
      </c>
      <c r="D36" s="61"/>
      <c r="E36" s="33">
        <v>27</v>
      </c>
      <c r="F36" s="61">
        <f t="shared" si="21"/>
        <v>527033.78999999992</v>
      </c>
      <c r="G36" s="3">
        <f t="shared" si="20"/>
        <v>2479010.7899999996</v>
      </c>
      <c r="H36" s="3">
        <f t="shared" si="23"/>
        <v>-150000</v>
      </c>
      <c r="I36" s="3">
        <f>Austria!I36/AD11*AC11</f>
        <v>106959.65061341552</v>
      </c>
      <c r="J36" s="3">
        <f t="shared" si="22"/>
        <v>2435970.4406134151</v>
      </c>
      <c r="V36" s="167"/>
    </row>
    <row r="37" spans="1:22">
      <c r="A37">
        <v>2018</v>
      </c>
      <c r="B37" s="3">
        <f t="shared" si="18"/>
        <v>30.592100851060948</v>
      </c>
      <c r="C37" s="3">
        <f t="shared" si="19"/>
        <v>1988486.5553189616</v>
      </c>
      <c r="D37" s="61"/>
      <c r="E37" s="33">
        <v>27</v>
      </c>
      <c r="F37" s="61">
        <f t="shared" si="21"/>
        <v>536891.36993611965</v>
      </c>
      <c r="G37" s="3">
        <f t="shared" si="20"/>
        <v>2525377.9252550812</v>
      </c>
      <c r="H37" s="3">
        <f t="shared" si="23"/>
        <v>-146355.74202361205</v>
      </c>
      <c r="I37" s="3">
        <f>Austria!I37/AD12*AC12</f>
        <v>110882.35294117648</v>
      </c>
      <c r="J37" s="3">
        <f t="shared" si="22"/>
        <v>2489904.5361726456</v>
      </c>
      <c r="V37" s="105"/>
    </row>
    <row r="38" spans="1:22">
      <c r="A38">
        <v>2019</v>
      </c>
      <c r="B38" s="3">
        <f t="shared" si="18"/>
        <v>31.172994053473918</v>
      </c>
      <c r="C38" s="3">
        <f t="shared" si="19"/>
        <v>2026244.6134758047</v>
      </c>
      <c r="D38" s="61"/>
      <c r="E38" s="33">
        <v>27</v>
      </c>
      <c r="F38" s="61">
        <f t="shared" ref="F38:F49" si="24">E38/100*C38</f>
        <v>547086.0456384673</v>
      </c>
      <c r="G38" s="3">
        <f t="shared" ref="G38:G49" si="25">C38+F38+D38</f>
        <v>2573330.6591142719</v>
      </c>
      <c r="H38" s="3">
        <f t="shared" si="23"/>
        <v>-142800.02148854724</v>
      </c>
      <c r="I38" s="3">
        <f>Austria!I38/AD13*AC13</f>
        <v>110882.35294117648</v>
      </c>
      <c r="J38" s="3">
        <f t="shared" si="22"/>
        <v>2541412.9905669009</v>
      </c>
      <c r="V38" s="105"/>
    </row>
    <row r="39" spans="1:22">
      <c r="A39">
        <v>2020</v>
      </c>
      <c r="B39" s="3">
        <f t="shared" si="18"/>
        <v>30.985903123425071</v>
      </c>
      <c r="C39" s="3">
        <f t="shared" si="19"/>
        <v>2014083.7030226297</v>
      </c>
      <c r="D39" s="61"/>
      <c r="E39" s="33">
        <v>27</v>
      </c>
      <c r="F39" s="61">
        <f t="shared" si="24"/>
        <v>543802.5998161101</v>
      </c>
      <c r="G39" s="3">
        <f t="shared" si="25"/>
        <v>2557886.3028387399</v>
      </c>
      <c r="H39" s="3">
        <f t="shared" si="23"/>
        <v>-139330.68737296053</v>
      </c>
      <c r="I39" s="3">
        <f>Austria!I39/AD14*AC14</f>
        <v>110882.35294117648</v>
      </c>
      <c r="J39" s="3">
        <f t="shared" si="22"/>
        <v>2529437.9684069557</v>
      </c>
      <c r="V39" s="105"/>
    </row>
    <row r="40" spans="1:22">
      <c r="A40">
        <v>2021</v>
      </c>
      <c r="B40" s="3">
        <f t="shared" si="18"/>
        <v>30.206708843097807</v>
      </c>
      <c r="C40" s="3">
        <f t="shared" si="19"/>
        <v>1963436.0748013575</v>
      </c>
      <c r="D40" s="3"/>
      <c r="E40" s="33">
        <v>27</v>
      </c>
      <c r="F40" s="61">
        <f t="shared" si="24"/>
        <v>530127.74019636656</v>
      </c>
      <c r="G40" s="3">
        <f t="shared" si="25"/>
        <v>2493563.8149977243</v>
      </c>
      <c r="H40" s="3">
        <f t="shared" si="23"/>
        <v>-135945.64091419702</v>
      </c>
      <c r="I40" s="3">
        <f>Austria!I40/AD15*AC15</f>
        <v>110882.35294117648</v>
      </c>
      <c r="J40" s="3">
        <f t="shared" si="22"/>
        <v>2468500.5270247036</v>
      </c>
      <c r="V40" s="105"/>
    </row>
    <row r="41" spans="1:22">
      <c r="A41">
        <v>2022</v>
      </c>
      <c r="B41" s="3">
        <f t="shared" si="18"/>
        <v>30.642454642697771</v>
      </c>
      <c r="C41" s="3">
        <f t="shared" si="19"/>
        <v>1991759.5517753554</v>
      </c>
      <c r="D41" s="3"/>
      <c r="E41" s="33">
        <v>27</v>
      </c>
      <c r="F41" s="61">
        <f t="shared" si="24"/>
        <v>537775.07897934597</v>
      </c>
      <c r="G41" s="3">
        <f t="shared" si="25"/>
        <v>2529534.6307547013</v>
      </c>
      <c r="H41" s="3">
        <f t="shared" si="23"/>
        <v>-132642.83433915212</v>
      </c>
      <c r="I41" s="3">
        <f>Austria!I41/AD16*AC16</f>
        <v>110882.35294117648</v>
      </c>
      <c r="J41" s="3">
        <f t="shared" si="22"/>
        <v>2507774.1493567256</v>
      </c>
      <c r="V41" s="105"/>
    </row>
    <row r="42" spans="1:22">
      <c r="A42">
        <v>2023</v>
      </c>
      <c r="B42" s="3">
        <f t="shared" si="18"/>
        <v>30.361546257811007</v>
      </c>
      <c r="C42" s="3">
        <f t="shared" si="19"/>
        <v>1973500.5067577153</v>
      </c>
      <c r="D42" s="3"/>
      <c r="E42" s="33">
        <v>27</v>
      </c>
      <c r="F42" s="61">
        <f t="shared" si="24"/>
        <v>532845.13682458317</v>
      </c>
      <c r="G42" s="3">
        <f t="shared" si="25"/>
        <v>2506345.6435822984</v>
      </c>
      <c r="H42" s="3">
        <f t="shared" si="23"/>
        <v>-129420.26962547771</v>
      </c>
      <c r="I42" s="3">
        <f>Austria!I42/AD17*AC17</f>
        <v>110882.35294117648</v>
      </c>
      <c r="J42" s="3">
        <f t="shared" si="22"/>
        <v>2487807.7268979973</v>
      </c>
      <c r="V42" s="105"/>
    </row>
    <row r="43" spans="1:22">
      <c r="A43">
        <v>2024</v>
      </c>
      <c r="B43" s="3">
        <f t="shared" si="18"/>
        <v>29.275640447464834</v>
      </c>
      <c r="C43" s="3">
        <f t="shared" si="19"/>
        <v>1902916.6290852143</v>
      </c>
      <c r="D43" s="3"/>
      <c r="E43" s="33">
        <v>27</v>
      </c>
      <c r="F43" s="61">
        <f t="shared" si="24"/>
        <v>513787.48985300789</v>
      </c>
      <c r="G43" s="3">
        <f t="shared" si="25"/>
        <v>2416704.1189382221</v>
      </c>
      <c r="H43" s="3">
        <f t="shared" si="23"/>
        <v>-126275.99729288489</v>
      </c>
      <c r="I43" s="3">
        <f>Austria!I43/AD18*AC18</f>
        <v>110882.35294117648</v>
      </c>
      <c r="J43" s="3">
        <f t="shared" si="22"/>
        <v>2401310.4745865134</v>
      </c>
      <c r="V43" s="105"/>
    </row>
    <row r="44" spans="1:22">
      <c r="A44">
        <v>2025</v>
      </c>
      <c r="B44" s="3">
        <f t="shared" si="18"/>
        <v>28.343375828936317</v>
      </c>
      <c r="C44" s="3">
        <f t="shared" si="19"/>
        <v>1842319.4288808606</v>
      </c>
      <c r="D44" s="3"/>
      <c r="E44" s="33">
        <v>27</v>
      </c>
      <c r="F44" s="61">
        <f t="shared" si="24"/>
        <v>497426.24579783238</v>
      </c>
      <c r="G44" s="3">
        <f t="shared" si="25"/>
        <v>2339745.6746786931</v>
      </c>
      <c r="H44" s="3">
        <f t="shared" si="23"/>
        <v>-123208.11522381198</v>
      </c>
      <c r="I44" s="3">
        <f>Austria!I44/AD19*AC19</f>
        <v>110882.35294117648</v>
      </c>
      <c r="J44" s="3">
        <f t="shared" si="22"/>
        <v>2327419.9123960575</v>
      </c>
      <c r="V44" s="105"/>
    </row>
    <row r="45" spans="1:22">
      <c r="A45">
        <v>2026</v>
      </c>
      <c r="B45" s="3">
        <f t="shared" si="18"/>
        <v>27.812270474504896</v>
      </c>
      <c r="C45" s="3">
        <f t="shared" si="19"/>
        <v>1807797.5808428181</v>
      </c>
      <c r="D45" s="3"/>
      <c r="E45" s="33">
        <v>27</v>
      </c>
      <c r="F45" s="61">
        <f t="shared" si="24"/>
        <v>488105.34682756092</v>
      </c>
      <c r="G45" s="3">
        <f t="shared" si="25"/>
        <v>2295902.9276703792</v>
      </c>
      <c r="H45" s="3">
        <f t="shared" si="23"/>
        <v>-120214.76751274464</v>
      </c>
      <c r="I45" s="3">
        <f>Austria!I45/AD20*AC20</f>
        <v>110882.35294117648</v>
      </c>
      <c r="J45" s="3">
        <f t="shared" si="22"/>
        <v>2286570.5130988108</v>
      </c>
      <c r="V45" s="105"/>
    </row>
    <row r="46" spans="1:22">
      <c r="A46">
        <v>2027</v>
      </c>
      <c r="B46" s="3">
        <f t="shared" si="18"/>
        <v>27.281165120073478</v>
      </c>
      <c r="C46" s="3">
        <f t="shared" si="19"/>
        <v>1773275.7328047759</v>
      </c>
      <c r="D46" s="3"/>
      <c r="E46" s="33">
        <v>27</v>
      </c>
      <c r="F46" s="61">
        <f t="shared" si="24"/>
        <v>478784.44785728952</v>
      </c>
      <c r="G46" s="3">
        <f t="shared" si="25"/>
        <v>2252060.1806620653</v>
      </c>
      <c r="H46" s="3">
        <f t="shared" si="23"/>
        <v>-117294.14334349171</v>
      </c>
      <c r="I46" s="3">
        <f>Austria!I46/AD21*AC21</f>
        <v>110882.35294117648</v>
      </c>
      <c r="J46" s="3">
        <f t="shared" si="22"/>
        <v>2245648.3902597497</v>
      </c>
      <c r="V46" s="105"/>
    </row>
    <row r="47" spans="1:22">
      <c r="A47">
        <v>2028</v>
      </c>
      <c r="B47" s="3">
        <f t="shared" si="18"/>
        <v>26.683671596338133</v>
      </c>
      <c r="C47" s="3">
        <f t="shared" si="19"/>
        <v>1734438.6537619787</v>
      </c>
      <c r="D47" s="3"/>
      <c r="E47" s="33">
        <v>27</v>
      </c>
      <c r="F47" s="61">
        <f t="shared" si="24"/>
        <v>468298.4365157343</v>
      </c>
      <c r="G47" s="3">
        <f t="shared" si="25"/>
        <v>2202737.0902777128</v>
      </c>
      <c r="H47" s="3">
        <f t="shared" si="23"/>
        <v>-114444.47589373768</v>
      </c>
      <c r="I47" s="3">
        <f>Austria!I47/AD22*AC22</f>
        <v>110882.35294117648</v>
      </c>
      <c r="J47" s="3">
        <f t="shared" si="22"/>
        <v>2199174.9673251514</v>
      </c>
      <c r="V47" s="105"/>
    </row>
    <row r="48" spans="1:22">
      <c r="A48">
        <v>2029</v>
      </c>
      <c r="B48" s="3">
        <f t="shared" si="18"/>
        <v>26.152566241906715</v>
      </c>
      <c r="C48" s="3">
        <f t="shared" si="19"/>
        <v>1699916.8057239365</v>
      </c>
      <c r="D48" s="3"/>
      <c r="E48" s="33">
        <v>27</v>
      </c>
      <c r="F48" s="61">
        <f t="shared" si="24"/>
        <v>458977.5375454629</v>
      </c>
      <c r="G48" s="3">
        <f t="shared" si="25"/>
        <v>2158894.3432693994</v>
      </c>
      <c r="H48" s="3">
        <f t="shared" si="23"/>
        <v>-111664.04126620908</v>
      </c>
      <c r="I48" s="3">
        <f>Austria!I48/AD23*AC23</f>
        <v>110882.35294117648</v>
      </c>
      <c r="J48" s="3">
        <f t="shared" si="22"/>
        <v>2158112.6549443668</v>
      </c>
      <c r="V48" s="105"/>
    </row>
    <row r="49" spans="1:22">
      <c r="A49">
        <v>2030</v>
      </c>
      <c r="B49" s="3">
        <f t="shared" si="18"/>
        <v>25.55507271817137</v>
      </c>
      <c r="C49" s="3">
        <f t="shared" si="19"/>
        <v>1661079.7266811391</v>
      </c>
      <c r="D49" s="3"/>
      <c r="E49" s="33">
        <v>27</v>
      </c>
      <c r="F49" s="61">
        <f t="shared" si="24"/>
        <v>448491.52620390756</v>
      </c>
      <c r="G49" s="3">
        <f t="shared" si="25"/>
        <v>2109571.2528850464</v>
      </c>
      <c r="H49" s="3">
        <f t="shared" si="23"/>
        <v>-108951.15744580848</v>
      </c>
      <c r="I49" s="3">
        <f>Austria!I49/AD24*AC24</f>
        <v>110882.35294117648</v>
      </c>
      <c r="J49" s="3">
        <f t="shared" si="22"/>
        <v>2111502.4483804144</v>
      </c>
      <c r="V49" s="105"/>
    </row>
    <row r="50" spans="1:22">
      <c r="V50" s="167"/>
    </row>
    <row r="51" spans="1:22">
      <c r="A51" t="s">
        <v>716</v>
      </c>
      <c r="B51" t="s">
        <v>1395</v>
      </c>
      <c r="C51" t="s">
        <v>704</v>
      </c>
      <c r="D51" t="s">
        <v>704</v>
      </c>
      <c r="E51" t="s">
        <v>498</v>
      </c>
      <c r="F51" t="s">
        <v>704</v>
      </c>
      <c r="G51" t="s">
        <v>704</v>
      </c>
    </row>
    <row r="52" spans="1:22">
      <c r="B52" t="s">
        <v>724</v>
      </c>
      <c r="C52" t="s">
        <v>724</v>
      </c>
      <c r="D52" t="s">
        <v>749</v>
      </c>
      <c r="E52" t="s">
        <v>714</v>
      </c>
      <c r="F52" t="s">
        <v>728</v>
      </c>
      <c r="G52" t="s">
        <v>725</v>
      </c>
    </row>
    <row r="53" spans="1:22">
      <c r="A53">
        <v>2009</v>
      </c>
      <c r="B53" s="3">
        <f t="shared" ref="B53:B74" si="26">U3</f>
        <v>23</v>
      </c>
      <c r="C53" s="3">
        <f t="shared" ref="C53:C74" si="27">B53*AC3*1000</f>
        <v>1111645.2</v>
      </c>
      <c r="D53" s="61"/>
      <c r="E53" s="33">
        <v>16.7</v>
      </c>
      <c r="F53" s="61">
        <f>C53*E53/100</f>
        <v>185644.74840000001</v>
      </c>
      <c r="G53" s="3">
        <f t="shared" ref="G53:G62" si="28">C53+F53+D53</f>
        <v>1297289.9483999999</v>
      </c>
    </row>
    <row r="54" spans="1:22">
      <c r="A54">
        <v>2010</v>
      </c>
      <c r="B54" s="3">
        <f t="shared" si="26"/>
        <v>23</v>
      </c>
      <c r="C54" s="3">
        <f t="shared" si="27"/>
        <v>1049966.1000000001</v>
      </c>
      <c r="D54" s="61"/>
      <c r="E54" s="33">
        <v>16.7</v>
      </c>
      <c r="F54" s="61">
        <f>C54*E54/100</f>
        <v>175344.33870000002</v>
      </c>
      <c r="G54" s="3">
        <f t="shared" si="28"/>
        <v>1225310.4387000001</v>
      </c>
    </row>
    <row r="55" spans="1:22">
      <c r="A55">
        <v>2011</v>
      </c>
      <c r="B55" s="3">
        <f t="shared" si="26"/>
        <v>23</v>
      </c>
      <c r="C55" s="3">
        <f t="shared" si="27"/>
        <v>1071298.6000000001</v>
      </c>
      <c r="D55" s="61"/>
      <c r="E55" s="33">
        <v>16.7</v>
      </c>
      <c r="F55" s="61">
        <f t="shared" ref="F55:F62" si="29">C55*E55/100</f>
        <v>178906.86620000002</v>
      </c>
      <c r="G55" s="3">
        <f t="shared" si="28"/>
        <v>1250205.4662000001</v>
      </c>
    </row>
    <row r="56" spans="1:22">
      <c r="A56">
        <v>2012</v>
      </c>
      <c r="B56" s="3">
        <f t="shared" si="26"/>
        <v>23</v>
      </c>
      <c r="C56" s="3">
        <f t="shared" si="27"/>
        <v>1227608.8999999999</v>
      </c>
      <c r="D56" s="61"/>
      <c r="E56" s="33">
        <v>16.7</v>
      </c>
      <c r="F56" s="61">
        <f t="shared" si="29"/>
        <v>205010.6863</v>
      </c>
      <c r="G56" s="3">
        <f t="shared" si="28"/>
        <v>1432619.5862999998</v>
      </c>
    </row>
    <row r="57" spans="1:22">
      <c r="A57">
        <v>2013</v>
      </c>
      <c r="B57" s="3">
        <f t="shared" si="26"/>
        <v>23</v>
      </c>
      <c r="C57" s="3">
        <f t="shared" si="27"/>
        <v>1345842.7</v>
      </c>
      <c r="D57" s="61"/>
      <c r="E57" s="33">
        <v>20</v>
      </c>
      <c r="F57" s="61">
        <f t="shared" si="29"/>
        <v>269168.53999999998</v>
      </c>
      <c r="G57" s="3">
        <f t="shared" si="28"/>
        <v>1615011.24</v>
      </c>
    </row>
    <row r="58" spans="1:22">
      <c r="A58">
        <v>2014</v>
      </c>
      <c r="B58" s="3">
        <f t="shared" si="26"/>
        <v>23</v>
      </c>
      <c r="C58" s="3">
        <f t="shared" si="27"/>
        <v>1402891.9000000001</v>
      </c>
      <c r="D58" s="61"/>
      <c r="E58" s="33">
        <v>20</v>
      </c>
      <c r="F58" s="61">
        <f t="shared" si="29"/>
        <v>280578.38000000006</v>
      </c>
      <c r="G58" s="3">
        <f t="shared" si="28"/>
        <v>1683470.2800000003</v>
      </c>
    </row>
    <row r="59" spans="1:22">
      <c r="A59">
        <v>2015</v>
      </c>
      <c r="B59" s="3">
        <f t="shared" si="26"/>
        <v>23</v>
      </c>
      <c r="C59" s="3">
        <f t="shared" si="27"/>
        <v>1474467.9</v>
      </c>
      <c r="D59" s="61"/>
      <c r="E59" s="33">
        <v>25</v>
      </c>
      <c r="F59" s="61">
        <f t="shared" si="29"/>
        <v>368616.97499999998</v>
      </c>
      <c r="G59" s="3">
        <f t="shared" si="28"/>
        <v>1843084.875</v>
      </c>
    </row>
    <row r="60" spans="1:22">
      <c r="A60">
        <v>2016</v>
      </c>
      <c r="B60" s="3">
        <f t="shared" si="26"/>
        <v>23</v>
      </c>
      <c r="C60" s="3">
        <f t="shared" si="27"/>
        <v>1544615.6</v>
      </c>
      <c r="D60" s="61"/>
      <c r="E60" s="33">
        <v>27</v>
      </c>
      <c r="F60" s="61">
        <f t="shared" si="29"/>
        <v>417046.21200000006</v>
      </c>
      <c r="G60" s="3">
        <f t="shared" si="28"/>
        <v>1961661.8120000002</v>
      </c>
    </row>
    <row r="61" spans="1:22">
      <c r="A61">
        <v>2017</v>
      </c>
      <c r="B61" s="3">
        <f t="shared" si="26"/>
        <v>23</v>
      </c>
      <c r="C61" s="3">
        <f t="shared" si="27"/>
        <v>1496515.7</v>
      </c>
      <c r="D61" s="61"/>
      <c r="E61" s="33">
        <v>27</v>
      </c>
      <c r="F61" s="61">
        <f t="shared" si="29"/>
        <v>404059.239</v>
      </c>
      <c r="G61" s="3">
        <f t="shared" si="28"/>
        <v>1900574.939</v>
      </c>
    </row>
    <row r="62" spans="1:22">
      <c r="A62">
        <v>2018</v>
      </c>
      <c r="B62" s="3">
        <f t="shared" si="26"/>
        <v>23</v>
      </c>
      <c r="C62" s="3">
        <f t="shared" si="27"/>
        <v>1495000</v>
      </c>
      <c r="D62" s="61"/>
      <c r="E62" s="33">
        <v>27</v>
      </c>
      <c r="F62" s="61">
        <f t="shared" si="29"/>
        <v>403650</v>
      </c>
      <c r="G62" s="3">
        <f t="shared" si="28"/>
        <v>1898650</v>
      </c>
    </row>
    <row r="63" spans="1:22">
      <c r="A63">
        <v>2019</v>
      </c>
      <c r="B63" s="3">
        <f t="shared" si="26"/>
        <v>23</v>
      </c>
      <c r="C63" s="3">
        <f t="shared" si="27"/>
        <v>1495000</v>
      </c>
      <c r="D63" s="33"/>
      <c r="E63" s="33">
        <v>27</v>
      </c>
      <c r="F63" s="61">
        <f t="shared" ref="F63:F74" si="30">C63*E63/100</f>
        <v>403650</v>
      </c>
      <c r="G63" s="3">
        <f t="shared" ref="G63:G74" si="31">C63+F63+D63</f>
        <v>1898650</v>
      </c>
    </row>
    <row r="64" spans="1:22">
      <c r="A64">
        <v>2020</v>
      </c>
      <c r="B64" s="3">
        <f t="shared" si="26"/>
        <v>23</v>
      </c>
      <c r="C64" s="3">
        <f t="shared" si="27"/>
        <v>1495000</v>
      </c>
      <c r="D64" s="3"/>
      <c r="E64" s="33">
        <v>27</v>
      </c>
      <c r="F64" s="61">
        <f t="shared" si="30"/>
        <v>403650</v>
      </c>
      <c r="G64" s="3">
        <f t="shared" si="31"/>
        <v>1898650</v>
      </c>
    </row>
    <row r="65" spans="1:29">
      <c r="A65">
        <v>2021</v>
      </c>
      <c r="B65" s="3">
        <f t="shared" si="26"/>
        <v>23</v>
      </c>
      <c r="C65" s="3">
        <f t="shared" si="27"/>
        <v>1495000</v>
      </c>
      <c r="E65" s="33">
        <v>27</v>
      </c>
      <c r="F65" s="61">
        <f t="shared" si="30"/>
        <v>403650</v>
      </c>
      <c r="G65" s="3">
        <f t="shared" si="31"/>
        <v>1898650</v>
      </c>
    </row>
    <row r="66" spans="1:29">
      <c r="A66">
        <v>2022</v>
      </c>
      <c r="B66" s="3">
        <f t="shared" si="26"/>
        <v>23</v>
      </c>
      <c r="C66" s="3">
        <f t="shared" si="27"/>
        <v>1495000</v>
      </c>
      <c r="E66" s="33">
        <v>27</v>
      </c>
      <c r="F66" s="61">
        <f t="shared" si="30"/>
        <v>403650</v>
      </c>
      <c r="G66" s="3">
        <f t="shared" si="31"/>
        <v>1898650</v>
      </c>
    </row>
    <row r="67" spans="1:29">
      <c r="A67">
        <v>2023</v>
      </c>
      <c r="B67" s="3">
        <f t="shared" si="26"/>
        <v>23</v>
      </c>
      <c r="C67" s="3">
        <f t="shared" si="27"/>
        <v>1495000</v>
      </c>
      <c r="E67" s="33">
        <v>27</v>
      </c>
      <c r="F67" s="61">
        <f t="shared" si="30"/>
        <v>403650</v>
      </c>
      <c r="G67" s="3">
        <f t="shared" si="31"/>
        <v>1898650</v>
      </c>
    </row>
    <row r="68" spans="1:29">
      <c r="A68">
        <v>2024</v>
      </c>
      <c r="B68" s="3">
        <f t="shared" si="26"/>
        <v>23</v>
      </c>
      <c r="C68" s="3">
        <f t="shared" si="27"/>
        <v>1495000</v>
      </c>
      <c r="E68" s="33">
        <v>27</v>
      </c>
      <c r="F68" s="61">
        <f t="shared" si="30"/>
        <v>403650</v>
      </c>
      <c r="G68" s="3">
        <f t="shared" si="31"/>
        <v>1898650</v>
      </c>
    </row>
    <row r="69" spans="1:29">
      <c r="A69">
        <v>2025</v>
      </c>
      <c r="B69" s="3">
        <f t="shared" si="26"/>
        <v>23</v>
      </c>
      <c r="C69" s="3">
        <f t="shared" si="27"/>
        <v>1495000</v>
      </c>
      <c r="E69" s="33">
        <v>27</v>
      </c>
      <c r="F69" s="61">
        <f t="shared" si="30"/>
        <v>403650</v>
      </c>
      <c r="G69" s="3">
        <f t="shared" si="31"/>
        <v>1898650</v>
      </c>
    </row>
    <row r="70" spans="1:29">
      <c r="A70">
        <v>2026</v>
      </c>
      <c r="B70" s="3">
        <f t="shared" si="26"/>
        <v>23</v>
      </c>
      <c r="C70" s="3">
        <f t="shared" si="27"/>
        <v>1495000</v>
      </c>
      <c r="E70" s="33">
        <v>27</v>
      </c>
      <c r="F70" s="61">
        <f t="shared" si="30"/>
        <v>403650</v>
      </c>
      <c r="G70" s="3">
        <f t="shared" si="31"/>
        <v>1898650</v>
      </c>
    </row>
    <row r="71" spans="1:29">
      <c r="A71">
        <v>2027</v>
      </c>
      <c r="B71" s="3">
        <f t="shared" si="26"/>
        <v>23</v>
      </c>
      <c r="C71" s="3">
        <f t="shared" si="27"/>
        <v>1495000</v>
      </c>
      <c r="E71" s="33">
        <v>27</v>
      </c>
      <c r="F71" s="61">
        <f t="shared" si="30"/>
        <v>403650</v>
      </c>
      <c r="G71" s="3">
        <f t="shared" si="31"/>
        <v>1898650</v>
      </c>
    </row>
    <row r="72" spans="1:29">
      <c r="A72">
        <v>2028</v>
      </c>
      <c r="B72" s="3">
        <f t="shared" si="26"/>
        <v>23</v>
      </c>
      <c r="C72" s="3">
        <f t="shared" si="27"/>
        <v>1495000</v>
      </c>
      <c r="E72" s="33">
        <v>27</v>
      </c>
      <c r="F72" s="61">
        <f t="shared" si="30"/>
        <v>403650</v>
      </c>
      <c r="G72" s="3">
        <f t="shared" si="31"/>
        <v>1898650</v>
      </c>
    </row>
    <row r="73" spans="1:29">
      <c r="A73">
        <v>2029</v>
      </c>
      <c r="B73" s="3">
        <f t="shared" si="26"/>
        <v>23</v>
      </c>
      <c r="C73" s="3">
        <f t="shared" si="27"/>
        <v>1495000</v>
      </c>
      <c r="E73" s="33">
        <v>27</v>
      </c>
      <c r="F73" s="61">
        <f t="shared" si="30"/>
        <v>403650</v>
      </c>
      <c r="G73" s="3">
        <f t="shared" si="31"/>
        <v>1898650</v>
      </c>
    </row>
    <row r="74" spans="1:29">
      <c r="A74">
        <v>2030</v>
      </c>
      <c r="B74" s="3">
        <f t="shared" si="26"/>
        <v>23</v>
      </c>
      <c r="C74" s="3">
        <f t="shared" si="27"/>
        <v>1495000</v>
      </c>
      <c r="E74" s="33">
        <v>27</v>
      </c>
      <c r="F74" s="61">
        <f t="shared" si="30"/>
        <v>403650</v>
      </c>
      <c r="G74" s="3">
        <f t="shared" si="31"/>
        <v>1898650</v>
      </c>
    </row>
    <row r="80" spans="1:29">
      <c r="Z80" s="87" t="s">
        <v>1224</v>
      </c>
      <c r="AA80" s="87"/>
      <c r="AB80" s="87"/>
      <c r="AC80" s="234"/>
    </row>
    <row r="81" spans="1:29">
      <c r="Z81" s="235" t="s">
        <v>1167</v>
      </c>
      <c r="AA81" s="235" t="s">
        <v>1168</v>
      </c>
      <c r="AB81" s="235" t="s">
        <v>1169</v>
      </c>
      <c r="AC81" s="235" t="s">
        <v>1170</v>
      </c>
    </row>
    <row r="82" spans="1:29">
      <c r="B82" t="s">
        <v>980</v>
      </c>
      <c r="C82" t="s">
        <v>980</v>
      </c>
      <c r="D82" t="s">
        <v>980</v>
      </c>
      <c r="E82" t="s">
        <v>980</v>
      </c>
      <c r="F82" t="s">
        <v>980</v>
      </c>
      <c r="K82" t="s">
        <v>812</v>
      </c>
      <c r="L82" t="s">
        <v>812</v>
      </c>
      <c r="M82" t="s">
        <v>812</v>
      </c>
      <c r="N82" t="s">
        <v>812</v>
      </c>
      <c r="O82" t="s">
        <v>812</v>
      </c>
      <c r="U82" t="s">
        <v>1106</v>
      </c>
      <c r="Y82" s="3">
        <v>2010</v>
      </c>
      <c r="Z82" s="13">
        <v>78.384170657432904</v>
      </c>
      <c r="AA82" s="13">
        <f t="shared" ref="AA82:AC82" si="32">Z82</f>
        <v>78.384170657432904</v>
      </c>
      <c r="AB82" s="13">
        <f t="shared" si="32"/>
        <v>78.384170657432904</v>
      </c>
      <c r="AC82" s="13">
        <f t="shared" si="32"/>
        <v>78.384170657432904</v>
      </c>
    </row>
    <row r="83" spans="1:29">
      <c r="B83" t="s">
        <v>978</v>
      </c>
      <c r="C83" t="s">
        <v>979</v>
      </c>
      <c r="D83" t="s">
        <v>916</v>
      </c>
      <c r="E83" t="s">
        <v>981</v>
      </c>
      <c r="F83" t="s">
        <v>983</v>
      </c>
      <c r="K83" t="s">
        <v>725</v>
      </c>
      <c r="L83" t="s">
        <v>979</v>
      </c>
      <c r="M83" t="s">
        <v>916</v>
      </c>
      <c r="N83" t="s">
        <v>985</v>
      </c>
      <c r="O83" t="s">
        <v>983</v>
      </c>
      <c r="S83" t="s">
        <v>997</v>
      </c>
      <c r="U83" t="s">
        <v>934</v>
      </c>
      <c r="V83" t="s">
        <v>986</v>
      </c>
      <c r="W83" t="s">
        <v>987</v>
      </c>
      <c r="Y83" s="3">
        <v>2011</v>
      </c>
      <c r="Z83" s="13">
        <v>90.346681306786266</v>
      </c>
      <c r="AA83" s="13">
        <f t="shared" ref="AA83:AC83" si="33">Z83</f>
        <v>90.346681306786266</v>
      </c>
      <c r="AB83" s="13">
        <f t="shared" si="33"/>
        <v>90.346681306786266</v>
      </c>
      <c r="AC83" s="13">
        <f t="shared" si="33"/>
        <v>90.346681306786266</v>
      </c>
    </row>
    <row r="84" spans="1:29">
      <c r="A84" s="3">
        <v>2012</v>
      </c>
      <c r="B84" s="3">
        <f t="shared" ref="B84:B102" si="34">MIN(J6,J31)</f>
        <v>1691874.0197418598</v>
      </c>
      <c r="C84" s="3">
        <f>B84/5</f>
        <v>338374.80394837196</v>
      </c>
      <c r="D84" s="3">
        <f>B84*0.13</f>
        <v>219943.62256644177</v>
      </c>
      <c r="E84" s="3">
        <v>0</v>
      </c>
      <c r="F84" s="3">
        <f>C84+D84-E84</f>
        <v>558318.42651481368</v>
      </c>
      <c r="G84" s="3"/>
      <c r="H84" s="3"/>
      <c r="I84" s="3">
        <v>2012</v>
      </c>
      <c r="J84" s="3"/>
      <c r="K84" s="3">
        <f>G56</f>
        <v>1432619.5862999998</v>
      </c>
      <c r="L84" s="3">
        <f>K84/5</f>
        <v>286523.91725999996</v>
      </c>
      <c r="M84" s="3">
        <f>K84*0.13</f>
        <v>186240.54621899998</v>
      </c>
      <c r="N84" s="3">
        <f t="shared" ref="N84:N102" si="35">W84/100*V84*U84</f>
        <v>60631.476223816666</v>
      </c>
      <c r="O84" s="3">
        <f>SUM(L84:N84)</f>
        <v>533395.93970281654</v>
      </c>
      <c r="P84" s="3"/>
      <c r="Q84" s="3"/>
      <c r="R84" s="3">
        <v>2012</v>
      </c>
      <c r="S84" s="13">
        <f>O84/F84</f>
        <v>0.95536151839449301</v>
      </c>
      <c r="T84" s="3"/>
      <c r="U84" s="13">
        <f>AB84</f>
        <v>89.725587936057025</v>
      </c>
      <c r="V84" s="12">
        <f>'Country L per 100 km'!K7</f>
        <v>5.8455313698711286</v>
      </c>
      <c r="W84" s="3">
        <f>'Country distance travelled'!K7</f>
        <v>11560</v>
      </c>
      <c r="Y84" s="3">
        <v>2012</v>
      </c>
      <c r="Z84" s="13">
        <v>89.725587936057025</v>
      </c>
      <c r="AA84" s="13">
        <f t="shared" ref="AA84:AC84" si="36">Z84</f>
        <v>89.725587936057025</v>
      </c>
      <c r="AB84" s="13">
        <f t="shared" si="36"/>
        <v>89.725587936057025</v>
      </c>
      <c r="AC84" s="13">
        <f t="shared" si="36"/>
        <v>89.725587936057025</v>
      </c>
    </row>
    <row r="85" spans="1:29">
      <c r="A85" s="3">
        <v>2013</v>
      </c>
      <c r="B85" s="3">
        <f t="shared" si="34"/>
        <v>2299738.3444620376</v>
      </c>
      <c r="C85" s="3">
        <f t="shared" ref="C85:C102" si="37">B85/5</f>
        <v>459947.6688924075</v>
      </c>
      <c r="D85" s="3">
        <f t="shared" ref="D85:D102" si="38">B85*0.13</f>
        <v>298965.9847800649</v>
      </c>
      <c r="E85" s="3">
        <v>0</v>
      </c>
      <c r="F85" s="3">
        <f t="shared" ref="F85:F102" si="39">C85+D85-E85</f>
        <v>758913.65367247234</v>
      </c>
      <c r="G85" s="3"/>
      <c r="H85" s="3"/>
      <c r="I85" s="3">
        <v>2013</v>
      </c>
      <c r="J85" s="3"/>
      <c r="K85" s="3">
        <f t="shared" ref="K85:K102" si="40">G57</f>
        <v>1615011.24</v>
      </c>
      <c r="L85" s="3">
        <f t="shared" ref="L85:L102" si="41">K85/5</f>
        <v>323002.24800000002</v>
      </c>
      <c r="M85" s="3">
        <f t="shared" ref="M85:M102" si="42">K85*0.13</f>
        <v>209951.46120000002</v>
      </c>
      <c r="N85" s="3">
        <f t="shared" si="35"/>
        <v>55765.496515122126</v>
      </c>
      <c r="O85" s="3">
        <f t="shared" ref="O85:O101" si="43">SUM(L85:N85)</f>
        <v>588719.20571512217</v>
      </c>
      <c r="P85" s="3"/>
      <c r="Q85" s="3"/>
      <c r="R85" s="3">
        <v>2013</v>
      </c>
      <c r="S85" s="13">
        <f t="shared" ref="S85:S102" si="44">O85/F85</f>
        <v>0.77573937807844251</v>
      </c>
      <c r="T85" s="3"/>
      <c r="U85" s="13">
        <f t="shared" ref="U85:U102" si="45">AB85</f>
        <v>83.172498083644754</v>
      </c>
      <c r="V85" s="12">
        <f>'Country L per 100 km'!K8</f>
        <v>5.8</v>
      </c>
      <c r="W85" s="3">
        <f>'Country distance travelled'!K8</f>
        <v>11560</v>
      </c>
      <c r="Y85" s="3">
        <v>2013</v>
      </c>
      <c r="Z85" s="13">
        <v>83.172498083644754</v>
      </c>
      <c r="AA85" s="13">
        <f t="shared" ref="AA85:AC85" si="46">Z85</f>
        <v>83.172498083644754</v>
      </c>
      <c r="AB85" s="13">
        <f t="shared" si="46"/>
        <v>83.172498083644754</v>
      </c>
      <c r="AC85" s="13">
        <f t="shared" si="46"/>
        <v>83.172498083644754</v>
      </c>
    </row>
    <row r="86" spans="1:29">
      <c r="A86" s="3">
        <v>2014</v>
      </c>
      <c r="B86" s="3">
        <f t="shared" si="34"/>
        <v>2402593.091663376</v>
      </c>
      <c r="C86" s="3">
        <f t="shared" si="37"/>
        <v>480518.61833267519</v>
      </c>
      <c r="D86" s="3">
        <f t="shared" si="38"/>
        <v>312337.1019162389</v>
      </c>
      <c r="E86" s="3">
        <v>0</v>
      </c>
      <c r="F86" s="3">
        <f t="shared" si="39"/>
        <v>792855.72024891409</v>
      </c>
      <c r="G86" s="3"/>
      <c r="H86" s="3"/>
      <c r="I86" s="3">
        <v>2014</v>
      </c>
      <c r="J86" s="3"/>
      <c r="K86" s="3">
        <f t="shared" si="40"/>
        <v>1683470.2800000003</v>
      </c>
      <c r="L86" s="3">
        <f t="shared" si="41"/>
        <v>336694.05600000004</v>
      </c>
      <c r="M86" s="3">
        <f t="shared" si="42"/>
        <v>218851.13640000005</v>
      </c>
      <c r="N86" s="3">
        <f t="shared" si="35"/>
        <v>52208.647903493831</v>
      </c>
      <c r="O86" s="3">
        <f t="shared" si="43"/>
        <v>607753.8403034939</v>
      </c>
      <c r="P86" s="3"/>
      <c r="Q86" s="3"/>
      <c r="R86" s="3">
        <v>2014</v>
      </c>
      <c r="S86" s="13">
        <f t="shared" si="44"/>
        <v>0.76653775054141227</v>
      </c>
      <c r="T86" s="3"/>
      <c r="U86" s="13">
        <f t="shared" si="45"/>
        <v>78.801980190812202</v>
      </c>
      <c r="V86" s="12">
        <f>'Country L per 100 km'!K9</f>
        <v>5.7312252964426875</v>
      </c>
      <c r="W86" s="3">
        <f>'Country distance travelled'!K9</f>
        <v>11560</v>
      </c>
      <c r="Y86" s="3">
        <v>2014</v>
      </c>
      <c r="Z86" s="13">
        <v>78.801980190812202</v>
      </c>
      <c r="AA86" s="13">
        <f t="shared" ref="AA86:AC86" si="47">Z86</f>
        <v>78.801980190812202</v>
      </c>
      <c r="AB86" s="13">
        <f t="shared" si="47"/>
        <v>78.801980190812202</v>
      </c>
      <c r="AC86" s="13">
        <f t="shared" si="47"/>
        <v>78.801980190812202</v>
      </c>
    </row>
    <row r="87" spans="1:29">
      <c r="A87" s="3">
        <v>2015</v>
      </c>
      <c r="B87" s="3">
        <f t="shared" si="34"/>
        <v>2345300.4299529907</v>
      </c>
      <c r="C87" s="3">
        <f t="shared" si="37"/>
        <v>469060.08599059813</v>
      </c>
      <c r="D87" s="3">
        <f t="shared" si="38"/>
        <v>304889.05589388881</v>
      </c>
      <c r="E87" s="3">
        <v>0</v>
      </c>
      <c r="F87" s="3">
        <f t="shared" si="39"/>
        <v>773949.14188448689</v>
      </c>
      <c r="G87" s="3"/>
      <c r="H87" s="3"/>
      <c r="I87" s="3">
        <v>2015</v>
      </c>
      <c r="J87" s="3"/>
      <c r="K87" s="3">
        <f t="shared" si="40"/>
        <v>1843084.875</v>
      </c>
      <c r="L87" s="3">
        <f t="shared" si="41"/>
        <v>368616.97499999998</v>
      </c>
      <c r="M87" s="3">
        <f t="shared" si="42"/>
        <v>239601.03375</v>
      </c>
      <c r="N87" s="3">
        <f t="shared" si="35"/>
        <v>43611.187649086605</v>
      </c>
      <c r="O87" s="3">
        <f t="shared" si="43"/>
        <v>651829.19639908662</v>
      </c>
      <c r="P87" s="3"/>
      <c r="Q87" s="3"/>
      <c r="R87" s="3">
        <v>2015</v>
      </c>
      <c r="S87" s="13">
        <f t="shared" si="44"/>
        <v>0.84221192469048978</v>
      </c>
      <c r="T87" s="3"/>
      <c r="U87" s="13">
        <f t="shared" si="45"/>
        <v>66.549340236524998</v>
      </c>
      <c r="V87" s="12">
        <f>'Country L per 100 km'!K10</f>
        <v>5.668867751179711</v>
      </c>
      <c r="W87" s="3">
        <f>'Country distance travelled'!K10</f>
        <v>11560</v>
      </c>
      <c r="Y87" s="3">
        <v>2015</v>
      </c>
      <c r="Z87" s="13">
        <v>66.549340236524998</v>
      </c>
      <c r="AA87" s="13">
        <f t="shared" ref="AA87:AC87" si="48">Z87</f>
        <v>66.549340236524998</v>
      </c>
      <c r="AB87" s="13">
        <f t="shared" si="48"/>
        <v>66.549340236524998</v>
      </c>
      <c r="AC87" s="13">
        <f t="shared" si="48"/>
        <v>66.549340236524998</v>
      </c>
    </row>
    <row r="88" spans="1:29">
      <c r="A88" s="3">
        <v>2016</v>
      </c>
      <c r="B88" s="3">
        <f t="shared" si="34"/>
        <v>2512346.9352733344</v>
      </c>
      <c r="C88" s="3">
        <f t="shared" si="37"/>
        <v>502469.38705466688</v>
      </c>
      <c r="D88" s="3">
        <f t="shared" si="38"/>
        <v>326605.10158553347</v>
      </c>
      <c r="E88" s="3">
        <v>0</v>
      </c>
      <c r="F88" s="3">
        <f t="shared" si="39"/>
        <v>829074.48864020035</v>
      </c>
      <c r="G88" s="3"/>
      <c r="H88" s="3"/>
      <c r="I88" s="3">
        <v>2016</v>
      </c>
      <c r="J88" s="3"/>
      <c r="K88" s="3">
        <f t="shared" si="40"/>
        <v>1961661.8120000002</v>
      </c>
      <c r="L88" s="3">
        <f t="shared" si="41"/>
        <v>392332.36240000004</v>
      </c>
      <c r="M88" s="3">
        <f t="shared" si="42"/>
        <v>255016.03556000002</v>
      </c>
      <c r="N88" s="3">
        <f t="shared" si="35"/>
        <v>43445.162741019296</v>
      </c>
      <c r="O88" s="3">
        <f t="shared" si="43"/>
        <v>690793.56070101936</v>
      </c>
      <c r="P88" s="3"/>
      <c r="Q88" s="3"/>
      <c r="R88" s="3">
        <v>2016</v>
      </c>
      <c r="S88" s="13">
        <f t="shared" si="44"/>
        <v>0.83321048972815304</v>
      </c>
      <c r="T88" s="3"/>
      <c r="U88" s="13">
        <f t="shared" si="45"/>
        <v>64.503789666666663</v>
      </c>
      <c r="V88" s="12">
        <f>'Country L per 100 km'!K11</f>
        <v>5.612740347702684</v>
      </c>
      <c r="W88" s="3">
        <f>'Country distance travelled'!K11</f>
        <v>12000</v>
      </c>
      <c r="Y88" s="3">
        <v>2016</v>
      </c>
      <c r="Z88" s="13">
        <v>64.503789666666663</v>
      </c>
      <c r="AA88" s="13">
        <f t="shared" ref="AA88:AC88" si="49">Z88</f>
        <v>64.503789666666663</v>
      </c>
      <c r="AB88" s="13">
        <f t="shared" si="49"/>
        <v>64.503789666666663</v>
      </c>
      <c r="AC88" s="13">
        <f t="shared" si="49"/>
        <v>64.503789666666663</v>
      </c>
    </row>
    <row r="89" spans="1:29">
      <c r="A89" s="3">
        <v>2017</v>
      </c>
      <c r="B89" s="3">
        <f t="shared" si="34"/>
        <v>2435970.4406134151</v>
      </c>
      <c r="C89" s="3">
        <f t="shared" si="37"/>
        <v>487194.088122683</v>
      </c>
      <c r="D89" s="3">
        <f t="shared" si="38"/>
        <v>316676.15727974399</v>
      </c>
      <c r="E89" s="3">
        <v>0</v>
      </c>
      <c r="F89" s="3">
        <f t="shared" si="39"/>
        <v>803870.24540242692</v>
      </c>
      <c r="G89" s="3"/>
      <c r="H89" s="3"/>
      <c r="I89" s="3">
        <v>2017</v>
      </c>
      <c r="J89" s="3"/>
      <c r="K89" s="3">
        <f t="shared" si="40"/>
        <v>1900574.939</v>
      </c>
      <c r="L89" s="3">
        <f t="shared" si="41"/>
        <v>380114.9878</v>
      </c>
      <c r="M89" s="3">
        <f t="shared" si="42"/>
        <v>247074.74207000001</v>
      </c>
      <c r="N89" s="3">
        <f t="shared" si="35"/>
        <v>45627.133291893952</v>
      </c>
      <c r="O89" s="3">
        <f t="shared" si="43"/>
        <v>672816.86316189403</v>
      </c>
      <c r="P89" s="3"/>
      <c r="Q89" s="3"/>
      <c r="R89" s="3">
        <v>2017</v>
      </c>
      <c r="S89" s="13">
        <f t="shared" si="44"/>
        <v>0.83697197030233894</v>
      </c>
      <c r="T89" s="3"/>
      <c r="U89" s="13">
        <f t="shared" si="45"/>
        <v>68.420833333333334</v>
      </c>
      <c r="V89" s="12">
        <f>'Country L per 100 km'!K12</f>
        <v>5.557168661091767</v>
      </c>
      <c r="W89" s="3">
        <f>'Country distance travelled'!K12</f>
        <v>12000</v>
      </c>
      <c r="Y89" s="3">
        <v>2017</v>
      </c>
      <c r="Z89" s="13">
        <v>68.420833333333334</v>
      </c>
      <c r="AA89" s="13">
        <f t="shared" ref="AA89:AC89" si="50">Z89</f>
        <v>68.420833333333334</v>
      </c>
      <c r="AB89" s="13">
        <f t="shared" si="50"/>
        <v>68.420833333333334</v>
      </c>
      <c r="AC89" s="13">
        <f t="shared" si="50"/>
        <v>68.420833333333334</v>
      </c>
    </row>
    <row r="90" spans="1:29">
      <c r="A90" s="3">
        <v>2018</v>
      </c>
      <c r="B90" s="3">
        <f t="shared" si="34"/>
        <v>2489904.5361726456</v>
      </c>
      <c r="C90" s="3">
        <f t="shared" si="37"/>
        <v>497980.90723452915</v>
      </c>
      <c r="D90" s="3">
        <f t="shared" si="38"/>
        <v>323687.58970244392</v>
      </c>
      <c r="E90" s="3">
        <v>0</v>
      </c>
      <c r="F90" s="3">
        <f t="shared" si="39"/>
        <v>821668.49693697307</v>
      </c>
      <c r="G90" s="3"/>
      <c r="H90" s="3"/>
      <c r="I90" s="3">
        <v>2018</v>
      </c>
      <c r="J90" s="3"/>
      <c r="K90" s="3">
        <f t="shared" si="40"/>
        <v>1898650</v>
      </c>
      <c r="L90" s="3">
        <f t="shared" si="41"/>
        <v>379730</v>
      </c>
      <c r="M90" s="3">
        <f t="shared" si="42"/>
        <v>246824.5</v>
      </c>
      <c r="N90" s="3">
        <f t="shared" si="35"/>
        <v>49034.537793656709</v>
      </c>
      <c r="O90" s="3">
        <f t="shared" si="43"/>
        <v>675589.03779365669</v>
      </c>
      <c r="P90" s="3"/>
      <c r="Q90" s="3"/>
      <c r="R90" s="3">
        <v>2018</v>
      </c>
      <c r="S90" s="13">
        <f t="shared" si="44"/>
        <v>0.82221606440082184</v>
      </c>
      <c r="T90" s="3"/>
      <c r="U90" s="13">
        <f t="shared" si="45"/>
        <v>74.265761025542901</v>
      </c>
      <c r="V90" s="12">
        <f>'Country L per 100 km'!K13</f>
        <v>5.5021471891997686</v>
      </c>
      <c r="W90" s="3">
        <f>'Country distance travelled'!K13</f>
        <v>12000</v>
      </c>
      <c r="Y90" s="3">
        <v>2018</v>
      </c>
      <c r="Z90" s="13">
        <v>74.265761025542901</v>
      </c>
      <c r="AA90" s="13">
        <f>Z90</f>
        <v>74.265761025542901</v>
      </c>
      <c r="AB90" s="13">
        <f t="shared" ref="AB90:AC90" si="51">AA90</f>
        <v>74.265761025542901</v>
      </c>
      <c r="AC90" s="13">
        <f t="shared" si="51"/>
        <v>74.265761025542901</v>
      </c>
    </row>
    <row r="91" spans="1:29">
      <c r="A91" s="3">
        <v>2019</v>
      </c>
      <c r="B91" s="3">
        <f t="shared" si="34"/>
        <v>2541412.9905669009</v>
      </c>
      <c r="C91" s="3">
        <f t="shared" si="37"/>
        <v>508282.5981133802</v>
      </c>
      <c r="D91" s="3">
        <f t="shared" si="38"/>
        <v>330383.68877369713</v>
      </c>
      <c r="E91" s="3">
        <v>0</v>
      </c>
      <c r="F91" s="3">
        <f t="shared" si="39"/>
        <v>838666.28688707738</v>
      </c>
      <c r="G91" s="3"/>
      <c r="H91" s="3"/>
      <c r="I91" s="3">
        <v>2019</v>
      </c>
      <c r="J91" s="3"/>
      <c r="K91" s="3">
        <f t="shared" si="40"/>
        <v>1898650</v>
      </c>
      <c r="L91" s="3">
        <f t="shared" si="41"/>
        <v>379730</v>
      </c>
      <c r="M91" s="3">
        <f t="shared" si="42"/>
        <v>246824.5</v>
      </c>
      <c r="N91" s="3">
        <f t="shared" si="35"/>
        <v>47774.520462155568</v>
      </c>
      <c r="O91" s="3">
        <f t="shared" si="43"/>
        <v>674329.02046215557</v>
      </c>
      <c r="P91" s="3"/>
      <c r="Q91" s="3"/>
      <c r="R91" s="3">
        <v>2019</v>
      </c>
      <c r="S91" s="13">
        <f t="shared" si="44"/>
        <v>0.80404927562439499</v>
      </c>
      <c r="T91" s="3"/>
      <c r="U91" s="13">
        <f t="shared" si="45"/>
        <v>73.080962770152837</v>
      </c>
      <c r="V91" s="12">
        <f>'Country L per 100 km'!K14</f>
        <v>5.4476704843562063</v>
      </c>
      <c r="W91" s="3">
        <f>'Country distance travelled'!K14</f>
        <v>12000</v>
      </c>
      <c r="Y91" s="3">
        <v>2019</v>
      </c>
      <c r="Z91" s="13"/>
      <c r="AA91" s="13">
        <v>94.472174795504259</v>
      </c>
      <c r="AB91" s="13">
        <v>73.080962770152837</v>
      </c>
      <c r="AC91" s="13">
        <v>54.44853568082128</v>
      </c>
    </row>
    <row r="92" spans="1:29">
      <c r="A92" s="3">
        <v>2020</v>
      </c>
      <c r="B92" s="3">
        <f t="shared" si="34"/>
        <v>2529437.9684069557</v>
      </c>
      <c r="C92" s="3">
        <f t="shared" si="37"/>
        <v>505887.59368139115</v>
      </c>
      <c r="D92" s="3">
        <f t="shared" si="38"/>
        <v>328826.93589290424</v>
      </c>
      <c r="E92" s="3">
        <v>0</v>
      </c>
      <c r="F92" s="3">
        <f t="shared" si="39"/>
        <v>834714.52957429539</v>
      </c>
      <c r="G92" s="3"/>
      <c r="H92" s="3"/>
      <c r="I92" s="3">
        <v>2020</v>
      </c>
      <c r="J92" s="3"/>
      <c r="K92" s="3">
        <f t="shared" si="40"/>
        <v>1898650</v>
      </c>
      <c r="L92" s="3">
        <f t="shared" si="41"/>
        <v>379730</v>
      </c>
      <c r="M92" s="3">
        <f t="shared" si="42"/>
        <v>246824.5</v>
      </c>
      <c r="N92" s="3">
        <f t="shared" si="35"/>
        <v>47394.300888870974</v>
      </c>
      <c r="O92" s="3">
        <f t="shared" si="43"/>
        <v>673948.80088887096</v>
      </c>
      <c r="P92" s="3"/>
      <c r="Q92" s="3"/>
      <c r="R92" s="3">
        <v>2020</v>
      </c>
      <c r="S92" s="13">
        <f t="shared" si="44"/>
        <v>0.80740034707744335</v>
      </c>
      <c r="T92" s="3"/>
      <c r="U92" s="13">
        <f t="shared" si="45"/>
        <v>73.224332056580337</v>
      </c>
      <c r="V92" s="12">
        <f>'Country L per 100 km'!K15</f>
        <v>5.3937331528279273</v>
      </c>
      <c r="W92" s="3">
        <f>'Country distance travelled'!K15</f>
        <v>12000</v>
      </c>
      <c r="Y92" s="3">
        <v>2020</v>
      </c>
      <c r="Z92" s="13"/>
      <c r="AA92" s="13">
        <v>103.54419966149908</v>
      </c>
      <c r="AB92" s="13">
        <v>73.224332056580337</v>
      </c>
      <c r="AC92" s="13">
        <v>54.982184202350361</v>
      </c>
    </row>
    <row r="93" spans="1:29">
      <c r="A93" s="3">
        <v>2021</v>
      </c>
      <c r="B93" s="3">
        <f t="shared" si="34"/>
        <v>2468500.5270247036</v>
      </c>
      <c r="C93" s="3">
        <f t="shared" si="37"/>
        <v>493700.10540494072</v>
      </c>
      <c r="D93" s="3">
        <f t="shared" si="38"/>
        <v>320905.0685132115</v>
      </c>
      <c r="E93" s="3">
        <v>0</v>
      </c>
      <c r="F93" s="3">
        <f t="shared" si="39"/>
        <v>814605.17391815223</v>
      </c>
      <c r="G93" s="3"/>
      <c r="H93" s="3"/>
      <c r="I93" s="3">
        <v>2021</v>
      </c>
      <c r="J93" s="3"/>
      <c r="K93" s="3">
        <f t="shared" si="40"/>
        <v>1898650</v>
      </c>
      <c r="L93" s="3">
        <f t="shared" si="41"/>
        <v>379730</v>
      </c>
      <c r="M93" s="3">
        <f t="shared" si="42"/>
        <v>246824.5</v>
      </c>
      <c r="N93" s="3">
        <f t="shared" si="35"/>
        <v>49631.948941919385</v>
      </c>
      <c r="O93" s="3">
        <f t="shared" si="43"/>
        <v>676186.44894191937</v>
      </c>
      <c r="P93" s="3"/>
      <c r="Q93" s="3"/>
      <c r="R93" s="3">
        <v>2021</v>
      </c>
      <c r="S93" s="13">
        <f t="shared" si="44"/>
        <v>0.83007875544117216</v>
      </c>
      <c r="T93" s="3"/>
      <c r="U93" s="13">
        <f t="shared" si="45"/>
        <v>77.448319823188996</v>
      </c>
      <c r="V93" s="12">
        <f>'Country L per 100 km'!K16</f>
        <v>5.3403298542850761</v>
      </c>
      <c r="W93" s="3">
        <f>'Country distance travelled'!K16</f>
        <v>12000</v>
      </c>
      <c r="Y93" s="3">
        <v>2021</v>
      </c>
      <c r="Z93" s="13"/>
      <c r="AA93" s="13">
        <v>113.14987304902296</v>
      </c>
      <c r="AB93" s="13">
        <v>77.448319823188996</v>
      </c>
      <c r="AC93" s="13">
        <v>56.0494812454086</v>
      </c>
    </row>
    <row r="94" spans="1:29">
      <c r="A94" s="3">
        <v>2022</v>
      </c>
      <c r="B94" s="3">
        <f t="shared" si="34"/>
        <v>2507774.1493567256</v>
      </c>
      <c r="C94" s="3">
        <f t="shared" si="37"/>
        <v>501554.82987134514</v>
      </c>
      <c r="D94" s="3">
        <f t="shared" si="38"/>
        <v>326010.63941637432</v>
      </c>
      <c r="E94" s="3">
        <v>0</v>
      </c>
      <c r="F94" s="3">
        <f t="shared" si="39"/>
        <v>827565.46928771946</v>
      </c>
      <c r="G94" s="3"/>
      <c r="H94" s="3"/>
      <c r="I94" s="3">
        <v>2022</v>
      </c>
      <c r="J94" s="3"/>
      <c r="K94" s="3">
        <f t="shared" si="40"/>
        <v>1898650</v>
      </c>
      <c r="L94" s="3">
        <f t="shared" si="41"/>
        <v>379730</v>
      </c>
      <c r="M94" s="3">
        <f t="shared" si="42"/>
        <v>246824.5</v>
      </c>
      <c r="N94" s="3">
        <f t="shared" si="35"/>
        <v>51136.060440167457</v>
      </c>
      <c r="O94" s="3">
        <f t="shared" si="43"/>
        <v>677690.56044016744</v>
      </c>
      <c r="P94" s="3"/>
      <c r="Q94" s="3"/>
      <c r="R94" s="3">
        <v>2022</v>
      </c>
      <c r="S94" s="13">
        <f t="shared" si="44"/>
        <v>0.81889661373069556</v>
      </c>
      <c r="T94" s="3"/>
      <c r="U94" s="13">
        <f t="shared" si="45"/>
        <v>80.593369157910871</v>
      </c>
      <c r="V94" s="12">
        <f>'Country L per 100 km'!K17</f>
        <v>5.2874553012723524</v>
      </c>
      <c r="W94" s="3">
        <f>'Country distance travelled'!K17</f>
        <v>12000</v>
      </c>
      <c r="Y94" s="3">
        <v>2022</v>
      </c>
      <c r="Z94" s="13"/>
      <c r="AA94" s="13">
        <v>117.41906122125584</v>
      </c>
      <c r="AB94" s="13">
        <v>80.593369157910871</v>
      </c>
      <c r="AC94" s="13">
        <v>56.583129766937702</v>
      </c>
    </row>
    <row r="95" spans="1:29">
      <c r="A95" s="3">
        <v>2023</v>
      </c>
      <c r="B95" s="3">
        <f t="shared" si="34"/>
        <v>2487807.7268979973</v>
      </c>
      <c r="C95" s="3">
        <f t="shared" si="37"/>
        <v>497561.54537959944</v>
      </c>
      <c r="D95" s="3">
        <f t="shared" si="38"/>
        <v>323415.00449673965</v>
      </c>
      <c r="E95" s="3">
        <v>0</v>
      </c>
      <c r="F95" s="3">
        <f t="shared" si="39"/>
        <v>820976.54987633904</v>
      </c>
      <c r="G95" s="3"/>
      <c r="H95" s="3"/>
      <c r="I95" s="3">
        <v>2023</v>
      </c>
      <c r="J95" s="3"/>
      <c r="K95" s="3">
        <f t="shared" si="40"/>
        <v>1898650</v>
      </c>
      <c r="L95" s="3">
        <f t="shared" si="41"/>
        <v>379730</v>
      </c>
      <c r="M95" s="3">
        <f t="shared" si="42"/>
        <v>246824.5</v>
      </c>
      <c r="N95" s="3">
        <f t="shared" si="35"/>
        <v>51538.940621567701</v>
      </c>
      <c r="O95" s="3">
        <f t="shared" si="43"/>
        <v>678093.44062156766</v>
      </c>
      <c r="P95" s="3"/>
      <c r="Q95" s="3"/>
      <c r="R95" s="3">
        <v>2023</v>
      </c>
      <c r="S95" s="13">
        <f t="shared" si="44"/>
        <v>0.82595957305200329</v>
      </c>
      <c r="T95" s="3"/>
      <c r="U95" s="13">
        <f t="shared" si="45"/>
        <v>82.040614785051133</v>
      </c>
      <c r="V95" s="12">
        <f>'Country L per 100 km'!K18</f>
        <v>5.2351042586854968</v>
      </c>
      <c r="W95" s="3">
        <f>'Country distance travelled'!K18</f>
        <v>12000</v>
      </c>
      <c r="Y95" s="3">
        <v>2023</v>
      </c>
      <c r="Z95" s="13"/>
      <c r="AA95" s="13">
        <v>120.62095235043046</v>
      </c>
      <c r="AB95" s="13">
        <v>82.040614785051133</v>
      </c>
      <c r="AC95" s="13">
        <v>56.583129766937702</v>
      </c>
    </row>
    <row r="96" spans="1:29">
      <c r="A96" s="3">
        <v>2024</v>
      </c>
      <c r="B96" s="3">
        <f t="shared" si="34"/>
        <v>2401310.4745865134</v>
      </c>
      <c r="C96" s="3">
        <f t="shared" si="37"/>
        <v>480262.09491730266</v>
      </c>
      <c r="D96" s="3">
        <f t="shared" si="38"/>
        <v>312170.36169624672</v>
      </c>
      <c r="E96" s="3">
        <v>0</v>
      </c>
      <c r="F96" s="3">
        <f t="shared" si="39"/>
        <v>792432.45661354938</v>
      </c>
      <c r="G96" s="3"/>
      <c r="H96" s="3"/>
      <c r="I96" s="3">
        <v>2024</v>
      </c>
      <c r="J96" s="3"/>
      <c r="K96" s="3">
        <f t="shared" si="40"/>
        <v>1898650</v>
      </c>
      <c r="L96" s="3">
        <f t="shared" si="41"/>
        <v>379730</v>
      </c>
      <c r="M96" s="3">
        <f t="shared" si="42"/>
        <v>246824.5</v>
      </c>
      <c r="N96" s="3">
        <f t="shared" si="35"/>
        <v>51266.649367909667</v>
      </c>
      <c r="O96" s="3">
        <f t="shared" si="43"/>
        <v>677821.14936790965</v>
      </c>
      <c r="P96" s="3"/>
      <c r="Q96" s="3"/>
      <c r="R96" s="3">
        <v>2024</v>
      </c>
      <c r="S96" s="13">
        <f t="shared" si="44"/>
        <v>0.85536772719352039</v>
      </c>
      <c r="T96" s="3"/>
      <c r="U96" s="13">
        <f t="shared" si="45"/>
        <v>82.423248425413149</v>
      </c>
      <c r="V96" s="12">
        <f>'Country L per 100 km'!K19</f>
        <v>5.1832715432529675</v>
      </c>
      <c r="W96" s="3">
        <f>'Country distance travelled'!K19</f>
        <v>12000</v>
      </c>
      <c r="Y96" s="3">
        <v>2024</v>
      </c>
      <c r="Z96" s="13"/>
      <c r="AA96" s="13">
        <v>123.28919495807602</v>
      </c>
      <c r="AB96" s="13">
        <v>82.423248425413149</v>
      </c>
      <c r="AC96" s="13">
        <v>56.583129766937702</v>
      </c>
    </row>
    <row r="97" spans="1:29">
      <c r="A97" s="3">
        <v>2025</v>
      </c>
      <c r="B97" s="3">
        <f t="shared" si="34"/>
        <v>2327419.9123960575</v>
      </c>
      <c r="C97" s="3">
        <f t="shared" si="37"/>
        <v>465483.98247921153</v>
      </c>
      <c r="D97" s="3">
        <f t="shared" si="38"/>
        <v>302564.58861148747</v>
      </c>
      <c r="E97" s="3">
        <v>0</v>
      </c>
      <c r="F97" s="3">
        <f t="shared" si="39"/>
        <v>768048.57109069894</v>
      </c>
      <c r="G97" s="3"/>
      <c r="H97" s="3"/>
      <c r="I97" s="3">
        <v>2025</v>
      </c>
      <c r="J97" s="3"/>
      <c r="K97" s="3">
        <f t="shared" si="40"/>
        <v>1898650</v>
      </c>
      <c r="L97" s="3">
        <f t="shared" si="41"/>
        <v>379730</v>
      </c>
      <c r="M97" s="3">
        <f t="shared" si="42"/>
        <v>246824.5</v>
      </c>
      <c r="N97" s="3">
        <f t="shared" si="35"/>
        <v>51992.021133040696</v>
      </c>
      <c r="O97" s="3">
        <f t="shared" si="43"/>
        <v>678546.52113304066</v>
      </c>
      <c r="P97" s="3"/>
      <c r="Q97" s="3"/>
      <c r="R97" s="3">
        <v>2025</v>
      </c>
      <c r="S97" s="13">
        <f t="shared" si="44"/>
        <v>0.88346824233972965</v>
      </c>
      <c r="T97" s="3"/>
      <c r="U97" s="13">
        <f t="shared" si="45"/>
        <v>84.425349424865274</v>
      </c>
      <c r="V97" s="12">
        <f>'Country L per 100 km'!K20</f>
        <v>5.1319520230227402</v>
      </c>
      <c r="W97" s="3">
        <f>'Country distance travelled'!K20</f>
        <v>12000</v>
      </c>
      <c r="Y97" s="3">
        <v>2025</v>
      </c>
      <c r="Z97" s="13"/>
      <c r="AA97" s="13">
        <v>125.95743756572152</v>
      </c>
      <c r="AB97" s="13">
        <v>84.425349424865274</v>
      </c>
      <c r="AC97" s="13">
        <v>57.116778288466804</v>
      </c>
    </row>
    <row r="98" spans="1:29">
      <c r="A98" s="3">
        <v>2026</v>
      </c>
      <c r="B98" s="3">
        <f t="shared" si="34"/>
        <v>2286570.5130988108</v>
      </c>
      <c r="C98" s="3">
        <f t="shared" si="37"/>
        <v>457314.10261976218</v>
      </c>
      <c r="D98" s="3">
        <f t="shared" si="38"/>
        <v>297254.16670284542</v>
      </c>
      <c r="E98" s="3">
        <v>0</v>
      </c>
      <c r="F98" s="3">
        <f t="shared" si="39"/>
        <v>754568.26932260767</v>
      </c>
      <c r="G98" s="3"/>
      <c r="H98" s="3"/>
      <c r="I98" s="3">
        <v>2026</v>
      </c>
      <c r="J98" s="3"/>
      <c r="K98" s="3">
        <f t="shared" si="40"/>
        <v>1898650</v>
      </c>
      <c r="L98" s="3">
        <f t="shared" si="41"/>
        <v>379730</v>
      </c>
      <c r="M98" s="3">
        <f t="shared" si="42"/>
        <v>246824.5</v>
      </c>
      <c r="N98" s="3">
        <f t="shared" si="35"/>
        <v>53622.867453129184</v>
      </c>
      <c r="O98" s="3">
        <f t="shared" si="43"/>
        <v>680177.36745312915</v>
      </c>
      <c r="P98" s="3"/>
      <c r="Q98" s="3"/>
      <c r="R98" s="3">
        <v>2026</v>
      </c>
      <c r="S98" s="13">
        <f t="shared" si="44"/>
        <v>0.90141262905706221</v>
      </c>
      <c r="T98" s="3"/>
      <c r="U98" s="13">
        <f t="shared" si="45"/>
        <v>87.944275207390689</v>
      </c>
      <c r="V98" s="12">
        <f>'Country L per 100 km'!K21</f>
        <v>5.0811406168541984</v>
      </c>
      <c r="W98" s="3">
        <f>'Country distance travelled'!K21</f>
        <v>12000</v>
      </c>
      <c r="Y98" s="3">
        <v>2026</v>
      </c>
      <c r="Z98" s="13"/>
      <c r="AA98" s="13">
        <v>128.62568017336707</v>
      </c>
      <c r="AB98" s="13">
        <v>87.944275207390689</v>
      </c>
      <c r="AC98" s="13">
        <v>57.650426809995913</v>
      </c>
    </row>
    <row r="99" spans="1:29">
      <c r="A99" s="3">
        <v>2027</v>
      </c>
      <c r="B99" s="3">
        <f t="shared" si="34"/>
        <v>2245648.3902597497</v>
      </c>
      <c r="C99" s="3">
        <f t="shared" si="37"/>
        <v>449129.67805194994</v>
      </c>
      <c r="D99" s="3">
        <f t="shared" si="38"/>
        <v>291934.2907337675</v>
      </c>
      <c r="E99" s="3">
        <v>0</v>
      </c>
      <c r="F99" s="3">
        <f t="shared" si="39"/>
        <v>741063.96878571738</v>
      </c>
      <c r="G99" s="3"/>
      <c r="H99" s="3"/>
      <c r="I99" s="3">
        <v>2027</v>
      </c>
      <c r="J99" s="3"/>
      <c r="K99" s="3">
        <f t="shared" si="40"/>
        <v>1898650</v>
      </c>
      <c r="L99" s="3">
        <f t="shared" si="41"/>
        <v>379730</v>
      </c>
      <c r="M99" s="3">
        <f t="shared" si="42"/>
        <v>246824.5</v>
      </c>
      <c r="N99" s="3">
        <f t="shared" si="35"/>
        <v>54186.79712429388</v>
      </c>
      <c r="O99" s="3">
        <f t="shared" si="43"/>
        <v>680741.29712429387</v>
      </c>
      <c r="P99" s="3"/>
      <c r="Q99" s="3"/>
      <c r="R99" s="3">
        <v>2027</v>
      </c>
      <c r="S99" s="13">
        <f t="shared" si="44"/>
        <v>0.91859991282498021</v>
      </c>
      <c r="T99" s="3"/>
      <c r="U99" s="13">
        <f t="shared" si="45"/>
        <v>89.757840516492891</v>
      </c>
      <c r="V99" s="12">
        <f>'Country L per 100 km'!K22</f>
        <v>5.0308322939150489</v>
      </c>
      <c r="W99" s="3">
        <f>'Country distance travelled'!K22</f>
        <v>12000</v>
      </c>
      <c r="Y99" s="3">
        <v>2027</v>
      </c>
      <c r="Z99" s="13"/>
      <c r="AA99" s="13">
        <v>131.29392278101261</v>
      </c>
      <c r="AB99" s="13">
        <v>89.757840516492891</v>
      </c>
      <c r="AC99" s="13">
        <v>58.184075331525015</v>
      </c>
    </row>
    <row r="100" spans="1:29">
      <c r="A100" s="3">
        <v>2028</v>
      </c>
      <c r="B100" s="3">
        <f t="shared" si="34"/>
        <v>2199174.9673251514</v>
      </c>
      <c r="C100" s="3">
        <f t="shared" si="37"/>
        <v>439834.99346503027</v>
      </c>
      <c r="D100" s="3">
        <f t="shared" si="38"/>
        <v>285892.74575226969</v>
      </c>
      <c r="E100" s="3">
        <v>0</v>
      </c>
      <c r="F100" s="3">
        <f t="shared" si="39"/>
        <v>725727.73921729997</v>
      </c>
      <c r="G100" s="3"/>
      <c r="H100" s="3"/>
      <c r="I100" s="3">
        <v>2028</v>
      </c>
      <c r="J100" s="3"/>
      <c r="K100" s="3">
        <f t="shared" si="40"/>
        <v>1898650</v>
      </c>
      <c r="L100" s="3">
        <f t="shared" si="41"/>
        <v>379730</v>
      </c>
      <c r="M100" s="3">
        <f t="shared" si="42"/>
        <v>246824.5</v>
      </c>
      <c r="N100" s="3">
        <f t="shared" si="35"/>
        <v>54336.498963557031</v>
      </c>
      <c r="O100" s="3">
        <f t="shared" si="43"/>
        <v>680890.99896355707</v>
      </c>
      <c r="P100" s="3"/>
      <c r="Q100" s="3"/>
      <c r="R100" s="3">
        <v>2028</v>
      </c>
      <c r="S100" s="13">
        <f t="shared" si="44"/>
        <v>0.93821823552989791</v>
      </c>
      <c r="T100" s="3"/>
      <c r="U100" s="13">
        <f t="shared" si="45"/>
        <v>90.90587260543272</v>
      </c>
      <c r="V100" s="12">
        <f>'Country L per 100 km'!K23</f>
        <v>4.9810220731832171</v>
      </c>
      <c r="W100" s="3">
        <f>'Country distance travelled'!K23</f>
        <v>12000</v>
      </c>
      <c r="Y100" s="3">
        <v>2028</v>
      </c>
      <c r="Z100" s="13"/>
      <c r="AA100" s="13">
        <v>133.42851686712905</v>
      </c>
      <c r="AB100" s="13">
        <v>90.90587260543272</v>
      </c>
      <c r="AC100" s="13">
        <v>58.184075331525015</v>
      </c>
    </row>
    <row r="101" spans="1:29">
      <c r="A101" s="3">
        <v>2029</v>
      </c>
      <c r="B101" s="3">
        <f t="shared" si="34"/>
        <v>2158112.6549443668</v>
      </c>
      <c r="C101" s="3">
        <f t="shared" si="37"/>
        <v>431622.53098887333</v>
      </c>
      <c r="D101" s="3">
        <f t="shared" si="38"/>
        <v>280554.64514276769</v>
      </c>
      <c r="E101" s="3">
        <v>0</v>
      </c>
      <c r="F101" s="3">
        <f t="shared" si="39"/>
        <v>712177.17613164103</v>
      </c>
      <c r="G101" s="3"/>
      <c r="H101" s="3"/>
      <c r="I101" s="3">
        <v>2029</v>
      </c>
      <c r="J101" s="3"/>
      <c r="K101" s="3">
        <f t="shared" si="40"/>
        <v>1898650</v>
      </c>
      <c r="L101" s="3">
        <f t="shared" si="41"/>
        <v>379730</v>
      </c>
      <c r="M101" s="3">
        <f t="shared" si="42"/>
        <v>246824.5</v>
      </c>
      <c r="N101" s="3">
        <f t="shared" si="35"/>
        <v>54719.409666659776</v>
      </c>
      <c r="O101" s="3">
        <f t="shared" si="43"/>
        <v>681273.90966665978</v>
      </c>
      <c r="P101" s="3"/>
      <c r="Q101" s="3"/>
      <c r="R101" s="3">
        <v>2029</v>
      </c>
      <c r="S101" s="13">
        <f t="shared" si="44"/>
        <v>0.95660733381987939</v>
      </c>
      <c r="T101" s="3"/>
      <c r="U101" s="13">
        <f t="shared" si="45"/>
        <v>92.461953509619093</v>
      </c>
      <c r="V101" s="12">
        <f>'Country L per 100 km'!K24</f>
        <v>4.9317050229536799</v>
      </c>
      <c r="W101" s="3">
        <f>'Country distance travelled'!K24</f>
        <v>12000</v>
      </c>
      <c r="Y101" s="3">
        <v>2029</v>
      </c>
      <c r="Z101" s="13"/>
      <c r="AA101" s="13">
        <v>136.09675947477456</v>
      </c>
      <c r="AB101" s="13">
        <v>92.461953509619093</v>
      </c>
      <c r="AC101" s="13">
        <v>58.184075331525015</v>
      </c>
    </row>
    <row r="102" spans="1:29">
      <c r="A102" s="3">
        <v>2030</v>
      </c>
      <c r="B102" s="3">
        <f t="shared" si="34"/>
        <v>2111502.4483804144</v>
      </c>
      <c r="C102" s="3">
        <f t="shared" si="37"/>
        <v>422300.48967608286</v>
      </c>
      <c r="D102" s="3">
        <f t="shared" si="38"/>
        <v>274495.31828945386</v>
      </c>
      <c r="E102" s="3">
        <v>0</v>
      </c>
      <c r="F102" s="3">
        <f t="shared" si="39"/>
        <v>696795.80796553672</v>
      </c>
      <c r="G102" s="3"/>
      <c r="H102" s="3"/>
      <c r="I102" s="3">
        <v>2030</v>
      </c>
      <c r="J102" s="3"/>
      <c r="K102" s="3">
        <f t="shared" si="40"/>
        <v>1898650</v>
      </c>
      <c r="L102" s="3">
        <f t="shared" si="41"/>
        <v>379730</v>
      </c>
      <c r="M102" s="3">
        <f t="shared" si="42"/>
        <v>246824.5</v>
      </c>
      <c r="N102" s="3">
        <f t="shared" si="35"/>
        <v>54874.805325495341</v>
      </c>
      <c r="O102" s="3">
        <f>SUM(L102:N102)</f>
        <v>681429.30532549531</v>
      </c>
      <c r="P102" s="3"/>
      <c r="Q102" s="3"/>
      <c r="R102" s="3">
        <v>2030</v>
      </c>
      <c r="S102" s="13">
        <f t="shared" si="44"/>
        <v>0.97794690716508814</v>
      </c>
      <c r="T102" s="3"/>
      <c r="U102" s="13">
        <f t="shared" si="45"/>
        <v>93.65177817271433</v>
      </c>
      <c r="V102" s="12">
        <f>'Country L per 100 km'!K25</f>
        <v>4.8828762603501783</v>
      </c>
      <c r="W102" s="3">
        <f>'Country distance travelled'!K25</f>
        <v>12000</v>
      </c>
      <c r="Y102" s="3">
        <v>2030</v>
      </c>
      <c r="Z102" s="13"/>
      <c r="AA102" s="13">
        <v>137.69770503936189</v>
      </c>
      <c r="AB102" s="13">
        <v>93.65177817271433</v>
      </c>
      <c r="AC102" s="13">
        <v>58.717723853054125</v>
      </c>
    </row>
    <row r="103" spans="1:29">
      <c r="A103" s="3">
        <v>2031</v>
      </c>
      <c r="B103" s="3"/>
      <c r="C103" s="3"/>
      <c r="D103" s="3"/>
      <c r="E103" s="3"/>
      <c r="F103" s="3"/>
      <c r="G103" s="3"/>
      <c r="H103" s="3"/>
      <c r="I103" s="3">
        <v>2031</v>
      </c>
      <c r="J103" s="3"/>
      <c r="K103" s="3"/>
      <c r="L103" s="3"/>
      <c r="M103" s="3"/>
      <c r="N103" s="3"/>
      <c r="O103" s="3"/>
      <c r="P103" s="3"/>
      <c r="Q103" s="3"/>
      <c r="R103" s="3">
        <v>2031</v>
      </c>
      <c r="S103" s="3"/>
      <c r="T103" s="3"/>
      <c r="U103" s="13">
        <f>U102</f>
        <v>93.65177817271433</v>
      </c>
      <c r="V103" s="12">
        <f>'Country L per 100 km'!K26</f>
        <v>4.83453095084176</v>
      </c>
      <c r="W103" s="3">
        <f>'Country distance travelled'!K26</f>
        <v>12000</v>
      </c>
      <c r="Y103" s="3">
        <v>2031</v>
      </c>
    </row>
    <row r="104" spans="1:29">
      <c r="A104" s="3">
        <v>2032</v>
      </c>
      <c r="B104" s="3"/>
      <c r="C104" s="3"/>
      <c r="D104" s="3"/>
      <c r="E104" s="3"/>
      <c r="F104" s="3"/>
      <c r="G104" s="3"/>
      <c r="H104" s="3"/>
      <c r="I104" s="3">
        <v>2032</v>
      </c>
      <c r="J104" s="3"/>
      <c r="K104" s="3"/>
      <c r="L104" s="3"/>
      <c r="M104" s="3"/>
      <c r="N104" s="3"/>
      <c r="O104" s="3"/>
      <c r="P104" s="3"/>
      <c r="Q104" s="3"/>
      <c r="R104" s="3">
        <v>2032</v>
      </c>
      <c r="S104" s="3"/>
      <c r="T104" s="3"/>
      <c r="U104" s="13">
        <f t="shared" ref="U104:U112" si="52">U103</f>
        <v>93.65177817271433</v>
      </c>
      <c r="V104" s="12">
        <f>'Country L per 100 km'!K27</f>
        <v>4.7866643077641191</v>
      </c>
      <c r="W104" s="3">
        <f>'Country distance travelled'!K27</f>
        <v>12000</v>
      </c>
      <c r="Y104" s="3">
        <v>2032</v>
      </c>
    </row>
    <row r="105" spans="1:29">
      <c r="A105" s="3">
        <v>2033</v>
      </c>
      <c r="B105" s="3"/>
      <c r="C105" s="3"/>
      <c r="D105" s="3"/>
      <c r="E105" s="3"/>
      <c r="F105" s="3"/>
      <c r="G105" s="3"/>
      <c r="H105" s="3"/>
      <c r="I105" s="3">
        <v>2033</v>
      </c>
      <c r="J105" s="3"/>
      <c r="K105" s="3"/>
      <c r="L105" s="3"/>
      <c r="M105" s="3"/>
      <c r="N105" s="3"/>
      <c r="O105" s="3"/>
      <c r="P105" s="3"/>
      <c r="Q105" s="3"/>
      <c r="R105" s="3">
        <v>2033</v>
      </c>
      <c r="S105" s="3"/>
      <c r="T105" s="3"/>
      <c r="U105" s="13">
        <f t="shared" si="52"/>
        <v>93.65177817271433</v>
      </c>
      <c r="V105" s="12">
        <f>'Country L per 100 km'!K28</f>
        <v>4.7392715918456618</v>
      </c>
      <c r="W105" s="3">
        <f>'Country distance travelled'!K28</f>
        <v>12000</v>
      </c>
      <c r="Y105" s="3">
        <v>2033</v>
      </c>
    </row>
    <row r="106" spans="1:29">
      <c r="A106" s="3">
        <v>2034</v>
      </c>
      <c r="B106" s="3"/>
      <c r="C106" s="3"/>
      <c r="D106" s="3"/>
      <c r="E106" s="3"/>
      <c r="F106" s="3"/>
      <c r="G106" s="3"/>
      <c r="H106" s="3"/>
      <c r="I106" s="3">
        <v>2034</v>
      </c>
      <c r="J106" s="3"/>
      <c r="K106" s="3"/>
      <c r="L106" s="3"/>
      <c r="M106" s="3"/>
      <c r="N106" s="3"/>
      <c r="O106" s="3"/>
      <c r="P106" s="3"/>
      <c r="Q106" s="3"/>
      <c r="R106" s="3">
        <v>2034</v>
      </c>
      <c r="S106" s="3"/>
      <c r="T106" s="3"/>
      <c r="U106" s="13">
        <f t="shared" si="52"/>
        <v>93.65177817271433</v>
      </c>
      <c r="V106" s="12">
        <f>'Country L per 100 km'!K29</f>
        <v>4.692348110738279</v>
      </c>
      <c r="W106" s="3">
        <f>'Country distance travelled'!K29</f>
        <v>12000</v>
      </c>
      <c r="Y106" s="3">
        <v>2034</v>
      </c>
    </row>
    <row r="107" spans="1:29">
      <c r="A107" s="3">
        <v>2035</v>
      </c>
      <c r="B107" s="3"/>
      <c r="C107" s="3"/>
      <c r="D107" s="3"/>
      <c r="E107" s="3"/>
      <c r="F107" s="3"/>
      <c r="G107" s="3"/>
      <c r="H107" s="3"/>
      <c r="I107" s="3">
        <v>2035</v>
      </c>
      <c r="J107" s="3"/>
      <c r="K107" s="3"/>
      <c r="L107" s="3"/>
      <c r="M107" s="3"/>
      <c r="N107" s="3"/>
      <c r="O107" s="3"/>
      <c r="P107" s="3"/>
      <c r="Q107" s="3"/>
      <c r="R107" s="3">
        <v>2035</v>
      </c>
      <c r="S107" s="3"/>
      <c r="T107" s="3"/>
      <c r="U107" s="13">
        <f t="shared" si="52"/>
        <v>93.65177817271433</v>
      </c>
      <c r="V107" s="12">
        <f>'Country L per 100 km'!K30</f>
        <v>4.6458892185527514</v>
      </c>
      <c r="W107" s="3">
        <f>'Country distance travelled'!K30</f>
        <v>12000</v>
      </c>
      <c r="Y107" s="3">
        <v>2035</v>
      </c>
    </row>
    <row r="108" spans="1:29">
      <c r="A108" s="3">
        <v>2036</v>
      </c>
      <c r="B108" s="3"/>
      <c r="C108" s="3"/>
      <c r="D108" s="3"/>
      <c r="E108" s="3"/>
      <c r="F108" s="3"/>
      <c r="G108" s="3"/>
      <c r="H108" s="3"/>
      <c r="I108" s="3">
        <v>2036</v>
      </c>
      <c r="J108" s="3"/>
      <c r="K108" s="3"/>
      <c r="L108" s="3"/>
      <c r="M108" s="3"/>
      <c r="N108" s="3"/>
      <c r="O108" s="3"/>
      <c r="P108" s="3"/>
      <c r="Q108" s="3"/>
      <c r="R108" s="3">
        <v>2036</v>
      </c>
      <c r="S108" s="3"/>
      <c r="T108" s="3"/>
      <c r="U108" s="13">
        <f t="shared" si="52"/>
        <v>93.65177817271433</v>
      </c>
      <c r="V108" s="12">
        <f>'Country L per 100 km'!K31</f>
        <v>4.5998903153987634</v>
      </c>
      <c r="W108" s="3">
        <f>'Country distance travelled'!K31</f>
        <v>12000</v>
      </c>
      <c r="Y108" s="3">
        <v>2036</v>
      </c>
    </row>
    <row r="109" spans="1:29">
      <c r="A109" s="3">
        <v>2037</v>
      </c>
      <c r="B109" s="3"/>
      <c r="C109" s="3"/>
      <c r="D109" s="3"/>
      <c r="E109" s="3"/>
      <c r="F109" s="3"/>
      <c r="G109" s="3"/>
      <c r="H109" s="3"/>
      <c r="I109" s="3">
        <v>2037</v>
      </c>
      <c r="J109" s="3"/>
      <c r="K109" s="3"/>
      <c r="L109" s="3"/>
      <c r="M109" s="3"/>
      <c r="N109" s="3"/>
      <c r="O109" s="3"/>
      <c r="P109" s="3"/>
      <c r="Q109" s="3"/>
      <c r="R109" s="3">
        <v>2037</v>
      </c>
      <c r="S109" s="3"/>
      <c r="T109" s="3"/>
      <c r="U109" s="13">
        <f t="shared" si="52"/>
        <v>93.65177817271433</v>
      </c>
      <c r="V109" s="12">
        <f>'Country L per 100 km'!K32</f>
        <v>4.5543468469294695</v>
      </c>
      <c r="W109" s="3">
        <f>'Country distance travelled'!K32</f>
        <v>12000</v>
      </c>
      <c r="Y109" s="3">
        <v>2037</v>
      </c>
    </row>
    <row r="110" spans="1:29">
      <c r="A110" s="3">
        <v>2038</v>
      </c>
      <c r="B110" s="3"/>
      <c r="C110" s="3"/>
      <c r="D110" s="3"/>
      <c r="E110" s="3"/>
      <c r="F110" s="3"/>
      <c r="G110" s="3"/>
      <c r="H110" s="3"/>
      <c r="I110" s="3">
        <v>2038</v>
      </c>
      <c r="J110" s="3"/>
      <c r="K110" s="3"/>
      <c r="L110" s="3"/>
      <c r="M110" s="3"/>
      <c r="N110" s="3"/>
      <c r="O110" s="3"/>
      <c r="P110" s="3"/>
      <c r="Q110" s="3"/>
      <c r="R110" s="3">
        <v>2038</v>
      </c>
      <c r="S110" s="3"/>
      <c r="T110" s="3"/>
      <c r="U110" s="13">
        <f t="shared" si="52"/>
        <v>93.65177817271433</v>
      </c>
      <c r="V110" s="12">
        <f>'Country L per 100 km'!K33</f>
        <v>4.5092543038905637</v>
      </c>
      <c r="W110" s="3">
        <f>'Country distance travelled'!K33</f>
        <v>12000</v>
      </c>
      <c r="Y110" s="3">
        <v>2038</v>
      </c>
    </row>
    <row r="111" spans="1:29">
      <c r="A111" s="3">
        <v>2039</v>
      </c>
      <c r="B111" s="3"/>
      <c r="C111" s="3"/>
      <c r="D111" s="3"/>
      <c r="E111" s="3"/>
      <c r="F111" s="3"/>
      <c r="G111" s="3"/>
      <c r="H111" s="3"/>
      <c r="I111" s="3">
        <v>2039</v>
      </c>
      <c r="J111" s="3"/>
      <c r="K111" s="3"/>
      <c r="L111" s="3"/>
      <c r="M111" s="3"/>
      <c r="N111" s="3"/>
      <c r="O111" s="3"/>
      <c r="P111" s="3"/>
      <c r="Q111" s="3"/>
      <c r="R111" s="3">
        <v>2039</v>
      </c>
      <c r="S111" s="3"/>
      <c r="T111" s="3"/>
      <c r="U111" s="13">
        <f t="shared" si="52"/>
        <v>93.65177817271433</v>
      </c>
      <c r="V111" s="12">
        <f>'Country L per 100 km'!K34</f>
        <v>4.4646082216738252</v>
      </c>
      <c r="W111" s="3">
        <f>'Country distance travelled'!K34</f>
        <v>12000</v>
      </c>
      <c r="Y111" s="3">
        <v>2039</v>
      </c>
    </row>
    <row r="112" spans="1:29">
      <c r="A112" s="3">
        <v>2040</v>
      </c>
      <c r="B112" s="3"/>
      <c r="C112" s="3"/>
      <c r="D112" s="3"/>
      <c r="E112" s="3"/>
      <c r="F112" s="3"/>
      <c r="G112" s="3"/>
      <c r="H112" s="3"/>
      <c r="I112" s="3">
        <v>2040</v>
      </c>
      <c r="J112" s="3"/>
      <c r="K112" s="3"/>
      <c r="L112" s="3"/>
      <c r="M112" s="3"/>
      <c r="N112" s="3"/>
      <c r="O112" s="3"/>
      <c r="P112" s="3"/>
      <c r="Q112" s="3"/>
      <c r="R112" s="3">
        <v>2040</v>
      </c>
      <c r="S112" s="3"/>
      <c r="T112" s="3"/>
      <c r="U112" s="13">
        <f t="shared" si="52"/>
        <v>93.65177817271433</v>
      </c>
      <c r="V112" s="12">
        <f>'Country L per 100 km'!K35</f>
        <v>4.4204041798750753</v>
      </c>
      <c r="W112" s="3">
        <f>'Country distance travelled'!K35</f>
        <v>12000</v>
      </c>
      <c r="Y112" s="3">
        <v>2040</v>
      </c>
    </row>
    <row r="118" spans="16:29">
      <c r="Q118" s="87" t="s">
        <v>980</v>
      </c>
      <c r="R118" s="87" t="s">
        <v>980</v>
      </c>
      <c r="S118" s="87" t="s">
        <v>980</v>
      </c>
      <c r="T118" s="87" t="s">
        <v>980</v>
      </c>
      <c r="U118" s="87" t="s">
        <v>980</v>
      </c>
      <c r="W118" s="14" t="s">
        <v>812</v>
      </c>
      <c r="X118" s="14" t="s">
        <v>812</v>
      </c>
      <c r="Y118" s="14" t="s">
        <v>812</v>
      </c>
      <c r="Z118" s="14" t="s">
        <v>812</v>
      </c>
      <c r="AA118" s="14" t="s">
        <v>812</v>
      </c>
      <c r="AC118" s="248" t="s">
        <v>952</v>
      </c>
    </row>
    <row r="119" spans="16:29">
      <c r="Q119" s="87" t="s">
        <v>978</v>
      </c>
      <c r="R119" s="87" t="s">
        <v>979</v>
      </c>
      <c r="S119" s="87" t="s">
        <v>916</v>
      </c>
      <c r="T119" s="87" t="s">
        <v>981</v>
      </c>
      <c r="U119" s="87" t="s">
        <v>983</v>
      </c>
      <c r="W119" s="14" t="s">
        <v>725</v>
      </c>
      <c r="X119" s="14" t="s">
        <v>979</v>
      </c>
      <c r="Y119" s="14" t="s">
        <v>916</v>
      </c>
      <c r="Z119" s="14" t="s">
        <v>985</v>
      </c>
      <c r="AA119" s="14" t="s">
        <v>983</v>
      </c>
      <c r="AC119" s="248" t="s">
        <v>1204</v>
      </c>
    </row>
    <row r="120" spans="16:29">
      <c r="P120">
        <v>2012</v>
      </c>
      <c r="Q120" s="3">
        <f>B84</f>
        <v>1691874.0197418598</v>
      </c>
      <c r="R120" s="3">
        <f t="shared" ref="R120:U135" si="53">C84</f>
        <v>338374.80394837196</v>
      </c>
      <c r="S120" s="3">
        <f t="shared" si="53"/>
        <v>219943.62256644177</v>
      </c>
      <c r="T120" s="3">
        <f t="shared" si="53"/>
        <v>0</v>
      </c>
      <c r="U120" s="3">
        <f t="shared" si="53"/>
        <v>558318.42651481368</v>
      </c>
      <c r="V120" s="3"/>
      <c r="W120" s="3">
        <f>K84</f>
        <v>1432619.5862999998</v>
      </c>
      <c r="X120" s="3">
        <f t="shared" ref="X120:AA120" si="54">L84</f>
        <v>286523.91725999996</v>
      </c>
      <c r="Y120" s="3">
        <f t="shared" si="54"/>
        <v>186240.54621899998</v>
      </c>
      <c r="Z120" s="3">
        <f t="shared" si="54"/>
        <v>60631.476223816666</v>
      </c>
      <c r="AA120" s="3">
        <f t="shared" si="54"/>
        <v>533395.93970281654</v>
      </c>
      <c r="AC120" s="13">
        <f>U120/AA120</f>
        <v>1.0467241779640895</v>
      </c>
    </row>
    <row r="121" spans="16:29">
      <c r="P121">
        <v>2013</v>
      </c>
      <c r="Q121" s="3">
        <f t="shared" ref="Q121:U138" si="55">B85</f>
        <v>2299738.3444620376</v>
      </c>
      <c r="R121" s="3">
        <f t="shared" si="53"/>
        <v>459947.6688924075</v>
      </c>
      <c r="S121" s="3">
        <f t="shared" si="53"/>
        <v>298965.9847800649</v>
      </c>
      <c r="T121" s="3">
        <f t="shared" si="53"/>
        <v>0</v>
      </c>
      <c r="U121" s="3">
        <f t="shared" si="53"/>
        <v>758913.65367247234</v>
      </c>
      <c r="V121" s="3"/>
      <c r="W121" s="3">
        <f t="shared" ref="W121:W138" si="56">K85</f>
        <v>1615011.24</v>
      </c>
      <c r="X121" s="3">
        <f t="shared" ref="X121:X138" si="57">L85</f>
        <v>323002.24800000002</v>
      </c>
      <c r="Y121" s="3">
        <f t="shared" ref="Y121:Y138" si="58">M85</f>
        <v>209951.46120000002</v>
      </c>
      <c r="Z121" s="3">
        <f t="shared" ref="Z121:Z138" si="59">N85</f>
        <v>55765.496515122126</v>
      </c>
      <c r="AA121" s="3">
        <f t="shared" ref="AA121:AA138" si="60">O85</f>
        <v>588719.20571512217</v>
      </c>
      <c r="AC121" s="13">
        <f t="shared" ref="AC121:AC138" si="61">U121/AA121</f>
        <v>1.2890927394675591</v>
      </c>
    </row>
    <row r="122" spans="16:29">
      <c r="P122">
        <v>2014</v>
      </c>
      <c r="Q122" s="3">
        <f t="shared" si="55"/>
        <v>2402593.091663376</v>
      </c>
      <c r="R122" s="3">
        <f t="shared" si="53"/>
        <v>480518.61833267519</v>
      </c>
      <c r="S122" s="3">
        <f t="shared" si="53"/>
        <v>312337.1019162389</v>
      </c>
      <c r="T122" s="3">
        <f t="shared" si="53"/>
        <v>0</v>
      </c>
      <c r="U122" s="3">
        <f t="shared" si="53"/>
        <v>792855.72024891409</v>
      </c>
      <c r="V122" s="3"/>
      <c r="W122" s="3">
        <f t="shared" si="56"/>
        <v>1683470.2800000003</v>
      </c>
      <c r="X122" s="3">
        <f t="shared" si="57"/>
        <v>336694.05600000004</v>
      </c>
      <c r="Y122" s="3">
        <f t="shared" si="58"/>
        <v>218851.13640000005</v>
      </c>
      <c r="Z122" s="3">
        <f t="shared" si="59"/>
        <v>52208.647903493831</v>
      </c>
      <c r="AA122" s="3">
        <f t="shared" si="60"/>
        <v>607753.8403034939</v>
      </c>
      <c r="AC122" s="13">
        <f t="shared" si="61"/>
        <v>1.3045671909748624</v>
      </c>
    </row>
    <row r="123" spans="16:29">
      <c r="P123">
        <v>2015</v>
      </c>
      <c r="Q123" s="3">
        <f t="shared" si="55"/>
        <v>2345300.4299529907</v>
      </c>
      <c r="R123" s="3">
        <f t="shared" si="53"/>
        <v>469060.08599059813</v>
      </c>
      <c r="S123" s="3">
        <f t="shared" si="53"/>
        <v>304889.05589388881</v>
      </c>
      <c r="T123" s="3">
        <f t="shared" si="53"/>
        <v>0</v>
      </c>
      <c r="U123" s="3">
        <f t="shared" si="53"/>
        <v>773949.14188448689</v>
      </c>
      <c r="V123" s="3"/>
      <c r="W123" s="3">
        <f t="shared" si="56"/>
        <v>1843084.875</v>
      </c>
      <c r="X123" s="3">
        <f t="shared" si="57"/>
        <v>368616.97499999998</v>
      </c>
      <c r="Y123" s="3">
        <f t="shared" si="58"/>
        <v>239601.03375</v>
      </c>
      <c r="Z123" s="3">
        <f t="shared" si="59"/>
        <v>43611.187649086605</v>
      </c>
      <c r="AA123" s="3">
        <f t="shared" si="60"/>
        <v>651829.19639908662</v>
      </c>
      <c r="AC123" s="13">
        <f t="shared" si="61"/>
        <v>1.1873496096217075</v>
      </c>
    </row>
    <row r="124" spans="16:29">
      <c r="P124">
        <v>2016</v>
      </c>
      <c r="Q124" s="3">
        <f t="shared" si="55"/>
        <v>2512346.9352733344</v>
      </c>
      <c r="R124" s="3">
        <f t="shared" si="53"/>
        <v>502469.38705466688</v>
      </c>
      <c r="S124" s="3">
        <f t="shared" si="53"/>
        <v>326605.10158553347</v>
      </c>
      <c r="T124" s="3">
        <f t="shared" si="53"/>
        <v>0</v>
      </c>
      <c r="U124" s="3">
        <f t="shared" si="53"/>
        <v>829074.48864020035</v>
      </c>
      <c r="V124" s="3"/>
      <c r="W124" s="3">
        <f t="shared" si="56"/>
        <v>1961661.8120000002</v>
      </c>
      <c r="X124" s="3">
        <f t="shared" si="57"/>
        <v>392332.36240000004</v>
      </c>
      <c r="Y124" s="3">
        <f t="shared" si="58"/>
        <v>255016.03556000002</v>
      </c>
      <c r="Z124" s="3">
        <f t="shared" si="59"/>
        <v>43445.162741019296</v>
      </c>
      <c r="AA124" s="3">
        <f t="shared" si="60"/>
        <v>690793.56070101936</v>
      </c>
      <c r="AC124" s="13">
        <f t="shared" si="61"/>
        <v>1.200176920871777</v>
      </c>
    </row>
    <row r="125" spans="16:29">
      <c r="P125">
        <v>2017</v>
      </c>
      <c r="Q125" s="3">
        <f t="shared" si="55"/>
        <v>2435970.4406134151</v>
      </c>
      <c r="R125" s="3">
        <f t="shared" si="53"/>
        <v>487194.088122683</v>
      </c>
      <c r="S125" s="3">
        <f t="shared" si="53"/>
        <v>316676.15727974399</v>
      </c>
      <c r="T125" s="3">
        <f t="shared" si="53"/>
        <v>0</v>
      </c>
      <c r="U125" s="3">
        <f t="shared" si="53"/>
        <v>803870.24540242692</v>
      </c>
      <c r="V125" s="3"/>
      <c r="W125" s="3">
        <f t="shared" si="56"/>
        <v>1900574.939</v>
      </c>
      <c r="X125" s="3">
        <f t="shared" si="57"/>
        <v>380114.9878</v>
      </c>
      <c r="Y125" s="3">
        <f t="shared" si="58"/>
        <v>247074.74207000001</v>
      </c>
      <c r="Z125" s="3">
        <f t="shared" si="59"/>
        <v>45627.133291893952</v>
      </c>
      <c r="AA125" s="3">
        <f t="shared" si="60"/>
        <v>672816.86316189403</v>
      </c>
      <c r="AC125" s="13">
        <f t="shared" si="61"/>
        <v>1.1947831414698038</v>
      </c>
    </row>
    <row r="126" spans="16:29">
      <c r="P126">
        <v>2018</v>
      </c>
      <c r="Q126" s="3">
        <f t="shared" si="55"/>
        <v>2489904.5361726456</v>
      </c>
      <c r="R126" s="3">
        <f t="shared" si="53"/>
        <v>497980.90723452915</v>
      </c>
      <c r="S126" s="3">
        <f t="shared" si="53"/>
        <v>323687.58970244392</v>
      </c>
      <c r="T126" s="3">
        <f t="shared" si="53"/>
        <v>0</v>
      </c>
      <c r="U126" s="3">
        <f t="shared" si="53"/>
        <v>821668.49693697307</v>
      </c>
      <c r="V126" s="3"/>
      <c r="W126" s="3">
        <f t="shared" si="56"/>
        <v>1898650</v>
      </c>
      <c r="X126" s="3">
        <f t="shared" si="57"/>
        <v>379730</v>
      </c>
      <c r="Y126" s="3">
        <f t="shared" si="58"/>
        <v>246824.5</v>
      </c>
      <c r="Z126" s="3">
        <f t="shared" si="59"/>
        <v>49034.537793656709</v>
      </c>
      <c r="AA126" s="3">
        <f t="shared" si="60"/>
        <v>675589.03779365669</v>
      </c>
      <c r="AC126" s="13">
        <f t="shared" si="61"/>
        <v>1.2162253248222967</v>
      </c>
    </row>
    <row r="127" spans="16:29">
      <c r="P127">
        <v>2019</v>
      </c>
      <c r="Q127" s="3">
        <f t="shared" si="55"/>
        <v>2541412.9905669009</v>
      </c>
      <c r="R127" s="3">
        <f t="shared" si="53"/>
        <v>508282.5981133802</v>
      </c>
      <c r="S127" s="3">
        <f t="shared" si="53"/>
        <v>330383.68877369713</v>
      </c>
      <c r="T127" s="3">
        <f t="shared" si="53"/>
        <v>0</v>
      </c>
      <c r="U127" s="3">
        <f t="shared" si="53"/>
        <v>838666.28688707738</v>
      </c>
      <c r="V127" s="3"/>
      <c r="W127" s="3">
        <f t="shared" si="56"/>
        <v>1898650</v>
      </c>
      <c r="X127" s="3">
        <f t="shared" si="57"/>
        <v>379730</v>
      </c>
      <c r="Y127" s="3">
        <f t="shared" si="58"/>
        <v>246824.5</v>
      </c>
      <c r="Z127" s="3">
        <f t="shared" si="59"/>
        <v>47774.520462155568</v>
      </c>
      <c r="AA127" s="3">
        <f t="shared" si="60"/>
        <v>674329.02046215557</v>
      </c>
      <c r="AC127" s="13">
        <f t="shared" si="61"/>
        <v>1.243704870231289</v>
      </c>
    </row>
    <row r="128" spans="16:29">
      <c r="P128">
        <v>2020</v>
      </c>
      <c r="Q128" s="3">
        <f t="shared" si="55"/>
        <v>2529437.9684069557</v>
      </c>
      <c r="R128" s="3">
        <f t="shared" si="53"/>
        <v>505887.59368139115</v>
      </c>
      <c r="S128" s="3">
        <f t="shared" si="53"/>
        <v>328826.93589290424</v>
      </c>
      <c r="T128" s="3">
        <f t="shared" si="53"/>
        <v>0</v>
      </c>
      <c r="U128" s="3">
        <f t="shared" si="53"/>
        <v>834714.52957429539</v>
      </c>
      <c r="V128" s="3"/>
      <c r="W128" s="3">
        <f t="shared" si="56"/>
        <v>1898650</v>
      </c>
      <c r="X128" s="3">
        <f t="shared" si="57"/>
        <v>379730</v>
      </c>
      <c r="Y128" s="3">
        <f t="shared" si="58"/>
        <v>246824.5</v>
      </c>
      <c r="Z128" s="3">
        <f t="shared" si="59"/>
        <v>47394.300888870974</v>
      </c>
      <c r="AA128" s="3">
        <f t="shared" si="60"/>
        <v>673948.80088887096</v>
      </c>
      <c r="AC128" s="13">
        <f t="shared" si="61"/>
        <v>1.2385429404628223</v>
      </c>
    </row>
    <row r="129" spans="16:29">
      <c r="P129">
        <v>2021</v>
      </c>
      <c r="Q129" s="3">
        <f t="shared" si="55"/>
        <v>2468500.5270247036</v>
      </c>
      <c r="R129" s="3">
        <f t="shared" si="53"/>
        <v>493700.10540494072</v>
      </c>
      <c r="S129" s="3">
        <f t="shared" si="53"/>
        <v>320905.0685132115</v>
      </c>
      <c r="T129" s="3">
        <f t="shared" si="53"/>
        <v>0</v>
      </c>
      <c r="U129" s="3">
        <f t="shared" si="53"/>
        <v>814605.17391815223</v>
      </c>
      <c r="V129" s="3"/>
      <c r="W129" s="3">
        <f t="shared" si="56"/>
        <v>1898650</v>
      </c>
      <c r="X129" s="3">
        <f t="shared" si="57"/>
        <v>379730</v>
      </c>
      <c r="Y129" s="3">
        <f t="shared" si="58"/>
        <v>246824.5</v>
      </c>
      <c r="Z129" s="3">
        <f t="shared" si="59"/>
        <v>49631.948941919385</v>
      </c>
      <c r="AA129" s="3">
        <f t="shared" si="60"/>
        <v>676186.44894191937</v>
      </c>
      <c r="AC129" s="13">
        <f t="shared" si="61"/>
        <v>1.2047049673841101</v>
      </c>
    </row>
    <row r="130" spans="16:29">
      <c r="P130">
        <v>2022</v>
      </c>
      <c r="Q130" s="3">
        <f t="shared" si="55"/>
        <v>2507774.1493567256</v>
      </c>
      <c r="R130" s="3">
        <f t="shared" si="53"/>
        <v>501554.82987134514</v>
      </c>
      <c r="S130" s="3">
        <f t="shared" si="53"/>
        <v>326010.63941637432</v>
      </c>
      <c r="T130" s="3">
        <f t="shared" si="53"/>
        <v>0</v>
      </c>
      <c r="U130" s="3">
        <f t="shared" si="53"/>
        <v>827565.46928771946</v>
      </c>
      <c r="V130" s="3"/>
      <c r="W130" s="3">
        <f t="shared" si="56"/>
        <v>1898650</v>
      </c>
      <c r="X130" s="3">
        <f t="shared" si="57"/>
        <v>379730</v>
      </c>
      <c r="Y130" s="3">
        <f t="shared" si="58"/>
        <v>246824.5</v>
      </c>
      <c r="Z130" s="3">
        <f t="shared" si="59"/>
        <v>51136.060440167457</v>
      </c>
      <c r="AA130" s="3">
        <f t="shared" si="60"/>
        <v>677690.56044016744</v>
      </c>
      <c r="AC130" s="13">
        <f t="shared" si="61"/>
        <v>1.2211553732579759</v>
      </c>
    </row>
    <row r="131" spans="16:29">
      <c r="P131">
        <v>2023</v>
      </c>
      <c r="Q131" s="3">
        <f t="shared" si="55"/>
        <v>2487807.7268979973</v>
      </c>
      <c r="R131" s="3">
        <f t="shared" si="53"/>
        <v>497561.54537959944</v>
      </c>
      <c r="S131" s="3">
        <f t="shared" si="53"/>
        <v>323415.00449673965</v>
      </c>
      <c r="T131" s="3">
        <f t="shared" si="53"/>
        <v>0</v>
      </c>
      <c r="U131" s="3">
        <f t="shared" si="53"/>
        <v>820976.54987633904</v>
      </c>
      <c r="V131" s="3"/>
      <c r="W131" s="3">
        <f t="shared" si="56"/>
        <v>1898650</v>
      </c>
      <c r="X131" s="3">
        <f t="shared" si="57"/>
        <v>379730</v>
      </c>
      <c r="Y131" s="3">
        <f t="shared" si="58"/>
        <v>246824.5</v>
      </c>
      <c r="Z131" s="3">
        <f t="shared" si="59"/>
        <v>51538.940621567701</v>
      </c>
      <c r="AA131" s="3">
        <f t="shared" si="60"/>
        <v>678093.44062156766</v>
      </c>
      <c r="AC131" s="13">
        <f t="shared" si="61"/>
        <v>1.2107130089974016</v>
      </c>
    </row>
    <row r="132" spans="16:29">
      <c r="P132">
        <v>2024</v>
      </c>
      <c r="Q132" s="3">
        <f t="shared" si="55"/>
        <v>2401310.4745865134</v>
      </c>
      <c r="R132" s="3">
        <f t="shared" si="53"/>
        <v>480262.09491730266</v>
      </c>
      <c r="S132" s="3">
        <f t="shared" si="53"/>
        <v>312170.36169624672</v>
      </c>
      <c r="T132" s="3">
        <f t="shared" si="53"/>
        <v>0</v>
      </c>
      <c r="U132" s="3">
        <f t="shared" si="53"/>
        <v>792432.45661354938</v>
      </c>
      <c r="V132" s="3"/>
      <c r="W132" s="3">
        <f t="shared" si="56"/>
        <v>1898650</v>
      </c>
      <c r="X132" s="3">
        <f t="shared" si="57"/>
        <v>379730</v>
      </c>
      <c r="Y132" s="3">
        <f t="shared" si="58"/>
        <v>246824.5</v>
      </c>
      <c r="Z132" s="3">
        <f t="shared" si="59"/>
        <v>51266.649367909667</v>
      </c>
      <c r="AA132" s="3">
        <f t="shared" si="60"/>
        <v>677821.14936790965</v>
      </c>
      <c r="AC132" s="13">
        <f t="shared" si="61"/>
        <v>1.169087829957089</v>
      </c>
    </row>
    <row r="133" spans="16:29">
      <c r="P133">
        <v>2025</v>
      </c>
      <c r="Q133" s="3">
        <f t="shared" si="55"/>
        <v>2327419.9123960575</v>
      </c>
      <c r="R133" s="3">
        <f t="shared" si="53"/>
        <v>465483.98247921153</v>
      </c>
      <c r="S133" s="3">
        <f t="shared" si="53"/>
        <v>302564.58861148747</v>
      </c>
      <c r="T133" s="3">
        <f t="shared" si="53"/>
        <v>0</v>
      </c>
      <c r="U133" s="3">
        <f t="shared" si="53"/>
        <v>768048.57109069894</v>
      </c>
      <c r="V133" s="3"/>
      <c r="W133" s="3">
        <f t="shared" si="56"/>
        <v>1898650</v>
      </c>
      <c r="X133" s="3">
        <f t="shared" si="57"/>
        <v>379730</v>
      </c>
      <c r="Y133" s="3">
        <f t="shared" si="58"/>
        <v>246824.5</v>
      </c>
      <c r="Z133" s="3">
        <f t="shared" si="59"/>
        <v>51992.021133040696</v>
      </c>
      <c r="AA133" s="3">
        <f t="shared" si="60"/>
        <v>678546.52113304066</v>
      </c>
      <c r="AC133" s="13">
        <f t="shared" si="61"/>
        <v>1.1319025994094072</v>
      </c>
    </row>
    <row r="134" spans="16:29">
      <c r="P134">
        <v>2026</v>
      </c>
      <c r="Q134" s="3">
        <f t="shared" si="55"/>
        <v>2286570.5130988108</v>
      </c>
      <c r="R134" s="3">
        <f t="shared" si="53"/>
        <v>457314.10261976218</v>
      </c>
      <c r="S134" s="3">
        <f t="shared" si="53"/>
        <v>297254.16670284542</v>
      </c>
      <c r="T134" s="3">
        <f t="shared" si="53"/>
        <v>0</v>
      </c>
      <c r="U134" s="3">
        <f t="shared" si="53"/>
        <v>754568.26932260767</v>
      </c>
      <c r="V134" s="3"/>
      <c r="W134" s="3">
        <f t="shared" si="56"/>
        <v>1898650</v>
      </c>
      <c r="X134" s="3">
        <f t="shared" si="57"/>
        <v>379730</v>
      </c>
      <c r="Y134" s="3">
        <f t="shared" si="58"/>
        <v>246824.5</v>
      </c>
      <c r="Z134" s="3">
        <f t="shared" si="59"/>
        <v>53622.867453129184</v>
      </c>
      <c r="AA134" s="3">
        <f t="shared" si="60"/>
        <v>680177.36745312915</v>
      </c>
      <c r="AC134" s="13">
        <f t="shared" si="61"/>
        <v>1.1093698576711386</v>
      </c>
    </row>
    <row r="135" spans="16:29">
      <c r="P135">
        <v>2027</v>
      </c>
      <c r="Q135" s="3">
        <f t="shared" si="55"/>
        <v>2245648.3902597497</v>
      </c>
      <c r="R135" s="3">
        <f t="shared" si="53"/>
        <v>449129.67805194994</v>
      </c>
      <c r="S135" s="3">
        <f t="shared" si="53"/>
        <v>291934.2907337675</v>
      </c>
      <c r="T135" s="3">
        <f t="shared" si="53"/>
        <v>0</v>
      </c>
      <c r="U135" s="3">
        <f t="shared" si="53"/>
        <v>741063.96878571738</v>
      </c>
      <c r="V135" s="3"/>
      <c r="W135" s="3">
        <f t="shared" si="56"/>
        <v>1898650</v>
      </c>
      <c r="X135" s="3">
        <f t="shared" si="57"/>
        <v>379730</v>
      </c>
      <c r="Y135" s="3">
        <f t="shared" si="58"/>
        <v>246824.5</v>
      </c>
      <c r="Z135" s="3">
        <f t="shared" si="59"/>
        <v>54186.79712429388</v>
      </c>
      <c r="AA135" s="3">
        <f t="shared" si="60"/>
        <v>680741.29712429387</v>
      </c>
      <c r="AC135" s="13">
        <f t="shared" si="61"/>
        <v>1.0886132102110582</v>
      </c>
    </row>
    <row r="136" spans="16:29">
      <c r="P136">
        <v>2028</v>
      </c>
      <c r="Q136" s="3">
        <f t="shared" si="55"/>
        <v>2199174.9673251514</v>
      </c>
      <c r="R136" s="3">
        <f t="shared" si="55"/>
        <v>439834.99346503027</v>
      </c>
      <c r="S136" s="3">
        <f t="shared" si="55"/>
        <v>285892.74575226969</v>
      </c>
      <c r="T136" s="3">
        <f t="shared" si="55"/>
        <v>0</v>
      </c>
      <c r="U136" s="3">
        <f t="shared" si="55"/>
        <v>725727.73921729997</v>
      </c>
      <c r="V136" s="3"/>
      <c r="W136" s="3">
        <f t="shared" si="56"/>
        <v>1898650</v>
      </c>
      <c r="X136" s="3">
        <f t="shared" si="57"/>
        <v>379730</v>
      </c>
      <c r="Y136" s="3">
        <f t="shared" si="58"/>
        <v>246824.5</v>
      </c>
      <c r="Z136" s="3">
        <f t="shared" si="59"/>
        <v>54336.498963557031</v>
      </c>
      <c r="AA136" s="3">
        <f t="shared" si="60"/>
        <v>680890.99896355707</v>
      </c>
      <c r="AC136" s="13">
        <f t="shared" si="61"/>
        <v>1.0658500998280089</v>
      </c>
    </row>
    <row r="137" spans="16:29">
      <c r="P137">
        <v>2029</v>
      </c>
      <c r="Q137" s="3">
        <f t="shared" si="55"/>
        <v>2158112.6549443668</v>
      </c>
      <c r="R137" s="3">
        <f t="shared" si="55"/>
        <v>431622.53098887333</v>
      </c>
      <c r="S137" s="3">
        <f t="shared" si="55"/>
        <v>280554.64514276769</v>
      </c>
      <c r="T137" s="3">
        <f t="shared" si="55"/>
        <v>0</v>
      </c>
      <c r="U137" s="3">
        <f t="shared" si="55"/>
        <v>712177.17613164103</v>
      </c>
      <c r="V137" s="3"/>
      <c r="W137" s="3">
        <f t="shared" si="56"/>
        <v>1898650</v>
      </c>
      <c r="X137" s="3">
        <f t="shared" si="57"/>
        <v>379730</v>
      </c>
      <c r="Y137" s="3">
        <f t="shared" si="58"/>
        <v>246824.5</v>
      </c>
      <c r="Z137" s="3">
        <f t="shared" si="59"/>
        <v>54719.409666659776</v>
      </c>
      <c r="AA137" s="3">
        <f t="shared" si="60"/>
        <v>681273.90966665978</v>
      </c>
      <c r="AC137" s="13">
        <f t="shared" si="61"/>
        <v>1.045361000952028</v>
      </c>
    </row>
    <row r="138" spans="16:29">
      <c r="P138">
        <v>2030</v>
      </c>
      <c r="Q138" s="3">
        <f t="shared" si="55"/>
        <v>2111502.4483804144</v>
      </c>
      <c r="R138" s="3">
        <f t="shared" si="55"/>
        <v>422300.48967608286</v>
      </c>
      <c r="S138" s="3">
        <f t="shared" si="55"/>
        <v>274495.31828945386</v>
      </c>
      <c r="T138" s="3">
        <f t="shared" si="55"/>
        <v>0</v>
      </c>
      <c r="U138" s="3">
        <f t="shared" si="55"/>
        <v>696795.80796553672</v>
      </c>
      <c r="V138" s="3"/>
      <c r="W138" s="3">
        <f t="shared" si="56"/>
        <v>1898650</v>
      </c>
      <c r="X138" s="3">
        <f t="shared" si="57"/>
        <v>379730</v>
      </c>
      <c r="Y138" s="3">
        <f t="shared" si="58"/>
        <v>246824.5</v>
      </c>
      <c r="Z138" s="3">
        <f t="shared" si="59"/>
        <v>54874.805325495341</v>
      </c>
      <c r="AA138" s="3">
        <f t="shared" si="60"/>
        <v>681429.30532549531</v>
      </c>
      <c r="AC138" s="13">
        <f t="shared" si="61"/>
        <v>1.0225503988747613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25"/>
  <sheetViews>
    <sheetView zoomScale="75" zoomScaleNormal="75" workbookViewId="0">
      <selection activeCell="G45" sqref="G45"/>
    </sheetView>
  </sheetViews>
  <sheetFormatPr defaultRowHeight="15"/>
  <sheetData>
    <row r="2" spans="1:28">
      <c r="A2" s="14" t="s">
        <v>219</v>
      </c>
      <c r="B2" s="14"/>
      <c r="AB2" s="12"/>
    </row>
    <row r="3" spans="1:28">
      <c r="AB3" s="12"/>
    </row>
    <row r="4" spans="1:28">
      <c r="B4" s="7" t="s">
        <v>218</v>
      </c>
    </row>
    <row r="5" spans="1:28">
      <c r="A5" t="s">
        <v>224</v>
      </c>
      <c r="B5" s="3">
        <f>'Vehicle price'!B4</f>
        <v>345.55555555555554</v>
      </c>
    </row>
    <row r="6" spans="1:28">
      <c r="A6" t="s">
        <v>42</v>
      </c>
      <c r="B6" s="3">
        <v>50</v>
      </c>
    </row>
    <row r="7" spans="1:28">
      <c r="A7" t="s">
        <v>214</v>
      </c>
      <c r="B7" s="3">
        <f>'Vehicle price'!B6</f>
        <v>188.81666666666666</v>
      </c>
      <c r="C7" s="82"/>
      <c r="J7" s="14" t="s">
        <v>219</v>
      </c>
      <c r="K7" s="14"/>
      <c r="L7" s="82" t="s">
        <v>216</v>
      </c>
    </row>
    <row r="8" spans="1:28">
      <c r="B8" s="3"/>
      <c r="J8" s="82"/>
      <c r="K8" s="82"/>
      <c r="L8" s="82"/>
      <c r="AA8" s="7"/>
      <c r="AB8" s="7"/>
    </row>
    <row r="9" spans="1:28">
      <c r="B9" s="81" t="s">
        <v>216</v>
      </c>
      <c r="C9" s="7"/>
      <c r="F9" s="7" t="s">
        <v>217</v>
      </c>
      <c r="G9" s="7"/>
      <c r="H9" s="7"/>
      <c r="K9" s="7" t="s">
        <v>218</v>
      </c>
      <c r="L9" s="7" t="s">
        <v>220</v>
      </c>
      <c r="U9" s="22"/>
      <c r="W9" t="s">
        <v>215</v>
      </c>
    </row>
    <row r="10" spans="1:28">
      <c r="B10" s="18">
        <v>2017</v>
      </c>
      <c r="C10" s="3">
        <f>'Vehicle price'!C4</f>
        <v>750</v>
      </c>
      <c r="D10" s="3">
        <f>'Vehicle price'!D4</f>
        <v>750</v>
      </c>
      <c r="E10" s="3"/>
      <c r="F10" s="3">
        <f>'Vehicle price'!F4</f>
        <v>345.55555555555554</v>
      </c>
      <c r="G10" s="3">
        <f>'Vehicle price'!G4</f>
        <v>345.55555555555554</v>
      </c>
      <c r="H10" s="3">
        <f>'Vehicle price'!H4</f>
        <v>345.55555555555554</v>
      </c>
      <c r="J10" s="22"/>
      <c r="K10" t="s">
        <v>207</v>
      </c>
      <c r="L10" t="s">
        <v>207</v>
      </c>
      <c r="M10" t="s">
        <v>208</v>
      </c>
      <c r="N10" t="s">
        <v>209</v>
      </c>
      <c r="O10" t="s">
        <v>210</v>
      </c>
      <c r="P10" t="s">
        <v>211</v>
      </c>
      <c r="Q10" t="s">
        <v>212</v>
      </c>
      <c r="R10" s="7" t="s">
        <v>221</v>
      </c>
      <c r="S10" s="7" t="s">
        <v>222</v>
      </c>
      <c r="T10" t="s">
        <v>225</v>
      </c>
      <c r="V10" s="22"/>
      <c r="W10" s="14" t="s">
        <v>224</v>
      </c>
      <c r="X10" s="78" t="s">
        <v>42</v>
      </c>
      <c r="Y10" s="14" t="s">
        <v>214</v>
      </c>
    </row>
    <row r="11" spans="1:28">
      <c r="A11" t="s">
        <v>207</v>
      </c>
      <c r="B11" s="12">
        <f>B6*B7/1000</f>
        <v>9.4408333333333339</v>
      </c>
      <c r="C11" s="3">
        <f>'Vehicle price'!C5</f>
        <v>154.3864585425319</v>
      </c>
      <c r="D11" s="3">
        <f>'Vehicle price'!D5</f>
        <v>154.3864585425319</v>
      </c>
      <c r="F11" s="3">
        <f>B6</f>
        <v>50</v>
      </c>
      <c r="G11" s="3">
        <f>F11</f>
        <v>50</v>
      </c>
      <c r="H11" s="3">
        <f>G11</f>
        <v>50</v>
      </c>
      <c r="J11">
        <v>2017</v>
      </c>
      <c r="K11" s="12">
        <f t="shared" ref="K11:K24" si="0">X11*Y11/1000</f>
        <v>9.4408333333333339</v>
      </c>
      <c r="L11" s="12">
        <f t="shared" ref="L11:L24" si="1">X$11*Y11/1000</f>
        <v>9.4408333333333339</v>
      </c>
      <c r="M11" s="12">
        <v>4</v>
      </c>
      <c r="N11" s="12">
        <v>16.5</v>
      </c>
      <c r="O11" s="12">
        <v>8</v>
      </c>
      <c r="P11" s="12">
        <v>0</v>
      </c>
      <c r="Q11" s="62">
        <v>-3</v>
      </c>
      <c r="R11" s="3">
        <f t="shared" ref="R11:R24" si="2">K11+SUM(M11:Q11)</f>
        <v>34.94083333333333</v>
      </c>
      <c r="S11" s="3">
        <f t="shared" ref="S11:S24" si="3">SUM(L11:Q11)</f>
        <v>34.94083333333333</v>
      </c>
      <c r="T11" s="3">
        <v>23</v>
      </c>
      <c r="V11">
        <v>2017</v>
      </c>
      <c r="W11" s="3">
        <f>'BEV time series'!D12</f>
        <v>345.55555555555554</v>
      </c>
      <c r="X11" s="3">
        <f>50</f>
        <v>50</v>
      </c>
      <c r="Y11" s="3">
        <f>'BEV time series'!O12</f>
        <v>188.81666666666666</v>
      </c>
    </row>
    <row r="12" spans="1:28">
      <c r="A12" t="s">
        <v>208</v>
      </c>
      <c r="B12">
        <v>4</v>
      </c>
      <c r="C12" s="3">
        <f>'Vehicle price'!C6</f>
        <v>71.925000000000011</v>
      </c>
      <c r="D12" s="3">
        <f>'Vehicle price'!D6</f>
        <v>49.875000000000007</v>
      </c>
      <c r="E12" s="3"/>
      <c r="F12" s="3">
        <f>'Vehicle price'!F6</f>
        <v>188.81666666666666</v>
      </c>
      <c r="G12" s="3">
        <f>'Vehicle price'!G6</f>
        <v>71.925000000000011</v>
      </c>
      <c r="H12" s="3">
        <f>'Vehicle price'!H6</f>
        <v>49.875000000000007</v>
      </c>
      <c r="J12">
        <v>2018</v>
      </c>
      <c r="K12" s="12">
        <f t="shared" si="0"/>
        <v>10.22891667393494</v>
      </c>
      <c r="L12" s="12">
        <f t="shared" si="1"/>
        <v>8.6271666666666675</v>
      </c>
      <c r="M12" s="21">
        <f>M11+(M19-M11)/8</f>
        <v>3.9375</v>
      </c>
      <c r="N12" s="21">
        <f>N11+(N19-N11)/8</f>
        <v>16.375</v>
      </c>
      <c r="O12" s="21">
        <f>O11+(O19-O11)/8</f>
        <v>7.375</v>
      </c>
      <c r="P12" s="21">
        <f>P11+(P19-P11)/8</f>
        <v>0</v>
      </c>
      <c r="Q12" s="21">
        <f>Q11+(Q19-Q11)/8</f>
        <v>-2.4375</v>
      </c>
      <c r="R12" s="3">
        <f t="shared" si="2"/>
        <v>35.47891667393494</v>
      </c>
      <c r="S12" s="3">
        <f t="shared" si="3"/>
        <v>33.877166666666668</v>
      </c>
      <c r="T12" s="3">
        <v>23</v>
      </c>
      <c r="V12">
        <v>2018</v>
      </c>
      <c r="W12" s="3">
        <f>'BEV time series'!D13</f>
        <v>393.33333333333331</v>
      </c>
      <c r="X12" s="3">
        <f>'Vehicle price'!AB14*50/60</f>
        <v>59.283175283126589</v>
      </c>
      <c r="Y12" s="3">
        <f>'BEV time series'!O13</f>
        <v>172.54333333333335</v>
      </c>
    </row>
    <row r="13" spans="1:28">
      <c r="A13" t="s">
        <v>209</v>
      </c>
      <c r="B13">
        <v>16.5</v>
      </c>
      <c r="J13">
        <v>2019</v>
      </c>
      <c r="K13" s="12">
        <f t="shared" si="0"/>
        <v>11.007423999454982</v>
      </c>
      <c r="L13" s="12">
        <f t="shared" si="1"/>
        <v>7.4071180555555554</v>
      </c>
      <c r="M13" s="21">
        <f>M12+(M19-M11)/8</f>
        <v>3.875</v>
      </c>
      <c r="N13" s="21">
        <f>N12+(N19-N11)/8</f>
        <v>16.25</v>
      </c>
      <c r="O13" s="21">
        <f>O12+(O19-O11)/8</f>
        <v>6.75</v>
      </c>
      <c r="P13" s="21">
        <f>P12+(P19-P11)/8</f>
        <v>0</v>
      </c>
      <c r="Q13" s="21">
        <f>Q12+(Q19-Q11)/8</f>
        <v>-1.875</v>
      </c>
      <c r="R13" s="3">
        <f t="shared" si="2"/>
        <v>36.007423999454986</v>
      </c>
      <c r="S13" s="3">
        <f t="shared" si="3"/>
        <v>32.407118055555557</v>
      </c>
      <c r="T13" s="3">
        <v>23</v>
      </c>
      <c r="V13">
        <v>2019</v>
      </c>
      <c r="W13" s="3">
        <f>'BEV time series'!D14</f>
        <v>470.55555555555554</v>
      </c>
      <c r="X13" s="3">
        <f>'Vehicle price'!AB15*50/60</f>
        <v>74.303014457823394</v>
      </c>
      <c r="Y13" s="3">
        <f>'BEV time series'!O14</f>
        <v>148.14236111111111</v>
      </c>
    </row>
    <row r="14" spans="1:28">
      <c r="A14" t="s">
        <v>210</v>
      </c>
      <c r="B14">
        <v>8</v>
      </c>
      <c r="C14" s="81" t="s">
        <v>216</v>
      </c>
      <c r="D14" s="81" t="s">
        <v>216</v>
      </c>
      <c r="F14" s="81" t="s">
        <v>216</v>
      </c>
      <c r="G14" s="81" t="s">
        <v>216</v>
      </c>
      <c r="H14" s="81" t="s">
        <v>216</v>
      </c>
      <c r="J14">
        <v>2020</v>
      </c>
      <c r="K14" s="12">
        <f t="shared" si="0"/>
        <v>11.004575567526491</v>
      </c>
      <c r="L14" s="12">
        <f t="shared" si="1"/>
        <v>6.16</v>
      </c>
      <c r="M14" s="21">
        <f>M13+(M19-M11)/8</f>
        <v>3.8125</v>
      </c>
      <c r="N14" s="21">
        <f>N13+(N19-N11)/8</f>
        <v>16.125</v>
      </c>
      <c r="O14" s="21">
        <f>O13+(O19-O11)/8</f>
        <v>6.125</v>
      </c>
      <c r="P14" s="21">
        <f>P13+(P19-P11)/8</f>
        <v>0</v>
      </c>
      <c r="Q14" s="21">
        <f>Q13+(Q19-Q11)/8</f>
        <v>-1.3125</v>
      </c>
      <c r="R14" s="3">
        <f t="shared" si="2"/>
        <v>35.754575567526487</v>
      </c>
      <c r="S14" s="3">
        <f t="shared" si="3"/>
        <v>30.909999999999997</v>
      </c>
      <c r="T14" s="3">
        <v>23</v>
      </c>
      <c r="V14">
        <v>2020</v>
      </c>
      <c r="W14" s="3">
        <f>'BEV time series'!D15</f>
        <v>547.77777777777783</v>
      </c>
      <c r="X14" s="3">
        <f>'Vehicle price'!AB16*50/60</f>
        <v>89.322853632520207</v>
      </c>
      <c r="Y14" s="3">
        <f>'BEV time series'!O15</f>
        <v>123.2</v>
      </c>
    </row>
    <row r="15" spans="1:28">
      <c r="A15" t="s">
        <v>212</v>
      </c>
      <c r="B15" s="18">
        <v>-3</v>
      </c>
      <c r="C15" s="18">
        <v>2025</v>
      </c>
      <c r="D15" s="18">
        <v>2030</v>
      </c>
      <c r="F15" s="18">
        <v>2017</v>
      </c>
      <c r="G15" s="18">
        <v>2025</v>
      </c>
      <c r="H15" s="18">
        <v>2030</v>
      </c>
      <c r="J15">
        <v>2021</v>
      </c>
      <c r="K15" s="12">
        <f t="shared" si="0"/>
        <v>10.399314478631281</v>
      </c>
      <c r="L15" s="12">
        <f t="shared" si="1"/>
        <v>4.98325</v>
      </c>
      <c r="M15" s="21">
        <f>M14+(M19-M11)/8</f>
        <v>3.75</v>
      </c>
      <c r="N15" s="21">
        <f>N14+(N19-N11)/8</f>
        <v>16</v>
      </c>
      <c r="O15" s="21">
        <f>O14+(O19-O11)/8</f>
        <v>5.5</v>
      </c>
      <c r="P15" s="21">
        <f>P14+(P19-P11)/8</f>
        <v>0</v>
      </c>
      <c r="Q15" s="21">
        <f>Q14+(Q19-Q11)/8</f>
        <v>-0.75</v>
      </c>
      <c r="R15" s="3">
        <f t="shared" si="2"/>
        <v>34.899314478631283</v>
      </c>
      <c r="S15" s="3">
        <f t="shared" si="3"/>
        <v>29.483249999999998</v>
      </c>
      <c r="T15" s="3">
        <v>23</v>
      </c>
      <c r="V15">
        <v>2021</v>
      </c>
      <c r="W15" s="3">
        <f>'BEV time series'!D16</f>
        <v>625</v>
      </c>
      <c r="X15" s="3">
        <f>'Vehicle price'!AB17*50/60</f>
        <v>104.34269280721699</v>
      </c>
      <c r="Y15" s="3">
        <f>'BEV time series'!O16</f>
        <v>99.664999999999992</v>
      </c>
    </row>
    <row r="16" spans="1:28">
      <c r="A16" t="s">
        <v>213</v>
      </c>
      <c r="B16" s="12">
        <f>SUM(B11:B15)</f>
        <v>34.94083333333333</v>
      </c>
      <c r="C16" s="12">
        <f>C11*C12/1000</f>
        <v>11.104246030671609</v>
      </c>
      <c r="D16" s="12">
        <f>D11*D12/1000</f>
        <v>7.7000246198087794</v>
      </c>
      <c r="F16" s="12">
        <f>F11*F12/1000</f>
        <v>9.4408333333333339</v>
      </c>
      <c r="G16" s="12">
        <f>G11*G12/1000</f>
        <v>3.5962500000000004</v>
      </c>
      <c r="H16" s="12">
        <f>H11*H12/1000</f>
        <v>2.4937500000000004</v>
      </c>
      <c r="J16">
        <v>2022</v>
      </c>
      <c r="K16" s="12">
        <f t="shared" si="0"/>
        <v>11.030147192043001</v>
      </c>
      <c r="L16" s="12">
        <f t="shared" si="1"/>
        <v>4.6124999999999989</v>
      </c>
      <c r="M16" s="21">
        <f>M15+(M19-M11)/8</f>
        <v>3.6875</v>
      </c>
      <c r="N16" s="21">
        <f>N15+(N19-N11)/8</f>
        <v>15.875</v>
      </c>
      <c r="O16" s="21">
        <f>O15+(O19-O11)/8</f>
        <v>4.875</v>
      </c>
      <c r="P16" s="21">
        <f>P15+(P19-P11)/8</f>
        <v>0</v>
      </c>
      <c r="Q16" s="21">
        <f>Q15+(Q19-Q11)/8</f>
        <v>-0.1875</v>
      </c>
      <c r="R16" s="3">
        <f t="shared" si="2"/>
        <v>35.280147192043003</v>
      </c>
      <c r="S16" s="3">
        <f t="shared" si="3"/>
        <v>28.862499999999997</v>
      </c>
      <c r="T16" s="3">
        <v>23</v>
      </c>
      <c r="V16">
        <v>2022</v>
      </c>
      <c r="W16" s="3">
        <f>'BEV time series'!D17</f>
        <v>703.27855980540699</v>
      </c>
      <c r="X16" s="3">
        <f>'Vehicle price'!AB18*50/60</f>
        <v>119.56799124165858</v>
      </c>
      <c r="Y16" s="3">
        <f>'BEV time series'!O17</f>
        <v>92.249999999999986</v>
      </c>
    </row>
    <row r="17" spans="3:27">
      <c r="C17">
        <v>3.5</v>
      </c>
      <c r="D17">
        <f>C17</f>
        <v>3.5</v>
      </c>
      <c r="F17">
        <v>4</v>
      </c>
      <c r="G17">
        <v>3.5</v>
      </c>
      <c r="H17">
        <f>G17</f>
        <v>3.5</v>
      </c>
      <c r="J17">
        <v>2023</v>
      </c>
      <c r="K17" s="12">
        <f t="shared" si="0"/>
        <v>10.931847818632443</v>
      </c>
      <c r="L17" s="12">
        <f t="shared" si="1"/>
        <v>4.2484999999999991</v>
      </c>
      <c r="M17" s="21">
        <f>M16+(M19-M11)/8</f>
        <v>3.625</v>
      </c>
      <c r="N17" s="21">
        <f>N16+(N19-N11)/8</f>
        <v>15.75</v>
      </c>
      <c r="O17" s="21">
        <f>O16+(O19-O11)/8</f>
        <v>4.25</v>
      </c>
      <c r="P17" s="21">
        <f>P16+(P19-P11)/8</f>
        <v>0</v>
      </c>
      <c r="Q17" s="21">
        <f>Q16+(Q19-Q11)/8</f>
        <v>0.375</v>
      </c>
      <c r="R17" s="3">
        <f t="shared" si="2"/>
        <v>34.931847818632441</v>
      </c>
      <c r="S17" s="3">
        <f t="shared" si="3"/>
        <v>28.2485</v>
      </c>
      <c r="T17" s="3">
        <v>23</v>
      </c>
      <c r="V17">
        <v>2023</v>
      </c>
      <c r="W17" s="3">
        <f>'BEV time series'!D18</f>
        <v>750</v>
      </c>
      <c r="X17" s="3">
        <f>'Vehicle price'!AB19*50/60</f>
        <v>128.65538211877657</v>
      </c>
      <c r="Y17" s="3">
        <f>'BEV time series'!O18</f>
        <v>84.969999999999985</v>
      </c>
    </row>
    <row r="18" spans="3:27">
      <c r="C18">
        <v>15.5</v>
      </c>
      <c r="D18">
        <f>C18</f>
        <v>15.5</v>
      </c>
      <c r="F18">
        <v>16.5</v>
      </c>
      <c r="G18">
        <v>15.5</v>
      </c>
      <c r="H18">
        <f>G18</f>
        <v>15.5</v>
      </c>
      <c r="J18">
        <v>2024</v>
      </c>
      <c r="K18" s="12">
        <f t="shared" si="0"/>
        <v>10.014534944125566</v>
      </c>
      <c r="L18" s="12">
        <f t="shared" si="1"/>
        <v>3.8919999999999986</v>
      </c>
      <c r="M18" s="21">
        <f>M17+(M19-M11)/8</f>
        <v>3.5625</v>
      </c>
      <c r="N18" s="21">
        <f>N17+(N19-N11)/8</f>
        <v>15.625</v>
      </c>
      <c r="O18" s="21">
        <f>O17+(O19-O11)/8</f>
        <v>3.625</v>
      </c>
      <c r="P18" s="21">
        <f>P17+(P19-P11)/8</f>
        <v>0</v>
      </c>
      <c r="Q18" s="21">
        <f>Q17+(Q19-Q11)/8</f>
        <v>0.9375</v>
      </c>
      <c r="R18" s="3">
        <f t="shared" si="2"/>
        <v>33.764534944125565</v>
      </c>
      <c r="S18" s="3">
        <f t="shared" si="3"/>
        <v>27.641999999999999</v>
      </c>
      <c r="T18" s="3">
        <v>23</v>
      </c>
      <c r="V18">
        <v>2024</v>
      </c>
      <c r="W18" s="3">
        <f>'BEV time series'!D19</f>
        <v>750</v>
      </c>
      <c r="X18" s="3">
        <f>'Vehicle price'!AB20*50/60</f>
        <v>128.65538211877657</v>
      </c>
      <c r="Y18" s="3">
        <f>'BEV time series'!O19</f>
        <v>77.839999999999975</v>
      </c>
    </row>
    <row r="19" spans="3:27">
      <c r="C19">
        <v>3</v>
      </c>
      <c r="D19">
        <f>C19</f>
        <v>3</v>
      </c>
      <c r="F19">
        <v>8</v>
      </c>
      <c r="G19">
        <v>3</v>
      </c>
      <c r="H19">
        <f>G19</f>
        <v>3</v>
      </c>
      <c r="J19">
        <v>2025</v>
      </c>
      <c r="K19" s="12">
        <f t="shared" si="0"/>
        <v>9.2535383588930067</v>
      </c>
      <c r="L19" s="12">
        <f t="shared" si="1"/>
        <v>3.5962500000000004</v>
      </c>
      <c r="M19" s="12">
        <v>3.5</v>
      </c>
      <c r="N19" s="12">
        <v>15.5</v>
      </c>
      <c r="O19" s="12">
        <v>3</v>
      </c>
      <c r="P19" s="12">
        <v>0</v>
      </c>
      <c r="Q19" s="62">
        <v>1.5</v>
      </c>
      <c r="R19" s="3">
        <f t="shared" si="2"/>
        <v>32.75353835889301</v>
      </c>
      <c r="S19" s="3">
        <f t="shared" si="3"/>
        <v>27.096250000000001</v>
      </c>
      <c r="T19" s="3">
        <v>23</v>
      </c>
      <c r="V19">
        <v>2025</v>
      </c>
      <c r="W19" s="3">
        <f>'BEV time series'!D20</f>
        <v>750</v>
      </c>
      <c r="X19" s="3">
        <f>'Vehicle price'!AB21*50/60</f>
        <v>128.65538211877657</v>
      </c>
      <c r="Y19" s="3">
        <f>'BEV time series'!O20</f>
        <v>71.925000000000011</v>
      </c>
    </row>
    <row r="20" spans="3:27">
      <c r="C20" s="18">
        <v>1.5</v>
      </c>
      <c r="D20" s="18">
        <f>C20</f>
        <v>1.5</v>
      </c>
      <c r="F20" s="18">
        <v>-3</v>
      </c>
      <c r="G20" s="18">
        <v>1.5</v>
      </c>
      <c r="H20" s="18">
        <f>G20</f>
        <v>1.5</v>
      </c>
      <c r="J20">
        <v>2026</v>
      </c>
      <c r="K20" s="12">
        <f t="shared" si="0"/>
        <v>8.7131857539941446</v>
      </c>
      <c r="L20" s="12">
        <f t="shared" si="1"/>
        <v>3.3862500000000004</v>
      </c>
      <c r="M20" s="21">
        <f>M19+(M24-M19)/5</f>
        <v>3.5</v>
      </c>
      <c r="N20" s="21">
        <f>N19+(N24-N19)/5</f>
        <v>15.5</v>
      </c>
      <c r="O20" s="21">
        <f>O19+(O24-O19)/5</f>
        <v>3</v>
      </c>
      <c r="P20" s="21">
        <f>P19+(P24-P19)/5</f>
        <v>0</v>
      </c>
      <c r="Q20" s="21">
        <f>Q19+(Q24-Q19)/5</f>
        <v>1.5</v>
      </c>
      <c r="R20" s="3">
        <f t="shared" si="2"/>
        <v>32.213185753994146</v>
      </c>
      <c r="S20" s="3">
        <f t="shared" si="3"/>
        <v>26.88625</v>
      </c>
      <c r="T20" s="3">
        <v>23</v>
      </c>
      <c r="V20">
        <v>2026</v>
      </c>
      <c r="W20" s="3">
        <f>'BEV time series'!D21</f>
        <v>750</v>
      </c>
      <c r="X20" s="3">
        <f>'Vehicle price'!AB22*50/60</f>
        <v>128.65538211877657</v>
      </c>
      <c r="Y20" s="3">
        <f>'BEV time series'!O21</f>
        <v>67.725000000000009</v>
      </c>
    </row>
    <row r="21" spans="3:27">
      <c r="C21" s="12">
        <f>SUM(C16:C20)</f>
        <v>34.604246030671611</v>
      </c>
      <c r="D21" s="12">
        <f>SUM(D16:D20)</f>
        <v>31.200024619808779</v>
      </c>
      <c r="F21" s="12">
        <f>SUM(F16:F20)</f>
        <v>34.94083333333333</v>
      </c>
      <c r="G21" s="12">
        <f>SUM(G16:G20)</f>
        <v>27.096250000000001</v>
      </c>
      <c r="H21" s="12">
        <f>SUM(H16:H20)</f>
        <v>25.993749999999999</v>
      </c>
      <c r="J21">
        <v>2027</v>
      </c>
      <c r="K21" s="12">
        <f t="shared" si="0"/>
        <v>8.1728331490952808</v>
      </c>
      <c r="L21" s="12">
        <f t="shared" si="1"/>
        <v>3.17625</v>
      </c>
      <c r="M21" s="21">
        <f>M20+(M24-M19)/5</f>
        <v>3.5</v>
      </c>
      <c r="N21" s="21">
        <f>N20+(N24-N19)/5</f>
        <v>15.5</v>
      </c>
      <c r="O21" s="21">
        <f>O20+(O24-O19)/5</f>
        <v>3</v>
      </c>
      <c r="P21" s="21">
        <f>P20+(P24-P19)/5</f>
        <v>0</v>
      </c>
      <c r="Q21" s="21">
        <f>Q20+(Q24-Q19)/5</f>
        <v>1.5</v>
      </c>
      <c r="R21" s="3">
        <f t="shared" si="2"/>
        <v>31.672833149095283</v>
      </c>
      <c r="S21" s="3">
        <f t="shared" si="3"/>
        <v>26.67625</v>
      </c>
      <c r="T21" s="3">
        <v>23</v>
      </c>
      <c r="V21">
        <v>2027</v>
      </c>
      <c r="W21" s="3">
        <f>'BEV time series'!D22</f>
        <v>750</v>
      </c>
      <c r="X21" s="3">
        <f>'Vehicle price'!AB23*50/60</f>
        <v>128.65538211877657</v>
      </c>
      <c r="Y21" s="3">
        <f>'BEV time series'!O22</f>
        <v>63.524999999999999</v>
      </c>
    </row>
    <row r="22" spans="3:27">
      <c r="J22">
        <v>2028</v>
      </c>
      <c r="K22" s="12">
        <f t="shared" si="0"/>
        <v>7.5649364685840617</v>
      </c>
      <c r="L22" s="12">
        <f t="shared" si="1"/>
        <v>2.94</v>
      </c>
      <c r="M22" s="21">
        <f>M21+(M24-M19)/5</f>
        <v>3.5</v>
      </c>
      <c r="N22" s="21">
        <f>N21+(N24-N19)/5</f>
        <v>15.5</v>
      </c>
      <c r="O22" s="21">
        <f>O21+(O24-O19)/5</f>
        <v>3</v>
      </c>
      <c r="P22" s="21">
        <f>P21+(P24-P19)/5</f>
        <v>0</v>
      </c>
      <c r="Q22" s="21">
        <f>Q21+(Q24-Q19)/5</f>
        <v>1.5</v>
      </c>
      <c r="R22" s="3">
        <f t="shared" si="2"/>
        <v>31.064936468584062</v>
      </c>
      <c r="S22" s="3">
        <f t="shared" si="3"/>
        <v>26.439999999999998</v>
      </c>
      <c r="T22" s="3">
        <v>23</v>
      </c>
      <c r="V22">
        <v>2028</v>
      </c>
      <c r="W22" s="3">
        <f>'BEV time series'!D23</f>
        <v>750</v>
      </c>
      <c r="X22" s="3">
        <f>'Vehicle price'!AB24*50/60</f>
        <v>128.65538211877657</v>
      </c>
      <c r="Y22" s="3">
        <f>'BEV time series'!O23</f>
        <v>58.8</v>
      </c>
    </row>
    <row r="23" spans="3:27">
      <c r="J23">
        <v>2029</v>
      </c>
      <c r="K23" s="12">
        <f t="shared" si="0"/>
        <v>7.0245838636852014</v>
      </c>
      <c r="L23" s="12">
        <f t="shared" si="1"/>
        <v>2.73</v>
      </c>
      <c r="M23" s="21">
        <f>M22+(M24-M19)/5</f>
        <v>3.5</v>
      </c>
      <c r="N23" s="21">
        <f>N22+(N24-N19)/5</f>
        <v>15.5</v>
      </c>
      <c r="O23" s="21">
        <f>O22+(O24-O19)/5</f>
        <v>3</v>
      </c>
      <c r="P23" s="21">
        <f>P22+(P24-P19)/5</f>
        <v>0</v>
      </c>
      <c r="Q23" s="21">
        <f>Q22+(Q24-Q19)/5</f>
        <v>1.5</v>
      </c>
      <c r="R23" s="3">
        <f t="shared" si="2"/>
        <v>30.524583863685201</v>
      </c>
      <c r="S23" s="3">
        <f t="shared" si="3"/>
        <v>26.23</v>
      </c>
      <c r="T23" s="3">
        <v>23</v>
      </c>
      <c r="V23">
        <v>2029</v>
      </c>
      <c r="W23" s="3">
        <f>'BEV time series'!D24</f>
        <v>750</v>
      </c>
      <c r="X23" s="3">
        <f>'Vehicle price'!AB25*50/60</f>
        <v>128.65538211877657</v>
      </c>
      <c r="Y23" s="3">
        <f>'BEV time series'!O24</f>
        <v>54.6</v>
      </c>
    </row>
    <row r="24" spans="3:27">
      <c r="J24">
        <v>2030</v>
      </c>
      <c r="K24" s="12">
        <f t="shared" si="0"/>
        <v>6.4166871831739831</v>
      </c>
      <c r="L24" s="12">
        <f t="shared" si="1"/>
        <v>2.4937500000000004</v>
      </c>
      <c r="M24" s="12">
        <v>3.5</v>
      </c>
      <c r="N24" s="12">
        <v>15.5</v>
      </c>
      <c r="O24" s="12">
        <v>3</v>
      </c>
      <c r="P24" s="12">
        <v>0</v>
      </c>
      <c r="Q24" s="62">
        <v>1.5</v>
      </c>
      <c r="R24" s="3">
        <f t="shared" si="2"/>
        <v>29.916687183173984</v>
      </c>
      <c r="S24" s="3">
        <f t="shared" si="3"/>
        <v>25.993749999999999</v>
      </c>
      <c r="T24" s="3">
        <v>23</v>
      </c>
      <c r="V24">
        <v>2030</v>
      </c>
      <c r="W24" s="3">
        <f>'BEV time series'!D25</f>
        <v>750</v>
      </c>
      <c r="X24" s="3">
        <f>'Vehicle price'!AB26*50/60</f>
        <v>128.65538211877657</v>
      </c>
      <c r="Y24" s="3">
        <f>'BEV time series'!O25</f>
        <v>49.875000000000007</v>
      </c>
    </row>
    <row r="25" spans="3:27">
      <c r="AA25" t="s">
        <v>258</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46"/>
  <sheetViews>
    <sheetView zoomScale="75" zoomScaleNormal="75" workbookViewId="0">
      <selection activeCell="AE58" sqref="AE58"/>
    </sheetView>
  </sheetViews>
  <sheetFormatPr defaultRowHeight="15"/>
  <cols>
    <col min="16" max="16" width="10.42578125" customWidth="1"/>
  </cols>
  <sheetData>
    <row r="2" spans="1:11">
      <c r="A2" t="s">
        <v>612</v>
      </c>
    </row>
    <row r="4" spans="1:11">
      <c r="A4" s="141" t="s">
        <v>614</v>
      </c>
    </row>
    <row r="5" spans="1:11">
      <c r="A5" t="s">
        <v>613</v>
      </c>
    </row>
    <row r="7" spans="1:11">
      <c r="A7" s="141" t="s">
        <v>615</v>
      </c>
    </row>
    <row r="13" spans="1:11">
      <c r="A13" t="s">
        <v>616</v>
      </c>
      <c r="J13" t="s">
        <v>617</v>
      </c>
    </row>
    <row r="14" spans="1:11">
      <c r="B14" t="s">
        <v>5</v>
      </c>
      <c r="C14" t="s">
        <v>324</v>
      </c>
      <c r="D14" t="s">
        <v>158</v>
      </c>
      <c r="K14" t="s">
        <v>5</v>
      </c>
    </row>
    <row r="15" spans="1:11">
      <c r="A15">
        <v>2010</v>
      </c>
      <c r="C15">
        <v>880</v>
      </c>
      <c r="D15">
        <f t="shared" ref="D15:D20" si="0">B15+C15</f>
        <v>880</v>
      </c>
      <c r="J15">
        <v>2010</v>
      </c>
    </row>
    <row r="16" spans="1:11">
      <c r="A16">
        <v>2011</v>
      </c>
      <c r="C16">
        <v>1330</v>
      </c>
      <c r="D16">
        <f t="shared" si="0"/>
        <v>1330</v>
      </c>
      <c r="J16">
        <v>2011</v>
      </c>
      <c r="K16">
        <v>450</v>
      </c>
    </row>
    <row r="17" spans="1:24">
      <c r="A17">
        <v>2012</v>
      </c>
      <c r="C17">
        <v>2760</v>
      </c>
      <c r="D17">
        <f t="shared" si="0"/>
        <v>2760</v>
      </c>
      <c r="J17">
        <v>2012</v>
      </c>
      <c r="K17">
        <v>143</v>
      </c>
    </row>
    <row r="18" spans="1:24">
      <c r="A18">
        <v>2013</v>
      </c>
      <c r="B18">
        <v>190</v>
      </c>
      <c r="C18">
        <v>2950</v>
      </c>
      <c r="D18">
        <f t="shared" si="0"/>
        <v>3140</v>
      </c>
      <c r="J18">
        <v>2013</v>
      </c>
      <c r="K18">
        <v>380</v>
      </c>
    </row>
    <row r="19" spans="1:24">
      <c r="A19">
        <v>2014</v>
      </c>
      <c r="B19">
        <v>660</v>
      </c>
      <c r="C19">
        <v>3350</v>
      </c>
      <c r="D19">
        <f t="shared" si="0"/>
        <v>4010</v>
      </c>
      <c r="J19">
        <v>2014</v>
      </c>
      <c r="K19">
        <v>890</v>
      </c>
    </row>
    <row r="20" spans="1:24">
      <c r="A20">
        <v>2015</v>
      </c>
      <c r="B20">
        <v>1660</v>
      </c>
      <c r="C20">
        <v>4350</v>
      </c>
      <c r="D20">
        <f t="shared" si="0"/>
        <v>6010</v>
      </c>
      <c r="J20">
        <v>2015</v>
      </c>
      <c r="K20">
        <v>650</v>
      </c>
    </row>
    <row r="21" spans="1:24">
      <c r="A21">
        <v>2016</v>
      </c>
      <c r="J21">
        <v>2016</v>
      </c>
      <c r="K21">
        <v>1050</v>
      </c>
      <c r="Q21" t="s">
        <v>627</v>
      </c>
    </row>
    <row r="22" spans="1:24">
      <c r="A22">
        <v>2017</v>
      </c>
      <c r="J22">
        <v>2017</v>
      </c>
      <c r="K22">
        <v>2000</v>
      </c>
      <c r="Q22" t="s">
        <v>519</v>
      </c>
      <c r="T22" t="s">
        <v>703</v>
      </c>
    </row>
    <row r="23" spans="1:24">
      <c r="Q23" t="s">
        <v>628</v>
      </c>
      <c r="R23" t="s">
        <v>628</v>
      </c>
      <c r="S23" t="s">
        <v>629</v>
      </c>
      <c r="T23" t="s">
        <v>628</v>
      </c>
      <c r="U23">
        <v>2520.4209999999998</v>
      </c>
    </row>
    <row r="24" spans="1:24">
      <c r="P24">
        <v>2011</v>
      </c>
      <c r="Q24">
        <v>2514</v>
      </c>
      <c r="U24">
        <v>2514</v>
      </c>
    </row>
    <row r="25" spans="1:24">
      <c r="P25">
        <v>2012</v>
      </c>
      <c r="Q25">
        <v>2761</v>
      </c>
      <c r="R25" s="3">
        <f>R26*(100-S26)/100</f>
        <v>2652.1234178088962</v>
      </c>
      <c r="S25">
        <v>9.3000000000000007</v>
      </c>
      <c r="U25">
        <v>2761</v>
      </c>
    </row>
    <row r="26" spans="1:24">
      <c r="P26">
        <v>2013</v>
      </c>
      <c r="Q26">
        <v>2277</v>
      </c>
      <c r="R26" s="3">
        <f>R27*(100-S27)/100</f>
        <v>2473.9957255680001</v>
      </c>
      <c r="S26">
        <v>-7.2</v>
      </c>
      <c r="T26">
        <v>2578</v>
      </c>
      <c r="U26">
        <v>2277</v>
      </c>
    </row>
    <row r="27" spans="1:24">
      <c r="A27" t="s">
        <v>618</v>
      </c>
      <c r="P27">
        <v>2014</v>
      </c>
      <c r="Q27">
        <v>2393</v>
      </c>
      <c r="R27" s="3">
        <f>R28*(100-S28)/100</f>
        <v>2491.4357760000003</v>
      </c>
      <c r="S27">
        <v>0.7</v>
      </c>
      <c r="T27">
        <v>2573</v>
      </c>
      <c r="U27">
        <v>2393</v>
      </c>
    </row>
    <row r="28" spans="1:24">
      <c r="P28">
        <v>2015</v>
      </c>
      <c r="R28" s="3">
        <f>R29*(100-S29)/100</f>
        <v>2702.2080000000001</v>
      </c>
      <c r="S28">
        <v>7.8</v>
      </c>
      <c r="T28">
        <v>2727</v>
      </c>
      <c r="U28">
        <v>2702.2080000000001</v>
      </c>
    </row>
    <row r="29" spans="1:24">
      <c r="A29" s="14" t="s">
        <v>620</v>
      </c>
      <c r="B29" t="s">
        <v>619</v>
      </c>
      <c r="C29" t="s">
        <v>517</v>
      </c>
      <c r="F29" t="s">
        <v>621</v>
      </c>
      <c r="P29">
        <v>2016</v>
      </c>
      <c r="R29" s="3">
        <f>R30*(100-S30)/100</f>
        <v>2905.6</v>
      </c>
      <c r="S29">
        <v>7</v>
      </c>
      <c r="T29">
        <v>2830</v>
      </c>
      <c r="U29">
        <v>2905.6</v>
      </c>
    </row>
    <row r="30" spans="1:24">
      <c r="A30">
        <v>2004</v>
      </c>
      <c r="B30">
        <v>300</v>
      </c>
      <c r="F30" t="s">
        <v>622</v>
      </c>
      <c r="P30">
        <v>2017</v>
      </c>
      <c r="R30">
        <v>3200</v>
      </c>
      <c r="S30">
        <v>9.1999999999999993</v>
      </c>
      <c r="T30">
        <v>2950</v>
      </c>
      <c r="U30">
        <v>3200</v>
      </c>
    </row>
    <row r="31" spans="1:24">
      <c r="A31">
        <v>2005</v>
      </c>
      <c r="B31">
        <v>399</v>
      </c>
      <c r="C31">
        <f>B31-B30</f>
        <v>99</v>
      </c>
    </row>
    <row r="32" spans="1:24">
      <c r="A32">
        <v>2006</v>
      </c>
      <c r="B32">
        <v>522</v>
      </c>
      <c r="C32">
        <f t="shared" ref="C32:C43" si="1">B32-B31</f>
        <v>123</v>
      </c>
      <c r="F32" t="s">
        <v>625</v>
      </c>
      <c r="L32" t="s">
        <v>638</v>
      </c>
      <c r="S32" t="s">
        <v>639</v>
      </c>
      <c r="X32" t="s">
        <v>641</v>
      </c>
    </row>
    <row r="33" spans="1:25">
      <c r="A33">
        <v>2007</v>
      </c>
      <c r="B33">
        <v>657</v>
      </c>
      <c r="C33">
        <f t="shared" si="1"/>
        <v>135</v>
      </c>
      <c r="F33" t="s">
        <v>623</v>
      </c>
      <c r="M33" t="s">
        <v>519</v>
      </c>
      <c r="N33" t="s">
        <v>635</v>
      </c>
      <c r="O33" t="s">
        <v>636</v>
      </c>
      <c r="P33" t="s">
        <v>637</v>
      </c>
      <c r="Q33" t="s">
        <v>640</v>
      </c>
      <c r="T33" t="s">
        <v>519</v>
      </c>
      <c r="U33" t="s">
        <v>637</v>
      </c>
      <c r="X33" t="s">
        <v>642</v>
      </c>
      <c r="Y33" t="s">
        <v>637</v>
      </c>
    </row>
    <row r="34" spans="1:25">
      <c r="A34">
        <v>2008</v>
      </c>
      <c r="B34">
        <v>852</v>
      </c>
      <c r="C34">
        <f t="shared" si="1"/>
        <v>195</v>
      </c>
      <c r="F34" t="s">
        <v>624</v>
      </c>
      <c r="L34">
        <v>2005</v>
      </c>
      <c r="M34" s="84"/>
      <c r="N34" s="84">
        <f t="shared" ref="N34:N46" si="2">C31/1000</f>
        <v>9.9000000000000005E-2</v>
      </c>
      <c r="O34" s="84"/>
      <c r="P34" s="84"/>
      <c r="Q34" s="84">
        <f>N34</f>
        <v>9.9000000000000005E-2</v>
      </c>
      <c r="R34" s="84"/>
      <c r="S34">
        <v>2005</v>
      </c>
      <c r="U34" s="14">
        <v>0</v>
      </c>
      <c r="W34">
        <v>2005</v>
      </c>
      <c r="X34" s="84">
        <f>Q34+U34</f>
        <v>9.9000000000000005E-2</v>
      </c>
    </row>
    <row r="35" spans="1:25">
      <c r="A35">
        <v>2009</v>
      </c>
      <c r="B35">
        <v>1191</v>
      </c>
      <c r="C35">
        <f t="shared" si="1"/>
        <v>339</v>
      </c>
      <c r="L35">
        <v>2006</v>
      </c>
      <c r="M35" s="84"/>
      <c r="N35" s="84">
        <f t="shared" si="2"/>
        <v>0.123</v>
      </c>
      <c r="O35" s="84"/>
      <c r="P35" s="84"/>
      <c r="Q35" s="84">
        <f>N35</f>
        <v>0.123</v>
      </c>
      <c r="R35" s="84"/>
      <c r="S35">
        <v>2006</v>
      </c>
      <c r="U35" s="14">
        <v>0</v>
      </c>
      <c r="W35">
        <v>2006</v>
      </c>
      <c r="X35" s="84">
        <f t="shared" ref="X35:X46" si="3">Q35+U35</f>
        <v>0.123</v>
      </c>
    </row>
    <row r="36" spans="1:25">
      <c r="A36">
        <v>2010</v>
      </c>
      <c r="B36">
        <v>1421</v>
      </c>
      <c r="C36">
        <f t="shared" si="1"/>
        <v>230</v>
      </c>
      <c r="L36">
        <v>2007</v>
      </c>
      <c r="M36" s="84"/>
      <c r="N36" s="84">
        <f t="shared" si="2"/>
        <v>0.13500000000000001</v>
      </c>
      <c r="O36" s="84"/>
      <c r="P36" s="84"/>
      <c r="Q36" s="84">
        <f>N36</f>
        <v>0.13500000000000001</v>
      </c>
      <c r="R36" s="84"/>
      <c r="S36">
        <v>2007</v>
      </c>
      <c r="U36" s="14">
        <v>0</v>
      </c>
      <c r="W36">
        <v>2007</v>
      </c>
      <c r="X36" s="84">
        <f t="shared" si="3"/>
        <v>0.13500000000000001</v>
      </c>
    </row>
    <row r="37" spans="1:25">
      <c r="A37">
        <v>2011</v>
      </c>
      <c r="B37">
        <v>1790</v>
      </c>
      <c r="C37">
        <f t="shared" si="1"/>
        <v>369</v>
      </c>
      <c r="L37">
        <v>2008</v>
      </c>
      <c r="M37" s="84">
        <v>0.37</v>
      </c>
      <c r="N37" s="84">
        <f t="shared" si="2"/>
        <v>0.19500000000000001</v>
      </c>
      <c r="O37" s="84"/>
      <c r="P37" s="84"/>
      <c r="Q37" s="84">
        <f>N37</f>
        <v>0.19500000000000001</v>
      </c>
      <c r="R37" s="84"/>
      <c r="S37">
        <v>2008</v>
      </c>
      <c r="T37" s="22" t="s">
        <v>634</v>
      </c>
      <c r="U37" s="14">
        <v>0</v>
      </c>
      <c r="W37">
        <v>2008</v>
      </c>
      <c r="X37" s="84">
        <f t="shared" si="3"/>
        <v>0.19500000000000001</v>
      </c>
    </row>
    <row r="38" spans="1:25">
      <c r="A38">
        <v>2012</v>
      </c>
      <c r="B38">
        <v>2090</v>
      </c>
      <c r="C38">
        <f t="shared" si="1"/>
        <v>300</v>
      </c>
      <c r="L38">
        <v>2009</v>
      </c>
      <c r="M38" s="84">
        <v>0.16</v>
      </c>
      <c r="N38" s="84">
        <f t="shared" si="2"/>
        <v>0.33900000000000002</v>
      </c>
      <c r="O38" s="84"/>
      <c r="P38" s="84"/>
      <c r="Q38" s="84">
        <f>AVERAGE(M38:N38)</f>
        <v>0.2495</v>
      </c>
      <c r="R38" s="84"/>
      <c r="S38">
        <v>2009</v>
      </c>
      <c r="T38" s="22" t="s">
        <v>634</v>
      </c>
      <c r="U38" s="14">
        <f>U39/2</f>
        <v>0.44</v>
      </c>
      <c r="W38">
        <v>2009</v>
      </c>
      <c r="X38" s="84">
        <f t="shared" si="3"/>
        <v>0.6895</v>
      </c>
    </row>
    <row r="39" spans="1:25">
      <c r="A39">
        <v>2013</v>
      </c>
      <c r="B39">
        <v>2500</v>
      </c>
      <c r="C39">
        <f t="shared" si="1"/>
        <v>410</v>
      </c>
      <c r="L39">
        <v>2010</v>
      </c>
      <c r="M39" s="84">
        <v>0.35</v>
      </c>
      <c r="N39" s="84">
        <f t="shared" si="2"/>
        <v>0.23</v>
      </c>
      <c r="O39" s="84"/>
      <c r="P39" s="93">
        <f>Q39</f>
        <v>0.28999999999999998</v>
      </c>
      <c r="Q39" s="84">
        <f>AVERAGE(M39:N39)</f>
        <v>0.28999999999999998</v>
      </c>
      <c r="R39" s="84"/>
      <c r="S39">
        <v>2010</v>
      </c>
      <c r="T39" s="22" t="s">
        <v>634</v>
      </c>
      <c r="U39">
        <f t="shared" ref="U39:U44" si="4">C15/1000</f>
        <v>0.88</v>
      </c>
      <c r="W39">
        <v>2010</v>
      </c>
      <c r="X39" s="84">
        <f>Q39+U39</f>
        <v>1.17</v>
      </c>
      <c r="Y39" s="84">
        <f t="shared" ref="Y39:Y44" si="5">P39+U39</f>
        <v>1.17</v>
      </c>
    </row>
    <row r="40" spans="1:25">
      <c r="A40">
        <v>2014</v>
      </c>
      <c r="B40">
        <v>2700</v>
      </c>
      <c r="C40">
        <f t="shared" si="1"/>
        <v>200</v>
      </c>
      <c r="L40">
        <v>2011</v>
      </c>
      <c r="M40" s="84">
        <v>0.45</v>
      </c>
      <c r="N40" s="84">
        <f t="shared" si="2"/>
        <v>0.36899999999999999</v>
      </c>
      <c r="O40" s="84">
        <f t="shared" ref="O40:O46" si="6">K16/1000</f>
        <v>0.45</v>
      </c>
      <c r="P40" s="93">
        <f>Q40</f>
        <v>0.40949999999999998</v>
      </c>
      <c r="Q40" s="84">
        <f>AVERAGE(M40:N40)</f>
        <v>0.40949999999999998</v>
      </c>
      <c r="R40" s="84"/>
      <c r="S40">
        <v>2011</v>
      </c>
      <c r="T40" s="22" t="s">
        <v>634</v>
      </c>
      <c r="U40">
        <f t="shared" si="4"/>
        <v>1.33</v>
      </c>
      <c r="W40">
        <v>2011</v>
      </c>
      <c r="X40" s="84">
        <f t="shared" si="3"/>
        <v>1.7395</v>
      </c>
      <c r="Y40" s="84">
        <f t="shared" si="5"/>
        <v>1.7395</v>
      </c>
    </row>
    <row r="41" spans="1:25">
      <c r="A41">
        <v>2015</v>
      </c>
      <c r="B41">
        <v>3100</v>
      </c>
      <c r="C41">
        <f t="shared" si="1"/>
        <v>400</v>
      </c>
      <c r="L41">
        <v>2012</v>
      </c>
      <c r="M41" s="93">
        <v>1.43</v>
      </c>
      <c r="N41" s="84">
        <f t="shared" si="2"/>
        <v>0.3</v>
      </c>
      <c r="O41" s="84">
        <f t="shared" si="6"/>
        <v>0.14299999999999999</v>
      </c>
      <c r="P41" s="93">
        <f>Q41</f>
        <v>0.3</v>
      </c>
      <c r="Q41" s="84">
        <f>N41</f>
        <v>0.3</v>
      </c>
      <c r="R41" s="84"/>
      <c r="S41">
        <v>2012</v>
      </c>
      <c r="T41" s="22" t="s">
        <v>634</v>
      </c>
      <c r="U41">
        <f t="shared" si="4"/>
        <v>2.76</v>
      </c>
      <c r="W41">
        <v>2012</v>
      </c>
      <c r="X41" s="84">
        <f t="shared" si="3"/>
        <v>3.0599999999999996</v>
      </c>
      <c r="Y41" s="84">
        <f t="shared" si="5"/>
        <v>3.0599999999999996</v>
      </c>
    </row>
    <row r="42" spans="1:25">
      <c r="A42">
        <v>2016</v>
      </c>
      <c r="B42">
        <v>5100</v>
      </c>
      <c r="C42">
        <f t="shared" si="1"/>
        <v>2000</v>
      </c>
      <c r="L42">
        <v>2013</v>
      </c>
      <c r="M42" s="84">
        <v>0.19</v>
      </c>
      <c r="N42" s="84">
        <f t="shared" si="2"/>
        <v>0.41</v>
      </c>
      <c r="O42" s="84">
        <f t="shared" si="6"/>
        <v>0.38</v>
      </c>
      <c r="P42" s="84">
        <f>B18/1000</f>
        <v>0.19</v>
      </c>
      <c r="Q42" s="84">
        <f>N42</f>
        <v>0.41</v>
      </c>
      <c r="R42" s="84"/>
      <c r="S42">
        <v>2013</v>
      </c>
      <c r="T42" s="22" t="s">
        <v>634</v>
      </c>
      <c r="U42">
        <f t="shared" si="4"/>
        <v>2.95</v>
      </c>
      <c r="W42">
        <v>2013</v>
      </c>
      <c r="X42" s="84">
        <f t="shared" si="3"/>
        <v>3.3600000000000003</v>
      </c>
      <c r="Y42" s="84">
        <f t="shared" si="5"/>
        <v>3.14</v>
      </c>
    </row>
    <row r="43" spans="1:25">
      <c r="A43">
        <v>2017</v>
      </c>
      <c r="B43">
        <v>7100</v>
      </c>
      <c r="C43">
        <f t="shared" si="1"/>
        <v>2000</v>
      </c>
      <c r="L43">
        <v>2014</v>
      </c>
      <c r="M43" s="84">
        <v>0.41</v>
      </c>
      <c r="N43" s="93">
        <f t="shared" si="2"/>
        <v>0.2</v>
      </c>
      <c r="O43" s="84">
        <f t="shared" si="6"/>
        <v>0.89</v>
      </c>
      <c r="P43" s="84">
        <f>B19/1000</f>
        <v>0.66</v>
      </c>
      <c r="Q43" s="84">
        <f>AVERAGE(M43,O43)</f>
        <v>0.65</v>
      </c>
      <c r="R43" s="84"/>
      <c r="S43">
        <v>2014</v>
      </c>
      <c r="T43" s="22" t="s">
        <v>634</v>
      </c>
      <c r="U43">
        <f t="shared" si="4"/>
        <v>3.35</v>
      </c>
      <c r="W43">
        <v>2014</v>
      </c>
      <c r="X43" s="84">
        <f t="shared" si="3"/>
        <v>4</v>
      </c>
      <c r="Y43" s="84">
        <f t="shared" si="5"/>
        <v>4.01</v>
      </c>
    </row>
    <row r="44" spans="1:25">
      <c r="L44">
        <v>2015</v>
      </c>
      <c r="M44" s="84">
        <v>1</v>
      </c>
      <c r="N44" s="93">
        <f t="shared" si="2"/>
        <v>0.4</v>
      </c>
      <c r="O44" s="84">
        <f t="shared" si="6"/>
        <v>0.65</v>
      </c>
      <c r="P44" s="93">
        <f>B20/1000</f>
        <v>1.66</v>
      </c>
      <c r="Q44" s="84">
        <f>AVERAGE(M44,O44)</f>
        <v>0.82499999999999996</v>
      </c>
      <c r="R44" s="84"/>
      <c r="S44">
        <v>2015</v>
      </c>
      <c r="T44" s="22" t="s">
        <v>634</v>
      </c>
      <c r="U44">
        <f t="shared" si="4"/>
        <v>4.3499999999999996</v>
      </c>
      <c r="W44">
        <v>2015</v>
      </c>
      <c r="X44" s="84">
        <f t="shared" si="3"/>
        <v>5.1749999999999998</v>
      </c>
      <c r="Y44" s="93">
        <f t="shared" si="5"/>
        <v>6.01</v>
      </c>
    </row>
    <row r="45" spans="1:25">
      <c r="L45">
        <v>2016</v>
      </c>
      <c r="M45" s="93">
        <v>0.45</v>
      </c>
      <c r="N45" s="93">
        <f t="shared" si="2"/>
        <v>2</v>
      </c>
      <c r="O45" s="93">
        <f t="shared" si="6"/>
        <v>1.05</v>
      </c>
      <c r="P45" s="84"/>
      <c r="Q45" s="20">
        <f>(Q44+Q46)/2</f>
        <v>1.4125000000000001</v>
      </c>
      <c r="R45" s="84"/>
      <c r="S45">
        <v>2016</v>
      </c>
      <c r="T45" s="22" t="s">
        <v>634</v>
      </c>
      <c r="U45" s="14">
        <f>U44+U44-U43</f>
        <v>5.35</v>
      </c>
      <c r="W45">
        <v>2016</v>
      </c>
      <c r="X45" s="84">
        <f t="shared" si="3"/>
        <v>6.7624999999999993</v>
      </c>
    </row>
    <row r="46" spans="1:25">
      <c r="L46">
        <v>2017</v>
      </c>
      <c r="M46" s="84"/>
      <c r="N46" s="84">
        <f t="shared" si="2"/>
        <v>2</v>
      </c>
      <c r="O46" s="84">
        <f t="shared" si="6"/>
        <v>2</v>
      </c>
      <c r="P46" s="84"/>
      <c r="Q46" s="84">
        <f>O46</f>
        <v>2</v>
      </c>
      <c r="R46" s="84"/>
      <c r="S46">
        <v>2017</v>
      </c>
      <c r="T46" s="22" t="s">
        <v>634</v>
      </c>
      <c r="U46" s="14">
        <f>U45+U45-U44</f>
        <v>6.35</v>
      </c>
      <c r="W46">
        <v>2017</v>
      </c>
      <c r="X46" s="84">
        <f t="shared" si="3"/>
        <v>8.35</v>
      </c>
    </row>
  </sheetData>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election activeCell="A3" sqref="A3:G18"/>
    </sheetView>
  </sheetViews>
  <sheetFormatPr defaultRowHeight="15"/>
  <cols>
    <col min="1" max="1" width="17.85546875" customWidth="1"/>
    <col min="2" max="7" width="13.7109375" customWidth="1"/>
  </cols>
  <sheetData>
    <row r="1" spans="1:7">
      <c r="A1" t="s">
        <v>148</v>
      </c>
    </row>
    <row r="2" spans="1:7" ht="15.75" thickBot="1"/>
    <row r="3" spans="1:7">
      <c r="A3" s="44" t="s">
        <v>149</v>
      </c>
      <c r="B3" s="44"/>
    </row>
    <row r="4" spans="1:7">
      <c r="A4" s="41" t="s">
        <v>150</v>
      </c>
      <c r="B4" s="41">
        <v>0.8971084924445325</v>
      </c>
    </row>
    <row r="5" spans="1:7">
      <c r="A5" s="41" t="s">
        <v>151</v>
      </c>
      <c r="B5" s="41">
        <v>0.80480364721610176</v>
      </c>
    </row>
    <row r="6" spans="1:7">
      <c r="A6" s="41" t="s">
        <v>152</v>
      </c>
      <c r="B6" s="41">
        <v>0.76576437665932207</v>
      </c>
    </row>
    <row r="7" spans="1:7">
      <c r="A7" s="41" t="s">
        <v>153</v>
      </c>
      <c r="B7" s="41">
        <v>0.4963740440072732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1</v>
      </c>
      <c r="C12" s="41">
        <v>5.0793292899708531</v>
      </c>
      <c r="D12" s="41">
        <v>5.0793292899708531</v>
      </c>
      <c r="E12" s="41">
        <v>20.615232706399464</v>
      </c>
      <c r="F12" s="41">
        <v>6.1664367735034921E-3</v>
      </c>
    </row>
    <row r="13" spans="1:7">
      <c r="A13" s="41" t="s">
        <v>157</v>
      </c>
      <c r="B13" s="41">
        <v>5</v>
      </c>
      <c r="C13" s="41">
        <v>1.2319359578206719</v>
      </c>
      <c r="D13" s="41">
        <v>0.24638719156413438</v>
      </c>
      <c r="E13" s="41"/>
      <c r="F13" s="41"/>
    </row>
    <row r="14" spans="1:7" ht="15.75" thickBot="1">
      <c r="A14" s="42" t="s">
        <v>158</v>
      </c>
      <c r="B14" s="42">
        <v>6</v>
      </c>
      <c r="C14" s="42">
        <v>6.3112652477915248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-7.8252046561527475</v>
      </c>
      <c r="C17" s="41">
        <v>0.50516010741149797</v>
      </c>
      <c r="D17" s="41">
        <v>-15.490543574887674</v>
      </c>
      <c r="E17" s="41">
        <v>2.0359725828941709E-5</v>
      </c>
      <c r="F17" s="41">
        <v>-9.1237600523528339</v>
      </c>
      <c r="G17" s="41">
        <v>-6.5266492599526611</v>
      </c>
    </row>
    <row r="18" spans="1:7" ht="15.75" thickBot="1">
      <c r="A18" s="42" t="s">
        <v>329</v>
      </c>
      <c r="B18" s="42">
        <v>0.42591620948134734</v>
      </c>
      <c r="C18" s="42">
        <v>9.3805876979333971E-2</v>
      </c>
      <c r="D18" s="42">
        <v>4.5404000601708505</v>
      </c>
      <c r="E18" s="42">
        <v>6.1664367735034921E-3</v>
      </c>
      <c r="F18" s="42">
        <v>0.18478052604233666</v>
      </c>
      <c r="G18" s="42">
        <v>0.66705189292035805</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3" max="3" width="17.7109375" customWidth="1"/>
    <col min="11" max="11" width="11" customWidth="1"/>
  </cols>
  <sheetData>
    <row r="1" spans="1:36">
      <c r="P1" s="14"/>
      <c r="R1" s="236" t="s">
        <v>1318</v>
      </c>
      <c r="S1" s="236"/>
      <c r="T1" s="236"/>
      <c r="U1" s="236"/>
      <c r="W1" s="236" t="s">
        <v>1318</v>
      </c>
      <c r="X1" s="236"/>
      <c r="Y1" s="236"/>
      <c r="Z1" s="236"/>
    </row>
    <row r="2" spans="1:36">
      <c r="C2" t="s">
        <v>282</v>
      </c>
      <c r="L2" t="s">
        <v>282</v>
      </c>
      <c r="S2" t="s">
        <v>1172</v>
      </c>
      <c r="X2" t="s">
        <v>1184</v>
      </c>
      <c r="AB2" t="s">
        <v>960</v>
      </c>
    </row>
    <row r="3" spans="1:36">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1310</v>
      </c>
      <c r="AE3" t="s">
        <v>1296</v>
      </c>
      <c r="AJ3" t="s">
        <v>329</v>
      </c>
    </row>
    <row r="4" spans="1:36">
      <c r="A4">
        <v>2009</v>
      </c>
      <c r="B4" s="13">
        <f>'EV %sales'!L67</f>
        <v>0</v>
      </c>
      <c r="C4" s="20"/>
      <c r="D4" s="13"/>
      <c r="E4" s="13"/>
      <c r="F4" s="84"/>
      <c r="G4" s="84"/>
      <c r="H4" s="84"/>
      <c r="I4" s="13"/>
      <c r="J4" s="13"/>
      <c r="K4" s="13"/>
      <c r="L4" s="13"/>
      <c r="M4" s="13"/>
      <c r="N4" s="13"/>
      <c r="O4" s="13"/>
      <c r="P4" s="13"/>
      <c r="R4">
        <v>2009</v>
      </c>
      <c r="W4">
        <v>2009</v>
      </c>
      <c r="AB4" s="13"/>
      <c r="AC4" s="13"/>
      <c r="AE4" s="33"/>
      <c r="AF4" s="33"/>
      <c r="AG4" s="33"/>
      <c r="AH4" s="33"/>
    </row>
    <row r="5" spans="1:36">
      <c r="A5">
        <v>2010</v>
      </c>
      <c r="B5" s="13">
        <f>'EV %sales'!L68</f>
        <v>0</v>
      </c>
      <c r="C5" s="20"/>
      <c r="D5" s="13"/>
      <c r="E5" s="13"/>
      <c r="F5" s="230"/>
      <c r="G5" s="230"/>
      <c r="H5" s="230"/>
      <c r="I5" s="13"/>
      <c r="J5" s="13"/>
      <c r="K5" s="13"/>
      <c r="L5" s="13"/>
      <c r="M5" s="13"/>
      <c r="N5" s="13"/>
      <c r="O5" s="13"/>
      <c r="P5" s="13"/>
      <c r="R5">
        <v>2010</v>
      </c>
      <c r="W5">
        <v>2010</v>
      </c>
      <c r="AB5" s="13">
        <f>65*EXP(AE5)/(1+EXP(AE5))</f>
        <v>3.9735404900288353E-2</v>
      </c>
      <c r="AC5" s="13"/>
      <c r="AE5">
        <f t="shared" ref="AE5:AE50" si="0">AC$56+AC$57*AJ5</f>
        <v>-7.3992884466714006</v>
      </c>
      <c r="AG5" s="33"/>
      <c r="AJ5">
        <v>1</v>
      </c>
    </row>
    <row r="6" spans="1:36">
      <c r="A6">
        <v>2011</v>
      </c>
      <c r="B6" s="13">
        <f>'EV %sales'!L69</f>
        <v>5.117024116757142E-2</v>
      </c>
      <c r="C6" s="20"/>
      <c r="D6" s="13"/>
      <c r="E6" s="13"/>
      <c r="F6" s="230"/>
      <c r="G6" s="230"/>
      <c r="H6" s="230"/>
      <c r="I6" s="13"/>
      <c r="J6" s="13"/>
      <c r="K6" s="13"/>
      <c r="L6" s="13"/>
      <c r="M6" s="13"/>
      <c r="N6" s="13"/>
      <c r="O6" s="13"/>
      <c r="P6" s="13"/>
      <c r="R6">
        <v>2011</v>
      </c>
      <c r="W6">
        <v>2011</v>
      </c>
      <c r="AB6" s="13">
        <f t="shared" ref="AB6:AB50" si="1">65*EXP(AE6)/(1+EXP(AE6))</f>
        <v>6.0814865680479779E-2</v>
      </c>
      <c r="AC6" s="13"/>
      <c r="AD6">
        <f t="shared" ref="AD6:AD13" si="2">LN(B6/(65-B6))</f>
        <v>-7.1461968684949024</v>
      </c>
      <c r="AE6">
        <f t="shared" si="0"/>
        <v>-6.9733722371900528</v>
      </c>
      <c r="AG6" s="72"/>
      <c r="AJ6">
        <v>2</v>
      </c>
    </row>
    <row r="7" spans="1:36">
      <c r="A7">
        <v>2012</v>
      </c>
      <c r="B7" s="13">
        <f>'EV %sales'!L70</f>
        <v>0.17484716596643943</v>
      </c>
      <c r="C7" s="13">
        <f>AB7</f>
        <v>9.3060869482101627E-2</v>
      </c>
      <c r="D7" s="84">
        <f>65*EXP(E7)/(1+EXP(E7))</f>
        <v>0.14236726087496704</v>
      </c>
      <c r="E7" s="84">
        <f>J7-SUM(F7:F$7)</f>
        <v>-6.1215398182273582</v>
      </c>
      <c r="F7" s="13">
        <f>I7*G7</f>
        <v>0</v>
      </c>
      <c r="G7" s="13">
        <f>IF(H7&lt;0,0,H7)</f>
        <v>0.85027330035974624</v>
      </c>
      <c r="H7" s="13">
        <f>IF((P7-0.6)/0.3&gt;1,1,(P7-0.6)/0.3)</f>
        <v>0.85027330035974624</v>
      </c>
      <c r="I7" s="13">
        <v>0</v>
      </c>
      <c r="J7" s="13">
        <f>LN(L7/(65-L7))</f>
        <v>-6.1215398182273582</v>
      </c>
      <c r="K7" s="13"/>
      <c r="L7" s="84">
        <f t="shared" ref="L7:L13" si="3">M7</f>
        <v>0.14236726087496704</v>
      </c>
      <c r="M7" s="13">
        <f t="shared" ref="M7:M50" si="4">LOOKUP(ROUND(N7,0),A$4:A$50,AB$4:AB$50)</f>
        <v>0.14236726087496704</v>
      </c>
      <c r="N7" s="13">
        <f t="shared" ref="N7:N50" si="5">A7-(O7-O$11)</f>
        <v>2012.6239160771315</v>
      </c>
      <c r="O7" s="13">
        <f t="shared" ref="O7:O50" si="6">Z$56+Z$57*P7+Z$63*1</f>
        <v>2018.8750156872493</v>
      </c>
      <c r="P7" s="13">
        <f>1/Ireland!R82</f>
        <v>0.85508199010792385</v>
      </c>
      <c r="R7">
        <v>2012</v>
      </c>
      <c r="S7" s="13">
        <v>9.3060869482101627E-2</v>
      </c>
      <c r="T7" s="13">
        <v>9.3060869482101627E-2</v>
      </c>
      <c r="U7" s="13">
        <v>9.3060869482101627E-2</v>
      </c>
      <c r="W7">
        <v>2012</v>
      </c>
      <c r="X7" s="13">
        <v>9.3060869482101627E-2</v>
      </c>
      <c r="Y7" s="13">
        <f>T7</f>
        <v>9.3060869482101627E-2</v>
      </c>
      <c r="Z7" s="13">
        <v>9.3060869482101627E-2</v>
      </c>
      <c r="AB7" s="13">
        <f t="shared" si="1"/>
        <v>9.3060869482101627E-2</v>
      </c>
      <c r="AC7" s="13"/>
      <c r="AD7">
        <f t="shared" si="2"/>
        <v>-5.9155367130367535</v>
      </c>
      <c r="AE7">
        <f t="shared" si="0"/>
        <v>-6.5474560277087051</v>
      </c>
      <c r="AG7" s="72"/>
      <c r="AJ7">
        <v>3</v>
      </c>
    </row>
    <row r="8" spans="1:36">
      <c r="A8">
        <v>2013</v>
      </c>
      <c r="B8" s="13">
        <f>'EV %sales'!L71</f>
        <v>6.3200075302217371E-2</v>
      </c>
      <c r="C8" s="13">
        <f t="shared" ref="C8:C12" si="7">AB8</f>
        <v>0.14236726087496704</v>
      </c>
      <c r="D8" s="84">
        <f t="shared" ref="D8:D49" si="8">65*EXP(E8)/(1+EXP(E8))</f>
        <v>0.21771000690284034</v>
      </c>
      <c r="E8" s="84">
        <f>J8-SUM(F$7:F8)</f>
        <v>-5.6956236087460113</v>
      </c>
      <c r="F8" s="13">
        <f t="shared" ref="F8:F50" si="9">I8*G8</f>
        <v>0</v>
      </c>
      <c r="G8" s="13">
        <f t="shared" ref="G8:G50" si="10">IF(H8&lt;0,0,H8)</f>
        <v>0.86460015691591674</v>
      </c>
      <c r="H8" s="13">
        <f t="shared" ref="H8:H50" si="11">IF((P8-0.6)/0.3&gt;1,1,(P8-0.6)/0.3)</f>
        <v>0.86460015691591674</v>
      </c>
      <c r="I8" s="13">
        <v>0</v>
      </c>
      <c r="J8" s="13">
        <f t="shared" ref="J8:J47" si="12">LN(L8/(65-L8))</f>
        <v>-5.6956236087460113</v>
      </c>
      <c r="K8" s="13"/>
      <c r="L8" s="84">
        <f t="shared" si="3"/>
        <v>0.21771000690284034</v>
      </c>
      <c r="M8" s="13">
        <f t="shared" si="4"/>
        <v>0.21771000690284034</v>
      </c>
      <c r="N8" s="13">
        <f t="shared" si="5"/>
        <v>2013.5775662429317</v>
      </c>
      <c r="O8" s="13">
        <f t="shared" si="6"/>
        <v>2018.9213655214492</v>
      </c>
      <c r="P8" s="13">
        <f>1/Ireland!R83</f>
        <v>0.859380047074775</v>
      </c>
      <c r="R8">
        <v>2013</v>
      </c>
      <c r="S8" s="13">
        <v>0.14236726087496704</v>
      </c>
      <c r="T8" s="13">
        <v>0.14236726087496704</v>
      </c>
      <c r="U8" s="13">
        <v>0.14236726087496704</v>
      </c>
      <c r="W8">
        <v>2013</v>
      </c>
      <c r="X8" s="13">
        <v>0.14236726087496704</v>
      </c>
      <c r="Y8" s="13">
        <f t="shared" ref="Y8:Y45" si="13">T8</f>
        <v>0.14236726087496704</v>
      </c>
      <c r="Z8" s="13">
        <v>0.14236726087496704</v>
      </c>
      <c r="AB8" s="13">
        <f t="shared" si="1"/>
        <v>0.14236726087496704</v>
      </c>
      <c r="AC8" s="13"/>
      <c r="AD8">
        <f t="shared" si="2"/>
        <v>-6.9348642743852116</v>
      </c>
      <c r="AE8">
        <f t="shared" si="0"/>
        <v>-6.1215398182273582</v>
      </c>
      <c r="AJ8">
        <v>4</v>
      </c>
    </row>
    <row r="9" spans="1:36">
      <c r="A9">
        <v>2014</v>
      </c>
      <c r="B9" s="13">
        <f>'EV %sales'!L72</f>
        <v>0.26675247031470567</v>
      </c>
      <c r="C9" s="13">
        <f t="shared" si="7"/>
        <v>0.21771000690284034</v>
      </c>
      <c r="D9" s="84">
        <f t="shared" si="8"/>
        <v>0.14236726087496704</v>
      </c>
      <c r="E9" s="84">
        <f>J9-SUM(F$7:F9)</f>
        <v>-6.1215398182273582</v>
      </c>
      <c r="F9" s="13">
        <f t="shared" si="9"/>
        <v>0</v>
      </c>
      <c r="G9" s="13">
        <f t="shared" si="10"/>
        <v>1</v>
      </c>
      <c r="H9" s="13">
        <f t="shared" si="11"/>
        <v>1</v>
      </c>
      <c r="I9" s="13">
        <v>0</v>
      </c>
      <c r="J9" s="13">
        <f t="shared" si="12"/>
        <v>-6.1215398182273582</v>
      </c>
      <c r="K9" s="13"/>
      <c r="L9" s="84">
        <f t="shared" si="3"/>
        <v>0.14236726087496704</v>
      </c>
      <c r="M9" s="13">
        <f t="shared" si="4"/>
        <v>0.14236726087496704</v>
      </c>
      <c r="N9" s="13">
        <f t="shared" si="5"/>
        <v>2013.4934199077657</v>
      </c>
      <c r="O9" s="13">
        <f t="shared" si="6"/>
        <v>2020.0055118566152</v>
      </c>
      <c r="P9" s="13">
        <f>1/Ireland!R84</f>
        <v>0.95991379847597547</v>
      </c>
      <c r="R9">
        <v>2014</v>
      </c>
      <c r="S9" s="13">
        <v>0.21771000690284034</v>
      </c>
      <c r="T9" s="13">
        <v>0.21771000690284034</v>
      </c>
      <c r="U9" s="13">
        <v>0.21771000690284034</v>
      </c>
      <c r="W9">
        <v>2014</v>
      </c>
      <c r="X9" s="13">
        <v>0.21771000690284034</v>
      </c>
      <c r="Y9" s="13">
        <f t="shared" si="13"/>
        <v>0.21771000690284034</v>
      </c>
      <c r="Z9" s="13">
        <v>0.21771000690284034</v>
      </c>
      <c r="AB9" s="13">
        <f t="shared" si="1"/>
        <v>0.21771000690284034</v>
      </c>
      <c r="AC9" s="13"/>
      <c r="AD9">
        <f t="shared" si="2"/>
        <v>-5.4917090697511926</v>
      </c>
      <c r="AE9">
        <f t="shared" si="0"/>
        <v>-5.6956236087460113</v>
      </c>
      <c r="AG9" s="13"/>
      <c r="AJ9">
        <v>5</v>
      </c>
    </row>
    <row r="10" spans="1:36">
      <c r="A10">
        <v>2015</v>
      </c>
      <c r="B10" s="13">
        <f>'EV %sales'!L73</f>
        <v>0.44739685461603113</v>
      </c>
      <c r="C10" s="13">
        <f t="shared" si="7"/>
        <v>0.33272064189834066</v>
      </c>
      <c r="D10" s="84">
        <f t="shared" si="8"/>
        <v>0.33272064189834066</v>
      </c>
      <c r="E10" s="84">
        <f>J10-SUM(F$7:F10)</f>
        <v>-5.2697073992646635</v>
      </c>
      <c r="F10" s="13">
        <f t="shared" si="9"/>
        <v>0</v>
      </c>
      <c r="G10" s="13">
        <f t="shared" si="10"/>
        <v>1</v>
      </c>
      <c r="H10" s="13">
        <f t="shared" si="11"/>
        <v>1</v>
      </c>
      <c r="I10" s="13">
        <v>0</v>
      </c>
      <c r="J10" s="13">
        <f t="shared" si="12"/>
        <v>-5.2697073992646635</v>
      </c>
      <c r="K10" s="13"/>
      <c r="L10" s="84">
        <f t="shared" si="3"/>
        <v>0.33272064189834066</v>
      </c>
      <c r="M10" s="13">
        <f t="shared" si="4"/>
        <v>0.33272064189834066</v>
      </c>
      <c r="N10" s="13">
        <f t="shared" si="5"/>
        <v>2015.0742485155558</v>
      </c>
      <c r="O10" s="13">
        <f t="shared" si="6"/>
        <v>2019.424683248825</v>
      </c>
      <c r="P10" s="13">
        <f>1/Ireland!R85</f>
        <v>0.90605309999993822</v>
      </c>
      <c r="R10">
        <v>2015</v>
      </c>
      <c r="S10" s="13">
        <v>0.33272064189834066</v>
      </c>
      <c r="T10" s="13">
        <v>0.33272064189834066</v>
      </c>
      <c r="U10" s="13">
        <v>0.33272064189834066</v>
      </c>
      <c r="W10">
        <v>2015</v>
      </c>
      <c r="X10" s="13">
        <v>0.33272064189834066</v>
      </c>
      <c r="Y10" s="13">
        <f t="shared" si="13"/>
        <v>0.33272064189834066</v>
      </c>
      <c r="Z10" s="13">
        <v>0.33272064189834066</v>
      </c>
      <c r="AB10" s="13">
        <f t="shared" si="1"/>
        <v>0.33272064189834066</v>
      </c>
      <c r="AC10" s="13"/>
      <c r="AD10">
        <f t="shared" si="2"/>
        <v>-4.9717897043738315</v>
      </c>
      <c r="AE10">
        <f t="shared" si="0"/>
        <v>-5.2697073992646635</v>
      </c>
      <c r="AG10" s="13"/>
      <c r="AJ10">
        <v>6</v>
      </c>
    </row>
    <row r="11" spans="1:36">
      <c r="A11">
        <v>2016</v>
      </c>
      <c r="B11" s="13">
        <f>'EV %sales'!L74</f>
        <v>0.47066848567530695</v>
      </c>
      <c r="C11" s="13">
        <f t="shared" si="7"/>
        <v>0.50801200951831016</v>
      </c>
      <c r="D11" s="84">
        <f t="shared" si="8"/>
        <v>0.50801200951831016</v>
      </c>
      <c r="E11" s="84">
        <f>J11-SUM(F$7:F11)</f>
        <v>-4.8437911897833157</v>
      </c>
      <c r="F11" s="13">
        <f t="shared" si="9"/>
        <v>0</v>
      </c>
      <c r="G11" s="13">
        <f t="shared" si="10"/>
        <v>1</v>
      </c>
      <c r="H11" s="13">
        <f t="shared" si="11"/>
        <v>1</v>
      </c>
      <c r="I11" s="13">
        <v>0</v>
      </c>
      <c r="J11" s="13">
        <f t="shared" si="12"/>
        <v>-4.8437911897833157</v>
      </c>
      <c r="K11" s="13"/>
      <c r="L11" s="84">
        <f t="shared" si="3"/>
        <v>0.50801200951831016</v>
      </c>
      <c r="M11" s="13">
        <f t="shared" si="4"/>
        <v>0.50801200951831016</v>
      </c>
      <c r="N11" s="13">
        <f t="shared" si="5"/>
        <v>2016</v>
      </c>
      <c r="O11" s="13">
        <f t="shared" si="6"/>
        <v>2019.4989317643808</v>
      </c>
      <c r="P11" s="13">
        <f>1/Ireland!R86</f>
        <v>0.9129382238643835</v>
      </c>
      <c r="R11">
        <v>2016</v>
      </c>
      <c r="S11" s="13">
        <v>0.50801200951831016</v>
      </c>
      <c r="T11" s="13">
        <v>0.50801200951831016</v>
      </c>
      <c r="U11" s="13">
        <v>0.50801200951831016</v>
      </c>
      <c r="W11">
        <v>2016</v>
      </c>
      <c r="X11" s="13">
        <v>0.50801200951831016</v>
      </c>
      <c r="Y11" s="13">
        <f t="shared" si="13"/>
        <v>0.50801200951831016</v>
      </c>
      <c r="Z11" s="13">
        <v>0.50801200951831016</v>
      </c>
      <c r="AB11" s="13">
        <f t="shared" si="1"/>
        <v>0.50801200951831016</v>
      </c>
      <c r="AC11" s="13"/>
      <c r="AD11">
        <f t="shared" si="2"/>
        <v>-4.9207211574486642</v>
      </c>
      <c r="AE11">
        <f t="shared" si="0"/>
        <v>-4.8437911897833157</v>
      </c>
      <c r="AG11" s="13"/>
      <c r="AJ11">
        <v>7</v>
      </c>
    </row>
    <row r="12" spans="1:36">
      <c r="A12">
        <v>2017</v>
      </c>
      <c r="B12" s="13">
        <f>'EV %sales'!L75</f>
        <v>0.72180176338911817</v>
      </c>
      <c r="C12" s="13">
        <f t="shared" si="7"/>
        <v>0.77454818827191763</v>
      </c>
      <c r="D12" s="84">
        <f>65*EXP(E12)/(1+EXP(E12))</f>
        <v>0.77454818827191763</v>
      </c>
      <c r="E12" s="84">
        <f>J12-SUM(F$7:F12)</f>
        <v>-4.4178749803019688</v>
      </c>
      <c r="F12" s="13">
        <f t="shared" si="9"/>
        <v>0</v>
      </c>
      <c r="G12" s="13">
        <f t="shared" si="10"/>
        <v>0.99972352102093731</v>
      </c>
      <c r="H12" s="13">
        <f t="shared" si="11"/>
        <v>0.99972352102093731</v>
      </c>
      <c r="I12" s="13">
        <v>0</v>
      </c>
      <c r="J12" s="13">
        <f t="shared" si="12"/>
        <v>-4.4178749803019688</v>
      </c>
      <c r="K12" s="13"/>
      <c r="L12" s="84">
        <f t="shared" si="3"/>
        <v>0.77454818827191763</v>
      </c>
      <c r="M12" s="13">
        <f t="shared" si="4"/>
        <v>0.77454818827191763</v>
      </c>
      <c r="N12" s="13">
        <f t="shared" si="5"/>
        <v>2017.1404190223775</v>
      </c>
      <c r="O12" s="13">
        <f t="shared" si="6"/>
        <v>2019.3585127420033</v>
      </c>
      <c r="P12" s="13">
        <f>1/Ireland!R87</f>
        <v>0.89991705630628116</v>
      </c>
      <c r="R12">
        <v>2017</v>
      </c>
      <c r="S12" s="13">
        <v>0.77454818827191763</v>
      </c>
      <c r="T12" s="13">
        <v>0.77454818827191763</v>
      </c>
      <c r="U12" s="13">
        <v>0.77454818827191763</v>
      </c>
      <c r="W12">
        <v>2017</v>
      </c>
      <c r="X12" s="13">
        <v>0.77454818827191763</v>
      </c>
      <c r="Y12" s="13">
        <f t="shared" si="13"/>
        <v>0.77454818827191763</v>
      </c>
      <c r="Z12" s="13">
        <v>0.77454818827191763</v>
      </c>
      <c r="AB12" s="13">
        <f t="shared" si="1"/>
        <v>0.77454818827191763</v>
      </c>
      <c r="AC12" s="13"/>
      <c r="AD12">
        <f t="shared" si="2"/>
        <v>-4.48922525428691</v>
      </c>
      <c r="AE12">
        <f t="shared" si="0"/>
        <v>-4.4178749803019688</v>
      </c>
      <c r="AJ12">
        <v>8</v>
      </c>
    </row>
    <row r="13" spans="1:36">
      <c r="A13">
        <v>2018</v>
      </c>
      <c r="B13" s="13">
        <f>C55</f>
        <v>1.43</v>
      </c>
      <c r="C13" s="13">
        <f>AVERAGE(D13,AB13)</f>
        <v>1.4826241933696944</v>
      </c>
      <c r="D13" s="84">
        <f>65*EXP(E13)/(1+EXP(E13))</f>
        <v>1.7868769257937176</v>
      </c>
      <c r="E13" s="84">
        <f>J13-SUM(F$7:F13)</f>
        <v>-3.5660425613392741</v>
      </c>
      <c r="F13" s="13">
        <f t="shared" si="9"/>
        <v>0</v>
      </c>
      <c r="G13" s="13">
        <f t="shared" si="10"/>
        <v>0.81008667967251813</v>
      </c>
      <c r="H13" s="13">
        <f t="shared" si="11"/>
        <v>0.81008667967251813</v>
      </c>
      <c r="I13" s="13">
        <v>0</v>
      </c>
      <c r="J13" s="13">
        <f>LN(L13/(65-L13))</f>
        <v>-3.5660425613392741</v>
      </c>
      <c r="K13" s="13"/>
      <c r="L13" s="84">
        <f t="shared" si="3"/>
        <v>1.7868769257937176</v>
      </c>
      <c r="M13" s="13">
        <f t="shared" si="4"/>
        <v>1.7868769257937176</v>
      </c>
      <c r="N13" s="13">
        <f t="shared" si="5"/>
        <v>2018.7539266763588</v>
      </c>
      <c r="O13" s="13">
        <f t="shared" si="6"/>
        <v>2018.745005088022</v>
      </c>
      <c r="P13" s="13">
        <f>1/Ireland!R88</f>
        <v>0.84302600390175542</v>
      </c>
      <c r="R13">
        <v>2018</v>
      </c>
      <c r="S13" s="13">
        <v>1.4826241933696944</v>
      </c>
      <c r="T13" s="13">
        <v>1.4826241933696944</v>
      </c>
      <c r="U13" s="13">
        <v>1.4826241933696944</v>
      </c>
      <c r="W13">
        <v>2018</v>
      </c>
      <c r="X13" s="13">
        <v>1.4826241933696944</v>
      </c>
      <c r="Y13" s="13">
        <f t="shared" si="13"/>
        <v>1.4826241933696944</v>
      </c>
      <c r="Z13" s="13">
        <v>1.4826241933696944</v>
      </c>
      <c r="AB13" s="13">
        <f t="shared" si="1"/>
        <v>1.1783714609456715</v>
      </c>
      <c r="AC13" s="13"/>
      <c r="AD13">
        <f t="shared" si="2"/>
        <v>-3.7944672166765017</v>
      </c>
      <c r="AE13">
        <f t="shared" si="0"/>
        <v>-3.9919587708206214</v>
      </c>
      <c r="AJ13">
        <v>9</v>
      </c>
    </row>
    <row r="14" spans="1:36">
      <c r="A14">
        <v>2019</v>
      </c>
      <c r="B14" s="13"/>
      <c r="C14" s="13">
        <f>AVERAGE(D12:D16)</f>
        <v>2.824179396802704</v>
      </c>
      <c r="D14" s="84">
        <f>65*EXP(E14)/(1+EXP(E14))</f>
        <v>2.8747432416261476</v>
      </c>
      <c r="E14" s="84">
        <f>J14-SUM(F$7:F14)</f>
        <v>-3.0731892543391108</v>
      </c>
      <c r="F14" s="13">
        <f>I14*G14</f>
        <v>0</v>
      </c>
      <c r="G14" s="13">
        <f t="shared" si="10"/>
        <v>0.88959823671136085</v>
      </c>
      <c r="H14" s="13">
        <f t="shared" si="11"/>
        <v>0.88959823671136085</v>
      </c>
      <c r="I14" s="13">
        <v>0</v>
      </c>
      <c r="J14" s="13">
        <f t="shared" si="12"/>
        <v>-3.0731892543391108</v>
      </c>
      <c r="K14" s="13"/>
      <c r="L14" s="84">
        <f t="shared" ref="L14:L48" si="14">AVERAGE(M12:M16)</f>
        <v>2.874743241626148</v>
      </c>
      <c r="M14" s="13">
        <f t="shared" si="4"/>
        <v>1.7868769257937176</v>
      </c>
      <c r="N14" s="13">
        <f t="shared" si="5"/>
        <v>2019.4966931742795</v>
      </c>
      <c r="O14" s="13">
        <f t="shared" si="6"/>
        <v>2019.0022385901013</v>
      </c>
      <c r="P14" s="13">
        <f>1/Ireland!R89</f>
        <v>0.86687947101340823</v>
      </c>
      <c r="R14">
        <v>2019</v>
      </c>
      <c r="S14" s="13">
        <v>2.9565180699943356</v>
      </c>
      <c r="T14" s="13">
        <v>2.824179396802704</v>
      </c>
      <c r="U14" s="13">
        <v>2.6623730250938307</v>
      </c>
      <c r="W14">
        <v>2019</v>
      </c>
      <c r="X14" s="13">
        <v>1.9361740133953522</v>
      </c>
      <c r="Y14" s="13">
        <f t="shared" si="13"/>
        <v>2.824179396802704</v>
      </c>
      <c r="Z14" s="13">
        <v>3.7570122432343198</v>
      </c>
      <c r="AB14" s="13">
        <f t="shared" si="1"/>
        <v>1.7868769257937176</v>
      </c>
      <c r="AC14" s="13"/>
      <c r="AE14">
        <f t="shared" si="0"/>
        <v>-3.5660425613392741</v>
      </c>
      <c r="AJ14">
        <v>10</v>
      </c>
    </row>
    <row r="15" spans="1:36">
      <c r="A15">
        <v>2020</v>
      </c>
      <c r="B15" s="13"/>
      <c r="C15" s="13">
        <f>AVERAGE(D13:D17)</f>
        <v>3.9273759317622585</v>
      </c>
      <c r="D15" s="84">
        <f>65*EXP(E15)/(1+EXP(E15))</f>
        <v>3.7934141674466337</v>
      </c>
      <c r="E15" s="84">
        <f>J15-SUM(F$7:F15)</f>
        <v>-2.7809883460483591</v>
      </c>
      <c r="F15" s="13">
        <f t="shared" si="9"/>
        <v>0.17460650906240394</v>
      </c>
      <c r="G15" s="13">
        <f t="shared" si="10"/>
        <v>0.87303254531201957</v>
      </c>
      <c r="H15" s="13">
        <f t="shared" si="11"/>
        <v>0.87303254531201957</v>
      </c>
      <c r="I15" s="231">
        <v>0.2</v>
      </c>
      <c r="J15" s="13">
        <f t="shared" si="12"/>
        <v>-2.606381836985955</v>
      </c>
      <c r="K15" s="13"/>
      <c r="L15" s="84">
        <f t="shared" si="14"/>
        <v>4.46737354844731</v>
      </c>
      <c r="M15" s="13">
        <f t="shared" si="4"/>
        <v>4.0391024160345372</v>
      </c>
      <c r="N15" s="13">
        <f t="shared" si="5"/>
        <v>2020.5502860225611</v>
      </c>
      <c r="O15" s="13">
        <f t="shared" si="6"/>
        <v>2018.9486457418197</v>
      </c>
      <c r="P15" s="13">
        <f>1/Ireland!R90</f>
        <v>0.86190976359360583</v>
      </c>
      <c r="R15">
        <v>2020</v>
      </c>
      <c r="S15" s="13">
        <v>4.1109857787438244</v>
      </c>
      <c r="T15" s="13">
        <v>3.9273759317622585</v>
      </c>
      <c r="U15" s="13">
        <v>3.6973850382776403</v>
      </c>
      <c r="W15">
        <v>2020</v>
      </c>
      <c r="X15" s="13">
        <v>2.3615623932977963</v>
      </c>
      <c r="Y15" s="13">
        <f t="shared" si="13"/>
        <v>3.9273759317622585</v>
      </c>
      <c r="Z15" s="13">
        <v>5.8313033496577029</v>
      </c>
      <c r="AB15" s="13">
        <f t="shared" si="1"/>
        <v>2.6963361810187929</v>
      </c>
      <c r="AC15" s="13"/>
      <c r="AE15">
        <f t="shared" si="0"/>
        <v>-3.1401263518579263</v>
      </c>
      <c r="AJ15">
        <v>11</v>
      </c>
    </row>
    <row r="16" spans="1:36">
      <c r="A16">
        <v>2021</v>
      </c>
      <c r="B16" s="13"/>
      <c r="C16" s="13">
        <f>AVERAGE(D13:D19)</f>
        <v>5.7087109217509404</v>
      </c>
      <c r="D16" s="84">
        <f t="shared" si="8"/>
        <v>4.8913144608751038</v>
      </c>
      <c r="E16" s="84">
        <f>J16-SUM(F$7:F16)</f>
        <v>-2.5086932759514271</v>
      </c>
      <c r="F16" s="13">
        <f t="shared" si="9"/>
        <v>0.15505731723289162</v>
      </c>
      <c r="G16" s="13">
        <f t="shared" si="10"/>
        <v>0.775286586164458</v>
      </c>
      <c r="H16" s="13">
        <f t="shared" si="11"/>
        <v>0.775286586164458</v>
      </c>
      <c r="I16" s="20">
        <f>I15+(I35-I15)/20</f>
        <v>0.2</v>
      </c>
      <c r="J16" s="13">
        <f t="shared" si="12"/>
        <v>-2.1790294496561313</v>
      </c>
      <c r="K16" s="13"/>
      <c r="L16" s="84">
        <f t="shared" si="14"/>
        <v>6.607218883440237</v>
      </c>
      <c r="M16" s="13">
        <f t="shared" si="4"/>
        <v>5.9863117522368512</v>
      </c>
      <c r="N16" s="13">
        <f t="shared" si="5"/>
        <v>2021.8665109378064</v>
      </c>
      <c r="O16" s="13">
        <f t="shared" si="6"/>
        <v>2018.6324208265744</v>
      </c>
      <c r="P16" s="13">
        <f>1/Ireland!R91</f>
        <v>0.83258597584933736</v>
      </c>
      <c r="R16">
        <v>2021</v>
      </c>
      <c r="S16" s="13">
        <v>6.0132537423517096</v>
      </c>
      <c r="T16" s="13">
        <v>5.7087109217509404</v>
      </c>
      <c r="U16" s="13">
        <v>5.1926942443630795</v>
      </c>
      <c r="W16">
        <v>2021</v>
      </c>
      <c r="X16" s="13">
        <v>2.9453966279085142</v>
      </c>
      <c r="Y16" s="13">
        <f t="shared" si="13"/>
        <v>5.7087109217509404</v>
      </c>
      <c r="Z16" s="13">
        <v>9.9844121604441849</v>
      </c>
      <c r="AB16" s="13">
        <f t="shared" si="1"/>
        <v>4.0391024160345372</v>
      </c>
      <c r="AC16" s="13"/>
      <c r="AE16">
        <f t="shared" si="0"/>
        <v>-2.7142101423765794</v>
      </c>
      <c r="AJ16">
        <v>12</v>
      </c>
    </row>
    <row r="17" spans="1:36">
      <c r="A17">
        <v>2022</v>
      </c>
      <c r="B17" s="13"/>
      <c r="C17" s="13">
        <f t="shared" ref="C17:C50" si="15">AVERAGE(D14:D20)</f>
        <v>7.6349336512067856</v>
      </c>
      <c r="D17" s="84">
        <f t="shared" si="8"/>
        <v>6.2905308630696872</v>
      </c>
      <c r="E17" s="84">
        <f>J17-SUM(F$7:F17)</f>
        <v>-2.2335555628163819</v>
      </c>
      <c r="F17" s="13">
        <f t="shared" si="9"/>
        <v>0.16556872015855578</v>
      </c>
      <c r="G17" s="13">
        <f t="shared" si="10"/>
        <v>0.82784360079277886</v>
      </c>
      <c r="H17" s="13">
        <f t="shared" si="11"/>
        <v>0.82784360079277886</v>
      </c>
      <c r="I17" s="20">
        <f>I16+(I35-I15)/20</f>
        <v>0.2</v>
      </c>
      <c r="J17" s="13">
        <f t="shared" si="12"/>
        <v>-1.7383230163625307</v>
      </c>
      <c r="K17" s="13"/>
      <c r="L17" s="84">
        <f>AVERAGE(M15:M19)</f>
        <v>9.719194414003022</v>
      </c>
      <c r="M17" s="13">
        <f t="shared" si="4"/>
        <v>8.7376997223777266</v>
      </c>
      <c r="N17" s="13">
        <f t="shared" si="5"/>
        <v>2022.6964799959514</v>
      </c>
      <c r="O17" s="13">
        <f t="shared" si="6"/>
        <v>2018.8024517684294</v>
      </c>
      <c r="P17" s="13">
        <f>1/Ireland!R92</f>
        <v>0.84835308023783362</v>
      </c>
      <c r="R17">
        <v>2022</v>
      </c>
      <c r="S17" s="13">
        <v>8.0968058871888449</v>
      </c>
      <c r="T17" s="13">
        <v>7.6349336512067856</v>
      </c>
      <c r="U17" s="13">
        <v>6.8855976474022951</v>
      </c>
      <c r="W17">
        <v>2022</v>
      </c>
      <c r="X17" s="13">
        <v>3.5885179185917981</v>
      </c>
      <c r="Y17" s="13">
        <f t="shared" si="13"/>
        <v>7.6349336512067856</v>
      </c>
      <c r="Z17" s="13">
        <v>14.277631570036419</v>
      </c>
      <c r="AB17" s="13">
        <f t="shared" si="1"/>
        <v>5.9863117522368512</v>
      </c>
      <c r="AC17" s="13"/>
      <c r="AE17">
        <f t="shared" si="0"/>
        <v>-2.2882939328952325</v>
      </c>
      <c r="AJ17">
        <v>13</v>
      </c>
    </row>
    <row r="18" spans="1:36">
      <c r="A18">
        <v>2023</v>
      </c>
      <c r="B18" s="13"/>
      <c r="C18" s="13">
        <f>AVERAGE(D15:D21)</f>
        <v>10.047581927165023</v>
      </c>
      <c r="D18" s="84">
        <f t="shared" si="8"/>
        <v>8.6982145356840892</v>
      </c>
      <c r="E18" s="84">
        <f>J18-SUM(F$7:F18)</f>
        <v>-1.8676084692255293</v>
      </c>
      <c r="F18" s="13">
        <f t="shared" si="9"/>
        <v>0.15942328341636197</v>
      </c>
      <c r="G18" s="13">
        <f t="shared" si="10"/>
        <v>0.7971164170818098</v>
      </c>
      <c r="H18" s="13">
        <f t="shared" si="11"/>
        <v>0.7971164170818098</v>
      </c>
      <c r="I18" s="20">
        <f>I17+(I35-I15)/20</f>
        <v>0.2</v>
      </c>
      <c r="J18" s="13">
        <f t="shared" si="12"/>
        <v>-1.2129526393553158</v>
      </c>
      <c r="K18" s="13"/>
      <c r="L18" s="84">
        <f t="shared" si="14"/>
        <v>14.896637108544088</v>
      </c>
      <c r="M18" s="13">
        <f t="shared" si="4"/>
        <v>12.486103600758348</v>
      </c>
      <c r="N18" s="13">
        <f t="shared" si="5"/>
        <v>2023.7958876967859</v>
      </c>
      <c r="O18" s="13">
        <f t="shared" si="6"/>
        <v>2018.7030440675949</v>
      </c>
      <c r="P18" s="13">
        <f>1/Ireland!R93</f>
        <v>0.83913492512454291</v>
      </c>
      <c r="R18">
        <v>2023</v>
      </c>
      <c r="S18" s="13">
        <v>10.69738134529614</v>
      </c>
      <c r="T18" s="13">
        <v>10.047581927165023</v>
      </c>
      <c r="U18" s="13">
        <v>9.041335599161199</v>
      </c>
      <c r="W18">
        <v>2023</v>
      </c>
      <c r="X18" s="13">
        <v>4.3909131415309206</v>
      </c>
      <c r="Y18" s="13">
        <f t="shared" si="13"/>
        <v>10.047581927165023</v>
      </c>
      <c r="Z18" s="13">
        <v>19.636199620402845</v>
      </c>
      <c r="AB18" s="13">
        <f t="shared" si="1"/>
        <v>8.7376997223777266</v>
      </c>
      <c r="AC18" s="13"/>
      <c r="AE18">
        <f t="shared" si="0"/>
        <v>-1.8623777234138847</v>
      </c>
      <c r="AJ18">
        <v>14</v>
      </c>
    </row>
    <row r="19" spans="1:36">
      <c r="A19">
        <v>2024</v>
      </c>
      <c r="B19" s="13"/>
      <c r="C19" s="13">
        <f t="shared" si="15"/>
        <v>13.124338124799181</v>
      </c>
      <c r="D19" s="84">
        <f t="shared" si="8"/>
        <v>11.625882257761198</v>
      </c>
      <c r="E19" s="84">
        <f>J19-SUM(F$7:F19)</f>
        <v>-1.5240921002583332</v>
      </c>
      <c r="F19" s="13">
        <f t="shared" si="9"/>
        <v>0.13417321781661448</v>
      </c>
      <c r="G19" s="13">
        <f t="shared" si="10"/>
        <v>0.67086608908307244</v>
      </c>
      <c r="H19" s="13">
        <f t="shared" si="11"/>
        <v>0.67086608908307244</v>
      </c>
      <c r="I19" s="20">
        <f>I18+(I35-I15)/20</f>
        <v>0.2</v>
      </c>
      <c r="J19" s="13">
        <f t="shared" si="12"/>
        <v>-0.73526305257150548</v>
      </c>
      <c r="K19" s="13"/>
      <c r="L19" s="84">
        <f t="shared" si="14"/>
        <v>21.062655314918331</v>
      </c>
      <c r="M19" s="13">
        <f t="shared" si="4"/>
        <v>17.346754578607644</v>
      </c>
      <c r="N19" s="13">
        <f t="shared" si="5"/>
        <v>2025.2043291261734</v>
      </c>
      <c r="O19" s="13">
        <f t="shared" si="6"/>
        <v>2018.2946026382074</v>
      </c>
      <c r="P19" s="13">
        <f>1/Ireland!R94</f>
        <v>0.80125982672492169</v>
      </c>
      <c r="R19">
        <v>2024</v>
      </c>
      <c r="S19" s="13">
        <v>14.123610654349177</v>
      </c>
      <c r="T19" s="13">
        <v>13.124338124799181</v>
      </c>
      <c r="U19" s="13">
        <v>11.779344003150044</v>
      </c>
      <c r="W19">
        <v>2024</v>
      </c>
      <c r="X19" s="13">
        <v>5.4323489210908038</v>
      </c>
      <c r="Y19" s="13">
        <f t="shared" si="13"/>
        <v>13.124338124799181</v>
      </c>
      <c r="Z19" s="13">
        <v>25.853844790664727</v>
      </c>
      <c r="AB19" s="13">
        <f t="shared" si="1"/>
        <v>12.486103600758348</v>
      </c>
      <c r="AC19" s="13"/>
      <c r="AE19">
        <f t="shared" si="0"/>
        <v>-1.436461513932537</v>
      </c>
      <c r="AJ19">
        <v>15</v>
      </c>
    </row>
    <row r="20" spans="1:36">
      <c r="A20" s="14">
        <v>2025</v>
      </c>
      <c r="B20" s="13"/>
      <c r="C20" s="20">
        <f t="shared" si="15"/>
        <v>16.872079181313538</v>
      </c>
      <c r="D20" s="84">
        <f t="shared" si="8"/>
        <v>15.270436031984634</v>
      </c>
      <c r="E20" s="84">
        <f>J20-SUM(F$7:F20)</f>
        <v>-1.1806809310661732</v>
      </c>
      <c r="F20" s="13">
        <f t="shared" si="9"/>
        <v>0.11199035949393416</v>
      </c>
      <c r="G20" s="13">
        <f t="shared" si="10"/>
        <v>0.55995179746967072</v>
      </c>
      <c r="H20" s="13">
        <f t="shared" si="11"/>
        <v>0.55995179746967072</v>
      </c>
      <c r="I20" s="20">
        <f>I19+(I35-I15)/20</f>
        <v>0.2</v>
      </c>
      <c r="J20" s="13">
        <f t="shared" si="12"/>
        <v>-0.27986152388541125</v>
      </c>
      <c r="K20" s="13"/>
      <c r="L20" s="84">
        <f t="shared" si="14"/>
        <v>27.981702167382604</v>
      </c>
      <c r="M20" s="13">
        <f t="shared" si="4"/>
        <v>29.926315888739872</v>
      </c>
      <c r="N20" s="13">
        <f t="shared" si="5"/>
        <v>2026.563155851808</v>
      </c>
      <c r="O20" s="13">
        <f t="shared" si="6"/>
        <v>2017.9357759125728</v>
      </c>
      <c r="P20" s="13">
        <f>1/Ireland!R95</f>
        <v>0.76798553924090118</v>
      </c>
      <c r="R20" s="87">
        <v>2025</v>
      </c>
      <c r="S20" s="13">
        <v>18.279077065589025</v>
      </c>
      <c r="T20" s="13">
        <v>16.872079181313538</v>
      </c>
      <c r="U20" s="13">
        <v>15.252446376471227</v>
      </c>
      <c r="W20" s="87">
        <v>2025</v>
      </c>
      <c r="X20" s="13">
        <v>6.6898757945917584</v>
      </c>
      <c r="Y20" s="13">
        <f t="shared" si="13"/>
        <v>16.872079181313538</v>
      </c>
      <c r="Z20" s="13">
        <v>32.521993619788894</v>
      </c>
      <c r="AB20" s="13">
        <f t="shared" si="1"/>
        <v>17.346754578607644</v>
      </c>
      <c r="AC20" s="13"/>
      <c r="AE20">
        <f t="shared" si="0"/>
        <v>-1.0105453044511901</v>
      </c>
      <c r="AJ20">
        <v>16</v>
      </c>
    </row>
    <row r="21" spans="1:36">
      <c r="A21">
        <v>2026</v>
      </c>
      <c r="B21" s="13"/>
      <c r="C21" s="13">
        <f t="shared" si="15"/>
        <v>21.314274226264978</v>
      </c>
      <c r="D21" s="84">
        <f t="shared" si="8"/>
        <v>19.763281173333809</v>
      </c>
      <c r="E21" s="84">
        <f>J21-SUM(F$7:F21)</f>
        <v>-0.82808339065462377</v>
      </c>
      <c r="F21" s="13">
        <f t="shared" si="9"/>
        <v>9.9008524419950422E-2</v>
      </c>
      <c r="G21" s="13">
        <f>IF(H21&lt;0,0,H21)</f>
        <v>0.49504262209975208</v>
      </c>
      <c r="H21" s="13">
        <f t="shared" si="11"/>
        <v>0.49504262209975208</v>
      </c>
      <c r="I21" s="20">
        <f>I20+(I35-I15)/20</f>
        <v>0.2</v>
      </c>
      <c r="J21" s="13">
        <f t="shared" si="12"/>
        <v>0.17174454094608868</v>
      </c>
      <c r="K21" s="13"/>
      <c r="L21" s="84">
        <f t="shared" si="14"/>
        <v>35.284009014499155</v>
      </c>
      <c r="M21" s="13">
        <f t="shared" si="4"/>
        <v>36.816402784108064</v>
      </c>
      <c r="N21" s="13">
        <f t="shared" si="5"/>
        <v>2027.7731481487685</v>
      </c>
      <c r="O21" s="13">
        <f t="shared" si="6"/>
        <v>2017.7257836156123</v>
      </c>
      <c r="P21" s="13">
        <f>1/Ireland!R96</f>
        <v>0.7485127866299256</v>
      </c>
      <c r="R21">
        <v>2026</v>
      </c>
      <c r="S21" s="13">
        <v>23.182591204738795</v>
      </c>
      <c r="T21" s="13">
        <v>21.314274226264978</v>
      </c>
      <c r="U21" s="13">
        <v>19.295266077424706</v>
      </c>
      <c r="W21">
        <v>2026</v>
      </c>
      <c r="X21" s="13">
        <v>8.1688227561905435</v>
      </c>
      <c r="Y21" s="13">
        <f>T21</f>
        <v>21.314274226264978</v>
      </c>
      <c r="Z21" s="13">
        <v>39.241835948601853</v>
      </c>
      <c r="AB21" s="13">
        <f t="shared" si="1"/>
        <v>23.261428838728147</v>
      </c>
      <c r="AC21" s="13"/>
      <c r="AE21">
        <f t="shared" si="0"/>
        <v>-0.58462909496984317</v>
      </c>
      <c r="AJ21">
        <v>17</v>
      </c>
    </row>
    <row r="22" spans="1:36">
      <c r="A22">
        <v>2027</v>
      </c>
      <c r="B22" s="13"/>
      <c r="C22" s="13">
        <f t="shared" si="15"/>
        <v>26.331705442305974</v>
      </c>
      <c r="D22" s="84">
        <f t="shared" si="8"/>
        <v>25.330707550885755</v>
      </c>
      <c r="E22" s="84">
        <f>J22-SUM(F$7:F22)</f>
        <v>-0.44856000150958619</v>
      </c>
      <c r="F22" s="13">
        <f t="shared" si="9"/>
        <v>8.6695590025113345E-2</v>
      </c>
      <c r="G22" s="13">
        <f t="shared" si="10"/>
        <v>0.43347795012556667</v>
      </c>
      <c r="H22" s="13">
        <f t="shared" si="11"/>
        <v>0.43347795012556667</v>
      </c>
      <c r="I22" s="20">
        <f>I21+(I35-I15)/20</f>
        <v>0.2</v>
      </c>
      <c r="J22" s="13">
        <f t="shared" si="12"/>
        <v>0.63796352011623958</v>
      </c>
      <c r="K22" s="13"/>
      <c r="L22" s="84">
        <f t="shared" si="14"/>
        <v>42.529042827653186</v>
      </c>
      <c r="M22" s="13">
        <f t="shared" si="4"/>
        <v>43.33293398469911</v>
      </c>
      <c r="N22" s="13">
        <f t="shared" si="5"/>
        <v>2028.972320404552</v>
      </c>
      <c r="O22" s="13">
        <f t="shared" si="6"/>
        <v>2017.5266113598288</v>
      </c>
      <c r="P22" s="13">
        <f>1/Ireland!R97</f>
        <v>0.73004338503766997</v>
      </c>
      <c r="R22">
        <v>2027</v>
      </c>
      <c r="S22" s="13">
        <v>28.654331870172058</v>
      </c>
      <c r="T22" s="13">
        <v>26.331705442305974</v>
      </c>
      <c r="U22" s="13">
        <v>23.898080254532374</v>
      </c>
      <c r="W22">
        <v>2027</v>
      </c>
      <c r="X22" s="13">
        <v>9.8223980869991045</v>
      </c>
      <c r="Y22" s="13">
        <f t="shared" si="13"/>
        <v>26.331705442305974</v>
      </c>
      <c r="Z22" s="13">
        <v>45.571913036813548</v>
      </c>
      <c r="AB22" s="13">
        <f t="shared" si="1"/>
        <v>29.926315888739872</v>
      </c>
      <c r="AC22" s="13"/>
      <c r="AE22">
        <f t="shared" si="0"/>
        <v>-0.15871288548849538</v>
      </c>
      <c r="AJ22">
        <v>18</v>
      </c>
    </row>
    <row r="23" spans="1:36">
      <c r="A23">
        <v>2028</v>
      </c>
      <c r="B23" s="13"/>
      <c r="C23" s="13">
        <f t="shared" si="15"/>
        <v>31.791769224284813</v>
      </c>
      <c r="D23" s="84">
        <f t="shared" si="8"/>
        <v>31.125501856475594</v>
      </c>
      <c r="E23" s="84">
        <f>J23-SUM(F$7:F23)</f>
        <v>-8.4634985581100386E-2</v>
      </c>
      <c r="F23" s="13">
        <f t="shared" si="9"/>
        <v>7.3015180089498186E-2</v>
      </c>
      <c r="G23" s="13">
        <f t="shared" si="10"/>
        <v>0.36507590044749094</v>
      </c>
      <c r="H23" s="13">
        <f t="shared" si="11"/>
        <v>0.36507590044749094</v>
      </c>
      <c r="I23" s="20">
        <f>I22+(I35-I15)/20</f>
        <v>0.2</v>
      </c>
      <c r="J23" s="13">
        <f t="shared" si="12"/>
        <v>1.0749037161342236</v>
      </c>
      <c r="K23" s="13"/>
      <c r="L23" s="84">
        <f t="shared" si="14"/>
        <v>48.459342619005</v>
      </c>
      <c r="M23" s="13">
        <f t="shared" si="4"/>
        <v>48.997637836341092</v>
      </c>
      <c r="N23" s="13">
        <f t="shared" si="5"/>
        <v>2030.1936127479971</v>
      </c>
      <c r="O23" s="13">
        <f t="shared" si="6"/>
        <v>2017.3053190163837</v>
      </c>
      <c r="P23" s="13">
        <f>1/Ireland!R98</f>
        <v>0.70952277013424725</v>
      </c>
      <c r="R23">
        <v>2028</v>
      </c>
      <c r="S23" s="13">
        <v>34.522034882611671</v>
      </c>
      <c r="T23" s="13">
        <v>31.791769224284813</v>
      </c>
      <c r="U23" s="13">
        <v>28.851491582067492</v>
      </c>
      <c r="W23">
        <v>2028</v>
      </c>
      <c r="X23" s="13">
        <v>11.679911974111564</v>
      </c>
      <c r="Y23" s="13">
        <f t="shared" si="13"/>
        <v>31.791769224284813</v>
      </c>
      <c r="Z23" s="13">
        <v>51.140986247289831</v>
      </c>
      <c r="AB23" s="13">
        <f t="shared" si="1"/>
        <v>36.816402784108064</v>
      </c>
      <c r="AC23" s="13"/>
      <c r="AE23">
        <f t="shared" si="0"/>
        <v>0.2672033239928524</v>
      </c>
      <c r="AJ23">
        <v>19</v>
      </c>
    </row>
    <row r="24" spans="1:36">
      <c r="A24">
        <v>2029</v>
      </c>
      <c r="B24" s="13"/>
      <c r="C24" s="13">
        <f t="shared" si="15"/>
        <v>37.493858571420454</v>
      </c>
      <c r="D24" s="84">
        <f t="shared" si="8"/>
        <v>37.385896177729748</v>
      </c>
      <c r="E24" s="84">
        <f>J24-SUM(F$7:F24)</f>
        <v>0.30296687549399937</v>
      </c>
      <c r="F24" s="13">
        <f t="shared" si="9"/>
        <v>6.0802950748677587E-2</v>
      </c>
      <c r="G24" s="13">
        <f t="shared" si="10"/>
        <v>0.30401475374338793</v>
      </c>
      <c r="H24" s="13">
        <f t="shared" si="11"/>
        <v>0.30401475374338793</v>
      </c>
      <c r="I24" s="20">
        <f>I23+(I35-I15)/20</f>
        <v>0.2</v>
      </c>
      <c r="J24" s="13">
        <f t="shared" si="12"/>
        <v>1.523308527958001</v>
      </c>
      <c r="K24" s="13"/>
      <c r="L24" s="84">
        <f t="shared" si="14"/>
        <v>53.366635502420138</v>
      </c>
      <c r="M24" s="13">
        <f t="shared" si="4"/>
        <v>53.571923644377804</v>
      </c>
      <c r="N24" s="13">
        <f t="shared" si="5"/>
        <v>2031.3911560133113</v>
      </c>
      <c r="O24" s="13">
        <f t="shared" si="6"/>
        <v>2017.1077757510695</v>
      </c>
      <c r="P24" s="13">
        <f>1/Ireland!R99</f>
        <v>0.69120442612301636</v>
      </c>
      <c r="R24">
        <v>2029</v>
      </c>
      <c r="S24" s="13">
        <v>40.278732752865778</v>
      </c>
      <c r="T24" s="13">
        <v>37.493858571420454</v>
      </c>
      <c r="U24" s="13">
        <v>33.983033142286999</v>
      </c>
      <c r="W24">
        <v>2029</v>
      </c>
      <c r="X24" s="13">
        <v>13.74524898774979</v>
      </c>
      <c r="Y24" s="13">
        <f t="shared" si="13"/>
        <v>37.493858571420454</v>
      </c>
      <c r="Z24" s="13">
        <v>55.699855218056932</v>
      </c>
      <c r="AB24" s="13">
        <f t="shared" si="1"/>
        <v>43.33293398469911</v>
      </c>
      <c r="AC24" s="13"/>
      <c r="AE24">
        <f t="shared" si="0"/>
        <v>0.6931195334741993</v>
      </c>
      <c r="AJ24">
        <v>20</v>
      </c>
    </row>
    <row r="25" spans="1:36">
      <c r="A25" s="14">
        <v>2030</v>
      </c>
      <c r="B25" s="13"/>
      <c r="C25" s="20">
        <f t="shared" si="15"/>
        <v>42.9438536085827</v>
      </c>
      <c r="D25" s="84">
        <f t="shared" si="8"/>
        <v>43.820233047971087</v>
      </c>
      <c r="E25" s="84">
        <f>J25-SUM(F$7:F25)</f>
        <v>0.72704931555114993</v>
      </c>
      <c r="F25" s="13">
        <f t="shared" si="9"/>
        <v>4.7102674349107948E-2</v>
      </c>
      <c r="G25" s="13">
        <f t="shared" si="10"/>
        <v>0.23551337174553971</v>
      </c>
      <c r="H25" s="13">
        <f t="shared" si="11"/>
        <v>0.23551337174553971</v>
      </c>
      <c r="I25" s="20">
        <f>I24+(I35-I15)/20</f>
        <v>0.2</v>
      </c>
      <c r="J25" s="13">
        <f t="shared" si="12"/>
        <v>1.9944936423642594</v>
      </c>
      <c r="K25" s="13"/>
      <c r="L25" s="84">
        <f t="shared" si="14"/>
        <v>57.214152608368224</v>
      </c>
      <c r="M25" s="13">
        <f t="shared" si="4"/>
        <v>59.577814845498921</v>
      </c>
      <c r="N25" s="13">
        <f t="shared" si="5"/>
        <v>2032.6127697138199</v>
      </c>
      <c r="O25" s="13">
        <f t="shared" si="6"/>
        <v>2016.8861620505609</v>
      </c>
      <c r="P25" s="13">
        <f>1/Ireland!R100</f>
        <v>0.67065401152366189</v>
      </c>
      <c r="R25" s="87">
        <v>2030</v>
      </c>
      <c r="S25" s="13">
        <v>45.684734611147114</v>
      </c>
      <c r="T25" s="13">
        <v>42.9438536085827</v>
      </c>
      <c r="U25" s="13">
        <v>39.082807870851603</v>
      </c>
      <c r="W25" s="87">
        <v>2030</v>
      </c>
      <c r="X25" s="13">
        <v>16.032150691842652</v>
      </c>
      <c r="Y25" s="13">
        <f t="shared" si="13"/>
        <v>42.9438536085827</v>
      </c>
      <c r="Z25" s="13">
        <v>58.994281032855113</v>
      </c>
      <c r="AB25" s="13">
        <f t="shared" si="1"/>
        <v>48.997637836341092</v>
      </c>
      <c r="AC25" s="13"/>
      <c r="AE25">
        <f t="shared" si="0"/>
        <v>1.1190357429555462</v>
      </c>
      <c r="AJ25">
        <v>21</v>
      </c>
    </row>
    <row r="26" spans="1:36">
      <c r="A26">
        <v>2031</v>
      </c>
      <c r="C26" s="13">
        <f t="shared" si="15"/>
        <v>47.890879896237649</v>
      </c>
      <c r="D26" s="84">
        <f>65*EXP(E26)/(1+EXP(E26))</f>
        <v>49.846328731613063</v>
      </c>
      <c r="E26" s="84">
        <f>J26-SUM(F$7:F26)</f>
        <v>1.1907020168441298</v>
      </c>
      <c r="F26" s="13">
        <f t="shared" si="9"/>
        <v>4.7102674349107948E-2</v>
      </c>
      <c r="G26" s="13">
        <f t="shared" si="10"/>
        <v>0.23551337174553971</v>
      </c>
      <c r="H26" s="13">
        <f t="shared" si="11"/>
        <v>0.23551337174553971</v>
      </c>
      <c r="I26" s="20">
        <f>I25+(I35-I15)/20</f>
        <v>0.2</v>
      </c>
      <c r="J26" s="13">
        <f t="shared" si="12"/>
        <v>2.5052490180063471</v>
      </c>
      <c r="K26" s="13"/>
      <c r="L26" s="84">
        <f t="shared" si="14"/>
        <v>60.093083530568641</v>
      </c>
      <c r="M26" s="13">
        <f t="shared" si="4"/>
        <v>61.352867201183777</v>
      </c>
      <c r="N26" s="13">
        <f t="shared" si="5"/>
        <v>2033.6127697138199</v>
      </c>
      <c r="O26" s="13">
        <f t="shared" si="6"/>
        <v>2016.8861620505609</v>
      </c>
      <c r="P26" s="13">
        <f>P25</f>
        <v>0.67065401152366189</v>
      </c>
      <c r="R26">
        <v>2031</v>
      </c>
      <c r="S26" s="13">
        <v>50.384712753762372</v>
      </c>
      <c r="T26" s="13">
        <v>47.890879896237649</v>
      </c>
      <c r="U26" s="13">
        <v>43.905522189592546</v>
      </c>
      <c r="W26">
        <v>2031</v>
      </c>
      <c r="X26" s="13">
        <v>18.535289152935178</v>
      </c>
      <c r="Y26" s="13">
        <f t="shared" si="13"/>
        <v>47.890879896237649</v>
      </c>
      <c r="Z26" s="13">
        <v>61.235260574370933</v>
      </c>
      <c r="AB26" s="13">
        <f t="shared" si="1"/>
        <v>53.571923644377804</v>
      </c>
      <c r="AC26" s="13"/>
      <c r="AE26">
        <f t="shared" si="0"/>
        <v>1.5449519524368949</v>
      </c>
      <c r="AJ26">
        <v>22</v>
      </c>
    </row>
    <row r="27" spans="1:36">
      <c r="A27">
        <v>2032</v>
      </c>
      <c r="C27" s="13">
        <f t="shared" si="15"/>
        <v>52.223716629287729</v>
      </c>
      <c r="D27" s="84">
        <f t="shared" si="8"/>
        <v>55.185061461934119</v>
      </c>
      <c r="E27" s="84">
        <f>J27-SUM(F$7:F27)</f>
        <v>1.7267867253000666</v>
      </c>
      <c r="F27" s="13">
        <f t="shared" si="9"/>
        <v>4.7102674349107948E-2</v>
      </c>
      <c r="G27" s="13">
        <f t="shared" si="10"/>
        <v>0.23551337174553971</v>
      </c>
      <c r="H27" s="13">
        <f t="shared" si="11"/>
        <v>0.23551337174553971</v>
      </c>
      <c r="I27" s="20">
        <f>I26+(I35-I15)/20</f>
        <v>0.2</v>
      </c>
      <c r="J27" s="13">
        <f t="shared" si="12"/>
        <v>3.0884364008113918</v>
      </c>
      <c r="K27" s="13"/>
      <c r="L27" s="84">
        <f t="shared" si="14"/>
        <v>62.166859939538995</v>
      </c>
      <c r="M27" s="13">
        <f t="shared" si="4"/>
        <v>62.570519514439546</v>
      </c>
      <c r="N27" s="13">
        <f t="shared" si="5"/>
        <v>2034.6127697138199</v>
      </c>
      <c r="O27" s="13">
        <f t="shared" si="6"/>
        <v>2016.8861620505609</v>
      </c>
      <c r="P27" s="13">
        <f t="shared" ref="P27:P50" si="16">P26</f>
        <v>0.67065401152366189</v>
      </c>
      <c r="R27">
        <v>2032</v>
      </c>
      <c r="S27" s="13">
        <v>54.370815876357717</v>
      </c>
      <c r="T27" s="13">
        <v>52.223716629287729</v>
      </c>
      <c r="U27" s="13">
        <v>48.176480177782729</v>
      </c>
      <c r="W27">
        <v>2032</v>
      </c>
      <c r="X27" s="13">
        <v>21.299862965939905</v>
      </c>
      <c r="Y27" s="13">
        <f t="shared" si="13"/>
        <v>52.223716629287729</v>
      </c>
      <c r="Z27" s="13">
        <v>62.74985034729044</v>
      </c>
      <c r="AB27" s="13">
        <f t="shared" si="1"/>
        <v>57.050781563780149</v>
      </c>
      <c r="AC27" s="13"/>
      <c r="AE27">
        <f t="shared" si="0"/>
        <v>1.9708681619182418</v>
      </c>
      <c r="AJ27">
        <v>23</v>
      </c>
    </row>
    <row r="28" spans="1:36">
      <c r="A28">
        <v>2033</v>
      </c>
      <c r="C28" s="13">
        <f t="shared" si="15"/>
        <v>55.815327901090924</v>
      </c>
      <c r="D28" s="84">
        <f t="shared" si="8"/>
        <v>57.913246433469538</v>
      </c>
      <c r="E28" s="84">
        <f>J28-SUM(F$7:F28)</f>
        <v>2.1007187930308628</v>
      </c>
      <c r="F28" s="13">
        <f t="shared" si="9"/>
        <v>4.7102674349107948E-2</v>
      </c>
      <c r="G28" s="13">
        <f t="shared" si="10"/>
        <v>0.23551337174553971</v>
      </c>
      <c r="H28" s="13">
        <f t="shared" si="11"/>
        <v>0.23551337174553971</v>
      </c>
      <c r="I28" s="20">
        <f>I27+(I35-I15)/20</f>
        <v>0.2</v>
      </c>
      <c r="J28" s="13">
        <f t="shared" si="12"/>
        <v>3.5094711428912957</v>
      </c>
      <c r="K28" s="13"/>
      <c r="L28" s="84">
        <f t="shared" si="14"/>
        <v>63.112143503380572</v>
      </c>
      <c r="M28" s="13">
        <f t="shared" si="4"/>
        <v>63.392292447343138</v>
      </c>
      <c r="N28" s="13">
        <f t="shared" si="5"/>
        <v>2035.6127697138199</v>
      </c>
      <c r="O28" s="13">
        <f t="shared" si="6"/>
        <v>2016.8861620505609</v>
      </c>
      <c r="P28" s="13">
        <f t="shared" si="16"/>
        <v>0.67065401152366189</v>
      </c>
      <c r="R28">
        <v>2033</v>
      </c>
      <c r="S28" s="13">
        <v>57.538947786012208</v>
      </c>
      <c r="T28" s="13">
        <v>55.815327901090924</v>
      </c>
      <c r="U28" s="13">
        <v>51.938091924308196</v>
      </c>
      <c r="W28">
        <v>2033</v>
      </c>
      <c r="X28" s="13">
        <v>24.303150516713657</v>
      </c>
      <c r="Y28" s="13">
        <f t="shared" si="13"/>
        <v>55.815327901090924</v>
      </c>
      <c r="Z28" s="13">
        <v>63.690340827392298</v>
      </c>
      <c r="AB28" s="13">
        <f t="shared" si="1"/>
        <v>59.577814845498921</v>
      </c>
      <c r="AC28" s="13"/>
      <c r="AE28">
        <f t="shared" si="0"/>
        <v>2.3967843713995887</v>
      </c>
      <c r="AJ28">
        <v>24</v>
      </c>
    </row>
    <row r="29" spans="1:36">
      <c r="A29">
        <v>2034</v>
      </c>
      <c r="C29" s="13">
        <f t="shared" si="15"/>
        <v>58.595976614611679</v>
      </c>
      <c r="D29" s="84">
        <f t="shared" si="8"/>
        <v>59.959891564470411</v>
      </c>
      <c r="E29" s="84">
        <f>J29-SUM(F$7:F29)</f>
        <v>2.4762482679304298</v>
      </c>
      <c r="F29" s="13">
        <f t="shared" si="9"/>
        <v>4.7102674349107948E-2</v>
      </c>
      <c r="G29" s="13">
        <f t="shared" si="10"/>
        <v>0.23551337174553971</v>
      </c>
      <c r="H29" s="13">
        <f t="shared" si="11"/>
        <v>0.23551337174553971</v>
      </c>
      <c r="I29" s="20">
        <f>I28+(I35-I15)/20</f>
        <v>0.2</v>
      </c>
      <c r="J29" s="13">
        <f t="shared" si="12"/>
        <v>3.932103292139971</v>
      </c>
      <c r="K29" s="13"/>
      <c r="L29" s="84">
        <f t="shared" si="14"/>
        <v>63.750340354328252</v>
      </c>
      <c r="M29" s="13">
        <f t="shared" si="4"/>
        <v>63.940805689229563</v>
      </c>
      <c r="N29" s="13">
        <f t="shared" si="5"/>
        <v>2036.6127697138199</v>
      </c>
      <c r="O29" s="13">
        <f t="shared" si="6"/>
        <v>2016.8861620505609</v>
      </c>
      <c r="P29" s="13">
        <f t="shared" si="16"/>
        <v>0.67065401152366189</v>
      </c>
      <c r="R29">
        <v>2034</v>
      </c>
      <c r="S29" s="13">
        <v>59.853519747556156</v>
      </c>
      <c r="T29" s="13">
        <v>58.595976614611679</v>
      </c>
      <c r="U29" s="13">
        <v>55.093351946463024</v>
      </c>
      <c r="W29">
        <v>2034</v>
      </c>
      <c r="X29" s="13">
        <v>27.503323731270569</v>
      </c>
      <c r="Y29" s="13">
        <f t="shared" si="13"/>
        <v>58.595976614611679</v>
      </c>
      <c r="Z29" s="13">
        <v>64.200103006869057</v>
      </c>
      <c r="AB29" s="13">
        <f t="shared" si="1"/>
        <v>61.352867201183777</v>
      </c>
      <c r="AC29" s="13"/>
      <c r="AE29">
        <f t="shared" si="0"/>
        <v>2.8227005808809356</v>
      </c>
      <c r="AJ29">
        <v>25</v>
      </c>
    </row>
    <row r="30" spans="1:36">
      <c r="A30">
        <v>2035</v>
      </c>
      <c r="C30" s="13">
        <f t="shared" si="15"/>
        <v>60.591507987325812</v>
      </c>
      <c r="D30" s="84">
        <f t="shared" si="8"/>
        <v>61.455358987826195</v>
      </c>
      <c r="E30" s="84">
        <f>J30-SUM(F$7:F30)</f>
        <v>2.8528741522276455</v>
      </c>
      <c r="F30" s="13">
        <f t="shared" si="9"/>
        <v>4.7102674349107948E-2</v>
      </c>
      <c r="G30" s="13">
        <f t="shared" si="10"/>
        <v>0.23551337174553971</v>
      </c>
      <c r="H30" s="13">
        <f t="shared" si="11"/>
        <v>0.23551337174553971</v>
      </c>
      <c r="I30" s="20">
        <f>I29+(I35-I15)/20</f>
        <v>0.2</v>
      </c>
      <c r="J30" s="13">
        <f t="shared" si="12"/>
        <v>4.3558318507862941</v>
      </c>
      <c r="K30" s="13"/>
      <c r="L30" s="84">
        <f t="shared" si="14"/>
        <v>64.176502456555994</v>
      </c>
      <c r="M30" s="13">
        <f t="shared" si="4"/>
        <v>64.304232664706845</v>
      </c>
      <c r="N30" s="13">
        <f t="shared" si="5"/>
        <v>2037.6127697138199</v>
      </c>
      <c r="O30" s="13">
        <f t="shared" si="6"/>
        <v>2016.8861620505609</v>
      </c>
      <c r="P30" s="13">
        <f t="shared" si="16"/>
        <v>0.67065401152366189</v>
      </c>
      <c r="R30">
        <v>2035</v>
      </c>
      <c r="S30" s="13">
        <v>61.37428206855661</v>
      </c>
      <c r="T30" s="13">
        <v>60.591507987325812</v>
      </c>
      <c r="U30" s="13">
        <v>57.639746258394119</v>
      </c>
      <c r="W30">
        <v>2035</v>
      </c>
      <c r="X30" s="13">
        <v>30.841253525093073</v>
      </c>
      <c r="Y30" s="13">
        <f t="shared" si="13"/>
        <v>60.591507987325812</v>
      </c>
      <c r="Z30" s="13">
        <v>64.507619512119234</v>
      </c>
      <c r="AB30" s="13">
        <f t="shared" si="1"/>
        <v>62.570519514439546</v>
      </c>
      <c r="AC30" s="13"/>
      <c r="AE30">
        <f t="shared" si="0"/>
        <v>3.2486167903622825</v>
      </c>
      <c r="AJ30">
        <v>26</v>
      </c>
    </row>
    <row r="31" spans="1:36">
      <c r="A31">
        <v>2036</v>
      </c>
      <c r="C31" s="13">
        <f t="shared" si="15"/>
        <v>61.877024011109384</v>
      </c>
      <c r="D31" s="84">
        <f t="shared" si="8"/>
        <v>62.527175080352116</v>
      </c>
      <c r="E31" s="84">
        <f>J31-SUM(F$7:F31)</f>
        <v>3.2302400742419319</v>
      </c>
      <c r="F31" s="13">
        <f t="shared" si="9"/>
        <v>4.7102674349107948E-2</v>
      </c>
      <c r="G31" s="13">
        <f t="shared" si="10"/>
        <v>0.23551337174553971</v>
      </c>
      <c r="H31" s="13">
        <f t="shared" si="11"/>
        <v>0.23551337174553971</v>
      </c>
      <c r="I31" s="20">
        <f>I30+(I35-I15)/20</f>
        <v>0.2</v>
      </c>
      <c r="J31" s="13">
        <f t="shared" si="12"/>
        <v>4.7803004471496884</v>
      </c>
      <c r="K31" s="13"/>
      <c r="L31" s="84">
        <f t="shared" si="14"/>
        <v>64.458965171765954</v>
      </c>
      <c r="M31" s="13">
        <f t="shared" si="4"/>
        <v>64.543851455922123</v>
      </c>
      <c r="N31" s="13">
        <f t="shared" si="5"/>
        <v>2038.6127697138199</v>
      </c>
      <c r="O31" s="13">
        <f t="shared" si="6"/>
        <v>2016.8861620505609</v>
      </c>
      <c r="P31" s="13">
        <f t="shared" si="16"/>
        <v>0.67065401152366189</v>
      </c>
      <c r="R31">
        <v>2036</v>
      </c>
      <c r="S31" s="13">
        <v>62.476590873757978</v>
      </c>
      <c r="T31" s="13">
        <v>61.877024011109384</v>
      </c>
      <c r="U31" s="13">
        <v>59.625402571701315</v>
      </c>
      <c r="W31">
        <v>2036</v>
      </c>
      <c r="X31" s="13">
        <v>34.245157964477485</v>
      </c>
      <c r="Y31" s="13">
        <f t="shared" si="13"/>
        <v>61.877024011109384</v>
      </c>
      <c r="Z31" s="13">
        <v>64.67672589304911</v>
      </c>
      <c r="AB31" s="13">
        <f t="shared" si="1"/>
        <v>63.392292447343138</v>
      </c>
      <c r="AC31" s="13"/>
      <c r="AE31">
        <f t="shared" si="0"/>
        <v>3.6745329998436311</v>
      </c>
      <c r="AJ31">
        <v>27</v>
      </c>
    </row>
    <row r="32" spans="1:36">
      <c r="A32">
        <v>2037</v>
      </c>
      <c r="C32" s="13">
        <f t="shared" si="15"/>
        <v>62.809233286577488</v>
      </c>
      <c r="D32" s="84">
        <f t="shared" si="8"/>
        <v>63.284774042616348</v>
      </c>
      <c r="E32" s="84">
        <f>J32-SUM(F$7:F32)</f>
        <v>3.6080999382494037</v>
      </c>
      <c r="F32" s="13">
        <f t="shared" si="9"/>
        <v>4.7102674349107948E-2</v>
      </c>
      <c r="G32" s="13">
        <f t="shared" si="10"/>
        <v>0.23551337174553971</v>
      </c>
      <c r="H32" s="13">
        <f t="shared" si="11"/>
        <v>0.23551337174553971</v>
      </c>
      <c r="I32" s="20">
        <f>I31+(I35-I15)/20</f>
        <v>0.2</v>
      </c>
      <c r="J32" s="13">
        <f t="shared" si="12"/>
        <v>5.205262985506268</v>
      </c>
      <c r="K32" s="13"/>
      <c r="L32" s="84">
        <f t="shared" si="14"/>
        <v>64.645252255387419</v>
      </c>
      <c r="M32" s="13">
        <f t="shared" si="4"/>
        <v>64.701330025578272</v>
      </c>
      <c r="N32" s="13">
        <f t="shared" si="5"/>
        <v>2039.6127697138199</v>
      </c>
      <c r="O32" s="13">
        <f t="shared" si="6"/>
        <v>2016.8861620505609</v>
      </c>
      <c r="P32" s="13">
        <f t="shared" si="16"/>
        <v>0.67065401152366189</v>
      </c>
      <c r="R32">
        <v>2037</v>
      </c>
      <c r="S32" s="13">
        <v>63.259508713222317</v>
      </c>
      <c r="T32" s="13">
        <v>62.809233286577488</v>
      </c>
      <c r="U32" s="13">
        <v>61.129505288984141</v>
      </c>
      <c r="W32">
        <v>2037</v>
      </c>
      <c r="X32" s="13">
        <v>37.637180667492359</v>
      </c>
      <c r="Y32" s="13">
        <f t="shared" si="13"/>
        <v>62.809233286577488</v>
      </c>
      <c r="Z32" s="13">
        <v>64.788127788005809</v>
      </c>
      <c r="AB32" s="13">
        <f t="shared" si="1"/>
        <v>63.940805689229563</v>
      </c>
      <c r="AC32" s="13"/>
      <c r="AE32">
        <f t="shared" si="0"/>
        <v>4.100449209324978</v>
      </c>
      <c r="AJ32">
        <v>28</v>
      </c>
    </row>
    <row r="33" spans="1:36">
      <c r="A33">
        <v>2038</v>
      </c>
      <c r="C33" s="13">
        <f t="shared" si="15"/>
        <v>63.47418935072568</v>
      </c>
      <c r="D33" s="84">
        <f t="shared" si="8"/>
        <v>63.815048340611973</v>
      </c>
      <c r="E33" s="84">
        <f>J33-SUM(F$7:F33)</f>
        <v>3.9862870499564877</v>
      </c>
      <c r="F33" s="13">
        <f t="shared" si="9"/>
        <v>4.7102674349107948E-2</v>
      </c>
      <c r="G33" s="13">
        <f t="shared" si="10"/>
        <v>0.23551337174553971</v>
      </c>
      <c r="H33" s="13">
        <f t="shared" si="11"/>
        <v>0.23551337174553971</v>
      </c>
      <c r="I33" s="20">
        <f>I32+(I35-I15)/20</f>
        <v>0.2</v>
      </c>
      <c r="J33" s="13">
        <f t="shared" si="12"/>
        <v>5.6305527715624599</v>
      </c>
      <c r="K33" s="13"/>
      <c r="L33" s="84">
        <f t="shared" si="14"/>
        <v>64.767704654824882</v>
      </c>
      <c r="M33" s="13">
        <f t="shared" si="4"/>
        <v>64.804606023392921</v>
      </c>
      <c r="N33" s="13">
        <f t="shared" si="5"/>
        <v>2040.6127697138199</v>
      </c>
      <c r="O33" s="13">
        <f t="shared" si="6"/>
        <v>2016.8861620505609</v>
      </c>
      <c r="P33" s="13">
        <f t="shared" si="16"/>
        <v>0.67065401152366189</v>
      </c>
      <c r="R33">
        <v>2038</v>
      </c>
      <c r="S33" s="13">
        <v>63.807264401723501</v>
      </c>
      <c r="T33" s="13">
        <v>63.47418935072568</v>
      </c>
      <c r="U33" s="13">
        <v>62.242465010030116</v>
      </c>
      <c r="W33">
        <v>2038</v>
      </c>
      <c r="X33" s="13">
        <v>40.940615411331571</v>
      </c>
      <c r="Y33" s="13">
        <f t="shared" si="13"/>
        <v>63.47418935072568</v>
      </c>
      <c r="Z33" s="13">
        <v>64.861302106704443</v>
      </c>
      <c r="AB33" s="13">
        <f t="shared" si="1"/>
        <v>64.304232664706845</v>
      </c>
      <c r="AC33" s="13"/>
      <c r="AE33">
        <f t="shared" si="0"/>
        <v>4.5263654188063249</v>
      </c>
      <c r="AJ33">
        <v>29</v>
      </c>
    </row>
    <row r="34" spans="1:36">
      <c r="A34">
        <v>2039</v>
      </c>
      <c r="C34" s="13">
        <f t="shared" si="15"/>
        <v>63.942793977739818</v>
      </c>
      <c r="D34" s="84">
        <f t="shared" si="8"/>
        <v>64.183673628419101</v>
      </c>
      <c r="E34" s="84">
        <f>J34-SUM(F$7:F34)</f>
        <v>4.3646899123117882</v>
      </c>
      <c r="F34" s="13">
        <f t="shared" si="9"/>
        <v>4.7102674349107948E-2</v>
      </c>
      <c r="G34" s="13">
        <f t="shared" si="10"/>
        <v>0.23551337174553971</v>
      </c>
      <c r="H34" s="13">
        <f t="shared" si="11"/>
        <v>0.23551337174553971</v>
      </c>
      <c r="I34" s="20">
        <f>I33+(I35-I15)/20</f>
        <v>0.2</v>
      </c>
      <c r="J34" s="13">
        <f t="shared" si="12"/>
        <v>6.0560583082668682</v>
      </c>
      <c r="K34" s="13"/>
      <c r="L34" s="84">
        <f t="shared" si="14"/>
        <v>64.848020846704088</v>
      </c>
      <c r="M34" s="13">
        <f t="shared" si="4"/>
        <v>64.872241107336905</v>
      </c>
      <c r="N34" s="13">
        <f t="shared" si="5"/>
        <v>2041.6127697138199</v>
      </c>
      <c r="O34" s="13">
        <f t="shared" si="6"/>
        <v>2016.8861620505609</v>
      </c>
      <c r="P34" s="13">
        <f t="shared" si="16"/>
        <v>0.67065401152366189</v>
      </c>
      <c r="R34">
        <v>2039</v>
      </c>
      <c r="S34" s="13">
        <v>64.186356675606334</v>
      </c>
      <c r="T34" s="13">
        <v>63.942793977739818</v>
      </c>
      <c r="U34" s="13">
        <v>63.051170337228257</v>
      </c>
      <c r="W34">
        <v>2039</v>
      </c>
      <c r="X34" s="13">
        <v>44.086532490936015</v>
      </c>
      <c r="Y34" s="13">
        <f t="shared" si="13"/>
        <v>63.942793977739818</v>
      </c>
      <c r="Z34" s="13">
        <v>64.909274008352327</v>
      </c>
      <c r="AB34" s="13">
        <f t="shared" si="1"/>
        <v>64.543851455922123</v>
      </c>
      <c r="AC34" s="13"/>
      <c r="AE34">
        <f t="shared" si="0"/>
        <v>4.9522816282876736</v>
      </c>
      <c r="AJ34">
        <v>30</v>
      </c>
    </row>
    <row r="35" spans="1:36">
      <c r="A35">
        <v>2040</v>
      </c>
      <c r="C35" s="13">
        <f t="shared" si="15"/>
        <v>64.270157592789019</v>
      </c>
      <c r="D35" s="84">
        <f>65*EXP(E35)/(1+EXP(E35))</f>
        <v>64.438711361746286</v>
      </c>
      <c r="E35" s="84">
        <f>J35-SUM(F$7:F35)</f>
        <v>4.7432345597003636</v>
      </c>
      <c r="F35" s="13">
        <f t="shared" si="9"/>
        <v>4.7102674349107948E-2</v>
      </c>
      <c r="G35" s="13">
        <f t="shared" si="10"/>
        <v>0.23551337174553971</v>
      </c>
      <c r="H35" s="13">
        <f t="shared" si="11"/>
        <v>0.23551337174553971</v>
      </c>
      <c r="I35" s="89">
        <v>0.2</v>
      </c>
      <c r="J35" s="13">
        <f t="shared" si="12"/>
        <v>6.4817056300045515</v>
      </c>
      <c r="K35" s="13"/>
      <c r="L35" s="84">
        <f t="shared" si="14"/>
        <v>64.900624371929169</v>
      </c>
      <c r="M35" s="13">
        <f t="shared" si="4"/>
        <v>64.916494661894205</v>
      </c>
      <c r="N35" s="13">
        <f t="shared" si="5"/>
        <v>2042.6127697138199</v>
      </c>
      <c r="O35" s="13">
        <f t="shared" si="6"/>
        <v>2016.8861620505609</v>
      </c>
      <c r="P35" s="13">
        <f t="shared" si="16"/>
        <v>0.67065401152366189</v>
      </c>
      <c r="R35" s="87">
        <v>2040</v>
      </c>
      <c r="S35" s="13">
        <v>64.44671861330724</v>
      </c>
      <c r="T35" s="13">
        <v>64.270157592789019</v>
      </c>
      <c r="U35" s="13">
        <v>63.630824134840125</v>
      </c>
      <c r="W35" s="87">
        <v>2040</v>
      </c>
      <c r="X35" s="13">
        <v>47.018866025585034</v>
      </c>
      <c r="Y35" s="13">
        <f t="shared" si="13"/>
        <v>64.270157592789019</v>
      </c>
      <c r="Z35" s="13">
        <v>64.940683672673728</v>
      </c>
      <c r="AB35" s="13">
        <f t="shared" si="1"/>
        <v>64.701330025578272</v>
      </c>
      <c r="AE35">
        <f t="shared" si="0"/>
        <v>5.3781978377690205</v>
      </c>
      <c r="AJ35">
        <v>31</v>
      </c>
    </row>
    <row r="36" spans="1:36">
      <c r="A36">
        <v>2041</v>
      </c>
      <c r="C36" s="13">
        <f t="shared" si="15"/>
        <v>64.497442351791207</v>
      </c>
      <c r="D36" s="84">
        <f t="shared" si="8"/>
        <v>64.614584013507724</v>
      </c>
      <c r="E36" s="84">
        <f>J36-SUM(F$7:F36)</f>
        <v>5.1218721876339046</v>
      </c>
      <c r="F36" s="13">
        <f t="shared" si="9"/>
        <v>4.7102674349107948E-2</v>
      </c>
      <c r="G36" s="13">
        <f t="shared" si="10"/>
        <v>0.23551337174553971</v>
      </c>
      <c r="H36" s="13">
        <f t="shared" si="11"/>
        <v>0.23551337174553971</v>
      </c>
      <c r="I36" s="89">
        <f>I35</f>
        <v>0.2</v>
      </c>
      <c r="J36" s="13">
        <f t="shared" si="12"/>
        <v>6.9074459322872004</v>
      </c>
      <c r="K36" s="13"/>
      <c r="L36" s="84">
        <f t="shared" si="14"/>
        <v>64.935044864586587</v>
      </c>
      <c r="M36" s="13">
        <f t="shared" si="4"/>
        <v>64.945432415318209</v>
      </c>
      <c r="N36" s="13">
        <f t="shared" si="5"/>
        <v>2043.6127697138199</v>
      </c>
      <c r="O36" s="13">
        <f t="shared" si="6"/>
        <v>2016.8861620505609</v>
      </c>
      <c r="P36" s="13">
        <f t="shared" si="16"/>
        <v>0.67065401152366189</v>
      </c>
      <c r="R36">
        <v>2041</v>
      </c>
      <c r="S36" s="13">
        <v>64.624586513716849</v>
      </c>
      <c r="T36" s="13">
        <v>64.497442351791207</v>
      </c>
      <c r="U36" s="13">
        <v>64.042156702580229</v>
      </c>
      <c r="W36">
        <v>2041</v>
      </c>
      <c r="X36" s="13">
        <v>49.697431410464155</v>
      </c>
      <c r="Y36" s="13">
        <f t="shared" si="13"/>
        <v>64.497442351791207</v>
      </c>
      <c r="Z36" s="13">
        <v>64.96123203360473</v>
      </c>
      <c r="AB36" s="13">
        <f t="shared" si="1"/>
        <v>64.804606023392921</v>
      </c>
      <c r="AE36">
        <f t="shared" si="0"/>
        <v>5.8041140472503674</v>
      </c>
      <c r="AJ36">
        <v>32</v>
      </c>
    </row>
    <row r="37" spans="1:36">
      <c r="A37">
        <v>2042</v>
      </c>
      <c r="C37" s="13">
        <f t="shared" si="15"/>
        <v>64.654562189917868</v>
      </c>
      <c r="D37" s="84">
        <f t="shared" si="8"/>
        <v>64.735591376925115</v>
      </c>
      <c r="E37" s="84">
        <f>J37-SUM(F$7:F37)</f>
        <v>5.5005707066083183</v>
      </c>
      <c r="F37" s="13">
        <f t="shared" si="9"/>
        <v>4.7102674349107948E-2</v>
      </c>
      <c r="G37" s="13">
        <f t="shared" si="10"/>
        <v>0.23551337174553971</v>
      </c>
      <c r="H37" s="13">
        <f t="shared" si="11"/>
        <v>0.23551337174553971</v>
      </c>
      <c r="I37" s="89">
        <f t="shared" ref="I37:I50" si="17">I36</f>
        <v>0.2</v>
      </c>
      <c r="J37" s="13">
        <f t="shared" si="12"/>
        <v>7.3332471256107219</v>
      </c>
      <c r="K37" s="13"/>
      <c r="L37" s="84">
        <f t="shared" si="14"/>
        <v>64.957553596398242</v>
      </c>
      <c r="M37" s="13">
        <f t="shared" si="4"/>
        <v>64.964347651703662</v>
      </c>
      <c r="N37" s="13">
        <f t="shared" si="5"/>
        <v>2044.6127697138199</v>
      </c>
      <c r="O37" s="13">
        <f t="shared" si="6"/>
        <v>2016.8861620505609</v>
      </c>
      <c r="P37" s="13">
        <f t="shared" si="16"/>
        <v>0.67065401152366189</v>
      </c>
      <c r="R37">
        <v>2042</v>
      </c>
      <c r="S37" s="13">
        <v>64.745653556861299</v>
      </c>
      <c r="T37" s="13">
        <v>64.654562189917868</v>
      </c>
      <c r="U37" s="13">
        <v>64.331943437503725</v>
      </c>
      <c r="W37">
        <v>2042</v>
      </c>
      <c r="X37" s="13">
        <v>52.098766445073139</v>
      </c>
      <c r="Y37" s="13">
        <f t="shared" si="13"/>
        <v>64.654562189917868</v>
      </c>
      <c r="Z37" s="13">
        <v>64.974667522177924</v>
      </c>
      <c r="AB37" s="13">
        <f t="shared" si="1"/>
        <v>64.872241107336905</v>
      </c>
      <c r="AE37">
        <f t="shared" si="0"/>
        <v>6.2300302567317143</v>
      </c>
      <c r="AJ37">
        <v>33</v>
      </c>
    </row>
    <row r="38" spans="1:36">
      <c r="A38">
        <v>2043</v>
      </c>
      <c r="C38" s="13">
        <f t="shared" si="15"/>
        <v>64.762851707793317</v>
      </c>
      <c r="D38" s="84">
        <f t="shared" si="8"/>
        <v>64.818720385696594</v>
      </c>
      <c r="E38" s="84">
        <f>J38-SUM(F$7:F38)</f>
        <v>5.8793090658109568</v>
      </c>
      <c r="F38" s="13">
        <f t="shared" si="9"/>
        <v>4.7102674349107948E-2</v>
      </c>
      <c r="G38" s="13">
        <f t="shared" si="10"/>
        <v>0.23551337174553971</v>
      </c>
      <c r="H38" s="13">
        <f t="shared" si="11"/>
        <v>0.23551337174553971</v>
      </c>
      <c r="I38" s="89">
        <f t="shared" si="17"/>
        <v>0.2</v>
      </c>
      <c r="J38" s="13">
        <f t="shared" si="12"/>
        <v>7.7590881591624683</v>
      </c>
      <c r="K38" s="13"/>
      <c r="L38" s="84">
        <f t="shared" si="14"/>
        <v>64.972266872557881</v>
      </c>
      <c r="M38" s="13">
        <f t="shared" si="4"/>
        <v>64.976708486679954</v>
      </c>
      <c r="N38" s="13">
        <f t="shared" si="5"/>
        <v>2045.6127697138199</v>
      </c>
      <c r="O38" s="13">
        <f t="shared" si="6"/>
        <v>2016.8861620505609</v>
      </c>
      <c r="P38" s="13">
        <f t="shared" si="16"/>
        <v>0.67065401152366189</v>
      </c>
      <c r="R38">
        <v>2043</v>
      </c>
      <c r="S38" s="13">
        <v>64.827852518419135</v>
      </c>
      <c r="T38" s="13">
        <v>64.762851707793317</v>
      </c>
      <c r="U38" s="13">
        <v>64.535052751347322</v>
      </c>
      <c r="W38">
        <v>2043</v>
      </c>
      <c r="X38" s="13">
        <v>54.215064613562959</v>
      </c>
      <c r="Y38" s="13">
        <f t="shared" si="13"/>
        <v>64.762851707793317</v>
      </c>
      <c r="Z38" s="13">
        <v>64.98344913274083</v>
      </c>
      <c r="AB38" s="13">
        <f t="shared" si="1"/>
        <v>64.916494661894205</v>
      </c>
      <c r="AE38">
        <f t="shared" si="0"/>
        <v>6.6559464662130612</v>
      </c>
      <c r="AJ38">
        <v>34</v>
      </c>
    </row>
    <row r="39" spans="1:36">
      <c r="A39">
        <v>2044</v>
      </c>
      <c r="C39" s="13">
        <f t="shared" si="15"/>
        <v>64.837331782267526</v>
      </c>
      <c r="D39" s="84">
        <f t="shared" si="8"/>
        <v>64.875767355631652</v>
      </c>
      <c r="E39" s="84">
        <f>J39-SUM(F$7:F39)</f>
        <v>6.2580734765480788</v>
      </c>
      <c r="F39" s="13">
        <f t="shared" si="9"/>
        <v>4.7102674349107948E-2</v>
      </c>
      <c r="G39" s="13">
        <f t="shared" si="10"/>
        <v>0.23551337174553971</v>
      </c>
      <c r="H39" s="13">
        <f t="shared" si="11"/>
        <v>0.23551337174553971</v>
      </c>
      <c r="I39" s="89">
        <f t="shared" si="17"/>
        <v>0.2</v>
      </c>
      <c r="J39" s="13">
        <f t="shared" si="12"/>
        <v>8.1849552442486981</v>
      </c>
      <c r="K39" s="13"/>
      <c r="L39" s="84">
        <f t="shared" si="14"/>
        <v>64.981881952760176</v>
      </c>
      <c r="M39" s="13">
        <f t="shared" si="4"/>
        <v>64.984784766395137</v>
      </c>
      <c r="N39" s="13">
        <f t="shared" si="5"/>
        <v>2046.6127697138199</v>
      </c>
      <c r="O39" s="13">
        <f t="shared" si="6"/>
        <v>2016.8861620505609</v>
      </c>
      <c r="P39" s="13">
        <f t="shared" si="16"/>
        <v>0.67065401152366189</v>
      </c>
      <c r="R39">
        <v>2044</v>
      </c>
      <c r="S39" s="13">
        <v>64.883566812231678</v>
      </c>
      <c r="T39" s="13">
        <v>64.837331782267526</v>
      </c>
      <c r="U39" s="13">
        <v>64.676895023153719</v>
      </c>
      <c r="W39">
        <v>2044</v>
      </c>
      <c r="X39" s="13">
        <v>56.051731919988399</v>
      </c>
      <c r="Y39" s="13">
        <f t="shared" si="13"/>
        <v>64.837331782267526</v>
      </c>
      <c r="Z39" s="13">
        <v>64.989187563067176</v>
      </c>
      <c r="AB39" s="13">
        <f t="shared" si="1"/>
        <v>64.945432415318209</v>
      </c>
      <c r="AE39">
        <f t="shared" si="0"/>
        <v>7.0818626756944099</v>
      </c>
      <c r="AJ39">
        <v>35</v>
      </c>
    </row>
    <row r="40" spans="1:36">
      <c r="A40">
        <v>2045</v>
      </c>
      <c r="C40" s="13">
        <f t="shared" si="15"/>
        <v>64.888485029599806</v>
      </c>
      <c r="D40" s="84">
        <f t="shared" si="8"/>
        <v>64.914887207498595</v>
      </c>
      <c r="E40" s="84">
        <f>J40-SUM(F$7:F40)</f>
        <v>6.6368549158037871</v>
      </c>
      <c r="F40" s="13">
        <f t="shared" si="9"/>
        <v>4.7102674349107948E-2</v>
      </c>
      <c r="G40" s="13">
        <f t="shared" si="10"/>
        <v>0.23551337174553971</v>
      </c>
      <c r="H40" s="13">
        <f t="shared" si="11"/>
        <v>0.23551337174553971</v>
      </c>
      <c r="I40" s="89">
        <f t="shared" si="17"/>
        <v>0.2</v>
      </c>
      <c r="J40" s="13">
        <f t="shared" si="12"/>
        <v>8.6108393578535143</v>
      </c>
      <c r="K40" s="13"/>
      <c r="L40" s="84">
        <f t="shared" si="14"/>
        <v>64.988164291729106</v>
      </c>
      <c r="M40" s="13">
        <f t="shared" si="4"/>
        <v>64.990061042692432</v>
      </c>
      <c r="N40" s="13">
        <f t="shared" si="5"/>
        <v>2047.6127697138199</v>
      </c>
      <c r="O40" s="13">
        <f t="shared" si="6"/>
        <v>2016.8861620505609</v>
      </c>
      <c r="P40" s="13">
        <f t="shared" si="16"/>
        <v>0.67065401152366189</v>
      </c>
      <c r="R40">
        <v>2045</v>
      </c>
      <c r="S40" s="13">
        <v>64.921286239273897</v>
      </c>
      <c r="T40" s="13">
        <v>64.888485029599806</v>
      </c>
      <c r="U40" s="13">
        <v>64.775699716710207</v>
      </c>
      <c r="W40">
        <v>2045</v>
      </c>
      <c r="X40" s="13">
        <v>57.624206832968532</v>
      </c>
      <c r="Y40" s="13">
        <f t="shared" si="13"/>
        <v>64.888485029599806</v>
      </c>
      <c r="Z40" s="13">
        <v>64.992929197583948</v>
      </c>
      <c r="AB40" s="13">
        <f t="shared" si="1"/>
        <v>64.964347651703662</v>
      </c>
      <c r="AE40">
        <f t="shared" si="0"/>
        <v>7.5077788851757568</v>
      </c>
      <c r="AJ40">
        <v>36</v>
      </c>
    </row>
    <row r="41" spans="1:36">
      <c r="A41">
        <v>2046</v>
      </c>
      <c r="C41" s="13">
        <f t="shared" si="15"/>
        <v>64.923582863050328</v>
      </c>
      <c r="D41" s="84">
        <f t="shared" si="8"/>
        <v>64.94170025354731</v>
      </c>
      <c r="E41" s="84">
        <f>J41-SUM(F$7:F41)</f>
        <v>7.0156474828923923</v>
      </c>
      <c r="F41" s="13">
        <f t="shared" si="9"/>
        <v>4.7102674349107948E-2</v>
      </c>
      <c r="G41" s="13">
        <f t="shared" si="10"/>
        <v>0.23551337174553971</v>
      </c>
      <c r="H41" s="13">
        <f t="shared" si="11"/>
        <v>0.23551337174553971</v>
      </c>
      <c r="I41" s="89">
        <f t="shared" si="17"/>
        <v>0.2</v>
      </c>
      <c r="J41" s="13">
        <f t="shared" si="12"/>
        <v>9.0367345992912274</v>
      </c>
      <c r="K41" s="13"/>
      <c r="L41" s="84">
        <f t="shared" si="14"/>
        <v>64.992268607427846</v>
      </c>
      <c r="M41" s="13">
        <f t="shared" si="4"/>
        <v>64.993507816329725</v>
      </c>
      <c r="N41" s="13">
        <f t="shared" si="5"/>
        <v>2048.6127697138199</v>
      </c>
      <c r="O41" s="13">
        <f t="shared" si="6"/>
        <v>2016.8861620505609</v>
      </c>
      <c r="P41" s="13">
        <f t="shared" si="16"/>
        <v>0.67065401152366189</v>
      </c>
      <c r="R41">
        <v>2046</v>
      </c>
      <c r="S41" s="13">
        <v>64.94680290871085</v>
      </c>
      <c r="T41" s="13">
        <v>64.923582863050328</v>
      </c>
      <c r="U41" s="13">
        <v>64.844403300048128</v>
      </c>
      <c r="W41">
        <v>2046</v>
      </c>
      <c r="X41" s="13">
        <v>58.954638819958909</v>
      </c>
      <c r="Y41" s="13">
        <f t="shared" si="13"/>
        <v>64.923582863050328</v>
      </c>
      <c r="Z41" s="13">
        <v>64.995358336967669</v>
      </c>
      <c r="AB41" s="13">
        <f t="shared" si="1"/>
        <v>64.976708486679954</v>
      </c>
      <c r="AE41">
        <f t="shared" si="0"/>
        <v>7.9336950946571037</v>
      </c>
      <c r="AJ41">
        <v>37</v>
      </c>
    </row>
    <row r="42" spans="1:36">
      <c r="A42">
        <v>2047</v>
      </c>
      <c r="C42" s="13">
        <f t="shared" si="15"/>
        <v>64.947648394916612</v>
      </c>
      <c r="D42" s="84">
        <f t="shared" si="8"/>
        <v>64.960071883065808</v>
      </c>
      <c r="E42" s="84">
        <f>J42-SUM(F$7:F42)</f>
        <v>7.3944473206199834</v>
      </c>
      <c r="F42" s="13">
        <f t="shared" si="9"/>
        <v>4.7102674349107948E-2</v>
      </c>
      <c r="G42" s="13">
        <f t="shared" si="10"/>
        <v>0.23551337174553971</v>
      </c>
      <c r="H42" s="13">
        <f t="shared" si="11"/>
        <v>0.23551337174553971</v>
      </c>
      <c r="I42" s="89">
        <f t="shared" si="17"/>
        <v>0.2</v>
      </c>
      <c r="J42" s="13">
        <f t="shared" si="12"/>
        <v>9.4626371113679273</v>
      </c>
      <c r="K42" s="13"/>
      <c r="L42" s="84">
        <f t="shared" si="14"/>
        <v>64.99494980054213</v>
      </c>
      <c r="M42" s="13">
        <f t="shared" si="4"/>
        <v>64.995759346548255</v>
      </c>
      <c r="N42" s="13">
        <f t="shared" si="5"/>
        <v>2049.6127697138199</v>
      </c>
      <c r="O42" s="13">
        <f t="shared" si="6"/>
        <v>2016.8861620505609</v>
      </c>
      <c r="P42" s="13">
        <f t="shared" si="16"/>
        <v>0.67065401152366189</v>
      </c>
      <c r="R42">
        <v>2047</v>
      </c>
      <c r="S42" s="13">
        <v>64.96405546543366</v>
      </c>
      <c r="T42" s="13">
        <v>64.947648394916612</v>
      </c>
      <c r="U42" s="13">
        <v>64.892117281098066</v>
      </c>
      <c r="W42">
        <v>2047</v>
      </c>
      <c r="X42" s="13">
        <v>60.068871710606963</v>
      </c>
      <c r="Y42" s="13">
        <f t="shared" si="13"/>
        <v>64.947648394916612</v>
      </c>
      <c r="Z42" s="13">
        <v>64.99692230230805</v>
      </c>
      <c r="AB42" s="13">
        <f t="shared" si="1"/>
        <v>64.984784766395137</v>
      </c>
      <c r="AE42">
        <f t="shared" si="0"/>
        <v>8.3596113041384523</v>
      </c>
      <c r="AJ42">
        <v>38</v>
      </c>
    </row>
    <row r="43" spans="1:36">
      <c r="A43">
        <v>2048</v>
      </c>
      <c r="C43" s="13">
        <f t="shared" si="15"/>
        <v>64.96409411252408</v>
      </c>
      <c r="D43" s="84">
        <f t="shared" si="8"/>
        <v>64.972656744833671</v>
      </c>
      <c r="E43" s="84">
        <f>J43-SUM(F$7:F43)</f>
        <v>7.7732519082893674</v>
      </c>
      <c r="F43" s="13">
        <f t="shared" si="9"/>
        <v>4.7102674349107948E-2</v>
      </c>
      <c r="G43" s="13">
        <f t="shared" si="10"/>
        <v>0.23551337174553971</v>
      </c>
      <c r="H43" s="13">
        <f t="shared" si="11"/>
        <v>0.23551337174553971</v>
      </c>
      <c r="I43" s="89">
        <f t="shared" si="17"/>
        <v>0.2</v>
      </c>
      <c r="J43" s="13">
        <f t="shared" si="12"/>
        <v>9.8885443733864182</v>
      </c>
      <c r="K43" s="13"/>
      <c r="L43" s="84">
        <f t="shared" si="14"/>
        <v>64.996701237414669</v>
      </c>
      <c r="M43" s="13">
        <f t="shared" si="4"/>
        <v>64.997230065173667</v>
      </c>
      <c r="N43" s="13">
        <f t="shared" si="5"/>
        <v>2050.6127697138199</v>
      </c>
      <c r="O43" s="13">
        <f t="shared" si="6"/>
        <v>2016.8861620505609</v>
      </c>
      <c r="P43" s="13">
        <f t="shared" si="16"/>
        <v>0.67065401152366189</v>
      </c>
      <c r="R43">
        <v>2048</v>
      </c>
      <c r="S43" s="13">
        <v>64.97568583164022</v>
      </c>
      <c r="T43" s="13">
        <v>64.96409411252408</v>
      </c>
      <c r="U43" s="13">
        <v>64.925225837926305</v>
      </c>
      <c r="W43">
        <v>2048</v>
      </c>
      <c r="X43" s="13">
        <v>60.993989957981512</v>
      </c>
      <c r="Y43" s="13">
        <f t="shared" si="13"/>
        <v>64.96409411252408</v>
      </c>
      <c r="Z43" s="13">
        <v>64.997913422683823</v>
      </c>
      <c r="AB43" s="13">
        <f t="shared" si="1"/>
        <v>64.990061042692432</v>
      </c>
      <c r="AE43">
        <f t="shared" si="0"/>
        <v>8.7855275136197992</v>
      </c>
      <c r="AJ43">
        <v>39</v>
      </c>
    </row>
    <row r="44" spans="1:36">
      <c r="A44">
        <v>2049</v>
      </c>
      <c r="C44" s="13">
        <f t="shared" si="15"/>
        <v>64.975261715533478</v>
      </c>
      <c r="D44" s="84">
        <f t="shared" si="8"/>
        <v>64.98127621107875</v>
      </c>
      <c r="E44" s="84">
        <f>J44-SUM(F$7:F44)</f>
        <v>8.1520595988812232</v>
      </c>
      <c r="F44" s="13">
        <f t="shared" si="9"/>
        <v>4.7102674349107948E-2</v>
      </c>
      <c r="G44" s="13">
        <f t="shared" si="10"/>
        <v>0.23551337174553971</v>
      </c>
      <c r="H44" s="13">
        <f t="shared" si="11"/>
        <v>0.23551337174553971</v>
      </c>
      <c r="I44" s="89">
        <f t="shared" si="17"/>
        <v>0.2</v>
      </c>
      <c r="J44" s="13">
        <f t="shared" si="12"/>
        <v>10.314454738327383</v>
      </c>
      <c r="K44" s="13"/>
      <c r="L44" s="84">
        <f t="shared" si="14"/>
        <v>64.997845293195581</v>
      </c>
      <c r="M44" s="13">
        <f t="shared" si="4"/>
        <v>64.998190731966588</v>
      </c>
      <c r="N44" s="13">
        <f t="shared" si="5"/>
        <v>2051.6127697138199</v>
      </c>
      <c r="O44" s="13">
        <f t="shared" si="6"/>
        <v>2016.8861620505609</v>
      </c>
      <c r="P44" s="13">
        <f t="shared" si="16"/>
        <v>0.67065401152366189</v>
      </c>
      <c r="R44">
        <v>2049</v>
      </c>
      <c r="S44" s="13">
        <v>64.983481847336975</v>
      </c>
      <c r="T44" s="13">
        <v>64.975261715533478</v>
      </c>
      <c r="U44" s="13">
        <v>64.948113660002164</v>
      </c>
      <c r="W44">
        <v>2049</v>
      </c>
      <c r="X44" s="13">
        <v>61.756515248570345</v>
      </c>
      <c r="Y44" s="13">
        <f t="shared" si="13"/>
        <v>64.975261715533478</v>
      </c>
      <c r="Z44" s="13">
        <v>64.998522703837907</v>
      </c>
      <c r="AB44" s="13">
        <f t="shared" si="1"/>
        <v>64.993507816329725</v>
      </c>
      <c r="AE44">
        <f t="shared" si="0"/>
        <v>9.2114437231011461</v>
      </c>
      <c r="AJ44">
        <v>40</v>
      </c>
    </row>
    <row r="45" spans="1:36">
      <c r="A45">
        <v>2050</v>
      </c>
      <c r="C45" s="13">
        <f t="shared" si="15"/>
        <v>64.982754198133208</v>
      </c>
      <c r="D45" s="84">
        <f t="shared" si="8"/>
        <v>64.987179108760543</v>
      </c>
      <c r="E45" s="84">
        <f>J45-SUM(F$7:F45)</f>
        <v>8.5308693164081753</v>
      </c>
      <c r="F45" s="13">
        <f t="shared" si="9"/>
        <v>4.7102674349107948E-2</v>
      </c>
      <c r="G45" s="13">
        <f t="shared" si="10"/>
        <v>0.23551337174553971</v>
      </c>
      <c r="H45" s="13">
        <f t="shared" si="11"/>
        <v>0.23551337174553971</v>
      </c>
      <c r="I45" s="89">
        <f t="shared" si="17"/>
        <v>0.2</v>
      </c>
      <c r="J45" s="13">
        <f t="shared" si="12"/>
        <v>10.740367130203442</v>
      </c>
      <c r="K45" s="13"/>
      <c r="L45" s="84">
        <f t="shared" si="14"/>
        <v>64.998592586298372</v>
      </c>
      <c r="M45" s="13">
        <f t="shared" si="4"/>
        <v>64.998818227055068</v>
      </c>
      <c r="N45" s="13">
        <f t="shared" si="5"/>
        <v>2052.6127697138199</v>
      </c>
      <c r="O45" s="13">
        <f t="shared" si="6"/>
        <v>2016.8861620505609</v>
      </c>
      <c r="P45" s="13">
        <f t="shared" si="16"/>
        <v>0.67065401152366189</v>
      </c>
      <c r="R45">
        <v>2050</v>
      </c>
      <c r="S45" s="13">
        <v>64.988651373310773</v>
      </c>
      <c r="T45" s="13">
        <v>64.982754198133208</v>
      </c>
      <c r="U45" s="13">
        <v>64.963825862250204</v>
      </c>
      <c r="W45">
        <v>2050</v>
      </c>
      <c r="X45" s="13">
        <v>62.381218869662924</v>
      </c>
      <c r="Y45" s="13">
        <f t="shared" si="13"/>
        <v>64.982754198133208</v>
      </c>
      <c r="Z45" s="13">
        <v>64.998882558012653</v>
      </c>
      <c r="AB45" s="13">
        <f t="shared" si="1"/>
        <v>64.995759346548255</v>
      </c>
      <c r="AE45">
        <f t="shared" si="0"/>
        <v>9.637359932582493</v>
      </c>
      <c r="AJ45">
        <v>41</v>
      </c>
    </row>
    <row r="46" spans="1:36">
      <c r="A46">
        <v>2051</v>
      </c>
      <c r="C46" s="20">
        <f t="shared" si="15"/>
        <v>64.988457642544901</v>
      </c>
      <c r="D46" s="84">
        <f t="shared" si="8"/>
        <v>64.990887378883926</v>
      </c>
      <c r="E46" s="84">
        <f>J46-SUM(F$7:F46)</f>
        <v>8.8723419564300041</v>
      </c>
      <c r="F46" s="13">
        <f t="shared" si="9"/>
        <v>4.7102674349107948E-2</v>
      </c>
      <c r="G46" s="13">
        <f t="shared" si="10"/>
        <v>0.23551337174553971</v>
      </c>
      <c r="H46" s="13">
        <f t="shared" si="11"/>
        <v>0.23551337174553971</v>
      </c>
      <c r="I46" s="89">
        <f t="shared" si="17"/>
        <v>0.2</v>
      </c>
      <c r="J46" s="13">
        <f t="shared" si="12"/>
        <v>11.128942444574379</v>
      </c>
      <c r="K46" s="13"/>
      <c r="L46" s="84">
        <f t="shared" si="14"/>
        <v>64.999045735676063</v>
      </c>
      <c r="M46" s="13">
        <f t="shared" si="4"/>
        <v>64.999228095234372</v>
      </c>
      <c r="N46" s="13">
        <f t="shared" si="5"/>
        <v>2053.6127697138199</v>
      </c>
      <c r="O46" s="13">
        <f t="shared" si="6"/>
        <v>2016.8861620505609</v>
      </c>
      <c r="P46" s="13">
        <f t="shared" si="16"/>
        <v>0.67065401152366189</v>
      </c>
      <c r="AB46" s="13">
        <f t="shared" si="1"/>
        <v>64.997230065173667</v>
      </c>
      <c r="AE46">
        <f t="shared" si="0"/>
        <v>10.06327614206384</v>
      </c>
      <c r="AJ46">
        <v>42</v>
      </c>
    </row>
    <row r="47" spans="1:36">
      <c r="A47">
        <v>2052</v>
      </c>
      <c r="C47" s="20">
        <f t="shared" si="15"/>
        <v>64.992363457999872</v>
      </c>
      <c r="D47" s="84">
        <f t="shared" si="8"/>
        <v>64.99306042856432</v>
      </c>
      <c r="E47" s="84">
        <f>J47-SUM(F$7:F47)</f>
        <v>9.144795760712471</v>
      </c>
      <c r="F47" s="13">
        <f t="shared" si="9"/>
        <v>4.7102674349107948E-2</v>
      </c>
      <c r="G47" s="13">
        <f t="shared" si="10"/>
        <v>0.23551337174553971</v>
      </c>
      <c r="H47" s="13">
        <f t="shared" si="11"/>
        <v>0.23551337174553971</v>
      </c>
      <c r="I47" s="89">
        <f t="shared" si="17"/>
        <v>0.2</v>
      </c>
      <c r="J47" s="13">
        <f t="shared" si="12"/>
        <v>11.448498923205953</v>
      </c>
      <c r="K47" s="13"/>
      <c r="L47" s="84">
        <f t="shared" si="14"/>
        <v>64.999306751695173</v>
      </c>
      <c r="M47" s="13">
        <f t="shared" si="4"/>
        <v>64.999495812062165</v>
      </c>
      <c r="N47" s="13">
        <f t="shared" si="5"/>
        <v>2054.6127697138199</v>
      </c>
      <c r="O47" s="13">
        <f t="shared" si="6"/>
        <v>2016.8861620505609</v>
      </c>
      <c r="P47" s="13">
        <f t="shared" si="16"/>
        <v>0.67065401152366189</v>
      </c>
      <c r="AB47" s="13">
        <f t="shared" si="1"/>
        <v>64.998190731966588</v>
      </c>
      <c r="AE47">
        <f t="shared" si="0"/>
        <v>10.489192351545187</v>
      </c>
      <c r="AJ47">
        <v>43</v>
      </c>
    </row>
    <row r="48" spans="1:36">
      <c r="A48">
        <v>2053</v>
      </c>
      <c r="C48" s="20">
        <f t="shared" si="15"/>
        <v>64.994211332486728</v>
      </c>
      <c r="D48" s="84">
        <f t="shared" si="8"/>
        <v>64.994147631745349</v>
      </c>
      <c r="E48" s="84">
        <f>J48-SUM(F$7:F48)</f>
        <v>9.3152060992139862</v>
      </c>
      <c r="F48" s="13">
        <f t="shared" si="9"/>
        <v>4.7102674349107948E-2</v>
      </c>
      <c r="G48" s="13">
        <f t="shared" si="10"/>
        <v>0.23551337174553971</v>
      </c>
      <c r="H48" s="13">
        <f t="shared" si="11"/>
        <v>0.23551337174553971</v>
      </c>
      <c r="I48" s="89">
        <f t="shared" si="17"/>
        <v>0.2</v>
      </c>
      <c r="J48" s="13">
        <f>LN(L48/(65-L48))</f>
        <v>11.666011936056577</v>
      </c>
      <c r="K48" s="13"/>
      <c r="L48" s="84">
        <f t="shared" si="14"/>
        <v>64.999442268696598</v>
      </c>
      <c r="M48" s="13">
        <f t="shared" si="4"/>
        <v>64.999495812062165</v>
      </c>
      <c r="N48" s="13">
        <f t="shared" si="5"/>
        <v>2055.6127697138199</v>
      </c>
      <c r="O48" s="13">
        <f t="shared" si="6"/>
        <v>2016.8861620505609</v>
      </c>
      <c r="P48" s="13">
        <f t="shared" si="16"/>
        <v>0.67065401152366189</v>
      </c>
      <c r="AB48" s="13">
        <f t="shared" si="1"/>
        <v>64.998818227055068</v>
      </c>
      <c r="AE48">
        <f t="shared" si="0"/>
        <v>10.915108561026537</v>
      </c>
      <c r="AJ48">
        <v>44</v>
      </c>
    </row>
    <row r="49" spans="1:36">
      <c r="A49">
        <v>2054</v>
      </c>
      <c r="C49" s="20">
        <f t="shared" si="15"/>
        <v>64.995617777231956</v>
      </c>
      <c r="D49" s="84">
        <f t="shared" si="8"/>
        <v>64.999995993947763</v>
      </c>
      <c r="E49" s="84">
        <f>J49-SUM(F$7:F49)</f>
        <v>16.602091488808302</v>
      </c>
      <c r="F49" s="13">
        <f t="shared" si="9"/>
        <v>4.7102674349107948E-2</v>
      </c>
      <c r="G49" s="13">
        <f t="shared" si="10"/>
        <v>0.23551337174553971</v>
      </c>
      <c r="H49" s="13">
        <f t="shared" si="11"/>
        <v>0.23551337174553971</v>
      </c>
      <c r="I49" s="89">
        <f t="shared" si="17"/>
        <v>0.2</v>
      </c>
      <c r="J49" s="13">
        <v>19</v>
      </c>
      <c r="K49" s="13"/>
      <c r="L49" s="84">
        <f>AVERAGE(M45:M50)</f>
        <v>64.999338261756336</v>
      </c>
      <c r="M49" s="13">
        <f t="shared" si="4"/>
        <v>64.999495812062165</v>
      </c>
      <c r="N49" s="13">
        <f t="shared" si="5"/>
        <v>2056.6127697138199</v>
      </c>
      <c r="O49" s="13">
        <f t="shared" si="6"/>
        <v>2016.8861620505609</v>
      </c>
      <c r="P49" s="13">
        <f t="shared" si="16"/>
        <v>0.67065401152366189</v>
      </c>
      <c r="AB49" s="13">
        <f t="shared" si="1"/>
        <v>64.999228095234372</v>
      </c>
      <c r="AE49">
        <f t="shared" si="0"/>
        <v>11.341024770507884</v>
      </c>
      <c r="AJ49">
        <v>45</v>
      </c>
    </row>
    <row r="50" spans="1:36">
      <c r="A50">
        <v>2055</v>
      </c>
      <c r="C50" s="20">
        <f t="shared" si="15"/>
        <v>64.996800376818967</v>
      </c>
      <c r="D50" s="84">
        <f>65*EXP(E50)/(1+EXP(E50))</f>
        <v>64.999997453018395</v>
      </c>
      <c r="E50" s="84">
        <f>J50-SUM(F$7:F50)</f>
        <v>17.054988814459193</v>
      </c>
      <c r="F50" s="13">
        <f t="shared" si="9"/>
        <v>4.7102674349107948E-2</v>
      </c>
      <c r="G50" s="13">
        <f t="shared" si="10"/>
        <v>0.23551337174553971</v>
      </c>
      <c r="H50" s="13">
        <f t="shared" si="11"/>
        <v>0.23551337174553971</v>
      </c>
      <c r="I50" s="89">
        <f t="shared" si="17"/>
        <v>0.2</v>
      </c>
      <c r="J50" s="13">
        <v>19.5</v>
      </c>
      <c r="K50" s="13"/>
      <c r="L50" s="84">
        <f>AVERAGE(M45:M50)</f>
        <v>64.999338261756336</v>
      </c>
      <c r="M50" s="13">
        <f t="shared" si="4"/>
        <v>64.999495812062165</v>
      </c>
      <c r="N50" s="13">
        <f t="shared" si="5"/>
        <v>2057.6127697138199</v>
      </c>
      <c r="O50" s="13">
        <f t="shared" si="6"/>
        <v>2016.8861620505609</v>
      </c>
      <c r="P50" s="13">
        <f t="shared" si="16"/>
        <v>0.67065401152366189</v>
      </c>
      <c r="AB50" s="13">
        <f t="shared" si="1"/>
        <v>64.999495812062165</v>
      </c>
      <c r="AE50">
        <f t="shared" si="0"/>
        <v>11.766940979989231</v>
      </c>
      <c r="AJ50">
        <v>46</v>
      </c>
    </row>
    <row r="55" spans="1:36">
      <c r="B55" t="s">
        <v>1219</v>
      </c>
      <c r="C55">
        <v>1.43</v>
      </c>
    </row>
    <row r="56" spans="1:36">
      <c r="C56" t="s">
        <v>1240</v>
      </c>
      <c r="Y56" s="41" t="str">
        <f>' All EV uptake'!D46</f>
        <v>Intercept</v>
      </c>
      <c r="Z56" s="41">
        <f>' All EV uptake'!E46</f>
        <v>2006.0956444042549</v>
      </c>
      <c r="AB56" s="41" t="s">
        <v>159</v>
      </c>
      <c r="AC56" s="41">
        <v>-7.8252046561527475</v>
      </c>
    </row>
    <row r="57" spans="1:36" ht="15.75" thickBot="1">
      <c r="Y57" s="41" t="str">
        <f>' All EV uptake'!D47</f>
        <v>EV/FFV cost ratio</v>
      </c>
      <c r="Z57" s="41">
        <f>' All EV uptake'!E47</f>
        <v>10.783904112355547</v>
      </c>
      <c r="AB57" t="s">
        <v>329</v>
      </c>
      <c r="AC57" s="42">
        <v>0.42591620948134734</v>
      </c>
    </row>
    <row r="58" spans="1:36">
      <c r="Y58" s="41" t="str">
        <f>' All EV uptake'!D48</f>
        <v>dumKorea</v>
      </c>
      <c r="Z58" s="41">
        <f>' All EV uptake'!E48</f>
        <v>3.2747008164932261</v>
      </c>
    </row>
    <row r="59" spans="1:36">
      <c r="Y59" s="41" t="str">
        <f>' All EV uptake'!D49</f>
        <v>dumUK</v>
      </c>
      <c r="Z59" s="41">
        <f>' All EV uptake'!E49</f>
        <v>2.7276845521810786</v>
      </c>
    </row>
    <row r="60" spans="1:36">
      <c r="Y60" s="41" t="str">
        <f>' All EV uptake'!D50</f>
        <v>dumNeth</v>
      </c>
      <c r="Z60" s="41">
        <f>' All EV uptake'!E50</f>
        <v>-1.2544269368470402</v>
      </c>
    </row>
    <row r="61" spans="1:36">
      <c r="F61" s="242">
        <v>2016</v>
      </c>
      <c r="G61" s="242"/>
      <c r="H61" s="242">
        <v>2017</v>
      </c>
      <c r="I61" s="242"/>
      <c r="J61" s="242">
        <v>2018</v>
      </c>
      <c r="K61" s="242"/>
      <c r="Y61" s="41" t="str">
        <f>' All EV uptake'!D51</f>
        <v>dumChina</v>
      </c>
      <c r="Z61" s="41">
        <f>' All EV uptake'!E51</f>
        <v>1.6840641661301363</v>
      </c>
    </row>
    <row r="62" spans="1:36">
      <c r="E62" t="s">
        <v>1235</v>
      </c>
      <c r="F62">
        <v>5760</v>
      </c>
      <c r="H62">
        <v>10065</v>
      </c>
      <c r="J62">
        <v>17419</v>
      </c>
      <c r="Y62" s="41" t="str">
        <f>' All EV uptake'!D52</f>
        <v>dumDenmark</v>
      </c>
      <c r="Z62" s="41">
        <f>' All EV uptake'!E52</f>
        <v>3.2654872236791634</v>
      </c>
    </row>
    <row r="63" spans="1:36">
      <c r="E63" t="s">
        <v>1236</v>
      </c>
      <c r="F63">
        <v>4503</v>
      </c>
      <c r="G63">
        <f>F62+F63</f>
        <v>10263</v>
      </c>
      <c r="H63">
        <v>11987</v>
      </c>
      <c r="I63">
        <f>H62+H63</f>
        <v>22052</v>
      </c>
      <c r="J63">
        <v>16133</v>
      </c>
      <c r="K63">
        <f>J62+J63</f>
        <v>33552</v>
      </c>
      <c r="Y63" s="41" t="str">
        <f>' All EV uptake'!D53</f>
        <v>dumIreland</v>
      </c>
      <c r="Z63" s="41">
        <f>' All EV uptake'!E53</f>
        <v>3.5582490934682056</v>
      </c>
    </row>
    <row r="64" spans="1:36">
      <c r="E64" t="s">
        <v>1237</v>
      </c>
      <c r="F64">
        <v>6437</v>
      </c>
      <c r="H64">
        <v>14132</v>
      </c>
      <c r="Y64" s="41" t="str">
        <f>' All EV uptake'!D54</f>
        <v>dumNZ</v>
      </c>
      <c r="Z64" s="41">
        <f>' All EV uptake'!E54</f>
        <v>1.900474768762227</v>
      </c>
    </row>
    <row r="65" spans="5:26">
      <c r="E65" t="s">
        <v>1238</v>
      </c>
      <c r="F65" s="18">
        <v>7926</v>
      </c>
      <c r="G65" s="18">
        <f>SUM(F64:F65)</f>
        <v>14363</v>
      </c>
      <c r="H65" s="18">
        <v>17378</v>
      </c>
      <c r="I65" s="18">
        <f>SUM(H64:H65)</f>
        <v>31510</v>
      </c>
      <c r="J65" s="18"/>
      <c r="K65" s="18">
        <f>K63*I65/I63</f>
        <v>47942.296390350079</v>
      </c>
      <c r="Y65" s="41" t="str">
        <f>' All EV uptake'!D55</f>
        <v>dumSwitzerland</v>
      </c>
      <c r="Z65" s="41">
        <f>' All EV uptake'!E55</f>
        <v>-2.1041729879229703</v>
      </c>
    </row>
    <row r="66" spans="5:26">
      <c r="F66">
        <f>SUM(F62:F65)</f>
        <v>24626</v>
      </c>
      <c r="G66">
        <f>SUM(G62:G65)</f>
        <v>24626</v>
      </c>
      <c r="H66">
        <f>SUM(H62:H65)</f>
        <v>53562</v>
      </c>
      <c r="I66">
        <f>SUM(I62:I65)</f>
        <v>53562</v>
      </c>
      <c r="K66">
        <f>SUM(K62:K65)</f>
        <v>81494.296390350079</v>
      </c>
      <c r="Y66" s="41" t="str">
        <f>' All EV uptake'!D56</f>
        <v>dumSpain</v>
      </c>
      <c r="Z66" s="41">
        <f>' All EV uptake'!E56</f>
        <v>4.4168133039283006</v>
      </c>
    </row>
    <row r="67" spans="5:26">
      <c r="Y67" s="41" t="str">
        <f>' All EV uptake'!D57</f>
        <v>dumIndia</v>
      </c>
      <c r="Z67" s="41">
        <f>' All EV uptake'!E57</f>
        <v>8.3918907463589623</v>
      </c>
    </row>
    <row r="68" spans="5:26">
      <c r="Y68" s="41" t="str">
        <f>' All EV uptake'!D58</f>
        <v>dumUSA</v>
      </c>
      <c r="Z68" s="41">
        <f>' All EV uptake'!E58</f>
        <v>2.1386885311349126</v>
      </c>
    </row>
    <row r="69" spans="5:26">
      <c r="F69" s="13">
        <f>B11</f>
        <v>0.47066848567530695</v>
      </c>
      <c r="H69" s="13">
        <f>B12</f>
        <v>0.72180176338911817</v>
      </c>
      <c r="I69" s="13">
        <f>F69*H66/F66</f>
        <v>1.0237125570429948</v>
      </c>
      <c r="K69" s="13">
        <f>H69*K66/H66</f>
        <v>1.0982175206435558</v>
      </c>
      <c r="Y69" s="41" t="str">
        <f>' All EV uptake'!D59</f>
        <v>dumAustria</v>
      </c>
      <c r="Z69" s="41">
        <f>' All EV uptake'!E59</f>
        <v>-0.86657486911619475</v>
      </c>
    </row>
    <row r="70" spans="5:26">
      <c r="Y70" s="41" t="str">
        <f>' All EV uptake'!D60</f>
        <v>dumItaly</v>
      </c>
      <c r="Z70" s="41">
        <f>' All EV uptake'!E60</f>
        <v>2.0513905871244105</v>
      </c>
    </row>
    <row r="71" spans="5:26">
      <c r="Y71" s="41" t="str">
        <f>' All EV uptake'!D61</f>
        <v>dumJapan</v>
      </c>
      <c r="Z71" s="41">
        <f>' All EV uptake'!E61</f>
        <v>4.0948893434577212</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138"/>
  <sheetViews>
    <sheetView topLeftCell="A90" zoomScale="75" zoomScaleNormal="75" workbookViewId="0">
      <selection activeCell="P118" sqref="P118:AC138"/>
    </sheetView>
  </sheetViews>
  <sheetFormatPr defaultRowHeight="15"/>
  <cols>
    <col min="2" max="2" width="12.140625" customWidth="1"/>
    <col min="4" max="4" width="12.28515625" customWidth="1"/>
    <col min="5" max="5" width="9.140625" customWidth="1"/>
    <col min="6" max="6" width="7.5703125" customWidth="1"/>
    <col min="7" max="7" width="10.85546875" customWidth="1"/>
    <col min="8" max="8" width="15.5703125" customWidth="1"/>
    <col min="9" max="9" width="16.7109375" customWidth="1"/>
    <col min="10" max="10" width="14.28515625" customWidth="1"/>
    <col min="18" max="19" width="10.28515625" customWidth="1"/>
    <col min="26" max="26" width="13.28515625" customWidth="1"/>
    <col min="27" max="27" width="11.85546875" customWidth="1"/>
    <col min="28" max="28" width="16.7109375" customWidth="1"/>
    <col min="29" max="29" width="13.28515625" customWidth="1"/>
    <col min="30" max="30" width="12.140625" customWidth="1"/>
    <col min="31" max="34" width="14.85546875" customWidth="1"/>
  </cols>
  <sheetData>
    <row r="1" spans="1:46">
      <c r="A1" t="s">
        <v>5</v>
      </c>
      <c r="B1" t="s">
        <v>1395</v>
      </c>
      <c r="C1" t="s">
        <v>709</v>
      </c>
      <c r="D1" t="s">
        <v>709</v>
      </c>
      <c r="E1" t="s">
        <v>498</v>
      </c>
      <c r="F1" t="s">
        <v>709</v>
      </c>
      <c r="G1" t="s">
        <v>709</v>
      </c>
      <c r="K1" t="s">
        <v>709</v>
      </c>
      <c r="P1" t="s">
        <v>709</v>
      </c>
      <c r="Q1" t="s">
        <v>709</v>
      </c>
      <c r="R1" t="s">
        <v>709</v>
      </c>
      <c r="U1" t="s">
        <v>730</v>
      </c>
      <c r="V1" s="33" t="s">
        <v>715</v>
      </c>
      <c r="W1" s="87" t="s">
        <v>1181</v>
      </c>
      <c r="X1" s="87" t="s">
        <v>1181</v>
      </c>
      <c r="Y1" s="87" t="s">
        <v>1181</v>
      </c>
      <c r="AC1" t="s">
        <v>747</v>
      </c>
      <c r="AG1" t="s">
        <v>5</v>
      </c>
      <c r="AH1" t="s">
        <v>324</v>
      </c>
      <c r="AJ1" t="s">
        <v>878</v>
      </c>
      <c r="AL1" t="s">
        <v>5</v>
      </c>
      <c r="AM1" t="s">
        <v>324</v>
      </c>
      <c r="AO1" t="s">
        <v>853</v>
      </c>
    </row>
    <row r="2" spans="1:46">
      <c r="B2" t="s">
        <v>710</v>
      </c>
      <c r="C2" t="s">
        <v>710</v>
      </c>
      <c r="D2" t="s">
        <v>766</v>
      </c>
      <c r="E2" t="s">
        <v>714</v>
      </c>
      <c r="F2" t="s">
        <v>728</v>
      </c>
      <c r="G2" t="s">
        <v>269</v>
      </c>
      <c r="H2" t="s">
        <v>774</v>
      </c>
      <c r="I2" t="s">
        <v>750</v>
      </c>
      <c r="J2" t="s">
        <v>755</v>
      </c>
      <c r="K2" t="s">
        <v>269</v>
      </c>
      <c r="P2" t="s">
        <v>269</v>
      </c>
      <c r="Q2" t="s">
        <v>717</v>
      </c>
      <c r="R2" t="s">
        <v>725</v>
      </c>
      <c r="V2" s="33"/>
      <c r="W2" s="87" t="s">
        <v>338</v>
      </c>
      <c r="X2" s="87" t="s">
        <v>1182</v>
      </c>
      <c r="Y2" s="87" t="s">
        <v>1183</v>
      </c>
      <c r="AD2" t="s">
        <v>665</v>
      </c>
      <c r="AG2" t="s">
        <v>876</v>
      </c>
      <c r="AH2" t="s">
        <v>766</v>
      </c>
      <c r="AI2" t="s">
        <v>750</v>
      </c>
      <c r="AJ2" t="s">
        <v>877</v>
      </c>
      <c r="AK2" t="s">
        <v>850</v>
      </c>
      <c r="AL2" t="s">
        <v>876</v>
      </c>
      <c r="AM2" t="s">
        <v>766</v>
      </c>
      <c r="AN2" t="s">
        <v>750</v>
      </c>
      <c r="AO2" t="s">
        <v>877</v>
      </c>
      <c r="AS2" t="s">
        <v>772</v>
      </c>
      <c r="AT2" t="s">
        <v>773</v>
      </c>
    </row>
    <row r="3" spans="1:46">
      <c r="A3">
        <v>2009</v>
      </c>
      <c r="B3" s="3">
        <f>X3</f>
        <v>29.592572886961211</v>
      </c>
      <c r="C3" s="3">
        <f t="shared" ref="C3:C24" si="0">B3*AD3*1000</f>
        <v>21302.040969337188</v>
      </c>
      <c r="D3" s="61">
        <f t="shared" ref="D3:D24" si="1">C3*0.25-AL3</f>
        <v>120.59626638642294</v>
      </c>
      <c r="E3" s="3">
        <v>20.925000000000001</v>
      </c>
      <c r="F3" s="3">
        <f>(C3)*E3/100</f>
        <v>4457.4520728338066</v>
      </c>
      <c r="G3" s="3">
        <f t="shared" ref="G3:G24" si="2">C3+F3+D3</f>
        <v>25880.089308557417</v>
      </c>
      <c r="H3" s="3"/>
      <c r="I3" s="3">
        <v>0</v>
      </c>
      <c r="J3" s="3">
        <f>Austria!I3</f>
        <v>1450</v>
      </c>
      <c r="K3" s="3">
        <f>G3+H3+I3+J3</f>
        <v>27330.089308557417</v>
      </c>
      <c r="O3">
        <v>2009</v>
      </c>
      <c r="P3" s="3">
        <f>K3</f>
        <v>27330.089308557417</v>
      </c>
      <c r="Q3" s="3">
        <f>K28</f>
        <v>32535.003284505292</v>
      </c>
      <c r="R3" s="3">
        <f>G53</f>
        <v>24159.949804791671</v>
      </c>
      <c r="T3">
        <v>2009</v>
      </c>
      <c r="U3" s="3">
        <f>'Vehicle price'!X5</f>
        <v>23</v>
      </c>
      <c r="V3">
        <v>1</v>
      </c>
      <c r="W3" s="3">
        <f t="shared" ref="W3:W24" si="3">X3*V3</f>
        <v>29.592572886961211</v>
      </c>
      <c r="X3" s="3">
        <f>'Vehicle price'!T5</f>
        <v>29.592572886961211</v>
      </c>
      <c r="Y3" s="3">
        <f>X3*Z3</f>
        <v>29.592572886961211</v>
      </c>
      <c r="Z3">
        <v>1</v>
      </c>
      <c r="AC3">
        <v>2009</v>
      </c>
      <c r="AD3" s="156">
        <v>0.71984416666666673</v>
      </c>
      <c r="AF3">
        <v>2009</v>
      </c>
      <c r="AG3">
        <v>5000</v>
      </c>
      <c r="AK3" s="13">
        <f>CPIs!L48</f>
        <v>100.95520422139421</v>
      </c>
      <c r="AL3" s="3">
        <f t="shared" ref="AL3:AL24" si="4">AG3*$AK$11/$AK3</f>
        <v>5204.913975947874</v>
      </c>
      <c r="AR3">
        <v>2009</v>
      </c>
      <c r="AS3">
        <f>'EV %sales'!L50</f>
        <v>0</v>
      </c>
      <c r="AT3">
        <f>'EV %sales'!AO7</f>
        <v>0</v>
      </c>
    </row>
    <row r="4" spans="1:46">
      <c r="A4">
        <v>2010</v>
      </c>
      <c r="B4" s="3">
        <f t="shared" ref="B4:B24" si="5">X4</f>
        <v>30</v>
      </c>
      <c r="C4" s="3">
        <f t="shared" si="0"/>
        <v>22760.138776915202</v>
      </c>
      <c r="D4" s="61">
        <f t="shared" si="1"/>
        <v>435.40316026273467</v>
      </c>
      <c r="E4" s="3">
        <v>20.925000000000001</v>
      </c>
      <c r="F4" s="3">
        <f t="shared" ref="F4:F11" si="6">(C4)*E4/100</f>
        <v>4762.5590390695061</v>
      </c>
      <c r="G4" s="3">
        <f t="shared" si="2"/>
        <v>27958.100976247442</v>
      </c>
      <c r="H4" s="3"/>
      <c r="I4" s="3">
        <v>0</v>
      </c>
      <c r="J4" s="3">
        <f>Austria!I4</f>
        <v>1450</v>
      </c>
      <c r="K4" s="3">
        <f t="shared" ref="K4:K24" si="7">G4+H4+I4+J4</f>
        <v>29408.100976247442</v>
      </c>
      <c r="O4">
        <v>2010</v>
      </c>
      <c r="P4" s="3">
        <f t="shared" ref="P4:P24" si="8">K4</f>
        <v>29408.100976247442</v>
      </c>
      <c r="Q4" s="3">
        <f t="shared" ref="Q4:Q24" si="9">K29</f>
        <v>34662.732510213507</v>
      </c>
      <c r="R4" s="3">
        <f t="shared" ref="R4:R24" si="10">G54</f>
        <v>25463.094924497025</v>
      </c>
      <c r="T4">
        <v>2010</v>
      </c>
      <c r="U4" s="3">
        <f>'Vehicle price'!X6</f>
        <v>23</v>
      </c>
      <c r="V4">
        <v>1</v>
      </c>
      <c r="W4" s="3">
        <f t="shared" si="3"/>
        <v>30</v>
      </c>
      <c r="X4" s="3">
        <f>'Vehicle price'!T6</f>
        <v>30</v>
      </c>
      <c r="Y4" s="3">
        <f t="shared" ref="Y4:Y24" si="11">X4*Z4</f>
        <v>30</v>
      </c>
      <c r="Z4">
        <v>1</v>
      </c>
      <c r="AC4">
        <v>2010</v>
      </c>
      <c r="AD4" s="156">
        <v>0.75867129256384003</v>
      </c>
      <c r="AF4">
        <v>2010</v>
      </c>
      <c r="AG4">
        <v>5000</v>
      </c>
      <c r="AK4" s="13">
        <f>CPIs!L49</f>
        <v>100</v>
      </c>
      <c r="AL4" s="3">
        <f t="shared" si="4"/>
        <v>5254.6315339660659</v>
      </c>
      <c r="AR4">
        <v>2010</v>
      </c>
      <c r="AS4">
        <f>'EV %sales'!L51</f>
        <v>1.7999999999999999E-2</v>
      </c>
      <c r="AT4">
        <f>'EV %sales'!AO8</f>
        <v>0</v>
      </c>
    </row>
    <row r="5" spans="1:46">
      <c r="A5">
        <v>2011</v>
      </c>
      <c r="B5" s="3">
        <f t="shared" si="5"/>
        <v>30</v>
      </c>
      <c r="C5" s="3">
        <f t="shared" si="0"/>
        <v>21463.232997813917</v>
      </c>
      <c r="D5" s="61">
        <f t="shared" si="1"/>
        <v>243.28019211740502</v>
      </c>
      <c r="E5" s="3">
        <v>20.925000000000001</v>
      </c>
      <c r="F5" s="3">
        <f t="shared" si="6"/>
        <v>4491.181504792562</v>
      </c>
      <c r="G5" s="3">
        <f t="shared" si="2"/>
        <v>26197.694694723883</v>
      </c>
      <c r="H5" s="3"/>
      <c r="I5" s="3">
        <v>0</v>
      </c>
      <c r="J5" s="3">
        <f>Austria!I5+AO5</f>
        <v>835.29663311967113</v>
      </c>
      <c r="K5" s="3">
        <f t="shared" si="7"/>
        <v>27032.991327843552</v>
      </c>
      <c r="O5">
        <v>2011</v>
      </c>
      <c r="P5" s="3">
        <f t="shared" si="8"/>
        <v>27032.991327843552</v>
      </c>
      <c r="Q5" s="3">
        <f t="shared" si="9"/>
        <v>29350.975164394185</v>
      </c>
      <c r="R5" s="3">
        <f t="shared" si="10"/>
        <v>24012.1707765793</v>
      </c>
      <c r="T5">
        <v>2011</v>
      </c>
      <c r="U5" s="3">
        <f>'Vehicle price'!X7</f>
        <v>23</v>
      </c>
      <c r="V5">
        <v>1</v>
      </c>
      <c r="W5" s="3">
        <f t="shared" si="3"/>
        <v>30</v>
      </c>
      <c r="X5" s="3">
        <f>'Vehicle price'!T7</f>
        <v>30</v>
      </c>
      <c r="Y5" s="3">
        <f t="shared" si="11"/>
        <v>30</v>
      </c>
      <c r="Z5">
        <v>1</v>
      </c>
      <c r="AC5">
        <v>2011</v>
      </c>
      <c r="AD5" s="156">
        <v>0.71544109992713056</v>
      </c>
      <c r="AF5">
        <v>2011</v>
      </c>
      <c r="AG5">
        <v>5000</v>
      </c>
      <c r="AH5">
        <v>2500</v>
      </c>
      <c r="AJ5">
        <v>-600</v>
      </c>
      <c r="AK5" s="13">
        <f>CPIs!L50</f>
        <v>102.57887268066406</v>
      </c>
      <c r="AL5" s="3">
        <f t="shared" si="4"/>
        <v>5122.5280573360742</v>
      </c>
      <c r="AM5" s="3">
        <f t="shared" ref="AM5:AM24" si="12">AH5*$AK$11/$AK5</f>
        <v>2561.2640286680371</v>
      </c>
      <c r="AN5" s="3"/>
      <c r="AO5" s="3">
        <f t="shared" ref="AO5:AO24" si="13">AJ5*$AK$11/$AK5</f>
        <v>-614.70336688032887</v>
      </c>
      <c r="AR5">
        <v>2011</v>
      </c>
      <c r="AS5">
        <f>'EV %sales'!L52</f>
        <v>4.5999999999999999E-2</v>
      </c>
      <c r="AT5">
        <f>'EV %sales'!AO9</f>
        <v>0</v>
      </c>
    </row>
    <row r="6" spans="1:46">
      <c r="A6">
        <v>2012</v>
      </c>
      <c r="B6" s="3">
        <f t="shared" si="5"/>
        <v>30.842462459493706</v>
      </c>
      <c r="C6" s="3">
        <f t="shared" si="0"/>
        <v>23868.964632772961</v>
      </c>
      <c r="D6" s="61">
        <f t="shared" si="1"/>
        <v>929.98318553113131</v>
      </c>
      <c r="E6" s="3">
        <v>23</v>
      </c>
      <c r="F6" s="3">
        <f t="shared" si="6"/>
        <v>5489.8618655377813</v>
      </c>
      <c r="G6" s="3">
        <f t="shared" si="2"/>
        <v>30288.809683841875</v>
      </c>
      <c r="H6" s="3"/>
      <c r="I6" s="3">
        <f t="shared" ref="I6:I24" si="14">AN6</f>
        <v>-5037.2579726621088</v>
      </c>
      <c r="J6" s="3">
        <f>Austria!I6+AO6</f>
        <v>845.52904328054706</v>
      </c>
      <c r="K6" s="3">
        <f t="shared" si="7"/>
        <v>26097.080754460316</v>
      </c>
      <c r="O6">
        <v>2012</v>
      </c>
      <c r="P6" s="3">
        <f t="shared" si="8"/>
        <v>26097.080754460316</v>
      </c>
      <c r="Q6" s="3">
        <f t="shared" si="9"/>
        <v>32722.984527922348</v>
      </c>
      <c r="R6" s="3">
        <f t="shared" si="10"/>
        <v>26343.537166225644</v>
      </c>
      <c r="T6">
        <v>2012</v>
      </c>
      <c r="U6" s="3">
        <f>'Vehicle price'!X8</f>
        <v>23</v>
      </c>
      <c r="V6">
        <v>1</v>
      </c>
      <c r="W6" s="3">
        <f t="shared" si="3"/>
        <v>30.842462459493706</v>
      </c>
      <c r="X6" s="3">
        <f>'Vehicle price'!T8</f>
        <v>30.842462459493706</v>
      </c>
      <c r="Y6" s="3">
        <f t="shared" si="11"/>
        <v>30.842462459493706</v>
      </c>
      <c r="Z6">
        <v>1</v>
      </c>
      <c r="AC6">
        <v>2012</v>
      </c>
      <c r="AD6" s="156">
        <v>0.773899446716382</v>
      </c>
      <c r="AF6">
        <v>2012</v>
      </c>
      <c r="AG6">
        <v>5000</v>
      </c>
      <c r="AH6">
        <v>2500</v>
      </c>
      <c r="AI6">
        <v>-5000</v>
      </c>
      <c r="AJ6">
        <v>-600</v>
      </c>
      <c r="AK6" s="13">
        <f>CPIs!L51</f>
        <v>104.31531524658203</v>
      </c>
      <c r="AL6" s="3">
        <f t="shared" si="4"/>
        <v>5037.2579726621088</v>
      </c>
      <c r="AM6" s="3">
        <f t="shared" si="12"/>
        <v>2518.6289863310544</v>
      </c>
      <c r="AN6" s="3">
        <f t="shared" ref="AN6:AN24" si="15">AI6*$AK$11/$AK6</f>
        <v>-5037.2579726621088</v>
      </c>
      <c r="AO6" s="3">
        <f t="shared" si="13"/>
        <v>-604.47095671945294</v>
      </c>
      <c r="AR6">
        <v>2012</v>
      </c>
      <c r="AS6">
        <f>'EV %sales'!L53</f>
        <v>0.13900000000000001</v>
      </c>
      <c r="AT6">
        <f>'EV %sales'!AO10</f>
        <v>0</v>
      </c>
    </row>
    <row r="7" spans="1:46">
      <c r="A7">
        <v>2013</v>
      </c>
      <c r="B7" s="3">
        <f t="shared" si="5"/>
        <v>31.143929334439989</v>
      </c>
      <c r="C7" s="3">
        <f t="shared" si="0"/>
        <v>23409.918880648976</v>
      </c>
      <c r="D7" s="61">
        <f t="shared" si="1"/>
        <v>840.41619907542463</v>
      </c>
      <c r="E7" s="3">
        <v>23</v>
      </c>
      <c r="F7" s="3">
        <f t="shared" si="6"/>
        <v>5384.281342549265</v>
      </c>
      <c r="G7" s="3">
        <f t="shared" si="2"/>
        <v>29634.616422273666</v>
      </c>
      <c r="H7" s="3"/>
      <c r="I7" s="3">
        <f t="shared" si="14"/>
        <v>-5012.0635210868195</v>
      </c>
      <c r="J7" s="3">
        <f>Austria!I7+AO7</f>
        <v>848.55237746958176</v>
      </c>
      <c r="K7" s="3">
        <f t="shared" si="7"/>
        <v>25471.105278656429</v>
      </c>
      <c r="O7">
        <v>2013</v>
      </c>
      <c r="P7" s="3">
        <f t="shared" si="8"/>
        <v>25471.105278656429</v>
      </c>
      <c r="Q7" s="3">
        <f t="shared" si="9"/>
        <v>32148.784361211234</v>
      </c>
      <c r="R7" s="3">
        <f t="shared" si="10"/>
        <v>25586.804739377636</v>
      </c>
      <c r="T7">
        <v>2013</v>
      </c>
      <c r="U7" s="3">
        <f>'Vehicle price'!X9</f>
        <v>23</v>
      </c>
      <c r="V7">
        <v>1</v>
      </c>
      <c r="W7" s="3">
        <f t="shared" si="3"/>
        <v>31.143929334439989</v>
      </c>
      <c r="X7" s="3">
        <f>'Vehicle price'!T9</f>
        <v>31.143929334439989</v>
      </c>
      <c r="Y7" s="3">
        <f t="shared" si="11"/>
        <v>31.143929334439989</v>
      </c>
      <c r="Z7">
        <v>1</v>
      </c>
      <c r="AC7">
        <v>2013</v>
      </c>
      <c r="AD7" s="156">
        <v>0.75166876437654617</v>
      </c>
      <c r="AF7">
        <v>2013</v>
      </c>
      <c r="AG7">
        <v>5000</v>
      </c>
      <c r="AH7">
        <v>2500</v>
      </c>
      <c r="AI7">
        <v>-5000</v>
      </c>
      <c r="AJ7">
        <v>-600</v>
      </c>
      <c r="AK7" s="13">
        <f>CPIs!L52</f>
        <v>104.83968353271484</v>
      </c>
      <c r="AL7" s="3">
        <f t="shared" si="4"/>
        <v>5012.0635210868195</v>
      </c>
      <c r="AM7" s="3">
        <f t="shared" si="12"/>
        <v>2506.0317605434097</v>
      </c>
      <c r="AN7" s="3">
        <f t="shared" si="15"/>
        <v>-5012.0635210868195</v>
      </c>
      <c r="AO7" s="3">
        <f t="shared" si="13"/>
        <v>-601.44762253041824</v>
      </c>
      <c r="AR7">
        <v>2013</v>
      </c>
      <c r="AS7">
        <f>'EV %sales'!L54</f>
        <v>4.7E-2</v>
      </c>
      <c r="AT7">
        <f>'EV %sales'!AO11</f>
        <v>0</v>
      </c>
    </row>
    <row r="8" spans="1:46">
      <c r="A8">
        <v>2014</v>
      </c>
      <c r="B8" s="3">
        <f t="shared" si="5"/>
        <v>33.541755956678692</v>
      </c>
      <c r="C8" s="3">
        <f t="shared" si="0"/>
        <v>25404.118038119632</v>
      </c>
      <c r="D8" s="61">
        <f t="shared" si="1"/>
        <v>1348.8094967007046</v>
      </c>
      <c r="E8" s="3">
        <v>23</v>
      </c>
      <c r="F8" s="3">
        <f t="shared" si="6"/>
        <v>5842.9471487675155</v>
      </c>
      <c r="G8" s="3">
        <f t="shared" si="2"/>
        <v>32595.874683587852</v>
      </c>
      <c r="H8" s="3"/>
      <c r="I8" s="3">
        <f t="shared" si="14"/>
        <v>-5002.2200128292034</v>
      </c>
      <c r="J8" s="3">
        <f>Austria!I8+AO8</f>
        <v>849.73359846049561</v>
      </c>
      <c r="K8" s="3">
        <f t="shared" si="7"/>
        <v>28443.388269219144</v>
      </c>
      <c r="O8">
        <v>2014</v>
      </c>
      <c r="P8" s="3">
        <f t="shared" si="8"/>
        <v>28443.388269219144</v>
      </c>
      <c r="Q8" s="3">
        <f t="shared" si="9"/>
        <v>34597.908791762246</v>
      </c>
      <c r="R8" s="3">
        <f t="shared" si="10"/>
        <v>25781.482017055983</v>
      </c>
      <c r="T8">
        <v>2014</v>
      </c>
      <c r="U8" s="3">
        <f>'Vehicle price'!X10</f>
        <v>23</v>
      </c>
      <c r="V8">
        <v>1</v>
      </c>
      <c r="W8" s="3">
        <f t="shared" si="3"/>
        <v>33.541755956678692</v>
      </c>
      <c r="X8" s="3">
        <f>'Vehicle price'!T10</f>
        <v>33.541755956678692</v>
      </c>
      <c r="Y8" s="3">
        <f t="shared" si="11"/>
        <v>33.541755956678692</v>
      </c>
      <c r="Z8">
        <v>1</v>
      </c>
      <c r="AC8">
        <v>2014</v>
      </c>
      <c r="AD8" s="156">
        <v>0.757387838338895</v>
      </c>
      <c r="AF8">
        <v>2014</v>
      </c>
      <c r="AG8">
        <v>5000</v>
      </c>
      <c r="AH8">
        <v>2500</v>
      </c>
      <c r="AI8">
        <v>-5000</v>
      </c>
      <c r="AJ8">
        <v>-600</v>
      </c>
      <c r="AK8" s="13">
        <f>CPIs!L53</f>
        <v>105.04598999023438</v>
      </c>
      <c r="AL8" s="3">
        <f t="shared" si="4"/>
        <v>5002.2200128292034</v>
      </c>
      <c r="AM8" s="3">
        <f t="shared" si="12"/>
        <v>2501.1100064146017</v>
      </c>
      <c r="AN8" s="3">
        <f t="shared" si="15"/>
        <v>-5002.2200128292034</v>
      </c>
      <c r="AO8" s="3">
        <f t="shared" si="13"/>
        <v>-600.26640153950439</v>
      </c>
      <c r="AR8">
        <v>2014</v>
      </c>
      <c r="AS8">
        <f>'EV %sales'!L55</f>
        <v>0.222</v>
      </c>
      <c r="AT8">
        <f>'EV %sales'!AO12</f>
        <v>3.5000000000000003E-2</v>
      </c>
    </row>
    <row r="9" spans="1:46">
      <c r="A9">
        <v>2015</v>
      </c>
      <c r="B9" s="3">
        <f t="shared" si="5"/>
        <v>30</v>
      </c>
      <c r="C9" s="3">
        <f t="shared" si="0"/>
        <v>27177.76686239925</v>
      </c>
      <c r="D9" s="61">
        <f t="shared" si="1"/>
        <v>1777.4417155998117</v>
      </c>
      <c r="E9" s="3">
        <v>23</v>
      </c>
      <c r="F9" s="3">
        <f t="shared" si="6"/>
        <v>6250.8863783518273</v>
      </c>
      <c r="G9" s="3">
        <f t="shared" si="2"/>
        <v>35206.094956350884</v>
      </c>
      <c r="H9" s="3"/>
      <c r="I9" s="3">
        <f t="shared" si="14"/>
        <v>-5017.0000000000009</v>
      </c>
      <c r="J9" s="3">
        <f>Austria!I9+AO9</f>
        <v>847.95999999999992</v>
      </c>
      <c r="K9" s="3">
        <f t="shared" si="7"/>
        <v>31037.054956350883</v>
      </c>
      <c r="O9">
        <v>2015</v>
      </c>
      <c r="P9" s="3">
        <f t="shared" si="8"/>
        <v>31037.054956350883</v>
      </c>
      <c r="Q9" s="3">
        <f t="shared" si="9"/>
        <v>31768.113240751074</v>
      </c>
      <c r="R9" s="3">
        <f t="shared" si="10"/>
        <v>30837.706133202348</v>
      </c>
      <c r="T9">
        <v>2015</v>
      </c>
      <c r="U9" s="3">
        <f>'Vehicle price'!X11</f>
        <v>23</v>
      </c>
      <c r="V9">
        <v>1</v>
      </c>
      <c r="W9" s="3">
        <f t="shared" si="3"/>
        <v>30</v>
      </c>
      <c r="X9" s="3">
        <f>'Vehicle price'!T11</f>
        <v>30</v>
      </c>
      <c r="Y9" s="3">
        <f t="shared" si="11"/>
        <v>30</v>
      </c>
      <c r="Z9">
        <v>1</v>
      </c>
      <c r="AC9">
        <v>2015</v>
      </c>
      <c r="AD9" s="156">
        <v>0.90592556207997499</v>
      </c>
      <c r="AF9">
        <v>2015</v>
      </c>
      <c r="AG9">
        <v>5000</v>
      </c>
      <c r="AH9">
        <v>2500</v>
      </c>
      <c r="AI9">
        <v>-5000</v>
      </c>
      <c r="AJ9">
        <v>-600</v>
      </c>
      <c r="AK9" s="13">
        <f>CPIs!L54</f>
        <v>104.73652648925781</v>
      </c>
      <c r="AL9" s="3">
        <f t="shared" si="4"/>
        <v>5017.0000000000009</v>
      </c>
      <c r="AM9" s="3">
        <f t="shared" si="12"/>
        <v>2508.5000000000005</v>
      </c>
      <c r="AN9" s="3">
        <f t="shared" si="15"/>
        <v>-5017.0000000000009</v>
      </c>
      <c r="AO9" s="3">
        <f t="shared" si="13"/>
        <v>-602.04000000000008</v>
      </c>
      <c r="AP9" s="13"/>
      <c r="AR9">
        <v>2015</v>
      </c>
      <c r="AS9">
        <f>'EV %sales'!L56</f>
        <v>0.46</v>
      </c>
      <c r="AT9">
        <f>'EV %sales'!AO13</f>
        <v>9.9000000000000005E-2</v>
      </c>
    </row>
    <row r="10" spans="1:46">
      <c r="A10">
        <v>2016</v>
      </c>
      <c r="B10" s="3">
        <f t="shared" si="5"/>
        <v>30</v>
      </c>
      <c r="C10" s="3">
        <f t="shared" si="0"/>
        <v>27202.412312659035</v>
      </c>
      <c r="D10" s="61">
        <f t="shared" si="1"/>
        <v>1783.6030781647578</v>
      </c>
      <c r="E10" s="3">
        <v>23</v>
      </c>
      <c r="F10" s="3">
        <f t="shared" si="6"/>
        <v>6256.5548319115778</v>
      </c>
      <c r="G10" s="3">
        <f t="shared" si="2"/>
        <v>35242.570222735369</v>
      </c>
      <c r="H10" s="3"/>
      <c r="I10" s="3">
        <f t="shared" si="14"/>
        <v>-5017.0000000000009</v>
      </c>
      <c r="J10" s="3">
        <f>Austria!I10+AO10</f>
        <v>847.95999999999992</v>
      </c>
      <c r="K10" s="3">
        <f t="shared" si="7"/>
        <v>31073.530222735368</v>
      </c>
      <c r="O10">
        <v>2016</v>
      </c>
      <c r="P10" s="3">
        <f t="shared" si="8"/>
        <v>31073.530222735368</v>
      </c>
      <c r="Q10" s="3">
        <f t="shared" si="9"/>
        <v>31798.427144570611</v>
      </c>
      <c r="R10" s="3">
        <f t="shared" si="10"/>
        <v>30865.670504097121</v>
      </c>
      <c r="T10">
        <v>2016</v>
      </c>
      <c r="U10" s="3">
        <f>'Vehicle price'!X12</f>
        <v>23</v>
      </c>
      <c r="V10">
        <v>1</v>
      </c>
      <c r="W10" s="3">
        <f t="shared" si="3"/>
        <v>30</v>
      </c>
      <c r="X10" s="3">
        <f>'Vehicle price'!T12</f>
        <v>30</v>
      </c>
      <c r="Y10" s="3">
        <f t="shared" si="11"/>
        <v>30</v>
      </c>
      <c r="Z10">
        <v>1</v>
      </c>
      <c r="AC10">
        <v>2016</v>
      </c>
      <c r="AD10" s="156">
        <v>0.90674707708863456</v>
      </c>
      <c r="AF10">
        <v>2016</v>
      </c>
      <c r="AG10">
        <v>5000</v>
      </c>
      <c r="AH10">
        <v>2500</v>
      </c>
      <c r="AI10">
        <v>-5000</v>
      </c>
      <c r="AJ10">
        <v>-600</v>
      </c>
      <c r="AK10" s="13">
        <f>CPIs!L55</f>
        <v>104.73652648925781</v>
      </c>
      <c r="AL10" s="3">
        <f t="shared" si="4"/>
        <v>5017.0000000000009</v>
      </c>
      <c r="AM10" s="3">
        <f t="shared" si="12"/>
        <v>2508.5000000000005</v>
      </c>
      <c r="AN10" s="3">
        <f t="shared" si="15"/>
        <v>-5017.0000000000009</v>
      </c>
      <c r="AO10" s="3">
        <f t="shared" si="13"/>
        <v>-602.04000000000008</v>
      </c>
      <c r="AP10" s="13"/>
      <c r="AR10">
        <v>2016</v>
      </c>
      <c r="AS10">
        <f>'EV %sales'!L57</f>
        <v>0.39200000000000002</v>
      </c>
      <c r="AT10">
        <f>'EV %sales'!AO14</f>
        <v>0.29799999999999999</v>
      </c>
    </row>
    <row r="11" spans="1:46">
      <c r="A11">
        <v>2017</v>
      </c>
      <c r="B11" s="3">
        <f t="shared" si="5"/>
        <v>30</v>
      </c>
      <c r="C11" s="3">
        <f t="shared" si="0"/>
        <v>26462.003510368591</v>
      </c>
      <c r="D11" s="61">
        <f t="shared" si="1"/>
        <v>1615.5008775921478</v>
      </c>
      <c r="E11" s="3">
        <v>23</v>
      </c>
      <c r="F11" s="3">
        <f t="shared" si="6"/>
        <v>6086.2608073847769</v>
      </c>
      <c r="G11" s="3">
        <f t="shared" si="2"/>
        <v>34163.765195345513</v>
      </c>
      <c r="H11" s="3"/>
      <c r="I11" s="3">
        <f t="shared" si="14"/>
        <v>-5000</v>
      </c>
      <c r="J11" s="3">
        <f>Austria!I11+AO11</f>
        <v>850</v>
      </c>
      <c r="K11" s="3">
        <f t="shared" si="7"/>
        <v>30013.765195345513</v>
      </c>
      <c r="O11">
        <v>2017</v>
      </c>
      <c r="P11" s="3">
        <f t="shared" si="8"/>
        <v>30013.765195345513</v>
      </c>
      <c r="Q11" s="3">
        <f t="shared" si="9"/>
        <v>30898.264317753368</v>
      </c>
      <c r="R11" s="3">
        <f t="shared" si="10"/>
        <v>30025.553316431564</v>
      </c>
      <c r="T11">
        <v>2017</v>
      </c>
      <c r="U11" s="3">
        <f>'Vehicle price'!X13</f>
        <v>23</v>
      </c>
      <c r="V11">
        <v>1</v>
      </c>
      <c r="W11" s="3">
        <f t="shared" si="3"/>
        <v>30</v>
      </c>
      <c r="X11" s="3">
        <f>'Vehicle price'!T13</f>
        <v>30</v>
      </c>
      <c r="Y11" s="3">
        <f t="shared" si="11"/>
        <v>30</v>
      </c>
      <c r="Z11">
        <v>1</v>
      </c>
      <c r="AC11">
        <v>2017</v>
      </c>
      <c r="AD11" s="156">
        <v>0.88206678367895308</v>
      </c>
      <c r="AF11">
        <v>2017</v>
      </c>
      <c r="AG11">
        <v>5000</v>
      </c>
      <c r="AH11">
        <v>2500</v>
      </c>
      <c r="AI11">
        <v>-5000</v>
      </c>
      <c r="AJ11">
        <v>-600</v>
      </c>
      <c r="AK11" s="13">
        <f>CPIs!L56</f>
        <v>105.0926306793213</v>
      </c>
      <c r="AL11" s="3">
        <f t="shared" si="4"/>
        <v>5000</v>
      </c>
      <c r="AM11" s="3">
        <f t="shared" si="12"/>
        <v>2500</v>
      </c>
      <c r="AN11" s="3">
        <f t="shared" si="15"/>
        <v>-5000</v>
      </c>
      <c r="AO11" s="3">
        <f t="shared" si="13"/>
        <v>-600</v>
      </c>
      <c r="AP11" s="13"/>
      <c r="AR11">
        <v>2017</v>
      </c>
      <c r="AS11">
        <f>'EV %sales'!L58</f>
        <v>0.622</v>
      </c>
      <c r="AT11">
        <f>'EV %sales'!AO15</f>
        <v>0.32600000000000001</v>
      </c>
    </row>
    <row r="12" spans="1:46">
      <c r="A12">
        <v>2018</v>
      </c>
      <c r="B12" s="3">
        <f t="shared" si="5"/>
        <v>30.592100851060948</v>
      </c>
      <c r="C12" s="3">
        <f t="shared" si="0"/>
        <v>26003.285723401805</v>
      </c>
      <c r="D12" s="61">
        <f t="shared" si="1"/>
        <v>1517.7638267045468</v>
      </c>
      <c r="E12" s="3">
        <v>23</v>
      </c>
      <c r="F12" s="3">
        <f>(C12)*E12/100</f>
        <v>5980.7557163824149</v>
      </c>
      <c r="G12" s="3">
        <f t="shared" si="2"/>
        <v>33501.805266488765</v>
      </c>
      <c r="H12" s="3">
        <f>-G12*0.125/2</f>
        <v>-2093.8628291555478</v>
      </c>
      <c r="I12" s="3">
        <f t="shared" si="14"/>
        <v>-4983.0576041459044</v>
      </c>
      <c r="J12" s="3">
        <f>Austria!I12+AO12</f>
        <v>852.03308750249153</v>
      </c>
      <c r="K12" s="3">
        <f t="shared" si="7"/>
        <v>27276.917920689808</v>
      </c>
      <c r="O12">
        <v>2018</v>
      </c>
      <c r="P12" s="3">
        <f t="shared" si="8"/>
        <v>27276.917920689808</v>
      </c>
      <c r="Q12" s="3">
        <f t="shared" si="9"/>
        <v>28189.822585097685</v>
      </c>
      <c r="R12" s="3">
        <f t="shared" si="10"/>
        <v>28934</v>
      </c>
      <c r="T12">
        <v>2018</v>
      </c>
      <c r="U12" s="3">
        <f>'Vehicle price'!X14</f>
        <v>23</v>
      </c>
      <c r="V12">
        <v>1</v>
      </c>
      <c r="W12" s="3">
        <f t="shared" si="3"/>
        <v>30.592100851060948</v>
      </c>
      <c r="X12" s="3">
        <f>'Vehicle price'!T14</f>
        <v>30.592100851060948</v>
      </c>
      <c r="Y12" s="3">
        <f t="shared" si="11"/>
        <v>30.592100851060948</v>
      </c>
      <c r="Z12">
        <v>1</v>
      </c>
      <c r="AC12">
        <v>2018</v>
      </c>
      <c r="AD12" s="14">
        <v>0.85</v>
      </c>
      <c r="AF12">
        <v>2018</v>
      </c>
      <c r="AG12">
        <v>5000</v>
      </c>
      <c r="AH12">
        <v>2500</v>
      </c>
      <c r="AI12">
        <v>-5000</v>
      </c>
      <c r="AJ12">
        <v>-600</v>
      </c>
      <c r="AK12" s="20">
        <f>AK11*AK11/AK10</f>
        <v>105.449945623631</v>
      </c>
      <c r="AL12" s="3">
        <f t="shared" si="4"/>
        <v>4983.0576041459044</v>
      </c>
      <c r="AM12" s="3">
        <f t="shared" si="12"/>
        <v>2491.5288020729522</v>
      </c>
      <c r="AN12" s="3">
        <f t="shared" si="15"/>
        <v>-4983.0576041459044</v>
      </c>
      <c r="AO12" s="3">
        <f t="shared" si="13"/>
        <v>-597.96691249750847</v>
      </c>
      <c r="AP12" s="13"/>
    </row>
    <row r="13" spans="1:46">
      <c r="A13">
        <v>2019</v>
      </c>
      <c r="B13" s="3">
        <f t="shared" si="5"/>
        <v>31.172994053473918</v>
      </c>
      <c r="C13" s="3">
        <f t="shared" si="0"/>
        <v>26497.044945452828</v>
      </c>
      <c r="D13" s="61">
        <f t="shared" si="1"/>
        <v>1658.0886191159434</v>
      </c>
      <c r="E13" s="3">
        <v>23</v>
      </c>
      <c r="F13" s="3">
        <f t="shared" ref="F13:F24" si="16">(C13)*E13/100</f>
        <v>6094.3203374541508</v>
      </c>
      <c r="G13" s="3">
        <f t="shared" si="2"/>
        <v>34249.45390202292</v>
      </c>
      <c r="H13" s="3">
        <f t="shared" ref="H13:H24" si="17">-G13*0.125/2</f>
        <v>-2140.5908688764325</v>
      </c>
      <c r="I13" s="3">
        <f t="shared" si="14"/>
        <v>-4966.1726172472636</v>
      </c>
      <c r="J13" s="3">
        <f>Austria!I13+AO13</f>
        <v>854.05928593032843</v>
      </c>
      <c r="K13" s="3">
        <f t="shared" si="7"/>
        <v>27996.749701829554</v>
      </c>
      <c r="O13">
        <v>2019</v>
      </c>
      <c r="P13" s="3">
        <f t="shared" si="8"/>
        <v>27996.749701829554</v>
      </c>
      <c r="Q13" s="3">
        <f t="shared" si="9"/>
        <v>28770.185035743016</v>
      </c>
      <c r="R13" s="3">
        <f t="shared" si="10"/>
        <v>28934</v>
      </c>
      <c r="T13">
        <v>2019</v>
      </c>
      <c r="U13" s="3">
        <f>'Vehicle price'!X15</f>
        <v>23</v>
      </c>
      <c r="V13" s="20">
        <f>V12+(V24-V12)/12</f>
        <v>1.0249999999999999</v>
      </c>
      <c r="W13" s="3">
        <f t="shared" si="3"/>
        <v>31.952318904810763</v>
      </c>
      <c r="X13" s="3">
        <f>'Vehicle price'!T15</f>
        <v>31.172994053473918</v>
      </c>
      <c r="Y13" s="3">
        <f t="shared" si="11"/>
        <v>30.393669202137069</v>
      </c>
      <c r="Z13" s="20">
        <f>Z12+(Z24-Z12)/12</f>
        <v>0.97499999999999998</v>
      </c>
      <c r="AC13">
        <v>2019</v>
      </c>
      <c r="AD13" s="14">
        <v>0.85</v>
      </c>
      <c r="AF13">
        <v>2019</v>
      </c>
      <c r="AG13">
        <v>5000</v>
      </c>
      <c r="AH13">
        <v>2500</v>
      </c>
      <c r="AI13">
        <v>-5000</v>
      </c>
      <c r="AJ13">
        <v>-600</v>
      </c>
      <c r="AK13" s="20">
        <f t="shared" ref="AK13:AK24" si="18">AK12*AK12/AK11</f>
        <v>105.80847543875134</v>
      </c>
      <c r="AL13" s="3">
        <f t="shared" si="4"/>
        <v>4966.1726172472636</v>
      </c>
      <c r="AM13" s="3">
        <f t="shared" si="12"/>
        <v>2483.0863086236318</v>
      </c>
      <c r="AN13" s="3">
        <f t="shared" si="15"/>
        <v>-4966.1726172472636</v>
      </c>
      <c r="AO13" s="3">
        <f t="shared" si="13"/>
        <v>-595.94071406967157</v>
      </c>
      <c r="AP13" s="13"/>
    </row>
    <row r="14" spans="1:46">
      <c r="A14">
        <v>2020</v>
      </c>
      <c r="B14" s="3">
        <f t="shared" si="5"/>
        <v>30.985903123425071</v>
      </c>
      <c r="C14" s="3">
        <f t="shared" si="0"/>
        <v>26338.017654911313</v>
      </c>
      <c r="D14" s="61">
        <f t="shared" si="1"/>
        <v>1635.1595689528003</v>
      </c>
      <c r="E14" s="3">
        <v>23</v>
      </c>
      <c r="F14" s="3">
        <f t="shared" si="16"/>
        <v>6057.7440606296013</v>
      </c>
      <c r="G14" s="3">
        <f t="shared" si="2"/>
        <v>34030.921284493714</v>
      </c>
      <c r="H14" s="3">
        <f t="shared" si="17"/>
        <v>-2126.9325802808571</v>
      </c>
      <c r="I14" s="3">
        <f t="shared" si="14"/>
        <v>-4949.3448447750279</v>
      </c>
      <c r="J14" s="3">
        <f>Austria!I14+AO14</f>
        <v>856.07861862699667</v>
      </c>
      <c r="K14" s="3">
        <f t="shared" si="7"/>
        <v>27810.722478064828</v>
      </c>
      <c r="O14">
        <v>2020</v>
      </c>
      <c r="P14" s="3">
        <f t="shared" si="8"/>
        <v>27810.722478064828</v>
      </c>
      <c r="Q14" s="3">
        <f t="shared" si="9"/>
        <v>28597.765778159875</v>
      </c>
      <c r="R14" s="3">
        <f t="shared" si="10"/>
        <v>28934</v>
      </c>
      <c r="T14">
        <v>2020</v>
      </c>
      <c r="U14" s="3">
        <f>'Vehicle price'!X16</f>
        <v>23</v>
      </c>
      <c r="V14" s="20">
        <f>V13+(V24-V12)/12</f>
        <v>1.0499999999999998</v>
      </c>
      <c r="W14" s="3">
        <f t="shared" si="3"/>
        <v>32.535198279596322</v>
      </c>
      <c r="X14" s="3">
        <f>'Vehicle price'!T16</f>
        <v>30.985903123425071</v>
      </c>
      <c r="Y14" s="3">
        <f t="shared" si="11"/>
        <v>29.436607967253817</v>
      </c>
      <c r="Z14" s="20">
        <f>Z13+(Z24-Z12)/12</f>
        <v>0.95</v>
      </c>
      <c r="AC14">
        <v>2020</v>
      </c>
      <c r="AD14" s="14">
        <v>0.85</v>
      </c>
      <c r="AF14">
        <v>2020</v>
      </c>
      <c r="AG14">
        <v>5000</v>
      </c>
      <c r="AH14">
        <v>2500</v>
      </c>
      <c r="AI14">
        <v>-5000</v>
      </c>
      <c r="AJ14">
        <v>-600</v>
      </c>
      <c r="AK14" s="20">
        <f t="shared" si="18"/>
        <v>106.1682242552431</v>
      </c>
      <c r="AL14" s="3">
        <f t="shared" si="4"/>
        <v>4949.3448447750279</v>
      </c>
      <c r="AM14" s="3">
        <f t="shared" si="12"/>
        <v>2474.672422387514</v>
      </c>
      <c r="AN14" s="3">
        <f t="shared" si="15"/>
        <v>-4949.3448447750279</v>
      </c>
      <c r="AO14" s="3">
        <f t="shared" si="13"/>
        <v>-593.92138137300333</v>
      </c>
      <c r="AP14" s="13"/>
    </row>
    <row r="15" spans="1:46">
      <c r="A15">
        <v>2021</v>
      </c>
      <c r="B15" s="3">
        <f t="shared" si="5"/>
        <v>30.206708843097807</v>
      </c>
      <c r="C15" s="3">
        <f t="shared" si="0"/>
        <v>25675.702516633137</v>
      </c>
      <c r="D15" s="61">
        <f t="shared" si="1"/>
        <v>1486.3515362989783</v>
      </c>
      <c r="E15" s="3">
        <v>23</v>
      </c>
      <c r="F15" s="3">
        <f t="shared" si="16"/>
        <v>5905.4115788256213</v>
      </c>
      <c r="G15" s="3">
        <f t="shared" si="2"/>
        <v>33067.465631757732</v>
      </c>
      <c r="H15" s="3">
        <f t="shared" si="17"/>
        <v>-2066.7166019848582</v>
      </c>
      <c r="I15" s="3">
        <f t="shared" si="14"/>
        <v>-4932.5740928593059</v>
      </c>
      <c r="J15" s="3">
        <f>Austria!I15+AO15</f>
        <v>858.09110885688335</v>
      </c>
      <c r="K15" s="3">
        <f t="shared" si="7"/>
        <v>26926.266045770448</v>
      </c>
      <c r="O15">
        <v>2021</v>
      </c>
      <c r="P15" s="3">
        <f t="shared" si="8"/>
        <v>26926.266045770448</v>
      </c>
      <c r="Q15" s="3">
        <f t="shared" si="9"/>
        <v>27844.955586517965</v>
      </c>
      <c r="R15" s="3">
        <f t="shared" si="10"/>
        <v>28934</v>
      </c>
      <c r="T15">
        <v>2021</v>
      </c>
      <c r="U15" s="3">
        <f>'Vehicle price'!X17</f>
        <v>23</v>
      </c>
      <c r="V15" s="20">
        <f>V14+(V24-V12)/12</f>
        <v>1.0749999999999997</v>
      </c>
      <c r="W15" s="3">
        <f t="shared" si="3"/>
        <v>32.472212006330132</v>
      </c>
      <c r="X15" s="3">
        <f>'Vehicle price'!T17</f>
        <v>30.206708843097807</v>
      </c>
      <c r="Y15" s="3">
        <f t="shared" si="11"/>
        <v>27.941205679865469</v>
      </c>
      <c r="Z15" s="20">
        <f>Z14+(Z24-Z12)/12</f>
        <v>0.92499999999999993</v>
      </c>
      <c r="AC15">
        <v>2021</v>
      </c>
      <c r="AD15" s="14">
        <v>0.85</v>
      </c>
      <c r="AF15">
        <v>2021</v>
      </c>
      <c r="AG15">
        <v>5000</v>
      </c>
      <c r="AH15">
        <v>2500</v>
      </c>
      <c r="AI15">
        <v>-5000</v>
      </c>
      <c r="AJ15">
        <v>-600</v>
      </c>
      <c r="AK15" s="20">
        <f t="shared" si="18"/>
        <v>106.52919621771095</v>
      </c>
      <c r="AL15" s="3">
        <f t="shared" si="4"/>
        <v>4932.5740928593059</v>
      </c>
      <c r="AM15" s="3">
        <f t="shared" si="12"/>
        <v>2466.2870464296529</v>
      </c>
      <c r="AN15" s="3">
        <f t="shared" si="15"/>
        <v>-4932.5740928593059</v>
      </c>
      <c r="AO15" s="3">
        <f t="shared" si="13"/>
        <v>-591.90889114311665</v>
      </c>
      <c r="AP15" s="13"/>
    </row>
    <row r="16" spans="1:46">
      <c r="A16">
        <v>2022</v>
      </c>
      <c r="B16" s="3">
        <f t="shared" si="5"/>
        <v>30.642454642697771</v>
      </c>
      <c r="C16" s="3">
        <f t="shared" si="0"/>
        <v>26046.086446293106</v>
      </c>
      <c r="D16" s="61">
        <f t="shared" si="1"/>
        <v>1595.661443286147</v>
      </c>
      <c r="E16" s="3">
        <v>23</v>
      </c>
      <c r="F16" s="3">
        <f t="shared" si="16"/>
        <v>5990.5998826474133</v>
      </c>
      <c r="G16" s="3">
        <f t="shared" si="2"/>
        <v>33632.347772226669</v>
      </c>
      <c r="H16" s="3">
        <f t="shared" si="17"/>
        <v>-2102.0217357641668</v>
      </c>
      <c r="I16" s="3">
        <f t="shared" si="14"/>
        <v>-4915.8601682871295</v>
      </c>
      <c r="J16" s="3">
        <f>Austria!I16+AO16</f>
        <v>860.09677980554454</v>
      </c>
      <c r="K16" s="3">
        <f t="shared" si="7"/>
        <v>27474.562647980918</v>
      </c>
      <c r="O16">
        <v>2022</v>
      </c>
      <c r="P16" s="3">
        <f t="shared" si="8"/>
        <v>27474.562647980918</v>
      </c>
      <c r="Q16" s="3">
        <f t="shared" si="9"/>
        <v>28282.939498784745</v>
      </c>
      <c r="R16" s="3">
        <f t="shared" si="10"/>
        <v>28934</v>
      </c>
      <c r="T16">
        <v>2022</v>
      </c>
      <c r="U16" s="3">
        <f>'Vehicle price'!X18</f>
        <v>23</v>
      </c>
      <c r="V16" s="20">
        <f>V15+(V24-V12)/12</f>
        <v>1.0999999999999996</v>
      </c>
      <c r="W16" s="3">
        <f t="shared" si="3"/>
        <v>33.706700106967538</v>
      </c>
      <c r="X16" s="3">
        <f>'Vehicle price'!T18</f>
        <v>30.642454642697771</v>
      </c>
      <c r="Y16" s="3">
        <f t="shared" si="11"/>
        <v>27.57820917842799</v>
      </c>
      <c r="Z16" s="20">
        <f>Z15+(Z24-Z12)/12</f>
        <v>0.89999999999999991</v>
      </c>
      <c r="AC16">
        <v>2022</v>
      </c>
      <c r="AD16" s="14">
        <v>0.85</v>
      </c>
      <c r="AF16">
        <v>2022</v>
      </c>
      <c r="AG16">
        <v>5000</v>
      </c>
      <c r="AH16">
        <v>2500</v>
      </c>
      <c r="AI16">
        <v>-5000</v>
      </c>
      <c r="AJ16">
        <v>-600</v>
      </c>
      <c r="AK16" s="20">
        <f t="shared" si="18"/>
        <v>106.89139548485117</v>
      </c>
      <c r="AL16" s="3">
        <f t="shared" si="4"/>
        <v>4915.8601682871295</v>
      </c>
      <c r="AM16" s="3">
        <f t="shared" si="12"/>
        <v>2457.9300841435647</v>
      </c>
      <c r="AN16" s="3">
        <f t="shared" si="15"/>
        <v>-4915.8601682871295</v>
      </c>
      <c r="AO16" s="3">
        <f t="shared" si="13"/>
        <v>-589.90322019445546</v>
      </c>
      <c r="AP16" s="13"/>
    </row>
    <row r="17" spans="1:42">
      <c r="A17">
        <v>2023</v>
      </c>
      <c r="B17" s="3">
        <f t="shared" si="5"/>
        <v>30.361546257811007</v>
      </c>
      <c r="C17" s="3">
        <f t="shared" si="0"/>
        <v>25807.314319139354</v>
      </c>
      <c r="D17" s="61">
        <f t="shared" si="1"/>
        <v>1552.6257012846099</v>
      </c>
      <c r="E17" s="3">
        <v>23</v>
      </c>
      <c r="F17" s="3">
        <f t="shared" si="16"/>
        <v>5935.6822934020511</v>
      </c>
      <c r="G17" s="3">
        <f t="shared" si="2"/>
        <v>33295.622313826017</v>
      </c>
      <c r="H17" s="3">
        <f t="shared" si="17"/>
        <v>-2080.9763946141261</v>
      </c>
      <c r="I17" s="3">
        <f t="shared" si="14"/>
        <v>-4899.2028785002285</v>
      </c>
      <c r="J17" s="3">
        <f>Austria!I17+AO17</f>
        <v>862.09565457997269</v>
      </c>
      <c r="K17" s="3">
        <f t="shared" si="7"/>
        <v>27177.538695291638</v>
      </c>
      <c r="O17">
        <v>2023</v>
      </c>
      <c r="P17" s="3">
        <f t="shared" si="8"/>
        <v>27177.538695291638</v>
      </c>
      <c r="Q17" s="3">
        <f t="shared" si="9"/>
        <v>28018.453449634297</v>
      </c>
      <c r="R17" s="3">
        <f t="shared" si="10"/>
        <v>28934</v>
      </c>
      <c r="T17">
        <v>2023</v>
      </c>
      <c r="U17" s="3">
        <f>'Vehicle price'!X19</f>
        <v>23</v>
      </c>
      <c r="V17" s="20">
        <f>V16+(V24-V12)/12</f>
        <v>1.1249999999999996</v>
      </c>
      <c r="W17" s="3">
        <f t="shared" si="3"/>
        <v>34.156739540037371</v>
      </c>
      <c r="X17" s="3">
        <f>'Vehicle price'!T19</f>
        <v>30.361546257811007</v>
      </c>
      <c r="Y17" s="3">
        <f t="shared" si="11"/>
        <v>26.566352975584628</v>
      </c>
      <c r="Z17" s="20">
        <f>Z16+(Z24-Z12)/12</f>
        <v>0.87499999999999989</v>
      </c>
      <c r="AC17">
        <v>2023</v>
      </c>
      <c r="AD17" s="14">
        <v>0.85</v>
      </c>
      <c r="AF17">
        <v>2023</v>
      </c>
      <c r="AG17">
        <v>5000</v>
      </c>
      <c r="AH17">
        <v>2500</v>
      </c>
      <c r="AI17">
        <v>-5000</v>
      </c>
      <c r="AJ17">
        <v>-600</v>
      </c>
      <c r="AK17" s="20">
        <f t="shared" si="18"/>
        <v>107.25482622949967</v>
      </c>
      <c r="AL17" s="3">
        <f t="shared" si="4"/>
        <v>4899.2028785002285</v>
      </c>
      <c r="AM17" s="3">
        <f t="shared" si="12"/>
        <v>2449.6014392501143</v>
      </c>
      <c r="AN17" s="3">
        <f t="shared" si="15"/>
        <v>-4899.2028785002285</v>
      </c>
      <c r="AO17" s="3">
        <f t="shared" si="13"/>
        <v>-587.90434542002731</v>
      </c>
      <c r="AP17" s="13"/>
    </row>
    <row r="18" spans="1:42">
      <c r="A18">
        <v>2024</v>
      </c>
      <c r="B18" s="3">
        <f t="shared" si="5"/>
        <v>29.275640447464834</v>
      </c>
      <c r="C18" s="3">
        <f t="shared" si="0"/>
        <v>24884.294380345105</v>
      </c>
      <c r="D18" s="61">
        <f t="shared" si="1"/>
        <v>1338.4715634934628</v>
      </c>
      <c r="E18" s="3">
        <v>23</v>
      </c>
      <c r="F18" s="3">
        <f t="shared" si="16"/>
        <v>5723.3877074793736</v>
      </c>
      <c r="G18" s="3">
        <f t="shared" si="2"/>
        <v>31946.153651317942</v>
      </c>
      <c r="H18" s="3">
        <f t="shared" si="17"/>
        <v>-1996.6346032073714</v>
      </c>
      <c r="I18" s="3">
        <f t="shared" si="14"/>
        <v>-4882.6020315928135</v>
      </c>
      <c r="J18" s="3">
        <f>Austria!I18+AO18</f>
        <v>864.08775620886252</v>
      </c>
      <c r="K18" s="3">
        <f t="shared" si="7"/>
        <v>25931.004772726617</v>
      </c>
      <c r="O18">
        <v>2024</v>
      </c>
      <c r="P18" s="3">
        <f t="shared" si="8"/>
        <v>25931.004772726617</v>
      </c>
      <c r="Q18" s="3">
        <f t="shared" si="9"/>
        <v>26964.907384260627</v>
      </c>
      <c r="R18" s="3">
        <f t="shared" si="10"/>
        <v>28934</v>
      </c>
      <c r="T18">
        <v>2024</v>
      </c>
      <c r="U18" s="3">
        <f>'Vehicle price'!X20</f>
        <v>23</v>
      </c>
      <c r="V18" s="20">
        <f>V17+(V24-V12)/12</f>
        <v>1.1499999999999995</v>
      </c>
      <c r="W18" s="3">
        <f t="shared" si="3"/>
        <v>33.666986514584543</v>
      </c>
      <c r="X18" s="3">
        <f>'Vehicle price'!T20</f>
        <v>29.275640447464834</v>
      </c>
      <c r="Y18" s="3">
        <f t="shared" si="11"/>
        <v>24.884294380345104</v>
      </c>
      <c r="Z18" s="20">
        <f>Z17+(Z24-Z12)/12</f>
        <v>0.84999999999999987</v>
      </c>
      <c r="AC18">
        <v>2024</v>
      </c>
      <c r="AD18" s="14">
        <v>0.85</v>
      </c>
      <c r="AF18">
        <v>2024</v>
      </c>
      <c r="AG18">
        <v>5000</v>
      </c>
      <c r="AH18">
        <v>2500</v>
      </c>
      <c r="AI18">
        <v>-5000</v>
      </c>
      <c r="AJ18">
        <v>-600</v>
      </c>
      <c r="AK18" s="20">
        <f t="shared" si="18"/>
        <v>107.61949263867996</v>
      </c>
      <c r="AL18" s="3">
        <f t="shared" si="4"/>
        <v>4882.6020315928135</v>
      </c>
      <c r="AM18" s="3">
        <f t="shared" si="12"/>
        <v>2441.3010157964068</v>
      </c>
      <c r="AN18" s="3">
        <f t="shared" si="15"/>
        <v>-4882.6020315928135</v>
      </c>
      <c r="AO18" s="3">
        <f t="shared" si="13"/>
        <v>-585.91224379113748</v>
      </c>
      <c r="AP18" s="13"/>
    </row>
    <row r="19" spans="1:42">
      <c r="A19">
        <v>2025</v>
      </c>
      <c r="B19" s="3">
        <f t="shared" si="5"/>
        <v>28.343375828936317</v>
      </c>
      <c r="C19" s="3">
        <f t="shared" si="0"/>
        <v>24091.869454595868</v>
      </c>
      <c r="D19" s="61">
        <f t="shared" si="1"/>
        <v>1156.909927339605</v>
      </c>
      <c r="E19" s="3">
        <v>23</v>
      </c>
      <c r="F19" s="3">
        <f t="shared" si="16"/>
        <v>5541.1299745570495</v>
      </c>
      <c r="G19" s="3">
        <f t="shared" si="2"/>
        <v>30789.909356492524</v>
      </c>
      <c r="H19" s="3">
        <f t="shared" si="17"/>
        <v>-1924.3693347807828</v>
      </c>
      <c r="I19" s="3">
        <f t="shared" si="14"/>
        <v>-4866.0574363093619</v>
      </c>
      <c r="J19" s="3">
        <f>Austria!I19+AO19</f>
        <v>866.07310764287661</v>
      </c>
      <c r="K19" s="3">
        <f t="shared" si="7"/>
        <v>24865.555693045259</v>
      </c>
      <c r="O19">
        <v>2025</v>
      </c>
      <c r="P19" s="3">
        <f t="shared" si="8"/>
        <v>24865.555693045259</v>
      </c>
      <c r="Q19" s="3">
        <f t="shared" si="9"/>
        <v>26061.917059434392</v>
      </c>
      <c r="R19" s="3">
        <f t="shared" si="10"/>
        <v>28934</v>
      </c>
      <c r="T19">
        <v>2025</v>
      </c>
      <c r="U19" s="3">
        <f>'Vehicle price'!X21</f>
        <v>23</v>
      </c>
      <c r="V19" s="20">
        <f>V18+(V24-V12)/12</f>
        <v>1.1749999999999994</v>
      </c>
      <c r="W19" s="3">
        <f t="shared" si="3"/>
        <v>33.303466599000153</v>
      </c>
      <c r="X19" s="3">
        <f>'Vehicle price'!T21</f>
        <v>28.343375828936317</v>
      </c>
      <c r="Y19" s="3">
        <f t="shared" si="11"/>
        <v>23.383285058872456</v>
      </c>
      <c r="Z19" s="20">
        <f>Z18+(Z24-Z12)/12</f>
        <v>0.82499999999999984</v>
      </c>
      <c r="AC19">
        <v>2025</v>
      </c>
      <c r="AD19" s="14">
        <v>0.85</v>
      </c>
      <c r="AF19">
        <v>2025</v>
      </c>
      <c r="AG19">
        <v>5000</v>
      </c>
      <c r="AH19">
        <v>2500</v>
      </c>
      <c r="AI19">
        <v>-5000</v>
      </c>
      <c r="AJ19">
        <v>-600</v>
      </c>
      <c r="AK19" s="20">
        <f t="shared" si="18"/>
        <v>107.98539891365145</v>
      </c>
      <c r="AL19" s="3">
        <f t="shared" si="4"/>
        <v>4866.0574363093619</v>
      </c>
      <c r="AM19" s="3">
        <f t="shared" si="12"/>
        <v>2433.028718154681</v>
      </c>
      <c r="AN19" s="3">
        <f t="shared" si="15"/>
        <v>-4866.0574363093619</v>
      </c>
      <c r="AO19" s="3">
        <f t="shared" si="13"/>
        <v>-583.92689235712339</v>
      </c>
      <c r="AP19" s="13"/>
    </row>
    <row r="20" spans="1:42">
      <c r="A20">
        <v>2026</v>
      </c>
      <c r="B20" s="3">
        <f t="shared" si="5"/>
        <v>27.812270474504896</v>
      </c>
      <c r="C20" s="3">
        <f t="shared" si="0"/>
        <v>23640.429903329161</v>
      </c>
      <c r="D20" s="61">
        <f t="shared" si="1"/>
        <v>1060.5385737898714</v>
      </c>
      <c r="E20" s="3">
        <v>23</v>
      </c>
      <c r="F20" s="3">
        <f t="shared" si="16"/>
        <v>5437.2988777657074</v>
      </c>
      <c r="G20" s="3">
        <f t="shared" si="2"/>
        <v>30138.267354884742</v>
      </c>
      <c r="H20" s="3">
        <f t="shared" si="17"/>
        <v>-1883.6417096802963</v>
      </c>
      <c r="I20" s="3">
        <f t="shared" si="14"/>
        <v>-4849.5689020424188</v>
      </c>
      <c r="J20" s="3">
        <f>Austria!I20+AO20</f>
        <v>868.05173175490984</v>
      </c>
      <c r="K20" s="3">
        <f t="shared" si="7"/>
        <v>24273.108474916935</v>
      </c>
      <c r="O20">
        <v>2026</v>
      </c>
      <c r="P20" s="3">
        <f t="shared" si="8"/>
        <v>24273.108474916935</v>
      </c>
      <c r="Q20" s="3">
        <f t="shared" si="9"/>
        <v>25552.088984821316</v>
      </c>
      <c r="R20" s="3">
        <f t="shared" si="10"/>
        <v>28934</v>
      </c>
      <c r="T20">
        <v>2026</v>
      </c>
      <c r="U20" s="3">
        <f>'Vehicle price'!X22</f>
        <v>23</v>
      </c>
      <c r="V20" s="20">
        <f>V19+(V24-V12)/12</f>
        <v>1.1999999999999993</v>
      </c>
      <c r="W20" s="3">
        <f t="shared" si="3"/>
        <v>33.374724569405856</v>
      </c>
      <c r="X20" s="3">
        <f>'Vehicle price'!T22</f>
        <v>27.812270474504896</v>
      </c>
      <c r="Y20" s="3">
        <f t="shared" si="11"/>
        <v>22.24981637960391</v>
      </c>
      <c r="Z20" s="20">
        <f>Z19+(Z24-Z12)/12</f>
        <v>0.79999999999999982</v>
      </c>
      <c r="AC20">
        <v>2026</v>
      </c>
      <c r="AD20" s="14">
        <v>0.85</v>
      </c>
      <c r="AF20">
        <v>2026</v>
      </c>
      <c r="AG20">
        <v>5000</v>
      </c>
      <c r="AH20">
        <v>2500</v>
      </c>
      <c r="AI20">
        <v>-5000</v>
      </c>
      <c r="AJ20">
        <v>-600</v>
      </c>
      <c r="AK20" s="20">
        <f t="shared" si="18"/>
        <v>108.35254926995785</v>
      </c>
      <c r="AL20" s="3">
        <f t="shared" si="4"/>
        <v>4849.5689020424188</v>
      </c>
      <c r="AM20" s="3">
        <f t="shared" si="12"/>
        <v>2424.7844510212094</v>
      </c>
      <c r="AN20" s="3">
        <f t="shared" si="15"/>
        <v>-4849.5689020424188</v>
      </c>
      <c r="AO20" s="3">
        <f t="shared" si="13"/>
        <v>-581.94826824509016</v>
      </c>
      <c r="AP20" s="13"/>
    </row>
    <row r="21" spans="1:42">
      <c r="A21">
        <v>2027</v>
      </c>
      <c r="B21" s="3">
        <f t="shared" si="5"/>
        <v>27.281165120073478</v>
      </c>
      <c r="C21" s="3">
        <f t="shared" si="0"/>
        <v>23188.990352062454</v>
      </c>
      <c r="D21" s="61">
        <f t="shared" si="1"/>
        <v>964.11134918521748</v>
      </c>
      <c r="E21" s="3">
        <v>23</v>
      </c>
      <c r="F21" s="3">
        <f t="shared" si="16"/>
        <v>5333.4677809743644</v>
      </c>
      <c r="G21" s="3">
        <f t="shared" si="2"/>
        <v>29486.569482222032</v>
      </c>
      <c r="H21" s="3">
        <f t="shared" si="17"/>
        <v>-1842.910592638877</v>
      </c>
      <c r="I21" s="3">
        <f t="shared" si="14"/>
        <v>-4833.136238830396</v>
      </c>
      <c r="J21" s="3">
        <f>Austria!I21+AO21</f>
        <v>870.02365134035256</v>
      </c>
      <c r="K21" s="3">
        <f t="shared" si="7"/>
        <v>23680.546302093113</v>
      </c>
      <c r="O21">
        <v>2027</v>
      </c>
      <c r="P21" s="3">
        <f t="shared" si="8"/>
        <v>23680.546302093113</v>
      </c>
      <c r="Q21" s="3">
        <f t="shared" si="9"/>
        <v>25042.224524183723</v>
      </c>
      <c r="R21" s="3">
        <f t="shared" si="10"/>
        <v>28934</v>
      </c>
      <c r="T21">
        <v>2027</v>
      </c>
      <c r="U21" s="3">
        <f>'Vehicle price'!X23</f>
        <v>23</v>
      </c>
      <c r="V21" s="20">
        <f>V20+(V24-V12)/12</f>
        <v>1.2249999999999992</v>
      </c>
      <c r="W21" s="3">
        <f t="shared" si="3"/>
        <v>33.41942727208999</v>
      </c>
      <c r="X21" s="3">
        <f>'Vehicle price'!T23</f>
        <v>27.281165120073478</v>
      </c>
      <c r="Y21" s="3">
        <f t="shared" si="11"/>
        <v>21.142902968056941</v>
      </c>
      <c r="Z21" s="20">
        <f>Z20+(Z24-Z12)/12</f>
        <v>0.7749999999999998</v>
      </c>
      <c r="AC21">
        <v>2027</v>
      </c>
      <c r="AD21" s="14">
        <v>0.85</v>
      </c>
      <c r="AF21">
        <v>2027</v>
      </c>
      <c r="AG21">
        <v>5000</v>
      </c>
      <c r="AH21">
        <v>2500</v>
      </c>
      <c r="AI21">
        <v>-5000</v>
      </c>
      <c r="AJ21">
        <v>-600</v>
      </c>
      <c r="AK21" s="20">
        <f t="shared" si="18"/>
        <v>108.72094793747569</v>
      </c>
      <c r="AL21" s="3">
        <f t="shared" si="4"/>
        <v>4833.136238830396</v>
      </c>
      <c r="AM21" s="3">
        <f t="shared" si="12"/>
        <v>2416.568119415198</v>
      </c>
      <c r="AN21" s="3">
        <f t="shared" si="15"/>
        <v>-4833.136238830396</v>
      </c>
      <c r="AO21" s="3">
        <f t="shared" si="13"/>
        <v>-579.97634865964744</v>
      </c>
      <c r="AP21" s="13"/>
    </row>
    <row r="22" spans="1:42">
      <c r="A22">
        <v>2028</v>
      </c>
      <c r="B22" s="3">
        <f t="shared" si="5"/>
        <v>26.683671596338133</v>
      </c>
      <c r="C22" s="3">
        <f t="shared" si="0"/>
        <v>22681.12085688741</v>
      </c>
      <c r="D22" s="61">
        <f t="shared" si="1"/>
        <v>853.52095686646408</v>
      </c>
      <c r="E22" s="3">
        <v>23</v>
      </c>
      <c r="F22" s="3">
        <f t="shared" si="16"/>
        <v>5216.6577970841045</v>
      </c>
      <c r="G22" s="3">
        <f t="shared" si="2"/>
        <v>28751.299610837981</v>
      </c>
      <c r="H22" s="3">
        <f t="shared" si="17"/>
        <v>-1796.9562256773738</v>
      </c>
      <c r="I22" s="3">
        <f t="shared" si="14"/>
        <v>-4816.7592573553884</v>
      </c>
      <c r="J22" s="3">
        <f>Austria!I22+AO22</f>
        <v>871.98888911735344</v>
      </c>
      <c r="K22" s="3">
        <f t="shared" si="7"/>
        <v>23009.573016922572</v>
      </c>
      <c r="O22">
        <v>2028</v>
      </c>
      <c r="P22" s="3">
        <f t="shared" si="8"/>
        <v>23009.573016922572</v>
      </c>
      <c r="Q22" s="3">
        <f t="shared" si="9"/>
        <v>24467.253021745597</v>
      </c>
      <c r="R22" s="3">
        <f t="shared" si="10"/>
        <v>28934</v>
      </c>
      <c r="T22">
        <v>2028</v>
      </c>
      <c r="U22" s="3">
        <f>'Vehicle price'!X24</f>
        <v>23</v>
      </c>
      <c r="V22" s="20">
        <f>V21+(V24-V12)/12</f>
        <v>1.2499999999999991</v>
      </c>
      <c r="W22" s="3">
        <f t="shared" si="3"/>
        <v>33.354589495422644</v>
      </c>
      <c r="X22" s="3">
        <f>'Vehicle price'!T24</f>
        <v>26.683671596338133</v>
      </c>
      <c r="Y22" s="3">
        <f t="shared" si="11"/>
        <v>20.012753697253594</v>
      </c>
      <c r="Z22" s="20">
        <f>Z21+(Z24-Z12)/12</f>
        <v>0.74999999999999978</v>
      </c>
      <c r="AC22">
        <v>2028</v>
      </c>
      <c r="AD22" s="14">
        <v>0.85</v>
      </c>
      <c r="AF22">
        <v>2028</v>
      </c>
      <c r="AG22">
        <v>5000</v>
      </c>
      <c r="AH22">
        <v>2500</v>
      </c>
      <c r="AI22">
        <v>-5000</v>
      </c>
      <c r="AJ22">
        <v>-600</v>
      </c>
      <c r="AK22" s="20">
        <f t="shared" si="18"/>
        <v>109.09059916046309</v>
      </c>
      <c r="AL22" s="3">
        <f t="shared" si="4"/>
        <v>4816.7592573553884</v>
      </c>
      <c r="AM22" s="3">
        <f t="shared" si="12"/>
        <v>2408.3796286776942</v>
      </c>
      <c r="AN22" s="3">
        <f t="shared" si="15"/>
        <v>-4816.7592573553884</v>
      </c>
      <c r="AO22" s="3">
        <f t="shared" si="13"/>
        <v>-578.01111088264656</v>
      </c>
      <c r="AP22" s="13"/>
    </row>
    <row r="23" spans="1:42">
      <c r="A23">
        <v>2029</v>
      </c>
      <c r="B23" s="3">
        <f t="shared" si="5"/>
        <v>26.152566241906715</v>
      </c>
      <c r="C23" s="3">
        <f t="shared" si="0"/>
        <v>22229.68130562071</v>
      </c>
      <c r="D23" s="61">
        <f t="shared" si="1"/>
        <v>756.98255746418818</v>
      </c>
      <c r="E23" s="3">
        <v>23</v>
      </c>
      <c r="F23" s="3">
        <f t="shared" si="16"/>
        <v>5112.8267002927632</v>
      </c>
      <c r="G23" s="3">
        <f t="shared" si="2"/>
        <v>28099.490563377662</v>
      </c>
      <c r="H23" s="3">
        <f t="shared" si="17"/>
        <v>-1756.2181602111039</v>
      </c>
      <c r="I23" s="3">
        <f t="shared" si="14"/>
        <v>-4800.4377689409894</v>
      </c>
      <c r="J23" s="3">
        <f>Austria!I23+AO23</f>
        <v>873.94746772708129</v>
      </c>
      <c r="K23" s="3">
        <f t="shared" si="7"/>
        <v>22416.782101952649</v>
      </c>
      <c r="O23">
        <v>2029</v>
      </c>
      <c r="P23" s="3">
        <f t="shared" si="8"/>
        <v>22416.782101952649</v>
      </c>
      <c r="Q23" s="3">
        <f t="shared" si="9"/>
        <v>23957.316158521062</v>
      </c>
      <c r="R23" s="3">
        <f t="shared" si="10"/>
        <v>28934</v>
      </c>
      <c r="T23">
        <v>2029</v>
      </c>
      <c r="U23" s="3">
        <f>'Vehicle price'!X25</f>
        <v>23</v>
      </c>
      <c r="V23" s="20">
        <f>V22+(V24-V12)/12</f>
        <v>1.274999999999999</v>
      </c>
      <c r="W23" s="3">
        <f t="shared" si="3"/>
        <v>33.344521958431038</v>
      </c>
      <c r="X23" s="3">
        <f>'Vehicle price'!T25</f>
        <v>26.152566241906715</v>
      </c>
      <c r="Y23" s="3">
        <f t="shared" si="11"/>
        <v>18.960610525382361</v>
      </c>
      <c r="Z23" s="20">
        <f>Z22+(Z24-Z12)/12</f>
        <v>0.72499999999999976</v>
      </c>
      <c r="AC23">
        <v>2029</v>
      </c>
      <c r="AD23" s="14">
        <v>0.85</v>
      </c>
      <c r="AF23">
        <v>2029</v>
      </c>
      <c r="AG23">
        <v>5000</v>
      </c>
      <c r="AH23">
        <v>2500</v>
      </c>
      <c r="AI23">
        <v>-5000</v>
      </c>
      <c r="AJ23">
        <v>-600</v>
      </c>
      <c r="AK23" s="20">
        <f t="shared" si="18"/>
        <v>109.46150719760865</v>
      </c>
      <c r="AL23" s="3">
        <f t="shared" si="4"/>
        <v>4800.4377689409894</v>
      </c>
      <c r="AM23" s="3">
        <f t="shared" si="12"/>
        <v>2400.2188844704947</v>
      </c>
      <c r="AN23" s="3">
        <f t="shared" si="15"/>
        <v>-4800.4377689409894</v>
      </c>
      <c r="AO23" s="3">
        <f t="shared" si="13"/>
        <v>-576.05253227291871</v>
      </c>
      <c r="AP23" s="13"/>
    </row>
    <row r="24" spans="1:42">
      <c r="A24">
        <v>2030</v>
      </c>
      <c r="B24" s="3">
        <f t="shared" si="5"/>
        <v>25.55507271817137</v>
      </c>
      <c r="C24" s="3">
        <f t="shared" si="0"/>
        <v>21721.811810445666</v>
      </c>
      <c r="D24" s="61">
        <f t="shared" si="1"/>
        <v>646.28136706129681</v>
      </c>
      <c r="E24" s="3">
        <v>23</v>
      </c>
      <c r="F24" s="3">
        <f t="shared" si="16"/>
        <v>4996.0167164025033</v>
      </c>
      <c r="G24" s="3">
        <f t="shared" si="2"/>
        <v>27364.109893909466</v>
      </c>
      <c r="H24" s="3">
        <f t="shared" si="17"/>
        <v>-1710.2568683693416</v>
      </c>
      <c r="I24" s="3">
        <f t="shared" si="14"/>
        <v>-4784.1715855501197</v>
      </c>
      <c r="J24" s="3">
        <f>Austria!I24+AO24</f>
        <v>875.89940973398575</v>
      </c>
      <c r="K24" s="3">
        <f t="shared" si="7"/>
        <v>21745.580849723989</v>
      </c>
      <c r="O24">
        <v>2030</v>
      </c>
      <c r="P24" s="3">
        <f t="shared" si="8"/>
        <v>21745.580849723989</v>
      </c>
      <c r="Q24" s="3">
        <f t="shared" si="9"/>
        <v>23382.272498830644</v>
      </c>
      <c r="R24" s="3">
        <f t="shared" si="10"/>
        <v>28934</v>
      </c>
      <c r="T24">
        <v>2030</v>
      </c>
      <c r="U24" s="3">
        <f>'Vehicle price'!X26</f>
        <v>23</v>
      </c>
      <c r="V24">
        <v>1.3</v>
      </c>
      <c r="W24" s="3">
        <f t="shared" si="3"/>
        <v>33.221594533622785</v>
      </c>
      <c r="X24" s="3">
        <f>'Vehicle price'!T26</f>
        <v>25.55507271817137</v>
      </c>
      <c r="Y24" s="3">
        <f t="shared" si="11"/>
        <v>17.88855090271996</v>
      </c>
      <c r="Z24">
        <v>0.7</v>
      </c>
      <c r="AC24">
        <v>2030</v>
      </c>
      <c r="AD24" s="14">
        <v>0.85</v>
      </c>
      <c r="AF24">
        <v>2030</v>
      </c>
      <c r="AG24">
        <v>5000</v>
      </c>
      <c r="AH24">
        <v>2500</v>
      </c>
      <c r="AI24">
        <v>-5000</v>
      </c>
      <c r="AJ24">
        <v>-600</v>
      </c>
      <c r="AK24" s="20">
        <f t="shared" si="18"/>
        <v>109.83367632208052</v>
      </c>
      <c r="AL24" s="3">
        <f t="shared" si="4"/>
        <v>4784.1715855501197</v>
      </c>
      <c r="AM24" s="3">
        <f t="shared" si="12"/>
        <v>2392.0857927750599</v>
      </c>
      <c r="AN24" s="3">
        <f t="shared" si="15"/>
        <v>-4784.1715855501197</v>
      </c>
      <c r="AO24" s="3">
        <f t="shared" si="13"/>
        <v>-574.10059026601425</v>
      </c>
      <c r="AP24" s="13"/>
    </row>
    <row r="25" spans="1:42">
      <c r="F25" s="3"/>
      <c r="AO25" s="13"/>
      <c r="AP25" s="13"/>
    </row>
    <row r="26" spans="1:42">
      <c r="A26" t="s">
        <v>324</v>
      </c>
      <c r="B26" t="s">
        <v>1395</v>
      </c>
      <c r="C26" t="s">
        <v>709</v>
      </c>
      <c r="D26" t="s">
        <v>709</v>
      </c>
      <c r="E26" t="s">
        <v>498</v>
      </c>
      <c r="F26" t="s">
        <v>709</v>
      </c>
      <c r="G26" t="s">
        <v>709</v>
      </c>
      <c r="K26" t="s">
        <v>709</v>
      </c>
      <c r="AH26" s="13"/>
      <c r="AI26" s="13"/>
    </row>
    <row r="27" spans="1:42">
      <c r="B27" t="s">
        <v>711</v>
      </c>
      <c r="C27" t="s">
        <v>711</v>
      </c>
      <c r="D27" t="s">
        <v>766</v>
      </c>
      <c r="E27" t="s">
        <v>714</v>
      </c>
      <c r="F27" s="3" t="s">
        <v>728</v>
      </c>
      <c r="G27" t="s">
        <v>717</v>
      </c>
      <c r="H27" t="s">
        <v>774</v>
      </c>
      <c r="I27" t="s">
        <v>750</v>
      </c>
      <c r="J27" t="s">
        <v>755</v>
      </c>
      <c r="K27" t="s">
        <v>717</v>
      </c>
      <c r="AI27" s="13"/>
    </row>
    <row r="28" spans="1:42">
      <c r="A28">
        <v>2009</v>
      </c>
      <c r="B28" s="3">
        <f t="shared" ref="B28:B49" si="19">B3</f>
        <v>29.592572886961211</v>
      </c>
      <c r="C28" s="3">
        <f t="shared" ref="C28:C49" si="20">B28*AD3*1000</f>
        <v>21302.040969337188</v>
      </c>
      <c r="D28" s="61">
        <f>C28*0.25</f>
        <v>5325.5102423342969</v>
      </c>
      <c r="E28" s="3">
        <v>20.925000000000001</v>
      </c>
      <c r="F28" s="3">
        <f t="shared" ref="F28:F36" si="21">(C28)*E28/100</f>
        <v>4457.4520728338066</v>
      </c>
      <c r="G28" s="3">
        <f t="shared" ref="G28:G37" si="22">C28+F28+D28</f>
        <v>31085.003284505292</v>
      </c>
      <c r="H28" s="3"/>
      <c r="I28" s="3">
        <v>0</v>
      </c>
      <c r="J28" s="3">
        <f t="shared" ref="J28:J49" si="23">J3</f>
        <v>1450</v>
      </c>
      <c r="K28" s="3">
        <f>G28+H28+I28+J28</f>
        <v>32535.003284505292</v>
      </c>
      <c r="AI28" s="72"/>
    </row>
    <row r="29" spans="1:42">
      <c r="A29">
        <v>2010</v>
      </c>
      <c r="B29" s="3">
        <f t="shared" si="19"/>
        <v>30</v>
      </c>
      <c r="C29" s="3">
        <f t="shared" si="20"/>
        <v>22760.138776915202</v>
      </c>
      <c r="D29" s="61">
        <f>C29*0.25</f>
        <v>5690.0346942288006</v>
      </c>
      <c r="E29" s="3">
        <v>20.925000000000001</v>
      </c>
      <c r="F29" s="3">
        <f t="shared" si="21"/>
        <v>4762.5590390695061</v>
      </c>
      <c r="G29" s="3">
        <f t="shared" si="22"/>
        <v>33212.732510213507</v>
      </c>
      <c r="H29" s="3"/>
      <c r="I29" s="3">
        <v>0</v>
      </c>
      <c r="J29" s="3">
        <f t="shared" si="23"/>
        <v>1450</v>
      </c>
      <c r="K29" s="3">
        <f t="shared" ref="K29:K49" si="24">G29+H29+I29+J29</f>
        <v>34662.732510213507</v>
      </c>
    </row>
    <row r="30" spans="1:42">
      <c r="A30">
        <v>2011</v>
      </c>
      <c r="B30" s="3">
        <f t="shared" si="19"/>
        <v>30</v>
      </c>
      <c r="C30" s="3">
        <f t="shared" si="20"/>
        <v>21463.232997813917</v>
      </c>
      <c r="D30" s="3">
        <f t="shared" ref="D30:D49" si="25">AM5</f>
        <v>2561.2640286680371</v>
      </c>
      <c r="E30" s="3">
        <v>20.925000000000001</v>
      </c>
      <c r="F30" s="3">
        <f t="shared" si="21"/>
        <v>4491.181504792562</v>
      </c>
      <c r="G30" s="3">
        <f t="shared" si="22"/>
        <v>28515.678531274516</v>
      </c>
      <c r="H30" s="3"/>
      <c r="I30" s="3">
        <v>0</v>
      </c>
      <c r="J30" s="3">
        <f t="shared" si="23"/>
        <v>835.29663311967113</v>
      </c>
      <c r="K30" s="3">
        <f t="shared" si="24"/>
        <v>29350.975164394185</v>
      </c>
    </row>
    <row r="31" spans="1:42">
      <c r="A31">
        <v>2012</v>
      </c>
      <c r="B31" s="3">
        <f t="shared" si="19"/>
        <v>30.842462459493706</v>
      </c>
      <c r="C31" s="3">
        <f t="shared" si="20"/>
        <v>23868.964632772961</v>
      </c>
      <c r="D31" s="3">
        <f t="shared" si="25"/>
        <v>2518.6289863310544</v>
      </c>
      <c r="E31">
        <v>23</v>
      </c>
      <c r="F31" s="3">
        <f t="shared" si="21"/>
        <v>5489.8618655377813</v>
      </c>
      <c r="G31" s="3">
        <f t="shared" si="22"/>
        <v>31877.4554846418</v>
      </c>
      <c r="H31" s="3"/>
      <c r="I31" s="3">
        <v>0</v>
      </c>
      <c r="J31" s="3">
        <f t="shared" si="23"/>
        <v>845.52904328054706</v>
      </c>
      <c r="K31" s="3">
        <f t="shared" si="24"/>
        <v>32722.984527922348</v>
      </c>
    </row>
    <row r="32" spans="1:42">
      <c r="A32">
        <v>2013</v>
      </c>
      <c r="B32" s="3">
        <f t="shared" si="19"/>
        <v>31.143929334439989</v>
      </c>
      <c r="C32" s="3">
        <f t="shared" si="20"/>
        <v>23409.918880648976</v>
      </c>
      <c r="D32" s="3">
        <f t="shared" si="25"/>
        <v>2506.0317605434097</v>
      </c>
      <c r="E32">
        <v>23</v>
      </c>
      <c r="F32" s="3">
        <f t="shared" si="21"/>
        <v>5384.281342549265</v>
      </c>
      <c r="G32" s="3">
        <f t="shared" si="22"/>
        <v>31300.231983741651</v>
      </c>
      <c r="H32" s="3"/>
      <c r="I32" s="3">
        <v>0</v>
      </c>
      <c r="J32" s="3">
        <f t="shared" si="23"/>
        <v>848.55237746958176</v>
      </c>
      <c r="K32" s="3">
        <f t="shared" si="24"/>
        <v>32148.784361211234</v>
      </c>
    </row>
    <row r="33" spans="1:23">
      <c r="A33">
        <v>2014</v>
      </c>
      <c r="B33" s="3">
        <f t="shared" si="19"/>
        <v>33.541755956678692</v>
      </c>
      <c r="C33" s="3">
        <f t="shared" si="20"/>
        <v>25404.118038119632</v>
      </c>
      <c r="D33" s="3">
        <f t="shared" si="25"/>
        <v>2501.1100064146017</v>
      </c>
      <c r="E33">
        <v>23</v>
      </c>
      <c r="F33" s="3">
        <f t="shared" si="21"/>
        <v>5842.9471487675155</v>
      </c>
      <c r="G33" s="3">
        <f t="shared" si="22"/>
        <v>33748.175193301751</v>
      </c>
      <c r="H33" s="3"/>
      <c r="I33" s="3">
        <v>0</v>
      </c>
      <c r="J33" s="3">
        <f t="shared" si="23"/>
        <v>849.73359846049561</v>
      </c>
      <c r="K33" s="3">
        <f t="shared" si="24"/>
        <v>34597.908791762246</v>
      </c>
      <c r="W33" s="167"/>
    </row>
    <row r="34" spans="1:23">
      <c r="A34">
        <v>2015</v>
      </c>
      <c r="B34" s="3">
        <f t="shared" si="19"/>
        <v>30</v>
      </c>
      <c r="C34" s="3">
        <f t="shared" si="20"/>
        <v>27177.76686239925</v>
      </c>
      <c r="D34" s="3">
        <f t="shared" si="25"/>
        <v>2508.5000000000005</v>
      </c>
      <c r="E34">
        <v>23</v>
      </c>
      <c r="F34" s="3">
        <f t="shared" si="21"/>
        <v>6250.8863783518273</v>
      </c>
      <c r="G34" s="3">
        <f t="shared" si="22"/>
        <v>35937.153240751075</v>
      </c>
      <c r="H34" s="3"/>
      <c r="I34" s="3">
        <f t="shared" ref="I34:I49" si="26">I9</f>
        <v>-5017.0000000000009</v>
      </c>
      <c r="J34" s="3">
        <f t="shared" si="23"/>
        <v>847.95999999999992</v>
      </c>
      <c r="K34" s="3">
        <f t="shared" si="24"/>
        <v>31768.113240751074</v>
      </c>
    </row>
    <row r="35" spans="1:23">
      <c r="A35">
        <v>2016</v>
      </c>
      <c r="B35" s="3">
        <f t="shared" si="19"/>
        <v>30</v>
      </c>
      <c r="C35" s="3">
        <f t="shared" si="20"/>
        <v>27202.412312659035</v>
      </c>
      <c r="D35" s="3">
        <f t="shared" si="25"/>
        <v>2508.5000000000005</v>
      </c>
      <c r="E35">
        <v>23</v>
      </c>
      <c r="F35" s="3">
        <f t="shared" si="21"/>
        <v>6256.5548319115778</v>
      </c>
      <c r="G35" s="3">
        <f t="shared" si="22"/>
        <v>35967.467144570612</v>
      </c>
      <c r="H35" s="3"/>
      <c r="I35" s="3">
        <f t="shared" si="26"/>
        <v>-5017.0000000000009</v>
      </c>
      <c r="J35" s="3">
        <f t="shared" si="23"/>
        <v>847.95999999999992</v>
      </c>
      <c r="K35" s="3">
        <f t="shared" si="24"/>
        <v>31798.427144570611</v>
      </c>
      <c r="W35" s="167"/>
    </row>
    <row r="36" spans="1:23">
      <c r="A36">
        <v>2017</v>
      </c>
      <c r="B36" s="3">
        <f t="shared" si="19"/>
        <v>30</v>
      </c>
      <c r="C36" s="3">
        <f t="shared" si="20"/>
        <v>26462.003510368591</v>
      </c>
      <c r="D36" s="3">
        <f t="shared" si="25"/>
        <v>2500</v>
      </c>
      <c r="E36">
        <v>23</v>
      </c>
      <c r="F36" s="3">
        <f t="shared" si="21"/>
        <v>6086.2608073847769</v>
      </c>
      <c r="G36" s="3">
        <f t="shared" si="22"/>
        <v>35048.264317753368</v>
      </c>
      <c r="H36" s="3"/>
      <c r="I36" s="3">
        <f t="shared" si="26"/>
        <v>-5000</v>
      </c>
      <c r="J36" s="3">
        <f t="shared" si="23"/>
        <v>850</v>
      </c>
      <c r="K36" s="3">
        <f t="shared" si="24"/>
        <v>30898.264317753368</v>
      </c>
      <c r="W36" s="167"/>
    </row>
    <row r="37" spans="1:23">
      <c r="A37">
        <v>2018</v>
      </c>
      <c r="B37" s="3">
        <f t="shared" si="19"/>
        <v>30.592100851060948</v>
      </c>
      <c r="C37" s="3">
        <f t="shared" si="20"/>
        <v>26003.285723401805</v>
      </c>
      <c r="D37" s="3">
        <f t="shared" si="25"/>
        <v>2491.5288020729522</v>
      </c>
      <c r="E37">
        <v>23</v>
      </c>
      <c r="F37" s="3">
        <f>(C37)*E37/100</f>
        <v>5980.7557163824149</v>
      </c>
      <c r="G37" s="3">
        <f t="shared" si="22"/>
        <v>34475.570241857167</v>
      </c>
      <c r="H37" s="3">
        <f>-G37*0.125/2</f>
        <v>-2154.723140116073</v>
      </c>
      <c r="I37" s="3">
        <f t="shared" si="26"/>
        <v>-4983.0576041459044</v>
      </c>
      <c r="J37" s="3">
        <f t="shared" si="23"/>
        <v>852.03308750249153</v>
      </c>
      <c r="K37" s="3">
        <f t="shared" si="24"/>
        <v>28189.822585097685</v>
      </c>
      <c r="W37" s="105"/>
    </row>
    <row r="38" spans="1:23">
      <c r="A38">
        <v>2019</v>
      </c>
      <c r="B38" s="3">
        <f t="shared" si="19"/>
        <v>31.172994053473918</v>
      </c>
      <c r="C38" s="3">
        <f t="shared" si="20"/>
        <v>26497.044945452828</v>
      </c>
      <c r="D38" s="3">
        <f t="shared" si="25"/>
        <v>2483.0863086236318</v>
      </c>
      <c r="E38">
        <v>23</v>
      </c>
      <c r="F38" s="3">
        <f t="shared" ref="F38:F49" si="27">(C38)*E38/100</f>
        <v>6094.3203374541508</v>
      </c>
      <c r="G38" s="3">
        <f t="shared" ref="G38:G49" si="28">C38+F38+D38</f>
        <v>35074.451591530611</v>
      </c>
      <c r="H38" s="3">
        <f t="shared" ref="H38:H49" si="29">-G38*0.125/2</f>
        <v>-2192.1532244706632</v>
      </c>
      <c r="I38" s="3">
        <f t="shared" si="26"/>
        <v>-4966.1726172472636</v>
      </c>
      <c r="J38" s="3">
        <f t="shared" si="23"/>
        <v>854.05928593032843</v>
      </c>
      <c r="K38" s="3">
        <f t="shared" si="24"/>
        <v>28770.185035743016</v>
      </c>
      <c r="W38" s="105"/>
    </row>
    <row r="39" spans="1:23">
      <c r="A39">
        <v>2020</v>
      </c>
      <c r="B39" s="3">
        <f t="shared" si="19"/>
        <v>30.985903123425071</v>
      </c>
      <c r="C39" s="3">
        <f t="shared" si="20"/>
        <v>26338.017654911313</v>
      </c>
      <c r="D39" s="3">
        <f t="shared" si="25"/>
        <v>2474.672422387514</v>
      </c>
      <c r="E39">
        <v>23</v>
      </c>
      <c r="F39" s="3">
        <f t="shared" si="27"/>
        <v>6057.7440606296013</v>
      </c>
      <c r="G39" s="3">
        <f t="shared" si="28"/>
        <v>34870.434137928431</v>
      </c>
      <c r="H39" s="3">
        <f t="shared" si="29"/>
        <v>-2179.4021336205269</v>
      </c>
      <c r="I39" s="3">
        <f t="shared" si="26"/>
        <v>-4949.3448447750279</v>
      </c>
      <c r="J39" s="3">
        <f t="shared" si="23"/>
        <v>856.07861862699667</v>
      </c>
      <c r="K39" s="3">
        <f t="shared" si="24"/>
        <v>28597.765778159875</v>
      </c>
      <c r="W39" s="105"/>
    </row>
    <row r="40" spans="1:23">
      <c r="A40">
        <v>2021</v>
      </c>
      <c r="B40" s="3">
        <f t="shared" si="19"/>
        <v>30.206708843097807</v>
      </c>
      <c r="C40" s="3">
        <f t="shared" si="20"/>
        <v>25675.702516633137</v>
      </c>
      <c r="D40" s="3">
        <f t="shared" si="25"/>
        <v>2466.2870464296529</v>
      </c>
      <c r="E40">
        <v>23</v>
      </c>
      <c r="F40" s="3">
        <f t="shared" si="27"/>
        <v>5905.4115788256213</v>
      </c>
      <c r="G40" s="3">
        <f t="shared" si="28"/>
        <v>34047.401141888411</v>
      </c>
      <c r="H40" s="3">
        <f t="shared" si="29"/>
        <v>-2127.9625713680257</v>
      </c>
      <c r="I40" s="3">
        <f t="shared" si="26"/>
        <v>-4932.5740928593059</v>
      </c>
      <c r="J40" s="3">
        <f t="shared" si="23"/>
        <v>858.09110885688335</v>
      </c>
      <c r="K40" s="3">
        <f t="shared" si="24"/>
        <v>27844.955586517965</v>
      </c>
      <c r="W40" s="105"/>
    </row>
    <row r="41" spans="1:23">
      <c r="A41">
        <v>2022</v>
      </c>
      <c r="B41" s="3">
        <f t="shared" si="19"/>
        <v>30.642454642697771</v>
      </c>
      <c r="C41" s="3">
        <f t="shared" si="20"/>
        <v>26046.086446293106</v>
      </c>
      <c r="D41" s="3">
        <f t="shared" si="25"/>
        <v>2457.9300841435647</v>
      </c>
      <c r="E41">
        <v>23</v>
      </c>
      <c r="F41" s="3">
        <f t="shared" si="27"/>
        <v>5990.5998826474133</v>
      </c>
      <c r="G41" s="3">
        <f t="shared" si="28"/>
        <v>34494.616413084084</v>
      </c>
      <c r="H41" s="3">
        <f t="shared" si="29"/>
        <v>-2155.9135258177553</v>
      </c>
      <c r="I41" s="3">
        <f t="shared" si="26"/>
        <v>-4915.8601682871295</v>
      </c>
      <c r="J41" s="3">
        <f t="shared" si="23"/>
        <v>860.09677980554454</v>
      </c>
      <c r="K41" s="3">
        <f t="shared" si="24"/>
        <v>28282.939498784745</v>
      </c>
      <c r="W41" s="105"/>
    </row>
    <row r="42" spans="1:23">
      <c r="A42">
        <v>2023</v>
      </c>
      <c r="B42" s="3">
        <f t="shared" si="19"/>
        <v>30.361546257811007</v>
      </c>
      <c r="C42" s="3">
        <f t="shared" si="20"/>
        <v>25807.314319139354</v>
      </c>
      <c r="D42" s="3">
        <f t="shared" si="25"/>
        <v>2449.6014392501143</v>
      </c>
      <c r="E42">
        <v>23</v>
      </c>
      <c r="F42" s="3">
        <f t="shared" si="27"/>
        <v>5935.6822934020511</v>
      </c>
      <c r="G42" s="3">
        <f t="shared" si="28"/>
        <v>34192.598051791523</v>
      </c>
      <c r="H42" s="3">
        <f t="shared" si="29"/>
        <v>-2137.0373782369702</v>
      </c>
      <c r="I42" s="3">
        <f t="shared" si="26"/>
        <v>-4899.2028785002285</v>
      </c>
      <c r="J42" s="3">
        <f t="shared" si="23"/>
        <v>862.09565457997269</v>
      </c>
      <c r="K42" s="3">
        <f t="shared" si="24"/>
        <v>28018.453449634297</v>
      </c>
      <c r="W42" s="105"/>
    </row>
    <row r="43" spans="1:23">
      <c r="A43">
        <v>2024</v>
      </c>
      <c r="B43" s="3">
        <f t="shared" si="19"/>
        <v>29.275640447464834</v>
      </c>
      <c r="C43" s="3">
        <f t="shared" si="20"/>
        <v>24884.294380345105</v>
      </c>
      <c r="D43" s="3">
        <f t="shared" si="25"/>
        <v>2441.3010157964068</v>
      </c>
      <c r="E43">
        <v>23</v>
      </c>
      <c r="F43" s="3">
        <f t="shared" si="27"/>
        <v>5723.3877074793736</v>
      </c>
      <c r="G43" s="3">
        <f t="shared" si="28"/>
        <v>33048.983103620885</v>
      </c>
      <c r="H43" s="3">
        <f t="shared" si="29"/>
        <v>-2065.5614439763053</v>
      </c>
      <c r="I43" s="3">
        <f t="shared" si="26"/>
        <v>-4882.6020315928135</v>
      </c>
      <c r="J43" s="3">
        <f t="shared" si="23"/>
        <v>864.08775620886252</v>
      </c>
      <c r="K43" s="3">
        <f t="shared" si="24"/>
        <v>26964.907384260627</v>
      </c>
      <c r="W43" s="105"/>
    </row>
    <row r="44" spans="1:23">
      <c r="A44">
        <v>2025</v>
      </c>
      <c r="B44" s="3">
        <f t="shared" si="19"/>
        <v>28.343375828936317</v>
      </c>
      <c r="C44" s="3">
        <f t="shared" si="20"/>
        <v>24091.869454595868</v>
      </c>
      <c r="D44" s="3">
        <f t="shared" si="25"/>
        <v>2433.028718154681</v>
      </c>
      <c r="E44">
        <v>23</v>
      </c>
      <c r="F44" s="3">
        <f t="shared" si="27"/>
        <v>5541.1299745570495</v>
      </c>
      <c r="G44" s="3">
        <f t="shared" si="28"/>
        <v>32066.028147307599</v>
      </c>
      <c r="H44" s="3">
        <f t="shared" si="29"/>
        <v>-2004.126759206725</v>
      </c>
      <c r="I44" s="3">
        <f t="shared" si="26"/>
        <v>-4866.0574363093619</v>
      </c>
      <c r="J44" s="3">
        <f t="shared" si="23"/>
        <v>866.07310764287661</v>
      </c>
      <c r="K44" s="3">
        <f t="shared" si="24"/>
        <v>26061.917059434392</v>
      </c>
      <c r="W44" s="105"/>
    </row>
    <row r="45" spans="1:23">
      <c r="A45">
        <v>2026</v>
      </c>
      <c r="B45" s="3">
        <f t="shared" si="19"/>
        <v>27.812270474504896</v>
      </c>
      <c r="C45" s="3">
        <f t="shared" si="20"/>
        <v>23640.429903329161</v>
      </c>
      <c r="D45" s="3">
        <f t="shared" si="25"/>
        <v>2424.7844510212094</v>
      </c>
      <c r="E45">
        <v>23</v>
      </c>
      <c r="F45" s="3">
        <f t="shared" si="27"/>
        <v>5437.2988777657074</v>
      </c>
      <c r="G45" s="3">
        <f t="shared" si="28"/>
        <v>31502.513232116078</v>
      </c>
      <c r="H45" s="3">
        <f t="shared" si="29"/>
        <v>-1968.9070770072549</v>
      </c>
      <c r="I45" s="3">
        <f t="shared" si="26"/>
        <v>-4849.5689020424188</v>
      </c>
      <c r="J45" s="3">
        <f t="shared" si="23"/>
        <v>868.05173175490984</v>
      </c>
      <c r="K45" s="3">
        <f t="shared" si="24"/>
        <v>25552.088984821316</v>
      </c>
      <c r="W45" s="105"/>
    </row>
    <row r="46" spans="1:23">
      <c r="A46">
        <v>2027</v>
      </c>
      <c r="B46" s="3">
        <f t="shared" si="19"/>
        <v>27.281165120073478</v>
      </c>
      <c r="C46" s="3">
        <f t="shared" si="20"/>
        <v>23188.990352062454</v>
      </c>
      <c r="D46" s="3">
        <f t="shared" si="25"/>
        <v>2416.568119415198</v>
      </c>
      <c r="E46">
        <v>23</v>
      </c>
      <c r="F46" s="3">
        <f t="shared" si="27"/>
        <v>5333.4677809743644</v>
      </c>
      <c r="G46" s="3">
        <f t="shared" si="28"/>
        <v>30939.026252452015</v>
      </c>
      <c r="H46" s="3">
        <f t="shared" si="29"/>
        <v>-1933.6891407782509</v>
      </c>
      <c r="I46" s="3">
        <f t="shared" si="26"/>
        <v>-4833.136238830396</v>
      </c>
      <c r="J46" s="3">
        <f t="shared" si="23"/>
        <v>870.02365134035256</v>
      </c>
      <c r="K46" s="3">
        <f t="shared" si="24"/>
        <v>25042.224524183723</v>
      </c>
      <c r="W46" s="105"/>
    </row>
    <row r="47" spans="1:23">
      <c r="A47">
        <v>2028</v>
      </c>
      <c r="B47" s="3">
        <f t="shared" si="19"/>
        <v>26.683671596338133</v>
      </c>
      <c r="C47" s="3">
        <f t="shared" si="20"/>
        <v>22681.12085688741</v>
      </c>
      <c r="D47" s="3">
        <f t="shared" si="25"/>
        <v>2408.3796286776942</v>
      </c>
      <c r="E47">
        <v>23</v>
      </c>
      <c r="F47" s="3">
        <f t="shared" si="27"/>
        <v>5216.6577970841045</v>
      </c>
      <c r="G47" s="3">
        <f t="shared" si="28"/>
        <v>30306.158282649209</v>
      </c>
      <c r="H47" s="3">
        <f t="shared" si="29"/>
        <v>-1894.1348926655755</v>
      </c>
      <c r="I47" s="3">
        <f t="shared" si="26"/>
        <v>-4816.7592573553884</v>
      </c>
      <c r="J47" s="3">
        <f t="shared" si="23"/>
        <v>871.98888911735344</v>
      </c>
      <c r="K47" s="3">
        <f t="shared" si="24"/>
        <v>24467.253021745597</v>
      </c>
      <c r="W47" s="105"/>
    </row>
    <row r="48" spans="1:23">
      <c r="A48">
        <v>2029</v>
      </c>
      <c r="B48" s="3">
        <f t="shared" si="19"/>
        <v>26.152566241906715</v>
      </c>
      <c r="C48" s="3">
        <f t="shared" si="20"/>
        <v>22229.68130562071</v>
      </c>
      <c r="D48" s="3">
        <f t="shared" si="25"/>
        <v>2400.2188844704947</v>
      </c>
      <c r="E48">
        <v>23</v>
      </c>
      <c r="F48" s="3">
        <f t="shared" si="27"/>
        <v>5112.8267002927632</v>
      </c>
      <c r="G48" s="3">
        <f t="shared" si="28"/>
        <v>29742.726890383969</v>
      </c>
      <c r="H48" s="3">
        <f t="shared" si="29"/>
        <v>-1858.920430648998</v>
      </c>
      <c r="I48" s="3">
        <f t="shared" si="26"/>
        <v>-4800.4377689409894</v>
      </c>
      <c r="J48" s="3">
        <f t="shared" si="23"/>
        <v>873.94746772708129</v>
      </c>
      <c r="K48" s="3">
        <f t="shared" si="24"/>
        <v>23957.316158521062</v>
      </c>
      <c r="W48" s="105"/>
    </row>
    <row r="49" spans="1:23">
      <c r="A49">
        <v>2030</v>
      </c>
      <c r="B49" s="3">
        <f t="shared" si="19"/>
        <v>25.55507271817137</v>
      </c>
      <c r="C49" s="3">
        <f t="shared" si="20"/>
        <v>21721.811810445666</v>
      </c>
      <c r="D49" s="3">
        <f t="shared" si="25"/>
        <v>2392.0857927750599</v>
      </c>
      <c r="E49">
        <v>23</v>
      </c>
      <c r="F49" s="3">
        <f t="shared" si="27"/>
        <v>4996.0167164025033</v>
      </c>
      <c r="G49" s="3">
        <f t="shared" si="28"/>
        <v>29109.914319623229</v>
      </c>
      <c r="H49" s="3">
        <f t="shared" si="29"/>
        <v>-1819.3696449764518</v>
      </c>
      <c r="I49" s="3">
        <f t="shared" si="26"/>
        <v>-4784.1715855501197</v>
      </c>
      <c r="J49" s="3">
        <f t="shared" si="23"/>
        <v>875.89940973398575</v>
      </c>
      <c r="K49" s="3">
        <f t="shared" si="24"/>
        <v>23382.272498830644</v>
      </c>
      <c r="W49" s="105"/>
    </row>
    <row r="50" spans="1:23">
      <c r="W50" s="167"/>
    </row>
    <row r="51" spans="1:23">
      <c r="A51" t="s">
        <v>716</v>
      </c>
      <c r="B51" t="s">
        <v>1395</v>
      </c>
      <c r="C51" t="s">
        <v>709</v>
      </c>
      <c r="D51" t="s">
        <v>709</v>
      </c>
      <c r="E51" t="s">
        <v>498</v>
      </c>
      <c r="F51" t="s">
        <v>709</v>
      </c>
      <c r="G51" t="s">
        <v>709</v>
      </c>
    </row>
    <row r="52" spans="1:23">
      <c r="B52" t="s">
        <v>724</v>
      </c>
      <c r="C52" t="s">
        <v>724</v>
      </c>
      <c r="D52" t="s">
        <v>766</v>
      </c>
      <c r="E52" t="s">
        <v>714</v>
      </c>
      <c r="F52" t="s">
        <v>728</v>
      </c>
      <c r="G52" t="s">
        <v>725</v>
      </c>
    </row>
    <row r="53" spans="1:23">
      <c r="A53">
        <v>2009</v>
      </c>
      <c r="B53" s="3">
        <f t="shared" ref="B53:B74" si="30">U3</f>
        <v>23</v>
      </c>
      <c r="C53" s="3">
        <f t="shared" ref="C53:C74" si="31">B53*AD3*1000</f>
        <v>16556.415833333336</v>
      </c>
      <c r="D53" s="61">
        <f>C53*0.25</f>
        <v>4139.103958333334</v>
      </c>
      <c r="E53" s="3">
        <v>20.925000000000001</v>
      </c>
      <c r="F53" s="3">
        <f>(C53)*E53/100</f>
        <v>3464.4300131250011</v>
      </c>
      <c r="G53" s="3">
        <f t="shared" ref="G53:G74" si="32">C53+F53+D53</f>
        <v>24159.949804791671</v>
      </c>
      <c r="H53" s="3"/>
    </row>
    <row r="54" spans="1:23">
      <c r="A54">
        <v>2010</v>
      </c>
      <c r="B54" s="3">
        <f t="shared" si="30"/>
        <v>23</v>
      </c>
      <c r="C54" s="3">
        <f t="shared" si="31"/>
        <v>17449.439728968322</v>
      </c>
      <c r="D54" s="61">
        <f t="shared" ref="D54:D74" si="33">C54*0.25</f>
        <v>4362.3599322420805</v>
      </c>
      <c r="E54" s="3">
        <v>20.925000000000001</v>
      </c>
      <c r="F54" s="3">
        <f t="shared" ref="F54:F61" si="34">(C54)*E54/100</f>
        <v>3651.2952632866218</v>
      </c>
      <c r="G54" s="3">
        <f t="shared" si="32"/>
        <v>25463.094924497025</v>
      </c>
      <c r="H54" s="3"/>
    </row>
    <row r="55" spans="1:23">
      <c r="A55">
        <v>2011</v>
      </c>
      <c r="B55" s="3">
        <f t="shared" si="30"/>
        <v>23</v>
      </c>
      <c r="C55" s="3">
        <f t="shared" si="31"/>
        <v>16455.145298324001</v>
      </c>
      <c r="D55" s="61">
        <f t="shared" si="33"/>
        <v>4113.7863245810004</v>
      </c>
      <c r="E55" s="3">
        <v>20.925000000000001</v>
      </c>
      <c r="F55" s="3">
        <f t="shared" si="34"/>
        <v>3443.2391536742971</v>
      </c>
      <c r="G55" s="3">
        <f t="shared" si="32"/>
        <v>24012.1707765793</v>
      </c>
      <c r="H55" s="3"/>
    </row>
    <row r="56" spans="1:23">
      <c r="A56">
        <v>2012</v>
      </c>
      <c r="B56" s="3">
        <f t="shared" si="30"/>
        <v>23</v>
      </c>
      <c r="C56" s="3">
        <f t="shared" si="31"/>
        <v>17799.687274476786</v>
      </c>
      <c r="D56" s="61">
        <f t="shared" si="33"/>
        <v>4449.9218186191965</v>
      </c>
      <c r="E56">
        <v>23</v>
      </c>
      <c r="F56" s="3">
        <f t="shared" si="34"/>
        <v>4093.9280731296608</v>
      </c>
      <c r="G56" s="3">
        <f t="shared" si="32"/>
        <v>26343.537166225644</v>
      </c>
      <c r="H56" s="3"/>
    </row>
    <row r="57" spans="1:23">
      <c r="A57">
        <v>2013</v>
      </c>
      <c r="B57" s="3">
        <f t="shared" si="30"/>
        <v>23</v>
      </c>
      <c r="C57" s="3">
        <f t="shared" si="31"/>
        <v>17288.381580660563</v>
      </c>
      <c r="D57" s="61">
        <f t="shared" si="33"/>
        <v>4322.0953951651409</v>
      </c>
      <c r="E57">
        <v>23</v>
      </c>
      <c r="F57" s="3">
        <f t="shared" si="34"/>
        <v>3976.3277635519294</v>
      </c>
      <c r="G57" s="3">
        <f t="shared" si="32"/>
        <v>25586.804739377636</v>
      </c>
      <c r="H57" s="3"/>
    </row>
    <row r="58" spans="1:23">
      <c r="A58">
        <v>2014</v>
      </c>
      <c r="B58" s="3">
        <f t="shared" si="30"/>
        <v>23</v>
      </c>
      <c r="C58" s="3">
        <f t="shared" si="31"/>
        <v>17419.920281794584</v>
      </c>
      <c r="D58" s="61">
        <f t="shared" si="33"/>
        <v>4354.9800704486461</v>
      </c>
      <c r="E58">
        <v>23</v>
      </c>
      <c r="F58" s="3">
        <f t="shared" si="34"/>
        <v>4006.5816648127548</v>
      </c>
      <c r="G58" s="3">
        <f t="shared" si="32"/>
        <v>25781.482017055983</v>
      </c>
    </row>
    <row r="59" spans="1:23">
      <c r="A59">
        <v>2015</v>
      </c>
      <c r="B59" s="3">
        <f t="shared" si="30"/>
        <v>23</v>
      </c>
      <c r="C59" s="3">
        <f t="shared" si="31"/>
        <v>20836.287927839425</v>
      </c>
      <c r="D59" s="61">
        <f t="shared" si="33"/>
        <v>5209.0719819598562</v>
      </c>
      <c r="E59">
        <v>23</v>
      </c>
      <c r="F59" s="3">
        <f t="shared" si="34"/>
        <v>4792.3462234030676</v>
      </c>
      <c r="G59" s="3">
        <f t="shared" si="32"/>
        <v>30837.706133202348</v>
      </c>
      <c r="H59" s="3"/>
    </row>
    <row r="60" spans="1:23">
      <c r="A60">
        <v>2016</v>
      </c>
      <c r="B60" s="3">
        <f t="shared" si="30"/>
        <v>23</v>
      </c>
      <c r="C60" s="3">
        <f t="shared" si="31"/>
        <v>20855.182773038596</v>
      </c>
      <c r="D60" s="61">
        <f t="shared" si="33"/>
        <v>5213.7956932596489</v>
      </c>
      <c r="E60">
        <v>23</v>
      </c>
      <c r="F60" s="3">
        <f t="shared" si="34"/>
        <v>4796.6920377988772</v>
      </c>
      <c r="G60" s="3">
        <f t="shared" si="32"/>
        <v>30865.670504097121</v>
      </c>
      <c r="H60" s="3"/>
    </row>
    <row r="61" spans="1:23">
      <c r="A61">
        <v>2017</v>
      </c>
      <c r="B61" s="3">
        <f t="shared" si="30"/>
        <v>23</v>
      </c>
      <c r="C61" s="3">
        <f t="shared" si="31"/>
        <v>20287.536024615922</v>
      </c>
      <c r="D61" s="61">
        <f t="shared" si="33"/>
        <v>5071.8840061539804</v>
      </c>
      <c r="E61">
        <v>23</v>
      </c>
      <c r="F61" s="3">
        <f t="shared" si="34"/>
        <v>4666.1332856616618</v>
      </c>
      <c r="G61" s="3">
        <f t="shared" si="32"/>
        <v>30025.553316431564</v>
      </c>
      <c r="H61" s="3"/>
      <c r="N61" s="3"/>
    </row>
    <row r="62" spans="1:23">
      <c r="A62">
        <v>2018</v>
      </c>
      <c r="B62" s="3">
        <f t="shared" si="30"/>
        <v>23</v>
      </c>
      <c r="C62" s="3">
        <f t="shared" si="31"/>
        <v>19550</v>
      </c>
      <c r="D62" s="61">
        <f t="shared" si="33"/>
        <v>4887.5</v>
      </c>
      <c r="E62" s="33">
        <v>23</v>
      </c>
      <c r="F62" s="3">
        <f>(C62)*E62/100</f>
        <v>4496.5</v>
      </c>
      <c r="G62" s="3">
        <f t="shared" si="32"/>
        <v>28934</v>
      </c>
      <c r="H62" s="3"/>
    </row>
    <row r="63" spans="1:23">
      <c r="A63">
        <v>2019</v>
      </c>
      <c r="B63" s="3">
        <f t="shared" si="30"/>
        <v>23</v>
      </c>
      <c r="C63" s="3">
        <f t="shared" si="31"/>
        <v>19550</v>
      </c>
      <c r="D63" s="61">
        <f t="shared" si="33"/>
        <v>4887.5</v>
      </c>
      <c r="E63" s="33">
        <v>23</v>
      </c>
      <c r="F63" s="3">
        <f t="shared" ref="F63:F74" si="35">(C63)*E63/100</f>
        <v>4496.5</v>
      </c>
      <c r="G63" s="3">
        <f t="shared" si="32"/>
        <v>28934</v>
      </c>
    </row>
    <row r="64" spans="1:23">
      <c r="A64">
        <v>2020</v>
      </c>
      <c r="B64" s="3">
        <f t="shared" si="30"/>
        <v>23</v>
      </c>
      <c r="C64" s="3">
        <f t="shared" si="31"/>
        <v>19550</v>
      </c>
      <c r="D64" s="61">
        <f t="shared" si="33"/>
        <v>4887.5</v>
      </c>
      <c r="E64" s="33">
        <v>23</v>
      </c>
      <c r="F64" s="3">
        <f t="shared" si="35"/>
        <v>4496.5</v>
      </c>
      <c r="G64" s="3">
        <f t="shared" si="32"/>
        <v>28934</v>
      </c>
    </row>
    <row r="65" spans="1:29">
      <c r="A65">
        <v>2021</v>
      </c>
      <c r="B65" s="3">
        <f t="shared" si="30"/>
        <v>23</v>
      </c>
      <c r="C65" s="3">
        <f t="shared" si="31"/>
        <v>19550</v>
      </c>
      <c r="D65" s="61">
        <f t="shared" si="33"/>
        <v>4887.5</v>
      </c>
      <c r="E65" s="33">
        <v>23</v>
      </c>
      <c r="F65" s="3">
        <f t="shared" si="35"/>
        <v>4496.5</v>
      </c>
      <c r="G65" s="3">
        <f t="shared" si="32"/>
        <v>28934</v>
      </c>
    </row>
    <row r="66" spans="1:29">
      <c r="A66">
        <v>2022</v>
      </c>
      <c r="B66" s="3">
        <f t="shared" si="30"/>
        <v>23</v>
      </c>
      <c r="C66" s="3">
        <f t="shared" si="31"/>
        <v>19550</v>
      </c>
      <c r="D66" s="61">
        <f t="shared" si="33"/>
        <v>4887.5</v>
      </c>
      <c r="E66" s="33">
        <v>23</v>
      </c>
      <c r="F66" s="3">
        <f t="shared" si="35"/>
        <v>4496.5</v>
      </c>
      <c r="G66" s="3">
        <f t="shared" si="32"/>
        <v>28934</v>
      </c>
    </row>
    <row r="67" spans="1:29">
      <c r="A67">
        <v>2023</v>
      </c>
      <c r="B67" s="3">
        <f t="shared" si="30"/>
        <v>23</v>
      </c>
      <c r="C67" s="3">
        <f t="shared" si="31"/>
        <v>19550</v>
      </c>
      <c r="D67" s="61">
        <f t="shared" si="33"/>
        <v>4887.5</v>
      </c>
      <c r="E67" s="33">
        <v>23</v>
      </c>
      <c r="F67" s="3">
        <f t="shared" si="35"/>
        <v>4496.5</v>
      </c>
      <c r="G67" s="3">
        <f t="shared" si="32"/>
        <v>28934</v>
      </c>
    </row>
    <row r="68" spans="1:29">
      <c r="A68">
        <v>2024</v>
      </c>
      <c r="B68" s="3">
        <f t="shared" si="30"/>
        <v>23</v>
      </c>
      <c r="C68" s="3">
        <f t="shared" si="31"/>
        <v>19550</v>
      </c>
      <c r="D68" s="61">
        <f t="shared" si="33"/>
        <v>4887.5</v>
      </c>
      <c r="E68" s="33">
        <v>23</v>
      </c>
      <c r="F68" s="3">
        <f t="shared" si="35"/>
        <v>4496.5</v>
      </c>
      <c r="G68" s="3">
        <f t="shared" si="32"/>
        <v>28934</v>
      </c>
    </row>
    <row r="69" spans="1:29">
      <c r="A69">
        <v>2025</v>
      </c>
      <c r="B69" s="3">
        <f t="shared" si="30"/>
        <v>23</v>
      </c>
      <c r="C69" s="3">
        <f t="shared" si="31"/>
        <v>19550</v>
      </c>
      <c r="D69" s="61">
        <f t="shared" si="33"/>
        <v>4887.5</v>
      </c>
      <c r="E69" s="33">
        <v>23</v>
      </c>
      <c r="F69" s="3">
        <f t="shared" si="35"/>
        <v>4496.5</v>
      </c>
      <c r="G69" s="3">
        <f t="shared" si="32"/>
        <v>28934</v>
      </c>
    </row>
    <row r="70" spans="1:29">
      <c r="A70">
        <v>2026</v>
      </c>
      <c r="B70" s="3">
        <f t="shared" si="30"/>
        <v>23</v>
      </c>
      <c r="C70" s="3">
        <f t="shared" si="31"/>
        <v>19550</v>
      </c>
      <c r="D70" s="61">
        <f t="shared" si="33"/>
        <v>4887.5</v>
      </c>
      <c r="E70" s="33">
        <v>23</v>
      </c>
      <c r="F70" s="3">
        <f t="shared" si="35"/>
        <v>4496.5</v>
      </c>
      <c r="G70" s="3">
        <f t="shared" si="32"/>
        <v>28934</v>
      </c>
    </row>
    <row r="71" spans="1:29">
      <c r="A71">
        <v>2027</v>
      </c>
      <c r="B71" s="3">
        <f t="shared" si="30"/>
        <v>23</v>
      </c>
      <c r="C71" s="3">
        <f t="shared" si="31"/>
        <v>19550</v>
      </c>
      <c r="D71" s="61">
        <f t="shared" si="33"/>
        <v>4887.5</v>
      </c>
      <c r="E71" s="33">
        <v>23</v>
      </c>
      <c r="F71" s="3">
        <f t="shared" si="35"/>
        <v>4496.5</v>
      </c>
      <c r="G71" s="3">
        <f t="shared" si="32"/>
        <v>28934</v>
      </c>
    </row>
    <row r="72" spans="1:29">
      <c r="A72">
        <v>2028</v>
      </c>
      <c r="B72" s="3">
        <f t="shared" si="30"/>
        <v>23</v>
      </c>
      <c r="C72" s="3">
        <f t="shared" si="31"/>
        <v>19550</v>
      </c>
      <c r="D72" s="61">
        <f t="shared" si="33"/>
        <v>4887.5</v>
      </c>
      <c r="E72" s="33">
        <v>23</v>
      </c>
      <c r="F72" s="3">
        <f t="shared" si="35"/>
        <v>4496.5</v>
      </c>
      <c r="G72" s="3">
        <f t="shared" si="32"/>
        <v>28934</v>
      </c>
    </row>
    <row r="73" spans="1:29">
      <c r="A73">
        <v>2029</v>
      </c>
      <c r="B73" s="3">
        <f t="shared" si="30"/>
        <v>23</v>
      </c>
      <c r="C73" s="3">
        <f t="shared" si="31"/>
        <v>19550</v>
      </c>
      <c r="D73" s="61">
        <f t="shared" si="33"/>
        <v>4887.5</v>
      </c>
      <c r="E73" s="33">
        <v>23</v>
      </c>
      <c r="F73" s="3">
        <f t="shared" si="35"/>
        <v>4496.5</v>
      </c>
      <c r="G73" s="3">
        <f t="shared" si="32"/>
        <v>28934</v>
      </c>
    </row>
    <row r="74" spans="1:29">
      <c r="A74">
        <v>2030</v>
      </c>
      <c r="B74" s="3">
        <f t="shared" si="30"/>
        <v>23</v>
      </c>
      <c r="C74" s="3">
        <f t="shared" si="31"/>
        <v>19550</v>
      </c>
      <c r="D74" s="61">
        <f t="shared" si="33"/>
        <v>4887.5</v>
      </c>
      <c r="E74" s="33">
        <v>23</v>
      </c>
      <c r="F74" s="3">
        <f t="shared" si="35"/>
        <v>4496.5</v>
      </c>
      <c r="G74" s="3">
        <f t="shared" si="32"/>
        <v>28934</v>
      </c>
    </row>
    <row r="75" spans="1:29">
      <c r="D75" s="61"/>
    </row>
    <row r="78" spans="1:29">
      <c r="Z78" s="87" t="s">
        <v>1223</v>
      </c>
      <c r="AA78" s="87"/>
      <c r="AB78" s="87"/>
      <c r="AC78" s="234"/>
    </row>
    <row r="79" spans="1:29">
      <c r="Z79" s="235" t="s">
        <v>1167</v>
      </c>
      <c r="AA79" s="235" t="s">
        <v>1168</v>
      </c>
      <c r="AB79" s="235" t="s">
        <v>1169</v>
      </c>
      <c r="AC79" s="235" t="s">
        <v>1170</v>
      </c>
    </row>
    <row r="80" spans="1:29">
      <c r="B80" t="s">
        <v>980</v>
      </c>
      <c r="C80" t="s">
        <v>980</v>
      </c>
      <c r="D80" t="s">
        <v>980</v>
      </c>
      <c r="E80" t="s">
        <v>980</v>
      </c>
      <c r="F80" t="s">
        <v>980</v>
      </c>
      <c r="J80" t="s">
        <v>812</v>
      </c>
      <c r="K80" t="s">
        <v>812</v>
      </c>
      <c r="L80" t="s">
        <v>812</v>
      </c>
      <c r="M80" t="s">
        <v>812</v>
      </c>
      <c r="N80" t="s">
        <v>812</v>
      </c>
      <c r="U80" t="s">
        <v>1042</v>
      </c>
      <c r="Y80" s="3">
        <v>2010</v>
      </c>
      <c r="Z80" s="13">
        <v>1.3667189382467491</v>
      </c>
      <c r="AA80" s="13">
        <f t="shared" ref="AA80:AC80" si="36">Z80</f>
        <v>1.3667189382467491</v>
      </c>
      <c r="AB80" s="13">
        <f t="shared" si="36"/>
        <v>1.3667189382467491</v>
      </c>
      <c r="AC80" s="13">
        <f t="shared" si="36"/>
        <v>1.3667189382467491</v>
      </c>
    </row>
    <row r="81" spans="1:29">
      <c r="B81" t="s">
        <v>978</v>
      </c>
      <c r="C81" t="s">
        <v>979</v>
      </c>
      <c r="D81" t="s">
        <v>916</v>
      </c>
      <c r="E81" t="s">
        <v>981</v>
      </c>
      <c r="F81" t="s">
        <v>983</v>
      </c>
      <c r="J81" t="s">
        <v>725</v>
      </c>
      <c r="K81" t="s">
        <v>979</v>
      </c>
      <c r="L81" t="s">
        <v>916</v>
      </c>
      <c r="M81" t="s">
        <v>985</v>
      </c>
      <c r="N81" t="s">
        <v>983</v>
      </c>
      <c r="R81" t="s">
        <v>997</v>
      </c>
      <c r="U81" t="s">
        <v>934</v>
      </c>
      <c r="V81" t="s">
        <v>986</v>
      </c>
      <c r="W81" t="s">
        <v>987</v>
      </c>
      <c r="Y81" s="3">
        <v>2011</v>
      </c>
      <c r="Z81" s="13">
        <v>1.5177904275942273</v>
      </c>
      <c r="AA81" s="13">
        <f t="shared" ref="AA81:AC81" si="37">Z81</f>
        <v>1.5177904275942273</v>
      </c>
      <c r="AB81" s="13">
        <f t="shared" si="37"/>
        <v>1.5177904275942273</v>
      </c>
      <c r="AC81" s="13">
        <f t="shared" si="37"/>
        <v>1.5177904275942273</v>
      </c>
    </row>
    <row r="82" spans="1:29">
      <c r="A82" s="3">
        <v>2012</v>
      </c>
      <c r="B82" s="3">
        <f t="shared" ref="B82:B100" si="38">MIN(K6,K31)</f>
        <v>26097.080754460316</v>
      </c>
      <c r="C82" s="3">
        <f>B82/5</f>
        <v>5219.4161508920633</v>
      </c>
      <c r="D82" s="3">
        <f>B82*0.13</f>
        <v>3392.6204980798411</v>
      </c>
      <c r="E82" s="3">
        <v>0</v>
      </c>
      <c r="F82" s="3">
        <f>C82+D82-E82</f>
        <v>8612.0366489719054</v>
      </c>
      <c r="G82" s="3"/>
      <c r="H82" s="3"/>
      <c r="I82" s="3">
        <v>2012</v>
      </c>
      <c r="J82" s="3">
        <f>G56</f>
        <v>26343.537166225644</v>
      </c>
      <c r="K82" s="3">
        <f>J82/5</f>
        <v>5268.7074332451284</v>
      </c>
      <c r="L82" s="3">
        <f>J82*0.13</f>
        <v>3424.6598316093337</v>
      </c>
      <c r="M82" s="3">
        <f t="shared" ref="M82:M100" si="39">W82/100*V82*U82</f>
        <v>1378.2244054191001</v>
      </c>
      <c r="N82" s="3">
        <f t="shared" ref="N82:N100" si="40">SUM(K82:M82)</f>
        <v>10071.591670273561</v>
      </c>
      <c r="O82" s="3"/>
      <c r="P82" s="3"/>
      <c r="Q82" s="3">
        <v>2012</v>
      </c>
      <c r="R82" s="13">
        <f t="shared" ref="R82:R87" si="41">N82/F82</f>
        <v>1.1694784962945897</v>
      </c>
      <c r="T82" s="3"/>
      <c r="U82" s="13">
        <f>AB82</f>
        <v>1.6279634422628591</v>
      </c>
      <c r="V82" s="12">
        <f>'Country L per 100 km'!L7</f>
        <v>5.643961322634194</v>
      </c>
      <c r="W82" s="3">
        <f>'Country distance travelled'!L7</f>
        <v>15000</v>
      </c>
      <c r="Y82" s="3">
        <v>2012</v>
      </c>
      <c r="Z82" s="13">
        <v>1.6279634422628591</v>
      </c>
      <c r="AA82" s="13">
        <f t="shared" ref="AA82:AC82" si="42">Z82</f>
        <v>1.6279634422628591</v>
      </c>
      <c r="AB82" s="13">
        <f t="shared" si="42"/>
        <v>1.6279634422628591</v>
      </c>
      <c r="AC82" s="13">
        <f t="shared" si="42"/>
        <v>1.6279634422628591</v>
      </c>
    </row>
    <row r="83" spans="1:29">
      <c r="A83" s="3">
        <v>2013</v>
      </c>
      <c r="B83" s="3">
        <f t="shared" si="38"/>
        <v>25471.105278656429</v>
      </c>
      <c r="C83" s="3">
        <f t="shared" ref="C83:C100" si="43">B83/5</f>
        <v>5094.2210557312856</v>
      </c>
      <c r="D83" s="3">
        <f t="shared" ref="D83:D100" si="44">B83*0.13</f>
        <v>3311.2436862253358</v>
      </c>
      <c r="E83" s="3">
        <v>0</v>
      </c>
      <c r="F83" s="3">
        <f t="shared" ref="F83:F100" si="45">C83+D83-E83</f>
        <v>8405.4647419566209</v>
      </c>
      <c r="G83" s="3"/>
      <c r="H83" s="3"/>
      <c r="I83" s="3">
        <v>2013</v>
      </c>
      <c r="J83" s="3">
        <f t="shared" ref="J83:J100" si="46">G57</f>
        <v>25586.804739377636</v>
      </c>
      <c r="K83" s="3">
        <f t="shared" ref="K83:K100" si="47">J83/5</f>
        <v>5117.360947875527</v>
      </c>
      <c r="L83" s="3">
        <f t="shared" ref="L83:L100" si="48">J83*0.13</f>
        <v>3326.2846161190928</v>
      </c>
      <c r="M83" s="3">
        <f t="shared" si="39"/>
        <v>1337.2014204889028</v>
      </c>
      <c r="N83" s="3">
        <f t="shared" si="40"/>
        <v>9780.8469844835236</v>
      </c>
      <c r="O83" s="3"/>
      <c r="P83" s="3"/>
      <c r="Q83" s="3">
        <v>2013</v>
      </c>
      <c r="R83" s="13">
        <f t="shared" si="41"/>
        <v>1.1636295296869856</v>
      </c>
      <c r="T83" s="3"/>
      <c r="U83" s="13">
        <f t="shared" ref="U83:U100" si="49">AB83</f>
        <v>1.5919064529629796</v>
      </c>
      <c r="V83" s="12">
        <f>'Country L per 100 km'!L8</f>
        <v>5.6</v>
      </c>
      <c r="W83" s="3">
        <f>'Country distance travelled'!L8</f>
        <v>15000</v>
      </c>
      <c r="Y83" s="3">
        <v>2013</v>
      </c>
      <c r="Z83" s="13">
        <v>1.5919064529629796</v>
      </c>
      <c r="AA83" s="13">
        <f t="shared" ref="AA83:AC83" si="50">Z83</f>
        <v>1.5919064529629796</v>
      </c>
      <c r="AB83" s="13">
        <f t="shared" si="50"/>
        <v>1.5919064529629796</v>
      </c>
      <c r="AC83" s="13">
        <f t="shared" si="50"/>
        <v>1.5919064529629796</v>
      </c>
    </row>
    <row r="84" spans="1:29">
      <c r="A84" s="3">
        <v>2014</v>
      </c>
      <c r="B84" s="3">
        <f t="shared" si="38"/>
        <v>28443.388269219144</v>
      </c>
      <c r="C84" s="3">
        <f t="shared" si="43"/>
        <v>5688.6776538438289</v>
      </c>
      <c r="D84" s="3">
        <f t="shared" si="44"/>
        <v>3697.640474998489</v>
      </c>
      <c r="E84" s="3">
        <v>0</v>
      </c>
      <c r="F84" s="3">
        <f t="shared" si="45"/>
        <v>9386.3181288423184</v>
      </c>
      <c r="G84" s="3"/>
      <c r="H84" s="3"/>
      <c r="I84" s="3">
        <v>2014</v>
      </c>
      <c r="J84" s="3">
        <f t="shared" si="46"/>
        <v>25781.482017055983</v>
      </c>
      <c r="K84" s="3">
        <f t="shared" si="47"/>
        <v>5156.2964034111965</v>
      </c>
      <c r="L84" s="3">
        <f t="shared" si="48"/>
        <v>3351.5926622172778</v>
      </c>
      <c r="M84" s="3">
        <f t="shared" si="39"/>
        <v>1270.4036766413794</v>
      </c>
      <c r="N84" s="3">
        <f t="shared" si="40"/>
        <v>9778.292742269854</v>
      </c>
      <c r="O84" s="3"/>
      <c r="P84" s="3"/>
      <c r="Q84" s="3">
        <v>2014</v>
      </c>
      <c r="R84" s="13">
        <f t="shared" si="41"/>
        <v>1.0417602097059842</v>
      </c>
      <c r="T84" s="3"/>
      <c r="U84" s="13">
        <f t="shared" si="49"/>
        <v>1.5305339532869953</v>
      </c>
      <c r="V84" s="12">
        <f>'Country L per 100 km'!L9</f>
        <v>5.5335968379446632</v>
      </c>
      <c r="W84" s="3">
        <f>'Country distance travelled'!L9</f>
        <v>15000</v>
      </c>
      <c r="Y84" s="3">
        <v>2014</v>
      </c>
      <c r="Z84" s="13">
        <v>1.5305339532869953</v>
      </c>
      <c r="AA84" s="13">
        <f t="shared" ref="AA84:AC84" si="51">Z84</f>
        <v>1.5305339532869953</v>
      </c>
      <c r="AB84" s="13">
        <f t="shared" si="51"/>
        <v>1.5305339532869953</v>
      </c>
      <c r="AC84" s="13">
        <f t="shared" si="51"/>
        <v>1.5305339532869953</v>
      </c>
    </row>
    <row r="85" spans="1:29">
      <c r="A85" s="3">
        <v>2015</v>
      </c>
      <c r="B85" s="3">
        <f t="shared" si="38"/>
        <v>31037.054956350883</v>
      </c>
      <c r="C85" s="3">
        <f t="shared" si="43"/>
        <v>6207.410991270177</v>
      </c>
      <c r="D85" s="3">
        <f t="shared" si="44"/>
        <v>4034.8171443256151</v>
      </c>
      <c r="E85" s="3">
        <v>0</v>
      </c>
      <c r="F85" s="3">
        <f t="shared" si="45"/>
        <v>10242.228135595793</v>
      </c>
      <c r="G85" s="3"/>
      <c r="H85" s="3"/>
      <c r="I85" s="3">
        <v>2015</v>
      </c>
      <c r="J85" s="3">
        <f t="shared" si="46"/>
        <v>30837.706133202348</v>
      </c>
      <c r="K85" s="3">
        <f t="shared" si="47"/>
        <v>6167.5412266404692</v>
      </c>
      <c r="L85" s="3">
        <f t="shared" si="48"/>
        <v>4008.9017973163054</v>
      </c>
      <c r="M85" s="3">
        <f t="shared" si="39"/>
        <v>1127.7820105323656</v>
      </c>
      <c r="N85" s="3">
        <f t="shared" si="40"/>
        <v>11304.22503448914</v>
      </c>
      <c r="O85" s="3"/>
      <c r="P85" s="3"/>
      <c r="Q85" s="3">
        <v>2015</v>
      </c>
      <c r="R85" s="13">
        <f t="shared" si="41"/>
        <v>1.1036880730280247</v>
      </c>
      <c r="T85" s="3"/>
      <c r="U85" s="13">
        <f t="shared" si="49"/>
        <v>1.3736546000000001</v>
      </c>
      <c r="V85" s="12">
        <f>'Country L per 100 km'!L10</f>
        <v>5.4733895528631695</v>
      </c>
      <c r="W85" s="3">
        <f>'Country distance travelled'!L10</f>
        <v>15000</v>
      </c>
      <c r="Y85" s="3">
        <v>2015</v>
      </c>
      <c r="Z85" s="13">
        <v>1.3736546000000001</v>
      </c>
      <c r="AA85" s="13">
        <f t="shared" ref="AA85:AC85" si="52">Z85</f>
        <v>1.3736546000000001</v>
      </c>
      <c r="AB85" s="13">
        <f t="shared" si="52"/>
        <v>1.3736546000000001</v>
      </c>
      <c r="AC85" s="13">
        <f t="shared" si="52"/>
        <v>1.3736546000000001</v>
      </c>
    </row>
    <row r="86" spans="1:29">
      <c r="A86" s="3">
        <v>2016</v>
      </c>
      <c r="B86" s="3">
        <f t="shared" si="38"/>
        <v>31073.530222735368</v>
      </c>
      <c r="C86" s="3">
        <f t="shared" si="43"/>
        <v>6214.7060445470734</v>
      </c>
      <c r="D86" s="3">
        <f t="shared" si="44"/>
        <v>4039.5589289555978</v>
      </c>
      <c r="E86" s="3">
        <v>0</v>
      </c>
      <c r="F86" s="3">
        <f t="shared" si="45"/>
        <v>10254.264973502672</v>
      </c>
      <c r="G86" s="3"/>
      <c r="H86" s="3"/>
      <c r="I86" s="3">
        <v>2016</v>
      </c>
      <c r="J86" s="3">
        <f t="shared" si="46"/>
        <v>30865.670504097121</v>
      </c>
      <c r="K86" s="3">
        <f t="shared" si="47"/>
        <v>6173.134100819424</v>
      </c>
      <c r="L86" s="3">
        <f t="shared" si="48"/>
        <v>4012.5371655326257</v>
      </c>
      <c r="M86" s="3">
        <f t="shared" si="39"/>
        <v>1046.4851988437135</v>
      </c>
      <c r="N86" s="3">
        <f t="shared" si="40"/>
        <v>11232.156465195763</v>
      </c>
      <c r="O86" s="3"/>
      <c r="P86" s="3"/>
      <c r="Q86" s="3">
        <v>2016</v>
      </c>
      <c r="R86" s="13">
        <f t="shared" si="41"/>
        <v>1.0953643673359321</v>
      </c>
      <c r="T86" s="3"/>
      <c r="U86" s="13">
        <f t="shared" si="49"/>
        <v>1.2873802612</v>
      </c>
      <c r="V86" s="12">
        <f>'Country L per 100 km'!L11</f>
        <v>5.4191975770922465</v>
      </c>
      <c r="W86" s="3">
        <f>'Country distance travelled'!L11</f>
        <v>15000</v>
      </c>
      <c r="Y86" s="3">
        <v>2016</v>
      </c>
      <c r="Z86" s="13">
        <v>1.2873802612</v>
      </c>
      <c r="AA86" s="13">
        <f t="shared" ref="AA86:AC86" si="53">Z86</f>
        <v>1.2873802612</v>
      </c>
      <c r="AB86" s="13">
        <f t="shared" si="53"/>
        <v>1.2873802612</v>
      </c>
      <c r="AC86" s="13">
        <f t="shared" si="53"/>
        <v>1.2873802612</v>
      </c>
    </row>
    <row r="87" spans="1:29">
      <c r="A87" s="3">
        <v>2017</v>
      </c>
      <c r="B87" s="3">
        <f t="shared" si="38"/>
        <v>30013.765195345513</v>
      </c>
      <c r="C87" s="3">
        <f t="shared" si="43"/>
        <v>6002.7530390691027</v>
      </c>
      <c r="D87" s="3">
        <f t="shared" si="44"/>
        <v>3901.7894753949167</v>
      </c>
      <c r="E87" s="3">
        <v>0</v>
      </c>
      <c r="F87" s="3">
        <f t="shared" si="45"/>
        <v>9904.5425144640194</v>
      </c>
      <c r="G87" s="3"/>
      <c r="H87" s="3"/>
      <c r="I87" s="3">
        <v>2017</v>
      </c>
      <c r="J87" s="3">
        <f t="shared" si="46"/>
        <v>30025.553316431564</v>
      </c>
      <c r="K87" s="3">
        <f t="shared" si="47"/>
        <v>6005.110663286313</v>
      </c>
      <c r="L87" s="3">
        <f t="shared" si="48"/>
        <v>3903.3219311361036</v>
      </c>
      <c r="M87" s="3">
        <f t="shared" si="39"/>
        <v>1097.6289587581796</v>
      </c>
      <c r="N87" s="3">
        <f t="shared" si="40"/>
        <v>11006.061553180596</v>
      </c>
      <c r="O87" s="3"/>
      <c r="P87" s="3"/>
      <c r="Q87" s="3">
        <v>2017</v>
      </c>
      <c r="R87" s="13">
        <f t="shared" si="41"/>
        <v>1.1112135201709703</v>
      </c>
      <c r="T87" s="3"/>
      <c r="U87" s="13">
        <f t="shared" si="49"/>
        <v>1.3638000000000006</v>
      </c>
      <c r="V87" s="12">
        <f>'Country L per 100 km'!L12</f>
        <v>5.3655421555368772</v>
      </c>
      <c r="W87" s="3">
        <f>'Country distance travelled'!L12</f>
        <v>15000</v>
      </c>
      <c r="Y87" s="3">
        <v>2017</v>
      </c>
      <c r="Z87" s="13">
        <v>1.3638000000000006</v>
      </c>
      <c r="AA87" s="13">
        <f t="shared" ref="AA87:AC87" si="54">Z87</f>
        <v>1.3638000000000006</v>
      </c>
      <c r="AB87" s="13">
        <f t="shared" si="54"/>
        <v>1.3638000000000006</v>
      </c>
      <c r="AC87" s="13">
        <f t="shared" si="54"/>
        <v>1.3638000000000006</v>
      </c>
    </row>
    <row r="88" spans="1:29">
      <c r="A88" s="3">
        <v>2018</v>
      </c>
      <c r="B88" s="3">
        <f t="shared" si="38"/>
        <v>27276.917920689808</v>
      </c>
      <c r="C88" s="3">
        <f t="shared" si="43"/>
        <v>5455.3835841379614</v>
      </c>
      <c r="D88" s="3">
        <f t="shared" si="44"/>
        <v>3545.9993296896751</v>
      </c>
      <c r="E88" s="3">
        <v>0</v>
      </c>
      <c r="F88" s="3">
        <f t="shared" si="45"/>
        <v>9001.382913827636</v>
      </c>
      <c r="G88" s="3"/>
      <c r="H88" s="3"/>
      <c r="I88" s="3">
        <v>2018</v>
      </c>
      <c r="J88" s="3">
        <f t="shared" si="46"/>
        <v>28934</v>
      </c>
      <c r="K88" s="3">
        <f t="shared" si="47"/>
        <v>5786.8</v>
      </c>
      <c r="L88" s="3">
        <f t="shared" si="48"/>
        <v>3761.42</v>
      </c>
      <c r="M88" s="3">
        <f t="shared" si="39"/>
        <v>1129.2476844685291</v>
      </c>
      <c r="N88" s="3">
        <f t="shared" si="40"/>
        <v>10677.467684468531</v>
      </c>
      <c r="O88" s="3"/>
      <c r="P88" s="3"/>
      <c r="Q88" s="3">
        <v>2018</v>
      </c>
      <c r="R88" s="13">
        <f t="shared" ref="R88:R100" si="55">N88/F88</f>
        <v>1.1862030297662538</v>
      </c>
      <c r="S88" s="13"/>
      <c r="T88" s="3"/>
      <c r="U88" s="13">
        <f t="shared" si="49"/>
        <v>1.4171170135295694</v>
      </c>
      <c r="V88" s="12">
        <f>'Country L per 100 km'!L13</f>
        <v>5.3124179757790868</v>
      </c>
      <c r="W88" s="3">
        <f>'Country distance travelled'!L13</f>
        <v>15000</v>
      </c>
      <c r="Y88" s="3">
        <v>2018</v>
      </c>
      <c r="Z88" s="13">
        <v>1.4171170135295694</v>
      </c>
      <c r="AA88" s="13">
        <f>Z88</f>
        <v>1.4171170135295694</v>
      </c>
      <c r="AB88" s="13">
        <f t="shared" ref="AB88:AC88" si="56">AA88</f>
        <v>1.4171170135295694</v>
      </c>
      <c r="AC88" s="13">
        <f t="shared" si="56"/>
        <v>1.4171170135295694</v>
      </c>
    </row>
    <row r="89" spans="1:29">
      <c r="A89" s="3">
        <v>2019</v>
      </c>
      <c r="B89" s="3">
        <f t="shared" si="38"/>
        <v>27996.749701829554</v>
      </c>
      <c r="C89" s="3">
        <f t="shared" si="43"/>
        <v>5599.3499403659107</v>
      </c>
      <c r="D89" s="3">
        <f t="shared" si="44"/>
        <v>3639.5774612378423</v>
      </c>
      <c r="E89" s="3">
        <v>0</v>
      </c>
      <c r="F89" s="3">
        <f t="shared" si="45"/>
        <v>9238.9274016037525</v>
      </c>
      <c r="G89" s="3"/>
      <c r="H89" s="3"/>
      <c r="I89" s="3">
        <v>2019</v>
      </c>
      <c r="J89" s="3">
        <f t="shared" si="46"/>
        <v>28934</v>
      </c>
      <c r="K89" s="3">
        <f t="shared" si="47"/>
        <v>5786.8</v>
      </c>
      <c r="L89" s="3">
        <f t="shared" si="48"/>
        <v>3761.42</v>
      </c>
      <c r="M89" s="3">
        <f t="shared" si="39"/>
        <v>1109.4639232369491</v>
      </c>
      <c r="N89" s="3">
        <f t="shared" si="40"/>
        <v>10657.683923236949</v>
      </c>
      <c r="O89" s="3"/>
      <c r="P89" s="3"/>
      <c r="Q89" s="3">
        <v>2019</v>
      </c>
      <c r="R89" s="13">
        <f t="shared" si="55"/>
        <v>1.1535629039997566</v>
      </c>
      <c r="S89" s="13"/>
      <c r="T89" s="3"/>
      <c r="U89" s="13">
        <f t="shared" si="49"/>
        <v>1.4062128489365642</v>
      </c>
      <c r="V89" s="12">
        <f>'Country L per 100 km'!L14</f>
        <v>5.2598197779990956</v>
      </c>
      <c r="W89" s="3">
        <f>'Country distance travelled'!L14</f>
        <v>15000</v>
      </c>
      <c r="Y89" s="3">
        <v>2019</v>
      </c>
      <c r="Z89" s="13"/>
      <c r="AA89" s="13">
        <v>1.6376746394292057</v>
      </c>
      <c r="AB89" s="13">
        <v>1.4062128489365642</v>
      </c>
      <c r="AC89" s="13">
        <v>1.2046022562217071</v>
      </c>
    </row>
    <row r="90" spans="1:29">
      <c r="A90" s="3">
        <v>2020</v>
      </c>
      <c r="B90" s="3">
        <f t="shared" si="38"/>
        <v>27810.722478064828</v>
      </c>
      <c r="C90" s="3">
        <f t="shared" si="43"/>
        <v>5562.1444956129653</v>
      </c>
      <c r="D90" s="3">
        <f t="shared" si="44"/>
        <v>3615.3939221484279</v>
      </c>
      <c r="E90" s="3">
        <v>0</v>
      </c>
      <c r="F90" s="3">
        <f t="shared" si="45"/>
        <v>9177.5384177613923</v>
      </c>
      <c r="G90" s="3"/>
      <c r="H90" s="3"/>
      <c r="I90" s="3">
        <v>2020</v>
      </c>
      <c r="J90" s="3">
        <f t="shared" si="46"/>
        <v>28934</v>
      </c>
      <c r="K90" s="3">
        <f t="shared" si="47"/>
        <v>5786.8</v>
      </c>
      <c r="L90" s="3">
        <f t="shared" si="48"/>
        <v>3761.42</v>
      </c>
      <c r="M90" s="3">
        <f t="shared" si="39"/>
        <v>1099.6909593758364</v>
      </c>
      <c r="N90" s="3">
        <f t="shared" si="40"/>
        <v>10647.910959375837</v>
      </c>
      <c r="O90" s="3"/>
      <c r="P90" s="3"/>
      <c r="Q90" s="3">
        <v>2020</v>
      </c>
      <c r="R90" s="13">
        <f t="shared" si="55"/>
        <v>1.1602142616770545</v>
      </c>
      <c r="S90" s="13"/>
      <c r="T90" s="3"/>
      <c r="U90" s="13">
        <f t="shared" si="49"/>
        <v>1.4077641641074314</v>
      </c>
      <c r="V90" s="12">
        <f>'Country L per 100 km'!L15</f>
        <v>5.2077423544545498</v>
      </c>
      <c r="W90" s="3">
        <f>'Country distance travelled'!L15</f>
        <v>15000</v>
      </c>
      <c r="Y90" s="3">
        <v>2020</v>
      </c>
      <c r="Z90" s="13"/>
      <c r="AA90" s="13">
        <v>1.7358377129562386</v>
      </c>
      <c r="AB90" s="13">
        <v>1.4077641641074314</v>
      </c>
      <c r="AC90" s="13">
        <v>1.210376554664474</v>
      </c>
    </row>
    <row r="91" spans="1:29">
      <c r="A91" s="3">
        <v>2021</v>
      </c>
      <c r="B91" s="3">
        <f t="shared" si="38"/>
        <v>26926.266045770448</v>
      </c>
      <c r="C91" s="3">
        <f t="shared" si="43"/>
        <v>5385.2532091540897</v>
      </c>
      <c r="D91" s="3">
        <f t="shared" si="44"/>
        <v>3500.4145859501582</v>
      </c>
      <c r="E91" s="3">
        <v>0</v>
      </c>
      <c r="F91" s="3">
        <f t="shared" si="45"/>
        <v>8885.6677951042475</v>
      </c>
      <c r="G91" s="3"/>
      <c r="H91" s="3"/>
      <c r="I91" s="3">
        <v>2021</v>
      </c>
      <c r="J91" s="3">
        <f t="shared" si="46"/>
        <v>28934</v>
      </c>
      <c r="K91" s="3">
        <f t="shared" si="47"/>
        <v>5786.8</v>
      </c>
      <c r="L91" s="3">
        <f t="shared" si="48"/>
        <v>3761.42</v>
      </c>
      <c r="M91" s="3">
        <f t="shared" si="39"/>
        <v>1124.152647208959</v>
      </c>
      <c r="N91" s="3">
        <f t="shared" si="40"/>
        <v>10672.37264720896</v>
      </c>
      <c r="O91" s="3"/>
      <c r="P91" s="3"/>
      <c r="Q91" s="3">
        <v>2021</v>
      </c>
      <c r="R91" s="13">
        <f t="shared" si="55"/>
        <v>1.201077160805982</v>
      </c>
      <c r="S91" s="13"/>
      <c r="T91" s="3"/>
      <c r="U91" s="13">
        <f t="shared" si="49"/>
        <v>1.453469464504602</v>
      </c>
      <c r="V91" s="12">
        <f>'Country L per 100 km'!L16</f>
        <v>5.1561805489649011</v>
      </c>
      <c r="W91" s="3">
        <f>'Country distance travelled'!L16</f>
        <v>15000</v>
      </c>
      <c r="Y91" s="3">
        <v>2021</v>
      </c>
      <c r="Z91" s="13"/>
      <c r="AA91" s="13">
        <v>1.8397750849260379</v>
      </c>
      <c r="AB91" s="13">
        <v>1.453469464504602</v>
      </c>
      <c r="AC91" s="13">
        <v>1.2219251515500071</v>
      </c>
    </row>
    <row r="92" spans="1:29">
      <c r="A92" s="3">
        <v>2022</v>
      </c>
      <c r="B92" s="3">
        <f t="shared" si="38"/>
        <v>27474.562647980918</v>
      </c>
      <c r="C92" s="3">
        <f t="shared" si="43"/>
        <v>5494.912529596184</v>
      </c>
      <c r="D92" s="3">
        <f t="shared" si="44"/>
        <v>3571.6931442375194</v>
      </c>
      <c r="E92" s="3">
        <v>0</v>
      </c>
      <c r="F92" s="3">
        <f t="shared" si="45"/>
        <v>9066.6056738337029</v>
      </c>
      <c r="G92" s="3"/>
      <c r="H92" s="3"/>
      <c r="I92" s="3">
        <v>2022</v>
      </c>
      <c r="J92" s="3">
        <f t="shared" si="46"/>
        <v>28934</v>
      </c>
      <c r="K92" s="3">
        <f t="shared" si="47"/>
        <v>5786.8</v>
      </c>
      <c r="L92" s="3">
        <f t="shared" si="48"/>
        <v>3761.42</v>
      </c>
      <c r="M92" s="3">
        <f t="shared" si="39"/>
        <v>1139.0821210601387</v>
      </c>
      <c r="N92" s="3">
        <f t="shared" si="40"/>
        <v>10687.30212106014</v>
      </c>
      <c r="O92" s="3"/>
      <c r="P92" s="3"/>
      <c r="Q92" s="3">
        <v>2022</v>
      </c>
      <c r="R92" s="13">
        <f t="shared" si="55"/>
        <v>1.1787544871289353</v>
      </c>
      <c r="S92" s="13"/>
      <c r="T92" s="3"/>
      <c r="U92" s="13">
        <f t="shared" si="49"/>
        <v>1.4875002033584679</v>
      </c>
      <c r="V92" s="12">
        <f>'Country L per 100 km'!L17</f>
        <v>5.1051292564008923</v>
      </c>
      <c r="W92" s="3">
        <f>'Country distance travelled'!L17</f>
        <v>15000</v>
      </c>
      <c r="Y92" s="3">
        <v>2022</v>
      </c>
      <c r="Z92" s="13"/>
      <c r="AA92" s="13">
        <v>1.8859694724681708</v>
      </c>
      <c r="AB92" s="13">
        <v>1.4875002033584679</v>
      </c>
      <c r="AC92" s="13">
        <v>1.2276994499927738</v>
      </c>
    </row>
    <row r="93" spans="1:29">
      <c r="A93" s="3">
        <v>2023</v>
      </c>
      <c r="B93" s="3">
        <f t="shared" si="38"/>
        <v>27177.538695291638</v>
      </c>
      <c r="C93" s="3">
        <f t="shared" si="43"/>
        <v>5435.5077390583274</v>
      </c>
      <c r="D93" s="3">
        <f t="shared" si="44"/>
        <v>3533.0800303879132</v>
      </c>
      <c r="E93" s="3">
        <v>0</v>
      </c>
      <c r="F93" s="3">
        <f t="shared" si="45"/>
        <v>8968.5877694462397</v>
      </c>
      <c r="G93" s="3"/>
      <c r="H93" s="3"/>
      <c r="I93" s="3">
        <v>2023</v>
      </c>
      <c r="J93" s="3">
        <f t="shared" si="46"/>
        <v>28934</v>
      </c>
      <c r="K93" s="3">
        <f t="shared" si="47"/>
        <v>5786.8</v>
      </c>
      <c r="L93" s="3">
        <f t="shared" si="48"/>
        <v>3761.42</v>
      </c>
      <c r="M93" s="3">
        <f t="shared" si="39"/>
        <v>1139.6771437342286</v>
      </c>
      <c r="N93" s="3">
        <f t="shared" si="40"/>
        <v>10687.89714373423</v>
      </c>
      <c r="O93" s="3"/>
      <c r="P93" s="3"/>
      <c r="Q93" s="3">
        <v>2023</v>
      </c>
      <c r="R93" s="13">
        <f t="shared" si="55"/>
        <v>1.1917034675342368</v>
      </c>
      <c r="S93" s="13"/>
      <c r="T93" s="3"/>
      <c r="U93" s="13">
        <f t="shared" si="49"/>
        <v>1.5031600015851196</v>
      </c>
      <c r="V93" s="12">
        <f>'Country L per 100 km'!L18</f>
        <v>5.0545834221791015</v>
      </c>
      <c r="W93" s="3">
        <f>'Country distance travelled'!L18</f>
        <v>15000</v>
      </c>
      <c r="Y93" s="3">
        <v>2023</v>
      </c>
      <c r="Z93" s="13"/>
      <c r="AA93" s="13">
        <v>1.920615263124771</v>
      </c>
      <c r="AB93" s="13">
        <v>1.5031600015851196</v>
      </c>
      <c r="AC93" s="13">
        <v>1.2276994499927738</v>
      </c>
    </row>
    <row r="94" spans="1:29">
      <c r="A94" s="3">
        <v>2024</v>
      </c>
      <c r="B94" s="3">
        <f t="shared" si="38"/>
        <v>25931.004772726617</v>
      </c>
      <c r="C94" s="3">
        <f t="shared" si="43"/>
        <v>5186.2009545453238</v>
      </c>
      <c r="D94" s="3">
        <f t="shared" si="44"/>
        <v>3371.0306204544604</v>
      </c>
      <c r="E94" s="3">
        <v>0</v>
      </c>
      <c r="F94" s="3">
        <f t="shared" si="45"/>
        <v>8557.2315749997833</v>
      </c>
      <c r="G94" s="3"/>
      <c r="H94" s="3"/>
      <c r="I94" s="3">
        <v>2024</v>
      </c>
      <c r="J94" s="3">
        <f t="shared" si="46"/>
        <v>28934</v>
      </c>
      <c r="K94" s="3">
        <f t="shared" si="47"/>
        <v>5786.8</v>
      </c>
      <c r="L94" s="3">
        <f t="shared" si="48"/>
        <v>3761.42</v>
      </c>
      <c r="M94" s="3">
        <f t="shared" si="39"/>
        <v>1131.5012209885845</v>
      </c>
      <c r="N94" s="3">
        <f t="shared" si="40"/>
        <v>10679.721220988586</v>
      </c>
      <c r="O94" s="3"/>
      <c r="P94" s="3"/>
      <c r="Q94" s="3">
        <v>2024</v>
      </c>
      <c r="R94" s="13">
        <f t="shared" si="55"/>
        <v>1.2480346157967399</v>
      </c>
      <c r="S94" s="13"/>
      <c r="T94" s="3"/>
      <c r="U94" s="13">
        <f t="shared" si="49"/>
        <v>1.5073002563493634</v>
      </c>
      <c r="V94" s="12">
        <f>'Country L per 100 km'!L19</f>
        <v>5.0045380417614869</v>
      </c>
      <c r="W94" s="3">
        <f>'Country distance travelled'!L19</f>
        <v>15000</v>
      </c>
      <c r="Y94" s="3">
        <v>2024</v>
      </c>
      <c r="Z94" s="13"/>
      <c r="AA94" s="13">
        <v>1.9494867553386042</v>
      </c>
      <c r="AB94" s="13">
        <v>1.5073002563493634</v>
      </c>
      <c r="AC94" s="13">
        <v>1.2276994499927738</v>
      </c>
    </row>
    <row r="95" spans="1:29">
      <c r="A95" s="3">
        <v>2025</v>
      </c>
      <c r="B95" s="3">
        <f t="shared" si="38"/>
        <v>24865.555693045259</v>
      </c>
      <c r="C95" s="3">
        <f t="shared" si="43"/>
        <v>4973.1111386090515</v>
      </c>
      <c r="D95" s="3">
        <f t="shared" si="44"/>
        <v>3232.5222400958837</v>
      </c>
      <c r="E95" s="3">
        <v>0</v>
      </c>
      <c r="F95" s="3">
        <f t="shared" si="45"/>
        <v>8205.6333787049352</v>
      </c>
      <c r="G95" s="3"/>
      <c r="H95" s="3"/>
      <c r="I95" s="3">
        <v>2025</v>
      </c>
      <c r="J95" s="3">
        <f t="shared" si="46"/>
        <v>28934</v>
      </c>
      <c r="K95" s="3">
        <f t="shared" si="47"/>
        <v>5786.8</v>
      </c>
      <c r="L95" s="3">
        <f t="shared" si="48"/>
        <v>3761.42</v>
      </c>
      <c r="M95" s="3">
        <f t="shared" si="39"/>
        <v>1136.3996437703981</v>
      </c>
      <c r="N95" s="3">
        <f t="shared" si="40"/>
        <v>10684.619643770398</v>
      </c>
      <c r="O95" s="3"/>
      <c r="P95" s="3"/>
      <c r="Q95" s="3">
        <v>2025</v>
      </c>
      <c r="R95" s="13">
        <f t="shared" si="55"/>
        <v>1.3021078508697292</v>
      </c>
      <c r="S95" s="13"/>
      <c r="T95" s="3"/>
      <c r="U95" s="13">
        <f t="shared" si="49"/>
        <v>1.528963819944128</v>
      </c>
      <c r="V95" s="12">
        <f>'Country L per 100 km'!L20</f>
        <v>4.9549881601598873</v>
      </c>
      <c r="W95" s="3">
        <f>'Country distance travelled'!L20</f>
        <v>15000</v>
      </c>
      <c r="Y95" s="3">
        <v>2025</v>
      </c>
      <c r="Z95" s="13"/>
      <c r="AA95" s="13">
        <v>1.9783582475524373</v>
      </c>
      <c r="AB95" s="13">
        <v>1.528963819944128</v>
      </c>
      <c r="AC95" s="13">
        <v>1.2334737484355405</v>
      </c>
    </row>
    <row r="96" spans="1:29">
      <c r="A96" s="3">
        <v>2026</v>
      </c>
      <c r="B96" s="3">
        <f t="shared" si="38"/>
        <v>24273.108474916935</v>
      </c>
      <c r="C96" s="3">
        <f t="shared" si="43"/>
        <v>4854.621694983387</v>
      </c>
      <c r="D96" s="3">
        <f t="shared" si="44"/>
        <v>3155.5041017392018</v>
      </c>
      <c r="E96" s="3">
        <v>0</v>
      </c>
      <c r="F96" s="3">
        <f t="shared" si="45"/>
        <v>8010.1257967225883</v>
      </c>
      <c r="G96" s="3"/>
      <c r="H96" s="3"/>
      <c r="I96" s="3">
        <v>2026</v>
      </c>
      <c r="J96" s="3">
        <f t="shared" si="46"/>
        <v>28934</v>
      </c>
      <c r="K96" s="3">
        <f t="shared" si="47"/>
        <v>5786.8</v>
      </c>
      <c r="L96" s="3">
        <f t="shared" si="48"/>
        <v>3761.42</v>
      </c>
      <c r="M96" s="3">
        <f t="shared" si="39"/>
        <v>1153.1680588293789</v>
      </c>
      <c r="N96" s="3">
        <f t="shared" si="40"/>
        <v>10701.38805882938</v>
      </c>
      <c r="O96" s="3"/>
      <c r="P96" s="3"/>
      <c r="Q96" s="3">
        <v>2026</v>
      </c>
      <c r="R96" s="13">
        <f t="shared" si="55"/>
        <v>1.3359825214240635</v>
      </c>
      <c r="S96" s="13"/>
      <c r="T96" s="3"/>
      <c r="U96" s="13">
        <f t="shared" si="49"/>
        <v>1.5670400571049197</v>
      </c>
      <c r="V96" s="12">
        <f>'Country L per 100 km'!L21</f>
        <v>4.9059288714454334</v>
      </c>
      <c r="W96" s="3">
        <f>'Country distance travelled'!L21</f>
        <v>15000</v>
      </c>
      <c r="Y96" s="3">
        <v>2026</v>
      </c>
      <c r="Z96" s="13"/>
      <c r="AA96" s="13">
        <v>2.0072297397662706</v>
      </c>
      <c r="AB96" s="13">
        <v>1.5670400571049197</v>
      </c>
      <c r="AC96" s="13">
        <v>1.2392480468783074</v>
      </c>
    </row>
    <row r="97" spans="1:29">
      <c r="A97" s="3">
        <v>2027</v>
      </c>
      <c r="B97" s="3">
        <f t="shared" si="38"/>
        <v>23680.546302093113</v>
      </c>
      <c r="C97" s="3">
        <f t="shared" si="43"/>
        <v>4736.1092604186224</v>
      </c>
      <c r="D97" s="3">
        <f t="shared" si="44"/>
        <v>3078.471019272105</v>
      </c>
      <c r="E97" s="3">
        <v>0</v>
      </c>
      <c r="F97" s="3">
        <f t="shared" si="45"/>
        <v>7814.5802796907274</v>
      </c>
      <c r="G97" s="3"/>
      <c r="H97" s="3"/>
      <c r="I97" s="3">
        <v>2027</v>
      </c>
      <c r="J97" s="3">
        <f t="shared" si="46"/>
        <v>28934</v>
      </c>
      <c r="K97" s="3">
        <f t="shared" si="47"/>
        <v>5786.8</v>
      </c>
      <c r="L97" s="3">
        <f t="shared" si="48"/>
        <v>3761.42</v>
      </c>
      <c r="M97" s="3">
        <f t="shared" si="39"/>
        <v>1156.048321378596</v>
      </c>
      <c r="N97" s="3">
        <f t="shared" si="40"/>
        <v>10704.268321378597</v>
      </c>
      <c r="O97" s="3"/>
      <c r="P97" s="3"/>
      <c r="Q97" s="3">
        <v>2027</v>
      </c>
      <c r="R97" s="13">
        <f t="shared" si="55"/>
        <v>1.3697816054430798</v>
      </c>
      <c r="S97" s="13"/>
      <c r="T97" s="3"/>
      <c r="U97" s="13">
        <f t="shared" si="49"/>
        <v>1.5866635862963769</v>
      </c>
      <c r="V97" s="12">
        <f>'Country L per 100 km'!L22</f>
        <v>4.8573553182628046</v>
      </c>
      <c r="W97" s="3">
        <f>'Country distance travelled'!L22</f>
        <v>15000</v>
      </c>
      <c r="Y97" s="3">
        <v>2027</v>
      </c>
      <c r="Z97" s="13"/>
      <c r="AA97" s="13">
        <v>2.0361012319801035</v>
      </c>
      <c r="AB97" s="13">
        <v>1.5866635862963769</v>
      </c>
      <c r="AC97" s="13">
        <v>1.245022345321074</v>
      </c>
    </row>
    <row r="98" spans="1:29">
      <c r="A98" s="3">
        <v>2028</v>
      </c>
      <c r="B98" s="3">
        <f t="shared" si="38"/>
        <v>23009.573016922572</v>
      </c>
      <c r="C98" s="3">
        <f t="shared" si="43"/>
        <v>4601.9146033845145</v>
      </c>
      <c r="D98" s="3">
        <f t="shared" si="44"/>
        <v>2991.2444921999345</v>
      </c>
      <c r="E98" s="3">
        <v>0</v>
      </c>
      <c r="F98" s="3">
        <f t="shared" si="45"/>
        <v>7593.1590955844495</v>
      </c>
      <c r="G98" s="3"/>
      <c r="H98" s="3"/>
      <c r="I98" s="3">
        <v>2028</v>
      </c>
      <c r="J98" s="3">
        <f t="shared" si="46"/>
        <v>28934</v>
      </c>
      <c r="K98" s="3">
        <f t="shared" si="47"/>
        <v>5786.8</v>
      </c>
      <c r="L98" s="3">
        <f t="shared" si="48"/>
        <v>3761.42</v>
      </c>
      <c r="M98" s="3">
        <f t="shared" si="39"/>
        <v>1153.5635300025156</v>
      </c>
      <c r="N98" s="3">
        <f t="shared" si="40"/>
        <v>10701.783530002516</v>
      </c>
      <c r="O98" s="3"/>
      <c r="P98" s="3"/>
      <c r="Q98" s="3">
        <v>2028</v>
      </c>
      <c r="R98" s="13">
        <f t="shared" si="55"/>
        <v>1.4093980377977047</v>
      </c>
      <c r="S98" s="13"/>
      <c r="T98" s="3"/>
      <c r="U98" s="13">
        <f t="shared" si="49"/>
        <v>1.5990857698797145</v>
      </c>
      <c r="V98" s="12">
        <f>'Country L per 100 km'!L23</f>
        <v>4.8092626913493124</v>
      </c>
      <c r="W98" s="3">
        <f>'Country distance travelled'!L23</f>
        <v>15000</v>
      </c>
      <c r="Y98" s="3">
        <v>2028</v>
      </c>
      <c r="Z98" s="13"/>
      <c r="AA98" s="13">
        <v>2.0591984257511702</v>
      </c>
      <c r="AB98" s="13">
        <v>1.5990857698797145</v>
      </c>
      <c r="AC98" s="13">
        <v>1.245022345321074</v>
      </c>
    </row>
    <row r="99" spans="1:29">
      <c r="A99" s="3">
        <v>2029</v>
      </c>
      <c r="B99" s="3">
        <f t="shared" si="38"/>
        <v>22416.782101952649</v>
      </c>
      <c r="C99" s="3">
        <f t="shared" si="43"/>
        <v>4483.3564203905298</v>
      </c>
      <c r="D99" s="3">
        <f t="shared" si="44"/>
        <v>2914.1816732538446</v>
      </c>
      <c r="E99" s="3">
        <v>0</v>
      </c>
      <c r="F99" s="3">
        <f t="shared" si="45"/>
        <v>7397.5380936443744</v>
      </c>
      <c r="G99" s="3"/>
      <c r="H99" s="3"/>
      <c r="I99" s="3">
        <v>2029</v>
      </c>
      <c r="J99" s="3">
        <f t="shared" si="46"/>
        <v>28934</v>
      </c>
      <c r="K99" s="3">
        <f t="shared" si="47"/>
        <v>5786.8</v>
      </c>
      <c r="L99" s="3">
        <f t="shared" si="48"/>
        <v>3761.42</v>
      </c>
      <c r="M99" s="3">
        <f t="shared" si="39"/>
        <v>1154.1681995914844</v>
      </c>
      <c r="N99" s="3">
        <f t="shared" si="40"/>
        <v>10702.388199591485</v>
      </c>
      <c r="O99" s="3"/>
      <c r="P99" s="3"/>
      <c r="Q99" s="3">
        <v>2029</v>
      </c>
      <c r="R99" s="13">
        <f t="shared" si="55"/>
        <v>1.4467499949458167</v>
      </c>
      <c r="S99" s="13"/>
      <c r="T99" s="3"/>
      <c r="U99" s="13">
        <f t="shared" si="49"/>
        <v>1.6159232109656867</v>
      </c>
      <c r="V99" s="12">
        <f>'Country L per 100 km'!L24</f>
        <v>4.7616462290587247</v>
      </c>
      <c r="W99" s="3">
        <f>'Country distance travelled'!L24</f>
        <v>15000</v>
      </c>
      <c r="Y99" s="3">
        <v>2029</v>
      </c>
      <c r="Z99" s="13"/>
      <c r="AA99" s="13">
        <v>2.0880699179650035</v>
      </c>
      <c r="AB99" s="13">
        <v>1.6159232109656867</v>
      </c>
      <c r="AC99" s="13">
        <v>1.245022345321074</v>
      </c>
    </row>
    <row r="100" spans="1:29">
      <c r="A100" s="3">
        <v>2030</v>
      </c>
      <c r="B100" s="3">
        <f t="shared" si="38"/>
        <v>21745.580849723989</v>
      </c>
      <c r="C100" s="3">
        <f t="shared" si="43"/>
        <v>4349.1161699447975</v>
      </c>
      <c r="D100" s="3">
        <f t="shared" si="44"/>
        <v>2826.9255104641188</v>
      </c>
      <c r="E100" s="3">
        <v>0</v>
      </c>
      <c r="F100" s="3">
        <f t="shared" si="45"/>
        <v>7176.0416804089164</v>
      </c>
      <c r="G100" s="3"/>
      <c r="H100" s="3"/>
      <c r="I100" s="3">
        <v>2030</v>
      </c>
      <c r="J100" s="3">
        <f t="shared" si="46"/>
        <v>28934</v>
      </c>
      <c r="K100" s="3">
        <f t="shared" si="47"/>
        <v>5786.8</v>
      </c>
      <c r="L100" s="3">
        <f t="shared" si="48"/>
        <v>3761.42</v>
      </c>
      <c r="M100" s="3">
        <f t="shared" si="39"/>
        <v>1151.8452454245896</v>
      </c>
      <c r="N100" s="3">
        <f t="shared" si="40"/>
        <v>10700.06524542459</v>
      </c>
      <c r="O100" s="3"/>
      <c r="P100" s="3"/>
      <c r="Q100" s="3">
        <v>2030</v>
      </c>
      <c r="R100" s="13">
        <f t="shared" si="55"/>
        <v>1.4910818138969981</v>
      </c>
      <c r="S100" s="13"/>
      <c r="T100" s="3"/>
      <c r="U100" s="13">
        <f t="shared" si="49"/>
        <v>1.6287976075434001</v>
      </c>
      <c r="V100" s="12">
        <f>'Country L per 100 km'!L25</f>
        <v>4.7145012168898264</v>
      </c>
      <c r="W100" s="3">
        <f>'Country distance travelled'!L25</f>
        <v>15000</v>
      </c>
      <c r="Y100" s="3">
        <v>2030</v>
      </c>
      <c r="Z100" s="13"/>
      <c r="AA100" s="13">
        <v>2.1053928132933031</v>
      </c>
      <c r="AB100" s="13">
        <v>1.6287976075434001</v>
      </c>
      <c r="AC100" s="13">
        <v>1.2507966437638405</v>
      </c>
    </row>
    <row r="101" spans="1:29">
      <c r="A101" s="3">
        <v>2031</v>
      </c>
      <c r="B101" s="3"/>
      <c r="C101" s="3"/>
      <c r="D101" s="3"/>
      <c r="E101" s="3"/>
      <c r="F101" s="3"/>
      <c r="G101" s="3"/>
      <c r="H101" s="3"/>
      <c r="I101" s="3">
        <v>2031</v>
      </c>
      <c r="J101" s="3"/>
      <c r="K101" s="3"/>
      <c r="L101" s="3"/>
      <c r="M101" s="3"/>
      <c r="N101" s="3"/>
      <c r="O101" s="3"/>
      <c r="P101" s="3"/>
      <c r="Q101" s="3">
        <v>2031</v>
      </c>
      <c r="R101" s="3"/>
      <c r="S101" s="3"/>
      <c r="T101" s="3"/>
      <c r="U101" s="13">
        <f>U100</f>
        <v>1.6287976075434001</v>
      </c>
      <c r="V101" s="12">
        <f>'Country L per 100 km'!L26</f>
        <v>4.6678229870196306</v>
      </c>
      <c r="W101" s="3">
        <f>'Country distance travelled'!L26</f>
        <v>15000</v>
      </c>
      <c r="Y101" s="3">
        <v>2031</v>
      </c>
    </row>
    <row r="102" spans="1:29">
      <c r="A102" s="3">
        <v>2032</v>
      </c>
      <c r="B102" s="3"/>
      <c r="C102" s="3"/>
      <c r="D102" s="3"/>
      <c r="E102" s="3"/>
      <c r="F102" s="3"/>
      <c r="G102" s="3"/>
      <c r="H102" s="3"/>
      <c r="I102" s="3">
        <v>2032</v>
      </c>
      <c r="J102" s="3"/>
      <c r="K102" s="3"/>
      <c r="L102" s="3"/>
      <c r="M102" s="3"/>
      <c r="N102" s="3"/>
      <c r="O102" s="3"/>
      <c r="P102" s="3"/>
      <c r="Q102" s="3">
        <v>2032</v>
      </c>
      <c r="R102" s="3"/>
      <c r="S102" s="3"/>
      <c r="T102" s="3"/>
      <c r="U102" s="13">
        <f t="shared" ref="U102:U110" si="57">U101</f>
        <v>1.6287976075434001</v>
      </c>
      <c r="V102" s="12">
        <f>'Country L per 100 km'!L27</f>
        <v>4.621606917841218</v>
      </c>
      <c r="W102" s="3">
        <f>'Country distance travelled'!L27</f>
        <v>15000</v>
      </c>
      <c r="Y102" s="3">
        <v>2032</v>
      </c>
    </row>
    <row r="103" spans="1:29">
      <c r="A103" s="3">
        <v>2033</v>
      </c>
      <c r="B103" s="3"/>
      <c r="C103" s="3"/>
      <c r="D103" s="3"/>
      <c r="E103" s="3"/>
      <c r="F103" s="3"/>
      <c r="G103" s="3"/>
      <c r="H103" s="3"/>
      <c r="I103" s="3">
        <v>2033</v>
      </c>
      <c r="J103" s="3"/>
      <c r="K103" s="3"/>
      <c r="L103" s="3"/>
      <c r="M103" s="3"/>
      <c r="N103" s="3"/>
      <c r="O103" s="3"/>
      <c r="P103" s="3"/>
      <c r="Q103" s="3">
        <v>2033</v>
      </c>
      <c r="R103" s="3"/>
      <c r="S103" s="3"/>
      <c r="T103" s="3"/>
      <c r="U103" s="13">
        <f t="shared" si="57"/>
        <v>1.6287976075434001</v>
      </c>
      <c r="V103" s="12">
        <f>'Country L per 100 km'!L28</f>
        <v>4.5758484335061569</v>
      </c>
      <c r="W103" s="3">
        <f>'Country distance travelled'!L28</f>
        <v>15000</v>
      </c>
      <c r="Y103" s="3">
        <v>2033</v>
      </c>
    </row>
    <row r="104" spans="1:29">
      <c r="A104" s="3">
        <v>2034</v>
      </c>
      <c r="B104" s="3"/>
      <c r="C104" s="3"/>
      <c r="D104" s="3"/>
      <c r="E104" s="3"/>
      <c r="F104" s="3"/>
      <c r="G104" s="3"/>
      <c r="H104" s="3"/>
      <c r="I104" s="3">
        <v>2034</v>
      </c>
      <c r="J104" s="3"/>
      <c r="K104" s="3"/>
      <c r="L104" s="3"/>
      <c r="M104" s="3"/>
      <c r="N104" s="3"/>
      <c r="O104" s="3"/>
      <c r="P104" s="3"/>
      <c r="Q104" s="3">
        <v>2034</v>
      </c>
      <c r="R104" s="3"/>
      <c r="S104" s="3"/>
      <c r="T104" s="3"/>
      <c r="U104" s="13">
        <f t="shared" si="57"/>
        <v>1.6287976075434001</v>
      </c>
      <c r="V104" s="12">
        <f>'Country L per 100 km'!L29</f>
        <v>4.5305430034714416</v>
      </c>
      <c r="W104" s="3">
        <f>'Country distance travelled'!L29</f>
        <v>15000</v>
      </c>
      <c r="Y104" s="3">
        <v>2034</v>
      </c>
    </row>
    <row r="105" spans="1:29">
      <c r="A105" s="3">
        <v>2035</v>
      </c>
      <c r="B105" s="3"/>
      <c r="C105" s="3"/>
      <c r="D105" s="3"/>
      <c r="E105" s="3"/>
      <c r="F105" s="3"/>
      <c r="G105" s="3"/>
      <c r="H105" s="3"/>
      <c r="I105" s="3">
        <v>2035</v>
      </c>
      <c r="J105" s="3"/>
      <c r="K105" s="3"/>
      <c r="L105" s="3"/>
      <c r="M105" s="3"/>
      <c r="N105" s="3"/>
      <c r="O105" s="3"/>
      <c r="P105" s="3"/>
      <c r="Q105" s="3">
        <v>2035</v>
      </c>
      <c r="R105" s="3"/>
      <c r="S105" s="3"/>
      <c r="T105" s="3"/>
      <c r="U105" s="13">
        <f t="shared" si="57"/>
        <v>1.6287976075434001</v>
      </c>
      <c r="V105" s="12">
        <f>'Country L per 100 km'!L30</f>
        <v>4.4856861420509313</v>
      </c>
      <c r="W105" s="3">
        <f>'Country distance travelled'!L30</f>
        <v>15000</v>
      </c>
      <c r="Y105" s="3">
        <v>2035</v>
      </c>
    </row>
    <row r="106" spans="1:29">
      <c r="A106" s="3">
        <v>2036</v>
      </c>
      <c r="B106" s="3"/>
      <c r="C106" s="3"/>
      <c r="D106" s="3"/>
      <c r="E106" s="3"/>
      <c r="F106" s="3"/>
      <c r="G106" s="3"/>
      <c r="H106" s="3"/>
      <c r="I106" s="3">
        <v>2036</v>
      </c>
      <c r="J106" s="3"/>
      <c r="K106" s="3"/>
      <c r="L106" s="3"/>
      <c r="M106" s="3"/>
      <c r="N106" s="3"/>
      <c r="O106" s="3"/>
      <c r="P106" s="3"/>
      <c r="Q106" s="3">
        <v>2036</v>
      </c>
      <c r="R106" s="3"/>
      <c r="S106" s="3"/>
      <c r="T106" s="3"/>
      <c r="U106" s="13">
        <f t="shared" si="57"/>
        <v>1.6287976075434001</v>
      </c>
      <c r="V106" s="12">
        <f>'Country L per 100 km'!L31</f>
        <v>4.4412734079712202</v>
      </c>
      <c r="W106" s="3">
        <f>'Country distance travelled'!L31</f>
        <v>15000</v>
      </c>
      <c r="Y106" s="3">
        <v>2036</v>
      </c>
    </row>
    <row r="107" spans="1:29">
      <c r="A107" s="3">
        <v>2037</v>
      </c>
      <c r="B107" s="3"/>
      <c r="C107" s="3"/>
      <c r="D107" s="3"/>
      <c r="E107" s="3"/>
      <c r="F107" s="3"/>
      <c r="G107" s="3"/>
      <c r="H107" s="3"/>
      <c r="I107" s="3">
        <v>2037</v>
      </c>
      <c r="J107" s="3"/>
      <c r="K107" s="3"/>
      <c r="L107" s="3"/>
      <c r="M107" s="3"/>
      <c r="N107" s="3"/>
      <c r="O107" s="3"/>
      <c r="P107" s="3"/>
      <c r="Q107" s="3">
        <v>2037</v>
      </c>
      <c r="R107" s="3"/>
      <c r="S107" s="3"/>
      <c r="T107" s="3"/>
      <c r="U107" s="13">
        <f t="shared" si="57"/>
        <v>1.6287976075434001</v>
      </c>
      <c r="V107" s="12">
        <f>'Country L per 100 km'!L32</f>
        <v>4.3973004039319017</v>
      </c>
      <c r="W107" s="3">
        <f>'Country distance travelled'!L32</f>
        <v>15000</v>
      </c>
      <c r="Y107" s="3">
        <v>2037</v>
      </c>
    </row>
    <row r="108" spans="1:29">
      <c r="A108" s="3">
        <v>2038</v>
      </c>
      <c r="B108" s="3"/>
      <c r="C108" s="3"/>
      <c r="D108" s="3"/>
      <c r="E108" s="3"/>
      <c r="F108" s="3"/>
      <c r="G108" s="3"/>
      <c r="H108" s="3"/>
      <c r="I108" s="3">
        <v>2038</v>
      </c>
      <c r="J108" s="3"/>
      <c r="K108" s="3"/>
      <c r="L108" s="3"/>
      <c r="M108" s="3"/>
      <c r="N108" s="3"/>
      <c r="O108" s="3"/>
      <c r="P108" s="3"/>
      <c r="Q108" s="3">
        <v>2038</v>
      </c>
      <c r="R108" s="3"/>
      <c r="S108" s="3"/>
      <c r="T108" s="3"/>
      <c r="U108" s="13">
        <f t="shared" si="57"/>
        <v>1.6287976075434001</v>
      </c>
      <c r="V108" s="12">
        <f>'Country L per 100 km'!L33</f>
        <v>4.3537627761701989</v>
      </c>
      <c r="W108" s="3">
        <f>'Country distance travelled'!L33</f>
        <v>15000</v>
      </c>
      <c r="Y108" s="3">
        <v>2038</v>
      </c>
    </row>
    <row r="109" spans="1:29">
      <c r="A109" s="3">
        <v>2039</v>
      </c>
      <c r="B109" s="3"/>
      <c r="C109" s="3"/>
      <c r="D109" s="3"/>
      <c r="E109" s="3"/>
      <c r="F109" s="3"/>
      <c r="G109" s="3"/>
      <c r="H109" s="3"/>
      <c r="I109" s="3">
        <v>2039</v>
      </c>
      <c r="J109" s="3"/>
      <c r="K109" s="3"/>
      <c r="L109" s="3"/>
      <c r="M109" s="3"/>
      <c r="N109" s="3"/>
      <c r="O109" s="3"/>
      <c r="P109" s="3"/>
      <c r="Q109" s="3">
        <v>2039</v>
      </c>
      <c r="R109" s="3"/>
      <c r="S109" s="3"/>
      <c r="T109" s="3"/>
      <c r="U109" s="13">
        <f t="shared" si="57"/>
        <v>1.6287976075434001</v>
      </c>
      <c r="V109" s="12">
        <f>'Country L per 100 km'!L34</f>
        <v>4.3106562140299003</v>
      </c>
      <c r="W109" s="3">
        <f>'Country distance travelled'!L34</f>
        <v>15000</v>
      </c>
      <c r="Y109" s="3">
        <v>2039</v>
      </c>
    </row>
    <row r="110" spans="1:29">
      <c r="A110" s="3">
        <v>2040</v>
      </c>
      <c r="B110" s="3"/>
      <c r="C110" s="3"/>
      <c r="D110" s="3"/>
      <c r="E110" s="3"/>
      <c r="F110" s="3"/>
      <c r="G110" s="3"/>
      <c r="H110" s="3"/>
      <c r="I110" s="3">
        <v>2040</v>
      </c>
      <c r="J110" s="3"/>
      <c r="K110" s="3"/>
      <c r="L110" s="3"/>
      <c r="M110" s="3"/>
      <c r="N110" s="3"/>
      <c r="O110" s="3"/>
      <c r="P110" s="3"/>
      <c r="Q110" s="3">
        <v>2040</v>
      </c>
      <c r="R110" s="3"/>
      <c r="S110" s="3"/>
      <c r="T110" s="3"/>
      <c r="U110" s="13">
        <f t="shared" si="57"/>
        <v>1.6287976075434001</v>
      </c>
      <c r="V110" s="12">
        <f>'Country L per 100 km'!L35</f>
        <v>4.2679764495345553</v>
      </c>
      <c r="W110" s="3">
        <f>'Country distance travelled'!L35</f>
        <v>15000</v>
      </c>
      <c r="Y110" s="3">
        <v>2040</v>
      </c>
    </row>
    <row r="118" spans="16:29">
      <c r="Q118" s="87" t="s">
        <v>980</v>
      </c>
      <c r="R118" s="87" t="s">
        <v>980</v>
      </c>
      <c r="S118" s="87" t="s">
        <v>980</v>
      </c>
      <c r="T118" s="87" t="s">
        <v>980</v>
      </c>
      <c r="U118" s="87" t="s">
        <v>980</v>
      </c>
      <c r="W118" s="14" t="s">
        <v>812</v>
      </c>
      <c r="X118" s="14" t="s">
        <v>812</v>
      </c>
      <c r="Y118" s="14" t="s">
        <v>812</v>
      </c>
      <c r="Z118" s="14" t="s">
        <v>812</v>
      </c>
      <c r="AA118" s="14" t="s">
        <v>812</v>
      </c>
      <c r="AC118" s="248" t="s">
        <v>952</v>
      </c>
    </row>
    <row r="119" spans="16:29">
      <c r="Q119" s="87" t="s">
        <v>978</v>
      </c>
      <c r="R119" s="87" t="s">
        <v>979</v>
      </c>
      <c r="S119" s="87" t="s">
        <v>916</v>
      </c>
      <c r="T119" s="87" t="s">
        <v>981</v>
      </c>
      <c r="U119" s="87" t="s">
        <v>983</v>
      </c>
      <c r="W119" s="14" t="s">
        <v>725</v>
      </c>
      <c r="X119" s="14" t="s">
        <v>979</v>
      </c>
      <c r="Y119" s="14" t="s">
        <v>916</v>
      </c>
      <c r="Z119" s="14" t="s">
        <v>985</v>
      </c>
      <c r="AA119" s="14" t="s">
        <v>983</v>
      </c>
      <c r="AC119" s="248" t="s">
        <v>1204</v>
      </c>
    </row>
    <row r="120" spans="16:29">
      <c r="P120">
        <v>2012</v>
      </c>
      <c r="Q120" s="3">
        <f>B82</f>
        <v>26097.080754460316</v>
      </c>
      <c r="R120" s="3">
        <f t="shared" ref="R120:U120" si="58">C82</f>
        <v>5219.4161508920633</v>
      </c>
      <c r="S120" s="3">
        <f t="shared" si="58"/>
        <v>3392.6204980798411</v>
      </c>
      <c r="T120" s="3">
        <f t="shared" si="58"/>
        <v>0</v>
      </c>
      <c r="U120" s="3">
        <f t="shared" si="58"/>
        <v>8612.0366489719054</v>
      </c>
      <c r="V120" s="3"/>
      <c r="W120" s="3">
        <f>J82</f>
        <v>26343.537166225644</v>
      </c>
      <c r="X120" s="3">
        <f t="shared" ref="X120:AA120" si="59">K82</f>
        <v>5268.7074332451284</v>
      </c>
      <c r="Y120" s="3">
        <f t="shared" si="59"/>
        <v>3424.6598316093337</v>
      </c>
      <c r="Z120" s="3">
        <f t="shared" si="59"/>
        <v>1378.2244054191001</v>
      </c>
      <c r="AA120" s="3">
        <f t="shared" si="59"/>
        <v>10071.591670273561</v>
      </c>
      <c r="AC120" s="13">
        <f>U120/AA120</f>
        <v>0.85508199010792385</v>
      </c>
    </row>
    <row r="121" spans="16:29">
      <c r="P121">
        <v>2013</v>
      </c>
      <c r="Q121" s="3">
        <f t="shared" ref="Q121:Q138" si="60">B83</f>
        <v>25471.105278656429</v>
      </c>
      <c r="R121" s="3">
        <f t="shared" ref="R121:R138" si="61">C83</f>
        <v>5094.2210557312856</v>
      </c>
      <c r="S121" s="3">
        <f t="shared" ref="S121:S138" si="62">D83</f>
        <v>3311.2436862253358</v>
      </c>
      <c r="T121" s="3">
        <f t="shared" ref="T121:T138" si="63">E83</f>
        <v>0</v>
      </c>
      <c r="U121" s="3">
        <f t="shared" ref="U121:U138" si="64">F83</f>
        <v>8405.4647419566209</v>
      </c>
      <c r="V121" s="3"/>
      <c r="W121" s="3">
        <f t="shared" ref="W121:W138" si="65">J83</f>
        <v>25586.804739377636</v>
      </c>
      <c r="X121" s="3">
        <f t="shared" ref="X121:X138" si="66">K83</f>
        <v>5117.360947875527</v>
      </c>
      <c r="Y121" s="3">
        <f t="shared" ref="Y121:Y138" si="67">L83</f>
        <v>3326.2846161190928</v>
      </c>
      <c r="Z121" s="3">
        <f t="shared" ref="Z121:Z138" si="68">M83</f>
        <v>1337.2014204889028</v>
      </c>
      <c r="AA121" s="3">
        <f t="shared" ref="AA121:AA138" si="69">N83</f>
        <v>9780.8469844835236</v>
      </c>
      <c r="AC121" s="13">
        <f t="shared" ref="AC121:AC138" si="70">U121/AA121</f>
        <v>0.85938004707477489</v>
      </c>
    </row>
    <row r="122" spans="16:29">
      <c r="P122">
        <v>2014</v>
      </c>
      <c r="Q122" s="3">
        <f t="shared" si="60"/>
        <v>28443.388269219144</v>
      </c>
      <c r="R122" s="3">
        <f t="shared" si="61"/>
        <v>5688.6776538438289</v>
      </c>
      <c r="S122" s="3">
        <f t="shared" si="62"/>
        <v>3697.640474998489</v>
      </c>
      <c r="T122" s="3">
        <f t="shared" si="63"/>
        <v>0</v>
      </c>
      <c r="U122" s="3">
        <f t="shared" si="64"/>
        <v>9386.3181288423184</v>
      </c>
      <c r="V122" s="3"/>
      <c r="W122" s="3">
        <f t="shared" si="65"/>
        <v>25781.482017055983</v>
      </c>
      <c r="X122" s="3">
        <f t="shared" si="66"/>
        <v>5156.2964034111965</v>
      </c>
      <c r="Y122" s="3">
        <f t="shared" si="67"/>
        <v>3351.5926622172778</v>
      </c>
      <c r="Z122" s="3">
        <f t="shared" si="68"/>
        <v>1270.4036766413794</v>
      </c>
      <c r="AA122" s="3">
        <f t="shared" si="69"/>
        <v>9778.292742269854</v>
      </c>
      <c r="AC122" s="13">
        <f t="shared" si="70"/>
        <v>0.95991379847597547</v>
      </c>
    </row>
    <row r="123" spans="16:29">
      <c r="P123">
        <v>2015</v>
      </c>
      <c r="Q123" s="3">
        <f t="shared" si="60"/>
        <v>31037.054956350883</v>
      </c>
      <c r="R123" s="3">
        <f t="shared" si="61"/>
        <v>6207.410991270177</v>
      </c>
      <c r="S123" s="3">
        <f t="shared" si="62"/>
        <v>4034.8171443256151</v>
      </c>
      <c r="T123" s="3">
        <f t="shared" si="63"/>
        <v>0</v>
      </c>
      <c r="U123" s="3">
        <f t="shared" si="64"/>
        <v>10242.228135595793</v>
      </c>
      <c r="V123" s="3"/>
      <c r="W123" s="3">
        <f t="shared" si="65"/>
        <v>30837.706133202348</v>
      </c>
      <c r="X123" s="3">
        <f t="shared" si="66"/>
        <v>6167.5412266404692</v>
      </c>
      <c r="Y123" s="3">
        <f t="shared" si="67"/>
        <v>4008.9017973163054</v>
      </c>
      <c r="Z123" s="3">
        <f t="shared" si="68"/>
        <v>1127.7820105323656</v>
      </c>
      <c r="AA123" s="3">
        <f t="shared" si="69"/>
        <v>11304.22503448914</v>
      </c>
      <c r="AC123" s="13">
        <f t="shared" si="70"/>
        <v>0.90605309999993811</v>
      </c>
    </row>
    <row r="124" spans="16:29">
      <c r="P124">
        <v>2016</v>
      </c>
      <c r="Q124" s="3">
        <f t="shared" si="60"/>
        <v>31073.530222735368</v>
      </c>
      <c r="R124" s="3">
        <f t="shared" si="61"/>
        <v>6214.7060445470734</v>
      </c>
      <c r="S124" s="3">
        <f t="shared" si="62"/>
        <v>4039.5589289555978</v>
      </c>
      <c r="T124" s="3">
        <f t="shared" si="63"/>
        <v>0</v>
      </c>
      <c r="U124" s="3">
        <f t="shared" si="64"/>
        <v>10254.264973502672</v>
      </c>
      <c r="V124" s="3"/>
      <c r="W124" s="3">
        <f t="shared" si="65"/>
        <v>30865.670504097121</v>
      </c>
      <c r="X124" s="3">
        <f t="shared" si="66"/>
        <v>6173.134100819424</v>
      </c>
      <c r="Y124" s="3">
        <f t="shared" si="67"/>
        <v>4012.5371655326257</v>
      </c>
      <c r="Z124" s="3">
        <f t="shared" si="68"/>
        <v>1046.4851988437135</v>
      </c>
      <c r="AA124" s="3">
        <f t="shared" si="69"/>
        <v>11232.156465195763</v>
      </c>
      <c r="AC124" s="13">
        <f t="shared" si="70"/>
        <v>0.9129382238643835</v>
      </c>
    </row>
    <row r="125" spans="16:29">
      <c r="P125">
        <v>2017</v>
      </c>
      <c r="Q125" s="3">
        <f t="shared" si="60"/>
        <v>30013.765195345513</v>
      </c>
      <c r="R125" s="3">
        <f t="shared" si="61"/>
        <v>6002.7530390691027</v>
      </c>
      <c r="S125" s="3">
        <f t="shared" si="62"/>
        <v>3901.7894753949167</v>
      </c>
      <c r="T125" s="3">
        <f t="shared" si="63"/>
        <v>0</v>
      </c>
      <c r="U125" s="3">
        <f t="shared" si="64"/>
        <v>9904.5425144640194</v>
      </c>
      <c r="V125" s="3"/>
      <c r="W125" s="3">
        <f t="shared" si="65"/>
        <v>30025.553316431564</v>
      </c>
      <c r="X125" s="3">
        <f t="shared" si="66"/>
        <v>6005.110663286313</v>
      </c>
      <c r="Y125" s="3">
        <f t="shared" si="67"/>
        <v>3903.3219311361036</v>
      </c>
      <c r="Z125" s="3">
        <f t="shared" si="68"/>
        <v>1097.6289587581796</v>
      </c>
      <c r="AA125" s="3">
        <f t="shared" si="69"/>
        <v>11006.061553180596</v>
      </c>
      <c r="AC125" s="13">
        <f t="shared" si="70"/>
        <v>0.89991705630628127</v>
      </c>
    </row>
    <row r="126" spans="16:29">
      <c r="P126">
        <v>2018</v>
      </c>
      <c r="Q126" s="3">
        <f t="shared" si="60"/>
        <v>27276.917920689808</v>
      </c>
      <c r="R126" s="3">
        <f t="shared" si="61"/>
        <v>5455.3835841379614</v>
      </c>
      <c r="S126" s="3">
        <f t="shared" si="62"/>
        <v>3545.9993296896751</v>
      </c>
      <c r="T126" s="3">
        <f t="shared" si="63"/>
        <v>0</v>
      </c>
      <c r="U126" s="3">
        <f t="shared" si="64"/>
        <v>9001.382913827636</v>
      </c>
      <c r="V126" s="3"/>
      <c r="W126" s="3">
        <f t="shared" si="65"/>
        <v>28934</v>
      </c>
      <c r="X126" s="3">
        <f t="shared" si="66"/>
        <v>5786.8</v>
      </c>
      <c r="Y126" s="3">
        <f t="shared" si="67"/>
        <v>3761.42</v>
      </c>
      <c r="Z126" s="3">
        <f t="shared" si="68"/>
        <v>1129.2476844685291</v>
      </c>
      <c r="AA126" s="3">
        <f t="shared" si="69"/>
        <v>10677.467684468531</v>
      </c>
      <c r="AC126" s="13">
        <f t="shared" si="70"/>
        <v>0.84302600390175553</v>
      </c>
    </row>
    <row r="127" spans="16:29">
      <c r="P127">
        <v>2019</v>
      </c>
      <c r="Q127" s="3">
        <f t="shared" si="60"/>
        <v>27996.749701829554</v>
      </c>
      <c r="R127" s="3">
        <f t="shared" si="61"/>
        <v>5599.3499403659107</v>
      </c>
      <c r="S127" s="3">
        <f t="shared" si="62"/>
        <v>3639.5774612378423</v>
      </c>
      <c r="T127" s="3">
        <f t="shared" si="63"/>
        <v>0</v>
      </c>
      <c r="U127" s="3">
        <f t="shared" si="64"/>
        <v>9238.9274016037525</v>
      </c>
      <c r="V127" s="3"/>
      <c r="W127" s="3">
        <f t="shared" si="65"/>
        <v>28934</v>
      </c>
      <c r="X127" s="3">
        <f t="shared" si="66"/>
        <v>5786.8</v>
      </c>
      <c r="Y127" s="3">
        <f t="shared" si="67"/>
        <v>3761.42</v>
      </c>
      <c r="Z127" s="3">
        <f t="shared" si="68"/>
        <v>1109.4639232369491</v>
      </c>
      <c r="AA127" s="3">
        <f t="shared" si="69"/>
        <v>10657.683923236949</v>
      </c>
      <c r="AC127" s="13">
        <f t="shared" si="70"/>
        <v>0.86687947101340823</v>
      </c>
    </row>
    <row r="128" spans="16:29">
      <c r="P128">
        <v>2020</v>
      </c>
      <c r="Q128" s="3">
        <f t="shared" si="60"/>
        <v>27810.722478064828</v>
      </c>
      <c r="R128" s="3">
        <f t="shared" si="61"/>
        <v>5562.1444956129653</v>
      </c>
      <c r="S128" s="3">
        <f t="shared" si="62"/>
        <v>3615.3939221484279</v>
      </c>
      <c r="T128" s="3">
        <f t="shared" si="63"/>
        <v>0</v>
      </c>
      <c r="U128" s="3">
        <f t="shared" si="64"/>
        <v>9177.5384177613923</v>
      </c>
      <c r="V128" s="3"/>
      <c r="W128" s="3">
        <f t="shared" si="65"/>
        <v>28934</v>
      </c>
      <c r="X128" s="3">
        <f t="shared" si="66"/>
        <v>5786.8</v>
      </c>
      <c r="Y128" s="3">
        <f t="shared" si="67"/>
        <v>3761.42</v>
      </c>
      <c r="Z128" s="3">
        <f t="shared" si="68"/>
        <v>1099.6909593758364</v>
      </c>
      <c r="AA128" s="3">
        <f t="shared" si="69"/>
        <v>10647.910959375837</v>
      </c>
      <c r="AC128" s="13">
        <f t="shared" si="70"/>
        <v>0.86190976359360583</v>
      </c>
    </row>
    <row r="129" spans="16:29">
      <c r="P129">
        <v>2021</v>
      </c>
      <c r="Q129" s="3">
        <f t="shared" si="60"/>
        <v>26926.266045770448</v>
      </c>
      <c r="R129" s="3">
        <f t="shared" si="61"/>
        <v>5385.2532091540897</v>
      </c>
      <c r="S129" s="3">
        <f t="shared" si="62"/>
        <v>3500.4145859501582</v>
      </c>
      <c r="T129" s="3">
        <f t="shared" si="63"/>
        <v>0</v>
      </c>
      <c r="U129" s="3">
        <f t="shared" si="64"/>
        <v>8885.6677951042475</v>
      </c>
      <c r="V129" s="3"/>
      <c r="W129" s="3">
        <f t="shared" si="65"/>
        <v>28934</v>
      </c>
      <c r="X129" s="3">
        <f t="shared" si="66"/>
        <v>5786.8</v>
      </c>
      <c r="Y129" s="3">
        <f t="shared" si="67"/>
        <v>3761.42</v>
      </c>
      <c r="Z129" s="3">
        <f t="shared" si="68"/>
        <v>1124.152647208959</v>
      </c>
      <c r="AA129" s="3">
        <f t="shared" si="69"/>
        <v>10672.37264720896</v>
      </c>
      <c r="AC129" s="13">
        <f t="shared" si="70"/>
        <v>0.83258597584933736</v>
      </c>
    </row>
    <row r="130" spans="16:29">
      <c r="P130">
        <v>2022</v>
      </c>
      <c r="Q130" s="3">
        <f t="shared" si="60"/>
        <v>27474.562647980918</v>
      </c>
      <c r="R130" s="3">
        <f t="shared" si="61"/>
        <v>5494.912529596184</v>
      </c>
      <c r="S130" s="3">
        <f t="shared" si="62"/>
        <v>3571.6931442375194</v>
      </c>
      <c r="T130" s="3">
        <f t="shared" si="63"/>
        <v>0</v>
      </c>
      <c r="U130" s="3">
        <f t="shared" si="64"/>
        <v>9066.6056738337029</v>
      </c>
      <c r="V130" s="3"/>
      <c r="W130" s="3">
        <f t="shared" si="65"/>
        <v>28934</v>
      </c>
      <c r="X130" s="3">
        <f t="shared" si="66"/>
        <v>5786.8</v>
      </c>
      <c r="Y130" s="3">
        <f t="shared" si="67"/>
        <v>3761.42</v>
      </c>
      <c r="Z130" s="3">
        <f t="shared" si="68"/>
        <v>1139.0821210601387</v>
      </c>
      <c r="AA130" s="3">
        <f t="shared" si="69"/>
        <v>10687.30212106014</v>
      </c>
      <c r="AC130" s="13">
        <f t="shared" si="70"/>
        <v>0.84835308023783362</v>
      </c>
    </row>
    <row r="131" spans="16:29">
      <c r="P131">
        <v>2023</v>
      </c>
      <c r="Q131" s="3">
        <f t="shared" si="60"/>
        <v>27177.538695291638</v>
      </c>
      <c r="R131" s="3">
        <f t="shared" si="61"/>
        <v>5435.5077390583274</v>
      </c>
      <c r="S131" s="3">
        <f t="shared" si="62"/>
        <v>3533.0800303879132</v>
      </c>
      <c r="T131" s="3">
        <f t="shared" si="63"/>
        <v>0</v>
      </c>
      <c r="U131" s="3">
        <f t="shared" si="64"/>
        <v>8968.5877694462397</v>
      </c>
      <c r="V131" s="3"/>
      <c r="W131" s="3">
        <f t="shared" si="65"/>
        <v>28934</v>
      </c>
      <c r="X131" s="3">
        <f t="shared" si="66"/>
        <v>5786.8</v>
      </c>
      <c r="Y131" s="3">
        <f t="shared" si="67"/>
        <v>3761.42</v>
      </c>
      <c r="Z131" s="3">
        <f t="shared" si="68"/>
        <v>1139.6771437342286</v>
      </c>
      <c r="AA131" s="3">
        <f t="shared" si="69"/>
        <v>10687.89714373423</v>
      </c>
      <c r="AC131" s="13">
        <f t="shared" si="70"/>
        <v>0.83913492512454302</v>
      </c>
    </row>
    <row r="132" spans="16:29">
      <c r="P132">
        <v>2024</v>
      </c>
      <c r="Q132" s="3">
        <f t="shared" si="60"/>
        <v>25931.004772726617</v>
      </c>
      <c r="R132" s="3">
        <f t="shared" si="61"/>
        <v>5186.2009545453238</v>
      </c>
      <c r="S132" s="3">
        <f t="shared" si="62"/>
        <v>3371.0306204544604</v>
      </c>
      <c r="T132" s="3">
        <f t="shared" si="63"/>
        <v>0</v>
      </c>
      <c r="U132" s="3">
        <f t="shared" si="64"/>
        <v>8557.2315749997833</v>
      </c>
      <c r="V132" s="3"/>
      <c r="W132" s="3">
        <f t="shared" si="65"/>
        <v>28934</v>
      </c>
      <c r="X132" s="3">
        <f t="shared" si="66"/>
        <v>5786.8</v>
      </c>
      <c r="Y132" s="3">
        <f t="shared" si="67"/>
        <v>3761.42</v>
      </c>
      <c r="Z132" s="3">
        <f t="shared" si="68"/>
        <v>1131.5012209885845</v>
      </c>
      <c r="AA132" s="3">
        <f t="shared" si="69"/>
        <v>10679.721220988586</v>
      </c>
      <c r="AC132" s="13">
        <f t="shared" si="70"/>
        <v>0.80125982672492169</v>
      </c>
    </row>
    <row r="133" spans="16:29">
      <c r="P133">
        <v>2025</v>
      </c>
      <c r="Q133" s="3">
        <f t="shared" si="60"/>
        <v>24865.555693045259</v>
      </c>
      <c r="R133" s="3">
        <f t="shared" si="61"/>
        <v>4973.1111386090515</v>
      </c>
      <c r="S133" s="3">
        <f t="shared" si="62"/>
        <v>3232.5222400958837</v>
      </c>
      <c r="T133" s="3">
        <f t="shared" si="63"/>
        <v>0</v>
      </c>
      <c r="U133" s="3">
        <f t="shared" si="64"/>
        <v>8205.6333787049352</v>
      </c>
      <c r="V133" s="3"/>
      <c r="W133" s="3">
        <f t="shared" si="65"/>
        <v>28934</v>
      </c>
      <c r="X133" s="3">
        <f t="shared" si="66"/>
        <v>5786.8</v>
      </c>
      <c r="Y133" s="3">
        <f t="shared" si="67"/>
        <v>3761.42</v>
      </c>
      <c r="Z133" s="3">
        <f t="shared" si="68"/>
        <v>1136.3996437703981</v>
      </c>
      <c r="AA133" s="3">
        <f t="shared" si="69"/>
        <v>10684.619643770398</v>
      </c>
      <c r="AC133" s="13">
        <f t="shared" si="70"/>
        <v>0.76798553924090118</v>
      </c>
    </row>
    <row r="134" spans="16:29">
      <c r="P134">
        <v>2026</v>
      </c>
      <c r="Q134" s="3">
        <f t="shared" si="60"/>
        <v>24273.108474916935</v>
      </c>
      <c r="R134" s="3">
        <f t="shared" si="61"/>
        <v>4854.621694983387</v>
      </c>
      <c r="S134" s="3">
        <f t="shared" si="62"/>
        <v>3155.5041017392018</v>
      </c>
      <c r="T134" s="3">
        <f t="shared" si="63"/>
        <v>0</v>
      </c>
      <c r="U134" s="3">
        <f t="shared" si="64"/>
        <v>8010.1257967225883</v>
      </c>
      <c r="V134" s="3"/>
      <c r="W134" s="3">
        <f t="shared" si="65"/>
        <v>28934</v>
      </c>
      <c r="X134" s="3">
        <f t="shared" si="66"/>
        <v>5786.8</v>
      </c>
      <c r="Y134" s="3">
        <f t="shared" si="67"/>
        <v>3761.42</v>
      </c>
      <c r="Z134" s="3">
        <f t="shared" si="68"/>
        <v>1153.1680588293789</v>
      </c>
      <c r="AA134" s="3">
        <f t="shared" si="69"/>
        <v>10701.38805882938</v>
      </c>
      <c r="AC134" s="13">
        <f t="shared" si="70"/>
        <v>0.74851278662992549</v>
      </c>
    </row>
    <row r="135" spans="16:29">
      <c r="P135">
        <v>2027</v>
      </c>
      <c r="Q135" s="3">
        <f t="shared" si="60"/>
        <v>23680.546302093113</v>
      </c>
      <c r="R135" s="3">
        <f t="shared" si="61"/>
        <v>4736.1092604186224</v>
      </c>
      <c r="S135" s="3">
        <f t="shared" si="62"/>
        <v>3078.471019272105</v>
      </c>
      <c r="T135" s="3">
        <f t="shared" si="63"/>
        <v>0</v>
      </c>
      <c r="U135" s="3">
        <f t="shared" si="64"/>
        <v>7814.5802796907274</v>
      </c>
      <c r="V135" s="3"/>
      <c r="W135" s="3">
        <f t="shared" si="65"/>
        <v>28934</v>
      </c>
      <c r="X135" s="3">
        <f t="shared" si="66"/>
        <v>5786.8</v>
      </c>
      <c r="Y135" s="3">
        <f t="shared" si="67"/>
        <v>3761.42</v>
      </c>
      <c r="Z135" s="3">
        <f t="shared" si="68"/>
        <v>1156.048321378596</v>
      </c>
      <c r="AA135" s="3">
        <f t="shared" si="69"/>
        <v>10704.268321378597</v>
      </c>
      <c r="AC135" s="13">
        <f t="shared" si="70"/>
        <v>0.73004338503766986</v>
      </c>
    </row>
    <row r="136" spans="16:29">
      <c r="P136">
        <v>2028</v>
      </c>
      <c r="Q136" s="3">
        <f t="shared" si="60"/>
        <v>23009.573016922572</v>
      </c>
      <c r="R136" s="3">
        <f t="shared" si="61"/>
        <v>4601.9146033845145</v>
      </c>
      <c r="S136" s="3">
        <f t="shared" si="62"/>
        <v>2991.2444921999345</v>
      </c>
      <c r="T136" s="3">
        <f t="shared" si="63"/>
        <v>0</v>
      </c>
      <c r="U136" s="3">
        <f t="shared" si="64"/>
        <v>7593.1590955844495</v>
      </c>
      <c r="V136" s="3"/>
      <c r="W136" s="3">
        <f t="shared" si="65"/>
        <v>28934</v>
      </c>
      <c r="X136" s="3">
        <f t="shared" si="66"/>
        <v>5786.8</v>
      </c>
      <c r="Y136" s="3">
        <f t="shared" si="67"/>
        <v>3761.42</v>
      </c>
      <c r="Z136" s="3">
        <f t="shared" si="68"/>
        <v>1153.5635300025156</v>
      </c>
      <c r="AA136" s="3">
        <f t="shared" si="69"/>
        <v>10701.783530002516</v>
      </c>
      <c r="AC136" s="13">
        <f t="shared" si="70"/>
        <v>0.70952277013424736</v>
      </c>
    </row>
    <row r="137" spans="16:29">
      <c r="P137">
        <v>2029</v>
      </c>
      <c r="Q137" s="3">
        <f t="shared" si="60"/>
        <v>22416.782101952649</v>
      </c>
      <c r="R137" s="3">
        <f t="shared" si="61"/>
        <v>4483.3564203905298</v>
      </c>
      <c r="S137" s="3">
        <f t="shared" si="62"/>
        <v>2914.1816732538446</v>
      </c>
      <c r="T137" s="3">
        <f t="shared" si="63"/>
        <v>0</v>
      </c>
      <c r="U137" s="3">
        <f t="shared" si="64"/>
        <v>7397.5380936443744</v>
      </c>
      <c r="V137" s="3"/>
      <c r="W137" s="3">
        <f t="shared" si="65"/>
        <v>28934</v>
      </c>
      <c r="X137" s="3">
        <f t="shared" si="66"/>
        <v>5786.8</v>
      </c>
      <c r="Y137" s="3">
        <f t="shared" si="67"/>
        <v>3761.42</v>
      </c>
      <c r="Z137" s="3">
        <f t="shared" si="68"/>
        <v>1154.1681995914844</v>
      </c>
      <c r="AA137" s="3">
        <f t="shared" si="69"/>
        <v>10702.388199591485</v>
      </c>
      <c r="AC137" s="13">
        <f t="shared" si="70"/>
        <v>0.69120442612301636</v>
      </c>
    </row>
    <row r="138" spans="16:29">
      <c r="P138">
        <v>2030</v>
      </c>
      <c r="Q138" s="3">
        <f t="shared" si="60"/>
        <v>21745.580849723989</v>
      </c>
      <c r="R138" s="3">
        <f t="shared" si="61"/>
        <v>4349.1161699447975</v>
      </c>
      <c r="S138" s="3">
        <f t="shared" si="62"/>
        <v>2826.9255104641188</v>
      </c>
      <c r="T138" s="3">
        <f t="shared" si="63"/>
        <v>0</v>
      </c>
      <c r="U138" s="3">
        <f t="shared" si="64"/>
        <v>7176.0416804089164</v>
      </c>
      <c r="V138" s="3"/>
      <c r="W138" s="3">
        <f t="shared" si="65"/>
        <v>28934</v>
      </c>
      <c r="X138" s="3">
        <f t="shared" si="66"/>
        <v>5786.8</v>
      </c>
      <c r="Y138" s="3">
        <f t="shared" si="67"/>
        <v>3761.42</v>
      </c>
      <c r="Z138" s="3">
        <f t="shared" si="68"/>
        <v>1151.8452454245896</v>
      </c>
      <c r="AA138" s="3">
        <f t="shared" si="69"/>
        <v>10700.06524542459</v>
      </c>
      <c r="AC138" s="13">
        <f t="shared" si="70"/>
        <v>0.67065401152366177</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3" sqref="A3:G20"/>
    </sheetView>
  </sheetViews>
  <sheetFormatPr defaultRowHeight="15"/>
  <cols>
    <col min="1" max="1" width="17.85546875" customWidth="1"/>
    <col min="2" max="7" width="13.28515625" customWidth="1"/>
  </cols>
  <sheetData>
    <row r="1" spans="1:7">
      <c r="A1" t="s">
        <v>148</v>
      </c>
    </row>
    <row r="2" spans="1:7" ht="15.75" thickBot="1"/>
    <row r="3" spans="1:7">
      <c r="A3" s="44" t="s">
        <v>149</v>
      </c>
      <c r="B3" s="44"/>
    </row>
    <row r="4" spans="1:7">
      <c r="A4" s="41" t="s">
        <v>150</v>
      </c>
      <c r="B4" s="41">
        <v>0.9999873972451041</v>
      </c>
    </row>
    <row r="5" spans="1:7">
      <c r="A5" s="41" t="s">
        <v>151</v>
      </c>
      <c r="B5" s="41">
        <v>0.99997479464903771</v>
      </c>
    </row>
    <row r="6" spans="1:7">
      <c r="A6" s="41" t="s">
        <v>152</v>
      </c>
      <c r="B6" s="41">
        <v>0.99994958929807554</v>
      </c>
    </row>
    <row r="7" spans="1:7">
      <c r="A7" s="41" t="s">
        <v>153</v>
      </c>
      <c r="B7" s="41">
        <v>5.3271128505293598E-3</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3</v>
      </c>
      <c r="C12" s="41">
        <v>3.3775466269828773</v>
      </c>
      <c r="D12" s="41">
        <v>1.125848875660959</v>
      </c>
      <c r="E12" s="41">
        <v>39673.115289914771</v>
      </c>
      <c r="F12" s="41">
        <v>2.1482493780364366E-7</v>
      </c>
    </row>
    <row r="13" spans="1:7">
      <c r="A13" s="41" t="s">
        <v>157</v>
      </c>
      <c r="B13" s="41">
        <v>3</v>
      </c>
      <c r="C13" s="41">
        <v>8.5134393966825107E-5</v>
      </c>
      <c r="D13" s="41">
        <v>2.8378131322275037E-5</v>
      </c>
      <c r="E13" s="41"/>
      <c r="F13" s="41"/>
    </row>
    <row r="14" spans="1:7" ht="15.75" thickBot="1">
      <c r="A14" s="42" t="s">
        <v>158</v>
      </c>
      <c r="B14" s="42">
        <v>6</v>
      </c>
      <c r="C14" s="42">
        <v>3.3776317613768443</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-8.4003514337684688</v>
      </c>
      <c r="C17" s="41">
        <v>7.9796934733070805E-3</v>
      </c>
      <c r="D17" s="41">
        <v>-1052.7160550550636</v>
      </c>
      <c r="E17" s="41">
        <v>1.8903211603004745E-9</v>
      </c>
      <c r="F17" s="41">
        <v>-8.4257463797798913</v>
      </c>
      <c r="G17" s="41">
        <v>-8.3749564877570464</v>
      </c>
    </row>
    <row r="18" spans="1:7">
      <c r="A18" s="41" t="s">
        <v>329</v>
      </c>
      <c r="B18" s="41">
        <v>0.38708834624252331</v>
      </c>
      <c r="C18" s="41">
        <v>1.2225207487859436E-3</v>
      </c>
      <c r="D18" s="41">
        <v>316.63131004273879</v>
      </c>
      <c r="E18" s="41">
        <v>6.9469404816162019E-8</v>
      </c>
      <c r="F18" s="41">
        <v>0.38319773960241682</v>
      </c>
      <c r="G18" s="41">
        <v>0.39097895288262979</v>
      </c>
    </row>
    <row r="19" spans="1:7">
      <c r="A19" s="41" t="s">
        <v>1234</v>
      </c>
      <c r="B19" s="41">
        <v>-0.35879459174386202</v>
      </c>
      <c r="C19" s="41">
        <v>5.7141453612326353E-3</v>
      </c>
      <c r="D19" s="41">
        <v>-62.790595804245363</v>
      </c>
      <c r="E19" s="41">
        <v>8.9000106538616814E-6</v>
      </c>
      <c r="F19" s="41">
        <v>-0.37697955253657089</v>
      </c>
      <c r="G19" s="41">
        <v>-0.34060963095115315</v>
      </c>
    </row>
    <row r="20" spans="1:7" ht="15.75" thickBot="1">
      <c r="A20" s="42" t="s">
        <v>1323</v>
      </c>
      <c r="B20" s="42">
        <v>0.17883203371061565</v>
      </c>
      <c r="C20" s="42">
        <v>6.4609804269714433E-3</v>
      </c>
      <c r="D20" s="42">
        <v>27.678776577635045</v>
      </c>
      <c r="E20" s="42">
        <v>1.0351256454157372E-4</v>
      </c>
      <c r="F20" s="42">
        <v>0.15827031042229001</v>
      </c>
      <c r="G20" s="42">
        <v>0.1993937569989413</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sheetData>
    <row r="1" spans="1:39">
      <c r="P1" s="14"/>
      <c r="R1" s="236" t="s">
        <v>1318</v>
      </c>
      <c r="S1" s="236"/>
      <c r="T1" s="236"/>
      <c r="U1" s="236"/>
      <c r="W1" s="236" t="s">
        <v>1318</v>
      </c>
      <c r="X1" s="236"/>
      <c r="Y1" s="236"/>
      <c r="Z1" s="236"/>
    </row>
    <row r="2" spans="1:39">
      <c r="C2" t="s">
        <v>282</v>
      </c>
      <c r="L2" t="s">
        <v>282</v>
      </c>
      <c r="S2" t="s">
        <v>1172</v>
      </c>
      <c r="X2" t="s">
        <v>1184</v>
      </c>
      <c r="AB2" t="s">
        <v>960</v>
      </c>
    </row>
    <row r="3" spans="1:39">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1310</v>
      </c>
      <c r="AF3" t="s">
        <v>1296</v>
      </c>
      <c r="AG3" t="s">
        <v>960</v>
      </c>
      <c r="AK3" t="s">
        <v>329</v>
      </c>
      <c r="AL3" t="s">
        <v>1234</v>
      </c>
      <c r="AM3" t="s">
        <v>1323</v>
      </c>
    </row>
    <row r="4" spans="1:39">
      <c r="A4">
        <v>2009</v>
      </c>
      <c r="B4" s="13">
        <f>'EV %sales'!M67</f>
        <v>0</v>
      </c>
      <c r="C4" s="20"/>
      <c r="D4" s="13"/>
      <c r="E4" s="13"/>
      <c r="F4" s="84"/>
      <c r="G4" s="84"/>
      <c r="H4" s="84"/>
      <c r="I4" s="13"/>
      <c r="J4" s="13"/>
      <c r="K4" s="13"/>
      <c r="L4" s="13"/>
      <c r="M4" s="13"/>
      <c r="N4" s="13"/>
      <c r="O4" s="13"/>
      <c r="P4" s="13"/>
      <c r="Q4" s="13"/>
      <c r="R4">
        <v>2009</v>
      </c>
      <c r="W4">
        <v>2009</v>
      </c>
      <c r="AA4" s="13"/>
      <c r="AB4" s="13"/>
      <c r="AC4" s="13"/>
    </row>
    <row r="5" spans="1:39">
      <c r="A5">
        <v>2010</v>
      </c>
      <c r="B5" s="13">
        <f>'EV %sales'!M68</f>
        <v>2.0331649872723872E-3</v>
      </c>
      <c r="C5" s="20"/>
      <c r="D5" s="13"/>
      <c r="E5" s="13"/>
      <c r="F5" s="230"/>
      <c r="G5" s="230"/>
      <c r="H5" s="230"/>
      <c r="I5" s="13"/>
      <c r="J5" s="13"/>
      <c r="K5" s="13"/>
      <c r="L5" s="13"/>
      <c r="M5" s="13"/>
      <c r="N5" s="13"/>
      <c r="O5" s="13"/>
      <c r="P5" s="13"/>
      <c r="Q5" s="13"/>
      <c r="R5">
        <v>2010</v>
      </c>
      <c r="W5">
        <v>2010</v>
      </c>
      <c r="AA5" s="13"/>
      <c r="AB5" s="13"/>
      <c r="AC5" s="13"/>
      <c r="AF5">
        <f t="shared" ref="AF5:AF50" si="0">AC$56+AC$57*AK5+AC$58*AL5+AC$59*AM5</f>
        <v>-8.0132630875259458</v>
      </c>
      <c r="AG5">
        <f t="shared" ref="AG5:AG50" si="1">AC$56+AC$57*AK5</f>
        <v>-8.0132630875259458</v>
      </c>
      <c r="AH5" s="33"/>
      <c r="AI5" s="33"/>
      <c r="AK5">
        <v>1</v>
      </c>
      <c r="AL5">
        <v>0</v>
      </c>
      <c r="AM5">
        <v>0</v>
      </c>
    </row>
    <row r="6" spans="1:39">
      <c r="A6">
        <v>2011</v>
      </c>
      <c r="B6" s="13">
        <f>'EV %sales'!M69</f>
        <v>6.7087579107437028E-3</v>
      </c>
      <c r="C6" s="20"/>
      <c r="D6" s="13"/>
      <c r="E6" s="13"/>
      <c r="F6" s="230"/>
      <c r="G6" s="230"/>
      <c r="H6" s="230"/>
      <c r="I6" s="13"/>
      <c r="J6" s="13"/>
      <c r="K6" s="13"/>
      <c r="L6" s="13"/>
      <c r="M6" s="13"/>
      <c r="N6" s="13"/>
      <c r="O6" s="13"/>
      <c r="P6" s="13"/>
      <c r="Q6" s="13"/>
      <c r="R6">
        <v>2011</v>
      </c>
      <c r="W6">
        <v>2011</v>
      </c>
      <c r="AA6" s="13"/>
      <c r="AB6" s="13">
        <f>65*EXP(AF6)/(1+EXP(AF6))</f>
        <v>3.1673501110891733E-2</v>
      </c>
      <c r="AC6" s="13"/>
      <c r="AF6">
        <f t="shared" si="0"/>
        <v>-7.626174741283422</v>
      </c>
      <c r="AG6">
        <f t="shared" si="1"/>
        <v>-7.626174741283422</v>
      </c>
      <c r="AH6" s="33"/>
      <c r="AK6">
        <v>2</v>
      </c>
      <c r="AL6">
        <v>0</v>
      </c>
      <c r="AM6">
        <v>0</v>
      </c>
    </row>
    <row r="7" spans="1:39">
      <c r="A7">
        <v>2012</v>
      </c>
      <c r="B7" s="13">
        <f>'EV %sales'!M70</f>
        <v>4.6702228169036283E-2</v>
      </c>
      <c r="C7" s="13">
        <f>AB7</f>
        <v>4.6634398966126429E-2</v>
      </c>
      <c r="D7" s="84">
        <f>65*EXP(E7)/(1+EXP(E7))</f>
        <v>3.1673501110891733E-2</v>
      </c>
      <c r="E7" s="84">
        <f>J7-SUM(F7:F$7)</f>
        <v>-7.626174741283422</v>
      </c>
      <c r="F7" s="13">
        <f>I7*G7</f>
        <v>0</v>
      </c>
      <c r="G7" s="13">
        <f>IF(H7&lt;0,0,H7)</f>
        <v>1</v>
      </c>
      <c r="H7" s="13">
        <f>IF((P7-0.6)/0.3&gt;1,1,(P7-0.6)/0.3)</f>
        <v>1</v>
      </c>
      <c r="I7" s="13">
        <v>0</v>
      </c>
      <c r="J7" s="13">
        <f>LN(L7/(65-L7))</f>
        <v>-7.626174741283422</v>
      </c>
      <c r="K7" s="13"/>
      <c r="L7" s="84">
        <f t="shared" ref="L7:L12" si="2">M7</f>
        <v>3.1673501110891733E-2</v>
      </c>
      <c r="M7" s="13">
        <f t="shared" ref="M7:M50" si="3">LOOKUP(ROUND(N7,0),A$4:A$50,AB$4:AB$50)</f>
        <v>3.1673501110891733E-2</v>
      </c>
      <c r="N7" s="13">
        <f t="shared" ref="N7:N50" si="4">A7-(O7-O$11)</f>
        <v>2011.1170711515797</v>
      </c>
      <c r="O7" s="13">
        <f t="shared" ref="O7:O50" si="5">Z$56+Z$57*P7+Z$70*1</f>
        <v>2021.5525832426733</v>
      </c>
      <c r="P7" s="13">
        <f>1/Italy!R82</f>
        <v>1.2431071448358664</v>
      </c>
      <c r="Q7" s="13"/>
      <c r="R7">
        <v>2012</v>
      </c>
      <c r="S7" s="13">
        <v>4.6634398966126429E-2</v>
      </c>
      <c r="T7" s="13">
        <v>4.6634398966126429E-2</v>
      </c>
      <c r="U7" s="13">
        <v>4.6634398966126429E-2</v>
      </c>
      <c r="W7">
        <v>2012</v>
      </c>
      <c r="X7" s="13">
        <v>4.6634398966126429E-2</v>
      </c>
      <c r="Y7" s="13">
        <f>T7</f>
        <v>4.6634398966126429E-2</v>
      </c>
      <c r="Z7" s="13">
        <v>4.6634398966126429E-2</v>
      </c>
      <c r="AA7" s="13"/>
      <c r="AB7" s="13">
        <f t="shared" ref="AB7:AB50" si="6">65*EXP(AF7)/(1+EXP(AF7))</f>
        <v>4.6634398966126429E-2</v>
      </c>
      <c r="AC7" s="13"/>
      <c r="AD7">
        <f t="shared" ref="AD7:AD13" si="7">LN(B7/(65-B7))</f>
        <v>-7.2376319188822489</v>
      </c>
      <c r="AF7">
        <f t="shared" si="0"/>
        <v>-7.239086395040899</v>
      </c>
      <c r="AG7">
        <f t="shared" si="1"/>
        <v>-7.239086395040899</v>
      </c>
      <c r="AH7" s="72"/>
      <c r="AK7">
        <v>3</v>
      </c>
      <c r="AL7">
        <v>0</v>
      </c>
      <c r="AM7">
        <v>0</v>
      </c>
    </row>
    <row r="8" spans="1:39">
      <c r="A8">
        <v>2013</v>
      </c>
      <c r="B8" s="13">
        <f>'EV %sales'!M71</f>
        <v>8.1913957703176152E-2</v>
      </c>
      <c r="C8" s="13">
        <f t="shared" ref="C8:C13" si="8">AB8</f>
        <v>8.2081523558712705E-2</v>
      </c>
      <c r="D8" s="84">
        <f t="shared" ref="D8:D49" si="9">65*EXP(E8)/(1+EXP(E8))</f>
        <v>4.6634398966126429E-2</v>
      </c>
      <c r="E8" s="84">
        <f>J8-SUM(F$7:F8)</f>
        <v>-7.239086395040899</v>
      </c>
      <c r="F8" s="13">
        <f t="shared" ref="F8:F50" si="10">I8*G8</f>
        <v>0</v>
      </c>
      <c r="G8" s="13">
        <f t="shared" ref="G8:G50" si="11">IF(H8&lt;0,0,H8)</f>
        <v>1</v>
      </c>
      <c r="H8" s="13">
        <f t="shared" ref="H8:H50" si="12">IF((P8-0.6)/0.3&gt;1,1,(P8-0.6)/0.3)</f>
        <v>1</v>
      </c>
      <c r="I8" s="13">
        <v>0</v>
      </c>
      <c r="J8" s="13">
        <f t="shared" ref="J8:J47" si="13">LN(L8/(65-L8))</f>
        <v>-7.239086395040899</v>
      </c>
      <c r="K8" s="13"/>
      <c r="L8" s="84">
        <f t="shared" si="2"/>
        <v>4.6634398966126429E-2</v>
      </c>
      <c r="M8" s="13">
        <f t="shared" si="3"/>
        <v>4.6634398966126429E-2</v>
      </c>
      <c r="N8" s="13">
        <f t="shared" si="4"/>
        <v>2011.9777962608646</v>
      </c>
      <c r="O8" s="13">
        <f t="shared" si="5"/>
        <v>2021.6918581333885</v>
      </c>
      <c r="P8" s="13">
        <f>1/Italy!R83</f>
        <v>1.2560222161554935</v>
      </c>
      <c r="Q8" s="13"/>
      <c r="R8">
        <v>2013</v>
      </c>
      <c r="S8" s="13">
        <v>8.2081523558712705E-2</v>
      </c>
      <c r="T8" s="13">
        <v>8.2081523558712705E-2</v>
      </c>
      <c r="U8" s="13">
        <v>8.2081523558712705E-2</v>
      </c>
      <c r="W8">
        <v>2013</v>
      </c>
      <c r="X8" s="13">
        <v>8.2081523558712705E-2</v>
      </c>
      <c r="Y8" s="13">
        <f t="shared" ref="Y8:Y45" si="14">T8</f>
        <v>8.2081523558712705E-2</v>
      </c>
      <c r="Z8" s="13">
        <v>8.2081523558712705E-2</v>
      </c>
      <c r="AA8" s="13"/>
      <c r="AB8" s="13">
        <f t="shared" si="6"/>
        <v>8.2081523558712705E-2</v>
      </c>
      <c r="AC8" s="13"/>
      <c r="AD8" s="14">
        <f t="shared" si="7"/>
        <v>-6.675212139340772</v>
      </c>
      <c r="AF8">
        <f t="shared" si="0"/>
        <v>-6.6731660150877596</v>
      </c>
      <c r="AG8">
        <f t="shared" si="1"/>
        <v>-6.8519980487983752</v>
      </c>
      <c r="AH8" s="72"/>
      <c r="AK8">
        <v>4</v>
      </c>
      <c r="AL8">
        <v>0</v>
      </c>
      <c r="AM8">
        <v>1</v>
      </c>
    </row>
    <row r="9" spans="1:39">
      <c r="A9">
        <v>2014</v>
      </c>
      <c r="B9" s="13">
        <f>'EV %sales'!M72</f>
        <v>0.11094480331915341</v>
      </c>
      <c r="C9" s="13">
        <f t="shared" si="8"/>
        <v>0.11049248750991837</v>
      </c>
      <c r="D9" s="84">
        <f t="shared" si="9"/>
        <v>0.11049248750991837</v>
      </c>
      <c r="E9" s="84">
        <f>J9-SUM(F$7:F9)</f>
        <v>-6.375493685700544</v>
      </c>
      <c r="F9" s="13">
        <f t="shared" si="10"/>
        <v>0</v>
      </c>
      <c r="G9" s="13">
        <f t="shared" si="11"/>
        <v>1</v>
      </c>
      <c r="H9" s="13">
        <f t="shared" si="12"/>
        <v>1</v>
      </c>
      <c r="I9" s="13">
        <v>0</v>
      </c>
      <c r="J9" s="13">
        <f t="shared" si="13"/>
        <v>-6.375493685700544</v>
      </c>
      <c r="K9" s="13"/>
      <c r="L9" s="84">
        <f t="shared" si="2"/>
        <v>0.11049248750991837</v>
      </c>
      <c r="M9" s="13">
        <f t="shared" si="3"/>
        <v>0.11049248750991837</v>
      </c>
      <c r="N9" s="13">
        <f t="shared" si="4"/>
        <v>2014.3917000534207</v>
      </c>
      <c r="O9" s="13">
        <f t="shared" si="5"/>
        <v>2020.2779543408324</v>
      </c>
      <c r="P9" s="13">
        <f>1/Italy!R84</f>
        <v>1.1249097936204859</v>
      </c>
      <c r="Q9" s="13"/>
      <c r="R9">
        <v>2014</v>
      </c>
      <c r="S9" s="13">
        <v>0.11049248750991837</v>
      </c>
      <c r="T9" s="13">
        <v>0.11049248750991837</v>
      </c>
      <c r="U9" s="13">
        <v>0.11049248750991837</v>
      </c>
      <c r="W9">
        <v>2014</v>
      </c>
      <c r="X9" s="13">
        <v>0.11049248750991837</v>
      </c>
      <c r="Y9" s="13">
        <f t="shared" si="14"/>
        <v>0.11049248750991837</v>
      </c>
      <c r="Z9" s="13">
        <v>0.11049248750991837</v>
      </c>
      <c r="AA9" s="13"/>
      <c r="AB9" s="13">
        <f t="shared" si="6"/>
        <v>0.11049248750991837</v>
      </c>
      <c r="AC9" s="13"/>
      <c r="AD9" s="14">
        <f t="shared" si="7"/>
        <v>-6.3714014371945211</v>
      </c>
      <c r="AF9">
        <f t="shared" si="0"/>
        <v>-6.375493685700544</v>
      </c>
      <c r="AG9">
        <f t="shared" si="1"/>
        <v>-6.4649097025558522</v>
      </c>
      <c r="AK9">
        <v>5</v>
      </c>
      <c r="AL9">
        <v>0</v>
      </c>
      <c r="AM9">
        <v>0.5</v>
      </c>
    </row>
    <row r="10" spans="1:39">
      <c r="A10">
        <v>2015</v>
      </c>
      <c r="B10" s="13">
        <f>'EV %sales'!M73</f>
        <v>0.14788938732622051</v>
      </c>
      <c r="C10" s="13">
        <f t="shared" si="8"/>
        <v>0.14871484058186824</v>
      </c>
      <c r="D10" s="84">
        <f t="shared" si="9"/>
        <v>0.14871484058186824</v>
      </c>
      <c r="E10" s="84">
        <f>J10-SUM(F$7:F10)</f>
        <v>-6.0778213563133292</v>
      </c>
      <c r="F10" s="13">
        <f t="shared" si="10"/>
        <v>0</v>
      </c>
      <c r="G10" s="13">
        <f t="shared" si="11"/>
        <v>1</v>
      </c>
      <c r="H10" s="13">
        <f t="shared" si="12"/>
        <v>1</v>
      </c>
      <c r="I10" s="13">
        <v>0</v>
      </c>
      <c r="J10" s="13">
        <f t="shared" si="13"/>
        <v>-6.0778213563133292</v>
      </c>
      <c r="K10" s="13"/>
      <c r="L10" s="84">
        <f t="shared" si="2"/>
        <v>0.14871484058186824</v>
      </c>
      <c r="M10" s="13">
        <f t="shared" si="3"/>
        <v>0.14871484058186824</v>
      </c>
      <c r="N10" s="13">
        <f t="shared" si="4"/>
        <v>2015.0333895318386</v>
      </c>
      <c r="O10" s="13">
        <f t="shared" si="5"/>
        <v>2020.6362648624145</v>
      </c>
      <c r="P10" s="13">
        <f>1/Italy!R85</f>
        <v>1.1581362130924107</v>
      </c>
      <c r="Q10" s="13"/>
      <c r="R10">
        <v>2015</v>
      </c>
      <c r="S10" s="13">
        <v>0.14871484058186824</v>
      </c>
      <c r="T10" s="13">
        <v>0.14871484058186824</v>
      </c>
      <c r="U10" s="13">
        <v>0.14871484058186824</v>
      </c>
      <c r="W10">
        <v>2015</v>
      </c>
      <c r="X10" s="13">
        <v>0.14871484058186824</v>
      </c>
      <c r="Y10" s="13">
        <f t="shared" si="14"/>
        <v>0.14871484058186824</v>
      </c>
      <c r="Z10" s="13">
        <v>0.14871484058186824</v>
      </c>
      <c r="AA10" s="13"/>
      <c r="AB10" s="13">
        <f t="shared" si="6"/>
        <v>0.14871484058186824</v>
      </c>
      <c r="AC10" s="13"/>
      <c r="AD10" s="14">
        <f t="shared" si="7"/>
        <v>-6.0834001238821926</v>
      </c>
      <c r="AF10">
        <f t="shared" si="0"/>
        <v>-6.0778213563133292</v>
      </c>
      <c r="AG10">
        <f t="shared" si="1"/>
        <v>-6.0778213563133292</v>
      </c>
      <c r="AH10" s="13"/>
      <c r="AK10">
        <v>6</v>
      </c>
      <c r="AL10">
        <v>0</v>
      </c>
      <c r="AM10">
        <v>0</v>
      </c>
    </row>
    <row r="11" spans="1:39">
      <c r="A11">
        <v>2016</v>
      </c>
      <c r="B11" s="13">
        <f>'EV %sales'!M74</f>
        <v>0.15340151178301467</v>
      </c>
      <c r="C11" s="13">
        <f t="shared" si="8"/>
        <v>0.15297258907354042</v>
      </c>
      <c r="D11" s="84">
        <f t="shared" si="9"/>
        <v>0.15297258907354042</v>
      </c>
      <c r="E11" s="84">
        <f>J11-SUM(F$7:F11)</f>
        <v>-6.0495276018146686</v>
      </c>
      <c r="F11" s="13">
        <f t="shared" si="10"/>
        <v>0</v>
      </c>
      <c r="G11" s="13">
        <f t="shared" si="11"/>
        <v>1</v>
      </c>
      <c r="H11" s="13">
        <f t="shared" si="12"/>
        <v>1</v>
      </c>
      <c r="I11" s="13">
        <v>0</v>
      </c>
      <c r="J11" s="13">
        <f t="shared" si="13"/>
        <v>-6.0495276018146686</v>
      </c>
      <c r="K11" s="13"/>
      <c r="L11" s="84">
        <f t="shared" si="2"/>
        <v>0.15297258907354042</v>
      </c>
      <c r="M11" s="13">
        <f t="shared" si="3"/>
        <v>0.15297258907354042</v>
      </c>
      <c r="N11" s="13">
        <f t="shared" si="4"/>
        <v>2016</v>
      </c>
      <c r="O11" s="13">
        <f t="shared" si="5"/>
        <v>2020.669654394253</v>
      </c>
      <c r="P11" s="13">
        <f>1/Italy!R86</f>
        <v>1.1612324509197129</v>
      </c>
      <c r="Q11" s="13"/>
      <c r="R11">
        <v>2016</v>
      </c>
      <c r="S11" s="13">
        <v>0.15297258907354042</v>
      </c>
      <c r="T11" s="13">
        <v>0.15297258907354042</v>
      </c>
      <c r="U11" s="13">
        <v>0.15297258907354042</v>
      </c>
      <c r="W11">
        <v>2016</v>
      </c>
      <c r="X11" s="13">
        <v>0.15297258907354042</v>
      </c>
      <c r="Y11" s="13">
        <f t="shared" si="14"/>
        <v>0.15297258907354042</v>
      </c>
      <c r="Z11" s="13">
        <v>0.15297258907354042</v>
      </c>
      <c r="AA11" s="13"/>
      <c r="AB11" s="13">
        <f t="shared" si="6"/>
        <v>0.15297258907354042</v>
      </c>
      <c r="AC11" s="13"/>
      <c r="AD11" s="14">
        <f t="shared" si="7"/>
        <v>-6.0467209923211849</v>
      </c>
      <c r="AF11">
        <f t="shared" si="0"/>
        <v>-6.0495276018146686</v>
      </c>
      <c r="AG11">
        <f t="shared" si="1"/>
        <v>-5.6907330100708062</v>
      </c>
      <c r="AH11" s="13"/>
      <c r="AK11">
        <v>7</v>
      </c>
      <c r="AL11">
        <v>1</v>
      </c>
      <c r="AM11">
        <v>0</v>
      </c>
    </row>
    <row r="12" spans="1:39">
      <c r="A12">
        <v>2017</v>
      </c>
      <c r="B12" s="13">
        <f>'EV %sales'!M75</f>
        <v>0.24515265193754346</v>
      </c>
      <c r="C12" s="13">
        <f t="shared" si="8"/>
        <v>0.24606828814625634</v>
      </c>
      <c r="D12" s="84">
        <f>65*EXP(E12)/(1+EXP(E12))</f>
        <v>0.24606828814625634</v>
      </c>
      <c r="E12" s="84">
        <f>J12-SUM(F$7:F12)</f>
        <v>-5.5727406076361792</v>
      </c>
      <c r="F12" s="13">
        <f t="shared" si="10"/>
        <v>0</v>
      </c>
      <c r="G12" s="13">
        <f t="shared" si="11"/>
        <v>1</v>
      </c>
      <c r="H12" s="13">
        <f t="shared" si="12"/>
        <v>1</v>
      </c>
      <c r="I12" s="13">
        <v>0</v>
      </c>
      <c r="J12" s="13">
        <f t="shared" si="13"/>
        <v>-5.5727406076361792</v>
      </c>
      <c r="K12" s="13"/>
      <c r="L12" s="84">
        <f t="shared" si="2"/>
        <v>0.24606828814625634</v>
      </c>
      <c r="M12" s="13">
        <f t="shared" si="3"/>
        <v>0.24606828814625634</v>
      </c>
      <c r="N12" s="13">
        <f t="shared" si="4"/>
        <v>2017.0764397595774</v>
      </c>
      <c r="O12" s="13">
        <f t="shared" si="5"/>
        <v>2020.5932146346756</v>
      </c>
      <c r="P12" s="13">
        <f>1/Italy!R87</f>
        <v>1.1541441312554239</v>
      </c>
      <c r="Q12" s="13"/>
      <c r="R12">
        <v>2017</v>
      </c>
      <c r="S12" s="13">
        <v>0.24606828814625634</v>
      </c>
      <c r="T12" s="13">
        <v>0.24606828814625634</v>
      </c>
      <c r="U12" s="13">
        <v>0.24606828814625634</v>
      </c>
      <c r="W12">
        <v>2017</v>
      </c>
      <c r="X12" s="13">
        <v>0.24606828814625634</v>
      </c>
      <c r="Y12" s="13">
        <f t="shared" si="14"/>
        <v>0.24606828814625634</v>
      </c>
      <c r="Z12" s="13">
        <v>0.24606828814625634</v>
      </c>
      <c r="AA12" s="13"/>
      <c r="AB12" s="13">
        <f t="shared" si="6"/>
        <v>0.24606828814625634</v>
      </c>
      <c r="AC12" s="13"/>
      <c r="AD12" s="14">
        <f t="shared" si="7"/>
        <v>-5.5764827536274888</v>
      </c>
      <c r="AE12" s="13"/>
      <c r="AF12">
        <f t="shared" si="0"/>
        <v>-5.5727406076361792</v>
      </c>
      <c r="AG12">
        <f t="shared" si="1"/>
        <v>-5.3036446638282824</v>
      </c>
      <c r="AH12" s="13"/>
      <c r="AK12">
        <v>8</v>
      </c>
      <c r="AL12">
        <v>0.75</v>
      </c>
      <c r="AM12">
        <v>0</v>
      </c>
    </row>
    <row r="13" spans="1:39">
      <c r="A13">
        <v>2018</v>
      </c>
      <c r="B13" s="13">
        <f>'EV %sales'!M76</f>
        <v>0.4740346269995428</v>
      </c>
      <c r="C13" s="13">
        <f t="shared" si="8"/>
        <v>0.47261854943019649</v>
      </c>
      <c r="D13" s="84">
        <f t="shared" si="9"/>
        <v>0.51633492910611978</v>
      </c>
      <c r="E13" s="84">
        <f>J13-SUM(F$7:F13)</f>
        <v>-4.82741157366425</v>
      </c>
      <c r="F13" s="13">
        <f t="shared" si="10"/>
        <v>0</v>
      </c>
      <c r="G13" s="13">
        <f t="shared" si="11"/>
        <v>1</v>
      </c>
      <c r="H13" s="13">
        <f t="shared" si="12"/>
        <v>1</v>
      </c>
      <c r="I13" s="13">
        <v>0</v>
      </c>
      <c r="J13" s="13">
        <f t="shared" si="13"/>
        <v>-4.82741157366425</v>
      </c>
      <c r="K13" s="13"/>
      <c r="L13" s="84">
        <f t="shared" ref="L13:L48" si="15">AVERAGE(M11:M15)</f>
        <v>0.51633492910611978</v>
      </c>
      <c r="M13" s="13">
        <f t="shared" si="3"/>
        <v>0.47261854943019649</v>
      </c>
      <c r="N13" s="13">
        <f t="shared" si="4"/>
        <v>2017.9096107829398</v>
      </c>
      <c r="O13" s="13">
        <f t="shared" si="5"/>
        <v>2020.7600436113132</v>
      </c>
      <c r="P13" s="13">
        <f>1/Italy!R88</f>
        <v>1.169614314864188</v>
      </c>
      <c r="R13">
        <v>2018</v>
      </c>
      <c r="S13" s="13">
        <v>0.47261854943019649</v>
      </c>
      <c r="T13" s="13">
        <v>0.47261854943019649</v>
      </c>
      <c r="U13" s="13">
        <v>0.47261854943019649</v>
      </c>
      <c r="W13">
        <v>2018</v>
      </c>
      <c r="X13" s="13">
        <v>0.47261854943019649</v>
      </c>
      <c r="Y13" s="13">
        <f t="shared" si="14"/>
        <v>0.47261854943019649</v>
      </c>
      <c r="Z13" s="13">
        <v>0.47261854943019649</v>
      </c>
      <c r="AB13" s="13">
        <f t="shared" si="6"/>
        <v>0.47261854943019649</v>
      </c>
      <c r="AC13" s="13"/>
      <c r="AD13" s="14">
        <f t="shared" si="7"/>
        <v>-4.913542613930729</v>
      </c>
      <c r="AE13" s="13"/>
      <c r="AF13">
        <f t="shared" si="0"/>
        <v>-4.9165563175857585</v>
      </c>
      <c r="AG13">
        <f t="shared" si="1"/>
        <v>-4.9165563175857585</v>
      </c>
      <c r="AK13">
        <v>9</v>
      </c>
      <c r="AL13">
        <v>0</v>
      </c>
      <c r="AM13">
        <v>0</v>
      </c>
    </row>
    <row r="14" spans="1:39">
      <c r="A14">
        <v>2019</v>
      </c>
      <c r="B14" s="13"/>
      <c r="C14" s="13">
        <f>AVERAGE(D12:D16)</f>
        <v>0.79885183226478085</v>
      </c>
      <c r="D14" s="84">
        <f>65*EXP(E14)/(1+EXP(E14))</f>
        <v>0.78290589241777475</v>
      </c>
      <c r="E14" s="84">
        <f>J14-SUM(F$7:F14)</f>
        <v>-4.4070122173096919</v>
      </c>
      <c r="F14" s="13">
        <f>I14*G14</f>
        <v>0</v>
      </c>
      <c r="G14" s="13">
        <f t="shared" si="11"/>
        <v>1</v>
      </c>
      <c r="H14" s="13">
        <f t="shared" si="12"/>
        <v>1</v>
      </c>
      <c r="I14" s="13">
        <v>0</v>
      </c>
      <c r="J14" s="13">
        <f t="shared" si="13"/>
        <v>-4.4070122173096919</v>
      </c>
      <c r="K14" s="13"/>
      <c r="L14" s="84">
        <f t="shared" si="15"/>
        <v>0.78290589241777453</v>
      </c>
      <c r="M14" s="13">
        <f t="shared" si="3"/>
        <v>0.69363502576303426</v>
      </c>
      <c r="N14" s="13">
        <f t="shared" si="4"/>
        <v>2018.6462394675086</v>
      </c>
      <c r="O14" s="13">
        <f t="shared" si="5"/>
        <v>2021.0234149267444</v>
      </c>
      <c r="P14" s="13">
        <f>1/Italy!R89</f>
        <v>1.1940369462866545</v>
      </c>
      <c r="R14">
        <v>2019</v>
      </c>
      <c r="S14" s="13">
        <v>0.79885183226478085</v>
      </c>
      <c r="T14" s="13">
        <v>0.79885183226478085</v>
      </c>
      <c r="U14" s="13">
        <v>0.76587285013852147</v>
      </c>
      <c r="W14">
        <v>2019</v>
      </c>
      <c r="X14" s="13">
        <v>0.56529738592188694</v>
      </c>
      <c r="Y14" s="13">
        <f t="shared" si="14"/>
        <v>0.79885183226478085</v>
      </c>
      <c r="Z14" s="13">
        <v>1.0496527845170713</v>
      </c>
      <c r="AB14" s="13">
        <f t="shared" si="6"/>
        <v>0.69363502576303426</v>
      </c>
      <c r="AC14" s="13"/>
      <c r="AF14">
        <f t="shared" si="0"/>
        <v>-4.5294679713432355</v>
      </c>
      <c r="AG14">
        <f t="shared" si="1"/>
        <v>-4.5294679713432355</v>
      </c>
      <c r="AK14">
        <v>10</v>
      </c>
      <c r="AL14">
        <v>0</v>
      </c>
      <c r="AM14">
        <v>0</v>
      </c>
    </row>
    <row r="15" spans="1:39">
      <c r="A15">
        <v>2020</v>
      </c>
      <c r="B15" s="13"/>
      <c r="C15" s="13">
        <f>AVERAGE(D13:D17)</f>
        <v>1.1131383963990709</v>
      </c>
      <c r="D15" s="84">
        <f>65*EXP(E15)/(1+EXP(E15))</f>
        <v>1.0574308400588865</v>
      </c>
      <c r="E15" s="84">
        <f>J15-SUM(F$7:F15)</f>
        <v>-4.1021430932898877</v>
      </c>
      <c r="F15" s="13">
        <f t="shared" si="10"/>
        <v>0.1</v>
      </c>
      <c r="G15" s="13">
        <f t="shared" si="11"/>
        <v>1</v>
      </c>
      <c r="H15" s="13">
        <f t="shared" si="12"/>
        <v>1</v>
      </c>
      <c r="I15" s="231">
        <v>0.1</v>
      </c>
      <c r="J15" s="13">
        <f t="shared" si="13"/>
        <v>-4.002143093289888</v>
      </c>
      <c r="K15" s="13"/>
      <c r="L15" s="84">
        <f t="shared" si="15"/>
        <v>1.1666457537164181</v>
      </c>
      <c r="M15" s="13">
        <f t="shared" si="3"/>
        <v>1.0163801931175711</v>
      </c>
      <c r="N15" s="13">
        <f t="shared" si="4"/>
        <v>2019.7157433760924</v>
      </c>
      <c r="O15" s="13">
        <f t="shared" si="5"/>
        <v>2020.9539110181606</v>
      </c>
      <c r="P15" s="13">
        <f>1/Italy!R90</f>
        <v>1.18759179359801</v>
      </c>
      <c r="R15">
        <v>2020</v>
      </c>
      <c r="S15" s="13">
        <v>1.1705750641834984</v>
      </c>
      <c r="T15" s="13">
        <v>1.1131383963990709</v>
      </c>
      <c r="U15" s="13">
        <v>1.0801594142728115</v>
      </c>
      <c r="W15">
        <v>2020</v>
      </c>
      <c r="X15" s="13">
        <v>0.74586402017508002</v>
      </c>
      <c r="Y15" s="13">
        <f t="shared" si="14"/>
        <v>1.1131383963990709</v>
      </c>
      <c r="Z15" s="13">
        <v>1.649395980130191</v>
      </c>
      <c r="AB15" s="13">
        <f t="shared" si="6"/>
        <v>1.0163801931175711</v>
      </c>
      <c r="AC15" s="13"/>
      <c r="AF15">
        <f t="shared" si="0"/>
        <v>-4.1423796251007126</v>
      </c>
      <c r="AG15">
        <f t="shared" si="1"/>
        <v>-4.1423796251007126</v>
      </c>
      <c r="AK15">
        <v>11</v>
      </c>
      <c r="AL15">
        <v>0</v>
      </c>
      <c r="AM15">
        <v>0</v>
      </c>
    </row>
    <row r="16" spans="1:39">
      <c r="A16">
        <v>2021</v>
      </c>
      <c r="B16" s="13"/>
      <c r="C16" s="13">
        <f>AVERAGE(D13:D19)</f>
        <v>1.7220737046054655</v>
      </c>
      <c r="D16" s="84">
        <f t="shared" si="9"/>
        <v>1.3915192115948671</v>
      </c>
      <c r="E16" s="84">
        <f>J16-SUM(F$7:F16)</f>
        <v>-3.8223506989051774</v>
      </c>
      <c r="F16" s="13">
        <f t="shared" si="10"/>
        <v>0.10500000000000001</v>
      </c>
      <c r="G16" s="13">
        <f t="shared" si="11"/>
        <v>1</v>
      </c>
      <c r="H16" s="13">
        <f t="shared" si="12"/>
        <v>1</v>
      </c>
      <c r="I16" s="20">
        <f>I15+(I35-I15)/20</f>
        <v>0.10500000000000001</v>
      </c>
      <c r="J16" s="13">
        <f t="shared" si="13"/>
        <v>-3.6173506989051774</v>
      </c>
      <c r="K16" s="13"/>
      <c r="L16" s="84">
        <f t="shared" si="15"/>
        <v>1.699845014011877</v>
      </c>
      <c r="M16" s="13">
        <f t="shared" si="3"/>
        <v>1.485827405631815</v>
      </c>
      <c r="N16" s="13">
        <f t="shared" si="4"/>
        <v>2021.0726809836333</v>
      </c>
      <c r="O16" s="13">
        <f t="shared" si="5"/>
        <v>2020.5969734106197</v>
      </c>
      <c r="P16" s="13">
        <f>1/Italy!R91</f>
        <v>1.1544926855364059</v>
      </c>
      <c r="R16">
        <v>2021</v>
      </c>
      <c r="S16" s="13">
        <v>1.8351390902458644</v>
      </c>
      <c r="T16" s="13">
        <v>1.7220737046054655</v>
      </c>
      <c r="U16" s="13">
        <v>1.6985172888009945</v>
      </c>
      <c r="W16">
        <v>2021</v>
      </c>
      <c r="X16" s="13">
        <v>1.0397797320911304</v>
      </c>
      <c r="Y16" s="13">
        <f t="shared" si="14"/>
        <v>1.7220737046054655</v>
      </c>
      <c r="Z16" s="13">
        <v>2.9374834049020508</v>
      </c>
      <c r="AB16" s="13">
        <f t="shared" si="6"/>
        <v>1.485827405631815</v>
      </c>
      <c r="AC16" s="13"/>
      <c r="AF16">
        <f t="shared" si="0"/>
        <v>-3.7552912788581896</v>
      </c>
      <c r="AG16">
        <f t="shared" si="1"/>
        <v>-3.7552912788581896</v>
      </c>
      <c r="AK16">
        <v>12</v>
      </c>
      <c r="AL16">
        <v>0</v>
      </c>
      <c r="AM16">
        <v>0</v>
      </c>
    </row>
    <row r="17" spans="1:39">
      <c r="A17">
        <v>2022</v>
      </c>
      <c r="B17" s="13"/>
      <c r="C17" s="13">
        <f t="shared" ref="C17:C50" si="16">AVERAGE(D14:D20)</f>
        <v>2.3699569093357091</v>
      </c>
      <c r="D17" s="84">
        <f t="shared" si="9"/>
        <v>1.8175011088177067</v>
      </c>
      <c r="E17" s="84">
        <f>J17-SUM(F$7:F17)</f>
        <v>-3.5485648060217887</v>
      </c>
      <c r="F17" s="13">
        <f t="shared" si="10"/>
        <v>0.11000000000000001</v>
      </c>
      <c r="G17" s="13">
        <f t="shared" si="11"/>
        <v>1</v>
      </c>
      <c r="H17" s="13">
        <f t="shared" si="12"/>
        <v>1</v>
      </c>
      <c r="I17" s="20">
        <f>I16+(I35-I15)/20</f>
        <v>0.11000000000000001</v>
      </c>
      <c r="J17" s="13">
        <f t="shared" si="13"/>
        <v>-3.2335648060217888</v>
      </c>
      <c r="K17" s="13"/>
      <c r="L17" s="84">
        <f>AVERAGE(M15:M19)</f>
        <v>2.464928349055493</v>
      </c>
      <c r="M17" s="13">
        <f t="shared" si="3"/>
        <v>2.164767594639474</v>
      </c>
      <c r="N17" s="13">
        <f t="shared" si="4"/>
        <v>2021.9022061342052</v>
      </c>
      <c r="O17" s="13">
        <f t="shared" si="5"/>
        <v>2020.7674482600478</v>
      </c>
      <c r="P17" s="13">
        <f>1/Italy!R92</f>
        <v>1.1703009538269833</v>
      </c>
      <c r="R17">
        <v>2022</v>
      </c>
      <c r="S17" s="13">
        <v>2.6052942556042704</v>
      </c>
      <c r="T17" s="13">
        <v>2.3699569093357091</v>
      </c>
      <c r="U17" s="13">
        <v>2.3527152499978912</v>
      </c>
      <c r="W17">
        <v>2022</v>
      </c>
      <c r="X17" s="13">
        <v>1.3540311958460041</v>
      </c>
      <c r="Y17" s="13">
        <f t="shared" si="14"/>
        <v>2.3699569093357091</v>
      </c>
      <c r="Z17" s="13">
        <v>4.3669050105077645</v>
      </c>
      <c r="AB17" s="13">
        <f t="shared" si="6"/>
        <v>2.164767594639474</v>
      </c>
      <c r="AC17" s="13"/>
      <c r="AF17">
        <f t="shared" si="0"/>
        <v>-3.3682029326156657</v>
      </c>
      <c r="AG17">
        <f t="shared" si="1"/>
        <v>-3.3682029326156657</v>
      </c>
      <c r="AK17">
        <v>13</v>
      </c>
      <c r="AL17">
        <v>0</v>
      </c>
      <c r="AM17">
        <v>0</v>
      </c>
    </row>
    <row r="18" spans="1:39">
      <c r="A18">
        <v>2023</v>
      </c>
      <c r="B18" s="13"/>
      <c r="C18" s="13">
        <f>AVERAGE(D15:D21)</f>
        <v>3.2917415337684437</v>
      </c>
      <c r="D18" s="84">
        <f t="shared" si="9"/>
        <v>2.7098848567862297</v>
      </c>
      <c r="E18" s="84">
        <f>J18-SUM(F$7:F18)</f>
        <v>-3.1348966020485407</v>
      </c>
      <c r="F18" s="13">
        <f t="shared" si="10"/>
        <v>0.11500000000000002</v>
      </c>
      <c r="G18" s="13">
        <f t="shared" si="11"/>
        <v>1</v>
      </c>
      <c r="H18" s="13">
        <f t="shared" si="12"/>
        <v>1</v>
      </c>
      <c r="I18" s="20">
        <f>I17+(I35-I15)/20</f>
        <v>0.11500000000000002</v>
      </c>
      <c r="J18" s="13">
        <f t="shared" si="13"/>
        <v>-2.7048966020485405</v>
      </c>
      <c r="K18" s="13"/>
      <c r="L18" s="84">
        <f t="shared" si="15"/>
        <v>4.0745273618240789</v>
      </c>
      <c r="M18" s="13">
        <f t="shared" si="3"/>
        <v>3.1386148509074898</v>
      </c>
      <c r="N18" s="13">
        <f t="shared" si="4"/>
        <v>2023.0221445095294</v>
      </c>
      <c r="O18" s="13">
        <f t="shared" si="5"/>
        <v>2020.6475098847236</v>
      </c>
      <c r="P18" s="13">
        <f>1/Italy!R93</f>
        <v>1.1591789729493247</v>
      </c>
      <c r="R18">
        <v>2023</v>
      </c>
      <c r="S18" s="13">
        <v>3.6476182369304837</v>
      </c>
      <c r="T18" s="13">
        <v>3.2917415337684437</v>
      </c>
      <c r="U18" s="13">
        <v>3.1836225119838621</v>
      </c>
      <c r="W18">
        <v>2023</v>
      </c>
      <c r="X18" s="13">
        <v>1.756493520574905</v>
      </c>
      <c r="Y18" s="13">
        <f t="shared" si="14"/>
        <v>3.2917415337684437</v>
      </c>
      <c r="Z18" s="13">
        <v>6.2753922685576953</v>
      </c>
      <c r="AB18" s="13">
        <f t="shared" si="6"/>
        <v>3.1386148509074898</v>
      </c>
      <c r="AC18" s="13"/>
      <c r="AF18">
        <f t="shared" si="0"/>
        <v>-2.9811145863731427</v>
      </c>
      <c r="AG18">
        <f t="shared" si="1"/>
        <v>-2.9811145863731427</v>
      </c>
      <c r="AK18">
        <v>14</v>
      </c>
      <c r="AL18">
        <v>0</v>
      </c>
      <c r="AM18">
        <v>0</v>
      </c>
    </row>
    <row r="19" spans="1:39">
      <c r="A19">
        <v>2024</v>
      </c>
      <c r="B19" s="13"/>
      <c r="C19" s="13">
        <f t="shared" si="16"/>
        <v>4.5309701300095435</v>
      </c>
      <c r="D19" s="84">
        <f t="shared" si="9"/>
        <v>3.7789390934566742</v>
      </c>
      <c r="E19" s="84">
        <f>J19-SUM(F$7:F19)</f>
        <v>-2.7850479556466095</v>
      </c>
      <c r="F19" s="13">
        <f t="shared" si="10"/>
        <v>0.12000000000000002</v>
      </c>
      <c r="G19" s="13">
        <f t="shared" si="11"/>
        <v>1</v>
      </c>
      <c r="H19" s="13">
        <f t="shared" si="12"/>
        <v>1</v>
      </c>
      <c r="I19" s="20">
        <f>I18+(I35-I15)/20</f>
        <v>0.12000000000000002</v>
      </c>
      <c r="J19" s="13">
        <f t="shared" si="13"/>
        <v>-2.2350479556466096</v>
      </c>
      <c r="K19" s="13"/>
      <c r="L19" s="84">
        <f t="shared" si="15"/>
        <v>6.2820565617454305</v>
      </c>
      <c r="M19" s="13">
        <f t="shared" si="3"/>
        <v>4.5190517009811133</v>
      </c>
      <c r="N19" s="13">
        <f t="shared" si="4"/>
        <v>2024.4759022089863</v>
      </c>
      <c r="O19" s="13">
        <f t="shared" si="5"/>
        <v>2020.1937521852667</v>
      </c>
      <c r="P19" s="13">
        <f>1/Italy!R94</f>
        <v>1.1171016608062163</v>
      </c>
      <c r="R19">
        <v>2024</v>
      </c>
      <c r="S19" s="13">
        <v>4.9773666132654331</v>
      </c>
      <c r="T19" s="13">
        <v>4.5309701300095435</v>
      </c>
      <c r="U19" s="13">
        <v>4.3289662334288517</v>
      </c>
      <c r="W19">
        <v>2024</v>
      </c>
      <c r="X19" s="13">
        <v>2.25766255222617</v>
      </c>
      <c r="Y19" s="13">
        <f t="shared" si="14"/>
        <v>4.5309701300095435</v>
      </c>
      <c r="Z19" s="13">
        <v>8.8984218985579702</v>
      </c>
      <c r="AB19" s="13">
        <f t="shared" si="6"/>
        <v>4.5190517009811133</v>
      </c>
      <c r="AC19" s="13"/>
      <c r="AF19">
        <f t="shared" si="0"/>
        <v>-2.5940262401306189</v>
      </c>
      <c r="AG19">
        <f t="shared" si="1"/>
        <v>-2.5940262401306189</v>
      </c>
      <c r="AK19">
        <v>15</v>
      </c>
      <c r="AL19">
        <v>0</v>
      </c>
      <c r="AM19">
        <v>0</v>
      </c>
    </row>
    <row r="20" spans="1:39">
      <c r="A20" s="14">
        <v>2025</v>
      </c>
      <c r="B20" s="13"/>
      <c r="C20" s="20">
        <f t="shared" si="16"/>
        <v>6.0900009554144026</v>
      </c>
      <c r="D20" s="84">
        <f t="shared" si="9"/>
        <v>5.0515173622178251</v>
      </c>
      <c r="E20" s="84">
        <f>J20-SUM(F$7:F20)</f>
        <v>-2.4737969047690838</v>
      </c>
      <c r="F20" s="13">
        <f t="shared" si="10"/>
        <v>0.12500000000000003</v>
      </c>
      <c r="G20" s="13">
        <f t="shared" si="11"/>
        <v>1</v>
      </c>
      <c r="H20" s="13">
        <f t="shared" si="12"/>
        <v>1</v>
      </c>
      <c r="I20" s="20">
        <f>I19+(I35-I15)/20</f>
        <v>0.12500000000000003</v>
      </c>
      <c r="J20" s="13">
        <f t="shared" si="13"/>
        <v>-1.7987969047690837</v>
      </c>
      <c r="K20" s="13"/>
      <c r="L20" s="84">
        <f t="shared" si="15"/>
        <v>9.2298427001995851</v>
      </c>
      <c r="M20" s="13">
        <f t="shared" si="3"/>
        <v>9.0643752569605045</v>
      </c>
      <c r="N20" s="13">
        <f t="shared" si="4"/>
        <v>2025.8771304143163</v>
      </c>
      <c r="O20" s="13">
        <f t="shared" si="5"/>
        <v>2019.7925239799367</v>
      </c>
      <c r="P20" s="13">
        <f>1/Italy!R95</f>
        <v>1.0798954504069387</v>
      </c>
      <c r="R20" s="87">
        <v>2025</v>
      </c>
      <c r="S20" s="13">
        <v>6.6334390524030784</v>
      </c>
      <c r="T20" s="13">
        <v>6.0900009554144026</v>
      </c>
      <c r="U20" s="13">
        <v>5.7869527042521787</v>
      </c>
      <c r="W20" s="87">
        <v>2025</v>
      </c>
      <c r="X20" s="13">
        <v>2.8912249855426873</v>
      </c>
      <c r="Y20" s="13">
        <f t="shared" si="14"/>
        <v>6.0900009554144026</v>
      </c>
      <c r="Z20" s="13">
        <v>12.250239195641225</v>
      </c>
      <c r="AB20" s="13">
        <f t="shared" si="6"/>
        <v>6.4433974625468542</v>
      </c>
      <c r="AC20" s="13"/>
      <c r="AF20">
        <f t="shared" si="0"/>
        <v>-2.2069378938880959</v>
      </c>
      <c r="AG20">
        <f t="shared" si="1"/>
        <v>-2.2069378938880959</v>
      </c>
      <c r="AK20">
        <v>16</v>
      </c>
      <c r="AL20">
        <v>0</v>
      </c>
      <c r="AM20">
        <v>0</v>
      </c>
    </row>
    <row r="21" spans="1:39">
      <c r="A21">
        <v>2026</v>
      </c>
      <c r="B21" s="13"/>
      <c r="C21" s="13">
        <f t="shared" si="16"/>
        <v>8.0091841501325991</v>
      </c>
      <c r="D21" s="84">
        <f t="shared" si="9"/>
        <v>7.2353982634469141</v>
      </c>
      <c r="E21" s="84">
        <f>J21-SUM(F$7:F21)</f>
        <v>-2.0773907560177163</v>
      </c>
      <c r="F21" s="13">
        <f t="shared" si="10"/>
        <v>0.13000000000000003</v>
      </c>
      <c r="G21" s="13">
        <f>IF(H21&lt;0,0,H21)</f>
        <v>1</v>
      </c>
      <c r="H21" s="13">
        <f t="shared" si="12"/>
        <v>1</v>
      </c>
      <c r="I21" s="20">
        <f>I20+(I35-I15)/20</f>
        <v>0.13000000000000003</v>
      </c>
      <c r="J21" s="13">
        <f t="shared" si="13"/>
        <v>-1.2723907560177163</v>
      </c>
      <c r="K21" s="13"/>
      <c r="L21" s="84">
        <f t="shared" si="15"/>
        <v>14.225137470808136</v>
      </c>
      <c r="M21" s="13">
        <f t="shared" si="3"/>
        <v>12.523473405238571</v>
      </c>
      <c r="N21" s="13">
        <f t="shared" si="4"/>
        <v>2027.1183707552577</v>
      </c>
      <c r="O21" s="13">
        <f t="shared" si="5"/>
        <v>2019.5512836389953</v>
      </c>
      <c r="P21" s="13">
        <f>1/Italy!R96</f>
        <v>1.0575250418398725</v>
      </c>
      <c r="R21">
        <v>2026</v>
      </c>
      <c r="S21" s="13">
        <v>8.6216755045692448</v>
      </c>
      <c r="T21" s="13">
        <v>8.0091841501325991</v>
      </c>
      <c r="U21" s="13">
        <v>7.5864559752823526</v>
      </c>
      <c r="W21">
        <v>2026</v>
      </c>
      <c r="X21" s="13">
        <v>3.6502918763854528</v>
      </c>
      <c r="Y21" s="13">
        <f>T21</f>
        <v>8.0091841501325991</v>
      </c>
      <c r="Z21" s="13">
        <v>16.48412232323955</v>
      </c>
      <c r="AB21" s="13">
        <f t="shared" si="6"/>
        <v>9.0643752569605045</v>
      </c>
      <c r="AC21" s="13"/>
      <c r="AF21">
        <f t="shared" si="0"/>
        <v>-1.8198495476455729</v>
      </c>
      <c r="AG21">
        <f t="shared" si="1"/>
        <v>-1.8198495476455729</v>
      </c>
      <c r="AK21">
        <v>17</v>
      </c>
      <c r="AL21">
        <v>0</v>
      </c>
      <c r="AM21">
        <v>0</v>
      </c>
    </row>
    <row r="22" spans="1:39">
      <c r="A22">
        <v>2027</v>
      </c>
      <c r="B22" s="13"/>
      <c r="C22" s="13">
        <f t="shared" si="16"/>
        <v>10.293885746311389</v>
      </c>
      <c r="D22" s="84">
        <f t="shared" si="9"/>
        <v>9.7320310137465889</v>
      </c>
      <c r="E22" s="84">
        <f>J22-SUM(F$7:F22)</f>
        <v>-1.7367709063457331</v>
      </c>
      <c r="F22" s="13">
        <f t="shared" si="10"/>
        <v>0.13500000000000004</v>
      </c>
      <c r="G22" s="13">
        <f t="shared" si="11"/>
        <v>1</v>
      </c>
      <c r="H22" s="13">
        <f t="shared" si="12"/>
        <v>1</v>
      </c>
      <c r="I22" s="20">
        <f>I21+(I35-I15)/20</f>
        <v>0.13500000000000004</v>
      </c>
      <c r="J22" s="13">
        <f t="shared" si="13"/>
        <v>-0.796770906345733</v>
      </c>
      <c r="K22" s="13"/>
      <c r="L22" s="84">
        <f t="shared" si="15"/>
        <v>20.196583985697099</v>
      </c>
      <c r="M22" s="13">
        <f t="shared" si="3"/>
        <v>16.903698286910249</v>
      </c>
      <c r="N22" s="13">
        <f t="shared" si="4"/>
        <v>2028.346484032063</v>
      </c>
      <c r="O22" s="13">
        <f t="shared" si="5"/>
        <v>2019.32317036219</v>
      </c>
      <c r="P22" s="13">
        <f>1/Italy!R97</f>
        <v>1.0363719163643001</v>
      </c>
      <c r="R22">
        <v>2027</v>
      </c>
      <c r="S22" s="13">
        <v>10.868911844840039</v>
      </c>
      <c r="T22" s="13">
        <v>10.293885746311389</v>
      </c>
      <c r="U22" s="13">
        <v>9.7277231663552008</v>
      </c>
      <c r="W22">
        <v>2027</v>
      </c>
      <c r="X22" s="13">
        <v>4.5482815180144884</v>
      </c>
      <c r="Y22" s="13">
        <f t="shared" si="14"/>
        <v>10.293885746311389</v>
      </c>
      <c r="Z22" s="13">
        <v>21.394231942120889</v>
      </c>
      <c r="AB22" s="13">
        <f t="shared" si="6"/>
        <v>12.523473405238571</v>
      </c>
      <c r="AC22" s="13"/>
      <c r="AF22">
        <f t="shared" si="0"/>
        <v>-1.4327612014030491</v>
      </c>
      <c r="AG22">
        <f t="shared" si="1"/>
        <v>-1.4327612014030491</v>
      </c>
      <c r="AK22">
        <v>18</v>
      </c>
      <c r="AL22">
        <v>0</v>
      </c>
      <c r="AM22">
        <v>0</v>
      </c>
    </row>
    <row r="23" spans="1:39">
      <c r="A23">
        <v>2028</v>
      </c>
      <c r="B23" s="13"/>
      <c r="C23" s="13">
        <f t="shared" si="16"/>
        <v>12.838471174668937</v>
      </c>
      <c r="D23" s="84">
        <f t="shared" si="9"/>
        <v>12.30473498942888</v>
      </c>
      <c r="E23" s="84">
        <f>J23-SUM(F$7:F23)</f>
        <v>-1.4545414567229749</v>
      </c>
      <c r="F23" s="13">
        <f t="shared" si="10"/>
        <v>0.14000000000000004</v>
      </c>
      <c r="G23" s="13">
        <f t="shared" si="11"/>
        <v>1</v>
      </c>
      <c r="H23" s="13">
        <f t="shared" si="12"/>
        <v>1</v>
      </c>
      <c r="I23" s="20">
        <f>I22+(I35-I15)/20</f>
        <v>0.14000000000000004</v>
      </c>
      <c r="J23" s="13">
        <f t="shared" si="13"/>
        <v>-0.3745414567229749</v>
      </c>
      <c r="K23" s="13"/>
      <c r="L23" s="84">
        <f t="shared" si="15"/>
        <v>26.483866695701899</v>
      </c>
      <c r="M23" s="13">
        <f t="shared" si="3"/>
        <v>28.115088703950246</v>
      </c>
      <c r="N23" s="13">
        <f t="shared" si="4"/>
        <v>2029.597971444583</v>
      </c>
      <c r="O23" s="13">
        <f t="shared" si="5"/>
        <v>2019.07168294967</v>
      </c>
      <c r="P23" s="13">
        <f>1/Italy!R98</f>
        <v>1.013051288704798</v>
      </c>
      <c r="R23">
        <v>2028</v>
      </c>
      <c r="S23" s="13">
        <v>13.378923334739776</v>
      </c>
      <c r="T23" s="13">
        <v>12.838471174668937</v>
      </c>
      <c r="U23" s="13">
        <v>12.272308594712749</v>
      </c>
      <c r="W23">
        <v>2028</v>
      </c>
      <c r="X23" s="13">
        <v>5.5971454235506508</v>
      </c>
      <c r="Y23" s="13">
        <f t="shared" si="14"/>
        <v>12.838471174668937</v>
      </c>
      <c r="Z23" s="13">
        <v>26.95086700312461</v>
      </c>
      <c r="AB23" s="13">
        <f t="shared" si="6"/>
        <v>16.903698286910249</v>
      </c>
      <c r="AC23" s="13"/>
      <c r="AF23">
        <f t="shared" si="0"/>
        <v>-1.0456728551605261</v>
      </c>
      <c r="AG23">
        <f t="shared" si="1"/>
        <v>-1.0456728551605261</v>
      </c>
      <c r="AK23">
        <v>19</v>
      </c>
      <c r="AL23">
        <v>0</v>
      </c>
      <c r="AM23">
        <v>0</v>
      </c>
    </row>
    <row r="24" spans="1:39">
      <c r="A24">
        <v>2029</v>
      </c>
      <c r="B24" s="13"/>
      <c r="C24" s="13">
        <f t="shared" si="16"/>
        <v>15.639595156943576</v>
      </c>
      <c r="D24" s="84">
        <f t="shared" si="9"/>
        <v>15.251783471845087</v>
      </c>
      <c r="E24" s="84">
        <f>J24-SUM(F$7:F24)</f>
        <v>-1.1822781690928483</v>
      </c>
      <c r="F24" s="13">
        <f t="shared" si="10"/>
        <v>0.14500000000000005</v>
      </c>
      <c r="G24" s="13">
        <f t="shared" si="11"/>
        <v>1</v>
      </c>
      <c r="H24" s="13">
        <f t="shared" si="12"/>
        <v>1</v>
      </c>
      <c r="I24" s="20">
        <f>I23+(I35-I15)/20</f>
        <v>0.14500000000000005</v>
      </c>
      <c r="J24" s="13">
        <f t="shared" si="13"/>
        <v>4.2721830907151807E-2</v>
      </c>
      <c r="K24" s="13"/>
      <c r="L24" s="84">
        <f t="shared" si="15"/>
        <v>33.194124181776949</v>
      </c>
      <c r="M24" s="13">
        <f t="shared" si="3"/>
        <v>34.376284275425931</v>
      </c>
      <c r="N24" s="13">
        <f t="shared" si="4"/>
        <v>2030.8240178866802</v>
      </c>
      <c r="O24" s="13">
        <f t="shared" si="5"/>
        <v>2018.8456365075729</v>
      </c>
      <c r="P24" s="13">
        <f>1/Italy!R99</f>
        <v>0.99208982245452937</v>
      </c>
      <c r="R24">
        <v>2029</v>
      </c>
      <c r="S24" s="13">
        <v>16.057775356386252</v>
      </c>
      <c r="T24" s="13">
        <v>15.639595156943576</v>
      </c>
      <c r="U24" s="13">
        <v>15.073432576987388</v>
      </c>
      <c r="W24">
        <v>2029</v>
      </c>
      <c r="X24" s="13">
        <v>6.8074980679937296</v>
      </c>
      <c r="Y24" s="13">
        <f t="shared" si="14"/>
        <v>15.639595156943576</v>
      </c>
      <c r="Z24" s="13">
        <v>32.637645255189668</v>
      </c>
      <c r="AB24" s="13">
        <f t="shared" si="6"/>
        <v>22.168747485891053</v>
      </c>
      <c r="AC24" s="13"/>
      <c r="AF24">
        <f t="shared" si="0"/>
        <v>-0.65858450891800224</v>
      </c>
      <c r="AG24">
        <f t="shared" si="1"/>
        <v>-0.65858450891800224</v>
      </c>
      <c r="AK24">
        <v>20</v>
      </c>
      <c r="AL24">
        <v>0</v>
      </c>
      <c r="AM24">
        <v>0</v>
      </c>
    </row>
    <row r="25" spans="1:39">
      <c r="A25" s="14">
        <v>2030</v>
      </c>
      <c r="B25" s="13"/>
      <c r="C25" s="20">
        <f t="shared" si="16"/>
        <v>18.586385836707301</v>
      </c>
      <c r="D25" s="84">
        <f t="shared" si="9"/>
        <v>18.702796030037764</v>
      </c>
      <c r="E25" s="84">
        <f>J25-SUM(F$7:F25)</f>
        <v>-0.90640853684464529</v>
      </c>
      <c r="F25" s="13">
        <f t="shared" si="10"/>
        <v>0.15000000000000005</v>
      </c>
      <c r="G25" s="13">
        <f t="shared" si="11"/>
        <v>1</v>
      </c>
      <c r="H25" s="13">
        <f t="shared" si="12"/>
        <v>1</v>
      </c>
      <c r="I25" s="20">
        <f>I24+(I35-I15)/20</f>
        <v>0.15000000000000005</v>
      </c>
      <c r="J25" s="13">
        <f t="shared" si="13"/>
        <v>0.46859146315535488</v>
      </c>
      <c r="K25" s="13"/>
      <c r="L25" s="84">
        <f t="shared" si="15"/>
        <v>39.978270830851827</v>
      </c>
      <c r="M25" s="13">
        <f t="shared" si="3"/>
        <v>40.500788806984481</v>
      </c>
      <c r="N25" s="13">
        <f t="shared" si="4"/>
        <v>2032.0757871077315</v>
      </c>
      <c r="O25" s="13">
        <f t="shared" si="5"/>
        <v>2018.5938672865216</v>
      </c>
      <c r="P25" s="13">
        <f>1/Italy!R100</f>
        <v>0.96874306246593556</v>
      </c>
      <c r="R25" s="87">
        <v>2030</v>
      </c>
      <c r="S25" s="13">
        <v>18.884026679256493</v>
      </c>
      <c r="T25" s="13">
        <v>18.586385836707301</v>
      </c>
      <c r="U25" s="13">
        <v>18.117415375664525</v>
      </c>
      <c r="W25" s="87">
        <v>2030</v>
      </c>
      <c r="X25" s="13">
        <v>8.1791140992587756</v>
      </c>
      <c r="Y25" s="13">
        <f t="shared" si="14"/>
        <v>18.586385836707301</v>
      </c>
      <c r="Z25" s="13">
        <v>38.291977364079045</v>
      </c>
      <c r="AB25" s="13">
        <f t="shared" si="6"/>
        <v>28.115088703950246</v>
      </c>
      <c r="AC25" s="13"/>
      <c r="AF25">
        <f t="shared" si="0"/>
        <v>-0.27149616267547927</v>
      </c>
      <c r="AG25">
        <f t="shared" si="1"/>
        <v>-0.27149616267547927</v>
      </c>
      <c r="AK25">
        <v>21</v>
      </c>
      <c r="AL25">
        <v>0</v>
      </c>
      <c r="AM25">
        <v>0</v>
      </c>
    </row>
    <row r="26" spans="1:39">
      <c r="A26">
        <v>2031</v>
      </c>
      <c r="C26" s="13">
        <f t="shared" si="16"/>
        <v>21.644637668562154</v>
      </c>
      <c r="D26" s="84">
        <f>65*EXP(E26)/(1+EXP(E26))</f>
        <v>21.59103709195951</v>
      </c>
      <c r="E26" s="84">
        <f>J26-SUM(F$7:F26)</f>
        <v>-0.69838765927431368</v>
      </c>
      <c r="F26" s="13">
        <f t="shared" si="10"/>
        <v>0.15500000000000005</v>
      </c>
      <c r="G26" s="13">
        <f t="shared" si="11"/>
        <v>1</v>
      </c>
      <c r="H26" s="13">
        <f t="shared" si="12"/>
        <v>1</v>
      </c>
      <c r="I26" s="20">
        <f>I25+(I35-I15)/20</f>
        <v>0.15500000000000005</v>
      </c>
      <c r="J26" s="13">
        <f t="shared" si="13"/>
        <v>0.83161234072568657</v>
      </c>
      <c r="K26" s="13"/>
      <c r="L26" s="84">
        <f t="shared" si="15"/>
        <v>45.285223283278199</v>
      </c>
      <c r="M26" s="13">
        <f t="shared" si="3"/>
        <v>46.074760835613823</v>
      </c>
      <c r="N26" s="13">
        <f t="shared" si="4"/>
        <v>2033.0757871077315</v>
      </c>
      <c r="O26" s="13">
        <f t="shared" si="5"/>
        <v>2018.5938672865216</v>
      </c>
      <c r="P26" s="13">
        <f>P25</f>
        <v>0.96874306246593556</v>
      </c>
      <c r="R26">
        <v>2031</v>
      </c>
      <c r="S26" s="13">
        <v>21.851758731017501</v>
      </c>
      <c r="T26" s="13">
        <v>21.644637668562154</v>
      </c>
      <c r="U26" s="13">
        <v>21.275285107339844</v>
      </c>
      <c r="W26">
        <v>2031</v>
      </c>
      <c r="X26" s="13">
        <v>9.7311127315111907</v>
      </c>
      <c r="Y26" s="13">
        <f t="shared" si="14"/>
        <v>21.644637668562154</v>
      </c>
      <c r="Z26" s="13">
        <v>43.572990087411988</v>
      </c>
      <c r="AB26" s="13">
        <f t="shared" si="6"/>
        <v>34.376284275425931</v>
      </c>
      <c r="AC26" s="13"/>
      <c r="AF26">
        <f t="shared" si="0"/>
        <v>0.1155921835670437</v>
      </c>
      <c r="AG26">
        <f t="shared" si="1"/>
        <v>0.1155921835670437</v>
      </c>
      <c r="AK26">
        <v>22</v>
      </c>
      <c r="AL26">
        <v>0</v>
      </c>
      <c r="AM26">
        <v>0</v>
      </c>
    </row>
    <row r="27" spans="1:39">
      <c r="A27">
        <v>2032</v>
      </c>
      <c r="C27" s="13">
        <f t="shared" si="16"/>
        <v>24.803517653624453</v>
      </c>
      <c r="D27" s="84">
        <f t="shared" si="9"/>
        <v>24.659385238140306</v>
      </c>
      <c r="E27" s="84">
        <f>J27-SUM(F$7:F27)</f>
        <v>-0.49220120401094714</v>
      </c>
      <c r="F27" s="13">
        <f t="shared" si="10"/>
        <v>0.16000000000000006</v>
      </c>
      <c r="G27" s="13">
        <f t="shared" si="11"/>
        <v>1</v>
      </c>
      <c r="H27" s="13">
        <f t="shared" si="12"/>
        <v>1</v>
      </c>
      <c r="I27" s="20">
        <f>I26+(I35-I15)/20</f>
        <v>0.16000000000000006</v>
      </c>
      <c r="J27" s="13">
        <f t="shared" si="13"/>
        <v>1.1977987959890533</v>
      </c>
      <c r="K27" s="13"/>
      <c r="L27" s="84">
        <f t="shared" si="15"/>
        <v>49.928643057067873</v>
      </c>
      <c r="M27" s="13">
        <f t="shared" si="3"/>
        <v>50.824431532284635</v>
      </c>
      <c r="N27" s="13">
        <f t="shared" si="4"/>
        <v>2034.0757871077315</v>
      </c>
      <c r="O27" s="13">
        <f t="shared" si="5"/>
        <v>2018.5938672865216</v>
      </c>
      <c r="P27" s="13">
        <f t="shared" ref="P27:P50" si="17">P26</f>
        <v>0.96874306246593556</v>
      </c>
      <c r="R27">
        <v>2032</v>
      </c>
      <c r="S27" s="13">
        <v>24.913597102347016</v>
      </c>
      <c r="T27" s="13">
        <v>24.803517653624453</v>
      </c>
      <c r="U27" s="13">
        <v>24.540403324830489</v>
      </c>
      <c r="W27">
        <v>2032</v>
      </c>
      <c r="X27" s="13">
        <v>11.470523790571409</v>
      </c>
      <c r="Y27" s="13">
        <f t="shared" si="14"/>
        <v>24.803517653624453</v>
      </c>
      <c r="Z27" s="13">
        <v>48.316988671122694</v>
      </c>
      <c r="AB27" s="13">
        <f t="shared" si="6"/>
        <v>40.500788806984481</v>
      </c>
      <c r="AC27" s="13"/>
      <c r="AF27">
        <f t="shared" si="0"/>
        <v>0.50268052980956668</v>
      </c>
      <c r="AG27">
        <f t="shared" si="1"/>
        <v>0.50268052980956668</v>
      </c>
      <c r="AK27">
        <v>23</v>
      </c>
      <c r="AL27">
        <v>0</v>
      </c>
      <c r="AM27">
        <v>0</v>
      </c>
    </row>
    <row r="28" spans="1:39">
      <c r="A28">
        <v>2033</v>
      </c>
      <c r="C28" s="13">
        <f t="shared" si="16"/>
        <v>27.998858376571174</v>
      </c>
      <c r="D28" s="84">
        <f t="shared" si="9"/>
        <v>27.862933021792966</v>
      </c>
      <c r="E28" s="84">
        <f>J28-SUM(F$7:F28)</f>
        <v>-0.28731834078543295</v>
      </c>
      <c r="F28" s="13">
        <f t="shared" si="10"/>
        <v>0.16500000000000006</v>
      </c>
      <c r="G28" s="13">
        <f t="shared" si="11"/>
        <v>1</v>
      </c>
      <c r="H28" s="13">
        <f t="shared" si="12"/>
        <v>1</v>
      </c>
      <c r="I28" s="20">
        <f>I27+(I35-I15)/20</f>
        <v>0.16500000000000006</v>
      </c>
      <c r="J28" s="13">
        <f t="shared" si="13"/>
        <v>1.5676816592145675</v>
      </c>
      <c r="K28" s="13"/>
      <c r="L28" s="84">
        <f t="shared" si="15"/>
        <v>53.784435852245281</v>
      </c>
      <c r="M28" s="13">
        <f t="shared" si="3"/>
        <v>54.649850966082099</v>
      </c>
      <c r="N28" s="13">
        <f t="shared" si="4"/>
        <v>2035.0757871077315</v>
      </c>
      <c r="O28" s="13">
        <f t="shared" si="5"/>
        <v>2018.5938672865216</v>
      </c>
      <c r="P28" s="13">
        <f t="shared" si="17"/>
        <v>0.96874306246593556</v>
      </c>
      <c r="R28">
        <v>2033</v>
      </c>
      <c r="S28" s="13">
        <v>27.998858376571174</v>
      </c>
      <c r="T28" s="13">
        <v>27.998858376571174</v>
      </c>
      <c r="U28" s="13">
        <v>27.855423971465228</v>
      </c>
      <c r="W28">
        <v>2033</v>
      </c>
      <c r="X28" s="13">
        <v>13.401725969261983</v>
      </c>
      <c r="Y28" s="13">
        <f t="shared" si="14"/>
        <v>27.998858376571174</v>
      </c>
      <c r="Z28" s="13">
        <v>52.268279683036162</v>
      </c>
      <c r="AB28" s="13">
        <f t="shared" si="6"/>
        <v>46.074760835613823</v>
      </c>
      <c r="AC28" s="13"/>
      <c r="AF28">
        <f t="shared" si="0"/>
        <v>0.88976887605208965</v>
      </c>
      <c r="AG28">
        <f t="shared" si="1"/>
        <v>0.88976887605208965</v>
      </c>
      <c r="AK28">
        <v>24</v>
      </c>
      <c r="AL28">
        <v>0</v>
      </c>
      <c r="AM28">
        <v>0</v>
      </c>
    </row>
    <row r="29" spans="1:39">
      <c r="A29">
        <v>2034</v>
      </c>
      <c r="C29" s="13">
        <f t="shared" si="16"/>
        <v>31.138291268627935</v>
      </c>
      <c r="D29" s="84">
        <f t="shared" si="9"/>
        <v>31.139793836730565</v>
      </c>
      <c r="E29" s="84">
        <f>J29-SUM(F$7:F29)</f>
        <v>-8.3753919528075871E-2</v>
      </c>
      <c r="F29" s="13">
        <f t="shared" si="10"/>
        <v>0.17000000000000007</v>
      </c>
      <c r="G29" s="13">
        <f t="shared" si="11"/>
        <v>1</v>
      </c>
      <c r="H29" s="13">
        <f t="shared" si="12"/>
        <v>1</v>
      </c>
      <c r="I29" s="20">
        <f>I28+(I35-I15)/20</f>
        <v>0.17000000000000007</v>
      </c>
      <c r="J29" s="13">
        <f t="shared" si="13"/>
        <v>1.9412460804719245</v>
      </c>
      <c r="K29" s="13"/>
      <c r="L29" s="84">
        <f t="shared" si="15"/>
        <v>56.841783350856268</v>
      </c>
      <c r="M29" s="13">
        <f t="shared" si="3"/>
        <v>57.593383144374307</v>
      </c>
      <c r="N29" s="13">
        <f t="shared" si="4"/>
        <v>2036.0757871077315</v>
      </c>
      <c r="O29" s="13">
        <f t="shared" si="5"/>
        <v>2018.5938672865216</v>
      </c>
      <c r="P29" s="13">
        <f t="shared" si="17"/>
        <v>0.96874306246593556</v>
      </c>
      <c r="R29">
        <v>2034</v>
      </c>
      <c r="S29" s="13">
        <v>31.138291268627935</v>
      </c>
      <c r="T29" s="13">
        <v>31.138291268627935</v>
      </c>
      <c r="U29" s="13">
        <v>31.138291268627935</v>
      </c>
      <c r="W29">
        <v>2034</v>
      </c>
      <c r="X29" s="13">
        <v>15.524591849928319</v>
      </c>
      <c r="Y29" s="13">
        <f t="shared" si="14"/>
        <v>31.138291268627935</v>
      </c>
      <c r="Z29" s="13">
        <v>55.452556889751804</v>
      </c>
      <c r="AB29" s="13">
        <f t="shared" si="6"/>
        <v>50.824431532284635</v>
      </c>
      <c r="AC29" s="13"/>
      <c r="AF29">
        <f t="shared" si="0"/>
        <v>1.2768572222946144</v>
      </c>
      <c r="AG29">
        <f t="shared" si="1"/>
        <v>1.2768572222946144</v>
      </c>
      <c r="AK29">
        <v>25</v>
      </c>
      <c r="AL29">
        <v>0</v>
      </c>
      <c r="AM29">
        <v>0</v>
      </c>
    </row>
    <row r="30" spans="1:39">
      <c r="A30">
        <v>2035</v>
      </c>
      <c r="C30" s="13">
        <f t="shared" si="16"/>
        <v>34.274158691978428</v>
      </c>
      <c r="D30" s="84">
        <f t="shared" si="9"/>
        <v>34.41689488486498</v>
      </c>
      <c r="E30" s="84">
        <f>J30-SUM(F$7:F30)</f>
        <v>0.11809983812498004</v>
      </c>
      <c r="F30" s="13">
        <f t="shared" si="10"/>
        <v>0.17500000000000007</v>
      </c>
      <c r="G30" s="13">
        <f t="shared" si="11"/>
        <v>1</v>
      </c>
      <c r="H30" s="13">
        <f t="shared" si="12"/>
        <v>1</v>
      </c>
      <c r="I30" s="20">
        <f>I29+(I35-I15)/20</f>
        <v>0.17500000000000007</v>
      </c>
      <c r="J30" s="13">
        <f t="shared" si="13"/>
        <v>2.3180998381249807</v>
      </c>
      <c r="K30" s="13"/>
      <c r="L30" s="84">
        <f t="shared" si="15"/>
        <v>59.173725471202388</v>
      </c>
      <c r="M30" s="13">
        <f t="shared" si="3"/>
        <v>59.77975278287154</v>
      </c>
      <c r="N30" s="13">
        <f t="shared" si="4"/>
        <v>2037.0757871077315</v>
      </c>
      <c r="O30" s="13">
        <f t="shared" si="5"/>
        <v>2018.5938672865216</v>
      </c>
      <c r="P30" s="13">
        <f t="shared" si="17"/>
        <v>0.96874306246593556</v>
      </c>
      <c r="R30">
        <v>2035</v>
      </c>
      <c r="S30" s="13">
        <v>34.274158691978428</v>
      </c>
      <c r="T30" s="13">
        <v>34.274158691978428</v>
      </c>
      <c r="U30" s="13">
        <v>34.274158691978428</v>
      </c>
      <c r="W30">
        <v>2035</v>
      </c>
      <c r="X30" s="13">
        <v>17.83235564705198</v>
      </c>
      <c r="Y30" s="13">
        <f t="shared" si="14"/>
        <v>34.274158691978428</v>
      </c>
      <c r="Z30" s="13">
        <v>57.82135159025087</v>
      </c>
      <c r="AB30" s="13">
        <f t="shared" si="6"/>
        <v>54.649850966082099</v>
      </c>
      <c r="AC30" s="13"/>
      <c r="AF30">
        <f t="shared" si="0"/>
        <v>1.6639455685371374</v>
      </c>
      <c r="AG30">
        <f t="shared" si="1"/>
        <v>1.6639455685371374</v>
      </c>
      <c r="AK30">
        <v>26</v>
      </c>
      <c r="AL30">
        <v>0</v>
      </c>
      <c r="AM30">
        <v>0</v>
      </c>
    </row>
    <row r="31" spans="1:39">
      <c r="A31">
        <v>2036</v>
      </c>
      <c r="C31" s="13">
        <f t="shared" si="16"/>
        <v>37.347456716300776</v>
      </c>
      <c r="D31" s="84">
        <f t="shared" si="9"/>
        <v>37.619168532472116</v>
      </c>
      <c r="E31" s="84">
        <f>J31-SUM(F$7:F31)</f>
        <v>0.31767053479117058</v>
      </c>
      <c r="F31" s="13">
        <f t="shared" si="10"/>
        <v>0.18000000000000008</v>
      </c>
      <c r="G31" s="13">
        <f t="shared" si="11"/>
        <v>1</v>
      </c>
      <c r="H31" s="13">
        <f t="shared" si="12"/>
        <v>1</v>
      </c>
      <c r="I31" s="20">
        <f>I30+(I35-I15)/20</f>
        <v>0.18000000000000008</v>
      </c>
      <c r="J31" s="13">
        <f t="shared" si="13"/>
        <v>2.6976705347911714</v>
      </c>
      <c r="K31" s="13"/>
      <c r="L31" s="84">
        <f t="shared" si="15"/>
        <v>60.897788088377311</v>
      </c>
      <c r="M31" s="13">
        <f t="shared" si="3"/>
        <v>61.361498328668745</v>
      </c>
      <c r="N31" s="13">
        <f t="shared" si="4"/>
        <v>2038.0757871077315</v>
      </c>
      <c r="O31" s="13">
        <f t="shared" si="5"/>
        <v>2018.5938672865216</v>
      </c>
      <c r="P31" s="13">
        <f t="shared" si="17"/>
        <v>0.96874306246593556</v>
      </c>
      <c r="R31">
        <v>2036</v>
      </c>
      <c r="S31" s="13">
        <v>37.347456716300776</v>
      </c>
      <c r="T31" s="13">
        <v>37.347456716300776</v>
      </c>
      <c r="U31" s="13">
        <v>37.347456716300776</v>
      </c>
      <c r="W31">
        <v>2036</v>
      </c>
      <c r="X31" s="13">
        <v>20.309706082446816</v>
      </c>
      <c r="Y31" s="13">
        <f t="shared" si="14"/>
        <v>37.347456716300776</v>
      </c>
      <c r="Z31" s="13">
        <v>59.679339801183751</v>
      </c>
      <c r="AB31" s="13">
        <f t="shared" si="6"/>
        <v>57.593383144374307</v>
      </c>
      <c r="AC31" s="13"/>
      <c r="AF31">
        <f t="shared" si="0"/>
        <v>2.0510339147796603</v>
      </c>
      <c r="AG31">
        <f t="shared" si="1"/>
        <v>2.0510339147796603</v>
      </c>
      <c r="AK31">
        <v>27</v>
      </c>
      <c r="AL31">
        <v>0</v>
      </c>
      <c r="AM31">
        <v>0</v>
      </c>
    </row>
    <row r="32" spans="1:39">
      <c r="A32">
        <v>2037</v>
      </c>
      <c r="C32" s="13">
        <f t="shared" si="16"/>
        <v>40.30282601774848</v>
      </c>
      <c r="D32" s="84">
        <f t="shared" si="9"/>
        <v>40.678826274435089</v>
      </c>
      <c r="E32" s="84">
        <f>J32-SUM(F$7:F32)</f>
        <v>0.51436040044455789</v>
      </c>
      <c r="F32" s="13">
        <f t="shared" si="10"/>
        <v>0.18500000000000008</v>
      </c>
      <c r="G32" s="13">
        <f t="shared" si="11"/>
        <v>1</v>
      </c>
      <c r="H32" s="13">
        <f t="shared" si="12"/>
        <v>1</v>
      </c>
      <c r="I32" s="20">
        <f>I31+(I35-I15)/20</f>
        <v>0.18500000000000008</v>
      </c>
      <c r="J32" s="13">
        <f t="shared" si="13"/>
        <v>3.0793604004445587</v>
      </c>
      <c r="K32" s="13"/>
      <c r="L32" s="84">
        <f t="shared" si="15"/>
        <v>62.142165004276237</v>
      </c>
      <c r="M32" s="13">
        <f t="shared" si="3"/>
        <v>62.484142134015258</v>
      </c>
      <c r="N32" s="13">
        <f t="shared" si="4"/>
        <v>2039.0757871077315</v>
      </c>
      <c r="O32" s="13">
        <f t="shared" si="5"/>
        <v>2018.5938672865216</v>
      </c>
      <c r="P32" s="13">
        <f t="shared" si="17"/>
        <v>0.96874306246593556</v>
      </c>
      <c r="R32">
        <v>2037</v>
      </c>
      <c r="S32" s="13">
        <v>40.30282601774848</v>
      </c>
      <c r="T32" s="13">
        <v>40.30282601774848</v>
      </c>
      <c r="U32" s="13">
        <v>40.30282601774848</v>
      </c>
      <c r="W32">
        <v>2037</v>
      </c>
      <c r="X32" s="13">
        <v>22.931673365862348</v>
      </c>
      <c r="Y32" s="13">
        <f t="shared" si="14"/>
        <v>40.30282601774848</v>
      </c>
      <c r="Z32" s="13">
        <v>61.100843661665941</v>
      </c>
      <c r="AB32" s="13">
        <f t="shared" si="6"/>
        <v>59.77975278287154</v>
      </c>
      <c r="AC32" s="13"/>
      <c r="AF32">
        <f t="shared" si="0"/>
        <v>2.4381222610221833</v>
      </c>
      <c r="AG32">
        <f t="shared" si="1"/>
        <v>2.4381222610221833</v>
      </c>
      <c r="AK32">
        <v>28</v>
      </c>
      <c r="AL32">
        <v>0</v>
      </c>
      <c r="AM32">
        <v>0</v>
      </c>
    </row>
    <row r="33" spans="1:39">
      <c r="A33">
        <v>2038</v>
      </c>
      <c r="C33" s="13">
        <f t="shared" si="16"/>
        <v>43.101068426274978</v>
      </c>
      <c r="D33" s="84">
        <f t="shared" si="9"/>
        <v>43.542109055413</v>
      </c>
      <c r="E33" s="84">
        <f>J33-SUM(F$7:F33)</f>
        <v>0.70763604019498194</v>
      </c>
      <c r="F33" s="13">
        <f t="shared" si="10"/>
        <v>0.19000000000000009</v>
      </c>
      <c r="G33" s="13">
        <f t="shared" si="11"/>
        <v>1</v>
      </c>
      <c r="H33" s="13">
        <f t="shared" si="12"/>
        <v>1</v>
      </c>
      <c r="I33" s="20">
        <f>I32+(I35-I15)/20</f>
        <v>0.19000000000000009</v>
      </c>
      <c r="J33" s="13">
        <f t="shared" si="13"/>
        <v>3.4626360401949827</v>
      </c>
      <c r="K33" s="13"/>
      <c r="L33" s="84">
        <f t="shared" si="15"/>
        <v>63.02437363583573</v>
      </c>
      <c r="M33" s="13">
        <f t="shared" si="3"/>
        <v>63.270164051956705</v>
      </c>
      <c r="N33" s="13">
        <f t="shared" si="4"/>
        <v>2040.0757871077315</v>
      </c>
      <c r="O33" s="13">
        <f t="shared" si="5"/>
        <v>2018.5938672865216</v>
      </c>
      <c r="P33" s="13">
        <f t="shared" si="17"/>
        <v>0.96874306246593556</v>
      </c>
      <c r="R33">
        <v>2038</v>
      </c>
      <c r="S33" s="13">
        <v>43.101068426274978</v>
      </c>
      <c r="T33" s="13">
        <v>43.101068426274978</v>
      </c>
      <c r="U33" s="13">
        <v>43.101068426274978</v>
      </c>
      <c r="W33">
        <v>2038</v>
      </c>
      <c r="X33" s="13">
        <v>25.675376050825516</v>
      </c>
      <c r="Y33" s="13">
        <f t="shared" si="14"/>
        <v>43.101068426274978</v>
      </c>
      <c r="Z33" s="13">
        <v>62.16707674135121</v>
      </c>
      <c r="AB33" s="13">
        <f t="shared" si="6"/>
        <v>61.361498328668745</v>
      </c>
      <c r="AC33" s="13"/>
      <c r="AF33">
        <f t="shared" si="0"/>
        <v>2.8252106072647063</v>
      </c>
      <c r="AG33">
        <f t="shared" si="1"/>
        <v>2.8252106072647063</v>
      </c>
      <c r="AK33">
        <v>29</v>
      </c>
      <c r="AL33">
        <v>0</v>
      </c>
      <c r="AM33">
        <v>0</v>
      </c>
    </row>
    <row r="34" spans="1:39">
      <c r="A34">
        <v>2039</v>
      </c>
      <c r="C34" s="13">
        <f t="shared" si="16"/>
        <v>45.711996159636143</v>
      </c>
      <c r="D34" s="84">
        <f t="shared" si="9"/>
        <v>46.172471408396738</v>
      </c>
      <c r="E34" s="84">
        <f>J34-SUM(F$7:F34)</f>
        <v>0.89706367793246589</v>
      </c>
      <c r="F34" s="13">
        <f t="shared" si="10"/>
        <v>0.19500000000000009</v>
      </c>
      <c r="G34" s="13">
        <f t="shared" si="11"/>
        <v>1</v>
      </c>
      <c r="H34" s="13">
        <f t="shared" si="12"/>
        <v>1</v>
      </c>
      <c r="I34" s="20">
        <f>I33+(I35-I15)/20</f>
        <v>0.19500000000000009</v>
      </c>
      <c r="J34" s="13">
        <f t="shared" si="13"/>
        <v>3.847063677932467</v>
      </c>
      <c r="K34" s="13"/>
      <c r="L34" s="84">
        <f t="shared" si="15"/>
        <v>63.641738141334372</v>
      </c>
      <c r="M34" s="13">
        <f t="shared" si="3"/>
        <v>63.815267723868956</v>
      </c>
      <c r="N34" s="13">
        <f t="shared" si="4"/>
        <v>2041.0757871077315</v>
      </c>
      <c r="O34" s="13">
        <f t="shared" si="5"/>
        <v>2018.5938672865216</v>
      </c>
      <c r="P34" s="13">
        <f t="shared" si="17"/>
        <v>0.96874306246593556</v>
      </c>
      <c r="R34">
        <v>2039</v>
      </c>
      <c r="S34" s="13">
        <v>45.711996159636143</v>
      </c>
      <c r="T34" s="13">
        <v>45.711996159636143</v>
      </c>
      <c r="U34" s="13">
        <v>45.711996159636143</v>
      </c>
      <c r="W34">
        <v>2039</v>
      </c>
      <c r="X34" s="13">
        <v>28.509521776008995</v>
      </c>
      <c r="Y34" s="13">
        <f t="shared" si="14"/>
        <v>45.711996159636143</v>
      </c>
      <c r="Z34" s="13">
        <v>62.954746318205132</v>
      </c>
      <c r="AB34" s="13">
        <f t="shared" si="6"/>
        <v>62.484142134015258</v>
      </c>
      <c r="AC34" s="13"/>
      <c r="AF34">
        <f t="shared" si="0"/>
        <v>3.212298953507231</v>
      </c>
      <c r="AG34">
        <f t="shared" si="1"/>
        <v>3.212298953507231</v>
      </c>
      <c r="AK34">
        <v>30</v>
      </c>
      <c r="AL34">
        <v>0</v>
      </c>
      <c r="AM34">
        <v>0</v>
      </c>
    </row>
    <row r="35" spans="1:39">
      <c r="A35">
        <v>2040</v>
      </c>
      <c r="C35" s="13">
        <f t="shared" si="16"/>
        <v>48.116011769222844</v>
      </c>
      <c r="D35" s="84">
        <f>65*EXP(E35)/(1+EXP(E35))</f>
        <v>48.55051813192685</v>
      </c>
      <c r="E35" s="84">
        <f>J35-SUM(F$7:F35)</f>
        <v>1.0823108874769467</v>
      </c>
      <c r="F35" s="13">
        <f t="shared" si="10"/>
        <v>0.2</v>
      </c>
      <c r="G35" s="13">
        <f t="shared" si="11"/>
        <v>1</v>
      </c>
      <c r="H35" s="13">
        <f t="shared" si="12"/>
        <v>1</v>
      </c>
      <c r="I35" s="89">
        <v>0.2</v>
      </c>
      <c r="J35" s="13">
        <f t="shared" si="13"/>
        <v>4.2323108874769479</v>
      </c>
      <c r="K35" s="13"/>
      <c r="L35" s="84">
        <f t="shared" si="15"/>
        <v>64.069783597851725</v>
      </c>
      <c r="M35" s="13">
        <f t="shared" si="3"/>
        <v>64.190795940668991</v>
      </c>
      <c r="N35" s="13">
        <f t="shared" si="4"/>
        <v>2042.0757871077315</v>
      </c>
      <c r="O35" s="13">
        <f t="shared" si="5"/>
        <v>2018.5938672865216</v>
      </c>
      <c r="P35" s="13">
        <f t="shared" si="17"/>
        <v>0.96874306246593556</v>
      </c>
      <c r="R35" s="87">
        <v>2040</v>
      </c>
      <c r="S35" s="13">
        <v>48.116011769222844</v>
      </c>
      <c r="T35" s="13">
        <v>48.116011769222844</v>
      </c>
      <c r="U35" s="13">
        <v>48.116011769222844</v>
      </c>
      <c r="W35" s="87">
        <v>2040</v>
      </c>
      <c r="X35" s="13">
        <v>31.396419862743539</v>
      </c>
      <c r="Y35" s="13">
        <f t="shared" si="14"/>
        <v>48.116011769222844</v>
      </c>
      <c r="Z35" s="13">
        <v>63.530097398436105</v>
      </c>
      <c r="AB35" s="13">
        <f t="shared" si="6"/>
        <v>63.270164051956705</v>
      </c>
      <c r="AC35" s="13"/>
      <c r="AF35">
        <f t="shared" si="0"/>
        <v>3.599387299749754</v>
      </c>
      <c r="AG35">
        <f t="shared" si="1"/>
        <v>3.599387299749754</v>
      </c>
      <c r="AK35">
        <v>31</v>
      </c>
      <c r="AL35">
        <v>0</v>
      </c>
      <c r="AM35">
        <v>0</v>
      </c>
    </row>
    <row r="36" spans="1:39">
      <c r="A36">
        <v>2041</v>
      </c>
      <c r="C36" s="13">
        <f t="shared" si="16"/>
        <v>50.304092836827785</v>
      </c>
      <c r="D36" s="84">
        <f t="shared" si="9"/>
        <v>50.727490696416083</v>
      </c>
      <c r="E36" s="84">
        <f>J36-SUM(F$7:F36)</f>
        <v>1.2681327257465593</v>
      </c>
      <c r="F36" s="13">
        <f t="shared" si="10"/>
        <v>0.2</v>
      </c>
      <c r="G36" s="13">
        <f t="shared" si="11"/>
        <v>1</v>
      </c>
      <c r="H36" s="13">
        <f t="shared" si="12"/>
        <v>1</v>
      </c>
      <c r="I36" s="89">
        <f>I35</f>
        <v>0.2</v>
      </c>
      <c r="J36" s="13">
        <f t="shared" si="13"/>
        <v>4.6181327257465608</v>
      </c>
      <c r="K36" s="13"/>
      <c r="L36" s="84">
        <f t="shared" si="15"/>
        <v>64.364643020006923</v>
      </c>
      <c r="M36" s="13">
        <f t="shared" si="3"/>
        <v>64.448320856161956</v>
      </c>
      <c r="N36" s="13">
        <f t="shared" si="4"/>
        <v>2043.0757871077315</v>
      </c>
      <c r="O36" s="13">
        <f t="shared" si="5"/>
        <v>2018.5938672865216</v>
      </c>
      <c r="P36" s="13">
        <f t="shared" si="17"/>
        <v>0.96874306246593556</v>
      </c>
      <c r="R36">
        <v>2041</v>
      </c>
      <c r="S36" s="13">
        <v>50.304092836827785</v>
      </c>
      <c r="T36" s="13">
        <v>50.304092836827785</v>
      </c>
      <c r="U36" s="13">
        <v>50.304092836827785</v>
      </c>
      <c r="W36">
        <v>2041</v>
      </c>
      <c r="X36" s="13">
        <v>34.295018311650985</v>
      </c>
      <c r="Y36" s="13">
        <f t="shared" si="14"/>
        <v>50.304092836827785</v>
      </c>
      <c r="Z36" s="13">
        <v>63.946972983920695</v>
      </c>
      <c r="AB36" s="13">
        <f t="shared" si="6"/>
        <v>63.815267723868956</v>
      </c>
      <c r="AF36">
        <f t="shared" si="0"/>
        <v>3.986475645992277</v>
      </c>
      <c r="AG36">
        <f t="shared" si="1"/>
        <v>3.986475645992277</v>
      </c>
      <c r="AK36">
        <v>32</v>
      </c>
      <c r="AL36">
        <v>0</v>
      </c>
      <c r="AM36">
        <v>0</v>
      </c>
    </row>
    <row r="37" spans="1:39">
      <c r="A37">
        <v>2042</v>
      </c>
      <c r="C37" s="13">
        <f t="shared" si="16"/>
        <v>52.276532122181713</v>
      </c>
      <c r="D37" s="84">
        <f t="shared" si="9"/>
        <v>52.69338901839312</v>
      </c>
      <c r="E37" s="84">
        <f>J37-SUM(F$7:F37)</f>
        <v>1.454353405938944</v>
      </c>
      <c r="F37" s="13">
        <f t="shared" si="10"/>
        <v>0.2</v>
      </c>
      <c r="G37" s="13">
        <f t="shared" si="11"/>
        <v>1</v>
      </c>
      <c r="H37" s="13">
        <f t="shared" si="12"/>
        <v>1</v>
      </c>
      <c r="I37" s="89">
        <f t="shared" ref="I37:I50" si="18">I36</f>
        <v>0.2</v>
      </c>
      <c r="J37" s="13">
        <f t="shared" si="13"/>
        <v>5.0043534059389456</v>
      </c>
      <c r="K37" s="13"/>
      <c r="L37" s="84">
        <f t="shared" si="15"/>
        <v>64.566841865408563</v>
      </c>
      <c r="M37" s="13">
        <f t="shared" si="3"/>
        <v>64.624369416601994</v>
      </c>
      <c r="N37" s="13">
        <f t="shared" si="4"/>
        <v>2044.0757871077315</v>
      </c>
      <c r="O37" s="13">
        <f t="shared" si="5"/>
        <v>2018.5938672865216</v>
      </c>
      <c r="P37" s="13">
        <f t="shared" si="17"/>
        <v>0.96874306246593556</v>
      </c>
      <c r="R37">
        <v>2042</v>
      </c>
      <c r="S37" s="13">
        <v>52.276532122181713</v>
      </c>
      <c r="T37" s="13">
        <v>52.276532122181713</v>
      </c>
      <c r="U37" s="13">
        <v>52.276532122181713</v>
      </c>
      <c r="W37">
        <v>2042</v>
      </c>
      <c r="X37" s="13">
        <v>37.164301468659559</v>
      </c>
      <c r="Y37" s="13">
        <f t="shared" si="14"/>
        <v>52.276532122181713</v>
      </c>
      <c r="Z37" s="13">
        <v>64.247335326477085</v>
      </c>
      <c r="AB37" s="13">
        <f t="shared" si="6"/>
        <v>64.190795940668991</v>
      </c>
      <c r="AF37">
        <f t="shared" si="0"/>
        <v>4.3735639922348</v>
      </c>
      <c r="AG37">
        <f t="shared" si="1"/>
        <v>4.3735639922348</v>
      </c>
      <c r="AK37">
        <v>33</v>
      </c>
      <c r="AL37">
        <v>0</v>
      </c>
      <c r="AM37">
        <v>0</v>
      </c>
    </row>
    <row r="38" spans="1:39">
      <c r="A38">
        <v>2043</v>
      </c>
      <c r="C38" s="13">
        <f t="shared" si="16"/>
        <v>54.04096418043077</v>
      </c>
      <c r="D38" s="84">
        <f t="shared" si="9"/>
        <v>54.447277799578991</v>
      </c>
      <c r="E38" s="84">
        <f>J38-SUM(F$7:F38)</f>
        <v>1.6408489985167343</v>
      </c>
      <c r="F38" s="13">
        <f t="shared" si="10"/>
        <v>0.2</v>
      </c>
      <c r="G38" s="13">
        <f t="shared" si="11"/>
        <v>1</v>
      </c>
      <c r="H38" s="13">
        <f t="shared" si="12"/>
        <v>1</v>
      </c>
      <c r="I38" s="89">
        <f t="shared" si="18"/>
        <v>0.2</v>
      </c>
      <c r="J38" s="13">
        <f t="shared" si="13"/>
        <v>5.390848998516736</v>
      </c>
      <c r="K38" s="13"/>
      <c r="L38" s="84">
        <f t="shared" si="15"/>
        <v>64.705067709821222</v>
      </c>
      <c r="M38" s="13">
        <f t="shared" si="3"/>
        <v>64.744461162732719</v>
      </c>
      <c r="N38" s="13">
        <f t="shared" si="4"/>
        <v>2045.0757871077315</v>
      </c>
      <c r="O38" s="13">
        <f t="shared" si="5"/>
        <v>2018.5938672865216</v>
      </c>
      <c r="P38" s="13">
        <f t="shared" si="17"/>
        <v>0.96874306246593556</v>
      </c>
      <c r="R38">
        <v>2043</v>
      </c>
      <c r="S38" s="13">
        <v>54.04096418043077</v>
      </c>
      <c r="T38" s="13">
        <v>54.04096418043077</v>
      </c>
      <c r="U38" s="13">
        <v>54.04096418043077</v>
      </c>
      <c r="W38">
        <v>2043</v>
      </c>
      <c r="X38" s="13">
        <v>39.966391725074097</v>
      </c>
      <c r="Y38" s="13">
        <f t="shared" si="14"/>
        <v>54.04096418043077</v>
      </c>
      <c r="Z38" s="13">
        <v>64.462944318547869</v>
      </c>
      <c r="AB38" s="13">
        <f t="shared" si="6"/>
        <v>64.448320856161956</v>
      </c>
      <c r="AF38">
        <f t="shared" si="0"/>
        <v>4.7606523384773229</v>
      </c>
      <c r="AG38">
        <f t="shared" si="1"/>
        <v>4.7606523384773229</v>
      </c>
      <c r="AK38">
        <v>34</v>
      </c>
      <c r="AL38">
        <v>0</v>
      </c>
      <c r="AM38">
        <v>0</v>
      </c>
    </row>
    <row r="39" spans="1:39">
      <c r="A39">
        <v>2044</v>
      </c>
      <c r="C39" s="13">
        <f t="shared" si="16"/>
        <v>55.610181748818093</v>
      </c>
      <c r="D39" s="84">
        <f t="shared" si="9"/>
        <v>55.995393747669638</v>
      </c>
      <c r="E39" s="84">
        <f>J39-SUM(F$7:F39)</f>
        <v>1.8275331806233837</v>
      </c>
      <c r="F39" s="13">
        <f t="shared" si="10"/>
        <v>0.2</v>
      </c>
      <c r="G39" s="13">
        <f t="shared" si="11"/>
        <v>1</v>
      </c>
      <c r="H39" s="13">
        <f t="shared" si="12"/>
        <v>1</v>
      </c>
      <c r="I39" s="89">
        <f t="shared" si="18"/>
        <v>0.2</v>
      </c>
      <c r="J39" s="13">
        <f t="shared" si="13"/>
        <v>5.7775331806233856</v>
      </c>
      <c r="K39" s="13"/>
      <c r="L39" s="84">
        <f t="shared" si="15"/>
        <v>64.799358886345743</v>
      </c>
      <c r="M39" s="13">
        <f t="shared" si="3"/>
        <v>64.826261950877139</v>
      </c>
      <c r="N39" s="13">
        <f t="shared" si="4"/>
        <v>2046.0757871077315</v>
      </c>
      <c r="O39" s="13">
        <f t="shared" si="5"/>
        <v>2018.5938672865216</v>
      </c>
      <c r="P39" s="13">
        <f t="shared" si="17"/>
        <v>0.96874306246593556</v>
      </c>
      <c r="R39">
        <v>2044</v>
      </c>
      <c r="S39" s="13">
        <v>55.610181748818093</v>
      </c>
      <c r="T39" s="13">
        <v>55.610181748818093</v>
      </c>
      <c r="U39" s="13">
        <v>55.610181748818093</v>
      </c>
      <c r="W39">
        <v>2044</v>
      </c>
      <c r="X39" s="13">
        <v>42.668897575833249</v>
      </c>
      <c r="Y39" s="13">
        <f t="shared" si="14"/>
        <v>55.610181748818093</v>
      </c>
      <c r="Z39" s="13">
        <v>64.617354135050647</v>
      </c>
      <c r="AB39" s="13">
        <f t="shared" si="6"/>
        <v>64.624369416601994</v>
      </c>
      <c r="AF39">
        <f t="shared" si="0"/>
        <v>5.1477406847198477</v>
      </c>
      <c r="AG39">
        <f t="shared" si="1"/>
        <v>5.1477406847198477</v>
      </c>
      <c r="AK39">
        <v>35</v>
      </c>
      <c r="AL39">
        <v>0</v>
      </c>
      <c r="AM39">
        <v>0</v>
      </c>
    </row>
    <row r="40" spans="1:39">
      <c r="A40">
        <v>2045</v>
      </c>
      <c r="C40" s="13">
        <f t="shared" si="16"/>
        <v>56.99213821844905</v>
      </c>
      <c r="D40" s="84">
        <f t="shared" si="9"/>
        <v>57.349184052890564</v>
      </c>
      <c r="E40" s="84">
        <f>J40-SUM(F$7:F40)</f>
        <v>2.0143463140708739</v>
      </c>
      <c r="F40" s="13">
        <f t="shared" si="10"/>
        <v>0.2</v>
      </c>
      <c r="G40" s="13">
        <f t="shared" si="11"/>
        <v>1</v>
      </c>
      <c r="H40" s="13">
        <f t="shared" si="12"/>
        <v>1</v>
      </c>
      <c r="I40" s="89">
        <f t="shared" si="18"/>
        <v>0.2</v>
      </c>
      <c r="J40" s="13">
        <f t="shared" si="13"/>
        <v>6.1643463140708761</v>
      </c>
      <c r="K40" s="13"/>
      <c r="L40" s="84">
        <f t="shared" si="15"/>
        <v>64.863585867529039</v>
      </c>
      <c r="M40" s="13">
        <f t="shared" si="3"/>
        <v>64.881925162732273</v>
      </c>
      <c r="N40" s="13">
        <f t="shared" si="4"/>
        <v>2047.0757871077315</v>
      </c>
      <c r="O40" s="13">
        <f t="shared" si="5"/>
        <v>2018.5938672865216</v>
      </c>
      <c r="P40" s="13">
        <f t="shared" si="17"/>
        <v>0.96874306246593556</v>
      </c>
      <c r="R40">
        <v>2045</v>
      </c>
      <c r="S40" s="13">
        <v>56.99213821844905</v>
      </c>
      <c r="T40" s="13">
        <v>56.99213821844905</v>
      </c>
      <c r="U40" s="13">
        <v>56.99213821844905</v>
      </c>
      <c r="W40">
        <v>2045</v>
      </c>
      <c r="X40" s="13">
        <v>45.23473812171801</v>
      </c>
      <c r="Y40" s="13">
        <f t="shared" si="14"/>
        <v>56.99213821844905</v>
      </c>
      <c r="Z40" s="13">
        <v>64.727656649290594</v>
      </c>
      <c r="AB40" s="13">
        <f t="shared" si="6"/>
        <v>64.744461162732719</v>
      </c>
      <c r="AF40">
        <f t="shared" si="0"/>
        <v>5.5348290309623707</v>
      </c>
      <c r="AG40">
        <f t="shared" si="1"/>
        <v>5.5348290309623707</v>
      </c>
      <c r="AK40">
        <v>36</v>
      </c>
      <c r="AL40">
        <v>0</v>
      </c>
      <c r="AM40">
        <v>0</v>
      </c>
    </row>
    <row r="41" spans="1:39">
      <c r="A41">
        <v>2046</v>
      </c>
      <c r="C41" s="13">
        <f t="shared" si="16"/>
        <v>58.198662431203907</v>
      </c>
      <c r="D41" s="84">
        <f t="shared" si="9"/>
        <v>58.523495816140134</v>
      </c>
      <c r="E41" s="84">
        <f>J41-SUM(F$7:F41)</f>
        <v>2.2012474244913687</v>
      </c>
      <c r="F41" s="13">
        <f t="shared" si="10"/>
        <v>0.2</v>
      </c>
      <c r="G41" s="13">
        <f t="shared" si="11"/>
        <v>1</v>
      </c>
      <c r="H41" s="13">
        <f t="shared" si="12"/>
        <v>1</v>
      </c>
      <c r="I41" s="89">
        <f t="shared" si="18"/>
        <v>0.2</v>
      </c>
      <c r="J41" s="13">
        <f t="shared" si="13"/>
        <v>6.551247424491371</v>
      </c>
      <c r="K41" s="13"/>
      <c r="L41" s="84">
        <f t="shared" si="15"/>
        <v>64.907290790894962</v>
      </c>
      <c r="M41" s="13">
        <f t="shared" si="3"/>
        <v>64.919776738784535</v>
      </c>
      <c r="N41" s="13">
        <f t="shared" si="4"/>
        <v>2048.0757871077312</v>
      </c>
      <c r="O41" s="13">
        <f t="shared" si="5"/>
        <v>2018.5938672865216</v>
      </c>
      <c r="P41" s="13">
        <f t="shared" si="17"/>
        <v>0.96874306246593556</v>
      </c>
      <c r="R41">
        <v>2046</v>
      </c>
      <c r="S41" s="13">
        <v>58.198662431203907</v>
      </c>
      <c r="T41" s="13">
        <v>58.198662431203907</v>
      </c>
      <c r="U41" s="13">
        <v>58.198662431203907</v>
      </c>
      <c r="W41">
        <v>2046</v>
      </c>
      <c r="X41" s="13">
        <v>47.634799102808451</v>
      </c>
      <c r="Y41" s="13">
        <f t="shared" si="14"/>
        <v>58.198662431203907</v>
      </c>
      <c r="Z41" s="13">
        <v>64.806009744550849</v>
      </c>
      <c r="AB41" s="13">
        <f t="shared" si="6"/>
        <v>64.826261950877139</v>
      </c>
      <c r="AF41">
        <f t="shared" si="0"/>
        <v>5.9219173772048936</v>
      </c>
      <c r="AG41">
        <f t="shared" si="1"/>
        <v>5.9219173772048936</v>
      </c>
      <c r="AK41">
        <v>37</v>
      </c>
      <c r="AL41">
        <v>0</v>
      </c>
      <c r="AM41">
        <v>0</v>
      </c>
    </row>
    <row r="42" spans="1:39">
      <c r="A42">
        <v>2047</v>
      </c>
      <c r="C42" s="13">
        <f t="shared" si="16"/>
        <v>59.244042680617497</v>
      </c>
      <c r="D42" s="84">
        <f t="shared" si="9"/>
        <v>59.535041110638083</v>
      </c>
      <c r="E42" s="84">
        <f>J42-SUM(F$7:F42)</f>
        <v>2.3882084663637224</v>
      </c>
      <c r="F42" s="13">
        <f t="shared" si="10"/>
        <v>0.2</v>
      </c>
      <c r="G42" s="13">
        <f t="shared" si="11"/>
        <v>1</v>
      </c>
      <c r="H42" s="13">
        <f t="shared" si="12"/>
        <v>1</v>
      </c>
      <c r="I42" s="89">
        <f t="shared" si="18"/>
        <v>0.2</v>
      </c>
      <c r="J42" s="13">
        <f t="shared" si="13"/>
        <v>6.9382084663637249</v>
      </c>
      <c r="K42" s="13"/>
      <c r="L42" s="84">
        <f t="shared" si="15"/>
        <v>64.937010720400394</v>
      </c>
      <c r="M42" s="13">
        <f t="shared" si="3"/>
        <v>64.945504322518516</v>
      </c>
      <c r="N42" s="13">
        <f t="shared" si="4"/>
        <v>2049.0757871077312</v>
      </c>
      <c r="O42" s="13">
        <f t="shared" si="5"/>
        <v>2018.5938672865216</v>
      </c>
      <c r="P42" s="13">
        <f t="shared" si="17"/>
        <v>0.96874306246593556</v>
      </c>
      <c r="R42">
        <v>2047</v>
      </c>
      <c r="S42" s="13">
        <v>59.244042680617497</v>
      </c>
      <c r="T42" s="13">
        <v>59.244042680617497</v>
      </c>
      <c r="U42" s="13">
        <v>59.244042680617497</v>
      </c>
      <c r="W42">
        <v>2047</v>
      </c>
      <c r="X42" s="13">
        <v>49.848644133888342</v>
      </c>
      <c r="Y42" s="13">
        <f t="shared" si="14"/>
        <v>59.244042680617497</v>
      </c>
      <c r="Z42" s="13">
        <v>64.861183144659577</v>
      </c>
      <c r="AB42" s="13">
        <f t="shared" si="6"/>
        <v>64.881925162732273</v>
      </c>
      <c r="AF42">
        <f t="shared" si="0"/>
        <v>6.3090057234474166</v>
      </c>
      <c r="AG42">
        <f t="shared" si="1"/>
        <v>6.3090057234474166</v>
      </c>
      <c r="AK42">
        <v>38</v>
      </c>
      <c r="AL42">
        <v>0</v>
      </c>
      <c r="AM42">
        <v>0</v>
      </c>
    </row>
    <row r="43" spans="1:39">
      <c r="A43">
        <v>2048</v>
      </c>
      <c r="C43" s="13">
        <f t="shared" si="16"/>
        <v>60.143827237769933</v>
      </c>
      <c r="D43" s="84">
        <f t="shared" si="9"/>
        <v>60.401185983832839</v>
      </c>
      <c r="E43" s="84">
        <f>J43-SUM(F$7:F43)</f>
        <v>2.5752102925611764</v>
      </c>
      <c r="F43" s="13">
        <f t="shared" si="10"/>
        <v>0.2</v>
      </c>
      <c r="G43" s="13">
        <f t="shared" si="11"/>
        <v>1</v>
      </c>
      <c r="H43" s="13">
        <f t="shared" si="12"/>
        <v>1</v>
      </c>
      <c r="I43" s="89">
        <f t="shared" si="18"/>
        <v>0.2</v>
      </c>
      <c r="J43" s="13">
        <f t="shared" si="13"/>
        <v>7.3252102925611791</v>
      </c>
      <c r="K43" s="13"/>
      <c r="L43" s="84">
        <f t="shared" si="15"/>
        <v>64.957211312707543</v>
      </c>
      <c r="M43" s="13">
        <f t="shared" si="3"/>
        <v>64.962985779562317</v>
      </c>
      <c r="N43" s="13">
        <f t="shared" si="4"/>
        <v>2050.0757871077312</v>
      </c>
      <c r="O43" s="13">
        <f t="shared" si="5"/>
        <v>2018.5938672865216</v>
      </c>
      <c r="P43" s="13">
        <f t="shared" si="17"/>
        <v>0.96874306246593556</v>
      </c>
      <c r="R43">
        <v>2048</v>
      </c>
      <c r="S43" s="13">
        <v>60.143827237769933</v>
      </c>
      <c r="T43" s="13">
        <v>60.143827237769933</v>
      </c>
      <c r="U43" s="13">
        <v>60.143827237769933</v>
      </c>
      <c r="W43">
        <v>2048</v>
      </c>
      <c r="X43" s="13">
        <v>51.864430917000178</v>
      </c>
      <c r="Y43" s="13">
        <f t="shared" si="14"/>
        <v>60.143827237769933</v>
      </c>
      <c r="Z43" s="13">
        <v>64.899458289528852</v>
      </c>
      <c r="AB43" s="13">
        <f t="shared" si="6"/>
        <v>64.919776738784535</v>
      </c>
      <c r="AF43">
        <f t="shared" si="0"/>
        <v>6.6960940696899396</v>
      </c>
      <c r="AG43">
        <f t="shared" si="1"/>
        <v>6.6960940696899396</v>
      </c>
      <c r="AK43">
        <v>39</v>
      </c>
      <c r="AL43">
        <v>0</v>
      </c>
      <c r="AM43">
        <v>0</v>
      </c>
    </row>
    <row r="44" spans="1:39">
      <c r="A44">
        <v>2049</v>
      </c>
      <c r="C44" s="13">
        <f t="shared" si="16"/>
        <v>60.902140147650108</v>
      </c>
      <c r="D44" s="84">
        <f t="shared" si="9"/>
        <v>61.139058507677163</v>
      </c>
      <c r="E44" s="84">
        <f>J44-SUM(F$7:F44)</f>
        <v>2.7622398537218755</v>
      </c>
      <c r="F44" s="13">
        <f t="shared" si="10"/>
        <v>0.2</v>
      </c>
      <c r="G44" s="13">
        <f t="shared" si="11"/>
        <v>1</v>
      </c>
      <c r="H44" s="13">
        <f t="shared" si="12"/>
        <v>1</v>
      </c>
      <c r="I44" s="89">
        <f t="shared" si="18"/>
        <v>0.2</v>
      </c>
      <c r="J44" s="13">
        <f t="shared" si="13"/>
        <v>7.7122398537218784</v>
      </c>
      <c r="K44" s="13"/>
      <c r="L44" s="84">
        <f t="shared" si="15"/>
        <v>64.970937302566171</v>
      </c>
      <c r="M44" s="13">
        <f t="shared" si="3"/>
        <v>64.974861598404345</v>
      </c>
      <c r="N44" s="13">
        <f t="shared" si="4"/>
        <v>2051.0757871077312</v>
      </c>
      <c r="O44" s="13">
        <f t="shared" si="5"/>
        <v>2018.5938672865216</v>
      </c>
      <c r="P44" s="13">
        <f t="shared" si="17"/>
        <v>0.96874306246593556</v>
      </c>
      <c r="R44">
        <v>2049</v>
      </c>
      <c r="S44" s="13">
        <v>60.902140147650108</v>
      </c>
      <c r="T44" s="13">
        <v>60.902140147650108</v>
      </c>
      <c r="U44" s="13">
        <v>60.902140147650108</v>
      </c>
      <c r="W44">
        <v>2049</v>
      </c>
      <c r="X44" s="13">
        <v>53.678185788578404</v>
      </c>
      <c r="Y44" s="13">
        <f t="shared" si="14"/>
        <v>60.902140147650108</v>
      </c>
      <c r="Z44" s="13">
        <v>64.925306553326294</v>
      </c>
      <c r="AB44" s="13">
        <f t="shared" si="6"/>
        <v>64.945504322518516</v>
      </c>
      <c r="AF44">
        <f t="shared" si="0"/>
        <v>7.0831824159324643</v>
      </c>
      <c r="AG44">
        <f t="shared" si="1"/>
        <v>7.0831824159324643</v>
      </c>
      <c r="AK44">
        <v>40</v>
      </c>
      <c r="AL44">
        <v>0</v>
      </c>
      <c r="AM44">
        <v>0</v>
      </c>
    </row>
    <row r="45" spans="1:39">
      <c r="A45">
        <v>2050</v>
      </c>
      <c r="C45" s="13">
        <f t="shared" si="16"/>
        <v>61.519184029919494</v>
      </c>
      <c r="D45" s="84">
        <f t="shared" si="9"/>
        <v>61.764939545474064</v>
      </c>
      <c r="E45" s="84">
        <f>J45-SUM(F$7:F45)</f>
        <v>2.9492882667838876</v>
      </c>
      <c r="F45" s="13">
        <f t="shared" si="10"/>
        <v>0.2</v>
      </c>
      <c r="G45" s="13">
        <f t="shared" si="11"/>
        <v>1</v>
      </c>
      <c r="H45" s="13">
        <f t="shared" si="12"/>
        <v>1</v>
      </c>
      <c r="I45" s="89">
        <f t="shared" si="18"/>
        <v>0.2</v>
      </c>
      <c r="J45" s="13">
        <f t="shared" si="13"/>
        <v>8.0992882667838906</v>
      </c>
      <c r="K45" s="13"/>
      <c r="L45" s="84">
        <f t="shared" si="15"/>
        <v>64.980261904049115</v>
      </c>
      <c r="M45" s="13">
        <f t="shared" si="3"/>
        <v>64.982928124268014</v>
      </c>
      <c r="N45" s="13">
        <f t="shared" si="4"/>
        <v>2052.0757871077312</v>
      </c>
      <c r="O45" s="13">
        <f t="shared" si="5"/>
        <v>2018.5938672865216</v>
      </c>
      <c r="P45" s="13">
        <f t="shared" si="17"/>
        <v>0.96874306246593556</v>
      </c>
      <c r="R45">
        <v>2050</v>
      </c>
      <c r="S45" s="13">
        <v>61.519184029919494</v>
      </c>
      <c r="T45" s="13">
        <v>61.519184029919494</v>
      </c>
      <c r="U45" s="13">
        <v>61.519184029919494</v>
      </c>
      <c r="W45">
        <v>2050</v>
      </c>
      <c r="X45" s="13">
        <v>55.292635832527537</v>
      </c>
      <c r="Y45" s="13">
        <f t="shared" si="14"/>
        <v>61.519184029919494</v>
      </c>
      <c r="Z45" s="13">
        <v>64.941891015386176</v>
      </c>
      <c r="AB45" s="13">
        <f t="shared" si="6"/>
        <v>64.962985779562317</v>
      </c>
      <c r="AF45">
        <f t="shared" si="0"/>
        <v>7.4702707621749873</v>
      </c>
      <c r="AG45">
        <f t="shared" si="1"/>
        <v>7.4702707621749873</v>
      </c>
      <c r="AK45">
        <v>41</v>
      </c>
      <c r="AL45">
        <v>0</v>
      </c>
      <c r="AM45">
        <v>0</v>
      </c>
    </row>
    <row r="46" spans="1:39">
      <c r="A46">
        <v>2051</v>
      </c>
      <c r="C46" s="20">
        <f t="shared" si="16"/>
        <v>62.299872477589886</v>
      </c>
      <c r="D46" s="84">
        <f t="shared" si="9"/>
        <v>62.293885647736666</v>
      </c>
      <c r="E46" s="84">
        <f>J46-SUM(F$7:F46)</f>
        <v>3.1363494896435196</v>
      </c>
      <c r="F46" s="13">
        <f t="shared" si="10"/>
        <v>0.2</v>
      </c>
      <c r="G46" s="13">
        <f t="shared" si="11"/>
        <v>1</v>
      </c>
      <c r="H46" s="13">
        <f t="shared" si="12"/>
        <v>1</v>
      </c>
      <c r="I46" s="89">
        <f t="shared" si="18"/>
        <v>0.2</v>
      </c>
      <c r="J46" s="13">
        <f t="shared" si="13"/>
        <v>8.4863494896435228</v>
      </c>
      <c r="K46" s="13"/>
      <c r="L46" s="84">
        <f t="shared" si="15"/>
        <v>64.98659554900452</v>
      </c>
      <c r="M46" s="13">
        <f t="shared" si="3"/>
        <v>64.988406688077632</v>
      </c>
      <c r="N46" s="13">
        <f t="shared" si="4"/>
        <v>2053.0757871077312</v>
      </c>
      <c r="O46" s="13">
        <f t="shared" si="5"/>
        <v>2018.5938672865216</v>
      </c>
      <c r="P46" s="13">
        <f t="shared" si="17"/>
        <v>0.96874306246593556</v>
      </c>
      <c r="AB46" s="13">
        <f t="shared" si="6"/>
        <v>64.974861598404345</v>
      </c>
      <c r="AF46">
        <f t="shared" si="0"/>
        <v>7.8573591084175103</v>
      </c>
      <c r="AG46">
        <f t="shared" si="1"/>
        <v>7.8573591084175103</v>
      </c>
      <c r="AK46">
        <v>42</v>
      </c>
      <c r="AL46">
        <v>0</v>
      </c>
      <c r="AM46">
        <v>0</v>
      </c>
    </row>
    <row r="47" spans="1:39">
      <c r="A47">
        <v>2052</v>
      </c>
      <c r="C47" s="20">
        <f t="shared" si="16"/>
        <v>62.956831117956071</v>
      </c>
      <c r="D47" s="84">
        <f t="shared" si="9"/>
        <v>62.657374422051809</v>
      </c>
      <c r="E47" s="84">
        <f>J47-SUM(F$7:F47)</f>
        <v>3.2864090404587012</v>
      </c>
      <c r="F47" s="13">
        <f t="shared" si="10"/>
        <v>0.2</v>
      </c>
      <c r="G47" s="13">
        <f t="shared" si="11"/>
        <v>1</v>
      </c>
      <c r="H47" s="13">
        <f t="shared" si="12"/>
        <v>1</v>
      </c>
      <c r="I47" s="89">
        <f t="shared" si="18"/>
        <v>0.2</v>
      </c>
      <c r="J47" s="13">
        <f t="shared" si="13"/>
        <v>8.8364090404587046</v>
      </c>
      <c r="K47" s="13"/>
      <c r="L47" s="84">
        <f t="shared" si="15"/>
        <v>64.990554030191518</v>
      </c>
      <c r="M47" s="13">
        <f t="shared" si="3"/>
        <v>64.992127329933254</v>
      </c>
      <c r="N47" s="13">
        <f t="shared" si="4"/>
        <v>2054.0757871077312</v>
      </c>
      <c r="O47" s="13">
        <f t="shared" si="5"/>
        <v>2018.5938672865216</v>
      </c>
      <c r="P47" s="13">
        <f t="shared" si="17"/>
        <v>0.96874306246593556</v>
      </c>
      <c r="AB47" s="13">
        <f t="shared" si="6"/>
        <v>64.982928124268014</v>
      </c>
      <c r="AF47">
        <f t="shared" si="0"/>
        <v>8.244447454660035</v>
      </c>
      <c r="AG47">
        <f t="shared" si="1"/>
        <v>8.244447454660035</v>
      </c>
      <c r="AK47">
        <v>43</v>
      </c>
      <c r="AL47">
        <v>0</v>
      </c>
      <c r="AM47">
        <v>0</v>
      </c>
    </row>
    <row r="48" spans="1:39">
      <c r="A48">
        <v>2053</v>
      </c>
      <c r="C48" s="20">
        <f t="shared" si="16"/>
        <v>63.259793219669227</v>
      </c>
      <c r="D48" s="84">
        <f t="shared" si="9"/>
        <v>62.842802992025838</v>
      </c>
      <c r="E48" s="84">
        <f>J48-SUM(F$7:F48)</f>
        <v>3.3718267201277854</v>
      </c>
      <c r="F48" s="13">
        <f t="shared" si="10"/>
        <v>0.2</v>
      </c>
      <c r="G48" s="13">
        <f t="shared" si="11"/>
        <v>1</v>
      </c>
      <c r="H48" s="13">
        <f t="shared" si="12"/>
        <v>1</v>
      </c>
      <c r="I48" s="89">
        <f t="shared" si="18"/>
        <v>0.2</v>
      </c>
      <c r="J48" s="13">
        <f>LN(L48/(65-L48))</f>
        <v>9.1218267201277889</v>
      </c>
      <c r="K48" s="13"/>
      <c r="L48" s="84">
        <f t="shared" si="15"/>
        <v>64.992899206205777</v>
      </c>
      <c r="M48" s="13">
        <f t="shared" si="3"/>
        <v>64.994654004339324</v>
      </c>
      <c r="N48" s="13">
        <f t="shared" si="4"/>
        <v>2055.0757871077312</v>
      </c>
      <c r="O48" s="13">
        <f t="shared" si="5"/>
        <v>2018.5938672865216</v>
      </c>
      <c r="P48" s="13">
        <f t="shared" si="17"/>
        <v>0.96874306246593556</v>
      </c>
      <c r="AB48" s="13">
        <f t="shared" si="6"/>
        <v>64.988406688077632</v>
      </c>
      <c r="AF48">
        <f t="shared" si="0"/>
        <v>8.6315358009025562</v>
      </c>
      <c r="AG48">
        <f t="shared" si="1"/>
        <v>8.6315358009025562</v>
      </c>
      <c r="AK48">
        <v>44</v>
      </c>
      <c r="AL48">
        <v>0</v>
      </c>
      <c r="AM48">
        <v>0</v>
      </c>
    </row>
    <row r="49" spans="1:39">
      <c r="A49">
        <v>2054</v>
      </c>
      <c r="C49" s="20">
        <f t="shared" si="16"/>
        <v>63.558763954508251</v>
      </c>
      <c r="D49" s="84">
        <f t="shared" si="9"/>
        <v>64.999860244330819</v>
      </c>
      <c r="E49" s="84">
        <f>J49-SUM(F$7:F49)</f>
        <v>13.049999999999997</v>
      </c>
      <c r="F49" s="13">
        <f t="shared" si="10"/>
        <v>0.2</v>
      </c>
      <c r="G49" s="13">
        <f t="shared" si="11"/>
        <v>1</v>
      </c>
      <c r="H49" s="13">
        <f t="shared" si="12"/>
        <v>1</v>
      </c>
      <c r="I49" s="89">
        <f t="shared" si="18"/>
        <v>0.2</v>
      </c>
      <c r="J49" s="13">
        <v>19</v>
      </c>
      <c r="K49" s="13"/>
      <c r="L49" s="84">
        <f>AVERAGE(M45:M50)</f>
        <v>64.991237359216157</v>
      </c>
      <c r="M49" s="13">
        <f t="shared" si="3"/>
        <v>64.994654004339324</v>
      </c>
      <c r="N49" s="13">
        <f t="shared" si="4"/>
        <v>2056.0757871077312</v>
      </c>
      <c r="O49" s="13">
        <f t="shared" si="5"/>
        <v>2018.5938672865216</v>
      </c>
      <c r="P49" s="13">
        <f t="shared" si="17"/>
        <v>0.96874306246593556</v>
      </c>
      <c r="AB49" s="13">
        <f t="shared" si="6"/>
        <v>64.992127329933254</v>
      </c>
      <c r="AF49">
        <f t="shared" si="0"/>
        <v>9.018624147145081</v>
      </c>
      <c r="AG49">
        <f t="shared" si="1"/>
        <v>9.018624147145081</v>
      </c>
      <c r="AK49">
        <v>45</v>
      </c>
      <c r="AL49">
        <v>0</v>
      </c>
      <c r="AM49">
        <v>0</v>
      </c>
    </row>
    <row r="50" spans="1:39">
      <c r="A50">
        <v>2055</v>
      </c>
      <c r="C50" s="20">
        <f t="shared" si="16"/>
        <v>63.874983531201153</v>
      </c>
      <c r="D50" s="84">
        <f>65*EXP(E50)/(1+EXP(E50))</f>
        <v>64.999896466396137</v>
      </c>
      <c r="E50" s="84">
        <f>J50-SUM(F$7:F50)</f>
        <v>13.349999999999996</v>
      </c>
      <c r="F50" s="13">
        <f t="shared" si="10"/>
        <v>0.2</v>
      </c>
      <c r="G50" s="13">
        <f t="shared" si="11"/>
        <v>1</v>
      </c>
      <c r="H50" s="13">
        <f t="shared" si="12"/>
        <v>1</v>
      </c>
      <c r="I50" s="89">
        <f t="shared" si="18"/>
        <v>0.2</v>
      </c>
      <c r="J50" s="13">
        <v>19.5</v>
      </c>
      <c r="K50" s="13"/>
      <c r="L50" s="84">
        <f>AVERAGE(M45:M50)</f>
        <v>64.991237359216157</v>
      </c>
      <c r="M50" s="13">
        <f t="shared" si="3"/>
        <v>64.994654004339324</v>
      </c>
      <c r="N50" s="13">
        <f t="shared" si="4"/>
        <v>2057.0757871077312</v>
      </c>
      <c r="O50" s="13">
        <f t="shared" si="5"/>
        <v>2018.5938672865216</v>
      </c>
      <c r="P50" s="13">
        <f t="shared" si="17"/>
        <v>0.96874306246593556</v>
      </c>
      <c r="AB50" s="13">
        <f t="shared" si="6"/>
        <v>64.994654004339324</v>
      </c>
      <c r="AF50">
        <f t="shared" si="0"/>
        <v>9.4057124933876022</v>
      </c>
      <c r="AG50">
        <f t="shared" si="1"/>
        <v>9.4057124933876022</v>
      </c>
      <c r="AK50">
        <v>46</v>
      </c>
      <c r="AL50">
        <v>0</v>
      </c>
      <c r="AM50">
        <v>0</v>
      </c>
    </row>
    <row r="55" spans="1:39" ht="15.75" thickBot="1">
      <c r="AD55" s="42"/>
    </row>
    <row r="56" spans="1:39">
      <c r="B56" t="s">
        <v>1233</v>
      </c>
      <c r="C56" s="13">
        <f>K69</f>
        <v>0.45960847869702104</v>
      </c>
      <c r="Y56" s="41" t="str">
        <f>' All EV uptake'!D46</f>
        <v>Intercept</v>
      </c>
      <c r="Z56" s="41">
        <f>' All EV uptake'!E46</f>
        <v>2006.0956444042549</v>
      </c>
      <c r="AB56" s="41" t="s">
        <v>159</v>
      </c>
      <c r="AC56" s="41">
        <v>-8.4003514337684688</v>
      </c>
    </row>
    <row r="57" spans="1:39">
      <c r="Y57" s="41" t="str">
        <f>' All EV uptake'!D47</f>
        <v>EV/FFV cost ratio</v>
      </c>
      <c r="Z57" s="41">
        <f>' All EV uptake'!E47</f>
        <v>10.783904112355547</v>
      </c>
      <c r="AB57" t="s">
        <v>329</v>
      </c>
      <c r="AC57" s="41">
        <v>0.38708834624252331</v>
      </c>
    </row>
    <row r="58" spans="1:39">
      <c r="Y58" s="41" t="str">
        <f>' All EV uptake'!D48</f>
        <v>dumKorea</v>
      </c>
      <c r="Z58" s="41">
        <f>' All EV uptake'!E48</f>
        <v>3.2747008164932261</v>
      </c>
      <c r="AB58" t="s">
        <v>1234</v>
      </c>
      <c r="AC58" s="41">
        <v>-0.35879459174386202</v>
      </c>
    </row>
    <row r="59" spans="1:39" ht="15.75" thickBot="1">
      <c r="Y59" s="41" t="str">
        <f>' All EV uptake'!D49</f>
        <v>dumUK</v>
      </c>
      <c r="Z59" s="41">
        <f>' All EV uptake'!E49</f>
        <v>2.7276845521810786</v>
      </c>
      <c r="AB59" t="s">
        <v>1323</v>
      </c>
      <c r="AC59" s="42">
        <v>0.17883203371061565</v>
      </c>
    </row>
    <row r="60" spans="1:39">
      <c r="Y60" s="41" t="str">
        <f>' All EV uptake'!D50</f>
        <v>dumNeth</v>
      </c>
      <c r="Z60" s="41">
        <f>' All EV uptake'!E50</f>
        <v>-1.2544269368470402</v>
      </c>
    </row>
    <row r="61" spans="1:39">
      <c r="F61" s="242">
        <v>2016</v>
      </c>
      <c r="G61" s="242"/>
      <c r="H61" s="242">
        <v>2017</v>
      </c>
      <c r="I61" s="242"/>
      <c r="J61" s="242">
        <v>2018</v>
      </c>
      <c r="K61" s="242"/>
      <c r="Y61" s="41" t="str">
        <f>' All EV uptake'!D51</f>
        <v>dumChina</v>
      </c>
      <c r="Z61" s="41">
        <f>' All EV uptake'!E51</f>
        <v>1.6840641661301363</v>
      </c>
    </row>
    <row r="62" spans="1:39">
      <c r="E62" t="s">
        <v>1235</v>
      </c>
      <c r="F62">
        <v>839</v>
      </c>
      <c r="H62">
        <v>1060</v>
      </c>
      <c r="J62">
        <v>1859</v>
      </c>
      <c r="Y62" s="41" t="str">
        <f>' All EV uptake'!D52</f>
        <v>dumDenmark</v>
      </c>
      <c r="Z62" s="41">
        <f>' All EV uptake'!E52</f>
        <v>3.2654872236791634</v>
      </c>
    </row>
    <row r="63" spans="1:39">
      <c r="E63" t="s">
        <v>1236</v>
      </c>
      <c r="F63">
        <v>611</v>
      </c>
      <c r="G63">
        <f>F62+F63</f>
        <v>1450</v>
      </c>
      <c r="H63">
        <v>1264</v>
      </c>
      <c r="I63">
        <f>H62+H63</f>
        <v>2324</v>
      </c>
      <c r="J63">
        <v>2498</v>
      </c>
      <c r="K63">
        <f>J62+J63</f>
        <v>4357</v>
      </c>
      <c r="Y63" s="41" t="str">
        <f>' All EV uptake'!D53</f>
        <v>dumIreland</v>
      </c>
      <c r="Z63" s="41">
        <f>' All EV uptake'!E53</f>
        <v>3.5582490934682056</v>
      </c>
    </row>
    <row r="64" spans="1:39">
      <c r="E64" t="s">
        <v>1237</v>
      </c>
      <c r="F64">
        <v>613</v>
      </c>
      <c r="H64">
        <v>1188</v>
      </c>
      <c r="Y64" s="41" t="str">
        <f>' All EV uptake'!D54</f>
        <v>dumNZ</v>
      </c>
      <c r="Z64" s="41">
        <f>' All EV uptake'!E54</f>
        <v>1.900474768762227</v>
      </c>
    </row>
    <row r="65" spans="5:26">
      <c r="E65" t="s">
        <v>1238</v>
      </c>
      <c r="F65" s="18">
        <v>768</v>
      </c>
      <c r="G65" s="18">
        <f>SUM(F64:F65)</f>
        <v>1381</v>
      </c>
      <c r="H65" s="18">
        <v>1315</v>
      </c>
      <c r="I65" s="18">
        <f>SUM(H64:H65)</f>
        <v>2503</v>
      </c>
      <c r="J65" s="18"/>
      <c r="K65" s="16">
        <f>K63*I65/I63</f>
        <v>4692.5864888123924</v>
      </c>
      <c r="Y65" s="41" t="str">
        <f>' All EV uptake'!D55</f>
        <v>dumSwitzerland</v>
      </c>
      <c r="Z65" s="41">
        <f>' All EV uptake'!E55</f>
        <v>-2.1041729879229703</v>
      </c>
    </row>
    <row r="66" spans="5:26">
      <c r="F66">
        <f>SUM(F62:F65)</f>
        <v>2831</v>
      </c>
      <c r="G66">
        <f>SUM(G62:G65)</f>
        <v>2831</v>
      </c>
      <c r="H66">
        <f>SUM(H62:H65)</f>
        <v>4827</v>
      </c>
      <c r="I66">
        <f>SUM(I62:I65)</f>
        <v>4827</v>
      </c>
      <c r="K66" s="3">
        <f>SUM(K62:K65)</f>
        <v>9049.5864888123924</v>
      </c>
      <c r="Y66" s="41" t="str">
        <f>' All EV uptake'!D56</f>
        <v>dumSpain</v>
      </c>
      <c r="Z66" s="41">
        <f>' All EV uptake'!E56</f>
        <v>4.4168133039283006</v>
      </c>
    </row>
    <row r="67" spans="5:26">
      <c r="Y67" s="41" t="str">
        <f>' All EV uptake'!D57</f>
        <v>dumIndia</v>
      </c>
      <c r="Z67" s="41">
        <f>' All EV uptake'!E57</f>
        <v>8.3918907463589623</v>
      </c>
    </row>
    <row r="68" spans="5:26">
      <c r="Y68" s="41" t="str">
        <f>' All EV uptake'!D58</f>
        <v>dumUSA</v>
      </c>
      <c r="Z68" s="41">
        <f>' All EV uptake'!E58</f>
        <v>2.1386885311349126</v>
      </c>
    </row>
    <row r="69" spans="5:26">
      <c r="F69" s="13">
        <f>B11</f>
        <v>0.15340151178301467</v>
      </c>
      <c r="H69" s="13">
        <f>B12</f>
        <v>0.24515265193754346</v>
      </c>
      <c r="I69" s="13">
        <f>F69*H66/F66</f>
        <v>0.26155743460848174</v>
      </c>
      <c r="K69" s="13">
        <f>H69*K66/H66</f>
        <v>0.45960847869702104</v>
      </c>
      <c r="Y69" s="41" t="str">
        <f>' All EV uptake'!D59</f>
        <v>dumAustria</v>
      </c>
      <c r="Z69" s="41">
        <f>' All EV uptake'!E59</f>
        <v>-0.86657486911619475</v>
      </c>
    </row>
    <row r="70" spans="5:26">
      <c r="Y70" s="41" t="str">
        <f>' All EV uptake'!D60</f>
        <v>dumItaly</v>
      </c>
      <c r="Z70" s="41">
        <f>' All EV uptake'!E60</f>
        <v>2.0513905871244105</v>
      </c>
    </row>
    <row r="71" spans="5:26">
      <c r="Y71" s="41" t="str">
        <f>' All EV uptake'!D61</f>
        <v>dumJapan</v>
      </c>
      <c r="Z71" s="41">
        <f>' All EV uptake'!E61</f>
        <v>4.0948893434577212</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38"/>
  <sheetViews>
    <sheetView topLeftCell="A88" zoomScale="75" zoomScaleNormal="75" workbookViewId="0">
      <selection activeCell="P118" sqref="P118:AC138"/>
    </sheetView>
  </sheetViews>
  <sheetFormatPr defaultRowHeight="15"/>
  <cols>
    <col min="2" max="2" width="12" customWidth="1"/>
    <col min="6" max="6" width="10.85546875" customWidth="1"/>
    <col min="7" max="7" width="16.28515625" customWidth="1"/>
    <col min="8" max="8" width="15.5703125" customWidth="1"/>
    <col min="11" max="11" width="15.5703125" customWidth="1"/>
  </cols>
  <sheetData>
    <row r="1" spans="1:38">
      <c r="A1" t="s">
        <v>5</v>
      </c>
      <c r="B1" t="s">
        <v>1395</v>
      </c>
      <c r="C1" t="s">
        <v>709</v>
      </c>
      <c r="D1" t="s">
        <v>498</v>
      </c>
      <c r="E1" t="s">
        <v>709</v>
      </c>
      <c r="F1" t="s">
        <v>709</v>
      </c>
      <c r="G1" t="s">
        <v>709</v>
      </c>
      <c r="H1" t="s">
        <v>709</v>
      </c>
      <c r="I1" t="s">
        <v>709</v>
      </c>
      <c r="K1" t="s">
        <v>904</v>
      </c>
      <c r="N1" t="s">
        <v>709</v>
      </c>
      <c r="O1" t="s">
        <v>709</v>
      </c>
      <c r="P1" t="s">
        <v>709</v>
      </c>
      <c r="U1" t="s">
        <v>730</v>
      </c>
      <c r="V1" s="33" t="s">
        <v>715</v>
      </c>
      <c r="W1" s="87" t="s">
        <v>1181</v>
      </c>
      <c r="X1" s="87" t="s">
        <v>1181</v>
      </c>
      <c r="Y1" s="87" t="s">
        <v>1181</v>
      </c>
      <c r="AB1" t="s">
        <v>747</v>
      </c>
    </row>
    <row r="2" spans="1:38">
      <c r="B2" t="s">
        <v>710</v>
      </c>
      <c r="C2" t="s">
        <v>710</v>
      </c>
      <c r="D2" t="s">
        <v>714</v>
      </c>
      <c r="E2" t="s">
        <v>728</v>
      </c>
      <c r="F2" t="s">
        <v>269</v>
      </c>
      <c r="G2" t="s">
        <v>750</v>
      </c>
      <c r="H2" t="s">
        <v>755</v>
      </c>
      <c r="I2" t="s">
        <v>269</v>
      </c>
      <c r="K2" t="s">
        <v>767</v>
      </c>
      <c r="N2" t="s">
        <v>269</v>
      </c>
      <c r="O2" t="s">
        <v>717</v>
      </c>
      <c r="P2" t="s">
        <v>725</v>
      </c>
      <c r="V2" s="33"/>
      <c r="W2" s="87" t="s">
        <v>338</v>
      </c>
      <c r="X2" s="87" t="s">
        <v>1182</v>
      </c>
      <c r="Y2" s="87" t="s">
        <v>1183</v>
      </c>
      <c r="AC2" t="s">
        <v>665</v>
      </c>
    </row>
    <row r="3" spans="1:38">
      <c r="A3">
        <v>2009</v>
      </c>
      <c r="B3" s="3">
        <f>X3</f>
        <v>29.592572886961211</v>
      </c>
      <c r="C3" s="3">
        <f t="shared" ref="C3:C24" si="0">B3*AC3*1000</f>
        <v>21302.040969337188</v>
      </c>
      <c r="D3" s="3">
        <v>20</v>
      </c>
      <c r="E3" s="3">
        <f t="shared" ref="E3:E24" si="1">(C3)*D3/100</f>
        <v>4260.4081938674381</v>
      </c>
      <c r="F3" s="3">
        <f t="shared" ref="F3:F24" si="2">C3+E3</f>
        <v>25562.449163204627</v>
      </c>
      <c r="G3" s="3">
        <v>0</v>
      </c>
      <c r="H3" s="3">
        <f>Austria!I3</f>
        <v>1450</v>
      </c>
      <c r="I3" s="3">
        <f>F3+G3+H3</f>
        <v>27012.449163204627</v>
      </c>
      <c r="K3" s="3">
        <v>0</v>
      </c>
      <c r="M3">
        <v>2009</v>
      </c>
      <c r="N3" s="3">
        <f>I3</f>
        <v>27012.449163204627</v>
      </c>
      <c r="O3" s="3">
        <f>I28</f>
        <v>27012.449163204627</v>
      </c>
      <c r="P3" s="3">
        <f t="shared" ref="P3:P24" si="3">F53</f>
        <v>19867.699000000004</v>
      </c>
      <c r="T3">
        <v>2009</v>
      </c>
      <c r="U3" s="3">
        <f>'Vehicle price'!X5</f>
        <v>23</v>
      </c>
      <c r="V3">
        <v>1</v>
      </c>
      <c r="W3" s="3">
        <f t="shared" ref="W3:W24" si="4">X3*V3</f>
        <v>29.592572886961211</v>
      </c>
      <c r="X3" s="3">
        <f>'Vehicle price'!T5</f>
        <v>29.592572886961211</v>
      </c>
      <c r="Y3" s="3">
        <f>X3*Z3</f>
        <v>29.592572886961211</v>
      </c>
      <c r="Z3">
        <v>1</v>
      </c>
      <c r="AB3">
        <v>2009</v>
      </c>
      <c r="AC3" s="156">
        <v>0.71984416666666673</v>
      </c>
      <c r="AG3" s="3"/>
    </row>
    <row r="4" spans="1:38">
      <c r="A4">
        <v>2010</v>
      </c>
      <c r="B4" s="3">
        <f t="shared" ref="B4:B24" si="5">X4</f>
        <v>30</v>
      </c>
      <c r="C4" s="3">
        <f t="shared" si="0"/>
        <v>22760.138776915202</v>
      </c>
      <c r="D4" s="3">
        <v>20</v>
      </c>
      <c r="E4" s="3">
        <f t="shared" si="1"/>
        <v>4552.027755383041</v>
      </c>
      <c r="F4" s="3">
        <f t="shared" si="2"/>
        <v>27312.166532298244</v>
      </c>
      <c r="G4" s="3">
        <v>0</v>
      </c>
      <c r="H4" s="3">
        <f>Austria!I4</f>
        <v>1450</v>
      </c>
      <c r="I4" s="3">
        <f t="shared" ref="I4:I24" si="6">F4+G4+H4</f>
        <v>28762.166532298244</v>
      </c>
      <c r="K4" s="3">
        <v>0</v>
      </c>
      <c r="M4">
        <v>2010</v>
      </c>
      <c r="N4" s="3">
        <f t="shared" ref="N4:N12" si="7">I4</f>
        <v>28762.166532298244</v>
      </c>
      <c r="O4" s="3">
        <f t="shared" ref="O4:O12" si="8">I29</f>
        <v>28762.166532298244</v>
      </c>
      <c r="P4" s="3">
        <f t="shared" si="3"/>
        <v>20939.327674761986</v>
      </c>
      <c r="T4">
        <v>2010</v>
      </c>
      <c r="U4" s="3">
        <f>'Vehicle price'!X6</f>
        <v>23</v>
      </c>
      <c r="V4">
        <v>1</v>
      </c>
      <c r="W4" s="3">
        <f t="shared" si="4"/>
        <v>30</v>
      </c>
      <c r="X4" s="3">
        <f>'Vehicle price'!T6</f>
        <v>30</v>
      </c>
      <c r="Y4" s="3">
        <f t="shared" ref="Y4:Y24" si="9">X4*Z4</f>
        <v>30</v>
      </c>
      <c r="Z4">
        <v>1</v>
      </c>
      <c r="AB4">
        <v>2010</v>
      </c>
      <c r="AC4" s="156">
        <v>0.75867129256384003</v>
      </c>
      <c r="AG4" s="3"/>
    </row>
    <row r="5" spans="1:38">
      <c r="A5">
        <v>2011</v>
      </c>
      <c r="B5" s="3">
        <f t="shared" si="5"/>
        <v>30</v>
      </c>
      <c r="C5" s="3">
        <f t="shared" si="0"/>
        <v>21463.232997813917</v>
      </c>
      <c r="D5" s="3">
        <v>20</v>
      </c>
      <c r="E5" s="3">
        <f t="shared" si="1"/>
        <v>4292.6465995627832</v>
      </c>
      <c r="F5" s="3">
        <f t="shared" si="2"/>
        <v>25755.879597376701</v>
      </c>
      <c r="G5" s="3">
        <v>0</v>
      </c>
      <c r="H5" s="3">
        <f>Austria!I5</f>
        <v>1450</v>
      </c>
      <c r="I5" s="3">
        <f t="shared" si="6"/>
        <v>27205.879597376701</v>
      </c>
      <c r="K5" s="3">
        <v>0</v>
      </c>
      <c r="M5">
        <v>2011</v>
      </c>
      <c r="N5" s="3">
        <f t="shared" si="7"/>
        <v>27205.879597376701</v>
      </c>
      <c r="O5" s="3">
        <f t="shared" si="8"/>
        <v>27205.879597376701</v>
      </c>
      <c r="P5" s="3">
        <f t="shared" si="3"/>
        <v>19746.174357988803</v>
      </c>
      <c r="T5">
        <v>2011</v>
      </c>
      <c r="U5" s="3">
        <f>'Vehicle price'!X7</f>
        <v>23</v>
      </c>
      <c r="V5">
        <v>1</v>
      </c>
      <c r="W5" s="3">
        <f t="shared" si="4"/>
        <v>30</v>
      </c>
      <c r="X5" s="3">
        <f>'Vehicle price'!T7</f>
        <v>30</v>
      </c>
      <c r="Y5" s="3">
        <f t="shared" si="9"/>
        <v>30</v>
      </c>
      <c r="Z5">
        <v>1</v>
      </c>
      <c r="AB5">
        <v>2011</v>
      </c>
      <c r="AC5" s="156">
        <v>0.71544109992713056</v>
      </c>
      <c r="AG5" s="3"/>
    </row>
    <row r="6" spans="1:38">
      <c r="A6">
        <v>2012</v>
      </c>
      <c r="B6" s="3">
        <f t="shared" si="5"/>
        <v>30.842462459493706</v>
      </c>
      <c r="C6" s="3">
        <f t="shared" si="0"/>
        <v>23868.964632772961</v>
      </c>
      <c r="D6" s="3">
        <v>21</v>
      </c>
      <c r="E6" s="3">
        <f t="shared" si="1"/>
        <v>5012.4825728823216</v>
      </c>
      <c r="F6" s="3">
        <f t="shared" si="2"/>
        <v>28881.447205655284</v>
      </c>
      <c r="G6" s="3">
        <v>0</v>
      </c>
      <c r="H6" s="3">
        <f>Austria!I6</f>
        <v>1450</v>
      </c>
      <c r="I6" s="3">
        <f t="shared" si="6"/>
        <v>30331.447205655284</v>
      </c>
      <c r="K6" s="3">
        <v>0</v>
      </c>
      <c r="M6">
        <v>2012</v>
      </c>
      <c r="N6" s="3">
        <f t="shared" si="7"/>
        <v>30331.447205655284</v>
      </c>
      <c r="O6" s="3">
        <f t="shared" si="8"/>
        <v>30331.447205655284</v>
      </c>
      <c r="P6" s="3">
        <f t="shared" si="3"/>
        <v>21537.621602116909</v>
      </c>
      <c r="T6">
        <v>2012</v>
      </c>
      <c r="U6" s="3">
        <f>'Vehicle price'!X8</f>
        <v>23</v>
      </c>
      <c r="V6">
        <v>1</v>
      </c>
      <c r="W6" s="3">
        <f t="shared" si="4"/>
        <v>30.842462459493706</v>
      </c>
      <c r="X6" s="3">
        <f>'Vehicle price'!T8</f>
        <v>30.842462459493706</v>
      </c>
      <c r="Y6" s="3">
        <f t="shared" si="9"/>
        <v>30.842462459493706</v>
      </c>
      <c r="Z6">
        <v>1</v>
      </c>
      <c r="AB6">
        <v>2012</v>
      </c>
      <c r="AC6" s="156">
        <v>0.773899446716382</v>
      </c>
      <c r="AG6" s="3"/>
    </row>
    <row r="7" spans="1:38">
      <c r="A7">
        <v>2013</v>
      </c>
      <c r="B7" s="3">
        <f t="shared" si="5"/>
        <v>31.143929334439989</v>
      </c>
      <c r="C7" s="3">
        <f t="shared" si="0"/>
        <v>23409.918880648976</v>
      </c>
      <c r="D7" s="3">
        <v>21</v>
      </c>
      <c r="E7" s="3">
        <f t="shared" si="1"/>
        <v>4916.082964936285</v>
      </c>
      <c r="F7" s="3">
        <f t="shared" si="2"/>
        <v>28326.001845585262</v>
      </c>
      <c r="G7" s="3">
        <v>0</v>
      </c>
      <c r="H7" s="3">
        <f>Austria!I7</f>
        <v>1450</v>
      </c>
      <c r="I7" s="3">
        <f t="shared" si="6"/>
        <v>29776.001845585262</v>
      </c>
      <c r="K7" s="3">
        <v>0</v>
      </c>
      <c r="M7">
        <v>2013</v>
      </c>
      <c r="N7" s="3">
        <f t="shared" si="7"/>
        <v>29776.001845585262</v>
      </c>
      <c r="O7" s="3">
        <f t="shared" si="8"/>
        <v>29776.001845585262</v>
      </c>
      <c r="P7" s="3">
        <f t="shared" si="3"/>
        <v>20918.94171259928</v>
      </c>
      <c r="T7">
        <v>2013</v>
      </c>
      <c r="U7" s="3">
        <f>'Vehicle price'!X9</f>
        <v>23</v>
      </c>
      <c r="V7">
        <v>1</v>
      </c>
      <c r="W7" s="3">
        <f t="shared" si="4"/>
        <v>31.143929334439989</v>
      </c>
      <c r="X7" s="3">
        <f>'Vehicle price'!T9</f>
        <v>31.143929334439989</v>
      </c>
      <c r="Y7" s="3">
        <f t="shared" si="9"/>
        <v>31.143929334439989</v>
      </c>
      <c r="Z7">
        <v>1</v>
      </c>
      <c r="AB7">
        <v>2013</v>
      </c>
      <c r="AC7" s="156">
        <v>0.75166876437654617</v>
      </c>
      <c r="AG7" s="3"/>
    </row>
    <row r="8" spans="1:38">
      <c r="A8">
        <v>2014</v>
      </c>
      <c r="B8" s="3">
        <f t="shared" si="5"/>
        <v>33.541755956678692</v>
      </c>
      <c r="C8" s="3">
        <f t="shared" si="0"/>
        <v>25404.118038119632</v>
      </c>
      <c r="D8" s="3">
        <v>22</v>
      </c>
      <c r="E8" s="3">
        <f t="shared" si="1"/>
        <v>5588.9059683863188</v>
      </c>
      <c r="F8" s="3">
        <f t="shared" si="2"/>
        <v>30993.024006505952</v>
      </c>
      <c r="G8" s="3">
        <v>-3000</v>
      </c>
      <c r="H8" s="3">
        <f>Austria!I8</f>
        <v>1450</v>
      </c>
      <c r="I8" s="3">
        <f t="shared" si="6"/>
        <v>29443.024006505952</v>
      </c>
      <c r="K8" s="3">
        <f>810</f>
        <v>810</v>
      </c>
      <c r="M8">
        <v>2014</v>
      </c>
      <c r="N8" s="3">
        <f t="shared" si="7"/>
        <v>29443.024006505952</v>
      </c>
      <c r="O8" s="3">
        <f t="shared" si="8"/>
        <v>29443.024006505952</v>
      </c>
      <c r="P8" s="3">
        <f t="shared" si="3"/>
        <v>21252.302743789391</v>
      </c>
      <c r="T8">
        <v>2014</v>
      </c>
      <c r="U8" s="3">
        <f>'Vehicle price'!X10</f>
        <v>23</v>
      </c>
      <c r="V8">
        <v>1</v>
      </c>
      <c r="W8" s="3">
        <f t="shared" si="4"/>
        <v>33.541755956678692</v>
      </c>
      <c r="X8" s="3">
        <f>'Vehicle price'!T10</f>
        <v>33.541755956678692</v>
      </c>
      <c r="Y8" s="3">
        <f t="shared" si="9"/>
        <v>33.541755956678692</v>
      </c>
      <c r="Z8">
        <v>1</v>
      </c>
      <c r="AB8">
        <v>2014</v>
      </c>
      <c r="AC8" s="156">
        <v>0.757387838338895</v>
      </c>
      <c r="AG8" s="3"/>
    </row>
    <row r="9" spans="1:38">
      <c r="A9">
        <v>2015</v>
      </c>
      <c r="B9" s="3">
        <f t="shared" si="5"/>
        <v>30</v>
      </c>
      <c r="C9" s="3">
        <f t="shared" si="0"/>
        <v>27177.76686239925</v>
      </c>
      <c r="D9" s="3">
        <v>22</v>
      </c>
      <c r="E9" s="3">
        <f t="shared" si="1"/>
        <v>5979.108709727835</v>
      </c>
      <c r="F9" s="3">
        <f t="shared" si="2"/>
        <v>33156.875572127086</v>
      </c>
      <c r="G9" s="3">
        <v>0</v>
      </c>
      <c r="H9" s="3">
        <f>Austria!I9</f>
        <v>1450</v>
      </c>
      <c r="I9" s="3">
        <f t="shared" si="6"/>
        <v>34606.875572127086</v>
      </c>
      <c r="K9" s="3">
        <f>810</f>
        <v>810</v>
      </c>
      <c r="M9">
        <v>2015</v>
      </c>
      <c r="N9" s="3">
        <f t="shared" si="7"/>
        <v>34606.875572127086</v>
      </c>
      <c r="O9" s="3">
        <f t="shared" si="8"/>
        <v>34606.875572127086</v>
      </c>
      <c r="P9" s="3">
        <f t="shared" si="3"/>
        <v>25420.271271964099</v>
      </c>
      <c r="T9">
        <v>2015</v>
      </c>
      <c r="U9" s="3">
        <f>'Vehicle price'!X11</f>
        <v>23</v>
      </c>
      <c r="V9">
        <v>1</v>
      </c>
      <c r="W9" s="3">
        <f t="shared" si="4"/>
        <v>30</v>
      </c>
      <c r="X9" s="3">
        <f>'Vehicle price'!T11</f>
        <v>30</v>
      </c>
      <c r="Y9" s="3">
        <f t="shared" si="9"/>
        <v>30</v>
      </c>
      <c r="Z9">
        <v>1</v>
      </c>
      <c r="AB9">
        <v>2015</v>
      </c>
      <c r="AC9" s="156">
        <v>0.90592556207997499</v>
      </c>
      <c r="AG9" s="3"/>
      <c r="AK9" s="13"/>
      <c r="AL9" s="13"/>
    </row>
    <row r="10" spans="1:38">
      <c r="A10">
        <v>2016</v>
      </c>
      <c r="B10" s="3">
        <f t="shared" si="5"/>
        <v>30</v>
      </c>
      <c r="C10" s="3">
        <f t="shared" si="0"/>
        <v>27202.412312659035</v>
      </c>
      <c r="D10" s="3">
        <v>22</v>
      </c>
      <c r="E10" s="3">
        <f t="shared" si="1"/>
        <v>5984.5307087849869</v>
      </c>
      <c r="F10" s="3">
        <f t="shared" si="2"/>
        <v>33186.943021444022</v>
      </c>
      <c r="G10" s="3">
        <v>0</v>
      </c>
      <c r="H10" s="3">
        <f>Austria!I10</f>
        <v>1450</v>
      </c>
      <c r="I10" s="3">
        <f t="shared" si="6"/>
        <v>34636.943021444022</v>
      </c>
      <c r="K10" s="3">
        <f>810</f>
        <v>810</v>
      </c>
      <c r="M10">
        <v>2016</v>
      </c>
      <c r="N10" s="3">
        <f t="shared" si="7"/>
        <v>34636.943021444022</v>
      </c>
      <c r="O10" s="3">
        <f t="shared" si="8"/>
        <v>34636.943021444022</v>
      </c>
      <c r="P10" s="3">
        <f t="shared" si="3"/>
        <v>25443.322983107086</v>
      </c>
      <c r="T10">
        <v>2016</v>
      </c>
      <c r="U10" s="3">
        <f>'Vehicle price'!X12</f>
        <v>23</v>
      </c>
      <c r="V10">
        <v>1</v>
      </c>
      <c r="W10" s="3">
        <f t="shared" si="4"/>
        <v>30</v>
      </c>
      <c r="X10" s="3">
        <f>'Vehicle price'!T12</f>
        <v>30</v>
      </c>
      <c r="Y10" s="3">
        <f t="shared" si="9"/>
        <v>30</v>
      </c>
      <c r="Z10">
        <v>1</v>
      </c>
      <c r="AB10">
        <v>2016</v>
      </c>
      <c r="AC10" s="156">
        <v>0.90674707708863456</v>
      </c>
      <c r="AG10" s="3"/>
      <c r="AK10" s="13"/>
      <c r="AL10" s="13"/>
    </row>
    <row r="11" spans="1:38">
      <c r="A11">
        <v>2017</v>
      </c>
      <c r="B11" s="3">
        <f t="shared" si="5"/>
        <v>30</v>
      </c>
      <c r="C11" s="3">
        <f t="shared" si="0"/>
        <v>26462.003510368591</v>
      </c>
      <c r="D11" s="3">
        <v>22</v>
      </c>
      <c r="E11" s="3">
        <f t="shared" si="1"/>
        <v>5821.64077228109</v>
      </c>
      <c r="F11" s="3">
        <f t="shared" si="2"/>
        <v>32283.644282649682</v>
      </c>
      <c r="G11" s="3">
        <v>0</v>
      </c>
      <c r="H11" s="3">
        <f>Austria!I11</f>
        <v>1450</v>
      </c>
      <c r="I11" s="3">
        <f t="shared" si="6"/>
        <v>33733.644282649679</v>
      </c>
      <c r="K11" s="3">
        <f>810</f>
        <v>810</v>
      </c>
      <c r="M11">
        <v>2017</v>
      </c>
      <c r="N11" s="3">
        <f t="shared" si="7"/>
        <v>33733.644282649679</v>
      </c>
      <c r="O11" s="3">
        <f t="shared" si="8"/>
        <v>33733.644282649679</v>
      </c>
      <c r="P11" s="3">
        <f t="shared" si="3"/>
        <v>24750.793950031424</v>
      </c>
      <c r="T11">
        <v>2017</v>
      </c>
      <c r="U11" s="3">
        <f>'Vehicle price'!X13</f>
        <v>23</v>
      </c>
      <c r="V11">
        <v>1</v>
      </c>
      <c r="W11" s="3">
        <f t="shared" si="4"/>
        <v>30</v>
      </c>
      <c r="X11" s="3">
        <f>'Vehicle price'!T13</f>
        <v>30</v>
      </c>
      <c r="Y11" s="3">
        <f t="shared" si="9"/>
        <v>30</v>
      </c>
      <c r="Z11">
        <v>1</v>
      </c>
      <c r="AB11">
        <v>2017</v>
      </c>
      <c r="AC11" s="156">
        <v>0.88206678367895308</v>
      </c>
      <c r="AG11" s="3"/>
      <c r="AK11" s="13"/>
      <c r="AL11" s="13"/>
    </row>
    <row r="12" spans="1:38">
      <c r="A12">
        <v>2018</v>
      </c>
      <c r="B12" s="3">
        <f t="shared" si="5"/>
        <v>30.592100851060948</v>
      </c>
      <c r="C12" s="3">
        <f t="shared" si="0"/>
        <v>26003.285723401805</v>
      </c>
      <c r="D12" s="3">
        <v>22</v>
      </c>
      <c r="E12" s="3">
        <f t="shared" si="1"/>
        <v>5720.7228591483972</v>
      </c>
      <c r="F12" s="3">
        <f t="shared" si="2"/>
        <v>31724.008582550203</v>
      </c>
      <c r="G12" s="3">
        <v>0</v>
      </c>
      <c r="H12" s="3">
        <f>Austria!I12</f>
        <v>1450</v>
      </c>
      <c r="I12" s="3">
        <f t="shared" si="6"/>
        <v>33174.008582550203</v>
      </c>
      <c r="K12" s="3">
        <f>810</f>
        <v>810</v>
      </c>
      <c r="M12">
        <v>2018</v>
      </c>
      <c r="N12" s="3">
        <f t="shared" si="7"/>
        <v>33174.008582550203</v>
      </c>
      <c r="O12" s="3">
        <f t="shared" si="8"/>
        <v>33174.008582550203</v>
      </c>
      <c r="P12" s="3">
        <f t="shared" si="3"/>
        <v>23851</v>
      </c>
      <c r="T12">
        <v>2018</v>
      </c>
      <c r="U12" s="3">
        <f>'Vehicle price'!X14</f>
        <v>23</v>
      </c>
      <c r="V12">
        <v>1</v>
      </c>
      <c r="W12" s="3">
        <f t="shared" si="4"/>
        <v>30.592100851060948</v>
      </c>
      <c r="X12" s="3">
        <f>'Vehicle price'!T14</f>
        <v>30.592100851060948</v>
      </c>
      <c r="Y12" s="3">
        <f t="shared" si="9"/>
        <v>30.592100851060948</v>
      </c>
      <c r="Z12">
        <v>1</v>
      </c>
      <c r="AB12">
        <v>2018</v>
      </c>
      <c r="AC12" s="14">
        <v>0.85</v>
      </c>
      <c r="AG12" s="3"/>
      <c r="AK12" s="13"/>
      <c r="AL12" s="13"/>
    </row>
    <row r="13" spans="1:38">
      <c r="A13">
        <v>2019</v>
      </c>
      <c r="B13" s="3">
        <f t="shared" si="5"/>
        <v>31.172994053473918</v>
      </c>
      <c r="C13" s="3">
        <f t="shared" si="0"/>
        <v>26497.044945452828</v>
      </c>
      <c r="D13" s="3">
        <v>22</v>
      </c>
      <c r="E13" s="3">
        <f t="shared" si="1"/>
        <v>5829.3498879996223</v>
      </c>
      <c r="F13" s="3">
        <f t="shared" si="2"/>
        <v>32326.39483345245</v>
      </c>
      <c r="G13" s="3">
        <v>0</v>
      </c>
      <c r="H13" s="3">
        <f>Austria!I13</f>
        <v>1450</v>
      </c>
      <c r="I13" s="3">
        <f t="shared" si="6"/>
        <v>33776.394833452447</v>
      </c>
      <c r="K13" s="3">
        <f>810</f>
        <v>810</v>
      </c>
      <c r="M13">
        <v>2019</v>
      </c>
      <c r="N13" s="3">
        <f t="shared" ref="N13:N24" si="10">I13</f>
        <v>33776.394833452447</v>
      </c>
      <c r="O13" s="3">
        <f t="shared" ref="O13:O24" si="11">I38</f>
        <v>33776.394833452447</v>
      </c>
      <c r="P13" s="3">
        <f t="shared" si="3"/>
        <v>23851</v>
      </c>
      <c r="T13">
        <v>2019</v>
      </c>
      <c r="U13" s="3">
        <f>'Vehicle price'!X15</f>
        <v>23</v>
      </c>
      <c r="V13" s="20">
        <f>V12+(V24-V12)/12</f>
        <v>1.0249999999999999</v>
      </c>
      <c r="W13" s="3">
        <f t="shared" si="4"/>
        <v>31.952318904810763</v>
      </c>
      <c r="X13" s="3">
        <f>'Vehicle price'!T15</f>
        <v>31.172994053473918</v>
      </c>
      <c r="Y13" s="3">
        <f t="shared" si="9"/>
        <v>30.393669202137069</v>
      </c>
      <c r="Z13" s="20">
        <f>Z12+(Z24-Z12)/12</f>
        <v>0.97499999999999998</v>
      </c>
      <c r="AB13">
        <v>2019</v>
      </c>
      <c r="AC13" s="14">
        <v>0.85</v>
      </c>
      <c r="AK13" s="13"/>
      <c r="AL13" s="13"/>
    </row>
    <row r="14" spans="1:38">
      <c r="A14">
        <v>2020</v>
      </c>
      <c r="B14" s="3">
        <f t="shared" si="5"/>
        <v>30.985903123425071</v>
      </c>
      <c r="C14" s="3">
        <f t="shared" si="0"/>
        <v>26338.017654911313</v>
      </c>
      <c r="D14" s="3">
        <v>22</v>
      </c>
      <c r="E14" s="3">
        <f t="shared" si="1"/>
        <v>5794.3638840804888</v>
      </c>
      <c r="F14" s="3">
        <f t="shared" si="2"/>
        <v>32132.381538991802</v>
      </c>
      <c r="G14" s="3">
        <v>0</v>
      </c>
      <c r="H14" s="3">
        <f>Austria!I14</f>
        <v>1450</v>
      </c>
      <c r="I14" s="3">
        <f t="shared" si="6"/>
        <v>33582.381538991802</v>
      </c>
      <c r="K14" s="3">
        <f>810</f>
        <v>810</v>
      </c>
      <c r="M14">
        <v>2020</v>
      </c>
      <c r="N14" s="3">
        <f t="shared" si="10"/>
        <v>33582.381538991802</v>
      </c>
      <c r="O14" s="3">
        <f t="shared" si="11"/>
        <v>33582.381538991802</v>
      </c>
      <c r="P14" s="3">
        <f t="shared" si="3"/>
        <v>23851</v>
      </c>
      <c r="T14">
        <v>2020</v>
      </c>
      <c r="U14" s="3">
        <f>'Vehicle price'!X16</f>
        <v>23</v>
      </c>
      <c r="V14" s="20">
        <f>V13+(V24-V12)/12</f>
        <v>1.0499999999999998</v>
      </c>
      <c r="W14" s="3">
        <f t="shared" si="4"/>
        <v>32.535198279596322</v>
      </c>
      <c r="X14" s="3">
        <f>'Vehicle price'!T16</f>
        <v>30.985903123425071</v>
      </c>
      <c r="Y14" s="3">
        <f t="shared" si="9"/>
        <v>29.436607967253817</v>
      </c>
      <c r="Z14" s="20">
        <f>Z13+(Z24-Z12)/12</f>
        <v>0.95</v>
      </c>
      <c r="AB14">
        <v>2020</v>
      </c>
      <c r="AC14" s="14">
        <v>0.85</v>
      </c>
      <c r="AK14" s="13"/>
      <c r="AL14" s="13"/>
    </row>
    <row r="15" spans="1:38">
      <c r="A15">
        <v>2021</v>
      </c>
      <c r="B15" s="3">
        <f t="shared" si="5"/>
        <v>30.206708843097807</v>
      </c>
      <c r="C15" s="3">
        <f t="shared" si="0"/>
        <v>25675.702516633137</v>
      </c>
      <c r="D15" s="3">
        <v>22</v>
      </c>
      <c r="E15" s="3">
        <f t="shared" si="1"/>
        <v>5648.6545536592903</v>
      </c>
      <c r="F15" s="3">
        <f t="shared" si="2"/>
        <v>31324.357070292426</v>
      </c>
      <c r="G15" s="3">
        <v>0</v>
      </c>
      <c r="H15" s="3">
        <f>Austria!I15</f>
        <v>1450</v>
      </c>
      <c r="I15" s="3">
        <f t="shared" si="6"/>
        <v>32774.357070292426</v>
      </c>
      <c r="K15" s="3">
        <f>810</f>
        <v>810</v>
      </c>
      <c r="M15">
        <v>2021</v>
      </c>
      <c r="N15" s="3">
        <f t="shared" si="10"/>
        <v>32774.357070292426</v>
      </c>
      <c r="O15" s="3">
        <f t="shared" si="11"/>
        <v>32774.357070292426</v>
      </c>
      <c r="P15" s="3">
        <f t="shared" si="3"/>
        <v>23851</v>
      </c>
      <c r="T15">
        <v>2021</v>
      </c>
      <c r="U15" s="3">
        <f>'Vehicle price'!X17</f>
        <v>23</v>
      </c>
      <c r="V15" s="20">
        <f>V14+(V24-V12)/12</f>
        <v>1.0749999999999997</v>
      </c>
      <c r="W15" s="3">
        <f t="shared" si="4"/>
        <v>32.472212006330132</v>
      </c>
      <c r="X15" s="3">
        <f>'Vehicle price'!T17</f>
        <v>30.206708843097807</v>
      </c>
      <c r="Y15" s="3">
        <f t="shared" si="9"/>
        <v>27.941205679865469</v>
      </c>
      <c r="Z15" s="20">
        <f>Z14+(Z24-Z12)/12</f>
        <v>0.92499999999999993</v>
      </c>
      <c r="AB15">
        <v>2021</v>
      </c>
      <c r="AC15" s="14">
        <v>0.85</v>
      </c>
      <c r="AK15" s="13"/>
      <c r="AL15" s="13"/>
    </row>
    <row r="16" spans="1:38">
      <c r="A16">
        <v>2022</v>
      </c>
      <c r="B16" s="3">
        <f t="shared" si="5"/>
        <v>30.642454642697771</v>
      </c>
      <c r="C16" s="3">
        <f t="shared" si="0"/>
        <v>26046.086446293106</v>
      </c>
      <c r="D16" s="3">
        <v>22</v>
      </c>
      <c r="E16" s="3">
        <f t="shared" si="1"/>
        <v>5730.1390181844836</v>
      </c>
      <c r="F16" s="3">
        <f t="shared" si="2"/>
        <v>31776.225464477589</v>
      </c>
      <c r="G16" s="3">
        <v>0</v>
      </c>
      <c r="H16" s="3">
        <f>Austria!I16</f>
        <v>1450</v>
      </c>
      <c r="I16" s="3">
        <f t="shared" si="6"/>
        <v>33226.225464477589</v>
      </c>
      <c r="K16" s="3">
        <f>810</f>
        <v>810</v>
      </c>
      <c r="M16">
        <v>2022</v>
      </c>
      <c r="N16" s="3">
        <f t="shared" si="10"/>
        <v>33226.225464477589</v>
      </c>
      <c r="O16" s="3">
        <f t="shared" si="11"/>
        <v>33226.225464477589</v>
      </c>
      <c r="P16" s="3">
        <f t="shared" si="3"/>
        <v>23851</v>
      </c>
      <c r="T16">
        <v>2022</v>
      </c>
      <c r="U16" s="3">
        <f>'Vehicle price'!X18</f>
        <v>23</v>
      </c>
      <c r="V16" s="20">
        <f>V15+(V24-V12)/12</f>
        <v>1.0999999999999996</v>
      </c>
      <c r="W16" s="3">
        <f t="shared" si="4"/>
        <v>33.706700106967538</v>
      </c>
      <c r="X16" s="3">
        <f>'Vehicle price'!T18</f>
        <v>30.642454642697771</v>
      </c>
      <c r="Y16" s="3">
        <f t="shared" si="9"/>
        <v>27.57820917842799</v>
      </c>
      <c r="Z16" s="20">
        <f>Z15+(Z24-Z12)/12</f>
        <v>0.89999999999999991</v>
      </c>
      <c r="AB16">
        <v>2022</v>
      </c>
      <c r="AC16" s="14">
        <v>0.85</v>
      </c>
      <c r="AK16" s="13"/>
      <c r="AL16" s="13"/>
    </row>
    <row r="17" spans="1:38">
      <c r="A17">
        <v>2023</v>
      </c>
      <c r="B17" s="3">
        <f t="shared" si="5"/>
        <v>30.361546257811007</v>
      </c>
      <c r="C17" s="3">
        <f t="shared" si="0"/>
        <v>25807.314319139354</v>
      </c>
      <c r="D17" s="3">
        <v>22</v>
      </c>
      <c r="E17" s="3">
        <f t="shared" si="1"/>
        <v>5677.6091502106574</v>
      </c>
      <c r="F17" s="3">
        <f t="shared" si="2"/>
        <v>31484.923469350011</v>
      </c>
      <c r="G17" s="3">
        <v>0</v>
      </c>
      <c r="H17" s="3">
        <f>Austria!I17</f>
        <v>1450</v>
      </c>
      <c r="I17" s="3">
        <f t="shared" si="6"/>
        <v>32934.923469350011</v>
      </c>
      <c r="K17" s="3">
        <f>810</f>
        <v>810</v>
      </c>
      <c r="M17">
        <v>2023</v>
      </c>
      <c r="N17" s="3">
        <f t="shared" si="10"/>
        <v>32934.923469350011</v>
      </c>
      <c r="O17" s="3">
        <f t="shared" si="11"/>
        <v>32934.923469350011</v>
      </c>
      <c r="P17" s="3">
        <f t="shared" si="3"/>
        <v>23851</v>
      </c>
      <c r="T17">
        <v>2023</v>
      </c>
      <c r="U17" s="3">
        <f>'Vehicle price'!X19</f>
        <v>23</v>
      </c>
      <c r="V17" s="20">
        <f>V16+(V24-V12)/12</f>
        <v>1.1249999999999996</v>
      </c>
      <c r="W17" s="3">
        <f t="shared" si="4"/>
        <v>34.156739540037371</v>
      </c>
      <c r="X17" s="3">
        <f>'Vehicle price'!T19</f>
        <v>30.361546257811007</v>
      </c>
      <c r="Y17" s="3">
        <f t="shared" si="9"/>
        <v>26.566352975584628</v>
      </c>
      <c r="Z17" s="20">
        <f>Z16+(Z24-Z12)/12</f>
        <v>0.87499999999999989</v>
      </c>
      <c r="AB17">
        <v>2023</v>
      </c>
      <c r="AC17" s="14">
        <v>0.85</v>
      </c>
      <c r="AK17" s="13"/>
      <c r="AL17" s="13"/>
    </row>
    <row r="18" spans="1:38">
      <c r="A18">
        <v>2024</v>
      </c>
      <c r="B18" s="3">
        <f t="shared" si="5"/>
        <v>29.275640447464834</v>
      </c>
      <c r="C18" s="3">
        <f t="shared" si="0"/>
        <v>24884.294380345105</v>
      </c>
      <c r="D18" s="3">
        <v>22</v>
      </c>
      <c r="E18" s="3">
        <f t="shared" si="1"/>
        <v>5474.5447636759236</v>
      </c>
      <c r="F18" s="3">
        <f t="shared" si="2"/>
        <v>30358.839144021029</v>
      </c>
      <c r="G18" s="3">
        <v>0</v>
      </c>
      <c r="H18" s="3">
        <f>Austria!I18</f>
        <v>1450</v>
      </c>
      <c r="I18" s="3">
        <f t="shared" si="6"/>
        <v>31808.839144021029</v>
      </c>
      <c r="K18" s="3">
        <f>810</f>
        <v>810</v>
      </c>
      <c r="M18">
        <v>2024</v>
      </c>
      <c r="N18" s="3">
        <f t="shared" si="10"/>
        <v>31808.839144021029</v>
      </c>
      <c r="O18" s="3">
        <f t="shared" si="11"/>
        <v>31808.839144021029</v>
      </c>
      <c r="P18" s="3">
        <f t="shared" si="3"/>
        <v>23851</v>
      </c>
      <c r="T18">
        <v>2024</v>
      </c>
      <c r="U18" s="3">
        <f>'Vehicle price'!X20</f>
        <v>23</v>
      </c>
      <c r="V18" s="20">
        <f>V17+(V24-V12)/12</f>
        <v>1.1499999999999995</v>
      </c>
      <c r="W18" s="3">
        <f t="shared" si="4"/>
        <v>33.666986514584543</v>
      </c>
      <c r="X18" s="3">
        <f>'Vehicle price'!T20</f>
        <v>29.275640447464834</v>
      </c>
      <c r="Y18" s="3">
        <f t="shared" si="9"/>
        <v>24.884294380345104</v>
      </c>
      <c r="Z18" s="20">
        <f>Z17+(Z24-Z12)/12</f>
        <v>0.84999999999999987</v>
      </c>
      <c r="AB18">
        <v>2024</v>
      </c>
      <c r="AC18" s="14">
        <v>0.85</v>
      </c>
      <c r="AK18" s="13"/>
      <c r="AL18" s="13"/>
    </row>
    <row r="19" spans="1:38">
      <c r="A19">
        <v>2025</v>
      </c>
      <c r="B19" s="3">
        <f t="shared" si="5"/>
        <v>28.343375828936317</v>
      </c>
      <c r="C19" s="3">
        <f t="shared" si="0"/>
        <v>24091.869454595868</v>
      </c>
      <c r="D19" s="3">
        <v>22</v>
      </c>
      <c r="E19" s="3">
        <f t="shared" si="1"/>
        <v>5300.2112800110908</v>
      </c>
      <c r="F19" s="3">
        <f t="shared" si="2"/>
        <v>29392.08073460696</v>
      </c>
      <c r="G19" s="3">
        <v>0</v>
      </c>
      <c r="H19" s="3">
        <f>Austria!I19</f>
        <v>1450</v>
      </c>
      <c r="I19" s="3">
        <f t="shared" si="6"/>
        <v>30842.08073460696</v>
      </c>
      <c r="K19" s="3">
        <f>810</f>
        <v>810</v>
      </c>
      <c r="M19">
        <v>2025</v>
      </c>
      <c r="N19" s="3">
        <f t="shared" si="10"/>
        <v>30842.08073460696</v>
      </c>
      <c r="O19" s="3">
        <f t="shared" si="11"/>
        <v>30842.08073460696</v>
      </c>
      <c r="P19" s="3">
        <f t="shared" si="3"/>
        <v>23851</v>
      </c>
      <c r="T19">
        <v>2025</v>
      </c>
      <c r="U19" s="3">
        <f>'Vehicle price'!X21</f>
        <v>23</v>
      </c>
      <c r="V19" s="20">
        <f>V18+(V24-V12)/12</f>
        <v>1.1749999999999994</v>
      </c>
      <c r="W19" s="3">
        <f t="shared" si="4"/>
        <v>33.303466599000153</v>
      </c>
      <c r="X19" s="3">
        <f>'Vehicle price'!T21</f>
        <v>28.343375828936317</v>
      </c>
      <c r="Y19" s="3">
        <f t="shared" si="9"/>
        <v>23.383285058872456</v>
      </c>
      <c r="Z19" s="20">
        <f>Z18+(Z24-Z12)/12</f>
        <v>0.82499999999999984</v>
      </c>
      <c r="AB19">
        <v>2025</v>
      </c>
      <c r="AC19" s="14">
        <v>0.85</v>
      </c>
      <c r="AK19" s="13"/>
      <c r="AL19" s="13"/>
    </row>
    <row r="20" spans="1:38">
      <c r="A20">
        <v>2026</v>
      </c>
      <c r="B20" s="3">
        <f t="shared" si="5"/>
        <v>27.812270474504896</v>
      </c>
      <c r="C20" s="3">
        <f t="shared" si="0"/>
        <v>23640.429903329161</v>
      </c>
      <c r="D20" s="3">
        <v>22</v>
      </c>
      <c r="E20" s="3">
        <f t="shared" si="1"/>
        <v>5200.8945787324155</v>
      </c>
      <c r="F20" s="3">
        <f t="shared" si="2"/>
        <v>28841.324482061576</v>
      </c>
      <c r="G20" s="3">
        <v>0</v>
      </c>
      <c r="H20" s="3">
        <f>Austria!I20</f>
        <v>1450</v>
      </c>
      <c r="I20" s="3">
        <f t="shared" si="6"/>
        <v>30291.324482061576</v>
      </c>
      <c r="K20" s="3">
        <f>810</f>
        <v>810</v>
      </c>
      <c r="M20">
        <v>2026</v>
      </c>
      <c r="N20" s="3">
        <f t="shared" si="10"/>
        <v>30291.324482061576</v>
      </c>
      <c r="O20" s="3">
        <f t="shared" si="11"/>
        <v>30291.324482061576</v>
      </c>
      <c r="P20" s="3">
        <f t="shared" si="3"/>
        <v>23851</v>
      </c>
      <c r="T20">
        <v>2026</v>
      </c>
      <c r="U20" s="3">
        <f>'Vehicle price'!X22</f>
        <v>23</v>
      </c>
      <c r="V20" s="20">
        <f>V19+(V24-V12)/12</f>
        <v>1.1999999999999993</v>
      </c>
      <c r="W20" s="3">
        <f t="shared" si="4"/>
        <v>33.374724569405856</v>
      </c>
      <c r="X20" s="3">
        <f>'Vehicle price'!T22</f>
        <v>27.812270474504896</v>
      </c>
      <c r="Y20" s="3">
        <f t="shared" si="9"/>
        <v>22.24981637960391</v>
      </c>
      <c r="Z20" s="20">
        <f>Z19+(Z24-Z12)/12</f>
        <v>0.79999999999999982</v>
      </c>
      <c r="AB20">
        <v>2026</v>
      </c>
      <c r="AC20" s="14">
        <v>0.85</v>
      </c>
      <c r="AK20" s="13"/>
      <c r="AL20" s="13"/>
    </row>
    <row r="21" spans="1:38">
      <c r="A21">
        <v>2027</v>
      </c>
      <c r="B21" s="3">
        <f t="shared" si="5"/>
        <v>27.281165120073478</v>
      </c>
      <c r="C21" s="3">
        <f t="shared" si="0"/>
        <v>23188.990352062454</v>
      </c>
      <c r="D21" s="3">
        <v>22</v>
      </c>
      <c r="E21" s="3">
        <f t="shared" si="1"/>
        <v>5101.5778774537393</v>
      </c>
      <c r="F21" s="3">
        <f t="shared" si="2"/>
        <v>28290.568229516193</v>
      </c>
      <c r="G21" s="3">
        <v>0</v>
      </c>
      <c r="H21" s="3">
        <f>Austria!I21</f>
        <v>1450</v>
      </c>
      <c r="I21" s="3">
        <f t="shared" si="6"/>
        <v>29740.568229516193</v>
      </c>
      <c r="K21" s="3">
        <f>810</f>
        <v>810</v>
      </c>
      <c r="M21">
        <v>2027</v>
      </c>
      <c r="N21" s="3">
        <f t="shared" si="10"/>
        <v>29740.568229516193</v>
      </c>
      <c r="O21" s="3">
        <f t="shared" si="11"/>
        <v>29740.568229516193</v>
      </c>
      <c r="P21" s="3">
        <f t="shared" si="3"/>
        <v>23851</v>
      </c>
      <c r="T21">
        <v>2027</v>
      </c>
      <c r="U21" s="3">
        <f>'Vehicle price'!X23</f>
        <v>23</v>
      </c>
      <c r="V21" s="20">
        <f>V20+(V24-V12)/12</f>
        <v>1.2249999999999992</v>
      </c>
      <c r="W21" s="3">
        <f t="shared" si="4"/>
        <v>33.41942727208999</v>
      </c>
      <c r="X21" s="3">
        <f>'Vehicle price'!T23</f>
        <v>27.281165120073478</v>
      </c>
      <c r="Y21" s="3">
        <f t="shared" si="9"/>
        <v>21.142902968056941</v>
      </c>
      <c r="Z21" s="20">
        <f>Z20+(Z24-Z12)/12</f>
        <v>0.7749999999999998</v>
      </c>
      <c r="AB21">
        <v>2027</v>
      </c>
      <c r="AC21" s="14">
        <v>0.85</v>
      </c>
      <c r="AK21" s="13"/>
      <c r="AL21" s="13"/>
    </row>
    <row r="22" spans="1:38">
      <c r="A22">
        <v>2028</v>
      </c>
      <c r="B22" s="3">
        <f t="shared" si="5"/>
        <v>26.683671596338133</v>
      </c>
      <c r="C22" s="3">
        <f t="shared" si="0"/>
        <v>22681.12085688741</v>
      </c>
      <c r="D22" s="3">
        <v>22</v>
      </c>
      <c r="E22" s="3">
        <f t="shared" si="1"/>
        <v>4989.84658851523</v>
      </c>
      <c r="F22" s="3">
        <f t="shared" si="2"/>
        <v>27670.967445402639</v>
      </c>
      <c r="G22" s="3">
        <v>0</v>
      </c>
      <c r="H22" s="3">
        <f>Austria!I22</f>
        <v>1450</v>
      </c>
      <c r="I22" s="3">
        <f t="shared" si="6"/>
        <v>29120.967445402639</v>
      </c>
      <c r="K22" s="3">
        <f>810</f>
        <v>810</v>
      </c>
      <c r="M22">
        <v>2028</v>
      </c>
      <c r="N22" s="3">
        <f t="shared" si="10"/>
        <v>29120.967445402639</v>
      </c>
      <c r="O22" s="3">
        <f t="shared" si="11"/>
        <v>29120.967445402639</v>
      </c>
      <c r="P22" s="3">
        <f t="shared" si="3"/>
        <v>23851</v>
      </c>
      <c r="T22">
        <v>2028</v>
      </c>
      <c r="U22" s="3">
        <f>'Vehicle price'!X24</f>
        <v>23</v>
      </c>
      <c r="V22" s="20">
        <f>V21+(V24-V12)/12</f>
        <v>1.2499999999999991</v>
      </c>
      <c r="W22" s="3">
        <f t="shared" si="4"/>
        <v>33.354589495422644</v>
      </c>
      <c r="X22" s="3">
        <f>'Vehicle price'!T24</f>
        <v>26.683671596338133</v>
      </c>
      <c r="Y22" s="3">
        <f t="shared" si="9"/>
        <v>20.012753697253594</v>
      </c>
      <c r="Z22" s="20">
        <f>Z21+(Z24-Z12)/12</f>
        <v>0.74999999999999978</v>
      </c>
      <c r="AB22">
        <v>2028</v>
      </c>
      <c r="AC22" s="14">
        <v>0.85</v>
      </c>
      <c r="AK22" s="13"/>
      <c r="AL22" s="13"/>
    </row>
    <row r="23" spans="1:38">
      <c r="A23">
        <v>2029</v>
      </c>
      <c r="B23" s="3">
        <f t="shared" si="5"/>
        <v>26.152566241906715</v>
      </c>
      <c r="C23" s="3">
        <f t="shared" si="0"/>
        <v>22229.68130562071</v>
      </c>
      <c r="D23" s="3">
        <v>22</v>
      </c>
      <c r="E23" s="3">
        <f t="shared" si="1"/>
        <v>4890.5298872365565</v>
      </c>
      <c r="F23" s="3">
        <f t="shared" si="2"/>
        <v>27120.211192857267</v>
      </c>
      <c r="G23" s="3">
        <v>0</v>
      </c>
      <c r="H23" s="3">
        <f>Austria!I23</f>
        <v>1450</v>
      </c>
      <c r="I23" s="3">
        <f t="shared" si="6"/>
        <v>28570.211192857267</v>
      </c>
      <c r="K23" s="3">
        <f>810</f>
        <v>810</v>
      </c>
      <c r="M23">
        <v>2029</v>
      </c>
      <c r="N23" s="3">
        <f t="shared" si="10"/>
        <v>28570.211192857267</v>
      </c>
      <c r="O23" s="3">
        <f t="shared" si="11"/>
        <v>28570.211192857267</v>
      </c>
      <c r="P23" s="3">
        <f t="shared" si="3"/>
        <v>23851</v>
      </c>
      <c r="T23">
        <v>2029</v>
      </c>
      <c r="U23" s="3">
        <f>'Vehicle price'!X25</f>
        <v>23</v>
      </c>
      <c r="V23" s="20">
        <f>V22+(V24-V12)/12</f>
        <v>1.274999999999999</v>
      </c>
      <c r="W23" s="3">
        <f t="shared" si="4"/>
        <v>33.344521958431038</v>
      </c>
      <c r="X23" s="3">
        <f>'Vehicle price'!T25</f>
        <v>26.152566241906715</v>
      </c>
      <c r="Y23" s="3">
        <f t="shared" si="9"/>
        <v>18.960610525382361</v>
      </c>
      <c r="Z23" s="20">
        <f>Z22+(Z24-Z12)/12</f>
        <v>0.72499999999999976</v>
      </c>
      <c r="AB23">
        <v>2029</v>
      </c>
      <c r="AC23" s="14">
        <v>0.85</v>
      </c>
      <c r="AK23" s="13"/>
      <c r="AL23" s="13"/>
    </row>
    <row r="24" spans="1:38">
      <c r="A24">
        <v>2030</v>
      </c>
      <c r="B24" s="3">
        <f t="shared" si="5"/>
        <v>25.55507271817137</v>
      </c>
      <c r="C24" s="3">
        <f t="shared" si="0"/>
        <v>21721.811810445666</v>
      </c>
      <c r="D24" s="3">
        <v>22</v>
      </c>
      <c r="E24" s="3">
        <f t="shared" si="1"/>
        <v>4778.7985982980463</v>
      </c>
      <c r="F24" s="3">
        <f t="shared" si="2"/>
        <v>26500.610408743712</v>
      </c>
      <c r="G24" s="3">
        <v>0</v>
      </c>
      <c r="H24" s="3">
        <f>Austria!I24</f>
        <v>1450</v>
      </c>
      <c r="I24" s="3">
        <f t="shared" si="6"/>
        <v>27950.610408743712</v>
      </c>
      <c r="K24" s="3">
        <f>810</f>
        <v>810</v>
      </c>
      <c r="M24">
        <v>2030</v>
      </c>
      <c r="N24" s="3">
        <f t="shared" si="10"/>
        <v>27950.610408743712</v>
      </c>
      <c r="O24" s="3">
        <f t="shared" si="11"/>
        <v>27950.610408743712</v>
      </c>
      <c r="P24" s="3">
        <f t="shared" si="3"/>
        <v>23851</v>
      </c>
      <c r="T24">
        <v>2030</v>
      </c>
      <c r="U24" s="3">
        <f>'Vehicle price'!X26</f>
        <v>23</v>
      </c>
      <c r="V24">
        <v>1.3</v>
      </c>
      <c r="W24" s="3">
        <f t="shared" si="4"/>
        <v>33.221594533622785</v>
      </c>
      <c r="X24" s="3">
        <f>'Vehicle price'!T26</f>
        <v>25.55507271817137</v>
      </c>
      <c r="Y24" s="3">
        <f t="shared" si="9"/>
        <v>17.88855090271996</v>
      </c>
      <c r="Z24">
        <v>0.7</v>
      </c>
      <c r="AB24">
        <v>2030</v>
      </c>
      <c r="AC24" s="14">
        <v>0.85</v>
      </c>
      <c r="AK24" s="13"/>
      <c r="AL24" s="13"/>
    </row>
    <row r="25" spans="1:38">
      <c r="E25" s="3"/>
      <c r="AK25" s="13"/>
      <c r="AL25" s="13"/>
    </row>
    <row r="26" spans="1:38">
      <c r="A26" t="s">
        <v>324</v>
      </c>
      <c r="B26" t="s">
        <v>1395</v>
      </c>
      <c r="C26" t="s">
        <v>709</v>
      </c>
      <c r="D26" t="s">
        <v>498</v>
      </c>
      <c r="E26" t="s">
        <v>709</v>
      </c>
      <c r="F26" t="s">
        <v>709</v>
      </c>
      <c r="G26" t="s">
        <v>709</v>
      </c>
      <c r="H26" t="s">
        <v>709</v>
      </c>
      <c r="I26" t="s">
        <v>709</v>
      </c>
      <c r="K26" t="s">
        <v>904</v>
      </c>
      <c r="AK26" s="13"/>
      <c r="AL26" s="13"/>
    </row>
    <row r="27" spans="1:38">
      <c r="B27" t="s">
        <v>711</v>
      </c>
      <c r="C27" t="s">
        <v>711</v>
      </c>
      <c r="D27" t="s">
        <v>714</v>
      </c>
      <c r="E27" s="3" t="s">
        <v>728</v>
      </c>
      <c r="F27" t="s">
        <v>717</v>
      </c>
      <c r="G27" t="s">
        <v>750</v>
      </c>
      <c r="H27" t="s">
        <v>755</v>
      </c>
      <c r="I27" t="s">
        <v>717</v>
      </c>
      <c r="K27" t="s">
        <v>767</v>
      </c>
      <c r="AE27" s="13"/>
    </row>
    <row r="28" spans="1:38">
      <c r="A28">
        <v>2009</v>
      </c>
      <c r="B28" s="3">
        <f t="shared" ref="B28:B49" si="12">B3</f>
        <v>29.592572886961211</v>
      </c>
      <c r="C28" s="3">
        <f t="shared" ref="C28:C49" si="13">B28*AC3*1000</f>
        <v>21302.040969337188</v>
      </c>
      <c r="D28" s="3">
        <v>20</v>
      </c>
      <c r="E28" s="3">
        <f t="shared" ref="E28:E37" si="14">(C28)*D28/100</f>
        <v>4260.4081938674381</v>
      </c>
      <c r="F28" s="3">
        <f t="shared" ref="F28:F37" si="15">C28+E28</f>
        <v>25562.449163204627</v>
      </c>
      <c r="G28" s="3">
        <v>0</v>
      </c>
      <c r="H28" s="3">
        <f>Austria!I28</f>
        <v>1450</v>
      </c>
      <c r="I28" s="3">
        <f>F28+G28+H28</f>
        <v>27012.449163204627</v>
      </c>
      <c r="K28" s="3">
        <v>0</v>
      </c>
      <c r="AE28" s="72"/>
    </row>
    <row r="29" spans="1:38">
      <c r="A29">
        <v>2010</v>
      </c>
      <c r="B29" s="3">
        <f t="shared" si="12"/>
        <v>30</v>
      </c>
      <c r="C29" s="3">
        <f t="shared" si="13"/>
        <v>22760.138776915202</v>
      </c>
      <c r="D29" s="3">
        <v>20</v>
      </c>
      <c r="E29" s="3">
        <f t="shared" si="14"/>
        <v>4552.027755383041</v>
      </c>
      <c r="F29" s="3">
        <f t="shared" si="15"/>
        <v>27312.166532298244</v>
      </c>
      <c r="G29" s="3">
        <v>0</v>
      </c>
      <c r="H29" s="3">
        <f>Austria!I29</f>
        <v>1450</v>
      </c>
      <c r="I29" s="3">
        <f t="shared" ref="I29:I49" si="16">F29+G29+H29</f>
        <v>28762.166532298244</v>
      </c>
      <c r="K29" s="3">
        <v>0</v>
      </c>
    </row>
    <row r="30" spans="1:38">
      <c r="A30">
        <v>2011</v>
      </c>
      <c r="B30" s="3">
        <f t="shared" si="12"/>
        <v>30</v>
      </c>
      <c r="C30" s="3">
        <f t="shared" si="13"/>
        <v>21463.232997813917</v>
      </c>
      <c r="D30" s="3">
        <v>20</v>
      </c>
      <c r="E30" s="3">
        <f t="shared" si="14"/>
        <v>4292.6465995627832</v>
      </c>
      <c r="F30" s="3">
        <f t="shared" si="15"/>
        <v>25755.879597376701</v>
      </c>
      <c r="G30" s="3">
        <v>0</v>
      </c>
      <c r="H30" s="3">
        <f>Austria!I30</f>
        <v>1450</v>
      </c>
      <c r="I30" s="3">
        <f t="shared" si="16"/>
        <v>27205.879597376701</v>
      </c>
      <c r="K30" s="3">
        <v>0</v>
      </c>
    </row>
    <row r="31" spans="1:38">
      <c r="A31">
        <v>2012</v>
      </c>
      <c r="B31" s="3">
        <f t="shared" si="12"/>
        <v>30.842462459493706</v>
      </c>
      <c r="C31" s="3">
        <f t="shared" si="13"/>
        <v>23868.964632772961</v>
      </c>
      <c r="D31" s="3">
        <v>21</v>
      </c>
      <c r="E31" s="3">
        <f t="shared" si="14"/>
        <v>5012.4825728823216</v>
      </c>
      <c r="F31" s="3">
        <f t="shared" si="15"/>
        <v>28881.447205655284</v>
      </c>
      <c r="G31" s="3">
        <v>0</v>
      </c>
      <c r="H31" s="3">
        <f>Austria!I31</f>
        <v>1450</v>
      </c>
      <c r="I31" s="3">
        <f t="shared" si="16"/>
        <v>30331.447205655284</v>
      </c>
      <c r="K31" s="3">
        <v>0</v>
      </c>
    </row>
    <row r="32" spans="1:38">
      <c r="A32">
        <v>2013</v>
      </c>
      <c r="B32" s="3">
        <f t="shared" si="12"/>
        <v>31.143929334439989</v>
      </c>
      <c r="C32" s="3">
        <f t="shared" si="13"/>
        <v>23409.918880648976</v>
      </c>
      <c r="D32" s="3">
        <v>21</v>
      </c>
      <c r="E32" s="3">
        <f t="shared" si="14"/>
        <v>4916.082964936285</v>
      </c>
      <c r="F32" s="3">
        <f t="shared" si="15"/>
        <v>28326.001845585262</v>
      </c>
      <c r="G32" s="3">
        <v>0</v>
      </c>
      <c r="H32" s="3">
        <f>Austria!I32</f>
        <v>1450</v>
      </c>
      <c r="I32" s="3">
        <f t="shared" si="16"/>
        <v>29776.001845585262</v>
      </c>
      <c r="K32" s="3">
        <v>0</v>
      </c>
    </row>
    <row r="33" spans="1:22">
      <c r="A33">
        <v>2014</v>
      </c>
      <c r="B33" s="3">
        <f t="shared" si="12"/>
        <v>33.541755956678692</v>
      </c>
      <c r="C33" s="3">
        <f t="shared" si="13"/>
        <v>25404.118038119632</v>
      </c>
      <c r="D33" s="3">
        <v>22</v>
      </c>
      <c r="E33" s="3">
        <f t="shared" si="14"/>
        <v>5588.9059683863188</v>
      </c>
      <c r="F33" s="3">
        <f t="shared" si="15"/>
        <v>30993.024006505952</v>
      </c>
      <c r="G33" s="3">
        <v>-3000</v>
      </c>
      <c r="H33" s="3">
        <f>Austria!I33</f>
        <v>1450</v>
      </c>
      <c r="I33" s="3">
        <f t="shared" si="16"/>
        <v>29443.024006505952</v>
      </c>
      <c r="K33" s="3">
        <f>810</f>
        <v>810</v>
      </c>
      <c r="V33" s="167"/>
    </row>
    <row r="34" spans="1:22">
      <c r="A34">
        <v>2015</v>
      </c>
      <c r="B34" s="3">
        <f t="shared" si="12"/>
        <v>30</v>
      </c>
      <c r="C34" s="3">
        <f t="shared" si="13"/>
        <v>27177.76686239925</v>
      </c>
      <c r="D34" s="3">
        <v>22</v>
      </c>
      <c r="E34" s="3">
        <f t="shared" si="14"/>
        <v>5979.108709727835</v>
      </c>
      <c r="F34" s="3">
        <f t="shared" si="15"/>
        <v>33156.875572127086</v>
      </c>
      <c r="G34" s="3">
        <v>0</v>
      </c>
      <c r="H34" s="3">
        <f>Austria!I34</f>
        <v>1450</v>
      </c>
      <c r="I34" s="3">
        <f t="shared" si="16"/>
        <v>34606.875572127086</v>
      </c>
      <c r="K34" s="3">
        <f>810</f>
        <v>810</v>
      </c>
    </row>
    <row r="35" spans="1:22">
      <c r="A35">
        <v>2016</v>
      </c>
      <c r="B35" s="3">
        <f t="shared" si="12"/>
        <v>30</v>
      </c>
      <c r="C35" s="3">
        <f t="shared" si="13"/>
        <v>27202.412312659035</v>
      </c>
      <c r="D35" s="3">
        <v>22</v>
      </c>
      <c r="E35" s="3">
        <f t="shared" si="14"/>
        <v>5984.5307087849869</v>
      </c>
      <c r="F35" s="3">
        <f t="shared" si="15"/>
        <v>33186.943021444022</v>
      </c>
      <c r="G35" s="3">
        <v>0</v>
      </c>
      <c r="H35" s="3">
        <f>Austria!I35</f>
        <v>1450</v>
      </c>
      <c r="I35" s="3">
        <f t="shared" si="16"/>
        <v>34636.943021444022</v>
      </c>
      <c r="K35" s="3">
        <f>810</f>
        <v>810</v>
      </c>
      <c r="V35" s="167"/>
    </row>
    <row r="36" spans="1:22">
      <c r="A36">
        <v>2017</v>
      </c>
      <c r="B36" s="3">
        <f t="shared" si="12"/>
        <v>30</v>
      </c>
      <c r="C36" s="3">
        <f t="shared" si="13"/>
        <v>26462.003510368591</v>
      </c>
      <c r="D36" s="3">
        <v>22</v>
      </c>
      <c r="E36" s="3">
        <f t="shared" si="14"/>
        <v>5821.64077228109</v>
      </c>
      <c r="F36" s="3">
        <f t="shared" si="15"/>
        <v>32283.644282649682</v>
      </c>
      <c r="G36" s="3">
        <v>0</v>
      </c>
      <c r="H36" s="3">
        <f>Austria!I36</f>
        <v>1450</v>
      </c>
      <c r="I36" s="3">
        <f t="shared" si="16"/>
        <v>33733.644282649679</v>
      </c>
      <c r="K36" s="3">
        <f>810</f>
        <v>810</v>
      </c>
      <c r="V36" s="167"/>
    </row>
    <row r="37" spans="1:22">
      <c r="A37">
        <v>2018</v>
      </c>
      <c r="B37" s="3">
        <f t="shared" si="12"/>
        <v>30.592100851060948</v>
      </c>
      <c r="C37" s="3">
        <f t="shared" si="13"/>
        <v>26003.285723401805</v>
      </c>
      <c r="D37" s="3">
        <v>22</v>
      </c>
      <c r="E37" s="3">
        <f t="shared" si="14"/>
        <v>5720.7228591483972</v>
      </c>
      <c r="F37" s="3">
        <f t="shared" si="15"/>
        <v>31724.008582550203</v>
      </c>
      <c r="G37" s="3">
        <v>0</v>
      </c>
      <c r="H37" s="3">
        <f>Austria!I37</f>
        <v>1450</v>
      </c>
      <c r="I37" s="3">
        <f t="shared" si="16"/>
        <v>33174.008582550203</v>
      </c>
      <c r="K37" s="3">
        <f>810</f>
        <v>810</v>
      </c>
      <c r="V37" s="105"/>
    </row>
    <row r="38" spans="1:22">
      <c r="A38">
        <v>2019</v>
      </c>
      <c r="B38" s="3">
        <f t="shared" si="12"/>
        <v>31.172994053473918</v>
      </c>
      <c r="C38" s="3">
        <f t="shared" si="13"/>
        <v>26497.044945452828</v>
      </c>
      <c r="D38" s="3">
        <v>22</v>
      </c>
      <c r="E38" s="3">
        <f t="shared" ref="E38:E49" si="17">(C38)*D38/100</f>
        <v>5829.3498879996223</v>
      </c>
      <c r="F38" s="3">
        <f t="shared" ref="F38:F49" si="18">C38+E38</f>
        <v>32326.39483345245</v>
      </c>
      <c r="G38" s="3">
        <v>0</v>
      </c>
      <c r="H38" s="3">
        <f>Austria!I38</f>
        <v>1450</v>
      </c>
      <c r="I38" s="3">
        <f t="shared" si="16"/>
        <v>33776.394833452447</v>
      </c>
      <c r="K38" s="3">
        <f>810</f>
        <v>810</v>
      </c>
      <c r="V38" s="105"/>
    </row>
    <row r="39" spans="1:22">
      <c r="A39">
        <v>2020</v>
      </c>
      <c r="B39" s="3">
        <f t="shared" si="12"/>
        <v>30.985903123425071</v>
      </c>
      <c r="C39" s="3">
        <f t="shared" si="13"/>
        <v>26338.017654911313</v>
      </c>
      <c r="D39" s="3">
        <v>22</v>
      </c>
      <c r="E39" s="3">
        <f t="shared" si="17"/>
        <v>5794.3638840804888</v>
      </c>
      <c r="F39" s="3">
        <f t="shared" si="18"/>
        <v>32132.381538991802</v>
      </c>
      <c r="G39" s="3">
        <v>0</v>
      </c>
      <c r="H39" s="3">
        <f>Austria!I39</f>
        <v>1450</v>
      </c>
      <c r="I39" s="3">
        <f t="shared" si="16"/>
        <v>33582.381538991802</v>
      </c>
      <c r="K39" s="3">
        <f>810</f>
        <v>810</v>
      </c>
      <c r="V39" s="105"/>
    </row>
    <row r="40" spans="1:22">
      <c r="A40">
        <v>2021</v>
      </c>
      <c r="B40" s="3">
        <f t="shared" si="12"/>
        <v>30.206708843097807</v>
      </c>
      <c r="C40" s="3">
        <f t="shared" si="13"/>
        <v>25675.702516633137</v>
      </c>
      <c r="D40" s="3">
        <v>22</v>
      </c>
      <c r="E40" s="3">
        <f t="shared" si="17"/>
        <v>5648.6545536592903</v>
      </c>
      <c r="F40" s="3">
        <f t="shared" si="18"/>
        <v>31324.357070292426</v>
      </c>
      <c r="G40" s="3">
        <v>0</v>
      </c>
      <c r="H40" s="3">
        <f>Austria!I40</f>
        <v>1450</v>
      </c>
      <c r="I40" s="3">
        <f t="shared" si="16"/>
        <v>32774.357070292426</v>
      </c>
      <c r="K40" s="3">
        <f>810</f>
        <v>810</v>
      </c>
      <c r="V40" s="105"/>
    </row>
    <row r="41" spans="1:22">
      <c r="A41">
        <v>2022</v>
      </c>
      <c r="B41" s="3">
        <f t="shared" si="12"/>
        <v>30.642454642697771</v>
      </c>
      <c r="C41" s="3">
        <f t="shared" si="13"/>
        <v>26046.086446293106</v>
      </c>
      <c r="D41" s="3">
        <v>22</v>
      </c>
      <c r="E41" s="3">
        <f t="shared" si="17"/>
        <v>5730.1390181844836</v>
      </c>
      <c r="F41" s="3">
        <f t="shared" si="18"/>
        <v>31776.225464477589</v>
      </c>
      <c r="G41" s="3">
        <v>0</v>
      </c>
      <c r="H41" s="3">
        <f>Austria!I41</f>
        <v>1450</v>
      </c>
      <c r="I41" s="3">
        <f t="shared" si="16"/>
        <v>33226.225464477589</v>
      </c>
      <c r="K41" s="3">
        <f>810</f>
        <v>810</v>
      </c>
      <c r="V41" s="105"/>
    </row>
    <row r="42" spans="1:22">
      <c r="A42">
        <v>2023</v>
      </c>
      <c r="B42" s="3">
        <f t="shared" si="12"/>
        <v>30.361546257811007</v>
      </c>
      <c r="C42" s="3">
        <f t="shared" si="13"/>
        <v>25807.314319139354</v>
      </c>
      <c r="D42" s="3">
        <v>22</v>
      </c>
      <c r="E42" s="3">
        <f t="shared" si="17"/>
        <v>5677.6091502106574</v>
      </c>
      <c r="F42" s="3">
        <f t="shared" si="18"/>
        <v>31484.923469350011</v>
      </c>
      <c r="G42" s="3">
        <v>0</v>
      </c>
      <c r="H42" s="3">
        <f>Austria!I42</f>
        <v>1450</v>
      </c>
      <c r="I42" s="3">
        <f t="shared" si="16"/>
        <v>32934.923469350011</v>
      </c>
      <c r="K42" s="3">
        <f>810</f>
        <v>810</v>
      </c>
      <c r="V42" s="105"/>
    </row>
    <row r="43" spans="1:22">
      <c r="A43">
        <v>2024</v>
      </c>
      <c r="B43" s="3">
        <f t="shared" si="12"/>
        <v>29.275640447464834</v>
      </c>
      <c r="C43" s="3">
        <f t="shared" si="13"/>
        <v>24884.294380345105</v>
      </c>
      <c r="D43" s="3">
        <v>22</v>
      </c>
      <c r="E43" s="3">
        <f t="shared" si="17"/>
        <v>5474.5447636759236</v>
      </c>
      <c r="F43" s="3">
        <f t="shared" si="18"/>
        <v>30358.839144021029</v>
      </c>
      <c r="G43" s="3">
        <v>0</v>
      </c>
      <c r="H43" s="3">
        <f>Austria!I43</f>
        <v>1450</v>
      </c>
      <c r="I43" s="3">
        <f t="shared" si="16"/>
        <v>31808.839144021029</v>
      </c>
      <c r="K43" s="3">
        <f>810</f>
        <v>810</v>
      </c>
      <c r="V43" s="105"/>
    </row>
    <row r="44" spans="1:22">
      <c r="A44">
        <v>2025</v>
      </c>
      <c r="B44" s="3">
        <f t="shared" si="12"/>
        <v>28.343375828936317</v>
      </c>
      <c r="C44" s="3">
        <f t="shared" si="13"/>
        <v>24091.869454595868</v>
      </c>
      <c r="D44" s="3">
        <v>22</v>
      </c>
      <c r="E44" s="3">
        <f t="shared" si="17"/>
        <v>5300.2112800110908</v>
      </c>
      <c r="F44" s="3">
        <f t="shared" si="18"/>
        <v>29392.08073460696</v>
      </c>
      <c r="G44" s="3">
        <v>0</v>
      </c>
      <c r="H44" s="3">
        <f>Austria!I44</f>
        <v>1450</v>
      </c>
      <c r="I44" s="3">
        <f t="shared" si="16"/>
        <v>30842.08073460696</v>
      </c>
      <c r="K44" s="3">
        <f>810</f>
        <v>810</v>
      </c>
      <c r="V44" s="105"/>
    </row>
    <row r="45" spans="1:22">
      <c r="A45">
        <v>2026</v>
      </c>
      <c r="B45" s="3">
        <f t="shared" si="12"/>
        <v>27.812270474504896</v>
      </c>
      <c r="C45" s="3">
        <f t="shared" si="13"/>
        <v>23640.429903329161</v>
      </c>
      <c r="D45" s="3">
        <v>22</v>
      </c>
      <c r="E45" s="3">
        <f t="shared" si="17"/>
        <v>5200.8945787324155</v>
      </c>
      <c r="F45" s="3">
        <f t="shared" si="18"/>
        <v>28841.324482061576</v>
      </c>
      <c r="G45" s="3">
        <v>0</v>
      </c>
      <c r="H45" s="3">
        <f>Austria!I45</f>
        <v>1450</v>
      </c>
      <c r="I45" s="3">
        <f t="shared" si="16"/>
        <v>30291.324482061576</v>
      </c>
      <c r="K45" s="3">
        <f>810</f>
        <v>810</v>
      </c>
      <c r="V45" s="105"/>
    </row>
    <row r="46" spans="1:22">
      <c r="A46">
        <v>2027</v>
      </c>
      <c r="B46" s="3">
        <f t="shared" si="12"/>
        <v>27.281165120073478</v>
      </c>
      <c r="C46" s="3">
        <f t="shared" si="13"/>
        <v>23188.990352062454</v>
      </c>
      <c r="D46" s="3">
        <v>22</v>
      </c>
      <c r="E46" s="3">
        <f t="shared" si="17"/>
        <v>5101.5778774537393</v>
      </c>
      <c r="F46" s="3">
        <f t="shared" si="18"/>
        <v>28290.568229516193</v>
      </c>
      <c r="G46" s="3">
        <v>0</v>
      </c>
      <c r="H46" s="3">
        <f>Austria!I46</f>
        <v>1450</v>
      </c>
      <c r="I46" s="3">
        <f t="shared" si="16"/>
        <v>29740.568229516193</v>
      </c>
      <c r="K46" s="3">
        <f>810</f>
        <v>810</v>
      </c>
      <c r="V46" s="105"/>
    </row>
    <row r="47" spans="1:22">
      <c r="A47">
        <v>2028</v>
      </c>
      <c r="B47" s="3">
        <f t="shared" si="12"/>
        <v>26.683671596338133</v>
      </c>
      <c r="C47" s="3">
        <f t="shared" si="13"/>
        <v>22681.12085688741</v>
      </c>
      <c r="D47" s="3">
        <v>22</v>
      </c>
      <c r="E47" s="3">
        <f t="shared" si="17"/>
        <v>4989.84658851523</v>
      </c>
      <c r="F47" s="3">
        <f t="shared" si="18"/>
        <v>27670.967445402639</v>
      </c>
      <c r="G47" s="3">
        <v>0</v>
      </c>
      <c r="H47" s="3">
        <f>Austria!I47</f>
        <v>1450</v>
      </c>
      <c r="I47" s="3">
        <f t="shared" si="16"/>
        <v>29120.967445402639</v>
      </c>
      <c r="K47" s="3">
        <f>810</f>
        <v>810</v>
      </c>
      <c r="V47" s="105"/>
    </row>
    <row r="48" spans="1:22">
      <c r="A48">
        <v>2029</v>
      </c>
      <c r="B48" s="3">
        <f t="shared" si="12"/>
        <v>26.152566241906715</v>
      </c>
      <c r="C48" s="3">
        <f t="shared" si="13"/>
        <v>22229.68130562071</v>
      </c>
      <c r="D48" s="3">
        <v>22</v>
      </c>
      <c r="E48" s="3">
        <f t="shared" si="17"/>
        <v>4890.5298872365565</v>
      </c>
      <c r="F48" s="3">
        <f t="shared" si="18"/>
        <v>27120.211192857267</v>
      </c>
      <c r="G48" s="3">
        <v>0</v>
      </c>
      <c r="H48" s="3">
        <f>Austria!I48</f>
        <v>1450</v>
      </c>
      <c r="I48" s="3">
        <f t="shared" si="16"/>
        <v>28570.211192857267</v>
      </c>
      <c r="K48" s="3">
        <f>810</f>
        <v>810</v>
      </c>
      <c r="V48" s="105"/>
    </row>
    <row r="49" spans="1:22">
      <c r="A49">
        <v>2030</v>
      </c>
      <c r="B49" s="3">
        <f t="shared" si="12"/>
        <v>25.55507271817137</v>
      </c>
      <c r="C49" s="3">
        <f t="shared" si="13"/>
        <v>21721.811810445666</v>
      </c>
      <c r="D49" s="3">
        <v>22</v>
      </c>
      <c r="E49" s="3">
        <f t="shared" si="17"/>
        <v>4778.7985982980463</v>
      </c>
      <c r="F49" s="3">
        <f t="shared" si="18"/>
        <v>26500.610408743712</v>
      </c>
      <c r="G49" s="3">
        <v>0</v>
      </c>
      <c r="H49" s="3">
        <f>Austria!I49</f>
        <v>1450</v>
      </c>
      <c r="I49" s="3">
        <f t="shared" si="16"/>
        <v>27950.610408743712</v>
      </c>
      <c r="K49" s="3">
        <f>810</f>
        <v>810</v>
      </c>
      <c r="V49" s="105"/>
    </row>
    <row r="50" spans="1:22">
      <c r="V50" s="167"/>
    </row>
    <row r="51" spans="1:22">
      <c r="A51" t="s">
        <v>716</v>
      </c>
      <c r="B51" t="s">
        <v>1395</v>
      </c>
      <c r="C51" t="s">
        <v>709</v>
      </c>
      <c r="D51" t="s">
        <v>498</v>
      </c>
      <c r="E51" t="s">
        <v>709</v>
      </c>
      <c r="F51" t="s">
        <v>709</v>
      </c>
    </row>
    <row r="52" spans="1:22">
      <c r="B52" t="s">
        <v>724</v>
      </c>
      <c r="C52" t="s">
        <v>724</v>
      </c>
      <c r="D52" t="s">
        <v>714</v>
      </c>
      <c r="E52" t="s">
        <v>728</v>
      </c>
      <c r="F52" t="s">
        <v>725</v>
      </c>
    </row>
    <row r="53" spans="1:22">
      <c r="A53">
        <v>2009</v>
      </c>
      <c r="B53" s="3">
        <f t="shared" ref="B53:B74" si="19">U3</f>
        <v>23</v>
      </c>
      <c r="C53" s="3">
        <f t="shared" ref="C53:C74" si="20">B53*AC3*1000</f>
        <v>16556.415833333336</v>
      </c>
      <c r="D53" s="3">
        <v>20</v>
      </c>
      <c r="E53" s="3">
        <f t="shared" ref="E53:E74" si="21">(C53)*D53/100</f>
        <v>3311.2831666666671</v>
      </c>
      <c r="F53" s="3">
        <f t="shared" ref="F53:F74" si="22">C53+E53</f>
        <v>19867.699000000004</v>
      </c>
    </row>
    <row r="54" spans="1:22">
      <c r="A54">
        <v>2010</v>
      </c>
      <c r="B54" s="3">
        <f t="shared" si="19"/>
        <v>23</v>
      </c>
      <c r="C54" s="3">
        <f t="shared" si="20"/>
        <v>17449.439728968322</v>
      </c>
      <c r="D54" s="3">
        <v>20</v>
      </c>
      <c r="E54" s="3">
        <f t="shared" si="21"/>
        <v>3489.8879457936646</v>
      </c>
      <c r="F54" s="3">
        <f t="shared" si="22"/>
        <v>20939.327674761986</v>
      </c>
    </row>
    <row r="55" spans="1:22">
      <c r="A55">
        <v>2011</v>
      </c>
      <c r="B55" s="3">
        <f t="shared" si="19"/>
        <v>23</v>
      </c>
      <c r="C55" s="3">
        <f t="shared" si="20"/>
        <v>16455.145298324001</v>
      </c>
      <c r="D55" s="3">
        <v>20</v>
      </c>
      <c r="E55" s="3">
        <f t="shared" si="21"/>
        <v>3291.0290596648001</v>
      </c>
      <c r="F55" s="3">
        <f t="shared" si="22"/>
        <v>19746.174357988803</v>
      </c>
    </row>
    <row r="56" spans="1:22">
      <c r="A56">
        <v>2012</v>
      </c>
      <c r="B56" s="3">
        <f t="shared" si="19"/>
        <v>23</v>
      </c>
      <c r="C56" s="3">
        <f t="shared" si="20"/>
        <v>17799.687274476786</v>
      </c>
      <c r="D56">
        <v>21</v>
      </c>
      <c r="E56" s="3">
        <f t="shared" si="21"/>
        <v>3737.934327640125</v>
      </c>
      <c r="F56" s="3">
        <f t="shared" si="22"/>
        <v>21537.621602116909</v>
      </c>
    </row>
    <row r="57" spans="1:22">
      <c r="A57">
        <v>2013</v>
      </c>
      <c r="B57" s="3">
        <f t="shared" si="19"/>
        <v>23</v>
      </c>
      <c r="C57" s="3">
        <f t="shared" si="20"/>
        <v>17288.381580660563</v>
      </c>
      <c r="D57">
        <v>21</v>
      </c>
      <c r="E57" s="3">
        <f t="shared" si="21"/>
        <v>3630.5601319387183</v>
      </c>
      <c r="F57" s="3">
        <f t="shared" si="22"/>
        <v>20918.94171259928</v>
      </c>
    </row>
    <row r="58" spans="1:22">
      <c r="A58">
        <v>2014</v>
      </c>
      <c r="B58" s="3">
        <f t="shared" si="19"/>
        <v>23</v>
      </c>
      <c r="C58" s="3">
        <f t="shared" si="20"/>
        <v>17419.920281794584</v>
      </c>
      <c r="D58">
        <v>22</v>
      </c>
      <c r="E58" s="3">
        <f t="shared" si="21"/>
        <v>3832.3824619948082</v>
      </c>
      <c r="F58" s="3">
        <f t="shared" si="22"/>
        <v>21252.302743789391</v>
      </c>
    </row>
    <row r="59" spans="1:22">
      <c r="A59">
        <v>2015</v>
      </c>
      <c r="B59" s="3">
        <f t="shared" si="19"/>
        <v>23</v>
      </c>
      <c r="C59" s="3">
        <f t="shared" si="20"/>
        <v>20836.287927839425</v>
      </c>
      <c r="D59">
        <v>22</v>
      </c>
      <c r="E59" s="3">
        <f t="shared" si="21"/>
        <v>4583.9833441246728</v>
      </c>
      <c r="F59" s="3">
        <f t="shared" si="22"/>
        <v>25420.271271964099</v>
      </c>
    </row>
    <row r="60" spans="1:22">
      <c r="A60">
        <v>2016</v>
      </c>
      <c r="B60" s="3">
        <f t="shared" si="19"/>
        <v>23</v>
      </c>
      <c r="C60" s="3">
        <f t="shared" si="20"/>
        <v>20855.182773038596</v>
      </c>
      <c r="D60">
        <v>22</v>
      </c>
      <c r="E60" s="3">
        <f t="shared" si="21"/>
        <v>4588.1402100684909</v>
      </c>
      <c r="F60" s="3">
        <f t="shared" si="22"/>
        <v>25443.322983107086</v>
      </c>
    </row>
    <row r="61" spans="1:22">
      <c r="A61">
        <v>2017</v>
      </c>
      <c r="B61" s="3">
        <f t="shared" si="19"/>
        <v>23</v>
      </c>
      <c r="C61" s="3">
        <f t="shared" si="20"/>
        <v>20287.536024615922</v>
      </c>
      <c r="D61">
        <v>22</v>
      </c>
      <c r="E61" s="3">
        <f t="shared" si="21"/>
        <v>4463.2579254155025</v>
      </c>
      <c r="F61" s="3">
        <f t="shared" si="22"/>
        <v>24750.793950031424</v>
      </c>
      <c r="L61" s="3"/>
    </row>
    <row r="62" spans="1:22">
      <c r="A62">
        <v>2018</v>
      </c>
      <c r="B62" s="3">
        <f t="shared" si="19"/>
        <v>23</v>
      </c>
      <c r="C62" s="3">
        <f t="shared" si="20"/>
        <v>19550</v>
      </c>
      <c r="D62" s="33">
        <v>22</v>
      </c>
      <c r="E62" s="3">
        <f t="shared" si="21"/>
        <v>4301</v>
      </c>
      <c r="F62" s="3">
        <f t="shared" si="22"/>
        <v>23851</v>
      </c>
    </row>
    <row r="63" spans="1:22">
      <c r="A63">
        <v>2019</v>
      </c>
      <c r="B63" s="3">
        <f t="shared" si="19"/>
        <v>23</v>
      </c>
      <c r="C63" s="3">
        <f t="shared" si="20"/>
        <v>19550</v>
      </c>
      <c r="D63" s="33">
        <v>22</v>
      </c>
      <c r="E63" s="3">
        <f t="shared" si="21"/>
        <v>4301</v>
      </c>
      <c r="F63" s="3">
        <f t="shared" si="22"/>
        <v>23851</v>
      </c>
    </row>
    <row r="64" spans="1:22">
      <c r="A64">
        <v>2020</v>
      </c>
      <c r="B64" s="3">
        <f t="shared" si="19"/>
        <v>23</v>
      </c>
      <c r="C64" s="3">
        <f t="shared" si="20"/>
        <v>19550</v>
      </c>
      <c r="D64" s="33">
        <v>22</v>
      </c>
      <c r="E64" s="3">
        <f t="shared" si="21"/>
        <v>4301</v>
      </c>
      <c r="F64" s="3">
        <f t="shared" si="22"/>
        <v>23851</v>
      </c>
    </row>
    <row r="65" spans="1:29">
      <c r="A65">
        <v>2021</v>
      </c>
      <c r="B65" s="3">
        <f t="shared" si="19"/>
        <v>23</v>
      </c>
      <c r="C65" s="3">
        <f t="shared" si="20"/>
        <v>19550</v>
      </c>
      <c r="D65" s="33">
        <v>22</v>
      </c>
      <c r="E65" s="3">
        <f t="shared" si="21"/>
        <v>4301</v>
      </c>
      <c r="F65" s="3">
        <f t="shared" si="22"/>
        <v>23851</v>
      </c>
    </row>
    <row r="66" spans="1:29">
      <c r="A66">
        <v>2022</v>
      </c>
      <c r="B66" s="3">
        <f t="shared" si="19"/>
        <v>23</v>
      </c>
      <c r="C66" s="3">
        <f t="shared" si="20"/>
        <v>19550</v>
      </c>
      <c r="D66" s="33">
        <v>22</v>
      </c>
      <c r="E66" s="3">
        <f t="shared" si="21"/>
        <v>4301</v>
      </c>
      <c r="F66" s="3">
        <f t="shared" si="22"/>
        <v>23851</v>
      </c>
    </row>
    <row r="67" spans="1:29">
      <c r="A67">
        <v>2023</v>
      </c>
      <c r="B67" s="3">
        <f t="shared" si="19"/>
        <v>23</v>
      </c>
      <c r="C67" s="3">
        <f t="shared" si="20"/>
        <v>19550</v>
      </c>
      <c r="D67" s="33">
        <v>22</v>
      </c>
      <c r="E67" s="3">
        <f t="shared" si="21"/>
        <v>4301</v>
      </c>
      <c r="F67" s="3">
        <f t="shared" si="22"/>
        <v>23851</v>
      </c>
    </row>
    <row r="68" spans="1:29">
      <c r="A68">
        <v>2024</v>
      </c>
      <c r="B68" s="3">
        <f t="shared" si="19"/>
        <v>23</v>
      </c>
      <c r="C68" s="3">
        <f t="shared" si="20"/>
        <v>19550</v>
      </c>
      <c r="D68" s="33">
        <v>22</v>
      </c>
      <c r="E68" s="3">
        <f t="shared" si="21"/>
        <v>4301</v>
      </c>
      <c r="F68" s="3">
        <f t="shared" si="22"/>
        <v>23851</v>
      </c>
    </row>
    <row r="69" spans="1:29">
      <c r="A69">
        <v>2025</v>
      </c>
      <c r="B69" s="3">
        <f t="shared" si="19"/>
        <v>23</v>
      </c>
      <c r="C69" s="3">
        <f t="shared" si="20"/>
        <v>19550</v>
      </c>
      <c r="D69" s="33">
        <v>22</v>
      </c>
      <c r="E69" s="3">
        <f t="shared" si="21"/>
        <v>4301</v>
      </c>
      <c r="F69" s="3">
        <f t="shared" si="22"/>
        <v>23851</v>
      </c>
    </row>
    <row r="70" spans="1:29">
      <c r="A70">
        <v>2026</v>
      </c>
      <c r="B70" s="3">
        <f t="shared" si="19"/>
        <v>23</v>
      </c>
      <c r="C70" s="3">
        <f t="shared" si="20"/>
        <v>19550</v>
      </c>
      <c r="D70" s="33">
        <v>22</v>
      </c>
      <c r="E70" s="3">
        <f t="shared" si="21"/>
        <v>4301</v>
      </c>
      <c r="F70" s="3">
        <f t="shared" si="22"/>
        <v>23851</v>
      </c>
    </row>
    <row r="71" spans="1:29">
      <c r="A71">
        <v>2027</v>
      </c>
      <c r="B71" s="3">
        <f t="shared" si="19"/>
        <v>23</v>
      </c>
      <c r="C71" s="3">
        <f t="shared" si="20"/>
        <v>19550</v>
      </c>
      <c r="D71" s="33">
        <v>22</v>
      </c>
      <c r="E71" s="3">
        <f t="shared" si="21"/>
        <v>4301</v>
      </c>
      <c r="F71" s="3">
        <f t="shared" si="22"/>
        <v>23851</v>
      </c>
    </row>
    <row r="72" spans="1:29">
      <c r="A72">
        <v>2028</v>
      </c>
      <c r="B72" s="3">
        <f t="shared" si="19"/>
        <v>23</v>
      </c>
      <c r="C72" s="3">
        <f t="shared" si="20"/>
        <v>19550</v>
      </c>
      <c r="D72" s="33">
        <v>22</v>
      </c>
      <c r="E72" s="3">
        <f t="shared" si="21"/>
        <v>4301</v>
      </c>
      <c r="F72" s="3">
        <f t="shared" si="22"/>
        <v>23851</v>
      </c>
    </row>
    <row r="73" spans="1:29">
      <c r="A73">
        <v>2029</v>
      </c>
      <c r="B73" s="3">
        <f t="shared" si="19"/>
        <v>23</v>
      </c>
      <c r="C73" s="3">
        <f t="shared" si="20"/>
        <v>19550</v>
      </c>
      <c r="D73" s="33">
        <v>22</v>
      </c>
      <c r="E73" s="3">
        <f t="shared" si="21"/>
        <v>4301</v>
      </c>
      <c r="F73" s="3">
        <f t="shared" si="22"/>
        <v>23851</v>
      </c>
    </row>
    <row r="74" spans="1:29">
      <c r="A74">
        <v>2030</v>
      </c>
      <c r="B74" s="3">
        <f t="shared" si="19"/>
        <v>23</v>
      </c>
      <c r="C74" s="3">
        <f t="shared" si="20"/>
        <v>19550</v>
      </c>
      <c r="D74" s="33">
        <v>22</v>
      </c>
      <c r="E74" s="3">
        <f t="shared" si="21"/>
        <v>4301</v>
      </c>
      <c r="F74" s="3">
        <f t="shared" si="22"/>
        <v>23851</v>
      </c>
    </row>
    <row r="78" spans="1:29">
      <c r="Z78" s="87" t="s">
        <v>1223</v>
      </c>
      <c r="AA78" s="87"/>
      <c r="AB78" s="87"/>
      <c r="AC78" s="234"/>
    </row>
    <row r="79" spans="1:29">
      <c r="Z79" s="235" t="s">
        <v>1167</v>
      </c>
      <c r="AA79" s="235" t="s">
        <v>1168</v>
      </c>
      <c r="AB79" s="235" t="s">
        <v>1169</v>
      </c>
      <c r="AC79" s="235" t="s">
        <v>1170</v>
      </c>
    </row>
    <row r="80" spans="1:29">
      <c r="B80" t="s">
        <v>980</v>
      </c>
      <c r="C80" t="s">
        <v>980</v>
      </c>
      <c r="D80" t="s">
        <v>980</v>
      </c>
      <c r="E80" t="s">
        <v>980</v>
      </c>
      <c r="F80" t="s">
        <v>980</v>
      </c>
      <c r="J80" t="s">
        <v>812</v>
      </c>
      <c r="K80" t="s">
        <v>812</v>
      </c>
      <c r="L80" t="s">
        <v>812</v>
      </c>
      <c r="M80" t="s">
        <v>812</v>
      </c>
      <c r="N80" t="s">
        <v>812</v>
      </c>
      <c r="U80" t="s">
        <v>1042</v>
      </c>
      <c r="Y80" s="3">
        <v>2010</v>
      </c>
      <c r="Z80" s="13">
        <v>1.4809777324569682</v>
      </c>
      <c r="AA80" s="13">
        <f t="shared" ref="AA80:AC80" si="23">Z80</f>
        <v>1.4809777324569682</v>
      </c>
      <c r="AB80" s="13">
        <f t="shared" si="23"/>
        <v>1.4809777324569682</v>
      </c>
      <c r="AC80" s="13">
        <f t="shared" si="23"/>
        <v>1.4809777324569682</v>
      </c>
    </row>
    <row r="81" spans="1:29">
      <c r="B81" t="s">
        <v>978</v>
      </c>
      <c r="C81" t="s">
        <v>979</v>
      </c>
      <c r="D81" t="s">
        <v>916</v>
      </c>
      <c r="E81" t="s">
        <v>981</v>
      </c>
      <c r="F81" t="s">
        <v>983</v>
      </c>
      <c r="J81" t="s">
        <v>725</v>
      </c>
      <c r="K81" t="s">
        <v>979</v>
      </c>
      <c r="L81" t="s">
        <v>916</v>
      </c>
      <c r="M81" t="s">
        <v>985</v>
      </c>
      <c r="N81" t="s">
        <v>983</v>
      </c>
      <c r="R81" t="s">
        <v>997</v>
      </c>
      <c r="U81" t="s">
        <v>934</v>
      </c>
      <c r="V81" t="s">
        <v>986</v>
      </c>
      <c r="W81" t="s">
        <v>987</v>
      </c>
      <c r="Y81" s="3">
        <v>2011</v>
      </c>
      <c r="Z81" s="13">
        <v>1.6403960827513147</v>
      </c>
      <c r="AA81" s="13">
        <f t="shared" ref="AA81:AC81" si="24">Z81</f>
        <v>1.6403960827513147</v>
      </c>
      <c r="AB81" s="13">
        <f t="shared" si="24"/>
        <v>1.6403960827513147</v>
      </c>
      <c r="AC81" s="13">
        <f t="shared" si="24"/>
        <v>1.6403960827513147</v>
      </c>
    </row>
    <row r="82" spans="1:29">
      <c r="A82" s="3">
        <v>2012</v>
      </c>
      <c r="B82" s="3">
        <f t="shared" ref="B82:B100" si="25">MIN(I6,I31)</f>
        <v>30331.447205655284</v>
      </c>
      <c r="C82" s="3">
        <f>B82/5</f>
        <v>6066.2894411310572</v>
      </c>
      <c r="D82" s="3">
        <f>B82*0.13</f>
        <v>3943.0881367351872</v>
      </c>
      <c r="E82" s="3">
        <f t="shared" ref="E82:E100" si="26">K6</f>
        <v>0</v>
      </c>
      <c r="F82" s="3">
        <f>C82+D82-E82</f>
        <v>10009.377577866244</v>
      </c>
      <c r="G82" s="3"/>
      <c r="H82" s="3"/>
      <c r="I82" s="3">
        <v>2012</v>
      </c>
      <c r="J82" s="3">
        <f>F56</f>
        <v>21537.621602116909</v>
      </c>
      <c r="K82" s="3">
        <f>J82/5</f>
        <v>4307.5243204233821</v>
      </c>
      <c r="L82" s="3">
        <f>J82*0.13</f>
        <v>2799.8908082751982</v>
      </c>
      <c r="M82" s="3">
        <f t="shared" ref="M82:M100" si="27">W82/100*V82*U82</f>
        <v>944.48741200142774</v>
      </c>
      <c r="N82" s="3">
        <f t="shared" ref="N82:N100" si="28">SUM(K82:M82)</f>
        <v>8051.9025407000072</v>
      </c>
      <c r="O82" s="3"/>
      <c r="P82" s="3"/>
      <c r="Q82" s="3">
        <v>2012</v>
      </c>
      <c r="R82" s="13">
        <f>N82/F82</f>
        <v>0.80443588805213972</v>
      </c>
      <c r="T82" s="13"/>
      <c r="U82" s="13">
        <f>AB82</f>
        <v>1.8351542911677077</v>
      </c>
      <c r="V82" s="12">
        <f>'Country L per 100 km'!M7</f>
        <v>5.3416062517787903</v>
      </c>
      <c r="W82" s="3">
        <f>'Country distance travelled'!M7</f>
        <v>9635</v>
      </c>
      <c r="Y82" s="3">
        <v>2012</v>
      </c>
      <c r="Z82" s="13">
        <v>1.8351542911677077</v>
      </c>
      <c r="AA82" s="13">
        <f t="shared" ref="AA82:AC82" si="29">Z82</f>
        <v>1.8351542911677077</v>
      </c>
      <c r="AB82" s="13">
        <f t="shared" si="29"/>
        <v>1.8351542911677077</v>
      </c>
      <c r="AC82" s="13">
        <f t="shared" si="29"/>
        <v>1.8351542911677077</v>
      </c>
    </row>
    <row r="83" spans="1:29">
      <c r="A83" s="3">
        <v>2013</v>
      </c>
      <c r="B83" s="3">
        <f t="shared" si="25"/>
        <v>29776.001845585262</v>
      </c>
      <c r="C83" s="3">
        <f t="shared" ref="C83:C100" si="30">B83/5</f>
        <v>5955.2003691170521</v>
      </c>
      <c r="D83" s="3">
        <f t="shared" ref="D83:D100" si="31">B83*0.13</f>
        <v>3870.8802399260844</v>
      </c>
      <c r="E83" s="3">
        <f t="shared" si="26"/>
        <v>0</v>
      </c>
      <c r="F83" s="3">
        <f t="shared" ref="F83:F100" si="32">C83+D83-E83</f>
        <v>9826.0806090431361</v>
      </c>
      <c r="G83" s="3"/>
      <c r="H83" s="3"/>
      <c r="I83" s="3">
        <v>2013</v>
      </c>
      <c r="J83" s="3">
        <f t="shared" ref="J83:J100" si="33">F57</f>
        <v>20918.94171259928</v>
      </c>
      <c r="K83" s="3">
        <f t="shared" ref="K83:K100" si="34">J83/5</f>
        <v>4183.7883425198561</v>
      </c>
      <c r="L83" s="3">
        <f t="shared" ref="L83:L100" si="35">J83*0.13</f>
        <v>2719.4624226379065</v>
      </c>
      <c r="M83" s="3">
        <f t="shared" si="27"/>
        <v>919.92344518334198</v>
      </c>
      <c r="N83" s="3">
        <f t="shared" si="28"/>
        <v>7823.1742103411043</v>
      </c>
      <c r="O83" s="3"/>
      <c r="P83" s="3"/>
      <c r="Q83" s="3">
        <v>2013</v>
      </c>
      <c r="R83" s="13">
        <f t="shared" ref="R83:R100" si="36">N83/F83</f>
        <v>0.79616426137816154</v>
      </c>
      <c r="T83" s="13"/>
      <c r="U83" s="13">
        <f t="shared" ref="U83:U100" si="37">AB83</f>
        <v>1.7730268282889581</v>
      </c>
      <c r="V83" s="12">
        <f>'Country L per 100 km'!M8</f>
        <v>5.3</v>
      </c>
      <c r="W83" s="3">
        <f>'Country distance travelled'!M8</f>
        <v>9789.5</v>
      </c>
      <c r="Y83" s="3">
        <v>2013</v>
      </c>
      <c r="Z83" s="13">
        <v>1.7730268282889581</v>
      </c>
      <c r="AA83" s="13">
        <f t="shared" ref="AA83:AC83" si="38">Z83</f>
        <v>1.7730268282889581</v>
      </c>
      <c r="AB83" s="13">
        <f t="shared" si="38"/>
        <v>1.7730268282889581</v>
      </c>
      <c r="AC83" s="13">
        <f t="shared" si="38"/>
        <v>1.7730268282889581</v>
      </c>
    </row>
    <row r="84" spans="1:29">
      <c r="A84" s="3">
        <v>2014</v>
      </c>
      <c r="B84" s="3">
        <f t="shared" si="25"/>
        <v>29443.024006505952</v>
      </c>
      <c r="C84" s="3">
        <f t="shared" si="30"/>
        <v>5888.6048013011905</v>
      </c>
      <c r="D84" s="3">
        <f t="shared" si="31"/>
        <v>3827.5931208457737</v>
      </c>
      <c r="E84" s="3">
        <f t="shared" si="26"/>
        <v>810</v>
      </c>
      <c r="F84" s="3">
        <f t="shared" si="32"/>
        <v>8906.1979221469646</v>
      </c>
      <c r="G84" s="3"/>
      <c r="H84" s="3"/>
      <c r="I84" s="3">
        <v>2014</v>
      </c>
      <c r="J84" s="3">
        <f t="shared" si="33"/>
        <v>21252.302743789391</v>
      </c>
      <c r="K84" s="3">
        <f t="shared" si="34"/>
        <v>4250.4605487578783</v>
      </c>
      <c r="L84" s="3">
        <f t="shared" si="35"/>
        <v>2762.7993566926207</v>
      </c>
      <c r="M84" s="3">
        <f t="shared" si="27"/>
        <v>903.9953026161437</v>
      </c>
      <c r="N84" s="3">
        <f t="shared" si="28"/>
        <v>7917.2552080666428</v>
      </c>
      <c r="O84" s="3"/>
      <c r="P84" s="3"/>
      <c r="Q84" s="3">
        <v>2014</v>
      </c>
      <c r="R84" s="13">
        <f t="shared" si="36"/>
        <v>0.88896016878076256</v>
      </c>
      <c r="T84" s="13"/>
      <c r="U84" s="13">
        <f t="shared" si="37"/>
        <v>1.7358400367483142</v>
      </c>
      <c r="V84" s="12">
        <f>'Country L per 100 km'!M9</f>
        <v>5.237154150197628</v>
      </c>
      <c r="W84" s="3">
        <f>'Country distance travelled'!M9</f>
        <v>9944</v>
      </c>
      <c r="Y84" s="3">
        <v>2014</v>
      </c>
      <c r="Z84" s="13">
        <v>1.7358400367483142</v>
      </c>
      <c r="AA84" s="13">
        <f t="shared" ref="AA84:AC84" si="39">Z84</f>
        <v>1.7358400367483142</v>
      </c>
      <c r="AB84" s="13">
        <f t="shared" si="39"/>
        <v>1.7358400367483142</v>
      </c>
      <c r="AC84" s="13">
        <f t="shared" si="39"/>
        <v>1.7358400367483142</v>
      </c>
    </row>
    <row r="85" spans="1:29">
      <c r="A85" s="3">
        <v>2015</v>
      </c>
      <c r="B85" s="3">
        <f t="shared" si="25"/>
        <v>34606.875572127086</v>
      </c>
      <c r="C85" s="3">
        <f t="shared" si="30"/>
        <v>6921.3751144254175</v>
      </c>
      <c r="D85" s="3">
        <f t="shared" si="31"/>
        <v>4498.8938243765215</v>
      </c>
      <c r="E85" s="3">
        <f t="shared" si="26"/>
        <v>810</v>
      </c>
      <c r="F85" s="3">
        <f t="shared" si="32"/>
        <v>10610.268938801939</v>
      </c>
      <c r="G85" s="3"/>
      <c r="H85" s="3"/>
      <c r="I85" s="3">
        <v>2015</v>
      </c>
      <c r="J85" s="3">
        <f t="shared" si="33"/>
        <v>25420.271271964099</v>
      </c>
      <c r="K85" s="3">
        <f t="shared" si="34"/>
        <v>5084.0542543928195</v>
      </c>
      <c r="L85" s="3">
        <f t="shared" si="35"/>
        <v>3304.6352653553331</v>
      </c>
      <c r="M85" s="3">
        <f t="shared" si="27"/>
        <v>772.81395355297661</v>
      </c>
      <c r="N85" s="3">
        <f t="shared" si="28"/>
        <v>9161.5034733011307</v>
      </c>
      <c r="O85" s="3"/>
      <c r="P85" s="3"/>
      <c r="Q85" s="3">
        <v>2015</v>
      </c>
      <c r="R85" s="13">
        <f t="shared" si="36"/>
        <v>0.86345629183793371</v>
      </c>
      <c r="T85" s="13"/>
      <c r="U85" s="13">
        <f t="shared" si="37"/>
        <v>1.5546782187675763</v>
      </c>
      <c r="V85" s="12">
        <f>'Country L per 100 km'!M10</f>
        <v>5.1801722553883565</v>
      </c>
      <c r="W85" s="3">
        <f>'Country distance travelled'!M10</f>
        <v>9596</v>
      </c>
      <c r="Y85" s="3">
        <v>2015</v>
      </c>
      <c r="Z85" s="13">
        <v>1.5546782187675763</v>
      </c>
      <c r="AA85" s="13">
        <f t="shared" ref="AA85:AC85" si="40">Z85</f>
        <v>1.5546782187675763</v>
      </c>
      <c r="AB85" s="13">
        <f t="shared" si="40"/>
        <v>1.5546782187675763</v>
      </c>
      <c r="AC85" s="13">
        <f t="shared" si="40"/>
        <v>1.5546782187675763</v>
      </c>
    </row>
    <row r="86" spans="1:29">
      <c r="A86" s="3">
        <v>2016</v>
      </c>
      <c r="B86" s="3">
        <f t="shared" si="25"/>
        <v>34636.943021444022</v>
      </c>
      <c r="C86" s="3">
        <f t="shared" si="30"/>
        <v>6927.3886042888043</v>
      </c>
      <c r="D86" s="3">
        <f t="shared" si="31"/>
        <v>4502.8025927877234</v>
      </c>
      <c r="E86" s="3">
        <f t="shared" si="26"/>
        <v>810</v>
      </c>
      <c r="F86" s="3">
        <f t="shared" si="32"/>
        <v>10620.191197076529</v>
      </c>
      <c r="G86" s="3"/>
      <c r="H86" s="3"/>
      <c r="I86" s="3">
        <v>2016</v>
      </c>
      <c r="J86" s="3">
        <f t="shared" si="33"/>
        <v>25443.322983107086</v>
      </c>
      <c r="K86" s="3">
        <f t="shared" si="34"/>
        <v>5088.6645966214173</v>
      </c>
      <c r="L86" s="3">
        <f t="shared" si="35"/>
        <v>3307.6319878039212</v>
      </c>
      <c r="M86" s="3">
        <f t="shared" si="27"/>
        <v>749.32381971096061</v>
      </c>
      <c r="N86" s="3">
        <f t="shared" si="28"/>
        <v>9145.620404136298</v>
      </c>
      <c r="O86" s="3"/>
      <c r="P86" s="3"/>
      <c r="Q86" s="3">
        <v>2016</v>
      </c>
      <c r="R86" s="13">
        <f t="shared" si="36"/>
        <v>0.86115402580076494</v>
      </c>
      <c r="T86" s="13"/>
      <c r="U86" s="13">
        <f t="shared" si="37"/>
        <v>1.4609882077199996</v>
      </c>
      <c r="V86" s="12">
        <f>'Country L per 100 km'!M11</f>
        <v>5.1288834211765897</v>
      </c>
      <c r="W86" s="3">
        <f>'Country distance travelled'!M11</f>
        <v>10000</v>
      </c>
      <c r="Y86" s="3">
        <v>2016</v>
      </c>
      <c r="Z86" s="13">
        <v>1.4609882077199996</v>
      </c>
      <c r="AA86" s="13">
        <f t="shared" ref="AA86:AC86" si="41">Z86</f>
        <v>1.4609882077199996</v>
      </c>
      <c r="AB86" s="13">
        <f t="shared" si="41"/>
        <v>1.4609882077199996</v>
      </c>
      <c r="AC86" s="13">
        <f t="shared" si="41"/>
        <v>1.4609882077199996</v>
      </c>
    </row>
    <row r="87" spans="1:29">
      <c r="A87" s="3">
        <v>2017</v>
      </c>
      <c r="B87" s="3">
        <f t="shared" si="25"/>
        <v>33733.644282649679</v>
      </c>
      <c r="C87" s="3">
        <f t="shared" si="30"/>
        <v>6746.7288565299359</v>
      </c>
      <c r="D87" s="3">
        <f t="shared" si="31"/>
        <v>4385.3737567444587</v>
      </c>
      <c r="E87" s="3">
        <f t="shared" si="26"/>
        <v>810</v>
      </c>
      <c r="F87" s="3">
        <f t="shared" si="32"/>
        <v>10322.102613274394</v>
      </c>
      <c r="G87" s="3"/>
      <c r="H87" s="3"/>
      <c r="I87" s="3">
        <v>2017</v>
      </c>
      <c r="J87" s="3">
        <f t="shared" si="33"/>
        <v>24750.793950031424</v>
      </c>
      <c r="K87" s="3">
        <f t="shared" si="34"/>
        <v>4950.158790006285</v>
      </c>
      <c r="L87" s="3">
        <f t="shared" si="35"/>
        <v>3217.603213504085</v>
      </c>
      <c r="M87" s="3">
        <f t="shared" si="27"/>
        <v>775.75062523426743</v>
      </c>
      <c r="N87" s="3">
        <f t="shared" si="28"/>
        <v>8943.5126287446383</v>
      </c>
      <c r="O87" s="3"/>
      <c r="P87" s="3"/>
      <c r="Q87" s="3">
        <v>2017</v>
      </c>
      <c r="R87" s="13">
        <f>N87/F87</f>
        <v>0.86644291030813181</v>
      </c>
      <c r="T87" s="13"/>
      <c r="U87" s="13">
        <f t="shared" si="37"/>
        <v>1.5276388000000001</v>
      </c>
      <c r="V87" s="12">
        <f>'Country L per 100 km'!M12</f>
        <v>5.0781023972045443</v>
      </c>
      <c r="W87" s="3">
        <f>'Country distance travelled'!M12</f>
        <v>10000</v>
      </c>
      <c r="Y87" s="3">
        <v>2017</v>
      </c>
      <c r="Z87" s="13">
        <v>1.5276388000000001</v>
      </c>
      <c r="AA87" s="13">
        <f t="shared" ref="AA87:AC87" si="42">Z87</f>
        <v>1.5276388000000001</v>
      </c>
      <c r="AB87" s="13">
        <f t="shared" si="42"/>
        <v>1.5276388000000001</v>
      </c>
      <c r="AC87" s="13">
        <f t="shared" si="42"/>
        <v>1.5276388000000001</v>
      </c>
    </row>
    <row r="88" spans="1:29">
      <c r="A88" s="3">
        <v>2018</v>
      </c>
      <c r="B88" s="3">
        <f t="shared" si="25"/>
        <v>33174.008582550203</v>
      </c>
      <c r="C88" s="3">
        <f t="shared" si="30"/>
        <v>6634.8017165100409</v>
      </c>
      <c r="D88" s="3">
        <f t="shared" si="31"/>
        <v>4312.6211157315265</v>
      </c>
      <c r="E88" s="3">
        <f t="shared" si="26"/>
        <v>810</v>
      </c>
      <c r="F88" s="3">
        <f t="shared" si="32"/>
        <v>10137.422832241567</v>
      </c>
      <c r="G88" s="3"/>
      <c r="H88" s="3"/>
      <c r="I88" s="3">
        <v>2018</v>
      </c>
      <c r="J88" s="3">
        <f t="shared" si="33"/>
        <v>23851</v>
      </c>
      <c r="K88" s="3">
        <f t="shared" si="34"/>
        <v>4770.2</v>
      </c>
      <c r="L88" s="3">
        <f t="shared" si="35"/>
        <v>3100.63</v>
      </c>
      <c r="M88" s="3">
        <f t="shared" si="27"/>
        <v>796.49110184432334</v>
      </c>
      <c r="N88" s="3">
        <f t="shared" si="28"/>
        <v>8667.3211018443235</v>
      </c>
      <c r="O88" s="3"/>
      <c r="P88" s="3"/>
      <c r="Q88" s="3">
        <v>2018</v>
      </c>
      <c r="R88" s="13">
        <f t="shared" si="36"/>
        <v>0.85498269582662978</v>
      </c>
      <c r="S88" s="3"/>
      <c r="T88" s="3"/>
      <c r="U88" s="13">
        <f t="shared" si="37"/>
        <v>1.5841665841665842</v>
      </c>
      <c r="V88" s="12">
        <f>'Country L per 100 km'!M13</f>
        <v>5.0278241556480641</v>
      </c>
      <c r="W88" s="3">
        <f>'Country distance travelled'!M13</f>
        <v>10000</v>
      </c>
      <c r="Y88" s="3">
        <v>2018</v>
      </c>
      <c r="Z88" s="13">
        <v>1.5841665841665842</v>
      </c>
      <c r="AA88" s="13">
        <f>Z88</f>
        <v>1.5841665841665842</v>
      </c>
      <c r="AB88" s="13">
        <f t="shared" ref="AB88:AC88" si="43">AA88</f>
        <v>1.5841665841665842</v>
      </c>
      <c r="AC88" s="13">
        <f t="shared" si="43"/>
        <v>1.5841665841665842</v>
      </c>
    </row>
    <row r="89" spans="1:29">
      <c r="A89" s="3">
        <v>2019</v>
      </c>
      <c r="B89" s="3">
        <f t="shared" si="25"/>
        <v>33776.394833452447</v>
      </c>
      <c r="C89" s="3">
        <f t="shared" si="30"/>
        <v>6755.2789666904891</v>
      </c>
      <c r="D89" s="3">
        <f t="shared" si="31"/>
        <v>4390.9313283488182</v>
      </c>
      <c r="E89" s="3">
        <f t="shared" si="26"/>
        <v>810</v>
      </c>
      <c r="F89" s="3">
        <f t="shared" si="32"/>
        <v>10336.210295039307</v>
      </c>
      <c r="G89" s="3"/>
      <c r="H89" s="3"/>
      <c r="I89" s="3">
        <v>2019</v>
      </c>
      <c r="J89" s="3">
        <f t="shared" si="33"/>
        <v>23851</v>
      </c>
      <c r="K89" s="3">
        <f t="shared" si="34"/>
        <v>4770.2</v>
      </c>
      <c r="L89" s="3">
        <f t="shared" si="35"/>
        <v>3100.63</v>
      </c>
      <c r="M89" s="3">
        <f t="shared" si="27"/>
        <v>785.69468056702453</v>
      </c>
      <c r="N89" s="3">
        <f t="shared" si="28"/>
        <v>8656.5246805670249</v>
      </c>
      <c r="O89" s="3"/>
      <c r="P89" s="3"/>
      <c r="Q89" s="3">
        <v>2019</v>
      </c>
      <c r="R89" s="13">
        <f t="shared" si="36"/>
        <v>0.83749502317320113</v>
      </c>
      <c r="S89" s="3"/>
      <c r="T89" s="3"/>
      <c r="U89" s="13">
        <f t="shared" si="37"/>
        <v>1.5783201695334739</v>
      </c>
      <c r="V89" s="12">
        <f>'Country L per 100 km'!M14</f>
        <v>4.9780437184634296</v>
      </c>
      <c r="W89" s="3">
        <f>'Country distance travelled'!M14</f>
        <v>10000</v>
      </c>
      <c r="Y89" s="3">
        <v>2019</v>
      </c>
      <c r="Z89" s="13"/>
      <c r="AA89" s="13">
        <v>1.8349301597568553</v>
      </c>
      <c r="AB89" s="13">
        <v>1.5783201695334739</v>
      </c>
      <c r="AC89" s="13">
        <v>1.3548046937593654</v>
      </c>
    </row>
    <row r="90" spans="1:29">
      <c r="A90" s="3">
        <v>2020</v>
      </c>
      <c r="B90" s="3">
        <f t="shared" si="25"/>
        <v>33582.381538991802</v>
      </c>
      <c r="C90" s="3">
        <f t="shared" si="30"/>
        <v>6716.4763077983607</v>
      </c>
      <c r="D90" s="3">
        <f t="shared" si="31"/>
        <v>4365.7096000689344</v>
      </c>
      <c r="E90" s="3">
        <f t="shared" si="26"/>
        <v>810</v>
      </c>
      <c r="F90" s="3">
        <f t="shared" si="32"/>
        <v>10272.185907867295</v>
      </c>
      <c r="G90" s="3"/>
      <c r="H90" s="3"/>
      <c r="I90" s="3">
        <v>2020</v>
      </c>
      <c r="J90" s="3">
        <f t="shared" si="33"/>
        <v>23851</v>
      </c>
      <c r="K90" s="3">
        <f t="shared" si="34"/>
        <v>4770.2</v>
      </c>
      <c r="L90" s="3">
        <f t="shared" si="35"/>
        <v>3100.63</v>
      </c>
      <c r="M90" s="3">
        <f t="shared" si="27"/>
        <v>778.76320470375606</v>
      </c>
      <c r="N90" s="3">
        <f t="shared" si="28"/>
        <v>8649.5932047037568</v>
      </c>
      <c r="O90" s="3"/>
      <c r="P90" s="3"/>
      <c r="Q90" s="3">
        <v>2020</v>
      </c>
      <c r="R90" s="13">
        <f t="shared" si="36"/>
        <v>0.84204017356025251</v>
      </c>
      <c r="S90" s="3"/>
      <c r="T90" s="3"/>
      <c r="U90" s="13">
        <f t="shared" si="37"/>
        <v>1.5800400342678744</v>
      </c>
      <c r="V90" s="12">
        <f>'Country L per 100 km'!M15</f>
        <v>4.9287561568944858</v>
      </c>
      <c r="W90" s="3">
        <f>'Country distance travelled'!M15</f>
        <v>10000</v>
      </c>
      <c r="Y90" s="3">
        <v>2020</v>
      </c>
      <c r="Z90" s="13"/>
      <c r="AA90" s="13">
        <v>1.9437585987162864</v>
      </c>
      <c r="AB90" s="13">
        <v>1.5800400342678744</v>
      </c>
      <c r="AC90" s="13">
        <v>1.3612063666393317</v>
      </c>
    </row>
    <row r="91" spans="1:29">
      <c r="A91" s="3">
        <v>2021</v>
      </c>
      <c r="B91" s="3">
        <f t="shared" si="25"/>
        <v>32774.357070292426</v>
      </c>
      <c r="C91" s="3">
        <f t="shared" si="30"/>
        <v>6554.8714140584852</v>
      </c>
      <c r="D91" s="3">
        <f t="shared" si="31"/>
        <v>4260.666419138016</v>
      </c>
      <c r="E91" s="3">
        <f t="shared" si="26"/>
        <v>810</v>
      </c>
      <c r="F91" s="3">
        <f t="shared" si="32"/>
        <v>10005.5378331965</v>
      </c>
      <c r="G91" s="3"/>
      <c r="H91" s="3"/>
      <c r="I91" s="3">
        <v>2021</v>
      </c>
      <c r="J91" s="3">
        <f t="shared" si="33"/>
        <v>23851</v>
      </c>
      <c r="K91" s="3">
        <f t="shared" si="34"/>
        <v>4770.2</v>
      </c>
      <c r="L91" s="3">
        <f t="shared" si="35"/>
        <v>3100.63</v>
      </c>
      <c r="M91" s="3">
        <f t="shared" si="27"/>
        <v>795.77998250298947</v>
      </c>
      <c r="N91" s="3">
        <f t="shared" si="28"/>
        <v>8666.6099825029887</v>
      </c>
      <c r="O91" s="3"/>
      <c r="P91" s="3"/>
      <c r="Q91" s="3">
        <v>2021</v>
      </c>
      <c r="R91" s="13">
        <f t="shared" si="36"/>
        <v>0.86618132148266935</v>
      </c>
      <c r="S91" s="3"/>
      <c r="T91" s="3"/>
      <c r="U91" s="13">
        <f t="shared" si="37"/>
        <v>1.6307111911059509</v>
      </c>
      <c r="V91" s="12">
        <f>'Country L per 100 km'!M16</f>
        <v>4.8799565909846381</v>
      </c>
      <c r="W91" s="3">
        <f>'Country distance travelled'!M16</f>
        <v>10000</v>
      </c>
      <c r="Y91" s="3">
        <v>2021</v>
      </c>
      <c r="Z91" s="13"/>
      <c r="AA91" s="13">
        <v>2.0589887105556839</v>
      </c>
      <c r="AB91" s="13">
        <v>1.6307111911059509</v>
      </c>
      <c r="AC91" s="13">
        <v>1.3740097123992649</v>
      </c>
    </row>
    <row r="92" spans="1:29">
      <c r="A92" s="3">
        <v>2022</v>
      </c>
      <c r="B92" s="3">
        <f t="shared" si="25"/>
        <v>33226.225464477589</v>
      </c>
      <c r="C92" s="3">
        <f t="shared" si="30"/>
        <v>6645.2450928955177</v>
      </c>
      <c r="D92" s="3">
        <f t="shared" si="31"/>
        <v>4319.4093103820869</v>
      </c>
      <c r="E92" s="3">
        <f t="shared" si="26"/>
        <v>810</v>
      </c>
      <c r="F92" s="3">
        <f t="shared" si="32"/>
        <v>10154.654403277604</v>
      </c>
      <c r="G92" s="3"/>
      <c r="H92" s="3"/>
      <c r="I92" s="3">
        <v>2022</v>
      </c>
      <c r="J92" s="3">
        <f t="shared" si="33"/>
        <v>23851</v>
      </c>
      <c r="K92" s="3">
        <f t="shared" si="34"/>
        <v>4770.2</v>
      </c>
      <c r="L92" s="3">
        <f t="shared" si="35"/>
        <v>3100.63</v>
      </c>
      <c r="M92" s="3">
        <f t="shared" si="27"/>
        <v>806.1298623935337</v>
      </c>
      <c r="N92" s="3">
        <f t="shared" si="28"/>
        <v>8676.9598623935344</v>
      </c>
      <c r="O92" s="3"/>
      <c r="P92" s="3"/>
      <c r="Q92" s="3">
        <v>2022</v>
      </c>
      <c r="R92" s="13">
        <f t="shared" si="36"/>
        <v>0.85448106038871041</v>
      </c>
      <c r="S92" s="3"/>
      <c r="T92" s="3"/>
      <c r="U92" s="13">
        <f t="shared" si="37"/>
        <v>1.6684393515336335</v>
      </c>
      <c r="V92" s="12">
        <f>'Country L per 100 km'!M17</f>
        <v>4.8316401890937009</v>
      </c>
      <c r="W92" s="3">
        <f>'Country distance travelled'!M17</f>
        <v>10000</v>
      </c>
      <c r="Y92" s="3">
        <v>2022</v>
      </c>
      <c r="Z92" s="13"/>
      <c r="AA92" s="13">
        <v>2.110202093595416</v>
      </c>
      <c r="AB92" s="13">
        <v>1.6684393515336335</v>
      </c>
      <c r="AC92" s="13">
        <v>1.3804113852792312</v>
      </c>
    </row>
    <row r="93" spans="1:29">
      <c r="A93" s="3">
        <v>2023</v>
      </c>
      <c r="B93" s="3">
        <f t="shared" si="25"/>
        <v>32934.923469350011</v>
      </c>
      <c r="C93" s="3">
        <f t="shared" si="30"/>
        <v>6586.984693870002</v>
      </c>
      <c r="D93" s="3">
        <f t="shared" si="31"/>
        <v>4281.5400510155014</v>
      </c>
      <c r="E93" s="3">
        <f t="shared" si="26"/>
        <v>810</v>
      </c>
      <c r="F93" s="3">
        <f t="shared" si="32"/>
        <v>10058.524744885504</v>
      </c>
      <c r="G93" s="3"/>
      <c r="H93" s="3"/>
      <c r="I93" s="3">
        <v>2023</v>
      </c>
      <c r="J93" s="3">
        <f t="shared" si="33"/>
        <v>23851</v>
      </c>
      <c r="K93" s="3">
        <f t="shared" si="34"/>
        <v>4770.2</v>
      </c>
      <c r="L93" s="3">
        <f t="shared" si="35"/>
        <v>3100.63</v>
      </c>
      <c r="M93" s="3">
        <f t="shared" si="27"/>
        <v>806.45364610805257</v>
      </c>
      <c r="N93" s="3">
        <f t="shared" si="28"/>
        <v>8677.2836461080533</v>
      </c>
      <c r="O93" s="3"/>
      <c r="P93" s="3"/>
      <c r="Q93" s="3">
        <v>2023</v>
      </c>
      <c r="R93" s="13">
        <f t="shared" si="36"/>
        <v>0.86267955452614697</v>
      </c>
      <c r="S93" s="3"/>
      <c r="T93" s="3"/>
      <c r="U93" s="13">
        <f t="shared" si="37"/>
        <v>1.685800578461363</v>
      </c>
      <c r="V93" s="12">
        <f>'Country L per 100 km'!M18</f>
        <v>4.7838021674195064</v>
      </c>
      <c r="W93" s="3">
        <f>'Country distance travelled'!M18</f>
        <v>10000</v>
      </c>
      <c r="Y93" s="3">
        <v>2023</v>
      </c>
      <c r="Z93" s="13"/>
      <c r="AA93" s="13">
        <v>2.148612130875216</v>
      </c>
      <c r="AB93" s="13">
        <v>1.685800578461363</v>
      </c>
      <c r="AC93" s="13">
        <v>1.3804113852792312</v>
      </c>
    </row>
    <row r="94" spans="1:29">
      <c r="A94" s="3">
        <v>2024</v>
      </c>
      <c r="B94" s="3">
        <f t="shared" si="25"/>
        <v>31808.839144021029</v>
      </c>
      <c r="C94" s="3">
        <f t="shared" si="30"/>
        <v>6361.7678288042061</v>
      </c>
      <c r="D94" s="3">
        <f t="shared" si="31"/>
        <v>4135.1490887227337</v>
      </c>
      <c r="E94" s="3">
        <f t="shared" si="26"/>
        <v>810</v>
      </c>
      <c r="F94" s="3">
        <f t="shared" si="32"/>
        <v>9686.9169175269399</v>
      </c>
      <c r="G94" s="3"/>
      <c r="H94" s="3"/>
      <c r="I94" s="3">
        <v>2024</v>
      </c>
      <c r="J94" s="3">
        <f t="shared" si="33"/>
        <v>23851</v>
      </c>
      <c r="K94" s="3">
        <f t="shared" si="34"/>
        <v>4770.2</v>
      </c>
      <c r="L94" s="3">
        <f t="shared" si="35"/>
        <v>3100.63</v>
      </c>
      <c r="M94" s="3">
        <f t="shared" si="27"/>
        <v>800.64302469844665</v>
      </c>
      <c r="N94" s="3">
        <f t="shared" si="28"/>
        <v>8671.4730246984473</v>
      </c>
      <c r="O94" s="3"/>
      <c r="P94" s="3"/>
      <c r="Q94" s="3">
        <v>2024</v>
      </c>
      <c r="R94" s="13">
        <f t="shared" si="36"/>
        <v>0.89517367584817331</v>
      </c>
      <c r="S94" s="3"/>
      <c r="T94" s="3"/>
      <c r="U94" s="13">
        <f t="shared" si="37"/>
        <v>1.6903906696911664</v>
      </c>
      <c r="V94" s="12">
        <f>'Country L per 100 km'!M19</f>
        <v>4.7364377895242633</v>
      </c>
      <c r="W94" s="3">
        <f>'Country distance travelled'!M19</f>
        <v>10000</v>
      </c>
      <c r="Y94" s="3">
        <v>2024</v>
      </c>
      <c r="Z94" s="13"/>
      <c r="AA94" s="13">
        <v>2.1806204952750483</v>
      </c>
      <c r="AB94" s="13">
        <v>1.6903906696911664</v>
      </c>
      <c r="AC94" s="13">
        <v>1.3804113852792312</v>
      </c>
    </row>
    <row r="95" spans="1:29">
      <c r="A95" s="3">
        <v>2025</v>
      </c>
      <c r="B95" s="3">
        <f t="shared" si="25"/>
        <v>30842.08073460696</v>
      </c>
      <c r="C95" s="3">
        <f t="shared" si="30"/>
        <v>6168.4161469213923</v>
      </c>
      <c r="D95" s="3">
        <f t="shared" si="31"/>
        <v>4009.4704954989047</v>
      </c>
      <c r="E95" s="3">
        <f t="shared" si="26"/>
        <v>810</v>
      </c>
      <c r="F95" s="3">
        <f t="shared" si="32"/>
        <v>9367.886642420297</v>
      </c>
      <c r="G95" s="3"/>
      <c r="H95" s="3"/>
      <c r="I95" s="3">
        <v>2025</v>
      </c>
      <c r="J95" s="3">
        <f t="shared" si="33"/>
        <v>23851</v>
      </c>
      <c r="K95" s="3">
        <f t="shared" si="34"/>
        <v>4770.2</v>
      </c>
      <c r="L95" s="3">
        <f t="shared" si="35"/>
        <v>3100.63</v>
      </c>
      <c r="M95" s="3">
        <f t="shared" si="27"/>
        <v>803.97887977644621</v>
      </c>
      <c r="N95" s="3">
        <f t="shared" si="28"/>
        <v>8674.8088797764467</v>
      </c>
      <c r="O95" s="3"/>
      <c r="P95" s="3"/>
      <c r="Q95" s="3">
        <v>2025</v>
      </c>
      <c r="R95" s="13">
        <f t="shared" si="36"/>
        <v>0.9260155690286207</v>
      </c>
      <c r="S95" s="3"/>
      <c r="T95" s="3"/>
      <c r="U95" s="13">
        <f t="shared" si="37"/>
        <v>1.7144079678829078</v>
      </c>
      <c r="V95" s="12">
        <f>'Country L per 100 km'!M20</f>
        <v>4.6895423658656084</v>
      </c>
      <c r="W95" s="3">
        <f>'Country distance travelled'!M20</f>
        <v>10000</v>
      </c>
      <c r="Y95" s="3">
        <v>2025</v>
      </c>
      <c r="Z95" s="13"/>
      <c r="AA95" s="13">
        <v>2.2126288596748811</v>
      </c>
      <c r="AB95" s="13">
        <v>1.7144079678829078</v>
      </c>
      <c r="AC95" s="13">
        <v>1.3868130581591978</v>
      </c>
    </row>
    <row r="96" spans="1:29">
      <c r="A96" s="3">
        <v>2026</v>
      </c>
      <c r="B96" s="3">
        <f t="shared" si="25"/>
        <v>30291.324482061576</v>
      </c>
      <c r="C96" s="3">
        <f t="shared" si="30"/>
        <v>6058.2648964123155</v>
      </c>
      <c r="D96" s="3">
        <f t="shared" si="31"/>
        <v>3937.8721826680053</v>
      </c>
      <c r="E96" s="3">
        <f t="shared" si="26"/>
        <v>810</v>
      </c>
      <c r="F96" s="3">
        <f t="shared" si="32"/>
        <v>9186.1370790803212</v>
      </c>
      <c r="G96" s="3"/>
      <c r="H96" s="3"/>
      <c r="I96" s="3">
        <v>2026</v>
      </c>
      <c r="J96" s="3">
        <f t="shared" si="33"/>
        <v>23851</v>
      </c>
      <c r="K96" s="3">
        <f t="shared" si="34"/>
        <v>4770.2</v>
      </c>
      <c r="L96" s="3">
        <f t="shared" si="35"/>
        <v>3100.63</v>
      </c>
      <c r="M96" s="3">
        <f t="shared" si="27"/>
        <v>815.61875122612992</v>
      </c>
      <c r="N96" s="3">
        <f t="shared" si="28"/>
        <v>8686.4487512261294</v>
      </c>
      <c r="O96" s="3"/>
      <c r="P96" s="3"/>
      <c r="Q96" s="3">
        <v>2026</v>
      </c>
      <c r="R96" s="13">
        <f t="shared" si="36"/>
        <v>0.94560408542213714</v>
      </c>
      <c r="S96" s="3"/>
      <c r="T96" s="3"/>
      <c r="U96" s="13">
        <f t="shared" si="37"/>
        <v>1.7566211678446724</v>
      </c>
      <c r="V96" s="12">
        <f>'Country L per 100 km'!M21</f>
        <v>4.6431112533322851</v>
      </c>
      <c r="W96" s="3">
        <f>'Country distance travelled'!M21</f>
        <v>10000</v>
      </c>
      <c r="Y96" s="3">
        <v>2026</v>
      </c>
      <c r="Z96" s="13"/>
      <c r="AA96" s="13">
        <v>2.2446372240747134</v>
      </c>
      <c r="AB96" s="13">
        <v>1.7566211678446724</v>
      </c>
      <c r="AC96" s="13">
        <v>1.3932147310391643</v>
      </c>
    </row>
    <row r="97" spans="1:29">
      <c r="A97" s="3">
        <v>2027</v>
      </c>
      <c r="B97" s="3">
        <f t="shared" si="25"/>
        <v>29740.568229516193</v>
      </c>
      <c r="C97" s="3">
        <f t="shared" si="30"/>
        <v>5948.1136459032386</v>
      </c>
      <c r="D97" s="3">
        <f t="shared" si="31"/>
        <v>3866.2738698371054</v>
      </c>
      <c r="E97" s="3">
        <f t="shared" si="26"/>
        <v>810</v>
      </c>
      <c r="F97" s="3">
        <f t="shared" si="32"/>
        <v>9004.3875157403436</v>
      </c>
      <c r="G97" s="3"/>
      <c r="H97" s="3"/>
      <c r="I97" s="3">
        <v>2027</v>
      </c>
      <c r="J97" s="3">
        <f t="shared" si="33"/>
        <v>23851</v>
      </c>
      <c r="K97" s="3">
        <f t="shared" si="34"/>
        <v>4770.2</v>
      </c>
      <c r="L97" s="3">
        <f t="shared" si="35"/>
        <v>3100.63</v>
      </c>
      <c r="M97" s="3">
        <f t="shared" si="27"/>
        <v>817.54467858900205</v>
      </c>
      <c r="N97" s="3">
        <f t="shared" si="28"/>
        <v>8688.3746785890016</v>
      </c>
      <c r="O97" s="3"/>
      <c r="P97" s="3"/>
      <c r="Q97" s="3">
        <v>2027</v>
      </c>
      <c r="R97" s="13">
        <f t="shared" si="36"/>
        <v>0.96490457162145371</v>
      </c>
      <c r="S97" s="3"/>
      <c r="T97" s="3"/>
      <c r="U97" s="13">
        <f t="shared" si="37"/>
        <v>1.7783767829863784</v>
      </c>
      <c r="V97" s="12">
        <f>'Country L per 100 km'!M22</f>
        <v>4.5971398547844409</v>
      </c>
      <c r="W97" s="3">
        <f>'Country distance travelled'!M22</f>
        <v>10000</v>
      </c>
      <c r="Y97" s="3">
        <v>2027</v>
      </c>
      <c r="Z97" s="13"/>
      <c r="AA97" s="13">
        <v>2.2766455884745462</v>
      </c>
      <c r="AB97" s="13">
        <v>1.7783767829863784</v>
      </c>
      <c r="AC97" s="13">
        <v>1.3996164039191308</v>
      </c>
    </row>
    <row r="98" spans="1:29">
      <c r="A98" s="3">
        <v>2028</v>
      </c>
      <c r="B98" s="3">
        <f t="shared" si="25"/>
        <v>29120.967445402639</v>
      </c>
      <c r="C98" s="3">
        <f t="shared" si="30"/>
        <v>5824.1934890805278</v>
      </c>
      <c r="D98" s="3">
        <f t="shared" si="31"/>
        <v>3785.7257679023433</v>
      </c>
      <c r="E98" s="3">
        <f t="shared" si="26"/>
        <v>810</v>
      </c>
      <c r="F98" s="3">
        <f t="shared" si="32"/>
        <v>8799.9192569828701</v>
      </c>
      <c r="G98" s="3"/>
      <c r="H98" s="3"/>
      <c r="I98" s="3">
        <v>2028</v>
      </c>
      <c r="J98" s="3">
        <f t="shared" si="33"/>
        <v>23851</v>
      </c>
      <c r="K98" s="3">
        <f t="shared" si="34"/>
        <v>4770.2</v>
      </c>
      <c r="L98" s="3">
        <f t="shared" si="35"/>
        <v>3100.63</v>
      </c>
      <c r="M98" s="3">
        <f t="shared" si="27"/>
        <v>815.71860331277458</v>
      </c>
      <c r="N98" s="3">
        <f t="shared" si="28"/>
        <v>8686.5486033127745</v>
      </c>
      <c r="O98" s="3"/>
      <c r="P98" s="3"/>
      <c r="Q98" s="3">
        <v>2028</v>
      </c>
      <c r="R98" s="13">
        <f t="shared" si="36"/>
        <v>0.98711685296656171</v>
      </c>
      <c r="S98" s="3"/>
      <c r="T98" s="3"/>
      <c r="U98" s="13">
        <f t="shared" si="37"/>
        <v>1.7921486301715606</v>
      </c>
      <c r="V98" s="12">
        <f>'Country L per 100 km'!M23</f>
        <v>4.5516236185984562</v>
      </c>
      <c r="W98" s="3">
        <f>'Country distance travelled'!M23</f>
        <v>10000</v>
      </c>
      <c r="Y98" s="3">
        <v>2028</v>
      </c>
      <c r="Z98" s="13"/>
      <c r="AA98" s="13">
        <v>2.3022522799944123</v>
      </c>
      <c r="AB98" s="13">
        <v>1.7921486301715606</v>
      </c>
      <c r="AC98" s="13">
        <v>1.3996164039191308</v>
      </c>
    </row>
    <row r="99" spans="1:29">
      <c r="A99" s="3">
        <v>2029</v>
      </c>
      <c r="B99" s="3">
        <f t="shared" si="25"/>
        <v>28570.211192857267</v>
      </c>
      <c r="C99" s="3">
        <f t="shared" si="30"/>
        <v>5714.0422385714537</v>
      </c>
      <c r="D99" s="3">
        <f t="shared" si="31"/>
        <v>3714.1274550714447</v>
      </c>
      <c r="E99" s="3">
        <f t="shared" si="26"/>
        <v>810</v>
      </c>
      <c r="F99" s="3">
        <f t="shared" si="32"/>
        <v>8618.169693642898</v>
      </c>
      <c r="G99" s="3"/>
      <c r="H99" s="3"/>
      <c r="I99" s="3">
        <v>2029</v>
      </c>
      <c r="J99" s="3">
        <f t="shared" si="33"/>
        <v>23851</v>
      </c>
      <c r="K99" s="3">
        <f t="shared" si="34"/>
        <v>4770.2</v>
      </c>
      <c r="L99" s="3">
        <f t="shared" si="35"/>
        <v>3100.63</v>
      </c>
      <c r="M99" s="3">
        <f t="shared" si="27"/>
        <v>816.05449229393844</v>
      </c>
      <c r="N99" s="3">
        <f t="shared" si="28"/>
        <v>8686.8844922939388</v>
      </c>
      <c r="O99" s="3"/>
      <c r="P99" s="3"/>
      <c r="Q99" s="3">
        <v>2029</v>
      </c>
      <c r="R99" s="13">
        <f t="shared" si="36"/>
        <v>1.0079732473476042</v>
      </c>
      <c r="S99" s="3"/>
      <c r="T99" s="3"/>
      <c r="U99" s="13">
        <f t="shared" si="37"/>
        <v>1.8108154502253671</v>
      </c>
      <c r="V99" s="12">
        <f>'Country L per 100 km'!M24</f>
        <v>4.5065580382162933</v>
      </c>
      <c r="W99" s="3">
        <f>'Country distance travelled'!M24</f>
        <v>10000</v>
      </c>
      <c r="Y99" s="3">
        <v>2029</v>
      </c>
      <c r="Z99" s="13"/>
      <c r="AA99" s="13">
        <v>2.3342606443942451</v>
      </c>
      <c r="AB99" s="13">
        <v>1.8108154502253671</v>
      </c>
      <c r="AC99" s="13">
        <v>1.3996164039191308</v>
      </c>
    </row>
    <row r="100" spans="1:29">
      <c r="A100" s="3">
        <v>2030</v>
      </c>
      <c r="B100" s="3">
        <f t="shared" si="25"/>
        <v>27950.610408743712</v>
      </c>
      <c r="C100" s="3">
        <f t="shared" si="30"/>
        <v>5590.1220817487429</v>
      </c>
      <c r="D100" s="3">
        <f t="shared" si="31"/>
        <v>3633.5793531366826</v>
      </c>
      <c r="E100" s="3">
        <f t="shared" si="26"/>
        <v>810</v>
      </c>
      <c r="F100" s="3">
        <f t="shared" si="32"/>
        <v>8413.7014348854245</v>
      </c>
      <c r="G100" s="3"/>
      <c r="H100" s="3"/>
      <c r="I100" s="3">
        <v>2030</v>
      </c>
      <c r="J100" s="3">
        <f t="shared" si="33"/>
        <v>23851</v>
      </c>
      <c r="K100" s="3">
        <f t="shared" si="34"/>
        <v>4770.2</v>
      </c>
      <c r="L100" s="3">
        <f t="shared" si="35"/>
        <v>3100.63</v>
      </c>
      <c r="M100" s="3">
        <f t="shared" si="27"/>
        <v>814.34335594470963</v>
      </c>
      <c r="N100" s="3">
        <f t="shared" si="28"/>
        <v>8685.1733559447093</v>
      </c>
      <c r="O100" s="3"/>
      <c r="P100" s="3"/>
      <c r="Q100" s="3">
        <v>2030</v>
      </c>
      <c r="R100" s="13">
        <f t="shared" si="36"/>
        <v>1.0322654569050538</v>
      </c>
      <c r="S100" s="3"/>
      <c r="T100" s="3"/>
      <c r="U100" s="13">
        <f t="shared" si="37"/>
        <v>1.8250886431048807</v>
      </c>
      <c r="V100" s="12">
        <f>'Country L per 100 km'!M25</f>
        <v>4.4619386516992998</v>
      </c>
      <c r="W100" s="3">
        <f>'Country distance travelled'!M25</f>
        <v>10000</v>
      </c>
      <c r="Y100" s="3">
        <v>2030</v>
      </c>
      <c r="Z100" s="13"/>
      <c r="AA100" s="13">
        <v>2.3534656630341448</v>
      </c>
      <c r="AB100" s="13">
        <v>1.8250886431048807</v>
      </c>
      <c r="AC100" s="13">
        <v>1.4060180767990977</v>
      </c>
    </row>
    <row r="101" spans="1:29">
      <c r="A101" s="3">
        <v>2031</v>
      </c>
      <c r="B101" s="3"/>
      <c r="C101" s="3"/>
      <c r="D101" s="3"/>
      <c r="E101" s="3"/>
      <c r="F101" s="3"/>
      <c r="G101" s="3"/>
      <c r="H101" s="3"/>
      <c r="I101" s="3">
        <v>2031</v>
      </c>
      <c r="J101" s="3"/>
      <c r="K101" s="3"/>
      <c r="L101" s="3"/>
      <c r="M101" s="3"/>
      <c r="N101" s="3"/>
      <c r="O101" s="3"/>
      <c r="P101" s="3"/>
      <c r="Q101" s="3">
        <v>2031</v>
      </c>
      <c r="R101" s="3"/>
      <c r="S101" s="3"/>
      <c r="T101" s="3"/>
      <c r="U101" s="13">
        <f>U100</f>
        <v>1.8250886431048807</v>
      </c>
      <c r="V101" s="12">
        <f>'Country L per 100 km'!M26</f>
        <v>4.4177610412864361</v>
      </c>
      <c r="W101" s="3">
        <f>'Country distance travelled'!M26</f>
        <v>10000</v>
      </c>
      <c r="Y101" s="3">
        <v>2031</v>
      </c>
    </row>
    <row r="102" spans="1:29">
      <c r="A102" s="3">
        <v>2032</v>
      </c>
      <c r="B102" s="3"/>
      <c r="C102" s="3"/>
      <c r="D102" s="3"/>
      <c r="E102" s="3"/>
      <c r="F102" s="3"/>
      <c r="G102" s="3"/>
      <c r="H102" s="3"/>
      <c r="I102" s="3">
        <v>2032</v>
      </c>
      <c r="J102" s="3"/>
      <c r="K102" s="3"/>
      <c r="L102" s="3"/>
      <c r="M102" s="3"/>
      <c r="N102" s="3"/>
      <c r="O102" s="3"/>
      <c r="P102" s="3"/>
      <c r="Q102" s="3">
        <v>2032</v>
      </c>
      <c r="R102" s="3"/>
      <c r="S102" s="3"/>
      <c r="T102" s="3"/>
      <c r="U102" s="13">
        <f t="shared" ref="U102:U110" si="44">U101</f>
        <v>1.8250886431048807</v>
      </c>
      <c r="V102" s="12">
        <f>'Country L per 100 km'!M27</f>
        <v>4.3740208329568668</v>
      </c>
      <c r="W102" s="3">
        <f>'Country distance travelled'!M27</f>
        <v>10000</v>
      </c>
      <c r="Y102" s="3">
        <v>2032</v>
      </c>
    </row>
    <row r="103" spans="1:29">
      <c r="A103" s="3">
        <v>2033</v>
      </c>
      <c r="B103" s="3"/>
      <c r="C103" s="3"/>
      <c r="D103" s="3"/>
      <c r="E103" s="3"/>
      <c r="F103" s="3"/>
      <c r="G103" s="3"/>
      <c r="H103" s="3"/>
      <c r="I103" s="3">
        <v>2033</v>
      </c>
      <c r="J103" s="3"/>
      <c r="K103" s="3"/>
      <c r="L103" s="3"/>
      <c r="M103" s="3"/>
      <c r="N103" s="3"/>
      <c r="O103" s="3"/>
      <c r="P103" s="3"/>
      <c r="Q103" s="3">
        <v>2033</v>
      </c>
      <c r="R103" s="3"/>
      <c r="S103" s="3"/>
      <c r="T103" s="3"/>
      <c r="U103" s="13">
        <f t="shared" si="44"/>
        <v>1.8250886431048807</v>
      </c>
      <c r="V103" s="12">
        <f>'Country L per 100 km'!M28</f>
        <v>4.3307136959968986</v>
      </c>
      <c r="W103" s="3">
        <f>'Country distance travelled'!M28</f>
        <v>10000</v>
      </c>
      <c r="Y103" s="3">
        <v>2033</v>
      </c>
    </row>
    <row r="104" spans="1:29">
      <c r="A104" s="3">
        <v>2034</v>
      </c>
      <c r="B104" s="3"/>
      <c r="C104" s="3"/>
      <c r="D104" s="3"/>
      <c r="E104" s="3"/>
      <c r="F104" s="3"/>
      <c r="G104" s="3"/>
      <c r="H104" s="3"/>
      <c r="I104" s="3">
        <v>2034</v>
      </c>
      <c r="J104" s="3"/>
      <c r="K104" s="3"/>
      <c r="L104" s="3"/>
      <c r="M104" s="3"/>
      <c r="N104" s="3"/>
      <c r="O104" s="3"/>
      <c r="P104" s="3"/>
      <c r="Q104" s="3">
        <v>2034</v>
      </c>
      <c r="R104" s="3"/>
      <c r="S104" s="3"/>
      <c r="T104" s="3"/>
      <c r="U104" s="13">
        <f t="shared" si="44"/>
        <v>1.8250886431048807</v>
      </c>
      <c r="V104" s="12">
        <f>'Country L per 100 km'!M29</f>
        <v>4.2878353425711859</v>
      </c>
      <c r="W104" s="3">
        <f>'Country distance travelled'!M29</f>
        <v>10000</v>
      </c>
      <c r="Y104" s="3">
        <v>2034</v>
      </c>
    </row>
    <row r="105" spans="1:29">
      <c r="A105" s="3">
        <v>2035</v>
      </c>
      <c r="B105" s="3"/>
      <c r="C105" s="3"/>
      <c r="D105" s="3"/>
      <c r="E105" s="3"/>
      <c r="F105" s="3"/>
      <c r="G105" s="3"/>
      <c r="H105" s="3"/>
      <c r="I105" s="3">
        <v>2035</v>
      </c>
      <c r="J105" s="3"/>
      <c r="K105" s="3"/>
      <c r="L105" s="3"/>
      <c r="M105" s="3"/>
      <c r="N105" s="3"/>
      <c r="O105" s="3"/>
      <c r="P105" s="3"/>
      <c r="Q105" s="3">
        <v>2035</v>
      </c>
      <c r="R105" s="3"/>
      <c r="S105" s="3"/>
      <c r="T105" s="3"/>
      <c r="U105" s="13">
        <f t="shared" si="44"/>
        <v>1.8250886431048807</v>
      </c>
      <c r="V105" s="12">
        <f>'Country L per 100 km'!M30</f>
        <v>4.2453815272982034</v>
      </c>
      <c r="W105" s="3">
        <f>'Country distance travelled'!M30</f>
        <v>10000</v>
      </c>
      <c r="Y105" s="3">
        <v>2035</v>
      </c>
    </row>
    <row r="106" spans="1:29">
      <c r="A106" s="3">
        <v>2036</v>
      </c>
      <c r="B106" s="3"/>
      <c r="C106" s="3"/>
      <c r="D106" s="3"/>
      <c r="E106" s="3"/>
      <c r="F106" s="3"/>
      <c r="G106" s="3"/>
      <c r="H106" s="3"/>
      <c r="I106" s="3">
        <v>2036</v>
      </c>
      <c r="J106" s="3"/>
      <c r="K106" s="3"/>
      <c r="L106" s="3"/>
      <c r="M106" s="3"/>
      <c r="N106" s="3"/>
      <c r="O106" s="3"/>
      <c r="P106" s="3"/>
      <c r="Q106" s="3">
        <v>2036</v>
      </c>
      <c r="R106" s="3"/>
      <c r="S106" s="3"/>
      <c r="T106" s="3"/>
      <c r="U106" s="13">
        <f t="shared" si="44"/>
        <v>1.8250886431048807</v>
      </c>
      <c r="V106" s="12">
        <f>'Country L per 100 km'!M31</f>
        <v>4.2033480468299045</v>
      </c>
      <c r="W106" s="3">
        <f>'Country distance travelled'!M31</f>
        <v>10000</v>
      </c>
      <c r="Y106" s="3">
        <v>2036</v>
      </c>
    </row>
    <row r="107" spans="1:29">
      <c r="A107" s="3">
        <v>2037</v>
      </c>
      <c r="B107" s="3"/>
      <c r="C107" s="3"/>
      <c r="D107" s="3"/>
      <c r="E107" s="3"/>
      <c r="F107" s="3"/>
      <c r="G107" s="3"/>
      <c r="H107" s="3"/>
      <c r="I107" s="3">
        <v>2037</v>
      </c>
      <c r="J107" s="3"/>
      <c r="K107" s="3"/>
      <c r="L107" s="3"/>
      <c r="M107" s="3"/>
      <c r="N107" s="3"/>
      <c r="O107" s="3"/>
      <c r="P107" s="3"/>
      <c r="Q107" s="3">
        <v>2037</v>
      </c>
      <c r="R107" s="3"/>
      <c r="S107" s="3"/>
      <c r="T107" s="3"/>
      <c r="U107" s="13">
        <f t="shared" si="44"/>
        <v>1.8250886431048807</v>
      </c>
      <c r="V107" s="12">
        <f>'Country L per 100 km'!M32</f>
        <v>4.1617307394355496</v>
      </c>
      <c r="W107" s="3">
        <f>'Country distance travelled'!M32</f>
        <v>10000</v>
      </c>
      <c r="Y107" s="3">
        <v>2037</v>
      </c>
    </row>
    <row r="108" spans="1:29">
      <c r="A108" s="3">
        <v>2038</v>
      </c>
      <c r="B108" s="3"/>
      <c r="C108" s="3"/>
      <c r="D108" s="3"/>
      <c r="E108" s="3"/>
      <c r="F108" s="3"/>
      <c r="G108" s="3"/>
      <c r="H108" s="3"/>
      <c r="I108" s="3">
        <v>2038</v>
      </c>
      <c r="J108" s="3"/>
      <c r="K108" s="3"/>
      <c r="L108" s="3"/>
      <c r="M108" s="3"/>
      <c r="N108" s="3"/>
      <c r="O108" s="3"/>
      <c r="P108" s="3"/>
      <c r="Q108" s="3">
        <v>2038</v>
      </c>
      <c r="R108" s="3"/>
      <c r="S108" s="3"/>
      <c r="T108" s="3"/>
      <c r="U108" s="13">
        <f t="shared" si="44"/>
        <v>1.8250886431048807</v>
      </c>
      <c r="V108" s="12">
        <f>'Country L per 100 km'!M33</f>
        <v>4.1205254845896526</v>
      </c>
      <c r="W108" s="3">
        <f>'Country distance travelled'!M33</f>
        <v>10000</v>
      </c>
      <c r="Y108" s="3">
        <v>2038</v>
      </c>
    </row>
    <row r="109" spans="1:29">
      <c r="A109" s="3">
        <v>2039</v>
      </c>
      <c r="B109" s="3"/>
      <c r="C109" s="3"/>
      <c r="D109" s="3"/>
      <c r="E109" s="3"/>
      <c r="F109" s="3"/>
      <c r="G109" s="3"/>
      <c r="H109" s="3"/>
      <c r="I109" s="3">
        <v>2039</v>
      </c>
      <c r="J109" s="3"/>
      <c r="K109" s="3"/>
      <c r="L109" s="3"/>
      <c r="M109" s="3"/>
      <c r="N109" s="3"/>
      <c r="O109" s="3"/>
      <c r="P109" s="3"/>
      <c r="Q109" s="3">
        <v>2039</v>
      </c>
      <c r="R109" s="3"/>
      <c r="S109" s="3"/>
      <c r="T109" s="3"/>
      <c r="U109" s="13">
        <f t="shared" si="44"/>
        <v>1.8250886431048807</v>
      </c>
      <c r="V109" s="12">
        <f>'Country L per 100 km'!M34</f>
        <v>4.0797282025640129</v>
      </c>
      <c r="W109" s="3">
        <f>'Country distance travelled'!M34</f>
        <v>10000</v>
      </c>
      <c r="Y109" s="3">
        <v>2039</v>
      </c>
    </row>
    <row r="110" spans="1:29">
      <c r="A110" s="3">
        <v>2040</v>
      </c>
      <c r="B110" s="3"/>
      <c r="C110" s="3"/>
      <c r="D110" s="3"/>
      <c r="E110" s="3"/>
      <c r="F110" s="3"/>
      <c r="G110" s="3"/>
      <c r="H110" s="3"/>
      <c r="I110" s="3">
        <v>2040</v>
      </c>
      <c r="J110" s="3"/>
      <c r="K110" s="3"/>
      <c r="L110" s="3"/>
      <c r="M110" s="3"/>
      <c r="N110" s="3"/>
      <c r="O110" s="3"/>
      <c r="P110" s="3"/>
      <c r="Q110" s="3">
        <v>2040</v>
      </c>
      <c r="R110" s="3"/>
      <c r="S110" s="3"/>
      <c r="T110" s="3"/>
      <c r="U110" s="13">
        <f t="shared" si="44"/>
        <v>1.8250886431048807</v>
      </c>
      <c r="V110" s="12">
        <f>'Country L per 100 km'!M35</f>
        <v>4.0393348540237755</v>
      </c>
      <c r="W110" s="3">
        <f>'Country distance travelled'!M35</f>
        <v>10000</v>
      </c>
      <c r="Y110" s="3">
        <v>2040</v>
      </c>
    </row>
    <row r="118" spans="16:29">
      <c r="Q118" s="87" t="s">
        <v>980</v>
      </c>
      <c r="R118" s="87" t="s">
        <v>980</v>
      </c>
      <c r="S118" s="87" t="s">
        <v>980</v>
      </c>
      <c r="T118" s="87" t="s">
        <v>980</v>
      </c>
      <c r="U118" s="87" t="s">
        <v>980</v>
      </c>
      <c r="W118" s="14" t="s">
        <v>812</v>
      </c>
      <c r="X118" s="14" t="s">
        <v>812</v>
      </c>
      <c r="Y118" s="14" t="s">
        <v>812</v>
      </c>
      <c r="Z118" s="14" t="s">
        <v>812</v>
      </c>
      <c r="AA118" s="14" t="s">
        <v>812</v>
      </c>
      <c r="AC118" s="248" t="s">
        <v>952</v>
      </c>
    </row>
    <row r="119" spans="16:29">
      <c r="Q119" s="87" t="s">
        <v>978</v>
      </c>
      <c r="R119" s="87" t="s">
        <v>979</v>
      </c>
      <c r="S119" s="87" t="s">
        <v>916</v>
      </c>
      <c r="T119" s="87" t="s">
        <v>981</v>
      </c>
      <c r="U119" s="87" t="s">
        <v>983</v>
      </c>
      <c r="W119" s="14" t="s">
        <v>725</v>
      </c>
      <c r="X119" s="14" t="s">
        <v>979</v>
      </c>
      <c r="Y119" s="14" t="s">
        <v>916</v>
      </c>
      <c r="Z119" s="14" t="s">
        <v>985</v>
      </c>
      <c r="AA119" s="14" t="s">
        <v>983</v>
      </c>
      <c r="AC119" s="248" t="s">
        <v>1204</v>
      </c>
    </row>
    <row r="120" spans="16:29">
      <c r="P120">
        <v>2012</v>
      </c>
      <c r="Q120" s="3">
        <f>B82</f>
        <v>30331.447205655284</v>
      </c>
      <c r="R120" s="3">
        <f t="shared" ref="R120:U135" si="45">C82</f>
        <v>6066.2894411310572</v>
      </c>
      <c r="S120" s="3">
        <f t="shared" si="45"/>
        <v>3943.0881367351872</v>
      </c>
      <c r="T120" s="3">
        <f t="shared" si="45"/>
        <v>0</v>
      </c>
      <c r="U120" s="3">
        <f t="shared" si="45"/>
        <v>10009.377577866244</v>
      </c>
      <c r="V120" s="3"/>
      <c r="W120" s="3">
        <f>J82</f>
        <v>21537.621602116909</v>
      </c>
      <c r="X120" s="3">
        <f t="shared" ref="X120:AA135" si="46">K82</f>
        <v>4307.5243204233821</v>
      </c>
      <c r="Y120" s="3">
        <f t="shared" si="46"/>
        <v>2799.8908082751982</v>
      </c>
      <c r="Z120" s="3">
        <f t="shared" si="46"/>
        <v>944.48741200142774</v>
      </c>
      <c r="AA120" s="3">
        <f t="shared" si="46"/>
        <v>8051.9025407000072</v>
      </c>
      <c r="AC120" s="13">
        <f>U120/AA120</f>
        <v>1.2431071448358664</v>
      </c>
    </row>
    <row r="121" spans="16:29">
      <c r="P121">
        <v>2013</v>
      </c>
      <c r="Q121" s="3">
        <f t="shared" ref="Q121:U136" si="47">B83</f>
        <v>29776.001845585262</v>
      </c>
      <c r="R121" s="3">
        <f t="shared" si="45"/>
        <v>5955.2003691170521</v>
      </c>
      <c r="S121" s="3">
        <f t="shared" si="45"/>
        <v>3870.8802399260844</v>
      </c>
      <c r="T121" s="3">
        <f t="shared" si="45"/>
        <v>0</v>
      </c>
      <c r="U121" s="3">
        <f t="shared" si="45"/>
        <v>9826.0806090431361</v>
      </c>
      <c r="V121" s="3"/>
      <c r="W121" s="3">
        <f t="shared" ref="W121:AA136" si="48">J83</f>
        <v>20918.94171259928</v>
      </c>
      <c r="X121" s="3">
        <f t="shared" si="46"/>
        <v>4183.7883425198561</v>
      </c>
      <c r="Y121" s="3">
        <f t="shared" si="46"/>
        <v>2719.4624226379065</v>
      </c>
      <c r="Z121" s="3">
        <f t="shared" si="46"/>
        <v>919.92344518334198</v>
      </c>
      <c r="AA121" s="3">
        <f t="shared" si="46"/>
        <v>7823.1742103411043</v>
      </c>
      <c r="AC121" s="13">
        <f t="shared" ref="AC121:AC138" si="49">U121/AA121</f>
        <v>1.2560222161554935</v>
      </c>
    </row>
    <row r="122" spans="16:29">
      <c r="P122">
        <v>2014</v>
      </c>
      <c r="Q122" s="3">
        <f t="shared" si="47"/>
        <v>29443.024006505952</v>
      </c>
      <c r="R122" s="3">
        <f t="shared" si="45"/>
        <v>5888.6048013011905</v>
      </c>
      <c r="S122" s="3">
        <f t="shared" si="45"/>
        <v>3827.5931208457737</v>
      </c>
      <c r="T122" s="3">
        <f t="shared" si="45"/>
        <v>810</v>
      </c>
      <c r="U122" s="3">
        <f t="shared" si="45"/>
        <v>8906.1979221469646</v>
      </c>
      <c r="V122" s="3"/>
      <c r="W122" s="3">
        <f t="shared" si="48"/>
        <v>21252.302743789391</v>
      </c>
      <c r="X122" s="3">
        <f t="shared" si="46"/>
        <v>4250.4605487578783</v>
      </c>
      <c r="Y122" s="3">
        <f t="shared" si="46"/>
        <v>2762.7993566926207</v>
      </c>
      <c r="Z122" s="3">
        <f t="shared" si="46"/>
        <v>903.9953026161437</v>
      </c>
      <c r="AA122" s="3">
        <f t="shared" si="46"/>
        <v>7917.2552080666428</v>
      </c>
      <c r="AC122" s="13">
        <f t="shared" si="49"/>
        <v>1.1249097936204859</v>
      </c>
    </row>
    <row r="123" spans="16:29">
      <c r="P123">
        <v>2015</v>
      </c>
      <c r="Q123" s="3">
        <f t="shared" si="47"/>
        <v>34606.875572127086</v>
      </c>
      <c r="R123" s="3">
        <f t="shared" si="45"/>
        <v>6921.3751144254175</v>
      </c>
      <c r="S123" s="3">
        <f t="shared" si="45"/>
        <v>4498.8938243765215</v>
      </c>
      <c r="T123" s="3">
        <f t="shared" si="45"/>
        <v>810</v>
      </c>
      <c r="U123" s="3">
        <f t="shared" si="45"/>
        <v>10610.268938801939</v>
      </c>
      <c r="V123" s="3"/>
      <c r="W123" s="3">
        <f t="shared" si="48"/>
        <v>25420.271271964099</v>
      </c>
      <c r="X123" s="3">
        <f t="shared" si="46"/>
        <v>5084.0542543928195</v>
      </c>
      <c r="Y123" s="3">
        <f t="shared" si="46"/>
        <v>3304.6352653553331</v>
      </c>
      <c r="Z123" s="3">
        <f t="shared" si="46"/>
        <v>772.81395355297661</v>
      </c>
      <c r="AA123" s="3">
        <f t="shared" si="46"/>
        <v>9161.5034733011307</v>
      </c>
      <c r="AC123" s="13">
        <f t="shared" si="49"/>
        <v>1.1581362130924107</v>
      </c>
    </row>
    <row r="124" spans="16:29">
      <c r="P124">
        <v>2016</v>
      </c>
      <c r="Q124" s="3">
        <f t="shared" si="47"/>
        <v>34636.943021444022</v>
      </c>
      <c r="R124" s="3">
        <f t="shared" si="45"/>
        <v>6927.3886042888043</v>
      </c>
      <c r="S124" s="3">
        <f t="shared" si="45"/>
        <v>4502.8025927877234</v>
      </c>
      <c r="T124" s="3">
        <f t="shared" si="45"/>
        <v>810</v>
      </c>
      <c r="U124" s="3">
        <f t="shared" si="45"/>
        <v>10620.191197076529</v>
      </c>
      <c r="V124" s="3"/>
      <c r="W124" s="3">
        <f t="shared" si="48"/>
        <v>25443.322983107086</v>
      </c>
      <c r="X124" s="3">
        <f t="shared" si="46"/>
        <v>5088.6645966214173</v>
      </c>
      <c r="Y124" s="3">
        <f t="shared" si="46"/>
        <v>3307.6319878039212</v>
      </c>
      <c r="Z124" s="3">
        <f t="shared" si="46"/>
        <v>749.32381971096061</v>
      </c>
      <c r="AA124" s="3">
        <f t="shared" si="46"/>
        <v>9145.620404136298</v>
      </c>
      <c r="AC124" s="13">
        <f t="shared" si="49"/>
        <v>1.1612324509197129</v>
      </c>
    </row>
    <row r="125" spans="16:29">
      <c r="P125">
        <v>2017</v>
      </c>
      <c r="Q125" s="3">
        <f t="shared" si="47"/>
        <v>33733.644282649679</v>
      </c>
      <c r="R125" s="3">
        <f t="shared" si="45"/>
        <v>6746.7288565299359</v>
      </c>
      <c r="S125" s="3">
        <f t="shared" si="45"/>
        <v>4385.3737567444587</v>
      </c>
      <c r="T125" s="3">
        <f t="shared" si="45"/>
        <v>810</v>
      </c>
      <c r="U125" s="3">
        <f t="shared" si="45"/>
        <v>10322.102613274394</v>
      </c>
      <c r="V125" s="3"/>
      <c r="W125" s="3">
        <f t="shared" si="48"/>
        <v>24750.793950031424</v>
      </c>
      <c r="X125" s="3">
        <f t="shared" si="46"/>
        <v>4950.158790006285</v>
      </c>
      <c r="Y125" s="3">
        <f t="shared" si="46"/>
        <v>3217.603213504085</v>
      </c>
      <c r="Z125" s="3">
        <f t="shared" si="46"/>
        <v>775.75062523426743</v>
      </c>
      <c r="AA125" s="3">
        <f t="shared" si="46"/>
        <v>8943.5126287446383</v>
      </c>
      <c r="AC125" s="13">
        <f t="shared" si="49"/>
        <v>1.1541441312554239</v>
      </c>
    </row>
    <row r="126" spans="16:29">
      <c r="P126">
        <v>2018</v>
      </c>
      <c r="Q126" s="3">
        <f t="shared" si="47"/>
        <v>33174.008582550203</v>
      </c>
      <c r="R126" s="3">
        <f t="shared" si="45"/>
        <v>6634.8017165100409</v>
      </c>
      <c r="S126" s="3">
        <f t="shared" si="45"/>
        <v>4312.6211157315265</v>
      </c>
      <c r="T126" s="3">
        <f t="shared" si="45"/>
        <v>810</v>
      </c>
      <c r="U126" s="3">
        <f t="shared" si="45"/>
        <v>10137.422832241567</v>
      </c>
      <c r="V126" s="3"/>
      <c r="W126" s="3">
        <f t="shared" si="48"/>
        <v>23851</v>
      </c>
      <c r="X126" s="3">
        <f t="shared" si="46"/>
        <v>4770.2</v>
      </c>
      <c r="Y126" s="3">
        <f t="shared" si="46"/>
        <v>3100.63</v>
      </c>
      <c r="Z126" s="3">
        <f t="shared" si="46"/>
        <v>796.49110184432334</v>
      </c>
      <c r="AA126" s="3">
        <f t="shared" si="46"/>
        <v>8667.3211018443235</v>
      </c>
      <c r="AC126" s="13">
        <f t="shared" si="49"/>
        <v>1.169614314864188</v>
      </c>
    </row>
    <row r="127" spans="16:29">
      <c r="P127">
        <v>2019</v>
      </c>
      <c r="Q127" s="3">
        <f t="shared" si="47"/>
        <v>33776.394833452447</v>
      </c>
      <c r="R127" s="3">
        <f t="shared" si="45"/>
        <v>6755.2789666904891</v>
      </c>
      <c r="S127" s="3">
        <f t="shared" si="45"/>
        <v>4390.9313283488182</v>
      </c>
      <c r="T127" s="3">
        <f t="shared" si="45"/>
        <v>810</v>
      </c>
      <c r="U127" s="3">
        <f t="shared" si="45"/>
        <v>10336.210295039307</v>
      </c>
      <c r="V127" s="3"/>
      <c r="W127" s="3">
        <f t="shared" si="48"/>
        <v>23851</v>
      </c>
      <c r="X127" s="3">
        <f t="shared" si="46"/>
        <v>4770.2</v>
      </c>
      <c r="Y127" s="3">
        <f t="shared" si="46"/>
        <v>3100.63</v>
      </c>
      <c r="Z127" s="3">
        <f t="shared" si="46"/>
        <v>785.69468056702453</v>
      </c>
      <c r="AA127" s="3">
        <f t="shared" si="46"/>
        <v>8656.5246805670249</v>
      </c>
      <c r="AC127" s="13">
        <f t="shared" si="49"/>
        <v>1.1940369462866545</v>
      </c>
    </row>
    <row r="128" spans="16:29">
      <c r="P128">
        <v>2020</v>
      </c>
      <c r="Q128" s="3">
        <f t="shared" si="47"/>
        <v>33582.381538991802</v>
      </c>
      <c r="R128" s="3">
        <f t="shared" si="45"/>
        <v>6716.4763077983607</v>
      </c>
      <c r="S128" s="3">
        <f t="shared" si="45"/>
        <v>4365.7096000689344</v>
      </c>
      <c r="T128" s="3">
        <f t="shared" si="45"/>
        <v>810</v>
      </c>
      <c r="U128" s="3">
        <f t="shared" si="45"/>
        <v>10272.185907867295</v>
      </c>
      <c r="V128" s="3"/>
      <c r="W128" s="3">
        <f t="shared" si="48"/>
        <v>23851</v>
      </c>
      <c r="X128" s="3">
        <f t="shared" si="46"/>
        <v>4770.2</v>
      </c>
      <c r="Y128" s="3">
        <f t="shared" si="46"/>
        <v>3100.63</v>
      </c>
      <c r="Z128" s="3">
        <f t="shared" si="46"/>
        <v>778.76320470375606</v>
      </c>
      <c r="AA128" s="3">
        <f t="shared" si="46"/>
        <v>8649.5932047037568</v>
      </c>
      <c r="AC128" s="13">
        <f t="shared" si="49"/>
        <v>1.1875917935980103</v>
      </c>
    </row>
    <row r="129" spans="16:29">
      <c r="P129">
        <v>2021</v>
      </c>
      <c r="Q129" s="3">
        <f t="shared" si="47"/>
        <v>32774.357070292426</v>
      </c>
      <c r="R129" s="3">
        <f t="shared" si="45"/>
        <v>6554.8714140584852</v>
      </c>
      <c r="S129" s="3">
        <f t="shared" si="45"/>
        <v>4260.666419138016</v>
      </c>
      <c r="T129" s="3">
        <f t="shared" si="45"/>
        <v>810</v>
      </c>
      <c r="U129" s="3">
        <f t="shared" si="45"/>
        <v>10005.5378331965</v>
      </c>
      <c r="V129" s="3"/>
      <c r="W129" s="3">
        <f t="shared" si="48"/>
        <v>23851</v>
      </c>
      <c r="X129" s="3">
        <f t="shared" si="46"/>
        <v>4770.2</v>
      </c>
      <c r="Y129" s="3">
        <f t="shared" si="46"/>
        <v>3100.63</v>
      </c>
      <c r="Z129" s="3">
        <f t="shared" si="46"/>
        <v>795.77998250298947</v>
      </c>
      <c r="AA129" s="3">
        <f t="shared" si="46"/>
        <v>8666.6099825029887</v>
      </c>
      <c r="AC129" s="13">
        <f t="shared" si="49"/>
        <v>1.1544926855364059</v>
      </c>
    </row>
    <row r="130" spans="16:29">
      <c r="P130">
        <v>2022</v>
      </c>
      <c r="Q130" s="3">
        <f t="shared" si="47"/>
        <v>33226.225464477589</v>
      </c>
      <c r="R130" s="3">
        <f t="shared" si="45"/>
        <v>6645.2450928955177</v>
      </c>
      <c r="S130" s="3">
        <f t="shared" si="45"/>
        <v>4319.4093103820869</v>
      </c>
      <c r="T130" s="3">
        <f t="shared" si="45"/>
        <v>810</v>
      </c>
      <c r="U130" s="3">
        <f t="shared" si="45"/>
        <v>10154.654403277604</v>
      </c>
      <c r="V130" s="3"/>
      <c r="W130" s="3">
        <f t="shared" si="48"/>
        <v>23851</v>
      </c>
      <c r="X130" s="3">
        <f t="shared" si="46"/>
        <v>4770.2</v>
      </c>
      <c r="Y130" s="3">
        <f t="shared" si="46"/>
        <v>3100.63</v>
      </c>
      <c r="Z130" s="3">
        <f t="shared" si="46"/>
        <v>806.1298623935337</v>
      </c>
      <c r="AA130" s="3">
        <f t="shared" si="46"/>
        <v>8676.9598623935344</v>
      </c>
      <c r="AC130" s="13">
        <f t="shared" si="49"/>
        <v>1.1703009538269833</v>
      </c>
    </row>
    <row r="131" spans="16:29">
      <c r="P131">
        <v>2023</v>
      </c>
      <c r="Q131" s="3">
        <f t="shared" si="47"/>
        <v>32934.923469350011</v>
      </c>
      <c r="R131" s="3">
        <f t="shared" si="45"/>
        <v>6586.984693870002</v>
      </c>
      <c r="S131" s="3">
        <f t="shared" si="45"/>
        <v>4281.5400510155014</v>
      </c>
      <c r="T131" s="3">
        <f t="shared" si="45"/>
        <v>810</v>
      </c>
      <c r="U131" s="3">
        <f t="shared" si="45"/>
        <v>10058.524744885504</v>
      </c>
      <c r="V131" s="3"/>
      <c r="W131" s="3">
        <f t="shared" si="48"/>
        <v>23851</v>
      </c>
      <c r="X131" s="3">
        <f t="shared" si="46"/>
        <v>4770.2</v>
      </c>
      <c r="Y131" s="3">
        <f t="shared" si="46"/>
        <v>3100.63</v>
      </c>
      <c r="Z131" s="3">
        <f t="shared" si="46"/>
        <v>806.45364610805257</v>
      </c>
      <c r="AA131" s="3">
        <f t="shared" si="46"/>
        <v>8677.2836461080533</v>
      </c>
      <c r="AC131" s="13">
        <f t="shared" si="49"/>
        <v>1.1591789729493247</v>
      </c>
    </row>
    <row r="132" spans="16:29">
      <c r="P132">
        <v>2024</v>
      </c>
      <c r="Q132" s="3">
        <f t="shared" si="47"/>
        <v>31808.839144021029</v>
      </c>
      <c r="R132" s="3">
        <f t="shared" si="45"/>
        <v>6361.7678288042061</v>
      </c>
      <c r="S132" s="3">
        <f t="shared" si="45"/>
        <v>4135.1490887227337</v>
      </c>
      <c r="T132" s="3">
        <f t="shared" si="45"/>
        <v>810</v>
      </c>
      <c r="U132" s="3">
        <f t="shared" si="45"/>
        <v>9686.9169175269399</v>
      </c>
      <c r="V132" s="3"/>
      <c r="W132" s="3">
        <f t="shared" si="48"/>
        <v>23851</v>
      </c>
      <c r="X132" s="3">
        <f t="shared" si="46"/>
        <v>4770.2</v>
      </c>
      <c r="Y132" s="3">
        <f t="shared" si="46"/>
        <v>3100.63</v>
      </c>
      <c r="Z132" s="3">
        <f t="shared" si="46"/>
        <v>800.64302469844665</v>
      </c>
      <c r="AA132" s="3">
        <f t="shared" si="46"/>
        <v>8671.4730246984473</v>
      </c>
      <c r="AC132" s="13">
        <f t="shared" si="49"/>
        <v>1.1171016608062163</v>
      </c>
    </row>
    <row r="133" spans="16:29">
      <c r="P133">
        <v>2025</v>
      </c>
      <c r="Q133" s="3">
        <f t="shared" si="47"/>
        <v>30842.08073460696</v>
      </c>
      <c r="R133" s="3">
        <f t="shared" si="45"/>
        <v>6168.4161469213923</v>
      </c>
      <c r="S133" s="3">
        <f t="shared" si="45"/>
        <v>4009.4704954989047</v>
      </c>
      <c r="T133" s="3">
        <f t="shared" si="45"/>
        <v>810</v>
      </c>
      <c r="U133" s="3">
        <f t="shared" si="45"/>
        <v>9367.886642420297</v>
      </c>
      <c r="V133" s="3"/>
      <c r="W133" s="3">
        <f t="shared" si="48"/>
        <v>23851</v>
      </c>
      <c r="X133" s="3">
        <f t="shared" si="46"/>
        <v>4770.2</v>
      </c>
      <c r="Y133" s="3">
        <f t="shared" si="46"/>
        <v>3100.63</v>
      </c>
      <c r="Z133" s="3">
        <f t="shared" si="46"/>
        <v>803.97887977644621</v>
      </c>
      <c r="AA133" s="3">
        <f t="shared" si="46"/>
        <v>8674.8088797764467</v>
      </c>
      <c r="AC133" s="13">
        <f t="shared" si="49"/>
        <v>1.0798954504069387</v>
      </c>
    </row>
    <row r="134" spans="16:29">
      <c r="P134">
        <v>2026</v>
      </c>
      <c r="Q134" s="3">
        <f t="shared" si="47"/>
        <v>30291.324482061576</v>
      </c>
      <c r="R134" s="3">
        <f t="shared" si="45"/>
        <v>6058.2648964123155</v>
      </c>
      <c r="S134" s="3">
        <f t="shared" si="45"/>
        <v>3937.8721826680053</v>
      </c>
      <c r="T134" s="3">
        <f t="shared" si="45"/>
        <v>810</v>
      </c>
      <c r="U134" s="3">
        <f t="shared" si="45"/>
        <v>9186.1370790803212</v>
      </c>
      <c r="V134" s="3"/>
      <c r="W134" s="3">
        <f t="shared" si="48"/>
        <v>23851</v>
      </c>
      <c r="X134" s="3">
        <f t="shared" si="46"/>
        <v>4770.2</v>
      </c>
      <c r="Y134" s="3">
        <f t="shared" si="46"/>
        <v>3100.63</v>
      </c>
      <c r="Z134" s="3">
        <f t="shared" si="46"/>
        <v>815.61875122612992</v>
      </c>
      <c r="AA134" s="3">
        <f t="shared" si="46"/>
        <v>8686.4487512261294</v>
      </c>
      <c r="AC134" s="13">
        <f t="shared" si="49"/>
        <v>1.0575250418398725</v>
      </c>
    </row>
    <row r="135" spans="16:29">
      <c r="P135">
        <v>2027</v>
      </c>
      <c r="Q135" s="3">
        <f t="shared" si="47"/>
        <v>29740.568229516193</v>
      </c>
      <c r="R135" s="3">
        <f t="shared" si="45"/>
        <v>5948.1136459032386</v>
      </c>
      <c r="S135" s="3">
        <f t="shared" si="45"/>
        <v>3866.2738698371054</v>
      </c>
      <c r="T135" s="3">
        <f t="shared" si="45"/>
        <v>810</v>
      </c>
      <c r="U135" s="3">
        <f t="shared" si="45"/>
        <v>9004.3875157403436</v>
      </c>
      <c r="V135" s="3"/>
      <c r="W135" s="3">
        <f t="shared" si="48"/>
        <v>23851</v>
      </c>
      <c r="X135" s="3">
        <f t="shared" si="46"/>
        <v>4770.2</v>
      </c>
      <c r="Y135" s="3">
        <f t="shared" si="46"/>
        <v>3100.63</v>
      </c>
      <c r="Z135" s="3">
        <f t="shared" si="46"/>
        <v>817.54467858900205</v>
      </c>
      <c r="AA135" s="3">
        <f t="shared" si="46"/>
        <v>8688.3746785890016</v>
      </c>
      <c r="AC135" s="13">
        <f t="shared" si="49"/>
        <v>1.0363719163643001</v>
      </c>
    </row>
    <row r="136" spans="16:29">
      <c r="P136">
        <v>2028</v>
      </c>
      <c r="Q136" s="3">
        <f t="shared" si="47"/>
        <v>29120.967445402639</v>
      </c>
      <c r="R136" s="3">
        <f t="shared" si="47"/>
        <v>5824.1934890805278</v>
      </c>
      <c r="S136" s="3">
        <f t="shared" si="47"/>
        <v>3785.7257679023433</v>
      </c>
      <c r="T136" s="3">
        <f t="shared" si="47"/>
        <v>810</v>
      </c>
      <c r="U136" s="3">
        <f t="shared" si="47"/>
        <v>8799.9192569828701</v>
      </c>
      <c r="V136" s="3"/>
      <c r="W136" s="3">
        <f t="shared" si="48"/>
        <v>23851</v>
      </c>
      <c r="X136" s="3">
        <f t="shared" si="48"/>
        <v>4770.2</v>
      </c>
      <c r="Y136" s="3">
        <f t="shared" si="48"/>
        <v>3100.63</v>
      </c>
      <c r="Z136" s="3">
        <f t="shared" si="48"/>
        <v>815.71860331277458</v>
      </c>
      <c r="AA136" s="3">
        <f t="shared" si="48"/>
        <v>8686.5486033127745</v>
      </c>
      <c r="AC136" s="13">
        <f t="shared" si="49"/>
        <v>1.013051288704798</v>
      </c>
    </row>
    <row r="137" spans="16:29">
      <c r="P137">
        <v>2029</v>
      </c>
      <c r="Q137" s="3">
        <f t="shared" ref="Q137:U138" si="50">B99</f>
        <v>28570.211192857267</v>
      </c>
      <c r="R137" s="3">
        <f t="shared" si="50"/>
        <v>5714.0422385714537</v>
      </c>
      <c r="S137" s="3">
        <f t="shared" si="50"/>
        <v>3714.1274550714447</v>
      </c>
      <c r="T137" s="3">
        <f t="shared" si="50"/>
        <v>810</v>
      </c>
      <c r="U137" s="3">
        <f t="shared" si="50"/>
        <v>8618.169693642898</v>
      </c>
      <c r="V137" s="3"/>
      <c r="W137" s="3">
        <f t="shared" ref="W137:AA138" si="51">J99</f>
        <v>23851</v>
      </c>
      <c r="X137" s="3">
        <f t="shared" si="51"/>
        <v>4770.2</v>
      </c>
      <c r="Y137" s="3">
        <f t="shared" si="51"/>
        <v>3100.63</v>
      </c>
      <c r="Z137" s="3">
        <f t="shared" si="51"/>
        <v>816.05449229393844</v>
      </c>
      <c r="AA137" s="3">
        <f t="shared" si="51"/>
        <v>8686.8844922939388</v>
      </c>
      <c r="AC137" s="13">
        <f t="shared" si="49"/>
        <v>0.99208982245452937</v>
      </c>
    </row>
    <row r="138" spans="16:29">
      <c r="P138">
        <v>2030</v>
      </c>
      <c r="Q138" s="3">
        <f t="shared" si="50"/>
        <v>27950.610408743712</v>
      </c>
      <c r="R138" s="3">
        <f t="shared" si="50"/>
        <v>5590.1220817487429</v>
      </c>
      <c r="S138" s="3">
        <f t="shared" si="50"/>
        <v>3633.5793531366826</v>
      </c>
      <c r="T138" s="3">
        <f t="shared" si="50"/>
        <v>810</v>
      </c>
      <c r="U138" s="3">
        <f t="shared" si="50"/>
        <v>8413.7014348854245</v>
      </c>
      <c r="V138" s="3"/>
      <c r="W138" s="3">
        <f t="shared" si="51"/>
        <v>23851</v>
      </c>
      <c r="X138" s="3">
        <f t="shared" si="51"/>
        <v>4770.2</v>
      </c>
      <c r="Y138" s="3">
        <f t="shared" si="51"/>
        <v>3100.63</v>
      </c>
      <c r="Z138" s="3">
        <f t="shared" si="51"/>
        <v>814.34335594470963</v>
      </c>
      <c r="AA138" s="3">
        <f t="shared" si="51"/>
        <v>8685.1733559447093</v>
      </c>
      <c r="AC138" s="13">
        <f t="shared" si="49"/>
        <v>0.96874306246593556</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42578125" customWidth="1"/>
    <col min="2" max="7" width="13.5703125" customWidth="1"/>
  </cols>
  <sheetData>
    <row r="1" spans="1:7">
      <c r="A1" t="s">
        <v>148</v>
      </c>
    </row>
    <row r="2" spans="1:7" ht="15.75" thickBot="1"/>
    <row r="3" spans="1:7">
      <c r="A3" s="44" t="s">
        <v>149</v>
      </c>
      <c r="B3" s="44"/>
    </row>
    <row r="4" spans="1:7">
      <c r="A4" s="41" t="s">
        <v>150</v>
      </c>
      <c r="B4" s="41">
        <v>0.99984838336353965</v>
      </c>
    </row>
    <row r="5" spans="1:7">
      <c r="A5" s="41" t="s">
        <v>151</v>
      </c>
      <c r="B5" s="41">
        <v>0.99969678971468379</v>
      </c>
    </row>
    <row r="6" spans="1:7">
      <c r="A6" s="41" t="s">
        <v>152</v>
      </c>
      <c r="B6" s="41">
        <v>0.99954518457202557</v>
      </c>
    </row>
    <row r="7" spans="1:7">
      <c r="A7" s="41" t="s">
        <v>153</v>
      </c>
      <c r="B7" s="41">
        <v>8.8503696061294334E-3</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2</v>
      </c>
      <c r="C12" s="41">
        <v>1.0330163030216493</v>
      </c>
      <c r="D12" s="41">
        <v>0.51650815151082463</v>
      </c>
      <c r="E12" s="41">
        <v>6594.0823126898958</v>
      </c>
      <c r="F12" s="41">
        <v>9.1936477121545846E-8</v>
      </c>
    </row>
    <row r="13" spans="1:7">
      <c r="A13" s="41" t="s">
        <v>157</v>
      </c>
      <c r="B13" s="41">
        <v>4</v>
      </c>
      <c r="C13" s="41">
        <v>3.1331616866039859E-4</v>
      </c>
      <c r="D13" s="41">
        <v>7.8329042165099647E-5</v>
      </c>
      <c r="E13" s="41"/>
      <c r="F13" s="41"/>
    </row>
    <row r="14" spans="1:7" ht="15.75" thickBot="1">
      <c r="A14" s="42" t="s">
        <v>158</v>
      </c>
      <c r="B14" s="42">
        <v>6</v>
      </c>
      <c r="C14" s="42">
        <v>1.0333296191903096</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-5.3163755783200068</v>
      </c>
      <c r="C17" s="41">
        <v>1.0606462448415578E-2</v>
      </c>
      <c r="D17" s="41">
        <v>-501.23927786254325</v>
      </c>
      <c r="E17" s="41">
        <v>9.5051580797435035E-11</v>
      </c>
      <c r="F17" s="41">
        <v>-5.3458238390683741</v>
      </c>
      <c r="G17" s="41">
        <v>-5.2869273175716396</v>
      </c>
    </row>
    <row r="18" spans="1:7">
      <c r="A18" s="41" t="s">
        <v>329</v>
      </c>
      <c r="B18" s="41">
        <v>0.17398903415631711</v>
      </c>
      <c r="C18" s="41">
        <v>1.6931161952489667E-3</v>
      </c>
      <c r="D18" s="41">
        <v>102.76260698736785</v>
      </c>
      <c r="E18" s="41">
        <v>5.3769583799364389E-8</v>
      </c>
      <c r="F18" s="41">
        <v>0.16928818998348702</v>
      </c>
      <c r="G18" s="41">
        <v>0.17868987832914721</v>
      </c>
    </row>
    <row r="19" spans="1:7" ht="15.75" thickBot="1">
      <c r="A19" s="42" t="s">
        <v>1330</v>
      </c>
      <c r="B19" s="42">
        <v>-0.57706903383333108</v>
      </c>
      <c r="C19" s="42">
        <v>8.6640090498001001E-3</v>
      </c>
      <c r="D19" s="42">
        <v>-66.60531291188407</v>
      </c>
      <c r="E19" s="42">
        <v>3.0441314216491295E-7</v>
      </c>
      <c r="F19" s="42">
        <v>-0.6011241793510379</v>
      </c>
      <c r="G19" s="42">
        <v>-0.55301388831562426</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71"/>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5" max="25" width="10.7109375" customWidth="1"/>
  </cols>
  <sheetData>
    <row r="1" spans="1:38">
      <c r="P1" s="14"/>
      <c r="R1" s="236" t="s">
        <v>1318</v>
      </c>
      <c r="S1" s="236"/>
      <c r="T1" s="236"/>
      <c r="U1" s="236"/>
      <c r="W1" s="236" t="s">
        <v>1318</v>
      </c>
      <c r="X1" s="236"/>
      <c r="Y1" s="236"/>
      <c r="Z1" s="236"/>
    </row>
    <row r="2" spans="1:38">
      <c r="B2" t="s">
        <v>243</v>
      </c>
      <c r="C2" t="s">
        <v>282</v>
      </c>
      <c r="L2" t="s">
        <v>282</v>
      </c>
      <c r="S2" t="s">
        <v>1172</v>
      </c>
      <c r="X2" t="s">
        <v>1184</v>
      </c>
      <c r="AB2" t="s">
        <v>960</v>
      </c>
    </row>
    <row r="3" spans="1:38">
      <c r="B3" t="s">
        <v>938</v>
      </c>
      <c r="C3" t="s">
        <v>1321</v>
      </c>
      <c r="D3" t="s">
        <v>1164</v>
      </c>
      <c r="E3" s="87" t="s">
        <v>1137</v>
      </c>
      <c r="F3" s="87" t="s">
        <v>1384</v>
      </c>
      <c r="G3" s="87" t="s">
        <v>1383</v>
      </c>
      <c r="H3" s="87" t="s">
        <v>1382</v>
      </c>
      <c r="I3" s="87" t="s">
        <v>1136</v>
      </c>
      <c r="J3" t="s">
        <v>1163</v>
      </c>
      <c r="L3" s="14" t="s">
        <v>1331</v>
      </c>
      <c r="M3" s="14" t="s">
        <v>1160</v>
      </c>
      <c r="N3" s="14" t="s">
        <v>944</v>
      </c>
      <c r="O3" s="78" t="s">
        <v>1153</v>
      </c>
      <c r="P3" s="14" t="s">
        <v>1152</v>
      </c>
      <c r="S3" s="236" t="s">
        <v>1173</v>
      </c>
      <c r="T3" s="236" t="s">
        <v>1147</v>
      </c>
      <c r="U3" s="236" t="s">
        <v>1174</v>
      </c>
      <c r="X3" s="236" t="s">
        <v>1173</v>
      </c>
      <c r="Y3" s="236" t="s">
        <v>1147</v>
      </c>
      <c r="Z3" s="236" t="s">
        <v>1174</v>
      </c>
      <c r="AB3" s="14" t="s">
        <v>1298</v>
      </c>
      <c r="AD3" t="s">
        <v>1329</v>
      </c>
      <c r="AF3" t="s">
        <v>1296</v>
      </c>
      <c r="AG3" t="s">
        <v>960</v>
      </c>
      <c r="AK3" t="s">
        <v>329</v>
      </c>
      <c r="AL3" t="s">
        <v>1330</v>
      </c>
    </row>
    <row r="4" spans="1:38">
      <c r="A4">
        <v>2009</v>
      </c>
      <c r="B4" s="13">
        <f>'EV %sales'!N67</f>
        <v>2.5231012895486578E-2</v>
      </c>
      <c r="C4" s="20"/>
      <c r="D4" s="13"/>
      <c r="E4" s="13"/>
      <c r="F4" s="84"/>
      <c r="G4" s="84"/>
      <c r="H4" s="84"/>
      <c r="I4" s="13"/>
      <c r="J4" s="13"/>
      <c r="K4" s="13"/>
      <c r="L4" s="13"/>
      <c r="M4" s="13"/>
      <c r="N4" s="13"/>
      <c r="O4" s="13"/>
      <c r="P4" s="13"/>
      <c r="Q4" s="13"/>
      <c r="R4">
        <v>2009</v>
      </c>
      <c r="W4">
        <v>2009</v>
      </c>
      <c r="AA4" s="13"/>
      <c r="AB4" s="13"/>
      <c r="AC4" s="13"/>
    </row>
    <row r="5" spans="1:38">
      <c r="A5">
        <v>2010</v>
      </c>
      <c r="B5" s="13">
        <f>'EV %sales'!N68</f>
        <v>5.7929724596391265E-2</v>
      </c>
      <c r="C5" s="20"/>
      <c r="D5" s="13"/>
      <c r="E5" s="13"/>
      <c r="F5" s="230"/>
      <c r="G5" s="230"/>
      <c r="H5" s="230"/>
      <c r="I5" s="13"/>
      <c r="J5" s="13"/>
      <c r="K5" s="13"/>
      <c r="L5" s="13"/>
      <c r="M5" s="13"/>
      <c r="N5" s="13"/>
      <c r="O5" s="13"/>
      <c r="P5" s="13"/>
      <c r="Q5" s="13"/>
      <c r="R5">
        <v>2010</v>
      </c>
      <c r="W5">
        <v>2010</v>
      </c>
      <c r="AA5" s="13"/>
      <c r="AB5" s="13">
        <f t="shared" ref="AB5:AB50" si="0">65*EXP(AF5)/(1+EXP(AF5))</f>
        <v>0.37763544019268991</v>
      </c>
      <c r="AC5" s="13"/>
      <c r="AF5">
        <f t="shared" ref="AF5:AF50" si="1">AC$56+AC$57*AK5+AC$58*AL5</f>
        <v>-5.1423865441636893</v>
      </c>
      <c r="AG5">
        <f t="shared" ref="AG5:AG50" si="2">AC$56+AC$57*AK5</f>
        <v>-5.1423865441636893</v>
      </c>
      <c r="AH5" s="33"/>
      <c r="AI5" s="33"/>
      <c r="AK5">
        <v>1</v>
      </c>
      <c r="AL5">
        <v>0</v>
      </c>
    </row>
    <row r="6" spans="1:38">
      <c r="A6">
        <v>2011</v>
      </c>
      <c r="B6" s="13">
        <f>'EV %sales'!N69</f>
        <v>0.35801418439716309</v>
      </c>
      <c r="C6" s="20"/>
      <c r="D6" s="13"/>
      <c r="E6" s="13"/>
      <c r="F6" s="230"/>
      <c r="G6" s="230"/>
      <c r="H6" s="230"/>
      <c r="I6" s="13"/>
      <c r="J6" s="13"/>
      <c r="K6" s="13"/>
      <c r="L6" s="13"/>
      <c r="M6" s="13"/>
      <c r="N6" s="13"/>
      <c r="O6" s="13"/>
      <c r="P6" s="13"/>
      <c r="Q6" s="13"/>
      <c r="R6">
        <v>2011</v>
      </c>
      <c r="W6">
        <v>2011</v>
      </c>
      <c r="AA6" s="13"/>
      <c r="AB6" s="13">
        <f t="shared" si="0"/>
        <v>0.44890658958815161</v>
      </c>
      <c r="AC6" s="13"/>
      <c r="AF6">
        <f t="shared" si="1"/>
        <v>-4.9683975100073727</v>
      </c>
      <c r="AG6">
        <f t="shared" si="2"/>
        <v>-4.9683975100073727</v>
      </c>
      <c r="AH6" s="33"/>
      <c r="AK6">
        <v>2</v>
      </c>
      <c r="AL6">
        <v>0</v>
      </c>
    </row>
    <row r="7" spans="1:38">
      <c r="A7">
        <v>2012</v>
      </c>
      <c r="B7" s="13">
        <f>'EV %sales'!N70</f>
        <v>0.53455818022747159</v>
      </c>
      <c r="C7" s="13">
        <f t="shared" ref="C7:C12" si="3">D7</f>
        <v>0.37763544019268991</v>
      </c>
      <c r="D7" s="84">
        <f>65*EXP(E7)/(1+EXP(E7))</f>
        <v>0.37763544019268991</v>
      </c>
      <c r="E7" s="84">
        <f>J7-SUM(F7:F$7)</f>
        <v>-5.1423865441636893</v>
      </c>
      <c r="F7" s="13">
        <f>I7*G7</f>
        <v>0</v>
      </c>
      <c r="G7" s="13">
        <f>IF(H7&lt;0,0,H7)</f>
        <v>1</v>
      </c>
      <c r="H7" s="13">
        <f>IF((P7-0.6)/0.3&gt;1,1,(P7-0.6)/0.3)</f>
        <v>1</v>
      </c>
      <c r="I7" s="13">
        <v>0</v>
      </c>
      <c r="J7" s="13">
        <f>LN(L7/(65-L7))</f>
        <v>-5.1423865441636893</v>
      </c>
      <c r="K7" s="13"/>
      <c r="L7" s="84">
        <f t="shared" ref="L7:L13" si="4">M7</f>
        <v>0.37763544019268991</v>
      </c>
      <c r="M7" s="13">
        <f t="shared" ref="M7:M50" si="5">LOOKUP(ROUND(N7,0),A$4:A$50,AB$4:AB$50)</f>
        <v>0.37763544019268991</v>
      </c>
      <c r="N7" s="13">
        <f t="shared" ref="N7:N50" si="6">A7-(O7-O$11)</f>
        <v>2010.1953467728451</v>
      </c>
      <c r="O7" s="13">
        <f t="shared" ref="O7:O50" si="7">M$56+M$57*P7+M$71*1</f>
        <v>2022.0496368757667</v>
      </c>
      <c r="P7" s="13">
        <f>1/Japan!R84</f>
        <v>1.0997040593551506</v>
      </c>
      <c r="Q7" s="72"/>
      <c r="R7">
        <v>2012</v>
      </c>
      <c r="S7" s="13">
        <v>0.37763544019268991</v>
      </c>
      <c r="T7" s="13">
        <v>0.37763544019268991</v>
      </c>
      <c r="U7" s="13">
        <v>0.37763544019268991</v>
      </c>
      <c r="W7">
        <v>2012</v>
      </c>
      <c r="X7" s="13">
        <v>0.37763544019268991</v>
      </c>
      <c r="Y7" s="13">
        <f>T7</f>
        <v>0.37763544019268991</v>
      </c>
      <c r="Z7" s="13">
        <v>0.37763544019268991</v>
      </c>
      <c r="AA7" s="72"/>
      <c r="AB7" s="13">
        <f t="shared" si="0"/>
        <v>0.53351769485601419</v>
      </c>
      <c r="AC7" s="13"/>
      <c r="AD7">
        <f t="shared" ref="AD7:AD13" si="8">LN(B7/(65-B7))</f>
        <v>-4.7924439991005121</v>
      </c>
      <c r="AF7">
        <f t="shared" si="1"/>
        <v>-4.7944084758510552</v>
      </c>
      <c r="AG7">
        <f t="shared" si="2"/>
        <v>-4.7944084758510552</v>
      </c>
      <c r="AH7" s="72"/>
      <c r="AK7">
        <v>3</v>
      </c>
      <c r="AL7">
        <v>0</v>
      </c>
    </row>
    <row r="8" spans="1:38">
      <c r="A8">
        <v>2013</v>
      </c>
      <c r="B8" s="13">
        <f>'EV %sales'!N71</f>
        <v>0.63305567733450241</v>
      </c>
      <c r="C8" s="13">
        <f t="shared" si="3"/>
        <v>0.69122173256355823</v>
      </c>
      <c r="D8" s="84">
        <f t="shared" ref="D8:D49" si="9">65*EXP(E8)/(1+EXP(E8))</f>
        <v>0.69122173256355823</v>
      </c>
      <c r="E8" s="84">
        <f>J8-SUM(F$7:F8)</f>
        <v>-4.5329907626134212</v>
      </c>
      <c r="F8" s="13">
        <f t="shared" ref="F8:F50" si="10">I8*G8</f>
        <v>0</v>
      </c>
      <c r="G8" s="13">
        <f t="shared" ref="G8:G50" si="11">IF(H8&lt;0,0,H8)</f>
        <v>0.75458614847100081</v>
      </c>
      <c r="H8" s="13">
        <f t="shared" ref="H8:H50" si="12">IF((P8-0.6)/0.3&gt;1,1,(P8-0.6)/0.3)</f>
        <v>0.75458614847100081</v>
      </c>
      <c r="I8" s="13">
        <v>0</v>
      </c>
      <c r="J8" s="13">
        <f t="shared" ref="J8:J47" si="13">LN(L8/(65-L8))</f>
        <v>-4.5329907626134212</v>
      </c>
      <c r="K8" s="13"/>
      <c r="L8" s="84">
        <f t="shared" si="4"/>
        <v>0.69122173256355823</v>
      </c>
      <c r="M8" s="13">
        <f t="shared" si="5"/>
        <v>0.69122173256355823</v>
      </c>
      <c r="N8" s="13">
        <f t="shared" si="6"/>
        <v>2014.1428920325991</v>
      </c>
      <c r="O8" s="13">
        <f t="shared" si="7"/>
        <v>2019.1020916160128</v>
      </c>
      <c r="P8" s="13">
        <f>1/Japan!R85</f>
        <v>0.8263758445413002</v>
      </c>
      <c r="Q8" s="72"/>
      <c r="R8">
        <v>2013</v>
      </c>
      <c r="S8" s="13">
        <v>0.69122173256355823</v>
      </c>
      <c r="T8" s="13">
        <v>0.69122173256355823</v>
      </c>
      <c r="U8" s="13">
        <v>0.69122173256355823</v>
      </c>
      <c r="W8">
        <v>2013</v>
      </c>
      <c r="X8" s="13">
        <v>0.69122173256355823</v>
      </c>
      <c r="Y8" s="13">
        <f t="shared" ref="Y8:Y45" si="14">T8</f>
        <v>0.69122173256355823</v>
      </c>
      <c r="Z8" s="13">
        <v>0.69122173256355823</v>
      </c>
      <c r="AA8" s="72"/>
      <c r="AB8" s="13">
        <f t="shared" si="0"/>
        <v>0.63391991215036203</v>
      </c>
      <c r="AC8" s="13"/>
      <c r="AD8" s="33">
        <f t="shared" si="8"/>
        <v>-4.6217971172499688</v>
      </c>
      <c r="AF8">
        <f t="shared" si="1"/>
        <v>-4.6204194416947386</v>
      </c>
      <c r="AG8">
        <f t="shared" si="2"/>
        <v>-4.6204194416947386</v>
      </c>
      <c r="AH8" s="72"/>
      <c r="AK8">
        <v>4</v>
      </c>
      <c r="AL8">
        <v>0</v>
      </c>
    </row>
    <row r="9" spans="1:38">
      <c r="A9">
        <v>2014</v>
      </c>
      <c r="B9" s="13">
        <f>'EV %sales'!N72</f>
        <v>0.68702127659574463</v>
      </c>
      <c r="C9" s="13">
        <f t="shared" si="3"/>
        <v>0.63391991215036203</v>
      </c>
      <c r="D9" s="84">
        <f t="shared" si="9"/>
        <v>0.63391991215036203</v>
      </c>
      <c r="E9" s="84">
        <f>J9-SUM(F$7:F9)</f>
        <v>-4.6204194416947386</v>
      </c>
      <c r="F9" s="13">
        <f t="shared" si="10"/>
        <v>0</v>
      </c>
      <c r="G9" s="13">
        <f t="shared" si="11"/>
        <v>1</v>
      </c>
      <c r="H9" s="13">
        <f t="shared" si="12"/>
        <v>1</v>
      </c>
      <c r="I9" s="13">
        <v>0</v>
      </c>
      <c r="J9" s="13">
        <f t="shared" si="13"/>
        <v>-4.6204194416947386</v>
      </c>
      <c r="K9" s="13"/>
      <c r="L9" s="84">
        <f t="shared" si="4"/>
        <v>0.63391991215036203</v>
      </c>
      <c r="M9" s="13">
        <f t="shared" si="5"/>
        <v>0.63391991215036203</v>
      </c>
      <c r="N9" s="13">
        <f t="shared" si="6"/>
        <v>2013.0617297377139</v>
      </c>
      <c r="O9" s="13">
        <f t="shared" si="7"/>
        <v>2021.183253910898</v>
      </c>
      <c r="P9" s="13">
        <f>1/Japan!R86</f>
        <v>1.019363678372351</v>
      </c>
      <c r="Q9" s="72"/>
      <c r="R9">
        <v>2014</v>
      </c>
      <c r="S9" s="13">
        <v>0.63391991215036203</v>
      </c>
      <c r="T9" s="13">
        <v>0.63391991215036203</v>
      </c>
      <c r="U9" s="13">
        <v>0.63391991215036203</v>
      </c>
      <c r="W9">
        <v>2014</v>
      </c>
      <c r="X9" s="13">
        <v>0.63391991215036203</v>
      </c>
      <c r="Y9" s="13">
        <f t="shared" si="14"/>
        <v>0.63391991215036203</v>
      </c>
      <c r="Z9" s="13">
        <v>0.63391991215036203</v>
      </c>
      <c r="AA9" s="72"/>
      <c r="AB9" s="13">
        <f t="shared" si="0"/>
        <v>0.69122173256355823</v>
      </c>
      <c r="AC9" s="13"/>
      <c r="AD9" s="33">
        <f t="shared" si="8"/>
        <v>-4.5391514742134049</v>
      </c>
      <c r="AF9">
        <f t="shared" si="1"/>
        <v>-4.5329907626134212</v>
      </c>
      <c r="AG9">
        <f t="shared" si="2"/>
        <v>-4.4464304075384211</v>
      </c>
      <c r="AK9">
        <v>5</v>
      </c>
      <c r="AL9">
        <v>0.15</v>
      </c>
    </row>
    <row r="10" spans="1:38">
      <c r="A10">
        <v>2015</v>
      </c>
      <c r="B10" s="13">
        <f>'EV %sales'!N73</f>
        <v>0.58467741935483863</v>
      </c>
      <c r="C10" s="13">
        <f t="shared" si="3"/>
        <v>0.58282814824822404</v>
      </c>
      <c r="D10" s="84">
        <f t="shared" si="9"/>
        <v>0.58282814824822404</v>
      </c>
      <c r="E10" s="84">
        <f>J10-SUM(F$7:F10)</f>
        <v>-4.7052431487571029</v>
      </c>
      <c r="F10" s="13">
        <f t="shared" si="10"/>
        <v>0</v>
      </c>
      <c r="G10" s="13">
        <f t="shared" si="11"/>
        <v>1</v>
      </c>
      <c r="H10" s="13">
        <f t="shared" si="12"/>
        <v>1</v>
      </c>
      <c r="I10" s="13">
        <v>0</v>
      </c>
      <c r="J10" s="13">
        <f t="shared" si="13"/>
        <v>-4.7052431487571029</v>
      </c>
      <c r="K10" s="13"/>
      <c r="L10" s="84">
        <f t="shared" si="4"/>
        <v>0.58282814824822404</v>
      </c>
      <c r="M10" s="13">
        <f t="shared" si="5"/>
        <v>0.58282814824822404</v>
      </c>
      <c r="N10" s="13">
        <f t="shared" si="6"/>
        <v>2014.9481795514059</v>
      </c>
      <c r="O10" s="13">
        <f t="shared" si="7"/>
        <v>2020.2968040972059</v>
      </c>
      <c r="P10" s="13">
        <f>1/Japan!R87</f>
        <v>0.93716248254787216</v>
      </c>
      <c r="Q10" s="72"/>
      <c r="R10">
        <v>2015</v>
      </c>
      <c r="S10" s="13">
        <v>0.58282814824822404</v>
      </c>
      <c r="T10" s="13">
        <v>0.58282814824822404</v>
      </c>
      <c r="U10" s="13">
        <v>0.58282814824822404</v>
      </c>
      <c r="W10">
        <v>2015</v>
      </c>
      <c r="X10" s="13">
        <v>0.58282814824822404</v>
      </c>
      <c r="Y10" s="13">
        <f t="shared" si="14"/>
        <v>0.58282814824822404</v>
      </c>
      <c r="Z10" s="13">
        <v>0.58282814824822404</v>
      </c>
      <c r="AA10" s="72"/>
      <c r="AB10" s="13">
        <f t="shared" si="0"/>
        <v>0.58282814824822404</v>
      </c>
      <c r="AC10" s="13"/>
      <c r="AD10" s="33">
        <f t="shared" si="8"/>
        <v>-4.7020465368251614</v>
      </c>
      <c r="AF10">
        <f t="shared" si="1"/>
        <v>-4.7052431487571029</v>
      </c>
      <c r="AG10">
        <f t="shared" si="2"/>
        <v>-4.2724413733821045</v>
      </c>
      <c r="AH10" s="13"/>
      <c r="AK10">
        <v>6</v>
      </c>
      <c r="AL10">
        <v>0.75</v>
      </c>
    </row>
    <row r="11" spans="1:38">
      <c r="A11">
        <v>2016</v>
      </c>
      <c r="B11" s="13">
        <f>'EV %sales'!N74</f>
        <v>0.59937288953207912</v>
      </c>
      <c r="C11" s="13">
        <f t="shared" si="3"/>
        <v>0.60024846680994026</v>
      </c>
      <c r="D11" s="84">
        <f t="shared" si="9"/>
        <v>0.60024846680994026</v>
      </c>
      <c r="E11" s="84">
        <f>J11-SUM(F$7:F11)</f>
        <v>-4.6755213730591176</v>
      </c>
      <c r="F11" s="13">
        <f t="shared" si="10"/>
        <v>0</v>
      </c>
      <c r="G11" s="13">
        <f t="shared" si="11"/>
        <v>1</v>
      </c>
      <c r="H11" s="13">
        <f t="shared" si="12"/>
        <v>1</v>
      </c>
      <c r="I11" s="13">
        <v>0</v>
      </c>
      <c r="J11" s="13">
        <f t="shared" si="13"/>
        <v>-4.6755213730591176</v>
      </c>
      <c r="K11" s="13"/>
      <c r="L11" s="84">
        <f t="shared" si="4"/>
        <v>0.60024846680994026</v>
      </c>
      <c r="M11" s="13">
        <f t="shared" si="5"/>
        <v>0.60024846680994026</v>
      </c>
      <c r="N11" s="13">
        <f t="shared" si="6"/>
        <v>2016</v>
      </c>
      <c r="O11" s="13">
        <f t="shared" si="7"/>
        <v>2020.2449836486119</v>
      </c>
      <c r="P11" s="13">
        <f>1/Japan!R88</f>
        <v>0.93235713115990781</v>
      </c>
      <c r="Q11" s="72"/>
      <c r="R11">
        <v>2016</v>
      </c>
      <c r="S11" s="13">
        <v>0.60024846680994026</v>
      </c>
      <c r="T11" s="13">
        <v>0.60024846680994026</v>
      </c>
      <c r="U11" s="13">
        <v>0.60024846680994026</v>
      </c>
      <c r="W11">
        <v>2016</v>
      </c>
      <c r="X11" s="13">
        <v>0.60024846680994026</v>
      </c>
      <c r="Y11" s="13">
        <f t="shared" si="14"/>
        <v>0.60024846680994026</v>
      </c>
      <c r="Z11" s="13">
        <v>0.60024846680994026</v>
      </c>
      <c r="AA11" s="72"/>
      <c r="AB11" s="13">
        <f>65*EXP(AF11)/(1+EXP(AF11))</f>
        <v>0.60024846680994026</v>
      </c>
      <c r="AC11" s="13"/>
      <c r="AD11" s="33">
        <f t="shared" si="8"/>
        <v>-4.6769947252680772</v>
      </c>
      <c r="AF11">
        <f t="shared" si="1"/>
        <v>-4.6755213730591176</v>
      </c>
      <c r="AG11">
        <f t="shared" si="2"/>
        <v>-4.098452339225787</v>
      </c>
      <c r="AH11" s="13"/>
      <c r="AK11">
        <v>7</v>
      </c>
      <c r="AL11">
        <v>1</v>
      </c>
    </row>
    <row r="12" spans="1:38">
      <c r="A12">
        <v>2017</v>
      </c>
      <c r="B12" s="13">
        <f>'EV %sales'!N75</f>
        <v>1.2753359143703029</v>
      </c>
      <c r="C12" s="13">
        <f t="shared" si="3"/>
        <v>1.2590579509713404</v>
      </c>
      <c r="D12" s="84">
        <f>65*EXP(E12)/(1+EXP(E12))</f>
        <v>1.2590579509713404</v>
      </c>
      <c r="E12" s="84">
        <f>J12-SUM(F$7:F12)</f>
        <v>-3.9244633050694699</v>
      </c>
      <c r="F12" s="13">
        <f t="shared" si="10"/>
        <v>0</v>
      </c>
      <c r="G12" s="13">
        <f t="shared" si="11"/>
        <v>1</v>
      </c>
      <c r="H12" s="13">
        <f t="shared" si="12"/>
        <v>1</v>
      </c>
      <c r="I12" s="13">
        <v>0</v>
      </c>
      <c r="J12" s="13">
        <f t="shared" si="13"/>
        <v>-3.9244633050694699</v>
      </c>
      <c r="K12" s="13"/>
      <c r="L12" s="84">
        <f t="shared" si="4"/>
        <v>1.2590579509713404</v>
      </c>
      <c r="M12" s="13">
        <f t="shared" si="5"/>
        <v>1.2590579509713404</v>
      </c>
      <c r="N12" s="13">
        <f t="shared" si="6"/>
        <v>2017.0430288887926</v>
      </c>
      <c r="O12" s="13">
        <f t="shared" si="7"/>
        <v>2020.2019547598193</v>
      </c>
      <c r="P12" s="13">
        <f>1/Japan!R89</f>
        <v>0.92836702810034499</v>
      </c>
      <c r="Q12" s="72"/>
      <c r="R12">
        <v>2017</v>
      </c>
      <c r="S12" s="13">
        <v>1.2590579509713404</v>
      </c>
      <c r="T12" s="13">
        <v>1.2590579509713404</v>
      </c>
      <c r="U12" s="13">
        <v>1.2590579509713404</v>
      </c>
      <c r="W12">
        <v>2017</v>
      </c>
      <c r="X12" s="13">
        <v>1.2590579509713404</v>
      </c>
      <c r="Y12" s="13">
        <f t="shared" si="14"/>
        <v>1.2590579509713404</v>
      </c>
      <c r="Z12" s="13">
        <v>1.2590579509713404</v>
      </c>
      <c r="AA12" s="72"/>
      <c r="AB12" s="13">
        <f t="shared" si="0"/>
        <v>1.2590579509713404</v>
      </c>
      <c r="AC12" s="13"/>
      <c r="AD12" s="33">
        <f t="shared" si="8"/>
        <v>-3.9113620727745571</v>
      </c>
      <c r="AF12">
        <f t="shared" si="1"/>
        <v>-3.9244633050694699</v>
      </c>
      <c r="AG12">
        <f t="shared" si="2"/>
        <v>-3.9244633050694699</v>
      </c>
      <c r="AH12" s="13"/>
      <c r="AK12">
        <v>8</v>
      </c>
      <c r="AL12">
        <v>0</v>
      </c>
    </row>
    <row r="13" spans="1:38">
      <c r="A13">
        <v>2018</v>
      </c>
      <c r="B13" s="13">
        <f>'EV %sales'!N76</f>
        <v>1.4794040625614888</v>
      </c>
      <c r="C13" s="13">
        <f>D13</f>
        <v>1.4928371390463264</v>
      </c>
      <c r="D13" s="84">
        <f>65*EXP(E13)/(1+EXP(E13))</f>
        <v>1.4928371390463264</v>
      </c>
      <c r="E13" s="84">
        <f>J13-SUM(F$7:F13)</f>
        <v>-3.7504742709131529</v>
      </c>
      <c r="F13" s="13">
        <f t="shared" si="10"/>
        <v>0</v>
      </c>
      <c r="G13" s="13">
        <f t="shared" si="11"/>
        <v>1</v>
      </c>
      <c r="H13" s="13">
        <f t="shared" si="12"/>
        <v>1</v>
      </c>
      <c r="I13" s="13">
        <v>0</v>
      </c>
      <c r="J13" s="13">
        <f>LN(L13/(65-L13))</f>
        <v>-3.7504742709131529</v>
      </c>
      <c r="K13" s="13"/>
      <c r="L13" s="84">
        <f t="shared" si="4"/>
        <v>1.4928371390463264</v>
      </c>
      <c r="M13" s="13">
        <f t="shared" si="5"/>
        <v>1.4928371390463264</v>
      </c>
      <c r="N13" s="13">
        <f t="shared" si="6"/>
        <v>2018.1251348057663</v>
      </c>
      <c r="O13" s="13">
        <f t="shared" si="7"/>
        <v>2020.1198488428456</v>
      </c>
      <c r="P13" s="13">
        <f>1/Japan!R90</f>
        <v>0.9207532811569199</v>
      </c>
      <c r="Q13" s="13"/>
      <c r="R13">
        <v>2018</v>
      </c>
      <c r="S13" s="13">
        <v>1.4928371390463264</v>
      </c>
      <c r="T13" s="13">
        <v>1.4928371390463264</v>
      </c>
      <c r="U13" s="13">
        <v>1.4928371390463264</v>
      </c>
      <c r="W13">
        <v>2018</v>
      </c>
      <c r="X13" s="13">
        <v>1.4928371390463264</v>
      </c>
      <c r="Y13" s="13">
        <f t="shared" si="14"/>
        <v>1.4928371390463264</v>
      </c>
      <c r="Z13" s="13">
        <v>1.4928371390463264</v>
      </c>
      <c r="AA13" s="13"/>
      <c r="AB13" s="13">
        <f>65*EXP(AF13)/(1+EXP(AF13))</f>
        <v>1.4928371390463264</v>
      </c>
      <c r="AC13" s="13"/>
      <c r="AD13" s="33">
        <f t="shared" si="8"/>
        <v>-3.75972485252638</v>
      </c>
      <c r="AF13">
        <f t="shared" si="1"/>
        <v>-3.7504742709131529</v>
      </c>
      <c r="AG13">
        <f t="shared" si="2"/>
        <v>-3.7504742709131529</v>
      </c>
      <c r="AK13">
        <v>9</v>
      </c>
      <c r="AL13">
        <v>0</v>
      </c>
    </row>
    <row r="14" spans="1:38">
      <c r="A14">
        <v>2019</v>
      </c>
      <c r="B14" s="13"/>
      <c r="C14" s="13">
        <f>AVERAGE(D12:D16)</f>
        <v>1.8531998816118898</v>
      </c>
      <c r="D14" s="84">
        <f>65*EXP(E14)/(1+EXP(E14))</f>
        <v>1.8183610300257402</v>
      </c>
      <c r="E14" s="84">
        <f>J14-SUM(F$7:F14)</f>
        <v>-3.5480781739035305</v>
      </c>
      <c r="F14" s="13">
        <f>I14*G14</f>
        <v>0</v>
      </c>
      <c r="G14" s="13">
        <f t="shared" si="11"/>
        <v>1</v>
      </c>
      <c r="H14" s="13">
        <f t="shared" si="12"/>
        <v>1</v>
      </c>
      <c r="I14" s="13">
        <v>0</v>
      </c>
      <c r="J14" s="13">
        <f t="shared" si="13"/>
        <v>-3.5480781739035305</v>
      </c>
      <c r="K14" s="13"/>
      <c r="L14" s="84">
        <f t="shared" ref="L14:L48" si="15">AVERAGE(M12:M16)</f>
        <v>1.8183610300257396</v>
      </c>
      <c r="M14" s="13">
        <f t="shared" si="5"/>
        <v>1.7688193798116725</v>
      </c>
      <c r="N14" s="13">
        <f t="shared" si="6"/>
        <v>2018.8883125627251</v>
      </c>
      <c r="O14" s="13">
        <f t="shared" si="7"/>
        <v>2020.3566710858868</v>
      </c>
      <c r="P14" s="13">
        <f>1/Japan!R91</f>
        <v>0.94271399599394357</v>
      </c>
      <c r="Q14" s="13"/>
      <c r="R14">
        <v>2019</v>
      </c>
      <c r="S14" s="13">
        <v>1.8531998816118898</v>
      </c>
      <c r="T14" s="13">
        <v>1.8531998816118898</v>
      </c>
      <c r="U14" s="13">
        <v>1.8531998816118898</v>
      </c>
      <c r="W14">
        <v>2019</v>
      </c>
      <c r="X14" s="13">
        <v>1.7111971390379352</v>
      </c>
      <c r="Y14" s="13">
        <f t="shared" si="14"/>
        <v>1.8531998816118898</v>
      </c>
      <c r="Z14" s="13">
        <v>1.9738791021055675</v>
      </c>
      <c r="AA14" s="13"/>
      <c r="AB14" s="13">
        <f t="shared" si="0"/>
        <v>1.7688193798116725</v>
      </c>
      <c r="AC14" s="13"/>
      <c r="AF14">
        <f t="shared" si="1"/>
        <v>-3.5764852367568358</v>
      </c>
      <c r="AG14">
        <f t="shared" si="2"/>
        <v>-3.5764852367568358</v>
      </c>
      <c r="AK14">
        <v>10</v>
      </c>
      <c r="AL14">
        <v>0</v>
      </c>
    </row>
    <row r="15" spans="1:38">
      <c r="A15">
        <v>2020</v>
      </c>
      <c r="B15" s="13"/>
      <c r="C15" s="13">
        <f>AVERAGE(D13:D17)</f>
        <v>2.2307944819395216</v>
      </c>
      <c r="D15" s="84">
        <f>65*EXP(E15)/(1+EXP(E15))</f>
        <v>2.1518460094362988</v>
      </c>
      <c r="E15" s="84">
        <f>J15-SUM(F$7:F15)</f>
        <v>-3.3743954801494453</v>
      </c>
      <c r="F15" s="13">
        <f t="shared" si="10"/>
        <v>0</v>
      </c>
      <c r="G15" s="13">
        <f t="shared" si="11"/>
        <v>1</v>
      </c>
      <c r="H15" s="13">
        <f t="shared" si="12"/>
        <v>1</v>
      </c>
      <c r="I15" s="231">
        <v>0</v>
      </c>
      <c r="J15" s="13">
        <f t="shared" si="13"/>
        <v>-3.3743954801494453</v>
      </c>
      <c r="K15" s="13"/>
      <c r="L15" s="84">
        <f t="shared" si="15"/>
        <v>2.1518460094362988</v>
      </c>
      <c r="M15" s="13">
        <f t="shared" si="5"/>
        <v>2.0941403093031719</v>
      </c>
      <c r="N15" s="13">
        <f t="shared" si="6"/>
        <v>2019.9418395991202</v>
      </c>
      <c r="O15" s="13">
        <f t="shared" si="7"/>
        <v>2020.3031440494917</v>
      </c>
      <c r="P15" s="13">
        <f>1/Japan!R92</f>
        <v>0.93775039136269112</v>
      </c>
      <c r="Q15" s="13"/>
      <c r="R15">
        <v>2020</v>
      </c>
      <c r="S15" s="13">
        <v>2.2307944819395216</v>
      </c>
      <c r="T15" s="13">
        <v>2.2307944819395216</v>
      </c>
      <c r="U15" s="13">
        <v>2.2021451836428163</v>
      </c>
      <c r="W15">
        <v>2020</v>
      </c>
      <c r="X15" s="13">
        <v>1.9681650045596157</v>
      </c>
      <c r="Y15" s="13">
        <f t="shared" si="14"/>
        <v>2.2307944819395216</v>
      </c>
      <c r="Z15" s="13">
        <v>2.4483542040523387</v>
      </c>
      <c r="AA15" s="13"/>
      <c r="AB15" s="13">
        <f t="shared" si="0"/>
        <v>2.0941403093031719</v>
      </c>
      <c r="AC15" s="13"/>
      <c r="AF15">
        <f t="shared" si="1"/>
        <v>-3.4024962026005188</v>
      </c>
      <c r="AG15">
        <f t="shared" si="2"/>
        <v>-3.4024962026005188</v>
      </c>
      <c r="AK15">
        <v>11</v>
      </c>
      <c r="AL15">
        <v>0</v>
      </c>
    </row>
    <row r="16" spans="1:38">
      <c r="A16">
        <v>2021</v>
      </c>
      <c r="B16" s="13"/>
      <c r="C16" s="13">
        <f>AVERAGE(D13:D19)</f>
        <v>2.8108491062770335</v>
      </c>
      <c r="D16" s="84">
        <f t="shared" si="9"/>
        <v>2.5438972785797422</v>
      </c>
      <c r="E16" s="84">
        <f>J16-SUM(F$7:F16)</f>
        <v>-3.2007666867713329</v>
      </c>
      <c r="F16" s="13">
        <f t="shared" si="10"/>
        <v>0</v>
      </c>
      <c r="G16" s="13">
        <f t="shared" si="11"/>
        <v>1</v>
      </c>
      <c r="H16" s="13">
        <f t="shared" si="12"/>
        <v>1</v>
      </c>
      <c r="I16" s="20">
        <f>I15+(I35-I15)/20</f>
        <v>0</v>
      </c>
      <c r="J16" s="13">
        <f t="shared" si="13"/>
        <v>-3.2007666867713329</v>
      </c>
      <c r="K16" s="13"/>
      <c r="L16" s="84">
        <f t="shared" si="15"/>
        <v>2.5438972785797427</v>
      </c>
      <c r="M16" s="13">
        <f t="shared" si="5"/>
        <v>2.4769503709961866</v>
      </c>
      <c r="N16" s="13">
        <f t="shared" si="6"/>
        <v>2021.2233134980629</v>
      </c>
      <c r="O16" s="13">
        <f t="shared" si="7"/>
        <v>2020.021670150549</v>
      </c>
      <c r="P16" s="13">
        <f>1/Japan!R93</f>
        <v>0.91164909298224617</v>
      </c>
      <c r="Q16" s="13"/>
      <c r="R16">
        <v>2021</v>
      </c>
      <c r="S16" s="13">
        <v>2.8108491062770335</v>
      </c>
      <c r="T16" s="13">
        <v>2.8108491062770335</v>
      </c>
      <c r="U16" s="13">
        <v>2.7494577527840929</v>
      </c>
      <c r="W16">
        <v>2021</v>
      </c>
      <c r="X16" s="13">
        <v>2.340923347597355</v>
      </c>
      <c r="Y16" s="13">
        <f t="shared" si="14"/>
        <v>2.8108491062770335</v>
      </c>
      <c r="Z16" s="13">
        <v>3.277013383719805</v>
      </c>
      <c r="AA16" s="13"/>
      <c r="AB16" s="13">
        <f t="shared" si="0"/>
        <v>2.4769503709961866</v>
      </c>
      <c r="AC16" s="13"/>
      <c r="AF16">
        <f t="shared" si="1"/>
        <v>-3.2285071684442013</v>
      </c>
      <c r="AG16">
        <f t="shared" si="2"/>
        <v>-3.2285071684442013</v>
      </c>
      <c r="AK16">
        <v>12</v>
      </c>
      <c r="AL16">
        <v>0</v>
      </c>
    </row>
    <row r="17" spans="1:38">
      <c r="A17">
        <v>2022</v>
      </c>
      <c r="B17" s="13"/>
      <c r="C17" s="13">
        <f t="shared" ref="C17:C50" si="16">AVERAGE(D14:D20)</f>
        <v>3.4005413333204459</v>
      </c>
      <c r="D17" s="84">
        <f t="shared" si="9"/>
        <v>3.1470309526095019</v>
      </c>
      <c r="E17" s="84">
        <f>J17-SUM(F$7:F17)</f>
        <v>-2.9783006480598178</v>
      </c>
      <c r="F17" s="13">
        <f t="shared" si="10"/>
        <v>0</v>
      </c>
      <c r="G17" s="13">
        <f t="shared" si="11"/>
        <v>1</v>
      </c>
      <c r="H17" s="13">
        <f t="shared" si="12"/>
        <v>1</v>
      </c>
      <c r="I17" s="20">
        <f>I16+(I35-I15)/20</f>
        <v>0</v>
      </c>
      <c r="J17" s="13">
        <f t="shared" si="13"/>
        <v>-2.9783006480598178</v>
      </c>
      <c r="K17" s="13"/>
      <c r="L17" s="84">
        <f>AVERAGE(M15:M19)</f>
        <v>3.1470309526095024</v>
      </c>
      <c r="M17" s="13">
        <f t="shared" si="5"/>
        <v>2.9264828480241376</v>
      </c>
      <c r="N17" s="13">
        <f t="shared" si="6"/>
        <v>2022.0885360045879</v>
      </c>
      <c r="O17" s="13">
        <f t="shared" si="7"/>
        <v>2020.156447644024</v>
      </c>
      <c r="P17" s="13">
        <f>1/Japan!R94</f>
        <v>0.92414711708100394</v>
      </c>
      <c r="Q17" s="13"/>
      <c r="R17">
        <v>2022</v>
      </c>
      <c r="S17" s="13">
        <v>3.4005413333204459</v>
      </c>
      <c r="T17" s="13">
        <v>3.4005413333204459</v>
      </c>
      <c r="U17" s="13">
        <v>3.3186861953298581</v>
      </c>
      <c r="W17">
        <v>2022</v>
      </c>
      <c r="X17" s="13">
        <v>2.7233041775674023</v>
      </c>
      <c r="Y17" s="13">
        <f t="shared" si="14"/>
        <v>3.4005413333204459</v>
      </c>
      <c r="Z17" s="13">
        <v>4.1110668148507497</v>
      </c>
      <c r="AA17" s="13"/>
      <c r="AB17" s="13">
        <f t="shared" si="0"/>
        <v>2.9264828480241376</v>
      </c>
      <c r="AC17" s="13"/>
      <c r="AF17">
        <f t="shared" si="1"/>
        <v>-3.0545181342878842</v>
      </c>
      <c r="AG17">
        <f t="shared" si="2"/>
        <v>-3.0545181342878842</v>
      </c>
      <c r="AK17">
        <v>13</v>
      </c>
      <c r="AL17">
        <v>0</v>
      </c>
    </row>
    <row r="18" spans="1:38">
      <c r="A18">
        <v>2023</v>
      </c>
      <c r="B18" s="13"/>
      <c r="C18" s="13">
        <f>AVERAGE(D15:D21)</f>
        <v>4.100342987975151</v>
      </c>
      <c r="D18" s="84">
        <f t="shared" si="9"/>
        <v>3.8512419645273277</v>
      </c>
      <c r="E18" s="84">
        <f>J18-SUM(F$7:F18)</f>
        <v>-2.7649138673274285</v>
      </c>
      <c r="F18" s="13">
        <f t="shared" si="10"/>
        <v>0</v>
      </c>
      <c r="G18" s="13">
        <f t="shared" si="11"/>
        <v>1</v>
      </c>
      <c r="H18" s="13">
        <f t="shared" si="12"/>
        <v>1</v>
      </c>
      <c r="I18" s="20">
        <f>I17+(I35-I15)/20</f>
        <v>0</v>
      </c>
      <c r="J18" s="13">
        <f t="shared" si="13"/>
        <v>-2.7649138673274285</v>
      </c>
      <c r="K18" s="13"/>
      <c r="L18" s="84">
        <f t="shared" si="15"/>
        <v>3.8512419645273281</v>
      </c>
      <c r="M18" s="13">
        <f t="shared" si="5"/>
        <v>3.4530934847635457</v>
      </c>
      <c r="N18" s="13">
        <f t="shared" si="6"/>
        <v>2023.1820839317591</v>
      </c>
      <c r="O18" s="13">
        <f t="shared" si="7"/>
        <v>2020.0628997168528</v>
      </c>
      <c r="P18" s="13">
        <f>1/Japan!R95</f>
        <v>0.91547234343719386</v>
      </c>
      <c r="Q18" s="13"/>
      <c r="R18">
        <v>2023</v>
      </c>
      <c r="S18" s="13">
        <v>4.1411221214055542</v>
      </c>
      <c r="T18" s="13">
        <v>4.100342987975151</v>
      </c>
      <c r="U18" s="13">
        <v>3.9980240654869159</v>
      </c>
      <c r="W18">
        <v>2023</v>
      </c>
      <c r="X18" s="13">
        <v>3.1836397528287166</v>
      </c>
      <c r="Y18" s="13">
        <f t="shared" si="14"/>
        <v>4.100342987975151</v>
      </c>
      <c r="Z18" s="13">
        <v>5.1627193546032961</v>
      </c>
      <c r="AA18" s="13"/>
      <c r="AB18" s="13">
        <f t="shared" si="0"/>
        <v>3.4530934847635457</v>
      </c>
      <c r="AC18" s="13"/>
      <c r="AF18">
        <f t="shared" si="1"/>
        <v>-2.8805291001315672</v>
      </c>
      <c r="AG18">
        <f t="shared" si="2"/>
        <v>-2.8805291001315672</v>
      </c>
      <c r="AK18">
        <v>14</v>
      </c>
      <c r="AL18">
        <v>0</v>
      </c>
    </row>
    <row r="19" spans="1:38">
      <c r="A19">
        <v>2024</v>
      </c>
      <c r="B19" s="13"/>
      <c r="C19" s="13">
        <f t="shared" si="16"/>
        <v>4.9577589275349983</v>
      </c>
      <c r="D19" s="84">
        <f t="shared" si="9"/>
        <v>4.6707293697142989</v>
      </c>
      <c r="E19" s="84">
        <f>J19-SUM(F$7:F19)</f>
        <v>-2.5585021612735179</v>
      </c>
      <c r="F19" s="13">
        <f t="shared" si="10"/>
        <v>0</v>
      </c>
      <c r="G19" s="13">
        <f t="shared" si="11"/>
        <v>0.94150200028281561</v>
      </c>
      <c r="H19" s="13">
        <f t="shared" si="12"/>
        <v>0.94150200028281561</v>
      </c>
      <c r="I19" s="20">
        <f>I18+(I35-I15)/20</f>
        <v>0</v>
      </c>
      <c r="J19" s="13">
        <f t="shared" si="13"/>
        <v>-2.5585021612735179</v>
      </c>
      <c r="K19" s="13"/>
      <c r="L19" s="84">
        <f t="shared" si="15"/>
        <v>4.6707293697142989</v>
      </c>
      <c r="M19" s="13">
        <f t="shared" si="5"/>
        <v>4.7844877499604683</v>
      </c>
      <c r="N19" s="13">
        <f t="shared" si="6"/>
        <v>2024.5381872456937</v>
      </c>
      <c r="O19" s="13">
        <f t="shared" si="7"/>
        <v>2019.7067964029181</v>
      </c>
      <c r="P19" s="13">
        <f>1/Japan!R96</f>
        <v>0.88245060008484466</v>
      </c>
      <c r="Q19" s="13"/>
      <c r="R19">
        <v>2024</v>
      </c>
      <c r="S19" s="13">
        <v>5.0393171943958066</v>
      </c>
      <c r="T19" s="13">
        <v>4.9577589275349983</v>
      </c>
      <c r="U19" s="13">
        <v>4.8095371466875267</v>
      </c>
      <c r="W19">
        <v>2024</v>
      </c>
      <c r="X19" s="13">
        <v>3.7298400062733252</v>
      </c>
      <c r="Y19" s="13">
        <f t="shared" si="14"/>
        <v>4.9577589275349983</v>
      </c>
      <c r="Z19" s="13">
        <v>6.4410567749874152</v>
      </c>
      <c r="AA19" s="13"/>
      <c r="AB19" s="13">
        <f t="shared" si="0"/>
        <v>4.0682552925428244</v>
      </c>
      <c r="AC19" s="13"/>
      <c r="AF19">
        <f t="shared" si="1"/>
        <v>-2.7065400659752501</v>
      </c>
      <c r="AG19">
        <f t="shared" si="2"/>
        <v>-2.7065400659752501</v>
      </c>
      <c r="AK19">
        <v>15</v>
      </c>
      <c r="AL19">
        <v>0</v>
      </c>
    </row>
    <row r="20" spans="1:38">
      <c r="A20" s="14">
        <v>2025</v>
      </c>
      <c r="B20" s="13"/>
      <c r="C20" s="20">
        <f t="shared" si="16"/>
        <v>5.9919155617124007</v>
      </c>
      <c r="D20" s="84">
        <f t="shared" si="9"/>
        <v>5.6206827283502108</v>
      </c>
      <c r="E20" s="84">
        <f>J20-SUM(F$7:F20)</f>
        <v>-2.3574928332148768</v>
      </c>
      <c r="F20" s="13">
        <f t="shared" si="10"/>
        <v>0</v>
      </c>
      <c r="G20" s="13">
        <f t="shared" si="11"/>
        <v>0.84412251755533729</v>
      </c>
      <c r="H20" s="13">
        <f t="shared" si="12"/>
        <v>0.84412251755533729</v>
      </c>
      <c r="I20" s="20">
        <f>I19+(I35-I15)/20</f>
        <v>0</v>
      </c>
      <c r="J20" s="13">
        <f t="shared" si="13"/>
        <v>-2.3574928332148768</v>
      </c>
      <c r="K20" s="13"/>
      <c r="L20" s="84">
        <f t="shared" si="15"/>
        <v>5.6206827283502108</v>
      </c>
      <c r="M20" s="13">
        <f t="shared" si="5"/>
        <v>5.6151953688923006</v>
      </c>
      <c r="N20" s="13">
        <f t="shared" si="6"/>
        <v>2025.8532265469669</v>
      </c>
      <c r="O20" s="13">
        <f t="shared" si="7"/>
        <v>2019.391757101645</v>
      </c>
      <c r="P20" s="13">
        <f>1/Japan!R97</f>
        <v>0.85323675526660114</v>
      </c>
      <c r="Q20" s="13"/>
      <c r="R20" s="87">
        <v>2025</v>
      </c>
      <c r="S20" s="13">
        <v>6.1142529620036123</v>
      </c>
      <c r="T20" s="13">
        <v>5.9919155617124007</v>
      </c>
      <c r="U20" s="13">
        <v>5.7977909225056932</v>
      </c>
      <c r="W20" s="87">
        <v>2025</v>
      </c>
      <c r="X20" s="13">
        <v>4.3741157427046549</v>
      </c>
      <c r="Y20" s="13">
        <f t="shared" si="14"/>
        <v>5.9919155617124007</v>
      </c>
      <c r="Z20" s="13">
        <v>7.9382228620717585</v>
      </c>
      <c r="AA20" s="13"/>
      <c r="AB20" s="13">
        <f t="shared" si="0"/>
        <v>4.7844877499604683</v>
      </c>
      <c r="AC20" s="13"/>
      <c r="AF20">
        <f t="shared" si="1"/>
        <v>-2.532551031818933</v>
      </c>
      <c r="AG20">
        <f t="shared" si="2"/>
        <v>-2.532551031818933</v>
      </c>
      <c r="AK20">
        <v>16</v>
      </c>
      <c r="AL20">
        <v>0</v>
      </c>
    </row>
    <row r="21" spans="1:38">
      <c r="A21">
        <v>2026</v>
      </c>
      <c r="B21" s="13"/>
      <c r="C21" s="13">
        <f t="shared" si="16"/>
        <v>7.2018763661100786</v>
      </c>
      <c r="D21" s="84">
        <f t="shared" si="9"/>
        <v>6.7169726126086733</v>
      </c>
      <c r="E21" s="84">
        <f>J21-SUM(F$7:F21)</f>
        <v>-2.1606733765890125</v>
      </c>
      <c r="F21" s="13">
        <f t="shared" si="10"/>
        <v>0</v>
      </c>
      <c r="G21" s="13">
        <f>IF(H21&lt;0,0,H21)</f>
        <v>0.78560016054916626</v>
      </c>
      <c r="H21" s="13">
        <f t="shared" si="12"/>
        <v>0.78560016054916626</v>
      </c>
      <c r="I21" s="20">
        <f>I20+(I35-I15)/20</f>
        <v>0</v>
      </c>
      <c r="J21" s="13">
        <f t="shared" si="13"/>
        <v>-2.1606733765890125</v>
      </c>
      <c r="K21" s="13"/>
      <c r="L21" s="84">
        <f t="shared" si="15"/>
        <v>6.7169726126086715</v>
      </c>
      <c r="M21" s="13">
        <f t="shared" si="5"/>
        <v>6.5743873969310416</v>
      </c>
      <c r="N21" s="13">
        <f t="shared" si="6"/>
        <v>2027.042556392882</v>
      </c>
      <c r="O21" s="13">
        <f t="shared" si="7"/>
        <v>2019.2024272557298</v>
      </c>
      <c r="P21" s="13">
        <f>1/Japan!R98</f>
        <v>0.83568004816474983</v>
      </c>
      <c r="Q21" s="13"/>
      <c r="R21">
        <v>2026</v>
      </c>
      <c r="S21" s="13">
        <v>7.3649928998316962</v>
      </c>
      <c r="T21" s="13">
        <v>7.2018763661100786</v>
      </c>
      <c r="U21" s="13">
        <v>6.9823126530417827</v>
      </c>
      <c r="W21">
        <v>2026</v>
      </c>
      <c r="X21" s="13">
        <v>5.1296214997419174</v>
      </c>
      <c r="Y21" s="13">
        <f>T21</f>
        <v>7.2018763661100786</v>
      </c>
      <c r="Z21" s="13">
        <v>9.6489011940573874</v>
      </c>
      <c r="AA21" s="13"/>
      <c r="AB21" s="13">
        <f t="shared" si="0"/>
        <v>5.6151953688923006</v>
      </c>
      <c r="AC21" s="13"/>
      <c r="AF21">
        <f t="shared" si="1"/>
        <v>-2.358561997662616</v>
      </c>
      <c r="AG21">
        <f t="shared" si="2"/>
        <v>-2.358561997662616</v>
      </c>
      <c r="AK21">
        <v>17</v>
      </c>
      <c r="AL21">
        <v>0</v>
      </c>
    </row>
    <row r="22" spans="1:38">
      <c r="A22">
        <v>2027</v>
      </c>
      <c r="B22" s="13"/>
      <c r="C22" s="13">
        <f t="shared" si="16"/>
        <v>8.6036476398910491</v>
      </c>
      <c r="D22" s="84">
        <f t="shared" si="9"/>
        <v>8.1537575863552316</v>
      </c>
      <c r="E22" s="84">
        <f>J22-SUM(F$7:F22)</f>
        <v>-1.9418712469655017</v>
      </c>
      <c r="F22" s="13">
        <f t="shared" si="10"/>
        <v>0</v>
      </c>
      <c r="G22" s="13">
        <f t="shared" si="11"/>
        <v>0.73046366845727451</v>
      </c>
      <c r="H22" s="13">
        <f t="shared" si="12"/>
        <v>0.73046366845727451</v>
      </c>
      <c r="I22" s="20">
        <f>I21+(I35-I15)/20</f>
        <v>0</v>
      </c>
      <c r="J22" s="13">
        <f t="shared" si="13"/>
        <v>-1.9418712469655017</v>
      </c>
      <c r="K22" s="13"/>
      <c r="L22" s="84">
        <f t="shared" si="15"/>
        <v>8.1537575863552298</v>
      </c>
      <c r="M22" s="13">
        <f t="shared" si="5"/>
        <v>7.6762496412036976</v>
      </c>
      <c r="N22" s="13">
        <f t="shared" si="6"/>
        <v>2028.2209323860252</v>
      </c>
      <c r="O22" s="13">
        <f t="shared" si="7"/>
        <v>2019.0240512625867</v>
      </c>
      <c r="P22" s="13">
        <f>1/Japan!R99</f>
        <v>0.81913910053718231</v>
      </c>
      <c r="Q22" s="13"/>
      <c r="R22">
        <v>2027</v>
      </c>
      <c r="S22" s="13">
        <v>8.8075433070430691</v>
      </c>
      <c r="T22" s="13">
        <v>8.6036476398910491</v>
      </c>
      <c r="U22" s="13">
        <v>8.3586448529611648</v>
      </c>
      <c r="W22">
        <v>2027</v>
      </c>
      <c r="X22" s="13">
        <v>6.0009495806954591</v>
      </c>
      <c r="Y22" s="13">
        <f t="shared" si="14"/>
        <v>8.6036476398910491</v>
      </c>
      <c r="Z22" s="13">
        <v>11.554194199509537</v>
      </c>
      <c r="AA22" s="13"/>
      <c r="AB22" s="13">
        <f t="shared" si="0"/>
        <v>6.5743873969310416</v>
      </c>
      <c r="AC22" s="13"/>
      <c r="AF22">
        <f t="shared" si="1"/>
        <v>-2.1845729635062989</v>
      </c>
      <c r="AG22">
        <f t="shared" si="2"/>
        <v>-2.1845729635062989</v>
      </c>
      <c r="AK22">
        <v>18</v>
      </c>
      <c r="AL22">
        <v>0</v>
      </c>
    </row>
    <row r="23" spans="1:38">
      <c r="A23">
        <v>2028</v>
      </c>
      <c r="B23" s="13"/>
      <c r="C23" s="13">
        <f t="shared" si="16"/>
        <v>10.211757986091756</v>
      </c>
      <c r="D23" s="84">
        <f t="shared" si="9"/>
        <v>9.7829937178215527</v>
      </c>
      <c r="E23" s="84">
        <f>J23-SUM(F$7:F23)</f>
        <v>-1.7306254473342091</v>
      </c>
      <c r="F23" s="13">
        <f t="shared" si="10"/>
        <v>0</v>
      </c>
      <c r="G23" s="13">
        <f t="shared" si="11"/>
        <v>0.66973202475690163</v>
      </c>
      <c r="H23" s="13">
        <f t="shared" si="12"/>
        <v>0.66973202475690163</v>
      </c>
      <c r="I23" s="20">
        <f>I22+(I35-I15)/20</f>
        <v>0</v>
      </c>
      <c r="J23" s="13">
        <f t="shared" si="13"/>
        <v>-1.7306254473342091</v>
      </c>
      <c r="K23" s="13"/>
      <c r="L23" s="84">
        <f t="shared" si="15"/>
        <v>9.7829937178215509</v>
      </c>
      <c r="M23" s="13">
        <f t="shared" si="5"/>
        <v>8.934542906055853</v>
      </c>
      <c r="N23" s="13">
        <f t="shared" si="6"/>
        <v>2029.4174096527004</v>
      </c>
      <c r="O23" s="13">
        <f t="shared" si="7"/>
        <v>2018.8275739959115</v>
      </c>
      <c r="P23" s="13">
        <f>1/Japan!R100</f>
        <v>0.80091960742707047</v>
      </c>
      <c r="Q23" s="13"/>
      <c r="R23">
        <v>2028</v>
      </c>
      <c r="S23" s="13">
        <v>10.415653653243778</v>
      </c>
      <c r="T23" s="13">
        <v>10.211757986091756</v>
      </c>
      <c r="U23" s="13">
        <v>9.9413161253002844</v>
      </c>
      <c r="W23">
        <v>2028</v>
      </c>
      <c r="X23" s="13">
        <v>7.000753124181446</v>
      </c>
      <c r="Y23" s="13">
        <f t="shared" si="14"/>
        <v>10.211757986091756</v>
      </c>
      <c r="Z23" s="13">
        <v>13.620094016874063</v>
      </c>
      <c r="AA23" s="13"/>
      <c r="AB23" s="13">
        <f t="shared" si="0"/>
        <v>7.6762496412036976</v>
      </c>
      <c r="AC23" s="13"/>
      <c r="AF23">
        <f t="shared" si="1"/>
        <v>-2.0105839293499819</v>
      </c>
      <c r="AG23">
        <f t="shared" si="2"/>
        <v>-2.0105839293499819</v>
      </c>
      <c r="AK23">
        <v>19</v>
      </c>
      <c r="AL23">
        <v>0</v>
      </c>
    </row>
    <row r="24" spans="1:38">
      <c r="A24">
        <v>2029</v>
      </c>
      <c r="B24" s="13"/>
      <c r="C24" s="13">
        <f t="shared" si="16"/>
        <v>11.992361362791774</v>
      </c>
      <c r="D24" s="84">
        <f t="shared" si="9"/>
        <v>11.616756583393256</v>
      </c>
      <c r="E24" s="84">
        <f>J24-SUM(F$7:F24)</f>
        <v>-1.5250483141968385</v>
      </c>
      <c r="F24" s="13">
        <f t="shared" si="10"/>
        <v>0</v>
      </c>
      <c r="G24" s="13">
        <f t="shared" si="11"/>
        <v>0.61518536769969656</v>
      </c>
      <c r="H24" s="13">
        <f t="shared" si="12"/>
        <v>0.61518536769969656</v>
      </c>
      <c r="I24" s="20">
        <f>I23+(I35-I15)/20</f>
        <v>0</v>
      </c>
      <c r="J24" s="13">
        <f t="shared" si="13"/>
        <v>-1.5250483141968385</v>
      </c>
      <c r="K24" s="13"/>
      <c r="L24" s="84">
        <f t="shared" si="15"/>
        <v>11.616756583393256</v>
      </c>
      <c r="M24" s="13">
        <f t="shared" si="5"/>
        <v>11.968412618693254</v>
      </c>
      <c r="N24" s="13">
        <f t="shared" si="6"/>
        <v>2030.5938774285066</v>
      </c>
      <c r="O24" s="13">
        <f t="shared" si="7"/>
        <v>2018.6511062201052</v>
      </c>
      <c r="P24" s="13">
        <f>1/Japan!R101</f>
        <v>0.78455561030990895</v>
      </c>
      <c r="Q24" s="13"/>
      <c r="R24">
        <v>2029</v>
      </c>
      <c r="S24" s="13">
        <v>12.196257029943796</v>
      </c>
      <c r="T24" s="13">
        <v>11.992361362791774</v>
      </c>
      <c r="U24" s="13">
        <v>11.742383286497951</v>
      </c>
      <c r="W24">
        <v>2029</v>
      </c>
      <c r="X24" s="13">
        <v>8.1413768701157121</v>
      </c>
      <c r="Y24" s="13">
        <f t="shared" si="14"/>
        <v>11.992361362791774</v>
      </c>
      <c r="Z24" s="13">
        <v>15.842450206100837</v>
      </c>
      <c r="AA24" s="13"/>
      <c r="AB24" s="13">
        <f t="shared" si="0"/>
        <v>8.934542906055853</v>
      </c>
      <c r="AC24" s="13"/>
      <c r="AF24">
        <f t="shared" si="1"/>
        <v>-1.8365948951936648</v>
      </c>
      <c r="AG24">
        <f t="shared" si="2"/>
        <v>-1.8365948951936648</v>
      </c>
      <c r="AK24">
        <v>20</v>
      </c>
      <c r="AL24">
        <v>0</v>
      </c>
    </row>
    <row r="25" spans="1:38">
      <c r="A25" s="14">
        <v>2030</v>
      </c>
      <c r="B25" s="13"/>
      <c r="C25" s="20">
        <f t="shared" si="16"/>
        <v>13.948617569596729</v>
      </c>
      <c r="D25" s="84">
        <f t="shared" si="9"/>
        <v>13.663640880994118</v>
      </c>
      <c r="E25" s="84">
        <f>J25-SUM(F$7:F25)</f>
        <v>-1.3236609013129534</v>
      </c>
      <c r="F25" s="13">
        <f t="shared" si="10"/>
        <v>0</v>
      </c>
      <c r="G25" s="13">
        <f t="shared" si="11"/>
        <v>0.5544459303586432</v>
      </c>
      <c r="H25" s="13">
        <f t="shared" si="12"/>
        <v>0.5544459303586432</v>
      </c>
      <c r="I25" s="20">
        <f>I24+(I35-I15)/20</f>
        <v>0</v>
      </c>
      <c r="J25" s="13">
        <f t="shared" si="13"/>
        <v>-1.3236609013129534</v>
      </c>
      <c r="K25" s="13"/>
      <c r="L25" s="84">
        <f t="shared" si="15"/>
        <v>13.663640880994114</v>
      </c>
      <c r="M25" s="13">
        <f t="shared" si="5"/>
        <v>13.761376026223918</v>
      </c>
      <c r="N25" s="13">
        <f t="shared" si="6"/>
        <v>2031.790379908944</v>
      </c>
      <c r="O25" s="13">
        <f t="shared" si="7"/>
        <v>2018.4546037396678</v>
      </c>
      <c r="P25" s="13">
        <f>1/Japan!R102</f>
        <v>0.76633377910759293</v>
      </c>
      <c r="Q25" s="13"/>
      <c r="R25" s="87">
        <v>2030</v>
      </c>
      <c r="S25" s="13">
        <v>14.111734103318344</v>
      </c>
      <c r="T25" s="13">
        <v>13.948617569596729</v>
      </c>
      <c r="U25" s="13">
        <v>13.719103277800548</v>
      </c>
      <c r="W25" s="87">
        <v>2030</v>
      </c>
      <c r="X25" s="13">
        <v>9.4342355781712701</v>
      </c>
      <c r="Y25" s="13">
        <f t="shared" si="14"/>
        <v>13.948617569596729</v>
      </c>
      <c r="Z25" s="13">
        <v>18.15983447101296</v>
      </c>
      <c r="AA25" s="13"/>
      <c r="AB25" s="13">
        <f t="shared" si="0"/>
        <v>10.361812576120002</v>
      </c>
      <c r="AC25" s="13"/>
      <c r="AF25">
        <f t="shared" si="1"/>
        <v>-1.6626058610373473</v>
      </c>
      <c r="AG25">
        <f t="shared" si="2"/>
        <v>-1.6626058610373473</v>
      </c>
      <c r="AK25">
        <v>21</v>
      </c>
      <c r="AL25">
        <v>0</v>
      </c>
    </row>
    <row r="26" spans="1:38">
      <c r="A26">
        <v>2031</v>
      </c>
      <c r="C26" s="13">
        <f t="shared" si="16"/>
        <v>16.053467126053174</v>
      </c>
      <c r="D26" s="84">
        <f>65*EXP(E26)/(1+EXP(E26))</f>
        <v>15.927501793119253</v>
      </c>
      <c r="E26" s="84">
        <f>J26-SUM(F$7:F26)</f>
        <v>-1.1252514723010782</v>
      </c>
      <c r="F26" s="13">
        <f t="shared" si="10"/>
        <v>0</v>
      </c>
      <c r="G26" s="13">
        <f t="shared" si="11"/>
        <v>0.5544459303586432</v>
      </c>
      <c r="H26" s="13">
        <f t="shared" si="12"/>
        <v>0.5544459303586432</v>
      </c>
      <c r="I26" s="20">
        <f>I25+(I35-I15)/20</f>
        <v>0</v>
      </c>
      <c r="J26" s="13">
        <f t="shared" si="13"/>
        <v>-1.1252514723010782</v>
      </c>
      <c r="K26" s="13"/>
      <c r="L26" s="84">
        <f t="shared" si="15"/>
        <v>15.927501793119253</v>
      </c>
      <c r="M26" s="13">
        <f t="shared" si="5"/>
        <v>15.743201724789555</v>
      </c>
      <c r="N26" s="13">
        <f t="shared" si="6"/>
        <v>2032.790379908944</v>
      </c>
      <c r="O26" s="13">
        <f t="shared" si="7"/>
        <v>2018.4546037396678</v>
      </c>
      <c r="P26" s="13">
        <f>P25</f>
        <v>0.76633377910759293</v>
      </c>
      <c r="R26">
        <v>2031</v>
      </c>
      <c r="S26" s="13">
        <v>16.175804526344386</v>
      </c>
      <c r="T26" s="13">
        <v>16.053467126053174</v>
      </c>
      <c r="U26" s="13">
        <v>15.86985569261623</v>
      </c>
      <c r="W26">
        <v>2031</v>
      </c>
      <c r="X26" s="13">
        <v>10.889062250058869</v>
      </c>
      <c r="Y26" s="13">
        <f t="shared" si="14"/>
        <v>16.053467126053174</v>
      </c>
      <c r="Z26" s="13">
        <v>20.573601429063068</v>
      </c>
      <c r="AB26" s="13">
        <f t="shared" si="0"/>
        <v>11.968412618693254</v>
      </c>
      <c r="AC26" s="13"/>
      <c r="AF26">
        <f t="shared" si="1"/>
        <v>-1.4886168268810303</v>
      </c>
      <c r="AG26">
        <f t="shared" si="2"/>
        <v>-1.4886168268810303</v>
      </c>
      <c r="AK26">
        <v>22</v>
      </c>
      <c r="AL26">
        <v>0</v>
      </c>
    </row>
    <row r="27" spans="1:38">
      <c r="A27">
        <v>2032</v>
      </c>
      <c r="C27" s="13">
        <f t="shared" si="16"/>
        <v>18.297543046090663</v>
      </c>
      <c r="D27" s="84">
        <f t="shared" si="9"/>
        <v>18.084906365250351</v>
      </c>
      <c r="E27" s="84">
        <f>J27-SUM(F$7:F27)</f>
        <v>-0.95326176166889254</v>
      </c>
      <c r="F27" s="13">
        <f t="shared" si="10"/>
        <v>0</v>
      </c>
      <c r="G27" s="13">
        <f t="shared" si="11"/>
        <v>0.5544459303586432</v>
      </c>
      <c r="H27" s="13">
        <f t="shared" si="12"/>
        <v>0.5544459303586432</v>
      </c>
      <c r="I27" s="20">
        <f>I26+(I35-I15)/20</f>
        <v>0</v>
      </c>
      <c r="J27" s="13">
        <f t="shared" si="13"/>
        <v>-0.95326176166889254</v>
      </c>
      <c r="K27" s="13"/>
      <c r="L27" s="84">
        <f t="shared" si="15"/>
        <v>18.084906365250351</v>
      </c>
      <c r="M27" s="13">
        <f t="shared" si="5"/>
        <v>17.910671129207994</v>
      </c>
      <c r="N27" s="13">
        <f t="shared" si="6"/>
        <v>2033.790379908944</v>
      </c>
      <c r="O27" s="13">
        <f t="shared" si="7"/>
        <v>2018.4546037396678</v>
      </c>
      <c r="P27" s="13">
        <f t="shared" ref="P27:P50" si="17">P26</f>
        <v>0.76633377910759293</v>
      </c>
      <c r="R27">
        <v>2032</v>
      </c>
      <c r="S27" s="13">
        <v>18.379101312951473</v>
      </c>
      <c r="T27" s="13">
        <v>18.297543046090663</v>
      </c>
      <c r="U27" s="13">
        <v>18.15983447101296</v>
      </c>
      <c r="W27">
        <v>2032</v>
      </c>
      <c r="X27" s="13">
        <v>12.513052786150537</v>
      </c>
      <c r="Y27" s="13">
        <f t="shared" si="14"/>
        <v>18.297543046090663</v>
      </c>
      <c r="Z27" s="13">
        <v>23.089425203490663</v>
      </c>
      <c r="AB27" s="13">
        <f t="shared" si="0"/>
        <v>13.761376026223918</v>
      </c>
      <c r="AC27" s="13"/>
      <c r="AF27">
        <f t="shared" si="1"/>
        <v>-1.3146277927247132</v>
      </c>
      <c r="AG27">
        <f t="shared" si="2"/>
        <v>-1.3146277927247132</v>
      </c>
      <c r="AK27">
        <v>23</v>
      </c>
      <c r="AL27">
        <v>0</v>
      </c>
    </row>
    <row r="28" spans="1:38">
      <c r="A28">
        <v>2033</v>
      </c>
      <c r="C28" s="13">
        <f t="shared" si="16"/>
        <v>20.665407145781536</v>
      </c>
      <c r="D28" s="84">
        <f t="shared" si="9"/>
        <v>20.410766060243329</v>
      </c>
      <c r="E28" s="84">
        <f>J28-SUM(F$7:F28)</f>
        <v>-0.78142992870983974</v>
      </c>
      <c r="F28" s="13">
        <f t="shared" si="10"/>
        <v>0</v>
      </c>
      <c r="G28" s="13">
        <f t="shared" si="11"/>
        <v>0.5544459303586432</v>
      </c>
      <c r="H28" s="13">
        <f t="shared" si="12"/>
        <v>0.5544459303586432</v>
      </c>
      <c r="I28" s="20">
        <f>I27+(I35-I15)/20</f>
        <v>0</v>
      </c>
      <c r="J28" s="13">
        <f t="shared" si="13"/>
        <v>-0.78142992870983974</v>
      </c>
      <c r="K28" s="13"/>
      <c r="L28" s="84">
        <f t="shared" si="15"/>
        <v>20.410766060243333</v>
      </c>
      <c r="M28" s="13">
        <f t="shared" si="5"/>
        <v>20.253847466681552</v>
      </c>
      <c r="N28" s="13">
        <f t="shared" si="6"/>
        <v>2034.790379908944</v>
      </c>
      <c r="O28" s="13">
        <f t="shared" si="7"/>
        <v>2018.4546037396678</v>
      </c>
      <c r="P28" s="13">
        <f t="shared" si="17"/>
        <v>0.76633377910759293</v>
      </c>
      <c r="R28">
        <v>2033</v>
      </c>
      <c r="S28" s="13">
        <v>20.706186279211941</v>
      </c>
      <c r="T28" s="13">
        <v>20.665407145781536</v>
      </c>
      <c r="U28" s="13">
        <v>20.573601429063068</v>
      </c>
      <c r="W28">
        <v>2033</v>
      </c>
      <c r="X28" s="13">
        <v>14.309956855065215</v>
      </c>
      <c r="Y28" s="13">
        <f t="shared" si="14"/>
        <v>20.665407145781536</v>
      </c>
      <c r="Z28" s="13">
        <v>25.679484427928521</v>
      </c>
      <c r="AB28" s="13">
        <f t="shared" si="0"/>
        <v>15.743201724789555</v>
      </c>
      <c r="AC28" s="13"/>
      <c r="AF28">
        <f t="shared" si="1"/>
        <v>-1.1406387585683957</v>
      </c>
      <c r="AG28">
        <f t="shared" si="2"/>
        <v>-1.1406387585683957</v>
      </c>
      <c r="AK28">
        <v>24</v>
      </c>
      <c r="AL28">
        <v>0</v>
      </c>
    </row>
    <row r="29" spans="1:38">
      <c r="A29">
        <v>2034</v>
      </c>
      <c r="C29" s="13">
        <f t="shared" si="16"/>
        <v>23.135328061849897</v>
      </c>
      <c r="D29" s="84">
        <f t="shared" si="9"/>
        <v>22.887704481550358</v>
      </c>
      <c r="E29" s="84">
        <f>J29-SUM(F$7:F29)</f>
        <v>-0.60973990895580787</v>
      </c>
      <c r="F29" s="13">
        <f t="shared" si="10"/>
        <v>0</v>
      </c>
      <c r="G29" s="13">
        <f t="shared" si="11"/>
        <v>0.5544459303586432</v>
      </c>
      <c r="H29" s="13">
        <f t="shared" si="12"/>
        <v>0.5544459303586432</v>
      </c>
      <c r="I29" s="20">
        <f>I28+(I35-I15)/20</f>
        <v>0</v>
      </c>
      <c r="J29" s="13">
        <f t="shared" si="13"/>
        <v>-0.60973990895580787</v>
      </c>
      <c r="K29" s="13"/>
      <c r="L29" s="84">
        <f t="shared" si="15"/>
        <v>22.887704481550362</v>
      </c>
      <c r="M29" s="13">
        <f t="shared" si="5"/>
        <v>22.755435479348741</v>
      </c>
      <c r="N29" s="13">
        <f t="shared" si="6"/>
        <v>2035.790379908944</v>
      </c>
      <c r="O29" s="13">
        <f t="shared" si="7"/>
        <v>2018.4546037396678</v>
      </c>
      <c r="P29" s="13">
        <f t="shared" si="17"/>
        <v>0.76633377910759293</v>
      </c>
      <c r="R29">
        <v>2034</v>
      </c>
      <c r="S29" s="13">
        <v>23.135328061849897</v>
      </c>
      <c r="T29" s="13">
        <v>23.135328061849897</v>
      </c>
      <c r="U29" s="13">
        <v>23.089425203490663</v>
      </c>
      <c r="W29">
        <v>2034</v>
      </c>
      <c r="X29" s="13">
        <v>16.279188777029443</v>
      </c>
      <c r="Y29" s="13">
        <f t="shared" si="14"/>
        <v>23.135328061849897</v>
      </c>
      <c r="Z29" s="13">
        <v>28.310544002829211</v>
      </c>
      <c r="AB29" s="13">
        <f t="shared" si="0"/>
        <v>17.910671129207994</v>
      </c>
      <c r="AC29" s="13"/>
      <c r="AF29">
        <f t="shared" si="1"/>
        <v>-0.96664972441207908</v>
      </c>
      <c r="AG29">
        <f t="shared" si="2"/>
        <v>-0.96664972441207908</v>
      </c>
      <c r="AK29">
        <v>25</v>
      </c>
      <c r="AL29">
        <v>0</v>
      </c>
    </row>
    <row r="30" spans="1:38">
      <c r="A30">
        <v>2035</v>
      </c>
      <c r="C30" s="13">
        <f t="shared" si="16"/>
        <v>25.679484427928521</v>
      </c>
      <c r="D30" s="84">
        <f t="shared" si="9"/>
        <v>25.491525158083991</v>
      </c>
      <c r="E30" s="84">
        <f>J30-SUM(F$7:F30)</f>
        <v>-0.43816915167062193</v>
      </c>
      <c r="F30" s="13">
        <f t="shared" si="10"/>
        <v>0</v>
      </c>
      <c r="G30" s="13">
        <f t="shared" si="11"/>
        <v>0.5544459303586432</v>
      </c>
      <c r="H30" s="13">
        <f t="shared" si="12"/>
        <v>0.5544459303586432</v>
      </c>
      <c r="I30" s="20">
        <f>I29+(I35-I15)/20</f>
        <v>0</v>
      </c>
      <c r="J30" s="13">
        <f t="shared" si="13"/>
        <v>-0.43816915167062193</v>
      </c>
      <c r="K30" s="13"/>
      <c r="L30" s="84">
        <f t="shared" si="15"/>
        <v>25.491525158083995</v>
      </c>
      <c r="M30" s="13">
        <f t="shared" si="5"/>
        <v>25.390674501188812</v>
      </c>
      <c r="N30" s="13">
        <f t="shared" si="6"/>
        <v>2036.790379908944</v>
      </c>
      <c r="O30" s="13">
        <f t="shared" si="7"/>
        <v>2018.4546037396678</v>
      </c>
      <c r="P30" s="13">
        <f t="shared" si="17"/>
        <v>0.76633377910759293</v>
      </c>
      <c r="R30">
        <v>2035</v>
      </c>
      <c r="S30" s="13">
        <v>25.679484427928521</v>
      </c>
      <c r="T30" s="13">
        <v>25.679484427928521</v>
      </c>
      <c r="U30" s="13">
        <v>25.679484427928521</v>
      </c>
      <c r="W30">
        <v>2035</v>
      </c>
      <c r="X30" s="13">
        <v>18.41505254909011</v>
      </c>
      <c r="Y30" s="13">
        <f t="shared" si="14"/>
        <v>25.679484427928521</v>
      </c>
      <c r="Z30" s="13">
        <v>30.996327111165531</v>
      </c>
      <c r="AB30" s="13">
        <f t="shared" si="0"/>
        <v>20.253847466681552</v>
      </c>
      <c r="AC30" s="13"/>
      <c r="AF30">
        <f t="shared" si="1"/>
        <v>-0.79266069025576158</v>
      </c>
      <c r="AG30">
        <f t="shared" si="2"/>
        <v>-0.79266069025576158</v>
      </c>
      <c r="AK30">
        <v>26</v>
      </c>
      <c r="AL30">
        <v>0</v>
      </c>
    </row>
    <row r="31" spans="1:38">
      <c r="A31">
        <v>2036</v>
      </c>
      <c r="C31" s="13">
        <f t="shared" si="16"/>
        <v>28.310544002829211</v>
      </c>
      <c r="D31" s="84">
        <f t="shared" si="9"/>
        <v>28.191805281229371</v>
      </c>
      <c r="E31" s="84">
        <f>J31-SUM(F$7:F31)</f>
        <v>-0.26668916011051613</v>
      </c>
      <c r="F31" s="13">
        <f t="shared" si="10"/>
        <v>0</v>
      </c>
      <c r="G31" s="13">
        <f t="shared" si="11"/>
        <v>0.5544459303586432</v>
      </c>
      <c r="H31" s="13">
        <f t="shared" si="12"/>
        <v>0.5544459303586432</v>
      </c>
      <c r="I31" s="20">
        <f>I30+(I35-I15)/20</f>
        <v>0</v>
      </c>
      <c r="J31" s="13">
        <f t="shared" si="13"/>
        <v>-0.26668916011051613</v>
      </c>
      <c r="K31" s="13"/>
      <c r="L31" s="84">
        <f t="shared" si="15"/>
        <v>28.191805281229371</v>
      </c>
      <c r="M31" s="13">
        <f t="shared" si="5"/>
        <v>28.127893831324712</v>
      </c>
      <c r="N31" s="13">
        <f t="shared" si="6"/>
        <v>2037.790379908944</v>
      </c>
      <c r="O31" s="13">
        <f t="shared" si="7"/>
        <v>2018.4546037396678</v>
      </c>
      <c r="P31" s="13">
        <f t="shared" si="17"/>
        <v>0.76633377910759293</v>
      </c>
      <c r="R31">
        <v>2036</v>
      </c>
      <c r="S31" s="13">
        <v>28.310544002829211</v>
      </c>
      <c r="T31" s="13">
        <v>28.310544002829211</v>
      </c>
      <c r="U31" s="13">
        <v>28.310544002829211</v>
      </c>
      <c r="W31">
        <v>2036</v>
      </c>
      <c r="X31" s="13">
        <v>20.706186279211941</v>
      </c>
      <c r="Y31" s="13">
        <f t="shared" si="14"/>
        <v>28.310544002829211</v>
      </c>
      <c r="Z31" s="13">
        <v>33.702004794960494</v>
      </c>
      <c r="AB31" s="13">
        <f t="shared" si="0"/>
        <v>22.755435479348741</v>
      </c>
      <c r="AC31" s="13"/>
      <c r="AF31">
        <f t="shared" si="1"/>
        <v>-0.61867165609944497</v>
      </c>
      <c r="AG31">
        <f t="shared" si="2"/>
        <v>-0.61867165609944497</v>
      </c>
      <c r="AK31">
        <v>27</v>
      </c>
      <c r="AL31">
        <v>0</v>
      </c>
    </row>
    <row r="32" spans="1:38">
      <c r="A32">
        <v>2037</v>
      </c>
      <c r="C32" s="13">
        <f t="shared" si="16"/>
        <v>30.996327111165531</v>
      </c>
      <c r="D32" s="84">
        <f t="shared" si="9"/>
        <v>30.953087293472645</v>
      </c>
      <c r="E32" s="84">
        <f>J32-SUM(F$7:F32)</f>
        <v>-9.5266613916440326E-2</v>
      </c>
      <c r="F32" s="13">
        <f t="shared" si="10"/>
        <v>0</v>
      </c>
      <c r="G32" s="13">
        <f t="shared" si="11"/>
        <v>0.5544459303586432</v>
      </c>
      <c r="H32" s="13">
        <f t="shared" si="12"/>
        <v>0.5544459303586432</v>
      </c>
      <c r="I32" s="20">
        <f>I31+(I35-I15)/20</f>
        <v>0</v>
      </c>
      <c r="J32" s="13">
        <f t="shared" si="13"/>
        <v>-9.5266613916440326E-2</v>
      </c>
      <c r="K32" s="13"/>
      <c r="L32" s="84">
        <f t="shared" si="15"/>
        <v>30.953087293472642</v>
      </c>
      <c r="M32" s="13">
        <f t="shared" si="5"/>
        <v>30.929774511876143</v>
      </c>
      <c r="N32" s="13">
        <f t="shared" si="6"/>
        <v>2038.790379908944</v>
      </c>
      <c r="O32" s="13">
        <f t="shared" si="7"/>
        <v>2018.4546037396678</v>
      </c>
      <c r="P32" s="13">
        <f t="shared" si="17"/>
        <v>0.76633377910759293</v>
      </c>
      <c r="R32">
        <v>2037</v>
      </c>
      <c r="S32" s="13">
        <v>30.996327111165531</v>
      </c>
      <c r="T32" s="13">
        <v>30.996327111165531</v>
      </c>
      <c r="U32" s="13">
        <v>30.996327111165531</v>
      </c>
      <c r="W32">
        <v>2037</v>
      </c>
      <c r="X32" s="13">
        <v>23.135328061849897</v>
      </c>
      <c r="Y32" s="13">
        <f t="shared" si="14"/>
        <v>30.996327111165531</v>
      </c>
      <c r="Z32" s="13">
        <v>36.39176838115619</v>
      </c>
      <c r="AB32" s="13">
        <f t="shared" si="0"/>
        <v>25.390674501188812</v>
      </c>
      <c r="AC32" s="13"/>
      <c r="AF32">
        <f t="shared" si="1"/>
        <v>-0.44468262194312747</v>
      </c>
      <c r="AG32">
        <f t="shared" si="2"/>
        <v>-0.44468262194312747</v>
      </c>
      <c r="AK32">
        <v>28</v>
      </c>
      <c r="AL32">
        <v>0</v>
      </c>
    </row>
    <row r="33" spans="1:38">
      <c r="A33">
        <v>2038</v>
      </c>
      <c r="C33" s="13">
        <f t="shared" si="16"/>
        <v>33.702004794960494</v>
      </c>
      <c r="D33" s="84">
        <f t="shared" si="9"/>
        <v>33.736596355669619</v>
      </c>
      <c r="E33" s="84">
        <f>J33-SUM(F$7:F33)</f>
        <v>7.6134992575829646E-2</v>
      </c>
      <c r="F33" s="13">
        <f t="shared" si="10"/>
        <v>0</v>
      </c>
      <c r="G33" s="13">
        <f t="shared" si="11"/>
        <v>0.5544459303586432</v>
      </c>
      <c r="H33" s="13">
        <f t="shared" si="12"/>
        <v>0.5544459303586432</v>
      </c>
      <c r="I33" s="20">
        <f>I32+(I35-I15)/20</f>
        <v>0</v>
      </c>
      <c r="J33" s="13">
        <f t="shared" si="13"/>
        <v>7.6134992575829646E-2</v>
      </c>
      <c r="K33" s="13"/>
      <c r="L33" s="84">
        <f t="shared" si="15"/>
        <v>33.736596355669612</v>
      </c>
      <c r="M33" s="13">
        <f t="shared" si="5"/>
        <v>33.75524808240845</v>
      </c>
      <c r="N33" s="13">
        <f t="shared" si="6"/>
        <v>2039.790379908944</v>
      </c>
      <c r="O33" s="13">
        <f t="shared" si="7"/>
        <v>2018.4546037396678</v>
      </c>
      <c r="P33" s="13">
        <f t="shared" si="17"/>
        <v>0.76633377910759293</v>
      </c>
      <c r="R33">
        <v>2038</v>
      </c>
      <c r="S33" s="13">
        <v>33.702004794960494</v>
      </c>
      <c r="T33" s="13">
        <v>33.702004794960494</v>
      </c>
      <c r="U33" s="13">
        <v>33.702004794960494</v>
      </c>
      <c r="W33">
        <v>2038</v>
      </c>
      <c r="X33" s="13">
        <v>25.679484427928521</v>
      </c>
      <c r="Y33" s="13">
        <f t="shared" si="14"/>
        <v>33.702004794960494</v>
      </c>
      <c r="Z33" s="13">
        <v>39.030593596480358</v>
      </c>
      <c r="AB33" s="13">
        <f t="shared" si="0"/>
        <v>28.127893831324712</v>
      </c>
      <c r="AC33" s="13"/>
      <c r="AF33">
        <f t="shared" si="1"/>
        <v>-0.27069358778681085</v>
      </c>
      <c r="AG33">
        <f t="shared" si="2"/>
        <v>-0.27069358778681085</v>
      </c>
      <c r="AK33">
        <v>29</v>
      </c>
      <c r="AL33">
        <v>0</v>
      </c>
    </row>
    <row r="34" spans="1:38">
      <c r="A34">
        <v>2039</v>
      </c>
      <c r="C34" s="13">
        <f t="shared" si="16"/>
        <v>36.39176838115619</v>
      </c>
      <c r="D34" s="84">
        <f t="shared" si="9"/>
        <v>36.502323389555158</v>
      </c>
      <c r="E34" s="84">
        <f>J34-SUM(F$7:F34)</f>
        <v>0.2475533515600058</v>
      </c>
      <c r="F34" s="13">
        <f t="shared" si="10"/>
        <v>0</v>
      </c>
      <c r="G34" s="13">
        <f t="shared" si="11"/>
        <v>0.5544459303586432</v>
      </c>
      <c r="H34" s="13">
        <f t="shared" si="12"/>
        <v>0.5544459303586432</v>
      </c>
      <c r="I34" s="20">
        <f>I33+(I35-I15)/20</f>
        <v>0</v>
      </c>
      <c r="J34" s="13">
        <f t="shared" si="13"/>
        <v>0.2475533515600058</v>
      </c>
      <c r="K34" s="13"/>
      <c r="L34" s="84">
        <f t="shared" si="15"/>
        <v>36.502323389555158</v>
      </c>
      <c r="M34" s="13">
        <f t="shared" si="5"/>
        <v>36.561845540565074</v>
      </c>
      <c r="N34" s="13">
        <f t="shared" si="6"/>
        <v>2040.790379908944</v>
      </c>
      <c r="O34" s="13">
        <f t="shared" si="7"/>
        <v>2018.4546037396678</v>
      </c>
      <c r="P34" s="13">
        <f t="shared" si="17"/>
        <v>0.76633377910759293</v>
      </c>
      <c r="R34">
        <v>2039</v>
      </c>
      <c r="S34" s="13">
        <v>36.39176838115619</v>
      </c>
      <c r="T34" s="13">
        <v>36.39176838115619</v>
      </c>
      <c r="U34" s="13">
        <v>36.39176838115619</v>
      </c>
      <c r="W34">
        <v>2039</v>
      </c>
      <c r="X34" s="13">
        <v>28.310544002829211</v>
      </c>
      <c r="Y34" s="13">
        <f t="shared" si="14"/>
        <v>36.39176838115619</v>
      </c>
      <c r="Z34" s="13">
        <v>41.585928903776733</v>
      </c>
      <c r="AB34" s="13">
        <f t="shared" si="0"/>
        <v>30.929774511876143</v>
      </c>
      <c r="AC34" s="13"/>
      <c r="AF34">
        <f t="shared" si="1"/>
        <v>-9.6704553630493351E-2</v>
      </c>
      <c r="AG34">
        <f t="shared" si="2"/>
        <v>-9.6704553630493351E-2</v>
      </c>
      <c r="AK34">
        <v>30</v>
      </c>
      <c r="AL34">
        <v>0</v>
      </c>
    </row>
    <row r="35" spans="1:38">
      <c r="A35">
        <v>2040</v>
      </c>
      <c r="C35" s="13">
        <f t="shared" si="16"/>
        <v>39.030593596480358</v>
      </c>
      <c r="D35" s="84">
        <f>65*EXP(E35)/(1+EXP(E35))</f>
        <v>39.211247818597556</v>
      </c>
      <c r="E35" s="84">
        <f>J35-SUM(F$7:F35)</f>
        <v>0.4190252048792027</v>
      </c>
      <c r="F35" s="13">
        <f t="shared" si="10"/>
        <v>0</v>
      </c>
      <c r="G35" s="13">
        <f t="shared" si="11"/>
        <v>0.5544459303586432</v>
      </c>
      <c r="H35" s="13">
        <f t="shared" si="12"/>
        <v>0.5544459303586432</v>
      </c>
      <c r="I35" s="89">
        <v>0</v>
      </c>
      <c r="J35" s="13">
        <f t="shared" si="13"/>
        <v>0.4190252048792027</v>
      </c>
      <c r="K35" s="13"/>
      <c r="L35" s="84">
        <f t="shared" si="15"/>
        <v>39.211247818597556</v>
      </c>
      <c r="M35" s="13">
        <f t="shared" si="5"/>
        <v>39.308219812173668</v>
      </c>
      <c r="N35" s="13">
        <f t="shared" si="6"/>
        <v>2041.790379908944</v>
      </c>
      <c r="O35" s="13">
        <f t="shared" si="7"/>
        <v>2018.4546037396678</v>
      </c>
      <c r="P35" s="13">
        <f t="shared" si="17"/>
        <v>0.76633377910759293</v>
      </c>
      <c r="R35" s="87">
        <v>2040</v>
      </c>
      <c r="S35" s="13">
        <v>39.030593596480358</v>
      </c>
      <c r="T35" s="13">
        <v>39.030593596480358</v>
      </c>
      <c r="U35" s="13">
        <v>39.030593596480358</v>
      </c>
      <c r="W35" s="87">
        <v>2040</v>
      </c>
      <c r="X35" s="13">
        <v>30.996327111165531</v>
      </c>
      <c r="Y35" s="13">
        <f t="shared" si="14"/>
        <v>39.030593596480358</v>
      </c>
      <c r="Z35" s="13">
        <v>44.029149227329007</v>
      </c>
      <c r="AB35" s="13">
        <f t="shared" si="0"/>
        <v>33.75524808240845</v>
      </c>
      <c r="AC35" s="13"/>
      <c r="AF35">
        <f t="shared" si="1"/>
        <v>7.7284480525823263E-2</v>
      </c>
      <c r="AG35">
        <f t="shared" si="2"/>
        <v>7.7284480525823263E-2</v>
      </c>
      <c r="AK35">
        <v>31</v>
      </c>
      <c r="AL35">
        <v>0</v>
      </c>
    </row>
    <row r="36" spans="1:38">
      <c r="A36">
        <v>2041</v>
      </c>
      <c r="C36" s="13">
        <f t="shared" si="16"/>
        <v>41.585928903776733</v>
      </c>
      <c r="D36" s="84">
        <f t="shared" si="9"/>
        <v>41.827448268115084</v>
      </c>
      <c r="E36" s="84">
        <f>J36-SUM(F$7:F36)</f>
        <v>0.59058431792346289</v>
      </c>
      <c r="F36" s="13">
        <f t="shared" si="10"/>
        <v>0</v>
      </c>
      <c r="G36" s="13">
        <f t="shared" si="11"/>
        <v>0.5544459303586432</v>
      </c>
      <c r="H36" s="13">
        <f t="shared" si="12"/>
        <v>0.5544459303586432</v>
      </c>
      <c r="I36" s="89">
        <f>I35</f>
        <v>0</v>
      </c>
      <c r="J36" s="13">
        <f t="shared" si="13"/>
        <v>0.59058431792346289</v>
      </c>
      <c r="K36" s="13"/>
      <c r="L36" s="84">
        <f t="shared" si="15"/>
        <v>41.827448268115084</v>
      </c>
      <c r="M36" s="13">
        <f t="shared" si="5"/>
        <v>41.956529000752447</v>
      </c>
      <c r="N36" s="13">
        <f t="shared" si="6"/>
        <v>2042.790379908944</v>
      </c>
      <c r="O36" s="13">
        <f t="shared" si="7"/>
        <v>2018.4546037396678</v>
      </c>
      <c r="P36" s="13">
        <f t="shared" si="17"/>
        <v>0.76633377910759293</v>
      </c>
      <c r="R36">
        <v>2041</v>
      </c>
      <c r="S36" s="13">
        <v>41.585928903776733</v>
      </c>
      <c r="T36" s="13">
        <v>41.585928903776733</v>
      </c>
      <c r="U36" s="13">
        <v>41.585928903776733</v>
      </c>
      <c r="W36">
        <v>2041</v>
      </c>
      <c r="X36" s="13">
        <v>33.702004794960494</v>
      </c>
      <c r="Y36" s="13">
        <f t="shared" si="14"/>
        <v>41.585928903776733</v>
      </c>
      <c r="Z36" s="13">
        <v>46.336651132955019</v>
      </c>
      <c r="AB36" s="13">
        <f t="shared" si="0"/>
        <v>36.561845540565074</v>
      </c>
      <c r="AF36">
        <f t="shared" si="1"/>
        <v>0.25127351468214076</v>
      </c>
      <c r="AG36">
        <f t="shared" si="2"/>
        <v>0.25127351468214076</v>
      </c>
      <c r="AK36">
        <v>32</v>
      </c>
      <c r="AL36">
        <v>0</v>
      </c>
    </row>
    <row r="37" spans="1:38">
      <c r="A37">
        <v>2042</v>
      </c>
      <c r="C37" s="13">
        <f t="shared" si="16"/>
        <v>44.029149227329007</v>
      </c>
      <c r="D37" s="84">
        <f t="shared" si="9"/>
        <v>44.319870261453922</v>
      </c>
      <c r="E37" s="84">
        <f>J37-SUM(F$7:F37)</f>
        <v>0.76225979187634418</v>
      </c>
      <c r="F37" s="13">
        <f t="shared" si="10"/>
        <v>0</v>
      </c>
      <c r="G37" s="13">
        <f t="shared" si="11"/>
        <v>0.5544459303586432</v>
      </c>
      <c r="H37" s="13">
        <f t="shared" si="12"/>
        <v>0.5544459303586432</v>
      </c>
      <c r="I37" s="89">
        <f t="shared" ref="I37:I50" si="18">I36</f>
        <v>0</v>
      </c>
      <c r="J37" s="13">
        <f t="shared" si="13"/>
        <v>0.76225979187634418</v>
      </c>
      <c r="K37" s="13"/>
      <c r="L37" s="84">
        <f t="shared" si="15"/>
        <v>44.319870261453922</v>
      </c>
      <c r="M37" s="13">
        <f t="shared" si="5"/>
        <v>44.474396657088121</v>
      </c>
      <c r="N37" s="13">
        <f t="shared" si="6"/>
        <v>2043.790379908944</v>
      </c>
      <c r="O37" s="13">
        <f t="shared" si="7"/>
        <v>2018.4546037396678</v>
      </c>
      <c r="P37" s="13">
        <f t="shared" si="17"/>
        <v>0.76633377910759293</v>
      </c>
      <c r="R37">
        <v>2042</v>
      </c>
      <c r="S37" s="13">
        <v>44.029149227329007</v>
      </c>
      <c r="T37" s="13">
        <v>44.029149227329007</v>
      </c>
      <c r="U37" s="13">
        <v>44.029149227329007</v>
      </c>
      <c r="W37">
        <v>2042</v>
      </c>
      <c r="X37" s="13">
        <v>36.39176838115619</v>
      </c>
      <c r="Y37" s="13">
        <f t="shared" si="14"/>
        <v>44.029149227329007</v>
      </c>
      <c r="Z37" s="13">
        <v>48.490516644951718</v>
      </c>
      <c r="AB37" s="13">
        <f t="shared" si="0"/>
        <v>39.308219812173668</v>
      </c>
      <c r="AF37">
        <f t="shared" si="1"/>
        <v>0.42526254883845827</v>
      </c>
      <c r="AG37">
        <f t="shared" si="2"/>
        <v>0.42526254883845827</v>
      </c>
      <c r="AK37">
        <v>33</v>
      </c>
      <c r="AL37">
        <v>0</v>
      </c>
    </row>
    <row r="38" spans="1:38">
      <c r="A38">
        <v>2043</v>
      </c>
      <c r="C38" s="13">
        <f t="shared" si="16"/>
        <v>46.336651132955019</v>
      </c>
      <c r="D38" s="84">
        <f t="shared" si="9"/>
        <v>46.663581788498533</v>
      </c>
      <c r="E38" s="84">
        <f>J38-SUM(F$7:F38)</f>
        <v>0.93407487873290973</v>
      </c>
      <c r="F38" s="13">
        <f t="shared" si="10"/>
        <v>0</v>
      </c>
      <c r="G38" s="13">
        <f t="shared" si="11"/>
        <v>0.5544459303586432</v>
      </c>
      <c r="H38" s="13">
        <f t="shared" si="12"/>
        <v>0.5544459303586432</v>
      </c>
      <c r="I38" s="89">
        <f t="shared" si="18"/>
        <v>0</v>
      </c>
      <c r="J38" s="13">
        <f t="shared" si="13"/>
        <v>0.93407487873290973</v>
      </c>
      <c r="K38" s="13"/>
      <c r="L38" s="84">
        <f t="shared" si="15"/>
        <v>46.66358178849854</v>
      </c>
      <c r="M38" s="13">
        <f t="shared" si="5"/>
        <v>46.836250329996133</v>
      </c>
      <c r="N38" s="13">
        <f t="shared" si="6"/>
        <v>2044.790379908944</v>
      </c>
      <c r="O38" s="13">
        <f t="shared" si="7"/>
        <v>2018.4546037396678</v>
      </c>
      <c r="P38" s="13">
        <f t="shared" si="17"/>
        <v>0.76633377910759293</v>
      </c>
      <c r="R38">
        <v>2043</v>
      </c>
      <c r="S38" s="13">
        <v>46.336651132955019</v>
      </c>
      <c r="T38" s="13">
        <v>46.336651132955019</v>
      </c>
      <c r="U38" s="13">
        <v>46.336651132955019</v>
      </c>
      <c r="W38">
        <v>2043</v>
      </c>
      <c r="X38" s="13">
        <v>39.030593596480358</v>
      </c>
      <c r="Y38" s="13">
        <f t="shared" si="14"/>
        <v>46.336651132955019</v>
      </c>
      <c r="Z38" s="13">
        <v>50.478730135544659</v>
      </c>
      <c r="AB38" s="13">
        <f t="shared" si="0"/>
        <v>41.956529000752447</v>
      </c>
      <c r="AF38">
        <f t="shared" si="1"/>
        <v>0.59925158299477488</v>
      </c>
      <c r="AG38">
        <f t="shared" si="2"/>
        <v>0.59925158299477488</v>
      </c>
      <c r="AK38">
        <v>34</v>
      </c>
      <c r="AL38">
        <v>0</v>
      </c>
    </row>
    <row r="39" spans="1:38">
      <c r="A39">
        <v>2044</v>
      </c>
      <c r="C39" s="13">
        <f t="shared" si="16"/>
        <v>48.490516644951718</v>
      </c>
      <c r="D39" s="84">
        <f t="shared" si="9"/>
        <v>48.840434444547249</v>
      </c>
      <c r="E39" s="84">
        <f>J39-SUM(F$7:F39)</f>
        <v>1.1060463756771275</v>
      </c>
      <c r="F39" s="13">
        <f t="shared" si="10"/>
        <v>0</v>
      </c>
      <c r="G39" s="13">
        <f t="shared" si="11"/>
        <v>0.5544459303586432</v>
      </c>
      <c r="H39" s="13">
        <f t="shared" si="12"/>
        <v>0.5544459303586432</v>
      </c>
      <c r="I39" s="89">
        <f t="shared" si="18"/>
        <v>0</v>
      </c>
      <c r="J39" s="13">
        <f t="shared" si="13"/>
        <v>1.1060463756771275</v>
      </c>
      <c r="K39" s="13"/>
      <c r="L39" s="84">
        <f t="shared" si="15"/>
        <v>48.840434444547249</v>
      </c>
      <c r="M39" s="13">
        <f t="shared" si="5"/>
        <v>49.023955507259231</v>
      </c>
      <c r="N39" s="13">
        <f t="shared" si="6"/>
        <v>2045.790379908944</v>
      </c>
      <c r="O39" s="13">
        <f t="shared" si="7"/>
        <v>2018.4546037396678</v>
      </c>
      <c r="P39" s="13">
        <f t="shared" si="17"/>
        <v>0.76633377910759293</v>
      </c>
      <c r="R39">
        <v>2044</v>
      </c>
      <c r="S39" s="13">
        <v>48.490516644951718</v>
      </c>
      <c r="T39" s="13">
        <v>48.490516644951718</v>
      </c>
      <c r="U39" s="13">
        <v>48.490516644951718</v>
      </c>
      <c r="W39">
        <v>2044</v>
      </c>
      <c r="X39" s="13">
        <v>41.585928903776733</v>
      </c>
      <c r="Y39" s="13">
        <f t="shared" si="14"/>
        <v>48.490516644951718</v>
      </c>
      <c r="Z39" s="13">
        <v>52.294985674479278</v>
      </c>
      <c r="AB39" s="13">
        <f t="shared" si="0"/>
        <v>44.474396657088121</v>
      </c>
      <c r="AF39">
        <f t="shared" si="1"/>
        <v>0.77324061715109238</v>
      </c>
      <c r="AG39">
        <f t="shared" si="2"/>
        <v>0.77324061715109238</v>
      </c>
      <c r="AK39">
        <v>35</v>
      </c>
      <c r="AL39">
        <v>0</v>
      </c>
    </row>
    <row r="40" spans="1:38">
      <c r="A40">
        <v>2045</v>
      </c>
      <c r="C40" s="13">
        <f t="shared" si="16"/>
        <v>50.478730135544659</v>
      </c>
      <c r="D40" s="84">
        <f t="shared" si="9"/>
        <v>50.839138620535529</v>
      </c>
      <c r="E40" s="84">
        <f>J40-SUM(F$7:F40)</f>
        <v>1.2781845849314792</v>
      </c>
      <c r="F40" s="13">
        <f t="shared" si="10"/>
        <v>0</v>
      </c>
      <c r="G40" s="13">
        <f t="shared" si="11"/>
        <v>0.5544459303586432</v>
      </c>
      <c r="H40" s="13">
        <f t="shared" si="12"/>
        <v>0.5544459303586432</v>
      </c>
      <c r="I40" s="89">
        <f t="shared" si="18"/>
        <v>0</v>
      </c>
      <c r="J40" s="13">
        <f t="shared" si="13"/>
        <v>1.2781845849314792</v>
      </c>
      <c r="K40" s="13"/>
      <c r="L40" s="84">
        <f t="shared" si="15"/>
        <v>50.839138620535529</v>
      </c>
      <c r="M40" s="13">
        <f t="shared" si="5"/>
        <v>51.026777447396739</v>
      </c>
      <c r="N40" s="13">
        <f t="shared" si="6"/>
        <v>2046.790379908944</v>
      </c>
      <c r="O40" s="13">
        <f t="shared" si="7"/>
        <v>2018.4546037396678</v>
      </c>
      <c r="P40" s="13">
        <f t="shared" si="17"/>
        <v>0.76633377910759293</v>
      </c>
      <c r="R40">
        <v>2045</v>
      </c>
      <c r="S40" s="13">
        <v>50.478730135544659</v>
      </c>
      <c r="T40" s="13">
        <v>50.478730135544659</v>
      </c>
      <c r="U40" s="13">
        <v>50.478730135544659</v>
      </c>
      <c r="W40">
        <v>2045</v>
      </c>
      <c r="X40" s="13">
        <v>44.029149227329007</v>
      </c>
      <c r="Y40" s="13">
        <f t="shared" si="14"/>
        <v>50.478730135544659</v>
      </c>
      <c r="Z40" s="13">
        <v>53.938162506738557</v>
      </c>
      <c r="AB40" s="13">
        <f t="shared" si="0"/>
        <v>46.836250329996133</v>
      </c>
      <c r="AF40">
        <f t="shared" si="1"/>
        <v>0.94722965130740899</v>
      </c>
      <c r="AG40">
        <f t="shared" si="2"/>
        <v>0.94722965130740899</v>
      </c>
      <c r="AK40">
        <v>36</v>
      </c>
      <c r="AL40">
        <v>0</v>
      </c>
    </row>
    <row r="41" spans="1:38">
      <c r="A41">
        <v>2046</v>
      </c>
      <c r="C41" s="13">
        <f t="shared" si="16"/>
        <v>52.294985674479278</v>
      </c>
      <c r="D41" s="84">
        <f t="shared" si="9"/>
        <v>52.654836728937262</v>
      </c>
      <c r="E41" s="84">
        <f>J41-SUM(F$7:F41)</f>
        <v>1.4504937516642247</v>
      </c>
      <c r="F41" s="13">
        <f t="shared" si="10"/>
        <v>0</v>
      </c>
      <c r="G41" s="13">
        <f t="shared" si="11"/>
        <v>0.5544459303586432</v>
      </c>
      <c r="H41" s="13">
        <f t="shared" si="12"/>
        <v>0.5544459303586432</v>
      </c>
      <c r="I41" s="89">
        <f t="shared" si="18"/>
        <v>0</v>
      </c>
      <c r="J41" s="13">
        <f t="shared" si="13"/>
        <v>1.4504937516642247</v>
      </c>
      <c r="K41" s="13"/>
      <c r="L41" s="84">
        <f t="shared" si="15"/>
        <v>52.654836728937255</v>
      </c>
      <c r="M41" s="13">
        <f t="shared" si="5"/>
        <v>52.840792280996041</v>
      </c>
      <c r="N41" s="13">
        <f t="shared" si="6"/>
        <v>2047.790379908944</v>
      </c>
      <c r="O41" s="13">
        <f t="shared" si="7"/>
        <v>2018.4546037396678</v>
      </c>
      <c r="P41" s="13">
        <f t="shared" si="17"/>
        <v>0.76633377910759293</v>
      </c>
      <c r="R41">
        <v>2046</v>
      </c>
      <c r="S41" s="13">
        <v>52.294985674479278</v>
      </c>
      <c r="T41" s="13">
        <v>52.294985674479278</v>
      </c>
      <c r="U41" s="13">
        <v>52.294985674479278</v>
      </c>
      <c r="W41">
        <v>2046</v>
      </c>
      <c r="X41" s="13">
        <v>46.336651132955019</v>
      </c>
      <c r="Y41" s="13">
        <f t="shared" si="14"/>
        <v>52.294985674479278</v>
      </c>
      <c r="Z41" s="13">
        <v>55.411569266460241</v>
      </c>
      <c r="AB41" s="13">
        <f t="shared" si="0"/>
        <v>49.023955507259231</v>
      </c>
      <c r="AF41">
        <f t="shared" si="1"/>
        <v>1.1212186854637265</v>
      </c>
      <c r="AG41">
        <f t="shared" si="2"/>
        <v>1.1212186854637265</v>
      </c>
      <c r="AK41">
        <v>37</v>
      </c>
      <c r="AL41">
        <v>0</v>
      </c>
    </row>
    <row r="42" spans="1:38">
      <c r="A42">
        <v>2047</v>
      </c>
      <c r="C42" s="13">
        <f t="shared" si="16"/>
        <v>53.938162506738557</v>
      </c>
      <c r="D42" s="84">
        <f t="shared" si="9"/>
        <v>54.288306402574484</v>
      </c>
      <c r="E42" s="84">
        <f>J42-SUM(F$7:F42)</f>
        <v>1.6229728477422125</v>
      </c>
      <c r="F42" s="13">
        <f t="shared" si="10"/>
        <v>0</v>
      </c>
      <c r="G42" s="13">
        <f t="shared" si="11"/>
        <v>0.5544459303586432</v>
      </c>
      <c r="H42" s="13">
        <f t="shared" si="12"/>
        <v>0.5544459303586432</v>
      </c>
      <c r="I42" s="89">
        <f t="shared" si="18"/>
        <v>0</v>
      </c>
      <c r="J42" s="13">
        <f t="shared" si="13"/>
        <v>1.6229728477422125</v>
      </c>
      <c r="K42" s="13"/>
      <c r="L42" s="84">
        <f t="shared" si="15"/>
        <v>54.288306402574484</v>
      </c>
      <c r="M42" s="13">
        <f t="shared" si="5"/>
        <v>54.4679175370295</v>
      </c>
      <c r="N42" s="13">
        <f t="shared" si="6"/>
        <v>2048.790379908944</v>
      </c>
      <c r="O42" s="13">
        <f t="shared" si="7"/>
        <v>2018.4546037396678</v>
      </c>
      <c r="P42" s="13">
        <f t="shared" si="17"/>
        <v>0.76633377910759293</v>
      </c>
      <c r="R42">
        <v>2047</v>
      </c>
      <c r="S42" s="13">
        <v>53.938162506738557</v>
      </c>
      <c r="T42" s="13">
        <v>53.938162506738557</v>
      </c>
      <c r="U42" s="13">
        <v>53.938162506738557</v>
      </c>
      <c r="W42">
        <v>2047</v>
      </c>
      <c r="X42" s="13">
        <v>48.490516644951718</v>
      </c>
      <c r="Y42" s="13">
        <f t="shared" si="14"/>
        <v>53.938162506738557</v>
      </c>
      <c r="Z42" s="13">
        <v>56.704182507840365</v>
      </c>
      <c r="AB42" s="13">
        <f t="shared" si="0"/>
        <v>51.026777447396739</v>
      </c>
      <c r="AF42">
        <f t="shared" si="1"/>
        <v>1.2952077196200431</v>
      </c>
      <c r="AG42">
        <f t="shared" si="2"/>
        <v>1.2952077196200431</v>
      </c>
      <c r="AK42">
        <v>38</v>
      </c>
      <c r="AL42">
        <v>0</v>
      </c>
    </row>
    <row r="43" spans="1:38">
      <c r="A43">
        <v>2048</v>
      </c>
      <c r="C43" s="13">
        <f t="shared" si="16"/>
        <v>55.411569266460241</v>
      </c>
      <c r="D43" s="84">
        <f t="shared" si="9"/>
        <v>55.744942702265647</v>
      </c>
      <c r="E43" s="84">
        <f>J43-SUM(F$7:F43)</f>
        <v>1.7956165553553027</v>
      </c>
      <c r="F43" s="13">
        <f t="shared" si="10"/>
        <v>0</v>
      </c>
      <c r="G43" s="13">
        <f t="shared" si="11"/>
        <v>0.5544459303586432</v>
      </c>
      <c r="H43" s="13">
        <f t="shared" si="12"/>
        <v>0.5544459303586432</v>
      </c>
      <c r="I43" s="89">
        <f t="shared" si="18"/>
        <v>0</v>
      </c>
      <c r="J43" s="13">
        <f t="shared" si="13"/>
        <v>1.7956165553553027</v>
      </c>
      <c r="K43" s="13"/>
      <c r="L43" s="84">
        <f t="shared" si="15"/>
        <v>55.744942702265647</v>
      </c>
      <c r="M43" s="13">
        <f t="shared" si="5"/>
        <v>55.914740872004735</v>
      </c>
      <c r="N43" s="13">
        <f t="shared" si="6"/>
        <v>2049.790379908944</v>
      </c>
      <c r="O43" s="13">
        <f t="shared" si="7"/>
        <v>2018.4546037396678</v>
      </c>
      <c r="P43" s="13">
        <f t="shared" si="17"/>
        <v>0.76633377910759293</v>
      </c>
      <c r="R43">
        <v>2048</v>
      </c>
      <c r="S43" s="13">
        <v>55.411569266460241</v>
      </c>
      <c r="T43" s="13">
        <v>55.411569266460241</v>
      </c>
      <c r="U43" s="13">
        <v>55.411569266460241</v>
      </c>
      <c r="W43">
        <v>2048</v>
      </c>
      <c r="X43" s="13">
        <v>50.478730135544659</v>
      </c>
      <c r="Y43" s="13">
        <f t="shared" si="14"/>
        <v>55.411569266460241</v>
      </c>
      <c r="Z43" s="13">
        <v>57.810184381379663</v>
      </c>
      <c r="AB43" s="13">
        <f t="shared" si="0"/>
        <v>52.840792280996041</v>
      </c>
      <c r="AF43">
        <f t="shared" si="1"/>
        <v>1.4691967537763606</v>
      </c>
      <c r="AG43">
        <f t="shared" si="2"/>
        <v>1.4691967537763606</v>
      </c>
      <c r="AK43">
        <v>39</v>
      </c>
      <c r="AL43">
        <v>0</v>
      </c>
    </row>
    <row r="44" spans="1:38">
      <c r="A44">
        <v>2049</v>
      </c>
      <c r="C44" s="13">
        <f t="shared" si="16"/>
        <v>56.704182507840365</v>
      </c>
      <c r="D44" s="84">
        <f t="shared" si="9"/>
        <v>57.033659033996265</v>
      </c>
      <c r="E44" s="84">
        <f>J44-SUM(F$7:F44)</f>
        <v>1.9684163164156323</v>
      </c>
      <c r="F44" s="13">
        <f t="shared" si="10"/>
        <v>0</v>
      </c>
      <c r="G44" s="13">
        <f t="shared" si="11"/>
        <v>0.5544459303586432</v>
      </c>
      <c r="H44" s="13">
        <f t="shared" si="12"/>
        <v>0.5544459303586432</v>
      </c>
      <c r="I44" s="89">
        <f t="shared" si="18"/>
        <v>0</v>
      </c>
      <c r="J44" s="13">
        <f t="shared" si="13"/>
        <v>1.9684163164156323</v>
      </c>
      <c r="K44" s="13"/>
      <c r="L44" s="84">
        <f t="shared" si="15"/>
        <v>57.033659033996273</v>
      </c>
      <c r="M44" s="13">
        <f t="shared" si="5"/>
        <v>57.191303875445435</v>
      </c>
      <c r="N44" s="13">
        <f t="shared" si="6"/>
        <v>2050.790379908944</v>
      </c>
      <c r="O44" s="13">
        <f t="shared" si="7"/>
        <v>2018.4546037396678</v>
      </c>
      <c r="P44" s="13">
        <f t="shared" si="17"/>
        <v>0.76633377910759293</v>
      </c>
      <c r="R44">
        <v>2049</v>
      </c>
      <c r="S44" s="13">
        <v>56.704182507840365</v>
      </c>
      <c r="T44" s="13">
        <v>56.704182507840365</v>
      </c>
      <c r="U44" s="13">
        <v>56.704182507840365</v>
      </c>
      <c r="W44">
        <v>2049</v>
      </c>
      <c r="X44" s="13">
        <v>52.294985674479278</v>
      </c>
      <c r="Y44" s="13">
        <f t="shared" si="14"/>
        <v>56.704182507840365</v>
      </c>
      <c r="Z44" s="13">
        <v>58.727767092221725</v>
      </c>
      <c r="AB44" s="13">
        <f t="shared" si="0"/>
        <v>54.4679175370295</v>
      </c>
      <c r="AF44">
        <f t="shared" si="1"/>
        <v>1.6431857879326772</v>
      </c>
      <c r="AG44">
        <f t="shared" si="2"/>
        <v>1.6431857879326772</v>
      </c>
      <c r="AK44">
        <v>40</v>
      </c>
      <c r="AL44">
        <v>0</v>
      </c>
    </row>
    <row r="45" spans="1:38">
      <c r="A45">
        <v>2050</v>
      </c>
      <c r="C45" s="13">
        <f t="shared" si="16"/>
        <v>57.810184381379663</v>
      </c>
      <c r="D45" s="84">
        <f t="shared" si="9"/>
        <v>58.165819614313492</v>
      </c>
      <c r="E45" s="84">
        <f>J45-SUM(F$7:F45)</f>
        <v>2.1413613416887607</v>
      </c>
      <c r="F45" s="13">
        <f t="shared" si="10"/>
        <v>0</v>
      </c>
      <c r="G45" s="13">
        <f t="shared" si="11"/>
        <v>0.5544459303586432</v>
      </c>
      <c r="H45" s="13">
        <f t="shared" si="12"/>
        <v>0.5544459303586432</v>
      </c>
      <c r="I45" s="89">
        <f t="shared" si="18"/>
        <v>0</v>
      </c>
      <c r="J45" s="13">
        <f t="shared" si="13"/>
        <v>2.1413613416887607</v>
      </c>
      <c r="K45" s="13"/>
      <c r="L45" s="84">
        <f t="shared" si="15"/>
        <v>58.165819614313492</v>
      </c>
      <c r="M45" s="13">
        <f t="shared" si="5"/>
        <v>58.309958945852529</v>
      </c>
      <c r="N45" s="13">
        <f t="shared" si="6"/>
        <v>2051.790379908944</v>
      </c>
      <c r="O45" s="13">
        <f t="shared" si="7"/>
        <v>2018.4546037396678</v>
      </c>
      <c r="P45" s="13">
        <f t="shared" si="17"/>
        <v>0.76633377910759293</v>
      </c>
      <c r="R45">
        <v>2050</v>
      </c>
      <c r="S45" s="13">
        <v>57.810184381379663</v>
      </c>
      <c r="T45" s="13">
        <v>57.810184381379663</v>
      </c>
      <c r="U45" s="13">
        <v>57.810184381379663</v>
      </c>
      <c r="W45">
        <v>2050</v>
      </c>
      <c r="X45" s="13">
        <v>53.938162506738557</v>
      </c>
      <c r="Y45" s="13">
        <f t="shared" si="14"/>
        <v>57.810184381379663</v>
      </c>
      <c r="Z45" s="13">
        <v>59.458068365245531</v>
      </c>
      <c r="AB45" s="13">
        <f t="shared" si="0"/>
        <v>55.914740872004735</v>
      </c>
      <c r="AF45">
        <f t="shared" si="1"/>
        <v>1.8171748220889947</v>
      </c>
      <c r="AG45">
        <f t="shared" si="2"/>
        <v>1.8171748220889947</v>
      </c>
      <c r="AK45">
        <v>41</v>
      </c>
      <c r="AL45">
        <v>0</v>
      </c>
    </row>
    <row r="46" spans="1:38">
      <c r="A46">
        <v>2051</v>
      </c>
      <c r="C46" s="20">
        <f t="shared" si="16"/>
        <v>59.340426271843057</v>
      </c>
      <c r="D46" s="84">
        <f t="shared" si="9"/>
        <v>59.154281762598991</v>
      </c>
      <c r="E46" s="84">
        <f>J46-SUM(F$7:F46)</f>
        <v>2.3144395079889928</v>
      </c>
      <c r="F46" s="13">
        <f t="shared" si="10"/>
        <v>0</v>
      </c>
      <c r="G46" s="13">
        <f t="shared" si="11"/>
        <v>0.5544459303586432</v>
      </c>
      <c r="H46" s="13">
        <f t="shared" si="12"/>
        <v>0.5544459303586432</v>
      </c>
      <c r="I46" s="89">
        <f t="shared" si="18"/>
        <v>0</v>
      </c>
      <c r="J46" s="13">
        <f t="shared" si="13"/>
        <v>2.3144395079889928</v>
      </c>
      <c r="K46" s="13"/>
      <c r="L46" s="84">
        <f t="shared" si="15"/>
        <v>59.154281762598998</v>
      </c>
      <c r="M46" s="13">
        <f t="shared" si="5"/>
        <v>59.284373939649193</v>
      </c>
      <c r="N46" s="13">
        <f t="shared" si="6"/>
        <v>2052.790379908944</v>
      </c>
      <c r="O46" s="13">
        <f t="shared" si="7"/>
        <v>2018.4546037396678</v>
      </c>
      <c r="P46" s="13">
        <f t="shared" si="17"/>
        <v>0.76633377910759293</v>
      </c>
      <c r="AB46" s="13">
        <f t="shared" si="0"/>
        <v>57.191303875445435</v>
      </c>
      <c r="AF46">
        <f t="shared" si="1"/>
        <v>1.9911638562453122</v>
      </c>
      <c r="AG46">
        <f t="shared" si="2"/>
        <v>1.9911638562453122</v>
      </c>
      <c r="AK46">
        <v>42</v>
      </c>
      <c r="AL46">
        <v>0</v>
      </c>
    </row>
    <row r="47" spans="1:38">
      <c r="A47">
        <v>2052</v>
      </c>
      <c r="C47" s="20">
        <f t="shared" si="16"/>
        <v>60.662577282821189</v>
      </c>
      <c r="D47" s="84">
        <f t="shared" si="9"/>
        <v>59.887431310196384</v>
      </c>
      <c r="E47" s="84">
        <f>J47-SUM(F$7:F47)</f>
        <v>2.4607646982908622</v>
      </c>
      <c r="F47" s="13">
        <f t="shared" si="10"/>
        <v>0</v>
      </c>
      <c r="G47" s="13">
        <f t="shared" si="11"/>
        <v>0.5544459303586432</v>
      </c>
      <c r="H47" s="13">
        <f t="shared" si="12"/>
        <v>0.5544459303586432</v>
      </c>
      <c r="I47" s="89">
        <f t="shared" si="18"/>
        <v>0</v>
      </c>
      <c r="J47" s="13">
        <f t="shared" si="13"/>
        <v>2.4607646982908622</v>
      </c>
      <c r="K47" s="13"/>
      <c r="L47" s="84">
        <f t="shared" si="15"/>
        <v>59.887431310196384</v>
      </c>
      <c r="M47" s="13">
        <f t="shared" si="5"/>
        <v>60.128720438615574</v>
      </c>
      <c r="N47" s="13">
        <f t="shared" si="6"/>
        <v>2053.790379908944</v>
      </c>
      <c r="O47" s="13">
        <f t="shared" si="7"/>
        <v>2018.4546037396678</v>
      </c>
      <c r="P47" s="13">
        <f t="shared" si="17"/>
        <v>0.76633377910759293</v>
      </c>
      <c r="AB47" s="13">
        <f t="shared" si="0"/>
        <v>58.309958945852529</v>
      </c>
      <c r="AF47">
        <f t="shared" si="1"/>
        <v>2.1651528904016288</v>
      </c>
      <c r="AG47">
        <f t="shared" si="2"/>
        <v>2.1651528904016288</v>
      </c>
      <c r="AK47">
        <v>43</v>
      </c>
      <c r="AL47">
        <v>0</v>
      </c>
    </row>
    <row r="48" spans="1:38">
      <c r="A48">
        <v>2053</v>
      </c>
      <c r="C48" s="20">
        <f t="shared" si="16"/>
        <v>61.267396990958673</v>
      </c>
      <c r="D48" s="84">
        <f t="shared" si="9"/>
        <v>60.396849843712332</v>
      </c>
      <c r="E48" s="84">
        <f>J48-SUM(F$7:F48)</f>
        <v>2.5741960629757834</v>
      </c>
      <c r="F48" s="13">
        <f t="shared" si="10"/>
        <v>0</v>
      </c>
      <c r="G48" s="13">
        <f t="shared" si="11"/>
        <v>0.5544459303586432</v>
      </c>
      <c r="H48" s="13">
        <f t="shared" si="12"/>
        <v>0.5544459303586432</v>
      </c>
      <c r="I48" s="89">
        <f t="shared" si="18"/>
        <v>0</v>
      </c>
      <c r="J48" s="13">
        <f>LN(L48/(65-L48))</f>
        <v>2.5741960629757834</v>
      </c>
      <c r="K48" s="13"/>
      <c r="L48" s="84">
        <f t="shared" si="15"/>
        <v>60.396849843712332</v>
      </c>
      <c r="M48" s="13">
        <f t="shared" si="5"/>
        <v>60.857051613432304</v>
      </c>
      <c r="N48" s="13">
        <f t="shared" si="6"/>
        <v>2054.790379908944</v>
      </c>
      <c r="O48" s="13">
        <f t="shared" si="7"/>
        <v>2018.4546037396678</v>
      </c>
      <c r="P48" s="13">
        <f t="shared" si="17"/>
        <v>0.76633377910759293</v>
      </c>
      <c r="AB48" s="13">
        <f t="shared" si="0"/>
        <v>59.284373939649193</v>
      </c>
      <c r="AF48">
        <f t="shared" si="1"/>
        <v>2.3391419245579463</v>
      </c>
      <c r="AG48">
        <f t="shared" si="2"/>
        <v>2.3391419245579463</v>
      </c>
      <c r="AK48">
        <v>44</v>
      </c>
      <c r="AL48">
        <v>0</v>
      </c>
    </row>
    <row r="49" spans="1:38">
      <c r="A49">
        <v>2054</v>
      </c>
      <c r="C49" s="20">
        <f t="shared" si="16"/>
        <v>61.887712466287709</v>
      </c>
      <c r="D49" s="84">
        <f t="shared" si="9"/>
        <v>64.999999635818241</v>
      </c>
      <c r="E49" s="84">
        <f>J49-SUM(F$7:F49)</f>
        <v>19</v>
      </c>
      <c r="F49" s="13">
        <f t="shared" si="10"/>
        <v>0</v>
      </c>
      <c r="G49" s="13">
        <f t="shared" si="11"/>
        <v>0.5544459303586432</v>
      </c>
      <c r="H49" s="13">
        <f t="shared" si="12"/>
        <v>0.5544459303586432</v>
      </c>
      <c r="I49" s="89">
        <f t="shared" si="18"/>
        <v>0</v>
      </c>
      <c r="J49" s="13">
        <v>19</v>
      </c>
      <c r="K49" s="13"/>
      <c r="L49" s="84">
        <f>AVERAGE(M45:M50)</f>
        <v>60.049034694069036</v>
      </c>
      <c r="M49" s="13">
        <f t="shared" si="5"/>
        <v>60.857051613432304</v>
      </c>
      <c r="N49" s="13">
        <f t="shared" si="6"/>
        <v>2055.790379908944</v>
      </c>
      <c r="O49" s="13">
        <f t="shared" si="7"/>
        <v>2018.4546037396678</v>
      </c>
      <c r="P49" s="13">
        <f t="shared" si="17"/>
        <v>0.76633377910759293</v>
      </c>
      <c r="AB49" s="13">
        <f t="shared" si="0"/>
        <v>60.128720438615574</v>
      </c>
      <c r="AF49">
        <f t="shared" si="1"/>
        <v>2.513130958714263</v>
      </c>
      <c r="AG49">
        <f t="shared" si="2"/>
        <v>2.513130958714263</v>
      </c>
      <c r="AK49">
        <v>45</v>
      </c>
      <c r="AL49">
        <v>0</v>
      </c>
    </row>
    <row r="50" spans="1:38">
      <c r="A50">
        <v>2055</v>
      </c>
      <c r="C50" s="20">
        <f t="shared" si="16"/>
        <v>62.571070142209884</v>
      </c>
      <c r="D50" s="84">
        <f>65*EXP(E50)/(1+EXP(E50))</f>
        <v>64.999999779112585</v>
      </c>
      <c r="E50" s="84">
        <f>J50-SUM(F$7:F50)</f>
        <v>19.5</v>
      </c>
      <c r="F50" s="13">
        <f t="shared" si="10"/>
        <v>0</v>
      </c>
      <c r="G50" s="13">
        <f t="shared" si="11"/>
        <v>0.5544459303586432</v>
      </c>
      <c r="H50" s="13">
        <f t="shared" si="12"/>
        <v>0.5544459303586432</v>
      </c>
      <c r="I50" s="89">
        <f t="shared" si="18"/>
        <v>0</v>
      </c>
      <c r="J50" s="13">
        <v>19.5</v>
      </c>
      <c r="K50" s="13"/>
      <c r="L50" s="84">
        <f>AVERAGE(M45:M50)</f>
        <v>60.049034694069036</v>
      </c>
      <c r="M50" s="13">
        <f t="shared" si="5"/>
        <v>60.857051613432304</v>
      </c>
      <c r="N50" s="13">
        <f t="shared" si="6"/>
        <v>2056.790379908944</v>
      </c>
      <c r="O50" s="13">
        <f t="shared" si="7"/>
        <v>2018.4546037396678</v>
      </c>
      <c r="P50" s="13">
        <f t="shared" si="17"/>
        <v>0.76633377910759293</v>
      </c>
      <c r="AB50" s="13">
        <f t="shared" si="0"/>
        <v>60.857051613432304</v>
      </c>
      <c r="AF50">
        <f t="shared" si="1"/>
        <v>2.6871199928705805</v>
      </c>
      <c r="AG50">
        <f t="shared" si="2"/>
        <v>2.6871199928705805</v>
      </c>
      <c r="AK50">
        <v>46</v>
      </c>
      <c r="AL50">
        <v>0</v>
      </c>
    </row>
    <row r="56" spans="1:38">
      <c r="L56" s="41" t="str">
        <f>' All EV uptake'!D46</f>
        <v>Intercept</v>
      </c>
      <c r="M56" s="41">
        <f>' All EV uptake'!E46</f>
        <v>2006.0956444042549</v>
      </c>
      <c r="AB56" s="41" t="s">
        <v>159</v>
      </c>
      <c r="AC56" s="41">
        <v>-5.3163755783200068</v>
      </c>
    </row>
    <row r="57" spans="1:38">
      <c r="L57" s="41" t="str">
        <f>' All EV uptake'!D47</f>
        <v>EV/FFV cost ratio</v>
      </c>
      <c r="M57" s="41">
        <f>' All EV uptake'!E47</f>
        <v>10.783904112355547</v>
      </c>
      <c r="AB57" t="s">
        <v>329</v>
      </c>
      <c r="AC57" s="41">
        <v>0.17398903415631711</v>
      </c>
    </row>
    <row r="58" spans="1:38" ht="15.75" thickBot="1">
      <c r="L58" s="41" t="str">
        <f>' All EV uptake'!D48</f>
        <v>dumKorea</v>
      </c>
      <c r="M58" s="41">
        <f>' All EV uptake'!E48</f>
        <v>3.2747008164932261</v>
      </c>
      <c r="AB58" t="s">
        <v>1330</v>
      </c>
      <c r="AC58" s="42">
        <v>-0.57706903383333108</v>
      </c>
      <c r="AD58" s="42"/>
    </row>
    <row r="59" spans="1:38">
      <c r="L59" s="41" t="str">
        <f>' All EV uptake'!D49</f>
        <v>dumUK</v>
      </c>
      <c r="M59" s="41">
        <f>' All EV uptake'!E49</f>
        <v>2.7276845521810786</v>
      </c>
    </row>
    <row r="60" spans="1:38">
      <c r="L60" s="41" t="str">
        <f>' All EV uptake'!D50</f>
        <v>dumNeth</v>
      </c>
      <c r="M60" s="41">
        <f>' All EV uptake'!E50</f>
        <v>-1.2544269368470402</v>
      </c>
    </row>
    <row r="61" spans="1:38">
      <c r="L61" s="41" t="str">
        <f>' All EV uptake'!D51</f>
        <v>dumChina</v>
      </c>
      <c r="M61" s="41">
        <f>' All EV uptake'!E51</f>
        <v>1.6840641661301363</v>
      </c>
    </row>
    <row r="62" spans="1:38">
      <c r="L62" s="41" t="str">
        <f>' All EV uptake'!D52</f>
        <v>dumDenmark</v>
      </c>
      <c r="M62" s="41">
        <f>' All EV uptake'!E52</f>
        <v>3.2654872236791634</v>
      </c>
    </row>
    <row r="63" spans="1:38">
      <c r="L63" s="41" t="str">
        <f>' All EV uptake'!D53</f>
        <v>dumIreland</v>
      </c>
      <c r="M63" s="41">
        <f>' All EV uptake'!E53</f>
        <v>3.5582490934682056</v>
      </c>
    </row>
    <row r="64" spans="1:38">
      <c r="L64" s="41" t="str">
        <f>' All EV uptake'!D54</f>
        <v>dumNZ</v>
      </c>
      <c r="M64" s="41">
        <f>' All EV uptake'!E54</f>
        <v>1.900474768762227</v>
      </c>
    </row>
    <row r="65" spans="12:13">
      <c r="L65" s="41" t="str">
        <f>' All EV uptake'!D55</f>
        <v>dumSwitzerland</v>
      </c>
      <c r="M65" s="41">
        <f>' All EV uptake'!E55</f>
        <v>-2.1041729879229703</v>
      </c>
    </row>
    <row r="66" spans="12:13">
      <c r="L66" s="41" t="str">
        <f>' All EV uptake'!D56</f>
        <v>dumSpain</v>
      </c>
      <c r="M66" s="41">
        <f>' All EV uptake'!E56</f>
        <v>4.4168133039283006</v>
      </c>
    </row>
    <row r="67" spans="12:13">
      <c r="L67" s="41" t="str">
        <f>' All EV uptake'!D57</f>
        <v>dumIndia</v>
      </c>
      <c r="M67" s="41">
        <f>' All EV uptake'!E57</f>
        <v>8.3918907463589623</v>
      </c>
    </row>
    <row r="68" spans="12:13">
      <c r="L68" s="41" t="str">
        <f>' All EV uptake'!D58</f>
        <v>dumUSA</v>
      </c>
      <c r="M68" s="41">
        <f>' All EV uptake'!E58</f>
        <v>2.1386885311349126</v>
      </c>
    </row>
    <row r="69" spans="12:13">
      <c r="L69" s="41" t="str">
        <f>' All EV uptake'!D59</f>
        <v>dumAustria</v>
      </c>
      <c r="M69" s="41">
        <f>' All EV uptake'!E59</f>
        <v>-0.86657486911619475</v>
      </c>
    </row>
    <row r="70" spans="12:13">
      <c r="L70" s="41" t="str">
        <f>' All EV uptake'!D60</f>
        <v>dumItaly</v>
      </c>
      <c r="M70" s="41">
        <f>' All EV uptake'!E60</f>
        <v>2.0513905871244105</v>
      </c>
    </row>
    <row r="71" spans="12:13">
      <c r="L71" s="41" t="str">
        <f>' All EV uptake'!D61</f>
        <v>dumJapan</v>
      </c>
      <c r="M71" s="41">
        <f>' All EV uptake'!E61</f>
        <v>4.0948893434577212</v>
      </c>
    </row>
  </sheetData>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40"/>
  <sheetViews>
    <sheetView topLeftCell="A85" zoomScale="75" zoomScaleNormal="75" workbookViewId="0">
      <selection activeCell="P120" sqref="P120:AC140"/>
    </sheetView>
  </sheetViews>
  <sheetFormatPr defaultRowHeight="15"/>
  <cols>
    <col min="2" max="2" width="12.28515625" customWidth="1"/>
    <col min="6" max="6" width="10.85546875" customWidth="1"/>
    <col min="7" max="7" width="18.28515625" customWidth="1"/>
    <col min="8" max="8" width="16.5703125" customWidth="1"/>
    <col min="9" max="9" width="14.28515625" customWidth="1"/>
    <col min="10" max="10" width="11" customWidth="1"/>
    <col min="12" max="12" width="18.28515625" customWidth="1"/>
  </cols>
  <sheetData>
    <row r="1" spans="1:38">
      <c r="A1" t="s">
        <v>5</v>
      </c>
      <c r="B1" t="s">
        <v>1395</v>
      </c>
      <c r="C1" t="s">
        <v>674</v>
      </c>
      <c r="D1" t="s">
        <v>498</v>
      </c>
      <c r="E1" t="s">
        <v>674</v>
      </c>
      <c r="F1" t="s">
        <v>674</v>
      </c>
      <c r="H1" t="s">
        <v>674</v>
      </c>
      <c r="I1" t="s">
        <v>674</v>
      </c>
      <c r="J1" t="s">
        <v>674</v>
      </c>
      <c r="L1" t="s">
        <v>674</v>
      </c>
      <c r="O1" t="s">
        <v>674</v>
      </c>
      <c r="P1" t="s">
        <v>674</v>
      </c>
      <c r="Q1" t="s">
        <v>674</v>
      </c>
      <c r="U1" t="s">
        <v>730</v>
      </c>
      <c r="V1" s="33" t="s">
        <v>715</v>
      </c>
      <c r="W1" s="87" t="s">
        <v>1181</v>
      </c>
      <c r="X1" s="87" t="s">
        <v>1181</v>
      </c>
      <c r="Y1" s="87" t="s">
        <v>1181</v>
      </c>
      <c r="AB1" t="s">
        <v>747</v>
      </c>
    </row>
    <row r="2" spans="1:38">
      <c r="B2" t="s">
        <v>710</v>
      </c>
      <c r="C2" t="s">
        <v>710</v>
      </c>
      <c r="D2" t="s">
        <v>714</v>
      </c>
      <c r="E2" t="s">
        <v>728</v>
      </c>
      <c r="F2" t="s">
        <v>269</v>
      </c>
      <c r="G2" t="s">
        <v>791</v>
      </c>
      <c r="H2" t="s">
        <v>750</v>
      </c>
      <c r="I2" t="s">
        <v>755</v>
      </c>
      <c r="J2" t="s">
        <v>269</v>
      </c>
      <c r="L2" t="s">
        <v>907</v>
      </c>
      <c r="O2" t="s">
        <v>269</v>
      </c>
      <c r="P2" t="s">
        <v>717</v>
      </c>
      <c r="Q2" t="s">
        <v>725</v>
      </c>
      <c r="V2" s="33"/>
      <c r="W2" s="87" t="s">
        <v>338</v>
      </c>
      <c r="X2" s="87" t="s">
        <v>1182</v>
      </c>
      <c r="Y2" s="87" t="s">
        <v>1183</v>
      </c>
      <c r="AC2" t="s">
        <v>779</v>
      </c>
      <c r="AD2" t="s">
        <v>780</v>
      </c>
      <c r="AG2" t="s">
        <v>850</v>
      </c>
    </row>
    <row r="3" spans="1:38">
      <c r="A3">
        <v>2009</v>
      </c>
      <c r="B3" s="3">
        <f>X3</f>
        <v>29.592572886961211</v>
      </c>
      <c r="C3" s="3">
        <f t="shared" ref="C3:C24" si="0">B3*AC3*1000</f>
        <v>2768980.0042902487</v>
      </c>
      <c r="D3" s="33">
        <v>5</v>
      </c>
      <c r="E3" s="61">
        <f t="shared" ref="E3:E12" si="1">D3/100*C3</f>
        <v>138449.00021451243</v>
      </c>
      <c r="F3" s="3">
        <f t="shared" ref="F3:F12" si="2">C3+E3</f>
        <v>2907429.0045047612</v>
      </c>
      <c r="G3" s="3">
        <f>-('Japan data'!P45+'Japan data'!R45)*AG$11/AG3</f>
        <v>-225733.9548532184</v>
      </c>
      <c r="H3" s="3">
        <v>-100000</v>
      </c>
      <c r="I3" s="3">
        <f>Austria!I3/AD3*AC3</f>
        <v>188480.57855114472</v>
      </c>
      <c r="J3" s="3">
        <f>F3+G3+H3+I3</f>
        <v>2770175.6282026875</v>
      </c>
      <c r="L3" s="15">
        <f>L4*AG4/AG3</f>
        <v>26382.098589382233</v>
      </c>
      <c r="N3">
        <v>2009</v>
      </c>
      <c r="O3" s="3">
        <f>J3</f>
        <v>2770175.6282026875</v>
      </c>
      <c r="P3" s="3">
        <f>J28</f>
        <v>2800273.4888497833</v>
      </c>
      <c r="Q3" s="3">
        <f>F53</f>
        <v>2259717.915</v>
      </c>
      <c r="T3">
        <v>2009</v>
      </c>
      <c r="U3" s="3">
        <f>'Vehicle price'!X5</f>
        <v>23</v>
      </c>
      <c r="V3">
        <v>1</v>
      </c>
      <c r="W3" s="3">
        <f t="shared" ref="W3:W24" si="3">X3*V3</f>
        <v>29.592572886961211</v>
      </c>
      <c r="X3" s="3">
        <f>'Vehicle price'!T5</f>
        <v>29.592572886961211</v>
      </c>
      <c r="Y3" s="3">
        <f>X3*Z3</f>
        <v>29.592572886961211</v>
      </c>
      <c r="Z3">
        <v>1</v>
      </c>
      <c r="AB3">
        <v>2009</v>
      </c>
      <c r="AC3">
        <v>93.570099999999996</v>
      </c>
      <c r="AD3">
        <v>0.71984416666666673</v>
      </c>
      <c r="AF3">
        <v>2009</v>
      </c>
      <c r="AG3" s="13">
        <f>CPIs!N48</f>
        <v>100.70263491143076</v>
      </c>
    </row>
    <row r="4" spans="1:38">
      <c r="A4">
        <v>2010</v>
      </c>
      <c r="B4" s="3">
        <f t="shared" ref="B4:B24" si="4">X4</f>
        <v>30</v>
      </c>
      <c r="C4" s="3">
        <f t="shared" si="0"/>
        <v>2612774.36069316</v>
      </c>
      <c r="D4" s="33">
        <v>5</v>
      </c>
      <c r="E4" s="61">
        <f t="shared" si="1"/>
        <v>130638.718034658</v>
      </c>
      <c r="F4" s="3">
        <f t="shared" si="2"/>
        <v>2743413.0787278181</v>
      </c>
      <c r="G4" s="3">
        <f>-('Japan data'!P46+'Japan data'!R46)*AG$11/AG4</f>
        <v>-209520.56053764906</v>
      </c>
      <c r="H4" s="3">
        <v>-100000</v>
      </c>
      <c r="I4" s="3">
        <f>Austria!I4/AD4*AC4</f>
        <v>166454.29362880887</v>
      </c>
      <c r="J4" s="3">
        <f t="shared" ref="J4:J24" si="5">F4+G4+H4+I4</f>
        <v>2600346.8118189783</v>
      </c>
      <c r="L4" s="15">
        <f>L5*AG5/AG4</f>
        <v>26567.468424439314</v>
      </c>
      <c r="N4">
        <v>2010</v>
      </c>
      <c r="O4" s="3">
        <f t="shared" ref="O4:O12" si="6">J4</f>
        <v>2600346.8118189783</v>
      </c>
      <c r="P4" s="3">
        <f t="shared" ref="P4:P12" si="7">J29</f>
        <v>2628282.8865573313</v>
      </c>
      <c r="Q4" s="3">
        <f t="shared" ref="Q4:Q24" si="8">F54</f>
        <v>2103283.3603579937</v>
      </c>
      <c r="T4">
        <v>2010</v>
      </c>
      <c r="U4" s="3">
        <f>'Vehicle price'!X6</f>
        <v>23</v>
      </c>
      <c r="V4">
        <v>1</v>
      </c>
      <c r="W4" s="3">
        <f t="shared" si="3"/>
        <v>30</v>
      </c>
      <c r="X4" s="3">
        <f>'Vehicle price'!T6</f>
        <v>30</v>
      </c>
      <c r="Y4" s="3">
        <f t="shared" ref="Y4:Y24" si="9">X4*Z4</f>
        <v>30</v>
      </c>
      <c r="Z4">
        <v>1</v>
      </c>
      <c r="AB4">
        <v>2010</v>
      </c>
      <c r="AC4">
        <v>87.092478689771994</v>
      </c>
      <c r="AD4">
        <v>0.75867129256384003</v>
      </c>
      <c r="AF4">
        <v>2010</v>
      </c>
      <c r="AG4" s="13">
        <f>CPIs!N49</f>
        <v>100</v>
      </c>
    </row>
    <row r="5" spans="1:38">
      <c r="A5">
        <v>2011</v>
      </c>
      <c r="B5" s="3">
        <f t="shared" si="4"/>
        <v>30</v>
      </c>
      <c r="C5" s="3">
        <f t="shared" si="0"/>
        <v>2388065.4382972592</v>
      </c>
      <c r="D5" s="33">
        <v>5</v>
      </c>
      <c r="E5" s="61">
        <f t="shared" si="1"/>
        <v>119403.27191486297</v>
      </c>
      <c r="F5" s="3">
        <f t="shared" si="2"/>
        <v>2507468.7102121222</v>
      </c>
      <c r="G5" s="3">
        <f>-('Japan data'!P47+'Japan data'!R47)*AG$11/AG5</f>
        <v>-213110.09721088779</v>
      </c>
      <c r="H5" s="3">
        <v>-100000</v>
      </c>
      <c r="I5" s="3">
        <f>Austria!I5/AD5*AC5</f>
        <v>161331.46790531088</v>
      </c>
      <c r="J5" s="3">
        <f t="shared" si="5"/>
        <v>2355690.0809065453</v>
      </c>
      <c r="L5" s="3">
        <f>('Japan data'!W47)*AG$11/AG5</f>
        <v>26638.762151360974</v>
      </c>
      <c r="N5">
        <v>2011</v>
      </c>
      <c r="O5" s="3">
        <f t="shared" si="6"/>
        <v>2355690.0809065453</v>
      </c>
      <c r="P5" s="3">
        <f t="shared" si="7"/>
        <v>2395648.2241335865</v>
      </c>
      <c r="Q5" s="3">
        <f t="shared" si="8"/>
        <v>1922392.6778292938</v>
      </c>
      <c r="T5">
        <v>2011</v>
      </c>
      <c r="U5" s="3">
        <f>'Vehicle price'!X7</f>
        <v>23</v>
      </c>
      <c r="V5">
        <v>1</v>
      </c>
      <c r="W5" s="3">
        <f t="shared" si="3"/>
        <v>30</v>
      </c>
      <c r="X5" s="3">
        <f>'Vehicle price'!T7</f>
        <v>30</v>
      </c>
      <c r="Y5" s="3">
        <f t="shared" si="9"/>
        <v>30</v>
      </c>
      <c r="Z5">
        <v>1</v>
      </c>
      <c r="AB5">
        <v>2011</v>
      </c>
      <c r="AC5">
        <v>79.602181276575308</v>
      </c>
      <c r="AD5">
        <v>0.71544109992713056</v>
      </c>
      <c r="AF5">
        <v>2011</v>
      </c>
      <c r="AG5" s="13">
        <f>CPIs!N50</f>
        <v>99.732368469238281</v>
      </c>
    </row>
    <row r="6" spans="1:38">
      <c r="A6">
        <v>2012</v>
      </c>
      <c r="B6" s="3">
        <f t="shared" si="4"/>
        <v>30.842462459493706</v>
      </c>
      <c r="C6" s="3">
        <f t="shared" si="0"/>
        <v>2465492.6830642191</v>
      </c>
      <c r="D6" s="33">
        <v>5</v>
      </c>
      <c r="E6" s="61">
        <f t="shared" si="1"/>
        <v>123274.63415321097</v>
      </c>
      <c r="F6" s="3">
        <f t="shared" si="2"/>
        <v>2588767.3172174301</v>
      </c>
      <c r="G6" s="3">
        <f>-('Japan data'!P48+'Japan data'!R48)*AG$11/AG6</f>
        <v>-185835.82034498395</v>
      </c>
      <c r="H6" s="3">
        <v>-100000</v>
      </c>
      <c r="I6" s="3">
        <f>Austria!I6/AD6*AC6</f>
        <v>149774.58995161272</v>
      </c>
      <c r="J6" s="3">
        <f t="shared" si="5"/>
        <v>2452706.0868240586</v>
      </c>
      <c r="L6" s="3">
        <f>('Japan data'!W48)*AG$11/AG6</f>
        <v>26547.974334997733</v>
      </c>
      <c r="N6">
        <v>2012</v>
      </c>
      <c r="O6" s="3">
        <f t="shared" si="6"/>
        <v>2452706.0868240586</v>
      </c>
      <c r="P6" s="3">
        <f t="shared" si="7"/>
        <v>2465980.0739915576</v>
      </c>
      <c r="Q6" s="3">
        <f t="shared" si="8"/>
        <v>1930508.9006495068</v>
      </c>
      <c r="T6">
        <v>2012</v>
      </c>
      <c r="U6" s="3">
        <f>'Vehicle price'!X8</f>
        <v>23</v>
      </c>
      <c r="V6">
        <v>1</v>
      </c>
      <c r="W6" s="3">
        <f t="shared" si="3"/>
        <v>30.842462459493706</v>
      </c>
      <c r="X6" s="3">
        <f>'Vehicle price'!T8</f>
        <v>30.842462459493706</v>
      </c>
      <c r="Y6" s="3">
        <f t="shared" si="9"/>
        <v>30.842462459493706</v>
      </c>
      <c r="Z6">
        <v>1</v>
      </c>
      <c r="AB6">
        <v>2012</v>
      </c>
      <c r="AC6">
        <v>79.938256755673166</v>
      </c>
      <c r="AD6">
        <v>0.773899446716382</v>
      </c>
      <c r="AF6">
        <v>2012</v>
      </c>
      <c r="AG6" s="13">
        <f>CPIs!N51</f>
        <v>99.680564880371094</v>
      </c>
    </row>
    <row r="7" spans="1:38">
      <c r="A7">
        <v>2013</v>
      </c>
      <c r="B7" s="3">
        <f t="shared" si="4"/>
        <v>31.143929334439989</v>
      </c>
      <c r="C7" s="3">
        <f t="shared" si="0"/>
        <v>3042321.6556300004</v>
      </c>
      <c r="D7" s="33">
        <v>5</v>
      </c>
      <c r="E7" s="61">
        <f t="shared" si="1"/>
        <v>152116.08278150004</v>
      </c>
      <c r="F7" s="3">
        <f t="shared" si="2"/>
        <v>3194437.7384115006</v>
      </c>
      <c r="G7" s="3">
        <f>-('Japan data'!P49+'Japan data'!R49)*AG$11/AG7</f>
        <v>-428449.7129304292</v>
      </c>
      <c r="H7" s="3">
        <f t="shared" ref="H7:H24" si="10">-0.25*C7</f>
        <v>-760580.4139075001</v>
      </c>
      <c r="I7" s="3">
        <f>Austria!I7/AD7*AC7</f>
        <v>188440.0549678969</v>
      </c>
      <c r="J7" s="3">
        <f t="shared" si="5"/>
        <v>2193847.6665414684</v>
      </c>
      <c r="L7" s="3">
        <f>('Japan data'!W49)*AG$11/AG7</f>
        <v>15868.507886312134</v>
      </c>
      <c r="N7">
        <v>2013</v>
      </c>
      <c r="O7" s="3">
        <f t="shared" si="6"/>
        <v>2193847.6665414684</v>
      </c>
      <c r="P7" s="3">
        <f t="shared" si="7"/>
        <v>2209716.1744277808</v>
      </c>
      <c r="Q7" s="3">
        <f t="shared" si="8"/>
        <v>2359113.6235406455</v>
      </c>
      <c r="T7">
        <v>2013</v>
      </c>
      <c r="U7" s="3">
        <f>'Vehicle price'!X9</f>
        <v>23</v>
      </c>
      <c r="V7">
        <v>1</v>
      </c>
      <c r="W7" s="3">
        <f t="shared" si="3"/>
        <v>31.143929334439989</v>
      </c>
      <c r="X7" s="3">
        <f>'Vehicle price'!T9</f>
        <v>31.143929334439989</v>
      </c>
      <c r="Y7" s="3">
        <f t="shared" si="9"/>
        <v>31.143929334439989</v>
      </c>
      <c r="Z7">
        <v>1</v>
      </c>
      <c r="AB7">
        <v>2013</v>
      </c>
      <c r="AC7">
        <v>97.685864328805181</v>
      </c>
      <c r="AD7">
        <v>0.75166876437654617</v>
      </c>
      <c r="AF7">
        <v>2013</v>
      </c>
      <c r="AG7" s="13">
        <f>CPIs!N52</f>
        <v>100.02590179443359</v>
      </c>
    </row>
    <row r="8" spans="1:38">
      <c r="A8">
        <v>2014</v>
      </c>
      <c r="B8" s="3">
        <f t="shared" si="4"/>
        <v>33.541755956678692</v>
      </c>
      <c r="C8" s="3">
        <f t="shared" si="0"/>
        <v>3559194.4488179791</v>
      </c>
      <c r="D8" s="33">
        <v>5</v>
      </c>
      <c r="E8" s="61">
        <f t="shared" si="1"/>
        <v>177959.72244089897</v>
      </c>
      <c r="F8" s="3">
        <f t="shared" si="2"/>
        <v>3737154.171258878</v>
      </c>
      <c r="G8" s="3">
        <f>-('Japan data'!P50+'Japan data'!R50)*AG$11/AG8</f>
        <v>-141269.92066951239</v>
      </c>
      <c r="H8" s="3">
        <f t="shared" si="10"/>
        <v>-889798.61220449477</v>
      </c>
      <c r="I8" s="3">
        <f>Austria!I8/AD8*AC8</f>
        <v>203149.42416194451</v>
      </c>
      <c r="J8" s="3">
        <f t="shared" si="5"/>
        <v>2909235.0625468153</v>
      </c>
      <c r="L8" s="3">
        <f>('Japan data'!W50)*AG$11/AG8</f>
        <v>17658.74008368899</v>
      </c>
      <c r="N8">
        <v>2014</v>
      </c>
      <c r="O8" s="3">
        <f t="shared" si="6"/>
        <v>2909235.0625468153</v>
      </c>
      <c r="P8" s="3">
        <f t="shared" si="7"/>
        <v>2909235.0625468153</v>
      </c>
      <c r="Q8" s="3">
        <f t="shared" si="8"/>
        <v>2562613.1813125694</v>
      </c>
      <c r="T8">
        <v>2014</v>
      </c>
      <c r="U8" s="3">
        <f>'Vehicle price'!X10</f>
        <v>23</v>
      </c>
      <c r="V8">
        <v>1</v>
      </c>
      <c r="W8" s="3">
        <f t="shared" si="3"/>
        <v>33.541755956678692</v>
      </c>
      <c r="X8" s="3">
        <f>'Vehicle price'!T10</f>
        <v>33.541755956678692</v>
      </c>
      <c r="Y8" s="3">
        <f t="shared" si="9"/>
        <v>33.541755956678692</v>
      </c>
      <c r="Z8">
        <v>1</v>
      </c>
      <c r="AB8">
        <v>2014</v>
      </c>
      <c r="AC8">
        <v>106.1123470522803</v>
      </c>
      <c r="AD8">
        <v>0.757387838338895</v>
      </c>
      <c r="AF8">
        <v>2014</v>
      </c>
      <c r="AG8" s="13">
        <f>CPIs!N53</f>
        <v>102.78856658935547</v>
      </c>
    </row>
    <row r="9" spans="1:38">
      <c r="A9">
        <v>2015</v>
      </c>
      <c r="B9" s="3">
        <f t="shared" si="4"/>
        <v>30</v>
      </c>
      <c r="C9" s="3">
        <f t="shared" si="0"/>
        <v>3628145.3035343494</v>
      </c>
      <c r="D9" s="33">
        <v>8</v>
      </c>
      <c r="E9" s="61">
        <f t="shared" si="1"/>
        <v>290251.62428274797</v>
      </c>
      <c r="F9" s="3">
        <f t="shared" si="2"/>
        <v>3918396.9278170974</v>
      </c>
      <c r="G9" s="3">
        <f>-('Japan data'!P51+'Japan data'!R51)*AG$11/AG9</f>
        <v>-148132.35652904242</v>
      </c>
      <c r="H9" s="3">
        <f t="shared" si="10"/>
        <v>-907036.32588358736</v>
      </c>
      <c r="I9" s="3">
        <f>Austria!I9/AD9*AC9</f>
        <v>193570.3811413291</v>
      </c>
      <c r="J9" s="3">
        <f t="shared" si="5"/>
        <v>3056798.6265457966</v>
      </c>
      <c r="L9" s="3">
        <f>('Japan data'!W51)*AG$11/AG9</f>
        <v>18516.544566130236</v>
      </c>
      <c r="N9">
        <v>2015</v>
      </c>
      <c r="O9" s="3">
        <f t="shared" si="6"/>
        <v>3056798.6265457966</v>
      </c>
      <c r="P9" s="3">
        <f t="shared" si="7"/>
        <v>3056798.6265457966</v>
      </c>
      <c r="Q9" s="3">
        <f t="shared" si="8"/>
        <v>3004104.3113264418</v>
      </c>
      <c r="T9">
        <v>2015</v>
      </c>
      <c r="U9" s="3">
        <f>'Vehicle price'!X11</f>
        <v>23</v>
      </c>
      <c r="V9">
        <v>1</v>
      </c>
      <c r="W9" s="3">
        <f t="shared" si="3"/>
        <v>30</v>
      </c>
      <c r="X9" s="3">
        <f>'Vehicle price'!T11</f>
        <v>30</v>
      </c>
      <c r="Y9" s="3">
        <f t="shared" si="9"/>
        <v>30</v>
      </c>
      <c r="Z9">
        <v>1</v>
      </c>
      <c r="AB9">
        <v>2015</v>
      </c>
      <c r="AC9">
        <v>120.93817678447832</v>
      </c>
      <c r="AD9">
        <v>0.90592556207997499</v>
      </c>
      <c r="AF9">
        <v>2015</v>
      </c>
      <c r="AG9" s="13">
        <f>CPIs!N54</f>
        <v>103.60009765625</v>
      </c>
      <c r="AK9" s="13"/>
      <c r="AL9" s="13"/>
    </row>
    <row r="10" spans="1:38">
      <c r="A10">
        <v>2016</v>
      </c>
      <c r="B10" s="3">
        <f t="shared" si="4"/>
        <v>30</v>
      </c>
      <c r="C10" s="3">
        <f t="shared" si="0"/>
        <v>3268425.831474402</v>
      </c>
      <c r="D10" s="33">
        <v>8</v>
      </c>
      <c r="E10" s="61">
        <f t="shared" si="1"/>
        <v>261474.06651795216</v>
      </c>
      <c r="F10" s="3">
        <f t="shared" si="2"/>
        <v>3529899.8979923544</v>
      </c>
      <c r="G10" s="61">
        <f>-'Range acceptance'!I11*1000*AG$11/AG10</f>
        <v>-145681.5</v>
      </c>
      <c r="H10" s="3">
        <f t="shared" si="10"/>
        <v>-817106.4578686005</v>
      </c>
      <c r="I10" s="3">
        <f>Austria!I10/AD10*AC10</f>
        <v>174220.48460872789</v>
      </c>
      <c r="J10" s="3">
        <f t="shared" si="5"/>
        <v>2741332.4247324816</v>
      </c>
      <c r="L10" s="3">
        <f>('Japan data'!W52)*AG$11/AG10</f>
        <v>18538.1720913596</v>
      </c>
      <c r="N10">
        <v>2016</v>
      </c>
      <c r="O10" s="3">
        <f t="shared" si="6"/>
        <v>2741332.4247324816</v>
      </c>
      <c r="P10" s="3">
        <f t="shared" si="7"/>
        <v>2741332.4247324816</v>
      </c>
      <c r="Q10" s="3">
        <f t="shared" si="8"/>
        <v>2706256.5884608049</v>
      </c>
      <c r="T10">
        <v>2016</v>
      </c>
      <c r="U10" s="3">
        <f>'Vehicle price'!X12</f>
        <v>23</v>
      </c>
      <c r="V10">
        <v>1</v>
      </c>
      <c r="W10" s="3">
        <f t="shared" si="3"/>
        <v>30</v>
      </c>
      <c r="X10" s="3">
        <f>'Vehicle price'!T12</f>
        <v>30</v>
      </c>
      <c r="Y10" s="3">
        <f t="shared" si="9"/>
        <v>30</v>
      </c>
      <c r="Z10">
        <v>1</v>
      </c>
      <c r="AB10">
        <v>2016</v>
      </c>
      <c r="AC10">
        <v>108.94752771581341</v>
      </c>
      <c r="AD10">
        <v>0.90674707708863456</v>
      </c>
      <c r="AF10">
        <v>2016</v>
      </c>
      <c r="AG10" s="13">
        <f>CPIs!N55</f>
        <v>103.47923278808594</v>
      </c>
      <c r="AK10" s="13"/>
      <c r="AL10" s="13"/>
    </row>
    <row r="11" spans="1:38">
      <c r="A11">
        <v>2017</v>
      </c>
      <c r="B11" s="3">
        <f t="shared" si="4"/>
        <v>30</v>
      </c>
      <c r="C11" s="3">
        <f t="shared" si="0"/>
        <v>3359617.7598647866</v>
      </c>
      <c r="D11" s="33">
        <v>8</v>
      </c>
      <c r="E11" s="61">
        <f t="shared" si="1"/>
        <v>268769.42078918294</v>
      </c>
      <c r="F11" s="3">
        <f t="shared" si="2"/>
        <v>3628387.1806539698</v>
      </c>
      <c r="G11" s="61">
        <f>-'Range acceptance'!I12*1000*AG$11/AG11</f>
        <v>-160000</v>
      </c>
      <c r="H11" s="3">
        <f t="shared" si="10"/>
        <v>-839904.43996619666</v>
      </c>
      <c r="I11" s="3">
        <f>Austria!I11/AD11*AC11</f>
        <v>184092.09831353714</v>
      </c>
      <c r="J11" s="3">
        <f t="shared" si="5"/>
        <v>2812574.8390013101</v>
      </c>
      <c r="L11" s="3">
        <f>('Japan data'!W53)*AG$11/AG11</f>
        <v>18451.450275066785</v>
      </c>
      <c r="N11">
        <v>2017</v>
      </c>
      <c r="O11" s="3">
        <f t="shared" si="6"/>
        <v>2812574.8390013101</v>
      </c>
      <c r="P11" s="3">
        <f t="shared" si="7"/>
        <v>2812574.8390013101</v>
      </c>
      <c r="Q11" s="3">
        <f t="shared" si="8"/>
        <v>2781763.5051680435</v>
      </c>
      <c r="T11">
        <v>2017</v>
      </c>
      <c r="U11" s="3">
        <f>'Vehicle price'!X13</f>
        <v>23</v>
      </c>
      <c r="V11">
        <v>1</v>
      </c>
      <c r="W11" s="3">
        <f t="shared" si="3"/>
        <v>30</v>
      </c>
      <c r="X11" s="3">
        <f>'Vehicle price'!T13</f>
        <v>30</v>
      </c>
      <c r="Y11" s="3">
        <f t="shared" si="9"/>
        <v>30</v>
      </c>
      <c r="Z11">
        <v>1</v>
      </c>
      <c r="AB11">
        <v>2017</v>
      </c>
      <c r="AC11">
        <v>111.98725866215955</v>
      </c>
      <c r="AD11">
        <v>0.88206678367895308</v>
      </c>
      <c r="AF11">
        <v>2017</v>
      </c>
      <c r="AG11" s="13">
        <f>CPIs!N56</f>
        <v>103.96558518218994</v>
      </c>
      <c r="AK11" s="13"/>
      <c r="AL11" s="13"/>
    </row>
    <row r="12" spans="1:38">
      <c r="A12">
        <v>2018</v>
      </c>
      <c r="B12" s="3">
        <f t="shared" si="4"/>
        <v>30.592100851060948</v>
      </c>
      <c r="C12" s="3">
        <f t="shared" si="0"/>
        <v>3365131.093616704</v>
      </c>
      <c r="D12" s="33">
        <v>8</v>
      </c>
      <c r="E12" s="61">
        <f t="shared" si="1"/>
        <v>269210.48748933634</v>
      </c>
      <c r="F12" s="3">
        <f t="shared" si="2"/>
        <v>3634341.5811060402</v>
      </c>
      <c r="G12" s="61">
        <f>-'Range acceptance'!I13*1000*AG$11/AG12</f>
        <v>-218970.83706579078</v>
      </c>
      <c r="H12" s="3">
        <f t="shared" si="10"/>
        <v>-841282.773404176</v>
      </c>
      <c r="I12" s="3">
        <f>Austria!I12/AD12*AC12</f>
        <v>187647.05882352943</v>
      </c>
      <c r="J12" s="3">
        <f t="shared" si="5"/>
        <v>2761735.0294596031</v>
      </c>
      <c r="L12" s="3">
        <f>L11</f>
        <v>18451.450275066785</v>
      </c>
      <c r="N12">
        <v>2018</v>
      </c>
      <c r="O12" s="3">
        <f t="shared" si="6"/>
        <v>2761735.0294596031</v>
      </c>
      <c r="P12" s="3">
        <f t="shared" si="7"/>
        <v>2761735.0294596031</v>
      </c>
      <c r="Q12" s="3">
        <f t="shared" si="8"/>
        <v>2732400</v>
      </c>
      <c r="T12">
        <v>2018</v>
      </c>
      <c r="U12" s="3">
        <f>'Vehicle price'!X14</f>
        <v>23</v>
      </c>
      <c r="V12">
        <v>1</v>
      </c>
      <c r="W12" s="3">
        <f t="shared" si="3"/>
        <v>30.592100851060948</v>
      </c>
      <c r="X12" s="3">
        <f>'Vehicle price'!T14</f>
        <v>30.592100851060948</v>
      </c>
      <c r="Y12" s="3">
        <f t="shared" si="9"/>
        <v>30.592100851060948</v>
      </c>
      <c r="Z12">
        <v>1</v>
      </c>
      <c r="AB12">
        <v>2018</v>
      </c>
      <c r="AC12" s="14">
        <v>110</v>
      </c>
      <c r="AD12" s="14">
        <v>0.85</v>
      </c>
      <c r="AF12">
        <v>2018</v>
      </c>
      <c r="AG12" s="13">
        <f>AG11*AG11/AG10</f>
        <v>104.45422343254623</v>
      </c>
      <c r="AK12" s="13"/>
      <c r="AL12" s="13"/>
    </row>
    <row r="13" spans="1:38">
      <c r="A13">
        <v>2019</v>
      </c>
      <c r="B13" s="3">
        <f t="shared" si="4"/>
        <v>31.172994053473918</v>
      </c>
      <c r="C13" s="3">
        <f t="shared" si="0"/>
        <v>3429029.3458821313</v>
      </c>
      <c r="D13" s="33">
        <v>8</v>
      </c>
      <c r="E13" s="61">
        <f t="shared" ref="E13:E24" si="11">D13/100*C13</f>
        <v>274322.34767057048</v>
      </c>
      <c r="F13" s="3">
        <f t="shared" ref="F13:F24" si="12">C13+E13</f>
        <v>3703351.6935527017</v>
      </c>
      <c r="G13" s="3">
        <f t="shared" ref="G13:G24" si="13">G12*AG12/AG13</f>
        <v>-217946.4885695141</v>
      </c>
      <c r="H13" s="3">
        <f t="shared" si="10"/>
        <v>-857257.33647053281</v>
      </c>
      <c r="I13" s="3">
        <f>Austria!I13/AD13*AC13</f>
        <v>187647.05882352943</v>
      </c>
      <c r="J13" s="3">
        <f t="shared" si="5"/>
        <v>2815794.9273361848</v>
      </c>
      <c r="L13" s="3">
        <f t="shared" ref="L13:L24" si="14">L12</f>
        <v>18451.450275066785</v>
      </c>
      <c r="N13">
        <v>2019</v>
      </c>
      <c r="O13" s="3">
        <f t="shared" ref="O13:O24" si="15">J13</f>
        <v>2815794.9273361848</v>
      </c>
      <c r="P13" s="3">
        <f t="shared" ref="P13:P24" si="16">J38</f>
        <v>2815794.9273361848</v>
      </c>
      <c r="Q13" s="3">
        <f t="shared" si="8"/>
        <v>2732400</v>
      </c>
      <c r="T13">
        <v>2019</v>
      </c>
      <c r="U13" s="3">
        <f>'Vehicle price'!X15</f>
        <v>23</v>
      </c>
      <c r="V13" s="20">
        <f>V12+(V24-V12)/12</f>
        <v>1.0249999999999999</v>
      </c>
      <c r="W13" s="3">
        <f t="shared" si="3"/>
        <v>31.952318904810763</v>
      </c>
      <c r="X13" s="3">
        <f>'Vehicle price'!T15</f>
        <v>31.172994053473918</v>
      </c>
      <c r="Y13" s="3">
        <f t="shared" si="9"/>
        <v>30.393669202137069</v>
      </c>
      <c r="Z13" s="20">
        <f>Z12+(Z24-Z12)/12</f>
        <v>0.97499999999999998</v>
      </c>
      <c r="AB13">
        <v>2019</v>
      </c>
      <c r="AC13" s="14">
        <v>110</v>
      </c>
      <c r="AD13" s="14">
        <v>0.85</v>
      </c>
      <c r="AF13">
        <v>2019</v>
      </c>
      <c r="AG13" s="13">
        <f t="shared" ref="AG13:AG24" si="17">AG12*AG12/AG11</f>
        <v>104.94515828267919</v>
      </c>
      <c r="AK13" s="13"/>
      <c r="AL13" s="13"/>
    </row>
    <row r="14" spans="1:38">
      <c r="A14">
        <v>2020</v>
      </c>
      <c r="B14" s="3">
        <f t="shared" si="4"/>
        <v>30.985903123425071</v>
      </c>
      <c r="C14" s="3">
        <f t="shared" si="0"/>
        <v>3408449.3435767577</v>
      </c>
      <c r="D14" s="33">
        <v>8</v>
      </c>
      <c r="E14" s="61">
        <f t="shared" si="11"/>
        <v>272675.94748614065</v>
      </c>
      <c r="F14" s="3">
        <f t="shared" si="12"/>
        <v>3681125.2910628985</v>
      </c>
      <c r="G14" s="3">
        <f t="shared" si="13"/>
        <v>-216926.93198916502</v>
      </c>
      <c r="H14" s="3">
        <f t="shared" si="10"/>
        <v>-852112.33589418943</v>
      </c>
      <c r="I14" s="3">
        <f>Austria!I14/AD14*AC14</f>
        <v>187647.05882352943</v>
      </c>
      <c r="J14" s="3">
        <f t="shared" si="5"/>
        <v>2799733.0820030738</v>
      </c>
      <c r="L14" s="3">
        <f t="shared" si="14"/>
        <v>18451.450275066785</v>
      </c>
      <c r="N14">
        <v>2020</v>
      </c>
      <c r="O14" s="3">
        <f t="shared" si="15"/>
        <v>2799733.0820030738</v>
      </c>
      <c r="P14" s="3">
        <f t="shared" si="16"/>
        <v>2799733.0820030738</v>
      </c>
      <c r="Q14" s="3">
        <f t="shared" si="8"/>
        <v>2732400</v>
      </c>
      <c r="T14">
        <v>2020</v>
      </c>
      <c r="U14" s="3">
        <f>'Vehicle price'!X16</f>
        <v>23</v>
      </c>
      <c r="V14" s="20">
        <f>V13+(V24-V12)/12</f>
        <v>1.0499999999999998</v>
      </c>
      <c r="W14" s="3">
        <f t="shared" si="3"/>
        <v>32.535198279596322</v>
      </c>
      <c r="X14" s="3">
        <f>'Vehicle price'!T16</f>
        <v>30.985903123425071</v>
      </c>
      <c r="Y14" s="3">
        <f t="shared" si="9"/>
        <v>29.436607967253817</v>
      </c>
      <c r="Z14" s="20">
        <f>Z13+(Z24-Z12)/12</f>
        <v>0.95</v>
      </c>
      <c r="AB14">
        <v>2020</v>
      </c>
      <c r="AC14" s="14">
        <v>110</v>
      </c>
      <c r="AD14" s="14">
        <v>0.85</v>
      </c>
      <c r="AF14">
        <v>2020</v>
      </c>
      <c r="AG14" s="13">
        <f t="shared" si="17"/>
        <v>105.43840052660778</v>
      </c>
      <c r="AK14" s="13"/>
      <c r="AL14" s="13"/>
    </row>
    <row r="15" spans="1:38">
      <c r="A15">
        <v>2021</v>
      </c>
      <c r="B15" s="3">
        <f t="shared" si="4"/>
        <v>30.206708843097807</v>
      </c>
      <c r="C15" s="3">
        <f t="shared" si="0"/>
        <v>3322737.9727407587</v>
      </c>
      <c r="D15" s="33">
        <v>8</v>
      </c>
      <c r="E15" s="61">
        <f t="shared" si="11"/>
        <v>265819.03781926067</v>
      </c>
      <c r="F15" s="3">
        <f t="shared" si="12"/>
        <v>3588557.0105600194</v>
      </c>
      <c r="G15" s="3">
        <f t="shared" si="13"/>
        <v>-215912.14490809696</v>
      </c>
      <c r="H15" s="3">
        <f t="shared" si="10"/>
        <v>-830684.49318518967</v>
      </c>
      <c r="I15" s="3">
        <f>Austria!I15/AD15*AC15</f>
        <v>187647.05882352943</v>
      </c>
      <c r="J15" s="3">
        <f t="shared" si="5"/>
        <v>2729607.4312902624</v>
      </c>
      <c r="L15" s="3">
        <f t="shared" si="14"/>
        <v>18451.450275066785</v>
      </c>
      <c r="N15">
        <v>2021</v>
      </c>
      <c r="O15" s="3">
        <f t="shared" si="15"/>
        <v>2729607.4312902624</v>
      </c>
      <c r="P15" s="3">
        <f t="shared" si="16"/>
        <v>2729607.4312902624</v>
      </c>
      <c r="Q15" s="3">
        <f t="shared" si="8"/>
        <v>2732400</v>
      </c>
      <c r="T15">
        <v>2021</v>
      </c>
      <c r="U15" s="3">
        <f>'Vehicle price'!X17</f>
        <v>23</v>
      </c>
      <c r="V15" s="20">
        <f>V14+(V24-V12)/12</f>
        <v>1.0749999999999997</v>
      </c>
      <c r="W15" s="3">
        <f t="shared" si="3"/>
        <v>32.472212006330132</v>
      </c>
      <c r="X15" s="3">
        <f>'Vehicle price'!T17</f>
        <v>30.206708843097807</v>
      </c>
      <c r="Y15" s="3">
        <f t="shared" si="9"/>
        <v>27.941205679865469</v>
      </c>
      <c r="Z15" s="20">
        <f>Z14+(Z24-Z12)/12</f>
        <v>0.92499999999999993</v>
      </c>
      <c r="AB15">
        <v>2021</v>
      </c>
      <c r="AC15" s="14">
        <v>110</v>
      </c>
      <c r="AD15" s="14">
        <v>0.85</v>
      </c>
      <c r="AF15">
        <v>2021</v>
      </c>
      <c r="AG15" s="13">
        <f t="shared" si="17"/>
        <v>105.93396100908284</v>
      </c>
      <c r="AK15" s="13"/>
      <c r="AL15" s="13"/>
    </row>
    <row r="16" spans="1:38">
      <c r="A16">
        <v>2022</v>
      </c>
      <c r="B16" s="3">
        <f t="shared" si="4"/>
        <v>30.642454642697771</v>
      </c>
      <c r="C16" s="3">
        <f t="shared" si="0"/>
        <v>3370670.0106967548</v>
      </c>
      <c r="D16" s="33">
        <v>8</v>
      </c>
      <c r="E16" s="61">
        <f t="shared" si="11"/>
        <v>269653.60085574037</v>
      </c>
      <c r="F16" s="3">
        <f t="shared" si="12"/>
        <v>3640323.611552495</v>
      </c>
      <c r="G16" s="3">
        <f t="shared" si="13"/>
        <v>-214902.1050145287</v>
      </c>
      <c r="H16" s="3">
        <f t="shared" si="10"/>
        <v>-842667.5026741887</v>
      </c>
      <c r="I16" s="3">
        <f>Austria!I16/AD16*AC16</f>
        <v>187647.05882352943</v>
      </c>
      <c r="J16" s="3">
        <f t="shared" si="5"/>
        <v>2770401.0626873076</v>
      </c>
      <c r="L16" s="3">
        <f t="shared" si="14"/>
        <v>18451.450275066785</v>
      </c>
      <c r="N16">
        <v>2022</v>
      </c>
      <c r="O16" s="3">
        <f t="shared" si="15"/>
        <v>2770401.0626873076</v>
      </c>
      <c r="P16" s="3">
        <f t="shared" si="16"/>
        <v>2770401.0626873076</v>
      </c>
      <c r="Q16" s="3">
        <f t="shared" si="8"/>
        <v>2732400</v>
      </c>
      <c r="T16">
        <v>2022</v>
      </c>
      <c r="U16" s="3">
        <f>'Vehicle price'!X18</f>
        <v>23</v>
      </c>
      <c r="V16" s="20">
        <f>V15+(V24-V12)/12</f>
        <v>1.0999999999999996</v>
      </c>
      <c r="W16" s="3">
        <f t="shared" si="3"/>
        <v>33.706700106967538</v>
      </c>
      <c r="X16" s="3">
        <f>'Vehicle price'!T18</f>
        <v>30.642454642697771</v>
      </c>
      <c r="Y16" s="3">
        <f t="shared" si="9"/>
        <v>27.57820917842799</v>
      </c>
      <c r="Z16" s="20">
        <f>Z15+(Z24-Z12)/12</f>
        <v>0.89999999999999991</v>
      </c>
      <c r="AB16">
        <v>2022</v>
      </c>
      <c r="AC16" s="14">
        <v>110</v>
      </c>
      <c r="AD16" s="14">
        <v>0.85</v>
      </c>
      <c r="AF16">
        <v>2022</v>
      </c>
      <c r="AG16" s="13">
        <f t="shared" si="17"/>
        <v>106.43185062582552</v>
      </c>
      <c r="AK16" s="13"/>
      <c r="AL16" s="13"/>
    </row>
    <row r="17" spans="1:38">
      <c r="A17">
        <v>2023</v>
      </c>
      <c r="B17" s="3">
        <f t="shared" si="4"/>
        <v>30.361546257811007</v>
      </c>
      <c r="C17" s="3">
        <f t="shared" si="0"/>
        <v>3339770.0883592106</v>
      </c>
      <c r="D17" s="33">
        <v>8</v>
      </c>
      <c r="E17" s="61">
        <f t="shared" si="11"/>
        <v>267181.60706873686</v>
      </c>
      <c r="F17" s="3">
        <f t="shared" si="12"/>
        <v>3606951.6954279477</v>
      </c>
      <c r="G17" s="3">
        <f t="shared" si="13"/>
        <v>-213896.79010105378</v>
      </c>
      <c r="H17" s="3">
        <f t="shared" si="10"/>
        <v>-834942.52208980266</v>
      </c>
      <c r="I17" s="3">
        <f>Austria!I17/AD17*AC17</f>
        <v>187647.05882352943</v>
      </c>
      <c r="J17" s="3">
        <f t="shared" si="5"/>
        <v>2745759.442060621</v>
      </c>
      <c r="L17" s="3">
        <f t="shared" si="14"/>
        <v>18451.450275066785</v>
      </c>
      <c r="N17">
        <v>2023</v>
      </c>
      <c r="O17" s="3">
        <f t="shared" si="15"/>
        <v>2745759.442060621</v>
      </c>
      <c r="P17" s="3">
        <f t="shared" si="16"/>
        <v>2745759.442060621</v>
      </c>
      <c r="Q17" s="3">
        <f t="shared" si="8"/>
        <v>2732400</v>
      </c>
      <c r="T17">
        <v>2023</v>
      </c>
      <c r="U17" s="3">
        <f>'Vehicle price'!X19</f>
        <v>23</v>
      </c>
      <c r="V17" s="20">
        <f>V16+(V24-V12)/12</f>
        <v>1.1249999999999996</v>
      </c>
      <c r="W17" s="3">
        <f t="shared" si="3"/>
        <v>34.156739540037371</v>
      </c>
      <c r="X17" s="3">
        <f>'Vehicle price'!T19</f>
        <v>30.361546257811007</v>
      </c>
      <c r="Y17" s="3">
        <f t="shared" si="9"/>
        <v>26.566352975584628</v>
      </c>
      <c r="Z17" s="20">
        <f>Z16+(Z24-Z12)/12</f>
        <v>0.87499999999999989</v>
      </c>
      <c r="AB17">
        <v>2023</v>
      </c>
      <c r="AC17" s="14">
        <v>110</v>
      </c>
      <c r="AD17" s="14">
        <v>0.85</v>
      </c>
      <c r="AF17">
        <v>2023</v>
      </c>
      <c r="AG17" s="13">
        <f t="shared" si="17"/>
        <v>106.93208032376688</v>
      </c>
      <c r="AK17" s="13"/>
      <c r="AL17" s="13"/>
    </row>
    <row r="18" spans="1:38">
      <c r="A18">
        <v>2024</v>
      </c>
      <c r="B18" s="3">
        <f t="shared" si="4"/>
        <v>29.275640447464834</v>
      </c>
      <c r="C18" s="3">
        <f t="shared" si="0"/>
        <v>3220320.4492211319</v>
      </c>
      <c r="D18" s="33">
        <v>8</v>
      </c>
      <c r="E18" s="61">
        <f t="shared" si="11"/>
        <v>257625.63593769056</v>
      </c>
      <c r="F18" s="3">
        <f t="shared" si="12"/>
        <v>3477946.0851588226</v>
      </c>
      <c r="G18" s="3">
        <f t="shared" si="13"/>
        <v>-212896.17806415231</v>
      </c>
      <c r="H18" s="3">
        <f t="shared" si="10"/>
        <v>-805080.11230528296</v>
      </c>
      <c r="I18" s="3">
        <f>Austria!I18/AD18*AC18</f>
        <v>187647.05882352943</v>
      </c>
      <c r="J18" s="3">
        <f t="shared" si="5"/>
        <v>2647616.853612917</v>
      </c>
      <c r="L18" s="3">
        <f t="shared" si="14"/>
        <v>18451.450275066785</v>
      </c>
      <c r="N18">
        <v>2024</v>
      </c>
      <c r="O18" s="3">
        <f t="shared" si="15"/>
        <v>2647616.853612917</v>
      </c>
      <c r="P18" s="3">
        <f t="shared" si="16"/>
        <v>2647616.853612917</v>
      </c>
      <c r="Q18" s="3">
        <f t="shared" si="8"/>
        <v>2732400</v>
      </c>
      <c r="T18">
        <v>2024</v>
      </c>
      <c r="U18" s="3">
        <f>'Vehicle price'!X20</f>
        <v>23</v>
      </c>
      <c r="V18" s="20">
        <f>V17+(V24-V12)/12</f>
        <v>1.1499999999999995</v>
      </c>
      <c r="W18" s="3">
        <f t="shared" si="3"/>
        <v>33.666986514584543</v>
      </c>
      <c r="X18" s="3">
        <f>'Vehicle price'!T20</f>
        <v>29.275640447464834</v>
      </c>
      <c r="Y18" s="3">
        <f t="shared" si="9"/>
        <v>24.884294380345104</v>
      </c>
      <c r="Z18" s="20">
        <f>Z17+(Z24-Z12)/12</f>
        <v>0.84999999999999987</v>
      </c>
      <c r="AB18">
        <v>2024</v>
      </c>
      <c r="AC18" s="14">
        <v>110</v>
      </c>
      <c r="AD18" s="14">
        <v>0.85</v>
      </c>
      <c r="AF18">
        <v>2024</v>
      </c>
      <c r="AG18" s="13">
        <f t="shared" si="17"/>
        <v>107.43466110128857</v>
      </c>
      <c r="AK18" s="13"/>
      <c r="AL18" s="13"/>
    </row>
    <row r="19" spans="1:38">
      <c r="A19">
        <v>2025</v>
      </c>
      <c r="B19" s="3">
        <f t="shared" si="4"/>
        <v>28.343375828936317</v>
      </c>
      <c r="C19" s="3">
        <f t="shared" si="0"/>
        <v>3117771.3411829951</v>
      </c>
      <c r="D19" s="33">
        <v>8</v>
      </c>
      <c r="E19" s="61">
        <f t="shared" si="11"/>
        <v>249421.70729463961</v>
      </c>
      <c r="F19" s="3">
        <f t="shared" si="12"/>
        <v>3367193.0484776348</v>
      </c>
      <c r="G19" s="3">
        <f t="shared" si="13"/>
        <v>-211900.24690370492</v>
      </c>
      <c r="H19" s="3">
        <f t="shared" si="10"/>
        <v>-779442.83529574878</v>
      </c>
      <c r="I19" s="3">
        <f>Austria!I19/AD19*AC19</f>
        <v>187647.05882352943</v>
      </c>
      <c r="J19" s="3">
        <f t="shared" si="5"/>
        <v>2563497.0251017106</v>
      </c>
      <c r="L19" s="3">
        <f t="shared" si="14"/>
        <v>18451.450275066785</v>
      </c>
      <c r="N19">
        <v>2025</v>
      </c>
      <c r="O19" s="3">
        <f t="shared" si="15"/>
        <v>2563497.0251017106</v>
      </c>
      <c r="P19" s="3">
        <f t="shared" si="16"/>
        <v>2563497.0251017106</v>
      </c>
      <c r="Q19" s="3">
        <f t="shared" si="8"/>
        <v>2732400</v>
      </c>
      <c r="T19">
        <v>2025</v>
      </c>
      <c r="U19" s="3">
        <f>'Vehicle price'!X21</f>
        <v>23</v>
      </c>
      <c r="V19" s="20">
        <f>V18+(V24-V12)/12</f>
        <v>1.1749999999999994</v>
      </c>
      <c r="W19" s="3">
        <f t="shared" si="3"/>
        <v>33.303466599000153</v>
      </c>
      <c r="X19" s="3">
        <f>'Vehicle price'!T21</f>
        <v>28.343375828936317</v>
      </c>
      <c r="Y19" s="3">
        <f t="shared" si="9"/>
        <v>23.383285058872456</v>
      </c>
      <c r="Z19" s="20">
        <f>Z18+(Z24-Z12)/12</f>
        <v>0.82499999999999984</v>
      </c>
      <c r="AB19">
        <v>2025</v>
      </c>
      <c r="AC19" s="14">
        <v>110</v>
      </c>
      <c r="AD19" s="14">
        <v>0.85</v>
      </c>
      <c r="AF19">
        <v>2025</v>
      </c>
      <c r="AG19" s="13">
        <f t="shared" si="17"/>
        <v>107.93960400846461</v>
      </c>
      <c r="AK19" s="13"/>
      <c r="AL19" s="13"/>
    </row>
    <row r="20" spans="1:38">
      <c r="A20">
        <v>2026</v>
      </c>
      <c r="B20" s="3">
        <f t="shared" si="4"/>
        <v>27.812270474504896</v>
      </c>
      <c r="C20" s="3">
        <f t="shared" si="0"/>
        <v>3059349.7521955385</v>
      </c>
      <c r="D20" s="33">
        <v>8</v>
      </c>
      <c r="E20" s="61">
        <f t="shared" si="11"/>
        <v>244747.98017564308</v>
      </c>
      <c r="F20" s="3">
        <f t="shared" si="12"/>
        <v>3304097.7323711817</v>
      </c>
      <c r="G20" s="3">
        <f t="shared" si="13"/>
        <v>-210908.97472250913</v>
      </c>
      <c r="H20" s="3">
        <f t="shared" si="10"/>
        <v>-764837.43804888462</v>
      </c>
      <c r="I20" s="3">
        <f>Austria!I20/AD20*AC20</f>
        <v>187647.05882352943</v>
      </c>
      <c r="J20" s="3">
        <f t="shared" si="5"/>
        <v>2515998.3784233173</v>
      </c>
      <c r="L20" s="3">
        <f t="shared" si="14"/>
        <v>18451.450275066785</v>
      </c>
      <c r="N20">
        <v>2026</v>
      </c>
      <c r="O20" s="3">
        <f t="shared" si="15"/>
        <v>2515998.3784233173</v>
      </c>
      <c r="P20" s="3">
        <f t="shared" si="16"/>
        <v>2515998.3784233173</v>
      </c>
      <c r="Q20" s="3">
        <f t="shared" si="8"/>
        <v>2732400</v>
      </c>
      <c r="T20">
        <v>2026</v>
      </c>
      <c r="U20" s="3">
        <f>'Vehicle price'!X22</f>
        <v>23</v>
      </c>
      <c r="V20" s="20">
        <f>V19+(V24-V12)/12</f>
        <v>1.1999999999999993</v>
      </c>
      <c r="W20" s="3">
        <f t="shared" si="3"/>
        <v>33.374724569405856</v>
      </c>
      <c r="X20" s="3">
        <f>'Vehicle price'!T22</f>
        <v>27.812270474504896</v>
      </c>
      <c r="Y20" s="3">
        <f t="shared" si="9"/>
        <v>22.24981637960391</v>
      </c>
      <c r="Z20" s="20">
        <f>Z19+(Z24-Z12)/12</f>
        <v>0.79999999999999982</v>
      </c>
      <c r="AB20">
        <v>2026</v>
      </c>
      <c r="AC20" s="14">
        <v>110</v>
      </c>
      <c r="AD20" s="14">
        <v>0.85</v>
      </c>
      <c r="AF20">
        <v>2026</v>
      </c>
      <c r="AG20" s="13">
        <f t="shared" si="17"/>
        <v>108.44692014730438</v>
      </c>
      <c r="AK20" s="13"/>
      <c r="AL20" s="13"/>
    </row>
    <row r="21" spans="1:38">
      <c r="A21">
        <v>2027</v>
      </c>
      <c r="B21" s="3">
        <f t="shared" si="4"/>
        <v>27.281165120073478</v>
      </c>
      <c r="C21" s="3">
        <f t="shared" si="0"/>
        <v>3000928.1632080823</v>
      </c>
      <c r="D21" s="33">
        <v>8</v>
      </c>
      <c r="E21" s="61">
        <f t="shared" si="11"/>
        <v>240074.25305664659</v>
      </c>
      <c r="F21" s="3">
        <f t="shared" si="12"/>
        <v>3241002.4162647291</v>
      </c>
      <c r="G21" s="3">
        <f t="shared" si="13"/>
        <v>-209922.33972579791</v>
      </c>
      <c r="H21" s="3">
        <f t="shared" si="10"/>
        <v>-750232.04080202058</v>
      </c>
      <c r="I21" s="3">
        <f>Austria!I21/AD21*AC21</f>
        <v>187647.05882352943</v>
      </c>
      <c r="J21" s="3">
        <f t="shared" si="5"/>
        <v>2468495.0945604402</v>
      </c>
      <c r="L21" s="3">
        <f t="shared" si="14"/>
        <v>18451.450275066785</v>
      </c>
      <c r="N21">
        <v>2027</v>
      </c>
      <c r="O21" s="3">
        <f t="shared" si="15"/>
        <v>2468495.0945604402</v>
      </c>
      <c r="P21" s="3">
        <f t="shared" si="16"/>
        <v>2468495.0945604402</v>
      </c>
      <c r="Q21" s="3">
        <f t="shared" si="8"/>
        <v>2732400</v>
      </c>
      <c r="T21">
        <v>2027</v>
      </c>
      <c r="U21" s="3">
        <f>'Vehicle price'!X23</f>
        <v>23</v>
      </c>
      <c r="V21" s="20">
        <f>V20+(V24-V12)/12</f>
        <v>1.2249999999999992</v>
      </c>
      <c r="W21" s="3">
        <f t="shared" si="3"/>
        <v>33.41942727208999</v>
      </c>
      <c r="X21" s="3">
        <f>'Vehicle price'!T23</f>
        <v>27.281165120073478</v>
      </c>
      <c r="Y21" s="3">
        <f t="shared" si="9"/>
        <v>21.142902968056941</v>
      </c>
      <c r="Z21" s="20">
        <f>Z20+(Z24-Z12)/12</f>
        <v>0.7749999999999998</v>
      </c>
      <c r="AB21">
        <v>2027</v>
      </c>
      <c r="AC21" s="14">
        <v>110</v>
      </c>
      <c r="AD21" s="14">
        <v>0.85</v>
      </c>
      <c r="AF21">
        <v>2027</v>
      </c>
      <c r="AG21" s="13">
        <f t="shared" si="17"/>
        <v>108.9566206719967</v>
      </c>
      <c r="AK21" s="13"/>
      <c r="AL21" s="13"/>
    </row>
    <row r="22" spans="1:38">
      <c r="A22">
        <v>2028</v>
      </c>
      <c r="B22" s="3">
        <f t="shared" si="4"/>
        <v>26.683671596338133</v>
      </c>
      <c r="C22" s="3">
        <f t="shared" si="0"/>
        <v>2935203.8755971948</v>
      </c>
      <c r="D22" s="33">
        <v>8</v>
      </c>
      <c r="E22" s="61">
        <f t="shared" si="11"/>
        <v>234816.31004777559</v>
      </c>
      <c r="F22" s="3">
        <f t="shared" si="12"/>
        <v>3170020.1856449703</v>
      </c>
      <c r="G22" s="3">
        <f t="shared" si="13"/>
        <v>-208940.32022076036</v>
      </c>
      <c r="H22" s="3">
        <f t="shared" si="10"/>
        <v>-733800.96889929869</v>
      </c>
      <c r="I22" s="3">
        <f>Austria!I22/AD22*AC22</f>
        <v>187647.05882352943</v>
      </c>
      <c r="J22" s="3">
        <f t="shared" si="5"/>
        <v>2414925.9553484404</v>
      </c>
      <c r="L22" s="3">
        <f t="shared" si="14"/>
        <v>18451.450275066785</v>
      </c>
      <c r="N22">
        <v>2028</v>
      </c>
      <c r="O22" s="3">
        <f t="shared" si="15"/>
        <v>2414925.9553484404</v>
      </c>
      <c r="P22" s="3">
        <f t="shared" si="16"/>
        <v>2414925.9553484404</v>
      </c>
      <c r="Q22" s="3">
        <f t="shared" si="8"/>
        <v>2732400</v>
      </c>
      <c r="T22">
        <v>2028</v>
      </c>
      <c r="U22" s="3">
        <f>'Vehicle price'!X24</f>
        <v>23</v>
      </c>
      <c r="V22" s="20">
        <f>V21+(V24-V12)/12</f>
        <v>1.2499999999999991</v>
      </c>
      <c r="W22" s="3">
        <f t="shared" si="3"/>
        <v>33.354589495422644</v>
      </c>
      <c r="X22" s="3">
        <f>'Vehicle price'!T24</f>
        <v>26.683671596338133</v>
      </c>
      <c r="Y22" s="3">
        <f t="shared" si="9"/>
        <v>20.012753697253594</v>
      </c>
      <c r="Z22" s="20">
        <f>Z21+(Z24-Z12)/12</f>
        <v>0.74999999999999978</v>
      </c>
      <c r="AB22">
        <v>2028</v>
      </c>
      <c r="AC22" s="14">
        <v>110</v>
      </c>
      <c r="AD22" s="14">
        <v>0.85</v>
      </c>
      <c r="AF22">
        <v>2028</v>
      </c>
      <c r="AG22" s="13">
        <f t="shared" si="17"/>
        <v>109.46871678915508</v>
      </c>
      <c r="AK22" s="13"/>
      <c r="AL22" s="13"/>
    </row>
    <row r="23" spans="1:38">
      <c r="A23">
        <v>2029</v>
      </c>
      <c r="B23" s="3">
        <f t="shared" si="4"/>
        <v>26.152566241906715</v>
      </c>
      <c r="C23" s="3">
        <f t="shared" si="0"/>
        <v>2876782.2866097386</v>
      </c>
      <c r="D23" s="33">
        <v>8</v>
      </c>
      <c r="E23" s="61">
        <f t="shared" si="11"/>
        <v>230142.5829287791</v>
      </c>
      <c r="F23" s="3">
        <f t="shared" si="12"/>
        <v>3106924.8695385177</v>
      </c>
      <c r="G23" s="3">
        <f t="shared" si="13"/>
        <v>-207962.89461606488</v>
      </c>
      <c r="H23" s="3">
        <f t="shared" si="10"/>
        <v>-719195.57165243465</v>
      </c>
      <c r="I23" s="3">
        <f>Austria!I23/AD23*AC23</f>
        <v>187647.05882352943</v>
      </c>
      <c r="J23" s="3">
        <f t="shared" si="5"/>
        <v>2367413.4620935475</v>
      </c>
      <c r="L23" s="3">
        <f t="shared" si="14"/>
        <v>18451.450275066785</v>
      </c>
      <c r="N23">
        <v>2029</v>
      </c>
      <c r="O23" s="3">
        <f t="shared" si="15"/>
        <v>2367413.4620935475</v>
      </c>
      <c r="P23" s="3">
        <f t="shared" si="16"/>
        <v>2367413.4620935479</v>
      </c>
      <c r="Q23" s="3">
        <f t="shared" si="8"/>
        <v>2732400</v>
      </c>
      <c r="T23">
        <v>2029</v>
      </c>
      <c r="U23" s="3">
        <f>'Vehicle price'!X25</f>
        <v>23</v>
      </c>
      <c r="V23" s="20">
        <f>V22+(V24-V12)/12</f>
        <v>1.274999999999999</v>
      </c>
      <c r="W23" s="3">
        <f t="shared" si="3"/>
        <v>33.344521958431038</v>
      </c>
      <c r="X23" s="3">
        <f>'Vehicle price'!T25</f>
        <v>26.152566241906715</v>
      </c>
      <c r="Y23" s="3">
        <f t="shared" si="9"/>
        <v>18.960610525382361</v>
      </c>
      <c r="Z23" s="20">
        <f>Z22+(Z24-Z12)/12</f>
        <v>0.72499999999999976</v>
      </c>
      <c r="AB23">
        <v>2029</v>
      </c>
      <c r="AC23" s="14">
        <v>110</v>
      </c>
      <c r="AD23" s="14">
        <v>0.85</v>
      </c>
      <c r="AF23">
        <v>2029</v>
      </c>
      <c r="AG23" s="13">
        <f t="shared" si="17"/>
        <v>109.9832197580641</v>
      </c>
      <c r="AK23" s="13"/>
      <c r="AL23" s="13"/>
    </row>
    <row r="24" spans="1:38">
      <c r="A24">
        <v>2030</v>
      </c>
      <c r="B24" s="3">
        <f t="shared" si="4"/>
        <v>25.55507271817137</v>
      </c>
      <c r="C24" s="3">
        <f t="shared" si="0"/>
        <v>2811057.998998851</v>
      </c>
      <c r="D24" s="33">
        <v>8</v>
      </c>
      <c r="E24" s="61">
        <f t="shared" si="11"/>
        <v>224884.63991990808</v>
      </c>
      <c r="F24" s="3">
        <f t="shared" si="12"/>
        <v>3035942.6389187593</v>
      </c>
      <c r="G24" s="3">
        <f t="shared" si="13"/>
        <v>-206990.04142138441</v>
      </c>
      <c r="H24" s="3">
        <f t="shared" si="10"/>
        <v>-702764.49974971276</v>
      </c>
      <c r="I24" s="3">
        <f>Austria!I24/AD24*AC24</f>
        <v>187647.05882352943</v>
      </c>
      <c r="J24" s="3">
        <f t="shared" si="5"/>
        <v>2313835.1565711917</v>
      </c>
      <c r="L24" s="3">
        <f t="shared" si="14"/>
        <v>18451.450275066785</v>
      </c>
      <c r="N24">
        <v>2030</v>
      </c>
      <c r="O24" s="3">
        <f t="shared" si="15"/>
        <v>2313835.1565711917</v>
      </c>
      <c r="P24" s="3">
        <f t="shared" si="16"/>
        <v>2313835.1565711917</v>
      </c>
      <c r="Q24" s="3">
        <f t="shared" si="8"/>
        <v>2732400</v>
      </c>
      <c r="T24">
        <v>2030</v>
      </c>
      <c r="U24" s="3">
        <f>'Vehicle price'!X26</f>
        <v>23</v>
      </c>
      <c r="V24">
        <v>1.3</v>
      </c>
      <c r="W24" s="3">
        <f t="shared" si="3"/>
        <v>33.221594533622785</v>
      </c>
      <c r="X24" s="3">
        <f>'Vehicle price'!T26</f>
        <v>25.55507271817137</v>
      </c>
      <c r="Y24" s="3">
        <f t="shared" si="9"/>
        <v>17.88855090271996</v>
      </c>
      <c r="Z24">
        <v>0.7</v>
      </c>
      <c r="AB24">
        <v>2030</v>
      </c>
      <c r="AC24" s="14">
        <v>110</v>
      </c>
      <c r="AD24" s="14">
        <v>0.85</v>
      </c>
      <c r="AF24">
        <v>2030</v>
      </c>
      <c r="AG24" s="13">
        <f t="shared" si="17"/>
        <v>110.50014089092697</v>
      </c>
      <c r="AK24" s="13"/>
      <c r="AL24" s="13"/>
    </row>
    <row r="25" spans="1:38">
      <c r="E25" s="3"/>
      <c r="AK25" s="13"/>
      <c r="AL25" s="13"/>
    </row>
    <row r="26" spans="1:38">
      <c r="A26" t="s">
        <v>324</v>
      </c>
      <c r="B26" t="s">
        <v>1395</v>
      </c>
      <c r="C26" t="s">
        <v>674</v>
      </c>
      <c r="D26" t="s">
        <v>498</v>
      </c>
      <c r="E26" t="s">
        <v>674</v>
      </c>
      <c r="F26" t="s">
        <v>674</v>
      </c>
      <c r="H26" t="s">
        <v>674</v>
      </c>
      <c r="I26" t="s">
        <v>674</v>
      </c>
      <c r="J26" t="s">
        <v>674</v>
      </c>
      <c r="L26" t="s">
        <v>674</v>
      </c>
      <c r="AK26" s="13"/>
      <c r="AL26" s="13"/>
    </row>
    <row r="27" spans="1:38">
      <c r="B27" t="s">
        <v>711</v>
      </c>
      <c r="C27" t="s">
        <v>711</v>
      </c>
      <c r="D27" t="s">
        <v>714</v>
      </c>
      <c r="E27" s="3" t="s">
        <v>728</v>
      </c>
      <c r="F27" t="s">
        <v>717</v>
      </c>
      <c r="G27" t="s">
        <v>791</v>
      </c>
      <c r="H27" t="s">
        <v>750</v>
      </c>
      <c r="I27" t="s">
        <v>755</v>
      </c>
      <c r="J27" t="s">
        <v>717</v>
      </c>
      <c r="L27" t="s">
        <v>907</v>
      </c>
      <c r="AE27" s="13"/>
    </row>
    <row r="28" spans="1:38">
      <c r="A28">
        <v>2009</v>
      </c>
      <c r="B28" s="3">
        <f t="shared" ref="B28:B49" si="18">B3</f>
        <v>29.592572886961211</v>
      </c>
      <c r="C28" s="3">
        <f t="shared" ref="C28:C49" si="19">B28*AC3*1000</f>
        <v>2768980.0042902487</v>
      </c>
      <c r="D28" s="33">
        <v>5</v>
      </c>
      <c r="E28" s="61">
        <f t="shared" ref="E28:E49" si="20">D28/100*C28</f>
        <v>138449.00021451243</v>
      </c>
      <c r="F28" s="3">
        <f t="shared" ref="F28:F49" si="21">C28+E28</f>
        <v>2907429.0045047612</v>
      </c>
      <c r="G28" s="3">
        <f>-('Japan data'!P58+'Japan data'!R58)*AG$11/AG3</f>
        <v>-195636.09420612262</v>
      </c>
      <c r="H28" s="3">
        <v>-100000</v>
      </c>
      <c r="I28" s="3">
        <f>Austria!I28/AD3*AC3</f>
        <v>188480.57855114472</v>
      </c>
      <c r="J28" s="3">
        <f>F28+G28+H28+I28</f>
        <v>2800273.4888497833</v>
      </c>
      <c r="L28" s="15">
        <f>L29</f>
        <v>26638.762151360974</v>
      </c>
      <c r="AE28" s="72"/>
    </row>
    <row r="29" spans="1:38">
      <c r="A29">
        <v>2010</v>
      </c>
      <c r="B29" s="3">
        <f t="shared" si="18"/>
        <v>30</v>
      </c>
      <c r="C29" s="3">
        <f t="shared" si="19"/>
        <v>2612774.36069316</v>
      </c>
      <c r="D29" s="33">
        <v>5</v>
      </c>
      <c r="E29" s="61">
        <f t="shared" si="20"/>
        <v>130638.718034658</v>
      </c>
      <c r="F29" s="3">
        <f t="shared" si="21"/>
        <v>2743413.0787278181</v>
      </c>
      <c r="G29" s="3">
        <f>-('Japan data'!P59+'Japan data'!R59)*AG$11/AG4</f>
        <v>-181584.48579929586</v>
      </c>
      <c r="H29" s="3">
        <v>-100000</v>
      </c>
      <c r="I29" s="3">
        <f>Austria!I29/AD4*AC4</f>
        <v>166454.29362880887</v>
      </c>
      <c r="J29" s="3">
        <f t="shared" ref="J29:J49" si="22">F29+G29+H29+I29</f>
        <v>2628282.8865573313</v>
      </c>
      <c r="L29" s="15">
        <f>L30</f>
        <v>26638.762151360974</v>
      </c>
    </row>
    <row r="30" spans="1:38">
      <c r="A30">
        <v>2011</v>
      </c>
      <c r="B30" s="3">
        <f t="shared" si="18"/>
        <v>30</v>
      </c>
      <c r="C30" s="3">
        <f t="shared" si="19"/>
        <v>2388065.4382972592</v>
      </c>
      <c r="D30" s="33">
        <v>5</v>
      </c>
      <c r="E30" s="61">
        <f t="shared" si="20"/>
        <v>119403.27191486297</v>
      </c>
      <c r="F30" s="3">
        <f t="shared" si="21"/>
        <v>2507468.7102121222</v>
      </c>
      <c r="G30" s="3">
        <f>-('Japan data'!P60+'Japan data'!R60)*AG$11/AG5</f>
        <v>-173151.95398384635</v>
      </c>
      <c r="H30" s="3">
        <v>-100000</v>
      </c>
      <c r="I30" s="3">
        <f>Austria!I30/AD5*AC5</f>
        <v>161331.46790531088</v>
      </c>
      <c r="J30" s="3">
        <f t="shared" si="22"/>
        <v>2395648.2241335865</v>
      </c>
      <c r="L30" s="3">
        <f t="shared" ref="L30:L49" si="23">L5</f>
        <v>26638.762151360974</v>
      </c>
    </row>
    <row r="31" spans="1:38">
      <c r="A31">
        <v>2012</v>
      </c>
      <c r="B31" s="3">
        <f t="shared" si="18"/>
        <v>30.842462459493706</v>
      </c>
      <c r="C31" s="3">
        <f t="shared" si="19"/>
        <v>2465492.6830642191</v>
      </c>
      <c r="D31" s="33">
        <v>5</v>
      </c>
      <c r="E31" s="61">
        <f t="shared" si="20"/>
        <v>123274.63415321097</v>
      </c>
      <c r="F31" s="3">
        <f t="shared" si="21"/>
        <v>2588767.3172174301</v>
      </c>
      <c r="G31" s="3">
        <f>-('Japan data'!P61+'Japan data'!R61)*AG$11/AG6</f>
        <v>-172561.8331774851</v>
      </c>
      <c r="H31" s="3">
        <v>-100000</v>
      </c>
      <c r="I31" s="3">
        <f>Austria!I31/AD6*AC6</f>
        <v>149774.58995161272</v>
      </c>
      <c r="J31" s="3">
        <f t="shared" si="22"/>
        <v>2465980.0739915576</v>
      </c>
      <c r="L31" s="3">
        <f t="shared" si="23"/>
        <v>26547.974334997733</v>
      </c>
    </row>
    <row r="32" spans="1:38">
      <c r="A32">
        <v>2013</v>
      </c>
      <c r="B32" s="3">
        <f t="shared" si="18"/>
        <v>31.143929334439989</v>
      </c>
      <c r="C32" s="3">
        <f t="shared" si="19"/>
        <v>3042321.6556300004</v>
      </c>
      <c r="D32" s="33">
        <v>5</v>
      </c>
      <c r="E32" s="61">
        <f t="shared" si="20"/>
        <v>152116.08278150004</v>
      </c>
      <c r="F32" s="3">
        <f t="shared" si="21"/>
        <v>3194437.7384115006</v>
      </c>
      <c r="G32" s="3">
        <f>-('Japan data'!P62+'Japan data'!R62)*AG$11/AG7</f>
        <v>-412581.20504411694</v>
      </c>
      <c r="H32" s="3">
        <f t="shared" ref="H32:H49" si="24">-0.25*C32</f>
        <v>-760580.4139075001</v>
      </c>
      <c r="I32" s="3">
        <f>Austria!I32/AD7*AC7</f>
        <v>188440.0549678969</v>
      </c>
      <c r="J32" s="3">
        <f t="shared" si="22"/>
        <v>2209716.1744277808</v>
      </c>
      <c r="L32" s="3">
        <f t="shared" si="23"/>
        <v>15868.507886312134</v>
      </c>
    </row>
    <row r="33" spans="1:22">
      <c r="A33">
        <v>2014</v>
      </c>
      <c r="B33" s="3">
        <f t="shared" si="18"/>
        <v>33.541755956678692</v>
      </c>
      <c r="C33" s="3">
        <f t="shared" si="19"/>
        <v>3559194.4488179791</v>
      </c>
      <c r="D33" s="33">
        <v>5</v>
      </c>
      <c r="E33" s="61">
        <f t="shared" si="20"/>
        <v>177959.72244089897</v>
      </c>
      <c r="F33" s="3">
        <f t="shared" si="21"/>
        <v>3737154.171258878</v>
      </c>
      <c r="G33" s="3">
        <f>-('Japan data'!P63+'Japan data'!R63)*AG$11/AG8</f>
        <v>-141269.92066951239</v>
      </c>
      <c r="H33" s="3">
        <f t="shared" si="24"/>
        <v>-889798.61220449477</v>
      </c>
      <c r="I33" s="3">
        <f>Austria!I33/AD8*AC8</f>
        <v>203149.42416194451</v>
      </c>
      <c r="J33" s="3">
        <f t="shared" si="22"/>
        <v>2909235.0625468153</v>
      </c>
      <c r="L33" s="3">
        <f t="shared" si="23"/>
        <v>17658.74008368899</v>
      </c>
      <c r="V33" s="167"/>
    </row>
    <row r="34" spans="1:22">
      <c r="A34">
        <v>2015</v>
      </c>
      <c r="B34" s="3">
        <f t="shared" si="18"/>
        <v>30</v>
      </c>
      <c r="C34" s="3">
        <f t="shared" si="19"/>
        <v>3628145.3035343494</v>
      </c>
      <c r="D34" s="33">
        <v>8</v>
      </c>
      <c r="E34" s="61">
        <f t="shared" si="20"/>
        <v>290251.62428274797</v>
      </c>
      <c r="F34" s="3">
        <f t="shared" si="21"/>
        <v>3918396.9278170974</v>
      </c>
      <c r="G34" s="3">
        <f>-('Japan data'!P64+'Japan data'!R64)*AG$11/AG9</f>
        <v>-148132.35652904242</v>
      </c>
      <c r="H34" s="3">
        <f t="shared" si="24"/>
        <v>-907036.32588358736</v>
      </c>
      <c r="I34" s="3">
        <f>Austria!I34/AD9*AC9</f>
        <v>193570.3811413291</v>
      </c>
      <c r="J34" s="3">
        <f t="shared" si="22"/>
        <v>3056798.6265457966</v>
      </c>
      <c r="L34" s="3">
        <f t="shared" si="23"/>
        <v>18516.544566130236</v>
      </c>
    </row>
    <row r="35" spans="1:22">
      <c r="A35">
        <v>2016</v>
      </c>
      <c r="B35" s="3">
        <f t="shared" si="18"/>
        <v>30</v>
      </c>
      <c r="C35" s="3">
        <f t="shared" si="19"/>
        <v>3268425.831474402</v>
      </c>
      <c r="D35" s="33">
        <v>8</v>
      </c>
      <c r="E35" s="61">
        <f t="shared" si="20"/>
        <v>261474.06651795216</v>
      </c>
      <c r="F35" s="3">
        <f t="shared" si="21"/>
        <v>3529899.8979923544</v>
      </c>
      <c r="G35" s="61">
        <f>-'Range acceptance'!I11*1000*AG$11/AG10</f>
        <v>-145681.5</v>
      </c>
      <c r="H35" s="3">
        <f t="shared" si="24"/>
        <v>-817106.4578686005</v>
      </c>
      <c r="I35" s="3">
        <f>Austria!I35/AD10*AC10</f>
        <v>174220.48460872789</v>
      </c>
      <c r="J35" s="3">
        <f t="shared" si="22"/>
        <v>2741332.4247324816</v>
      </c>
      <c r="L35" s="61">
        <f t="shared" si="23"/>
        <v>18538.1720913596</v>
      </c>
      <c r="V35" s="167"/>
    </row>
    <row r="36" spans="1:22">
      <c r="A36">
        <v>2017</v>
      </c>
      <c r="B36" s="3">
        <f t="shared" si="18"/>
        <v>30</v>
      </c>
      <c r="C36" s="3">
        <f t="shared" si="19"/>
        <v>3359617.7598647866</v>
      </c>
      <c r="D36" s="33">
        <v>8</v>
      </c>
      <c r="E36" s="61">
        <f t="shared" si="20"/>
        <v>268769.42078918294</v>
      </c>
      <c r="F36" s="3">
        <f t="shared" si="21"/>
        <v>3628387.1806539698</v>
      </c>
      <c r="G36" s="61">
        <f>-'Range acceptance'!I12*1000*AG$11/AG11</f>
        <v>-160000</v>
      </c>
      <c r="H36" s="3">
        <f t="shared" si="24"/>
        <v>-839904.43996619666</v>
      </c>
      <c r="I36" s="3">
        <f>Austria!I36/AD11*AC11</f>
        <v>184092.09831353714</v>
      </c>
      <c r="J36" s="3">
        <f t="shared" si="22"/>
        <v>2812574.8390013101</v>
      </c>
      <c r="L36" s="61">
        <f t="shared" si="23"/>
        <v>18451.450275066785</v>
      </c>
      <c r="V36" s="167"/>
    </row>
    <row r="37" spans="1:22">
      <c r="A37">
        <v>2018</v>
      </c>
      <c r="B37" s="3">
        <f t="shared" si="18"/>
        <v>30.592100851060948</v>
      </c>
      <c r="C37" s="3">
        <f t="shared" si="19"/>
        <v>3365131.093616704</v>
      </c>
      <c r="D37" s="33">
        <v>8</v>
      </c>
      <c r="E37" s="61">
        <f t="shared" si="20"/>
        <v>269210.48748933634</v>
      </c>
      <c r="F37" s="3">
        <f t="shared" si="21"/>
        <v>3634341.5811060402</v>
      </c>
      <c r="G37" s="61">
        <f>-'Range acceptance'!I13*1000*AG$11/AG12</f>
        <v>-218970.83706579078</v>
      </c>
      <c r="H37" s="3">
        <f t="shared" si="24"/>
        <v>-841282.773404176</v>
      </c>
      <c r="I37" s="3">
        <f>Austria!I37/AD12*AC12</f>
        <v>187647.05882352943</v>
      </c>
      <c r="J37" s="3">
        <f t="shared" si="22"/>
        <v>2761735.0294596031</v>
      </c>
      <c r="L37" s="61">
        <f t="shared" si="23"/>
        <v>18451.450275066785</v>
      </c>
      <c r="V37" s="105"/>
    </row>
    <row r="38" spans="1:22">
      <c r="A38">
        <v>2019</v>
      </c>
      <c r="B38" s="3">
        <f t="shared" si="18"/>
        <v>31.172994053473918</v>
      </c>
      <c r="C38" s="3">
        <f t="shared" si="19"/>
        <v>3429029.3458821313</v>
      </c>
      <c r="D38" s="33">
        <v>8</v>
      </c>
      <c r="E38" s="61">
        <f t="shared" si="20"/>
        <v>274322.34767057048</v>
      </c>
      <c r="F38" s="3">
        <f t="shared" si="21"/>
        <v>3703351.6935527017</v>
      </c>
      <c r="G38" s="3">
        <f t="shared" ref="G38:G49" si="25">G37*AG11/AG12</f>
        <v>-217946.48856951407</v>
      </c>
      <c r="H38" s="3">
        <f t="shared" si="24"/>
        <v>-857257.33647053281</v>
      </c>
      <c r="I38" s="3">
        <f>Austria!I38/AD13*AC13</f>
        <v>187647.05882352943</v>
      </c>
      <c r="J38" s="3">
        <f t="shared" si="22"/>
        <v>2815794.9273361848</v>
      </c>
      <c r="L38" s="3">
        <f t="shared" si="23"/>
        <v>18451.450275066785</v>
      </c>
      <c r="V38" s="105"/>
    </row>
    <row r="39" spans="1:22">
      <c r="A39">
        <v>2020</v>
      </c>
      <c r="B39" s="3">
        <f t="shared" si="18"/>
        <v>30.985903123425071</v>
      </c>
      <c r="C39" s="3">
        <f t="shared" si="19"/>
        <v>3408449.3435767577</v>
      </c>
      <c r="D39" s="33">
        <v>8</v>
      </c>
      <c r="E39" s="61">
        <f t="shared" si="20"/>
        <v>272675.94748614065</v>
      </c>
      <c r="F39" s="3">
        <f t="shared" si="21"/>
        <v>3681125.2910628985</v>
      </c>
      <c r="G39" s="3">
        <f t="shared" si="25"/>
        <v>-216926.93198916502</v>
      </c>
      <c r="H39" s="3">
        <f t="shared" si="24"/>
        <v>-852112.33589418943</v>
      </c>
      <c r="I39" s="3">
        <f>Austria!I39/AD14*AC14</f>
        <v>187647.05882352943</v>
      </c>
      <c r="J39" s="3">
        <f t="shared" si="22"/>
        <v>2799733.0820030738</v>
      </c>
      <c r="L39" s="3">
        <f t="shared" si="23"/>
        <v>18451.450275066785</v>
      </c>
      <c r="V39" s="105"/>
    </row>
    <row r="40" spans="1:22">
      <c r="A40">
        <v>2021</v>
      </c>
      <c r="B40" s="3">
        <f t="shared" si="18"/>
        <v>30.206708843097807</v>
      </c>
      <c r="C40" s="3">
        <f t="shared" si="19"/>
        <v>3322737.9727407587</v>
      </c>
      <c r="D40" s="33">
        <v>8</v>
      </c>
      <c r="E40" s="61">
        <f t="shared" si="20"/>
        <v>265819.03781926067</v>
      </c>
      <c r="F40" s="3">
        <f t="shared" si="21"/>
        <v>3588557.0105600194</v>
      </c>
      <c r="G40" s="3">
        <f t="shared" si="25"/>
        <v>-215912.14490809696</v>
      </c>
      <c r="H40" s="3">
        <f t="shared" si="24"/>
        <v>-830684.49318518967</v>
      </c>
      <c r="I40" s="3">
        <f>Austria!I40/AD15*AC15</f>
        <v>187647.05882352943</v>
      </c>
      <c r="J40" s="3">
        <f t="shared" si="22"/>
        <v>2729607.4312902624</v>
      </c>
      <c r="L40" s="3">
        <f t="shared" si="23"/>
        <v>18451.450275066785</v>
      </c>
      <c r="V40" s="105"/>
    </row>
    <row r="41" spans="1:22">
      <c r="A41">
        <v>2022</v>
      </c>
      <c r="B41" s="3">
        <f t="shared" si="18"/>
        <v>30.642454642697771</v>
      </c>
      <c r="C41" s="3">
        <f t="shared" si="19"/>
        <v>3370670.0106967548</v>
      </c>
      <c r="D41" s="33">
        <v>8</v>
      </c>
      <c r="E41" s="61">
        <f t="shared" si="20"/>
        <v>269653.60085574037</v>
      </c>
      <c r="F41" s="3">
        <f t="shared" si="21"/>
        <v>3640323.611552495</v>
      </c>
      <c r="G41" s="3">
        <f t="shared" si="25"/>
        <v>-214902.10501452867</v>
      </c>
      <c r="H41" s="3">
        <f t="shared" si="24"/>
        <v>-842667.5026741887</v>
      </c>
      <c r="I41" s="3">
        <f>Austria!I41/AD16*AC16</f>
        <v>187647.05882352943</v>
      </c>
      <c r="J41" s="3">
        <f t="shared" si="22"/>
        <v>2770401.0626873076</v>
      </c>
      <c r="L41" s="3">
        <f t="shared" si="23"/>
        <v>18451.450275066785</v>
      </c>
      <c r="V41" s="105"/>
    </row>
    <row r="42" spans="1:22">
      <c r="A42">
        <v>2023</v>
      </c>
      <c r="B42" s="3">
        <f t="shared" si="18"/>
        <v>30.361546257811007</v>
      </c>
      <c r="C42" s="3">
        <f t="shared" si="19"/>
        <v>3339770.0883592106</v>
      </c>
      <c r="D42" s="33">
        <v>8</v>
      </c>
      <c r="E42" s="61">
        <f t="shared" si="20"/>
        <v>267181.60706873686</v>
      </c>
      <c r="F42" s="3">
        <f t="shared" si="21"/>
        <v>3606951.6954279477</v>
      </c>
      <c r="G42" s="3">
        <f t="shared" si="25"/>
        <v>-213896.79010105375</v>
      </c>
      <c r="H42" s="3">
        <f t="shared" si="24"/>
        <v>-834942.52208980266</v>
      </c>
      <c r="I42" s="3">
        <f>Austria!I42/AD17*AC17</f>
        <v>187647.05882352943</v>
      </c>
      <c r="J42" s="3">
        <f t="shared" si="22"/>
        <v>2745759.442060621</v>
      </c>
      <c r="L42" s="3">
        <f t="shared" si="23"/>
        <v>18451.450275066785</v>
      </c>
      <c r="V42" s="105"/>
    </row>
    <row r="43" spans="1:22">
      <c r="A43">
        <v>2024</v>
      </c>
      <c r="B43" s="3">
        <f t="shared" si="18"/>
        <v>29.275640447464834</v>
      </c>
      <c r="C43" s="3">
        <f t="shared" si="19"/>
        <v>3220320.4492211319</v>
      </c>
      <c r="D43" s="33">
        <v>8</v>
      </c>
      <c r="E43" s="61">
        <f t="shared" si="20"/>
        <v>257625.63593769056</v>
      </c>
      <c r="F43" s="3">
        <f t="shared" si="21"/>
        <v>3477946.0851588226</v>
      </c>
      <c r="G43" s="3">
        <f t="shared" si="25"/>
        <v>-212896.17806415225</v>
      </c>
      <c r="H43" s="3">
        <f t="shared" si="24"/>
        <v>-805080.11230528296</v>
      </c>
      <c r="I43" s="3">
        <f>Austria!I43/AD18*AC18</f>
        <v>187647.05882352943</v>
      </c>
      <c r="J43" s="3">
        <f t="shared" si="22"/>
        <v>2647616.853612917</v>
      </c>
      <c r="L43" s="3">
        <f t="shared" si="23"/>
        <v>18451.450275066785</v>
      </c>
      <c r="V43" s="105"/>
    </row>
    <row r="44" spans="1:22">
      <c r="A44">
        <v>2025</v>
      </c>
      <c r="B44" s="3">
        <f t="shared" si="18"/>
        <v>28.343375828936317</v>
      </c>
      <c r="C44" s="3">
        <f t="shared" si="19"/>
        <v>3117771.3411829951</v>
      </c>
      <c r="D44" s="33">
        <v>8</v>
      </c>
      <c r="E44" s="61">
        <f t="shared" si="20"/>
        <v>249421.70729463961</v>
      </c>
      <c r="F44" s="3">
        <f t="shared" si="21"/>
        <v>3367193.0484776348</v>
      </c>
      <c r="G44" s="3">
        <f t="shared" si="25"/>
        <v>-211900.24690370489</v>
      </c>
      <c r="H44" s="3">
        <f t="shared" si="24"/>
        <v>-779442.83529574878</v>
      </c>
      <c r="I44" s="3">
        <f>Austria!I44/AD19*AC19</f>
        <v>187647.05882352943</v>
      </c>
      <c r="J44" s="3">
        <f t="shared" si="22"/>
        <v>2563497.0251017106</v>
      </c>
      <c r="L44" s="3">
        <f t="shared" si="23"/>
        <v>18451.450275066785</v>
      </c>
      <c r="V44" s="105"/>
    </row>
    <row r="45" spans="1:22">
      <c r="A45">
        <v>2026</v>
      </c>
      <c r="B45" s="3">
        <f t="shared" si="18"/>
        <v>27.812270474504896</v>
      </c>
      <c r="C45" s="3">
        <f t="shared" si="19"/>
        <v>3059349.7521955385</v>
      </c>
      <c r="D45" s="33">
        <v>8</v>
      </c>
      <c r="E45" s="61">
        <f t="shared" si="20"/>
        <v>244747.98017564308</v>
      </c>
      <c r="F45" s="3">
        <f t="shared" si="21"/>
        <v>3304097.7323711817</v>
      </c>
      <c r="G45" s="3">
        <f t="shared" si="25"/>
        <v>-210908.9747225091</v>
      </c>
      <c r="H45" s="3">
        <f t="shared" si="24"/>
        <v>-764837.43804888462</v>
      </c>
      <c r="I45" s="3">
        <f>Austria!I45/AD20*AC20</f>
        <v>187647.05882352943</v>
      </c>
      <c r="J45" s="3">
        <f t="shared" si="22"/>
        <v>2515998.3784233173</v>
      </c>
      <c r="L45" s="3">
        <f t="shared" si="23"/>
        <v>18451.450275066785</v>
      </c>
      <c r="V45" s="105"/>
    </row>
    <row r="46" spans="1:22">
      <c r="A46">
        <v>2027</v>
      </c>
      <c r="B46" s="3">
        <f t="shared" si="18"/>
        <v>27.281165120073478</v>
      </c>
      <c r="C46" s="3">
        <f t="shared" si="19"/>
        <v>3000928.1632080823</v>
      </c>
      <c r="D46" s="33">
        <v>8</v>
      </c>
      <c r="E46" s="61">
        <f t="shared" si="20"/>
        <v>240074.25305664659</v>
      </c>
      <c r="F46" s="3">
        <f t="shared" si="21"/>
        <v>3241002.4162647291</v>
      </c>
      <c r="G46" s="3">
        <f t="shared" si="25"/>
        <v>-209922.33972579788</v>
      </c>
      <c r="H46" s="3">
        <f t="shared" si="24"/>
        <v>-750232.04080202058</v>
      </c>
      <c r="I46" s="3">
        <f>Austria!I46/AD21*AC21</f>
        <v>187647.05882352943</v>
      </c>
      <c r="J46" s="3">
        <f t="shared" si="22"/>
        <v>2468495.0945604402</v>
      </c>
      <c r="L46" s="3">
        <f t="shared" si="23"/>
        <v>18451.450275066785</v>
      </c>
      <c r="V46" s="105"/>
    </row>
    <row r="47" spans="1:22">
      <c r="A47">
        <v>2028</v>
      </c>
      <c r="B47" s="3">
        <f t="shared" si="18"/>
        <v>26.683671596338133</v>
      </c>
      <c r="C47" s="3">
        <f t="shared" si="19"/>
        <v>2935203.8755971948</v>
      </c>
      <c r="D47" s="33">
        <v>8</v>
      </c>
      <c r="E47" s="61">
        <f t="shared" si="20"/>
        <v>234816.31004777559</v>
      </c>
      <c r="F47" s="3">
        <f t="shared" si="21"/>
        <v>3170020.1856449703</v>
      </c>
      <c r="G47" s="3">
        <f t="shared" si="25"/>
        <v>-208940.32022076033</v>
      </c>
      <c r="H47" s="3">
        <f t="shared" si="24"/>
        <v>-733800.96889929869</v>
      </c>
      <c r="I47" s="3">
        <f>Austria!I47/AD22*AC22</f>
        <v>187647.05882352943</v>
      </c>
      <c r="J47" s="3">
        <f t="shared" si="22"/>
        <v>2414925.9553484404</v>
      </c>
      <c r="L47" s="3">
        <f t="shared" si="23"/>
        <v>18451.450275066785</v>
      </c>
      <c r="V47" s="105"/>
    </row>
    <row r="48" spans="1:22">
      <c r="A48">
        <v>2029</v>
      </c>
      <c r="B48" s="3">
        <f t="shared" si="18"/>
        <v>26.152566241906715</v>
      </c>
      <c r="C48" s="3">
        <f t="shared" si="19"/>
        <v>2876782.2866097386</v>
      </c>
      <c r="D48" s="33">
        <v>8</v>
      </c>
      <c r="E48" s="61">
        <f t="shared" si="20"/>
        <v>230142.5829287791</v>
      </c>
      <c r="F48" s="3">
        <f t="shared" si="21"/>
        <v>3106924.8695385177</v>
      </c>
      <c r="G48" s="3">
        <f t="shared" si="25"/>
        <v>-207962.89461606485</v>
      </c>
      <c r="H48" s="3">
        <f t="shared" si="24"/>
        <v>-719195.57165243465</v>
      </c>
      <c r="I48" s="3">
        <f>Austria!I48/AD23*AC23</f>
        <v>187647.05882352943</v>
      </c>
      <c r="J48" s="3">
        <f t="shared" si="22"/>
        <v>2367413.4620935479</v>
      </c>
      <c r="L48" s="3">
        <f t="shared" si="23"/>
        <v>18451.450275066785</v>
      </c>
      <c r="V48" s="105"/>
    </row>
    <row r="49" spans="1:22">
      <c r="A49">
        <v>2030</v>
      </c>
      <c r="B49" s="3">
        <f t="shared" si="18"/>
        <v>25.55507271817137</v>
      </c>
      <c r="C49" s="3">
        <f t="shared" si="19"/>
        <v>2811057.998998851</v>
      </c>
      <c r="D49" s="33">
        <v>8</v>
      </c>
      <c r="E49" s="61">
        <f t="shared" si="20"/>
        <v>224884.63991990808</v>
      </c>
      <c r="F49" s="3">
        <f t="shared" si="21"/>
        <v>3035942.6389187593</v>
      </c>
      <c r="G49" s="3">
        <f t="shared" si="25"/>
        <v>-206990.04142138438</v>
      </c>
      <c r="H49" s="3">
        <f t="shared" si="24"/>
        <v>-702764.49974971276</v>
      </c>
      <c r="I49" s="3">
        <f>Austria!I49/AD24*AC24</f>
        <v>187647.05882352943</v>
      </c>
      <c r="J49" s="3">
        <f t="shared" si="22"/>
        <v>2313835.1565711917</v>
      </c>
      <c r="L49" s="3">
        <f t="shared" si="23"/>
        <v>18451.450275066785</v>
      </c>
      <c r="V49" s="105"/>
    </row>
    <row r="50" spans="1:22">
      <c r="V50" s="167"/>
    </row>
    <row r="51" spans="1:22">
      <c r="A51" t="s">
        <v>716</v>
      </c>
      <c r="B51" t="s">
        <v>1395</v>
      </c>
      <c r="C51" t="s">
        <v>674</v>
      </c>
      <c r="D51" t="s">
        <v>498</v>
      </c>
      <c r="E51" t="s">
        <v>674</v>
      </c>
      <c r="F51" t="s">
        <v>674</v>
      </c>
    </row>
    <row r="52" spans="1:22">
      <c r="B52" t="s">
        <v>724</v>
      </c>
      <c r="C52" t="s">
        <v>724</v>
      </c>
      <c r="D52" t="s">
        <v>714</v>
      </c>
      <c r="E52" t="s">
        <v>728</v>
      </c>
      <c r="F52" t="s">
        <v>725</v>
      </c>
    </row>
    <row r="53" spans="1:22">
      <c r="A53">
        <v>2009</v>
      </c>
      <c r="B53" s="3">
        <f t="shared" ref="B53:B74" si="26">U3</f>
        <v>23</v>
      </c>
      <c r="C53" s="3">
        <f t="shared" ref="C53:C74" si="27">B53*AC3*1000</f>
        <v>2152112.2999999998</v>
      </c>
      <c r="D53" s="33">
        <v>5</v>
      </c>
      <c r="E53" s="61">
        <f t="shared" ref="E53:E62" si="28">D53/100*C53</f>
        <v>107605.61499999999</v>
      </c>
      <c r="F53" s="3">
        <f t="shared" ref="F53:F62" si="29">C53+E53</f>
        <v>2259717.915</v>
      </c>
    </row>
    <row r="54" spans="1:22">
      <c r="A54">
        <v>2010</v>
      </c>
      <c r="B54" s="3">
        <f t="shared" si="26"/>
        <v>23</v>
      </c>
      <c r="C54" s="3">
        <f t="shared" si="27"/>
        <v>2003127.0098647559</v>
      </c>
      <c r="D54" s="33">
        <v>5</v>
      </c>
      <c r="E54" s="61">
        <f t="shared" si="28"/>
        <v>100156.3504932378</v>
      </c>
      <c r="F54" s="3">
        <f t="shared" si="29"/>
        <v>2103283.3603579937</v>
      </c>
    </row>
    <row r="55" spans="1:22">
      <c r="A55">
        <v>2011</v>
      </c>
      <c r="B55" s="3">
        <f t="shared" si="26"/>
        <v>23</v>
      </c>
      <c r="C55" s="3">
        <f t="shared" si="27"/>
        <v>1830850.1693612321</v>
      </c>
      <c r="D55" s="33">
        <v>5</v>
      </c>
      <c r="E55" s="61">
        <f t="shared" si="28"/>
        <v>91542.508468061613</v>
      </c>
      <c r="F55" s="3">
        <f t="shared" si="29"/>
        <v>1922392.6778292938</v>
      </c>
    </row>
    <row r="56" spans="1:22">
      <c r="A56">
        <v>2012</v>
      </c>
      <c r="B56" s="3">
        <f t="shared" si="26"/>
        <v>23</v>
      </c>
      <c r="C56" s="3">
        <f t="shared" si="27"/>
        <v>1838579.9053804828</v>
      </c>
      <c r="D56" s="33">
        <v>5</v>
      </c>
      <c r="E56" s="61">
        <f t="shared" si="28"/>
        <v>91928.995269024148</v>
      </c>
      <c r="F56" s="3">
        <f t="shared" si="29"/>
        <v>1930508.9006495068</v>
      </c>
    </row>
    <row r="57" spans="1:22">
      <c r="A57">
        <v>2013</v>
      </c>
      <c r="B57" s="3">
        <f t="shared" si="26"/>
        <v>23</v>
      </c>
      <c r="C57" s="3">
        <f t="shared" si="27"/>
        <v>2246774.8795625195</v>
      </c>
      <c r="D57" s="33">
        <v>5</v>
      </c>
      <c r="E57" s="61">
        <f t="shared" si="28"/>
        <v>112338.74397812597</v>
      </c>
      <c r="F57" s="3">
        <f t="shared" si="29"/>
        <v>2359113.6235406455</v>
      </c>
    </row>
    <row r="58" spans="1:22">
      <c r="A58">
        <v>2014</v>
      </c>
      <c r="B58" s="3">
        <f t="shared" si="26"/>
        <v>23</v>
      </c>
      <c r="C58" s="3">
        <f t="shared" si="27"/>
        <v>2440583.982202447</v>
      </c>
      <c r="D58" s="33">
        <v>5</v>
      </c>
      <c r="E58" s="61">
        <f t="shared" si="28"/>
        <v>122029.19911012235</v>
      </c>
      <c r="F58" s="3">
        <f t="shared" si="29"/>
        <v>2562613.1813125694</v>
      </c>
    </row>
    <row r="59" spans="1:22">
      <c r="A59">
        <v>2015</v>
      </c>
      <c r="B59" s="3">
        <f t="shared" si="26"/>
        <v>23</v>
      </c>
      <c r="C59" s="3">
        <f t="shared" si="27"/>
        <v>2781578.0660430016</v>
      </c>
      <c r="D59" s="33">
        <v>8</v>
      </c>
      <c r="E59" s="61">
        <f t="shared" si="28"/>
        <v>222526.24528344013</v>
      </c>
      <c r="F59" s="3">
        <f t="shared" si="29"/>
        <v>3004104.3113264418</v>
      </c>
    </row>
    <row r="60" spans="1:22">
      <c r="A60">
        <v>2016</v>
      </c>
      <c r="B60" s="3">
        <f t="shared" si="26"/>
        <v>23</v>
      </c>
      <c r="C60" s="3">
        <f t="shared" si="27"/>
        <v>2505793.1374637084</v>
      </c>
      <c r="D60" s="33">
        <v>8</v>
      </c>
      <c r="E60" s="61">
        <f t="shared" si="28"/>
        <v>200463.45099709669</v>
      </c>
      <c r="F60" s="3">
        <f t="shared" si="29"/>
        <v>2706256.5884608049</v>
      </c>
    </row>
    <row r="61" spans="1:22">
      <c r="A61">
        <v>2017</v>
      </c>
      <c r="B61" s="3">
        <f t="shared" si="26"/>
        <v>23</v>
      </c>
      <c r="C61" s="3">
        <f t="shared" si="27"/>
        <v>2575706.9492296698</v>
      </c>
      <c r="D61" s="33">
        <v>8</v>
      </c>
      <c r="E61" s="61">
        <f t="shared" si="28"/>
        <v>206056.55593837358</v>
      </c>
      <c r="F61" s="3">
        <f t="shared" si="29"/>
        <v>2781763.5051680435</v>
      </c>
    </row>
    <row r="62" spans="1:22">
      <c r="A62">
        <v>2018</v>
      </c>
      <c r="B62" s="3">
        <f t="shared" si="26"/>
        <v>23</v>
      </c>
      <c r="C62" s="3">
        <f t="shared" si="27"/>
        <v>2530000</v>
      </c>
      <c r="D62" s="33">
        <v>8</v>
      </c>
      <c r="E62" s="61">
        <f t="shared" si="28"/>
        <v>202400</v>
      </c>
      <c r="F62" s="3">
        <f t="shared" si="29"/>
        <v>2732400</v>
      </c>
    </row>
    <row r="63" spans="1:22">
      <c r="A63">
        <v>2019</v>
      </c>
      <c r="B63" s="3">
        <f t="shared" si="26"/>
        <v>23</v>
      </c>
      <c r="C63" s="3">
        <f t="shared" si="27"/>
        <v>2530000</v>
      </c>
      <c r="D63" s="33">
        <v>8</v>
      </c>
      <c r="E63" s="61">
        <f t="shared" ref="E63:E74" si="30">D63/100*C63</f>
        <v>202400</v>
      </c>
      <c r="F63" s="3">
        <f t="shared" ref="F63:F74" si="31">C63+E63</f>
        <v>2732400</v>
      </c>
    </row>
    <row r="64" spans="1:22">
      <c r="A64">
        <v>2020</v>
      </c>
      <c r="B64" s="3">
        <f t="shared" si="26"/>
        <v>23</v>
      </c>
      <c r="C64" s="3">
        <f t="shared" si="27"/>
        <v>2530000</v>
      </c>
      <c r="D64" s="33">
        <v>8</v>
      </c>
      <c r="E64" s="61">
        <f t="shared" si="30"/>
        <v>202400</v>
      </c>
      <c r="F64" s="3">
        <f t="shared" si="31"/>
        <v>2732400</v>
      </c>
    </row>
    <row r="65" spans="1:28">
      <c r="A65">
        <v>2021</v>
      </c>
      <c r="B65" s="3">
        <f t="shared" si="26"/>
        <v>23</v>
      </c>
      <c r="C65" s="3">
        <f t="shared" si="27"/>
        <v>2530000</v>
      </c>
      <c r="D65" s="33">
        <v>8</v>
      </c>
      <c r="E65" s="61">
        <f t="shared" si="30"/>
        <v>202400</v>
      </c>
      <c r="F65" s="3">
        <f t="shared" si="31"/>
        <v>2732400</v>
      </c>
    </row>
    <row r="66" spans="1:28">
      <c r="A66">
        <v>2022</v>
      </c>
      <c r="B66" s="3">
        <f t="shared" si="26"/>
        <v>23</v>
      </c>
      <c r="C66" s="3">
        <f t="shared" si="27"/>
        <v>2530000</v>
      </c>
      <c r="D66" s="33">
        <v>8</v>
      </c>
      <c r="E66" s="61">
        <f t="shared" si="30"/>
        <v>202400</v>
      </c>
      <c r="F66" s="3">
        <f t="shared" si="31"/>
        <v>2732400</v>
      </c>
    </row>
    <row r="67" spans="1:28">
      <c r="A67">
        <v>2023</v>
      </c>
      <c r="B67" s="3">
        <f t="shared" si="26"/>
        <v>23</v>
      </c>
      <c r="C67" s="3">
        <f t="shared" si="27"/>
        <v>2530000</v>
      </c>
      <c r="D67" s="33">
        <v>8</v>
      </c>
      <c r="E67" s="61">
        <f t="shared" si="30"/>
        <v>202400</v>
      </c>
      <c r="F67" s="3">
        <f t="shared" si="31"/>
        <v>2732400</v>
      </c>
    </row>
    <row r="68" spans="1:28">
      <c r="A68">
        <v>2024</v>
      </c>
      <c r="B68" s="3">
        <f t="shared" si="26"/>
        <v>23</v>
      </c>
      <c r="C68" s="3">
        <f t="shared" si="27"/>
        <v>2530000</v>
      </c>
      <c r="D68" s="33">
        <v>8</v>
      </c>
      <c r="E68" s="61">
        <f t="shared" si="30"/>
        <v>202400</v>
      </c>
      <c r="F68" s="3">
        <f t="shared" si="31"/>
        <v>2732400</v>
      </c>
    </row>
    <row r="69" spans="1:28">
      <c r="A69">
        <v>2025</v>
      </c>
      <c r="B69" s="3">
        <f t="shared" si="26"/>
        <v>23</v>
      </c>
      <c r="C69" s="3">
        <f t="shared" si="27"/>
        <v>2530000</v>
      </c>
      <c r="D69" s="33">
        <v>8</v>
      </c>
      <c r="E69" s="61">
        <f t="shared" si="30"/>
        <v>202400</v>
      </c>
      <c r="F69" s="3">
        <f t="shared" si="31"/>
        <v>2732400</v>
      </c>
    </row>
    <row r="70" spans="1:28">
      <c r="A70">
        <v>2026</v>
      </c>
      <c r="B70" s="3">
        <f t="shared" si="26"/>
        <v>23</v>
      </c>
      <c r="C70" s="3">
        <f t="shared" si="27"/>
        <v>2530000</v>
      </c>
      <c r="D70" s="33">
        <v>8</v>
      </c>
      <c r="E70" s="61">
        <f t="shared" si="30"/>
        <v>202400</v>
      </c>
      <c r="F70" s="3">
        <f t="shared" si="31"/>
        <v>2732400</v>
      </c>
    </row>
    <row r="71" spans="1:28">
      <c r="A71">
        <v>2027</v>
      </c>
      <c r="B71" s="3">
        <f t="shared" si="26"/>
        <v>23</v>
      </c>
      <c r="C71" s="3">
        <f t="shared" si="27"/>
        <v>2530000</v>
      </c>
      <c r="D71" s="33">
        <v>8</v>
      </c>
      <c r="E71" s="61">
        <f t="shared" si="30"/>
        <v>202400</v>
      </c>
      <c r="F71" s="3">
        <f t="shared" si="31"/>
        <v>2732400</v>
      </c>
    </row>
    <row r="72" spans="1:28">
      <c r="A72">
        <v>2028</v>
      </c>
      <c r="B72" s="3">
        <f t="shared" si="26"/>
        <v>23</v>
      </c>
      <c r="C72" s="3">
        <f t="shared" si="27"/>
        <v>2530000</v>
      </c>
      <c r="D72" s="33">
        <v>8</v>
      </c>
      <c r="E72" s="61">
        <f t="shared" si="30"/>
        <v>202400</v>
      </c>
      <c r="F72" s="3">
        <f t="shared" si="31"/>
        <v>2732400</v>
      </c>
    </row>
    <row r="73" spans="1:28">
      <c r="A73">
        <v>2029</v>
      </c>
      <c r="B73" s="3">
        <f t="shared" si="26"/>
        <v>23</v>
      </c>
      <c r="C73" s="3">
        <f t="shared" si="27"/>
        <v>2530000</v>
      </c>
      <c r="D73" s="33">
        <v>8</v>
      </c>
      <c r="E73" s="61">
        <f t="shared" si="30"/>
        <v>202400</v>
      </c>
      <c r="F73" s="3">
        <f t="shared" si="31"/>
        <v>2732400</v>
      </c>
    </row>
    <row r="74" spans="1:28">
      <c r="A74">
        <v>2030</v>
      </c>
      <c r="B74" s="3">
        <f t="shared" si="26"/>
        <v>23</v>
      </c>
      <c r="C74" s="3">
        <f t="shared" si="27"/>
        <v>2530000</v>
      </c>
      <c r="D74" s="33">
        <v>8</v>
      </c>
      <c r="E74" s="61">
        <f t="shared" si="30"/>
        <v>202400</v>
      </c>
      <c r="F74" s="3">
        <f t="shared" si="31"/>
        <v>2732400</v>
      </c>
    </row>
    <row r="80" spans="1:28">
      <c r="Y80" s="87" t="s">
        <v>1225</v>
      </c>
      <c r="Z80" s="87"/>
      <c r="AA80" s="87"/>
      <c r="AB80" s="234"/>
    </row>
    <row r="81" spans="1:28">
      <c r="Y81" s="235" t="s">
        <v>1167</v>
      </c>
      <c r="Z81" s="235" t="s">
        <v>1168</v>
      </c>
      <c r="AA81" s="235" t="s">
        <v>1169</v>
      </c>
      <c r="AB81" s="235" t="s">
        <v>1170</v>
      </c>
    </row>
    <row r="82" spans="1:28">
      <c r="B82" t="s">
        <v>980</v>
      </c>
      <c r="C82" t="s">
        <v>980</v>
      </c>
      <c r="D82" t="s">
        <v>980</v>
      </c>
      <c r="E82" t="s">
        <v>980</v>
      </c>
      <c r="F82" t="s">
        <v>980</v>
      </c>
      <c r="J82" t="s">
        <v>812</v>
      </c>
      <c r="K82" t="s">
        <v>812</v>
      </c>
      <c r="L82" t="s">
        <v>812</v>
      </c>
      <c r="M82" t="s">
        <v>812</v>
      </c>
      <c r="N82" t="s">
        <v>812</v>
      </c>
      <c r="T82" t="s">
        <v>1042</v>
      </c>
      <c r="X82" s="3">
        <v>2010</v>
      </c>
      <c r="Y82" s="3">
        <v>138.17026270713043</v>
      </c>
      <c r="Z82" s="3">
        <f t="shared" ref="Z82:AB82" si="32">Y82</f>
        <v>138.17026270713043</v>
      </c>
      <c r="AA82" s="3">
        <f t="shared" si="32"/>
        <v>138.17026270713043</v>
      </c>
      <c r="AB82" s="3">
        <f t="shared" si="32"/>
        <v>138.17026270713043</v>
      </c>
    </row>
    <row r="83" spans="1:28">
      <c r="B83" t="s">
        <v>978</v>
      </c>
      <c r="C83" t="s">
        <v>979</v>
      </c>
      <c r="D83" t="s">
        <v>916</v>
      </c>
      <c r="E83" t="s">
        <v>981</v>
      </c>
      <c r="F83" t="s">
        <v>983</v>
      </c>
      <c r="J83" t="s">
        <v>725</v>
      </c>
      <c r="K83" t="s">
        <v>979</v>
      </c>
      <c r="L83" t="s">
        <v>916</v>
      </c>
      <c r="M83" t="s">
        <v>985</v>
      </c>
      <c r="N83" t="s">
        <v>983</v>
      </c>
      <c r="R83" t="s">
        <v>997</v>
      </c>
      <c r="T83" t="s">
        <v>934</v>
      </c>
      <c r="U83" t="s">
        <v>986</v>
      </c>
      <c r="V83" t="s">
        <v>987</v>
      </c>
      <c r="X83" s="3">
        <v>2011</v>
      </c>
      <c r="Y83" s="3">
        <v>151.76099193379673</v>
      </c>
      <c r="Z83" s="3">
        <f t="shared" ref="Z83:AB83" si="33">Y83</f>
        <v>151.76099193379673</v>
      </c>
      <c r="AA83" s="3">
        <f t="shared" si="33"/>
        <v>151.76099193379673</v>
      </c>
      <c r="AB83" s="3">
        <f t="shared" si="33"/>
        <v>151.76099193379673</v>
      </c>
    </row>
    <row r="84" spans="1:28">
      <c r="A84" s="3">
        <v>2012</v>
      </c>
      <c r="B84" s="3">
        <f>MIN(J6,J31)</f>
        <v>2452706.0868240586</v>
      </c>
      <c r="C84" s="3">
        <f>B84/5</f>
        <v>490541.21736481169</v>
      </c>
      <c r="D84" s="3">
        <f>B84*0.13</f>
        <v>318851.79128712765</v>
      </c>
      <c r="E84" s="3">
        <f t="shared" ref="E84:E102" si="34">L6</f>
        <v>26547.974334997733</v>
      </c>
      <c r="F84" s="3">
        <f>C84+D84-E84</f>
        <v>782845.03431694163</v>
      </c>
      <c r="G84" s="3"/>
      <c r="H84" s="3"/>
      <c r="I84" s="3">
        <v>2012</v>
      </c>
      <c r="J84" s="3">
        <f>F56</f>
        <v>1930508.9006495068</v>
      </c>
      <c r="K84" s="3">
        <f>J84/5</f>
        <v>386101.78012990137</v>
      </c>
      <c r="L84" s="3">
        <f>J84*0.13</f>
        <v>250966.15708443589</v>
      </c>
      <c r="M84" s="3">
        <f t="shared" ref="M84:M102" si="35">V84/100*U84*T84</f>
        <v>74800.885726981942</v>
      </c>
      <c r="N84" s="3">
        <f t="shared" ref="N84:N102" si="36">SUM(K84:M84)</f>
        <v>711868.8229413192</v>
      </c>
      <c r="O84" s="3"/>
      <c r="P84" s="3"/>
      <c r="Q84" s="3">
        <v>2012</v>
      </c>
      <c r="R84" s="13">
        <f>N84/F84</f>
        <v>0.90933555395474719</v>
      </c>
      <c r="T84" s="3">
        <f>AA84</f>
        <v>153.34350185294886</v>
      </c>
      <c r="U84" s="12">
        <f>'Country L per 100 km'!N7</f>
        <v>5.5431762990157258</v>
      </c>
      <c r="V84" s="3">
        <f>'Country distance travelled'!N7</f>
        <v>8800</v>
      </c>
      <c r="X84" s="3">
        <v>2012</v>
      </c>
      <c r="Y84" s="3">
        <v>153.34350185294886</v>
      </c>
      <c r="Z84" s="3">
        <f t="shared" ref="Z84:AB84" si="37">Y84</f>
        <v>153.34350185294886</v>
      </c>
      <c r="AA84" s="3">
        <f t="shared" si="37"/>
        <v>153.34350185294886</v>
      </c>
      <c r="AB84" s="3">
        <f t="shared" si="37"/>
        <v>153.34350185294886</v>
      </c>
    </row>
    <row r="85" spans="1:28">
      <c r="A85" s="3">
        <v>2013</v>
      </c>
      <c r="B85" s="3">
        <f t="shared" ref="B85:B102" si="38">MIN(J7,J32)</f>
        <v>2193847.6665414684</v>
      </c>
      <c r="C85" s="3">
        <f t="shared" ref="C85:C102" si="39">B85/5</f>
        <v>438769.53330829367</v>
      </c>
      <c r="D85" s="3">
        <f t="shared" ref="D85:D102" si="40">B85*0.13</f>
        <v>285200.19665039092</v>
      </c>
      <c r="E85" s="3">
        <f t="shared" si="34"/>
        <v>15868.507886312134</v>
      </c>
      <c r="F85" s="3">
        <f t="shared" ref="F85:F102" si="41">C85+D85-E85</f>
        <v>708101.22207237256</v>
      </c>
      <c r="G85" s="3"/>
      <c r="H85" s="3"/>
      <c r="I85" s="3">
        <v>2013</v>
      </c>
      <c r="J85" s="3">
        <f t="shared" ref="J85:J102" si="42">F57</f>
        <v>2359113.6235406455</v>
      </c>
      <c r="K85" s="3">
        <f t="shared" ref="K85:K102" si="43">J85/5</f>
        <v>471822.72470812907</v>
      </c>
      <c r="L85" s="3">
        <f t="shared" ref="L85:L102" si="44">J85*0.13</f>
        <v>306684.77106028394</v>
      </c>
      <c r="M85" s="3">
        <f t="shared" si="35"/>
        <v>78368.012814998117</v>
      </c>
      <c r="N85" s="3">
        <f t="shared" si="36"/>
        <v>856875.50858341111</v>
      </c>
      <c r="O85" s="3"/>
      <c r="P85" s="3"/>
      <c r="Q85" s="3">
        <v>2013</v>
      </c>
      <c r="R85" s="13">
        <f t="shared" ref="R85:R102" si="45">N85/F85</f>
        <v>1.2101031347970657</v>
      </c>
      <c r="T85" s="3">
        <f t="shared" ref="T85:T102" si="46">AA85</f>
        <v>161.91738184916966</v>
      </c>
      <c r="U85" s="12">
        <f>'Country L per 100 km'!N8</f>
        <v>5.5</v>
      </c>
      <c r="V85" s="3">
        <f>'Country distance travelled'!N8</f>
        <v>8800</v>
      </c>
      <c r="X85" s="3">
        <v>2013</v>
      </c>
      <c r="Y85" s="3">
        <v>161.91738184916966</v>
      </c>
      <c r="Z85" s="3">
        <f t="shared" ref="Z85:AB85" si="47">Y85</f>
        <v>161.91738184916966</v>
      </c>
      <c r="AA85" s="3">
        <f t="shared" si="47"/>
        <v>161.91738184916966</v>
      </c>
      <c r="AB85" s="3">
        <f t="shared" si="47"/>
        <v>161.91738184916966</v>
      </c>
    </row>
    <row r="86" spans="1:28">
      <c r="A86" s="3">
        <v>2014</v>
      </c>
      <c r="B86" s="3">
        <f t="shared" si="38"/>
        <v>2909235.0625468153</v>
      </c>
      <c r="C86" s="3">
        <f t="shared" si="39"/>
        <v>581847.012509363</v>
      </c>
      <c r="D86" s="3">
        <f t="shared" si="40"/>
        <v>378200.558131086</v>
      </c>
      <c r="E86" s="3">
        <f t="shared" si="34"/>
        <v>17658.74008368899</v>
      </c>
      <c r="F86" s="3">
        <f t="shared" si="41"/>
        <v>942388.83055675996</v>
      </c>
      <c r="G86" s="3"/>
      <c r="H86" s="3"/>
      <c r="I86" s="3">
        <v>2014</v>
      </c>
      <c r="J86" s="3">
        <f t="shared" si="42"/>
        <v>2562613.1813125694</v>
      </c>
      <c r="K86" s="3">
        <f t="shared" si="43"/>
        <v>512522.63626251387</v>
      </c>
      <c r="L86" s="3">
        <f t="shared" si="44"/>
        <v>333139.71357063402</v>
      </c>
      <c r="M86" s="3">
        <f t="shared" si="35"/>
        <v>78825.004926736234</v>
      </c>
      <c r="N86" s="3">
        <f t="shared" si="36"/>
        <v>924487.35475988407</v>
      </c>
      <c r="O86" s="3"/>
      <c r="P86" s="3"/>
      <c r="Q86" s="3">
        <v>2014</v>
      </c>
      <c r="R86" s="13">
        <f t="shared" si="45"/>
        <v>0.98100415113547157</v>
      </c>
      <c r="T86" s="3">
        <f t="shared" si="46"/>
        <v>164.81591939226669</v>
      </c>
      <c r="U86" s="12">
        <f>'Country L per 100 km'!N9</f>
        <v>5.4347826086956514</v>
      </c>
      <c r="V86" s="3">
        <f>'Country distance travelled'!N9</f>
        <v>8800</v>
      </c>
      <c r="X86" s="3">
        <v>2014</v>
      </c>
      <c r="Y86" s="3">
        <v>164.81591939226669</v>
      </c>
      <c r="Z86" s="3">
        <f t="shared" ref="Z86:AB86" si="48">Y86</f>
        <v>164.81591939226669</v>
      </c>
      <c r="AA86" s="3">
        <f t="shared" si="48"/>
        <v>164.81591939226669</v>
      </c>
      <c r="AB86" s="3">
        <f t="shared" si="48"/>
        <v>164.81591939226669</v>
      </c>
    </row>
    <row r="87" spans="1:28">
      <c r="A87" s="3">
        <v>2015</v>
      </c>
      <c r="B87" s="3">
        <f t="shared" si="38"/>
        <v>3056798.6265457966</v>
      </c>
      <c r="C87" s="3">
        <f t="shared" si="39"/>
        <v>611359.72530915937</v>
      </c>
      <c r="D87" s="3">
        <f t="shared" si="40"/>
        <v>397383.8214509536</v>
      </c>
      <c r="E87" s="3">
        <f t="shared" si="34"/>
        <v>18516.544566130236</v>
      </c>
      <c r="F87" s="3">
        <f t="shared" si="41"/>
        <v>990227.00219398271</v>
      </c>
      <c r="G87" s="3"/>
      <c r="H87" s="3"/>
      <c r="I87" s="3">
        <v>2015</v>
      </c>
      <c r="J87" s="3">
        <f t="shared" si="42"/>
        <v>3004104.3113264418</v>
      </c>
      <c r="K87" s="3">
        <f t="shared" si="43"/>
        <v>600820.86226528836</v>
      </c>
      <c r="L87" s="3">
        <f t="shared" si="44"/>
        <v>390533.56047243747</v>
      </c>
      <c r="M87" s="3">
        <f t="shared" si="35"/>
        <v>65268.116719726189</v>
      </c>
      <c r="N87" s="3">
        <f t="shared" si="36"/>
        <v>1056622.539457452</v>
      </c>
      <c r="O87" s="3"/>
      <c r="P87" s="3"/>
      <c r="Q87" s="3">
        <v>2015</v>
      </c>
      <c r="R87" s="13">
        <f t="shared" si="45"/>
        <v>1.0670508248273991</v>
      </c>
      <c r="T87" s="3">
        <f t="shared" si="46"/>
        <v>137.97086528034481</v>
      </c>
      <c r="U87" s="12">
        <f>'Country L per 100 km'!N10</f>
        <v>5.3756504537048988</v>
      </c>
      <c r="V87" s="3">
        <f>'Country distance travelled'!N10</f>
        <v>8800</v>
      </c>
      <c r="X87" s="3">
        <v>2015</v>
      </c>
      <c r="Y87" s="3">
        <v>137.97086528034481</v>
      </c>
      <c r="Z87" s="3">
        <f t="shared" ref="Z87:AB87" si="49">Y87</f>
        <v>137.97086528034481</v>
      </c>
      <c r="AA87" s="3">
        <f t="shared" si="49"/>
        <v>137.97086528034481</v>
      </c>
      <c r="AB87" s="3">
        <f t="shared" si="49"/>
        <v>137.97086528034481</v>
      </c>
    </row>
    <row r="88" spans="1:28">
      <c r="A88" s="3">
        <v>2016</v>
      </c>
      <c r="B88" s="3">
        <f t="shared" si="38"/>
        <v>2741332.4247324816</v>
      </c>
      <c r="C88" s="3">
        <f t="shared" si="39"/>
        <v>548266.48494649632</v>
      </c>
      <c r="D88" s="3">
        <f t="shared" si="40"/>
        <v>356373.21521522262</v>
      </c>
      <c r="E88" s="3">
        <f t="shared" si="34"/>
        <v>18538.1720913596</v>
      </c>
      <c r="F88" s="3">
        <f t="shared" si="41"/>
        <v>886101.52807035937</v>
      </c>
      <c r="G88" s="3"/>
      <c r="H88" s="3"/>
      <c r="I88" s="3">
        <v>2016</v>
      </c>
      <c r="J88" s="3">
        <f t="shared" si="42"/>
        <v>2706256.5884608049</v>
      </c>
      <c r="K88" s="3">
        <f t="shared" si="43"/>
        <v>541251.31769216096</v>
      </c>
      <c r="L88" s="3">
        <f t="shared" si="44"/>
        <v>351813.35649990465</v>
      </c>
      <c r="M88" s="3">
        <f t="shared" si="35"/>
        <v>57323.860904991292</v>
      </c>
      <c r="N88" s="3">
        <f t="shared" si="36"/>
        <v>950388.53509705688</v>
      </c>
      <c r="O88" s="3"/>
      <c r="P88" s="3"/>
      <c r="Q88" s="3">
        <v>2016</v>
      </c>
      <c r="R88" s="13">
        <f t="shared" si="45"/>
        <v>1.0725503850181748</v>
      </c>
      <c r="T88" s="3">
        <f t="shared" si="46"/>
        <v>122.389205</v>
      </c>
      <c r="U88" s="12">
        <f>'Country L per 100 km'!N11</f>
        <v>5.3224261917870281</v>
      </c>
      <c r="V88" s="3">
        <f>'Country distance travelled'!N11</f>
        <v>8800</v>
      </c>
      <c r="X88" s="3">
        <v>2016</v>
      </c>
      <c r="Y88" s="3">
        <v>122.389205</v>
      </c>
      <c r="Z88" s="3">
        <f t="shared" ref="Z88:AB88" si="50">Y88</f>
        <v>122.389205</v>
      </c>
      <c r="AA88" s="3">
        <f t="shared" si="50"/>
        <v>122.389205</v>
      </c>
      <c r="AB88" s="3">
        <f t="shared" si="50"/>
        <v>122.389205</v>
      </c>
    </row>
    <row r="89" spans="1:28">
      <c r="A89" s="3">
        <v>2017</v>
      </c>
      <c r="B89" s="3">
        <f t="shared" si="38"/>
        <v>2812574.8390013101</v>
      </c>
      <c r="C89" s="3">
        <f t="shared" si="39"/>
        <v>562514.96780026203</v>
      </c>
      <c r="D89" s="3">
        <f t="shared" si="40"/>
        <v>365634.72907017032</v>
      </c>
      <c r="E89" s="3">
        <f t="shared" si="34"/>
        <v>18451.450275066785</v>
      </c>
      <c r="F89" s="3">
        <f t="shared" si="41"/>
        <v>909698.24659536558</v>
      </c>
      <c r="G89" s="3"/>
      <c r="H89" s="3"/>
      <c r="I89" s="3">
        <v>2017</v>
      </c>
      <c r="J89" s="3">
        <f t="shared" si="42"/>
        <v>2781763.5051680435</v>
      </c>
      <c r="K89" s="3">
        <f t="shared" si="43"/>
        <v>556352.70103360876</v>
      </c>
      <c r="L89" s="3">
        <f t="shared" si="44"/>
        <v>361629.25567184569</v>
      </c>
      <c r="M89" s="3">
        <f t="shared" si="35"/>
        <v>61908.775149617832</v>
      </c>
      <c r="N89" s="3">
        <f t="shared" si="36"/>
        <v>979890.73185507231</v>
      </c>
      <c r="O89" s="3"/>
      <c r="P89" s="3"/>
      <c r="Q89" s="3">
        <v>2017</v>
      </c>
      <c r="R89" s="13">
        <f>N89/F89</f>
        <v>1.0771601852838664</v>
      </c>
      <c r="T89" s="3">
        <f t="shared" si="46"/>
        <v>133.5</v>
      </c>
      <c r="U89" s="12">
        <f>'Country L per 100 km'!N12</f>
        <v>5.2697289027594341</v>
      </c>
      <c r="V89" s="3">
        <f>'Country distance travelled'!N12</f>
        <v>8800</v>
      </c>
      <c r="X89" s="3">
        <v>2017</v>
      </c>
      <c r="Y89" s="3">
        <v>133.5</v>
      </c>
      <c r="Z89" s="3">
        <f t="shared" ref="Z89:AB89" si="51">Y89</f>
        <v>133.5</v>
      </c>
      <c r="AA89" s="3">
        <f t="shared" si="51"/>
        <v>133.5</v>
      </c>
      <c r="AB89" s="3">
        <f t="shared" si="51"/>
        <v>133.5</v>
      </c>
    </row>
    <row r="90" spans="1:28">
      <c r="A90" s="3">
        <v>2018</v>
      </c>
      <c r="B90" s="3">
        <f t="shared" si="38"/>
        <v>2761735.0294596031</v>
      </c>
      <c r="C90" s="3">
        <f t="shared" si="39"/>
        <v>552347.00589192065</v>
      </c>
      <c r="D90" s="3">
        <f t="shared" si="40"/>
        <v>359025.55382974842</v>
      </c>
      <c r="E90" s="3">
        <f t="shared" si="34"/>
        <v>18451.450275066785</v>
      </c>
      <c r="F90" s="3">
        <f t="shared" si="41"/>
        <v>892921.10944660229</v>
      </c>
      <c r="G90" s="3"/>
      <c r="H90" s="3"/>
      <c r="I90" s="3">
        <v>2018</v>
      </c>
      <c r="J90" s="3">
        <f t="shared" si="42"/>
        <v>2732400</v>
      </c>
      <c r="K90" s="3">
        <f t="shared" si="43"/>
        <v>546480</v>
      </c>
      <c r="L90" s="3">
        <f t="shared" si="44"/>
        <v>355212</v>
      </c>
      <c r="M90" s="3">
        <f t="shared" si="35"/>
        <v>68080.389325241704</v>
      </c>
      <c r="N90" s="3">
        <f t="shared" si="36"/>
        <v>969772.38932524167</v>
      </c>
      <c r="O90" s="3"/>
      <c r="P90" s="3"/>
      <c r="Q90" s="3">
        <v>2018</v>
      </c>
      <c r="R90" s="13">
        <f t="shared" si="45"/>
        <v>1.0860672673829705</v>
      </c>
      <c r="S90" s="3"/>
      <c r="T90" s="3">
        <f t="shared" si="46"/>
        <v>148.27654516640251</v>
      </c>
      <c r="U90" s="12">
        <f>'Country L per 100 km'!N13</f>
        <v>5.2175533690687459</v>
      </c>
      <c r="V90" s="3">
        <f>'Country distance travelled'!N13</f>
        <v>8800</v>
      </c>
      <c r="X90" s="3">
        <v>2018</v>
      </c>
      <c r="Y90" s="3">
        <v>148.27654516640251</v>
      </c>
      <c r="Z90" s="3">
        <f>Y90</f>
        <v>148.27654516640251</v>
      </c>
      <c r="AA90" s="3">
        <f t="shared" ref="AA90:AB90" si="52">Z90</f>
        <v>148.27654516640251</v>
      </c>
      <c r="AB90" s="3">
        <f t="shared" si="52"/>
        <v>148.27654516640251</v>
      </c>
    </row>
    <row r="91" spans="1:28">
      <c r="A91" s="3">
        <v>2019</v>
      </c>
      <c r="B91" s="3">
        <f t="shared" si="38"/>
        <v>2815794.9273361848</v>
      </c>
      <c r="C91" s="3">
        <f t="shared" si="39"/>
        <v>563158.98546723695</v>
      </c>
      <c r="D91" s="3">
        <f t="shared" si="40"/>
        <v>366053.34055370401</v>
      </c>
      <c r="E91" s="3">
        <f t="shared" si="34"/>
        <v>18451.450275066785</v>
      </c>
      <c r="F91" s="3">
        <f t="shared" si="41"/>
        <v>910760.87574587413</v>
      </c>
      <c r="G91" s="3"/>
      <c r="H91" s="3"/>
      <c r="I91" s="3">
        <v>2019</v>
      </c>
      <c r="J91" s="3">
        <f t="shared" si="42"/>
        <v>2732400</v>
      </c>
      <c r="K91" s="3">
        <f t="shared" si="43"/>
        <v>546480</v>
      </c>
      <c r="L91" s="3">
        <f t="shared" si="44"/>
        <v>355212</v>
      </c>
      <c r="M91" s="3">
        <f t="shared" si="35"/>
        <v>64413.181015818118</v>
      </c>
      <c r="N91" s="3">
        <f t="shared" si="36"/>
        <v>966105.18101581815</v>
      </c>
      <c r="O91" s="3"/>
      <c r="P91" s="3"/>
      <c r="Q91" s="3">
        <v>2019</v>
      </c>
      <c r="R91" s="13">
        <f t="shared" si="45"/>
        <v>1.0607671088468962</v>
      </c>
      <c r="S91" s="3"/>
      <c r="T91" s="3">
        <f t="shared" si="46"/>
        <v>141.69239746208524</v>
      </c>
      <c r="U91" s="12">
        <f>'Country L per 100 km'!N14</f>
        <v>5.1658944248205403</v>
      </c>
      <c r="V91" s="3">
        <f>'Country distance travelled'!N14</f>
        <v>8800</v>
      </c>
      <c r="X91" s="3">
        <v>2019</v>
      </c>
      <c r="Y91" s="3"/>
      <c r="Z91" s="3">
        <v>174.57093730037866</v>
      </c>
      <c r="AA91" s="3">
        <v>141.69239746208524</v>
      </c>
      <c r="AB91" s="3">
        <v>113.05414191982489</v>
      </c>
    </row>
    <row r="92" spans="1:28">
      <c r="A92" s="3">
        <v>2020</v>
      </c>
      <c r="B92" s="3">
        <f t="shared" si="38"/>
        <v>2799733.0820030738</v>
      </c>
      <c r="C92" s="3">
        <f t="shared" si="39"/>
        <v>559946.61640061473</v>
      </c>
      <c r="D92" s="3">
        <f t="shared" si="40"/>
        <v>363965.3006603996</v>
      </c>
      <c r="E92" s="3">
        <f t="shared" si="34"/>
        <v>18451.450275066785</v>
      </c>
      <c r="F92" s="3">
        <f t="shared" si="41"/>
        <v>905460.46678594756</v>
      </c>
      <c r="G92" s="3"/>
      <c r="H92" s="3"/>
      <c r="I92" s="3">
        <v>2020</v>
      </c>
      <c r="J92" s="3">
        <f t="shared" si="42"/>
        <v>2732400</v>
      </c>
      <c r="K92" s="3">
        <f t="shared" si="43"/>
        <v>546480</v>
      </c>
      <c r="L92" s="3">
        <f t="shared" si="44"/>
        <v>355212</v>
      </c>
      <c r="M92" s="3">
        <f t="shared" si="35"/>
        <v>63874.610396374694</v>
      </c>
      <c r="N92" s="3">
        <f t="shared" si="36"/>
        <v>965566.61039637472</v>
      </c>
      <c r="O92" s="3"/>
      <c r="P92" s="3"/>
      <c r="Q92" s="3">
        <v>2020</v>
      </c>
      <c r="R92" s="13">
        <f t="shared" si="45"/>
        <v>1.0663818530076548</v>
      </c>
      <c r="S92" s="3"/>
      <c r="T92" s="3">
        <f t="shared" si="46"/>
        <v>141.91275771048106</v>
      </c>
      <c r="U92" s="12">
        <f>'Country L per 100 km'!N15</f>
        <v>5.1147469552678624</v>
      </c>
      <c r="V92" s="3">
        <f>'Country distance travelled'!N15</f>
        <v>8800</v>
      </c>
      <c r="X92" s="3">
        <v>2020</v>
      </c>
      <c r="Y92" s="3"/>
      <c r="Z92" s="3">
        <v>188.51474425330417</v>
      </c>
      <c r="AA92" s="3">
        <v>141.91275771048106</v>
      </c>
      <c r="AB92" s="3">
        <v>113.87436585823227</v>
      </c>
    </row>
    <row r="93" spans="1:28">
      <c r="A93" s="3">
        <v>2021</v>
      </c>
      <c r="B93" s="3">
        <f t="shared" si="38"/>
        <v>2729607.4312902624</v>
      </c>
      <c r="C93" s="3">
        <f t="shared" si="39"/>
        <v>545921.48625805252</v>
      </c>
      <c r="D93" s="3">
        <f t="shared" si="40"/>
        <v>354848.96606773412</v>
      </c>
      <c r="E93" s="3">
        <f t="shared" si="34"/>
        <v>18451.450275066785</v>
      </c>
      <c r="F93" s="3">
        <f t="shared" si="41"/>
        <v>882319.00205071992</v>
      </c>
      <c r="G93" s="3"/>
      <c r="H93" s="3"/>
      <c r="I93" s="3">
        <v>2021</v>
      </c>
      <c r="J93" s="3">
        <f t="shared" si="42"/>
        <v>2732400</v>
      </c>
      <c r="K93" s="3">
        <f t="shared" si="43"/>
        <v>546480</v>
      </c>
      <c r="L93" s="3">
        <f t="shared" si="44"/>
        <v>355212</v>
      </c>
      <c r="M93" s="3">
        <f t="shared" si="35"/>
        <v>66135.433650397579</v>
      </c>
      <c r="N93" s="3">
        <f t="shared" si="36"/>
        <v>967827.43365039758</v>
      </c>
      <c r="O93" s="3"/>
      <c r="P93" s="3"/>
      <c r="Q93" s="3">
        <v>2021</v>
      </c>
      <c r="R93" s="13">
        <f t="shared" si="45"/>
        <v>1.0969132835186997</v>
      </c>
      <c r="S93" s="3"/>
      <c r="T93" s="3">
        <f t="shared" si="46"/>
        <v>148.40507567247013</v>
      </c>
      <c r="U93" s="12">
        <f>'Country L per 100 km'!N16</f>
        <v>5.0641058963048131</v>
      </c>
      <c r="V93" s="3">
        <f>'Country distance travelled'!N16</f>
        <v>8800</v>
      </c>
      <c r="X93" s="3">
        <v>2021</v>
      </c>
      <c r="Y93" s="3"/>
      <c r="Z93" s="3">
        <v>203.278775144637</v>
      </c>
      <c r="AA93" s="3">
        <v>148.40507567247013</v>
      </c>
      <c r="AB93" s="3">
        <v>115.51481373504704</v>
      </c>
    </row>
    <row r="94" spans="1:28">
      <c r="A94" s="3">
        <v>2022</v>
      </c>
      <c r="B94" s="3">
        <f t="shared" si="38"/>
        <v>2770401.0626873076</v>
      </c>
      <c r="C94" s="3">
        <f t="shared" si="39"/>
        <v>554080.21253746154</v>
      </c>
      <c r="D94" s="3">
        <f t="shared" si="40"/>
        <v>360152.13814935001</v>
      </c>
      <c r="E94" s="3">
        <f t="shared" si="34"/>
        <v>18451.450275066785</v>
      </c>
      <c r="F94" s="3">
        <f t="shared" si="41"/>
        <v>895780.90041174483</v>
      </c>
      <c r="G94" s="3"/>
      <c r="H94" s="3"/>
      <c r="I94" s="3">
        <v>2022</v>
      </c>
      <c r="J94" s="3">
        <f t="shared" si="42"/>
        <v>2732400</v>
      </c>
      <c r="K94" s="3">
        <f t="shared" si="43"/>
        <v>546480</v>
      </c>
      <c r="L94" s="3">
        <f t="shared" si="44"/>
        <v>355212</v>
      </c>
      <c r="M94" s="3">
        <f t="shared" si="35"/>
        <v>67613.518412635167</v>
      </c>
      <c r="N94" s="3">
        <f t="shared" si="36"/>
        <v>969305.5184126352</v>
      </c>
      <c r="O94" s="3"/>
      <c r="P94" s="3"/>
      <c r="Q94" s="3">
        <v>2022</v>
      </c>
      <c r="R94" s="13">
        <f t="shared" si="45"/>
        <v>1.0820787962403473</v>
      </c>
      <c r="S94" s="3"/>
      <c r="T94" s="3">
        <f t="shared" si="46"/>
        <v>153.23905280861857</v>
      </c>
      <c r="U94" s="12">
        <f>'Country L per 100 km'!N17</f>
        <v>5.0139662339651618</v>
      </c>
      <c r="V94" s="3">
        <f>'Country distance travelled'!N17</f>
        <v>8800</v>
      </c>
      <c r="X94" s="3">
        <v>2022</v>
      </c>
      <c r="Y94" s="3"/>
      <c r="Z94" s="3">
        <v>209.84056665189615</v>
      </c>
      <c r="AA94" s="3">
        <v>153.23905280861857</v>
      </c>
      <c r="AB94" s="3">
        <v>116.33503767345442</v>
      </c>
    </row>
    <row r="95" spans="1:28">
      <c r="A95" s="3">
        <v>2023</v>
      </c>
      <c r="B95" s="3">
        <f t="shared" si="38"/>
        <v>2745759.442060621</v>
      </c>
      <c r="C95" s="3">
        <f t="shared" si="39"/>
        <v>549151.88841212424</v>
      </c>
      <c r="D95" s="3">
        <f t="shared" si="40"/>
        <v>356948.72746788076</v>
      </c>
      <c r="E95" s="3">
        <f t="shared" si="34"/>
        <v>18451.450275066785</v>
      </c>
      <c r="F95" s="3">
        <f t="shared" si="41"/>
        <v>887649.16560493829</v>
      </c>
      <c r="G95" s="3"/>
      <c r="H95" s="3"/>
      <c r="I95" s="3">
        <v>2023</v>
      </c>
      <c r="J95" s="3">
        <f t="shared" si="42"/>
        <v>2732400</v>
      </c>
      <c r="K95" s="3">
        <f t="shared" si="43"/>
        <v>546480</v>
      </c>
      <c r="L95" s="3">
        <f t="shared" si="44"/>
        <v>355212</v>
      </c>
      <c r="M95" s="3">
        <f t="shared" si="35"/>
        <v>67915.844484092377</v>
      </c>
      <c r="N95" s="3">
        <f t="shared" si="36"/>
        <v>969607.84448409243</v>
      </c>
      <c r="O95" s="3"/>
      <c r="P95" s="3"/>
      <c r="Q95" s="3">
        <v>2023</v>
      </c>
      <c r="R95" s="13">
        <f t="shared" si="45"/>
        <v>1.0923322885380045</v>
      </c>
      <c r="S95" s="3"/>
      <c r="T95" s="3">
        <f t="shared" si="46"/>
        <v>155.46348604556346</v>
      </c>
      <c r="U95" s="12">
        <f>'Country L per 100 km'!N18</f>
        <v>4.9643230039259034</v>
      </c>
      <c r="V95" s="3">
        <f>'Country distance travelled'!N18</f>
        <v>8800</v>
      </c>
      <c r="X95" s="3">
        <v>2023</v>
      </c>
      <c r="Y95" s="3"/>
      <c r="Z95" s="3">
        <v>214.76191028234044</v>
      </c>
      <c r="AA95" s="3">
        <v>155.46348604556346</v>
      </c>
      <c r="AB95" s="3">
        <v>116.33503767345442</v>
      </c>
    </row>
    <row r="96" spans="1:28">
      <c r="A96" s="3">
        <v>2024</v>
      </c>
      <c r="B96" s="3">
        <f t="shared" si="38"/>
        <v>2647616.853612917</v>
      </c>
      <c r="C96" s="3">
        <f t="shared" si="39"/>
        <v>529523.37072258338</v>
      </c>
      <c r="D96" s="3">
        <f t="shared" si="40"/>
        <v>344190.19096967921</v>
      </c>
      <c r="E96" s="3">
        <f t="shared" si="34"/>
        <v>18451.450275066785</v>
      </c>
      <c r="F96" s="3">
        <f t="shared" si="41"/>
        <v>855262.11141719576</v>
      </c>
      <c r="G96" s="3"/>
      <c r="H96" s="3"/>
      <c r="I96" s="3">
        <v>2024</v>
      </c>
      <c r="J96" s="3">
        <f t="shared" si="42"/>
        <v>2732400</v>
      </c>
      <c r="K96" s="3">
        <f t="shared" si="43"/>
        <v>546480</v>
      </c>
      <c r="L96" s="3">
        <f t="shared" si="44"/>
        <v>355212</v>
      </c>
      <c r="M96" s="3">
        <f t="shared" si="35"/>
        <v>67497.789587049119</v>
      </c>
      <c r="N96" s="3">
        <f t="shared" si="36"/>
        <v>969189.78958704916</v>
      </c>
      <c r="O96" s="3"/>
      <c r="P96" s="3"/>
      <c r="Q96" s="3">
        <v>2024</v>
      </c>
      <c r="R96" s="13">
        <f t="shared" si="45"/>
        <v>1.1332079097729135</v>
      </c>
      <c r="S96" s="3"/>
      <c r="T96" s="3">
        <f t="shared" si="46"/>
        <v>156.05159836819411</v>
      </c>
      <c r="U96" s="12">
        <f>'Country L per 100 km'!N19</f>
        <v>4.9151712910157457</v>
      </c>
      <c r="V96" s="3">
        <f>'Country distance travelled'!N19</f>
        <v>8800</v>
      </c>
      <c r="X96" s="3">
        <v>2024</v>
      </c>
      <c r="Y96" s="3"/>
      <c r="Z96" s="3">
        <v>218.86302997437735</v>
      </c>
      <c r="AA96" s="3">
        <v>156.05159836819411</v>
      </c>
      <c r="AB96" s="3">
        <v>116.33503767345442</v>
      </c>
    </row>
    <row r="97" spans="1:28">
      <c r="A97" s="3">
        <v>2025</v>
      </c>
      <c r="B97" s="3">
        <f t="shared" si="38"/>
        <v>2563497.0251017106</v>
      </c>
      <c r="C97" s="3">
        <f t="shared" si="39"/>
        <v>512699.40502034209</v>
      </c>
      <c r="D97" s="3">
        <f t="shared" si="40"/>
        <v>333254.61326322239</v>
      </c>
      <c r="E97" s="3">
        <f t="shared" si="34"/>
        <v>18451.450275066785</v>
      </c>
      <c r="F97" s="3">
        <f t="shared" si="41"/>
        <v>827502.56800849771</v>
      </c>
      <c r="G97" s="3"/>
      <c r="H97" s="3"/>
      <c r="I97" s="3">
        <v>2025</v>
      </c>
      <c r="J97" s="3">
        <f t="shared" si="42"/>
        <v>2732400</v>
      </c>
      <c r="K97" s="3">
        <f t="shared" si="43"/>
        <v>546480</v>
      </c>
      <c r="L97" s="3">
        <f t="shared" si="44"/>
        <v>355212</v>
      </c>
      <c r="M97" s="3">
        <f t="shared" si="35"/>
        <v>68147.335800691566</v>
      </c>
      <c r="N97" s="3">
        <f t="shared" si="36"/>
        <v>969839.33580069151</v>
      </c>
      <c r="O97" s="3"/>
      <c r="P97" s="3"/>
      <c r="Q97" s="3">
        <v>2025</v>
      </c>
      <c r="R97" s="13">
        <f t="shared" si="45"/>
        <v>1.1720076448037466</v>
      </c>
      <c r="S97" s="3"/>
      <c r="T97" s="3">
        <f t="shared" si="46"/>
        <v>159.1288507180264</v>
      </c>
      <c r="U97" s="12">
        <f>'Country L per 100 km'!N20</f>
        <v>4.8665062287284613</v>
      </c>
      <c r="V97" s="3">
        <f>'Country distance travelled'!N20</f>
        <v>8800</v>
      </c>
      <c r="X97" s="3">
        <v>2025</v>
      </c>
      <c r="Y97" s="3"/>
      <c r="Z97" s="3">
        <v>222.96414966641424</v>
      </c>
      <c r="AA97" s="3">
        <v>159.1288507180264</v>
      </c>
      <c r="AB97" s="3">
        <v>117.1552616118618</v>
      </c>
    </row>
    <row r="98" spans="1:28">
      <c r="A98" s="3">
        <v>2026</v>
      </c>
      <c r="B98" s="3">
        <f t="shared" si="38"/>
        <v>2515998.3784233173</v>
      </c>
      <c r="C98" s="3">
        <f t="shared" si="39"/>
        <v>503199.67568466347</v>
      </c>
      <c r="D98" s="3">
        <f t="shared" si="40"/>
        <v>327079.78919503128</v>
      </c>
      <c r="E98" s="3">
        <f t="shared" si="34"/>
        <v>18451.450275066785</v>
      </c>
      <c r="F98" s="3">
        <f t="shared" si="41"/>
        <v>811828.01460462797</v>
      </c>
      <c r="G98" s="3"/>
      <c r="H98" s="3"/>
      <c r="I98" s="3">
        <v>2026</v>
      </c>
      <c r="J98" s="3">
        <f t="shared" si="42"/>
        <v>2732400</v>
      </c>
      <c r="K98" s="3">
        <f t="shared" si="43"/>
        <v>546480</v>
      </c>
      <c r="L98" s="3">
        <f t="shared" si="44"/>
        <v>355212</v>
      </c>
      <c r="M98" s="3">
        <f t="shared" si="35"/>
        <v>69765.93583022157</v>
      </c>
      <c r="N98" s="3">
        <f t="shared" si="36"/>
        <v>971457.93583022151</v>
      </c>
      <c r="O98" s="3"/>
      <c r="P98" s="3"/>
      <c r="Q98" s="3">
        <v>2026</v>
      </c>
      <c r="R98" s="13">
        <f t="shared" si="45"/>
        <v>1.1966302201376182</v>
      </c>
      <c r="S98" s="3"/>
      <c r="T98" s="3">
        <f t="shared" si="46"/>
        <v>164.53748027074383</v>
      </c>
      <c r="U98" s="12">
        <f>'Country L per 100 km'!N21</f>
        <v>4.818322998741051</v>
      </c>
      <c r="V98" s="3">
        <f>'Country distance travelled'!N21</f>
        <v>8800</v>
      </c>
      <c r="X98" s="3">
        <v>2026</v>
      </c>
      <c r="Y98" s="3"/>
      <c r="Z98" s="3">
        <v>227.06526935845119</v>
      </c>
      <c r="AA98" s="3">
        <v>164.53748027074383</v>
      </c>
      <c r="AB98" s="3">
        <v>117.97548555026917</v>
      </c>
    </row>
    <row r="99" spans="1:28">
      <c r="A99" s="3">
        <v>2027</v>
      </c>
      <c r="B99" s="3">
        <f t="shared" si="38"/>
        <v>2468495.0945604402</v>
      </c>
      <c r="C99" s="3">
        <f t="shared" si="39"/>
        <v>493699.01891208801</v>
      </c>
      <c r="D99" s="3">
        <f t="shared" si="40"/>
        <v>320904.36229285726</v>
      </c>
      <c r="E99" s="3">
        <f t="shared" si="34"/>
        <v>18451.450275066785</v>
      </c>
      <c r="F99" s="3">
        <f t="shared" si="41"/>
        <v>796151.93092987849</v>
      </c>
      <c r="G99" s="3"/>
      <c r="H99" s="3"/>
      <c r="I99" s="3">
        <v>2027</v>
      </c>
      <c r="J99" s="3">
        <f t="shared" si="42"/>
        <v>2732400</v>
      </c>
      <c r="K99" s="3">
        <f t="shared" si="43"/>
        <v>546480</v>
      </c>
      <c r="L99" s="3">
        <f t="shared" si="44"/>
        <v>355212</v>
      </c>
      <c r="M99" s="3">
        <f t="shared" si="35"/>
        <v>70245.404047457676</v>
      </c>
      <c r="N99" s="3">
        <f t="shared" si="36"/>
        <v>971937.40404745773</v>
      </c>
      <c r="O99" s="3"/>
      <c r="P99" s="3"/>
      <c r="Q99" s="3">
        <v>2027</v>
      </c>
      <c r="R99" s="13">
        <f t="shared" si="45"/>
        <v>1.2207938790178752</v>
      </c>
      <c r="S99" s="3"/>
      <c r="T99" s="3">
        <f t="shared" si="46"/>
        <v>167.32495108791852</v>
      </c>
      <c r="U99" s="12">
        <f>'Country L per 100 km'!N22</f>
        <v>4.7706168304366843</v>
      </c>
      <c r="V99" s="3">
        <f>'Country distance travelled'!N22</f>
        <v>8800</v>
      </c>
      <c r="X99" s="3">
        <v>2027</v>
      </c>
      <c r="Y99" s="3"/>
      <c r="Z99" s="3">
        <v>231.16638905048811</v>
      </c>
      <c r="AA99" s="3">
        <v>167.32495108791852</v>
      </c>
      <c r="AB99" s="3">
        <v>118.79570948867658</v>
      </c>
    </row>
    <row r="100" spans="1:28">
      <c r="A100" s="3">
        <v>2028</v>
      </c>
      <c r="B100" s="3">
        <f t="shared" si="38"/>
        <v>2414925.9553484404</v>
      </c>
      <c r="C100" s="3">
        <f t="shared" si="39"/>
        <v>482985.19106968807</v>
      </c>
      <c r="D100" s="3">
        <f t="shared" si="40"/>
        <v>313940.37419529725</v>
      </c>
      <c r="E100" s="3">
        <f t="shared" si="34"/>
        <v>18451.450275066785</v>
      </c>
      <c r="F100" s="3">
        <f t="shared" si="41"/>
        <v>778474.11498991854</v>
      </c>
      <c r="G100" s="3"/>
      <c r="H100" s="3"/>
      <c r="I100" s="3">
        <v>2028</v>
      </c>
      <c r="J100" s="3">
        <f t="shared" si="42"/>
        <v>2732400</v>
      </c>
      <c r="K100" s="3">
        <f t="shared" si="43"/>
        <v>546480</v>
      </c>
      <c r="L100" s="3">
        <f t="shared" si="44"/>
        <v>355212</v>
      </c>
      <c r="M100" s="3">
        <f t="shared" si="35"/>
        <v>70283.349050003453</v>
      </c>
      <c r="N100" s="3">
        <f t="shared" si="36"/>
        <v>971975.34905000345</v>
      </c>
      <c r="O100" s="3"/>
      <c r="P100" s="3"/>
      <c r="Q100" s="3">
        <v>2028</v>
      </c>
      <c r="R100" s="13">
        <f t="shared" si="45"/>
        <v>1.2485647632132133</v>
      </c>
      <c r="S100" s="3"/>
      <c r="T100" s="3">
        <f t="shared" si="46"/>
        <v>169.08948966231594</v>
      </c>
      <c r="U100" s="12">
        <f>'Country L per 100 km'!N23</f>
        <v>4.7233830004323609</v>
      </c>
      <c r="V100" s="3">
        <f>'Country distance travelled'!N23</f>
        <v>8800</v>
      </c>
      <c r="X100" s="3">
        <v>2028</v>
      </c>
      <c r="Y100" s="3"/>
      <c r="Z100" s="3">
        <v>234.44728480411766</v>
      </c>
      <c r="AA100" s="3">
        <v>169.08948966231594</v>
      </c>
      <c r="AB100" s="3">
        <v>118.79570948867658</v>
      </c>
    </row>
    <row r="101" spans="1:28">
      <c r="A101" s="3">
        <v>2029</v>
      </c>
      <c r="B101" s="3">
        <f t="shared" si="38"/>
        <v>2367413.4620935475</v>
      </c>
      <c r="C101" s="3">
        <f t="shared" si="39"/>
        <v>473482.69241870951</v>
      </c>
      <c r="D101" s="3">
        <f t="shared" si="40"/>
        <v>307763.7500721612</v>
      </c>
      <c r="E101" s="3">
        <f t="shared" si="34"/>
        <v>18451.450275066785</v>
      </c>
      <c r="F101" s="3">
        <f t="shared" si="41"/>
        <v>762794.99221580394</v>
      </c>
      <c r="G101" s="3"/>
      <c r="H101" s="3"/>
      <c r="I101" s="3">
        <v>2029</v>
      </c>
      <c r="J101" s="3">
        <f t="shared" si="42"/>
        <v>2732400</v>
      </c>
      <c r="K101" s="3">
        <f t="shared" si="43"/>
        <v>546480</v>
      </c>
      <c r="L101" s="3">
        <f t="shared" si="44"/>
        <v>355212</v>
      </c>
      <c r="M101" s="3">
        <f t="shared" si="35"/>
        <v>70571.765871855358</v>
      </c>
      <c r="N101" s="3">
        <f t="shared" si="36"/>
        <v>972263.76587185531</v>
      </c>
      <c r="O101" s="3"/>
      <c r="P101" s="3"/>
      <c r="Q101" s="3">
        <v>2029</v>
      </c>
      <c r="R101" s="13">
        <f t="shared" si="45"/>
        <v>1.2746069072210036</v>
      </c>
      <c r="S101" s="3"/>
      <c r="T101" s="3">
        <f t="shared" si="46"/>
        <v>171.48120397655239</v>
      </c>
      <c r="U101" s="12">
        <f>'Country L per 100 km'!N24</f>
        <v>4.6766168321112485</v>
      </c>
      <c r="V101" s="3">
        <f>'Country distance travelled'!N24</f>
        <v>8800</v>
      </c>
      <c r="X101" s="3">
        <v>2029</v>
      </c>
      <c r="Y101" s="3"/>
      <c r="Z101" s="3">
        <v>238.54840449615455</v>
      </c>
      <c r="AA101" s="3">
        <v>171.48120397655239</v>
      </c>
      <c r="AB101" s="3">
        <v>118.79570948867658</v>
      </c>
    </row>
    <row r="102" spans="1:28">
      <c r="A102" s="3">
        <v>2030</v>
      </c>
      <c r="B102" s="3">
        <f t="shared" si="38"/>
        <v>2313835.1565711917</v>
      </c>
      <c r="C102" s="3">
        <f t="shared" si="39"/>
        <v>462767.03131423832</v>
      </c>
      <c r="D102" s="3">
        <f t="shared" si="40"/>
        <v>300798.57035425492</v>
      </c>
      <c r="E102" s="3">
        <f t="shared" si="34"/>
        <v>18451.450275066785</v>
      </c>
      <c r="F102" s="3">
        <f t="shared" si="41"/>
        <v>745114.15139342647</v>
      </c>
      <c r="G102" s="3"/>
      <c r="H102" s="3"/>
      <c r="I102" s="3">
        <v>2030</v>
      </c>
      <c r="J102" s="3">
        <f t="shared" si="42"/>
        <v>2732400</v>
      </c>
      <c r="K102" s="3">
        <f t="shared" si="43"/>
        <v>546480</v>
      </c>
      <c r="L102" s="3">
        <f t="shared" si="44"/>
        <v>355212</v>
      </c>
      <c r="M102" s="3">
        <f t="shared" si="35"/>
        <v>70618.201778033326</v>
      </c>
      <c r="N102" s="3">
        <f t="shared" si="36"/>
        <v>972310.20177803328</v>
      </c>
      <c r="O102" s="3"/>
      <c r="P102" s="3"/>
      <c r="Q102" s="3">
        <v>2030</v>
      </c>
      <c r="R102" s="13">
        <f t="shared" si="45"/>
        <v>1.3049144214476815</v>
      </c>
      <c r="S102" s="3"/>
      <c r="T102" s="3">
        <f t="shared" si="46"/>
        <v>173.30997821990985</v>
      </c>
      <c r="U102" s="12">
        <f>'Country L per 100 km'!N25</f>
        <v>4.6303136951596517</v>
      </c>
      <c r="V102" s="3">
        <f>'Country distance travelled'!N25</f>
        <v>8800</v>
      </c>
      <c r="X102" s="3">
        <v>2030</v>
      </c>
      <c r="Y102" s="3"/>
      <c r="Z102" s="3">
        <v>241.00907631137662</v>
      </c>
      <c r="AA102" s="3">
        <v>173.30997821990985</v>
      </c>
      <c r="AB102" s="3">
        <v>119.61593342708395</v>
      </c>
    </row>
    <row r="103" spans="1:28">
      <c r="A103" s="3">
        <v>2031</v>
      </c>
      <c r="B103" s="3"/>
      <c r="C103" s="3"/>
      <c r="D103" s="3"/>
      <c r="E103" s="3"/>
      <c r="F103" s="3"/>
      <c r="G103" s="3"/>
      <c r="H103" s="3"/>
      <c r="I103" s="3">
        <v>2031</v>
      </c>
      <c r="J103" s="3"/>
      <c r="K103" s="3"/>
      <c r="L103" s="3"/>
      <c r="M103" s="3"/>
      <c r="N103" s="3"/>
      <c r="O103" s="3"/>
      <c r="P103" s="3"/>
      <c r="Q103" s="3">
        <v>2031</v>
      </c>
      <c r="R103" s="3"/>
      <c r="S103" s="3"/>
      <c r="T103" s="3">
        <f>T102</f>
        <v>173.30997821990985</v>
      </c>
      <c r="U103" s="12">
        <f>'Country L per 100 km'!N26</f>
        <v>4.5844690051085655</v>
      </c>
      <c r="V103" s="3">
        <f>'Country distance travelled'!N26</f>
        <v>8800</v>
      </c>
      <c r="X103" s="3">
        <v>2031</v>
      </c>
    </row>
    <row r="104" spans="1:28">
      <c r="A104" s="3">
        <v>2032</v>
      </c>
      <c r="B104" s="3"/>
      <c r="C104" s="3"/>
      <c r="D104" s="3"/>
      <c r="E104" s="3"/>
      <c r="F104" s="3"/>
      <c r="G104" s="3"/>
      <c r="H104" s="3"/>
      <c r="I104" s="3">
        <v>2032</v>
      </c>
      <c r="J104" s="3"/>
      <c r="K104" s="3"/>
      <c r="L104" s="3"/>
      <c r="M104" s="3"/>
      <c r="N104" s="3"/>
      <c r="O104" s="3"/>
      <c r="P104" s="3"/>
      <c r="Q104" s="3">
        <v>2032</v>
      </c>
      <c r="R104" s="3"/>
      <c r="S104" s="3"/>
      <c r="T104" s="3">
        <f t="shared" ref="T104:T112" si="53">T103</f>
        <v>173.30997821990985</v>
      </c>
      <c r="U104" s="12">
        <f>'Country L per 100 km'!N27</f>
        <v>4.5390782228797679</v>
      </c>
      <c r="V104" s="3">
        <f>'Country distance travelled'!N27</f>
        <v>8800</v>
      </c>
      <c r="X104" s="3">
        <v>2032</v>
      </c>
    </row>
    <row r="105" spans="1:28">
      <c r="A105" s="3">
        <v>2033</v>
      </c>
      <c r="B105" s="3"/>
      <c r="C105" s="3"/>
      <c r="D105" s="3"/>
      <c r="E105" s="3"/>
      <c r="F105" s="3"/>
      <c r="G105" s="3"/>
      <c r="H105" s="3"/>
      <c r="I105" s="3">
        <v>2033</v>
      </c>
      <c r="J105" s="3"/>
      <c r="K105" s="3"/>
      <c r="L105" s="3"/>
      <c r="M105" s="3"/>
      <c r="N105" s="3"/>
      <c r="O105" s="3"/>
      <c r="P105" s="3"/>
      <c r="Q105" s="3">
        <v>2033</v>
      </c>
      <c r="R105" s="3"/>
      <c r="S105" s="3"/>
      <c r="T105" s="3">
        <f t="shared" si="53"/>
        <v>173.30997821990985</v>
      </c>
      <c r="U105" s="12">
        <f>'Country L per 100 km'!N28</f>
        <v>4.4941368543364035</v>
      </c>
      <c r="V105" s="3">
        <f>'Country distance travelled'!N28</f>
        <v>8800</v>
      </c>
      <c r="X105" s="3">
        <v>2033</v>
      </c>
    </row>
    <row r="106" spans="1:28">
      <c r="A106" s="3">
        <v>2034</v>
      </c>
      <c r="B106" s="3"/>
      <c r="C106" s="3"/>
      <c r="D106" s="3"/>
      <c r="E106" s="3"/>
      <c r="F106" s="3"/>
      <c r="G106" s="3"/>
      <c r="H106" s="3"/>
      <c r="I106" s="3">
        <v>2034</v>
      </c>
      <c r="J106" s="3"/>
      <c r="K106" s="3"/>
      <c r="L106" s="3"/>
      <c r="M106" s="3"/>
      <c r="N106" s="3"/>
      <c r="O106" s="3"/>
      <c r="P106" s="3"/>
      <c r="Q106" s="3">
        <v>2034</v>
      </c>
      <c r="R106" s="3"/>
      <c r="S106" s="3"/>
      <c r="T106" s="3">
        <f t="shared" si="53"/>
        <v>173.30997821990985</v>
      </c>
      <c r="U106" s="12">
        <f>'Country L per 100 km'!N29</f>
        <v>4.4496404498380233</v>
      </c>
      <c r="V106" s="3">
        <f>'Country distance travelled'!N29</f>
        <v>8800</v>
      </c>
      <c r="X106" s="3">
        <v>2034</v>
      </c>
    </row>
    <row r="107" spans="1:28">
      <c r="A107" s="3">
        <v>2035</v>
      </c>
      <c r="B107" s="3"/>
      <c r="C107" s="3"/>
      <c r="D107" s="3"/>
      <c r="E107" s="3"/>
      <c r="F107" s="3"/>
      <c r="G107" s="3"/>
      <c r="H107" s="3"/>
      <c r="I107" s="3">
        <v>2035</v>
      </c>
      <c r="J107" s="3"/>
      <c r="K107" s="3"/>
      <c r="L107" s="3"/>
      <c r="M107" s="3"/>
      <c r="N107" s="3"/>
      <c r="O107" s="3"/>
      <c r="P107" s="3"/>
      <c r="Q107" s="3">
        <v>2035</v>
      </c>
      <c r="R107" s="3"/>
      <c r="S107" s="3"/>
      <c r="T107" s="3">
        <f t="shared" si="53"/>
        <v>173.30997821990985</v>
      </c>
      <c r="U107" s="12">
        <f>'Country L per 100 km'!N30</f>
        <v>4.4055846038000235</v>
      </c>
      <c r="V107" s="3">
        <f>'Country distance travelled'!N30</f>
        <v>8800</v>
      </c>
      <c r="X107" s="3">
        <v>2035</v>
      </c>
    </row>
    <row r="108" spans="1:28">
      <c r="A108" s="3">
        <v>2036</v>
      </c>
      <c r="B108" s="3"/>
      <c r="C108" s="3"/>
      <c r="D108" s="3"/>
      <c r="E108" s="3"/>
      <c r="F108" s="3"/>
      <c r="G108" s="3"/>
      <c r="H108" s="3"/>
      <c r="I108" s="3">
        <v>2036</v>
      </c>
      <c r="J108" s="3"/>
      <c r="K108" s="3"/>
      <c r="L108" s="3"/>
      <c r="M108" s="3"/>
      <c r="N108" s="3"/>
      <c r="O108" s="3"/>
      <c r="P108" s="3"/>
      <c r="Q108" s="3">
        <v>2036</v>
      </c>
      <c r="R108" s="3"/>
      <c r="S108" s="3"/>
      <c r="T108" s="3">
        <f t="shared" si="53"/>
        <v>173.30997821990985</v>
      </c>
      <c r="U108" s="12">
        <f>'Country L per 100 km'!N31</f>
        <v>4.3619649542574486</v>
      </c>
      <c r="V108" s="3">
        <f>'Country distance travelled'!N31</f>
        <v>8800</v>
      </c>
      <c r="X108" s="3">
        <v>2036</v>
      </c>
    </row>
    <row r="109" spans="1:28">
      <c r="A109" s="3">
        <v>2037</v>
      </c>
      <c r="B109" s="3"/>
      <c r="C109" s="3"/>
      <c r="D109" s="3"/>
      <c r="E109" s="3"/>
      <c r="F109" s="3"/>
      <c r="G109" s="3"/>
      <c r="H109" s="3"/>
      <c r="I109" s="3">
        <v>2037</v>
      </c>
      <c r="J109" s="3"/>
      <c r="K109" s="3"/>
      <c r="L109" s="3"/>
      <c r="M109" s="3"/>
      <c r="N109" s="3"/>
      <c r="O109" s="3"/>
      <c r="P109" s="3"/>
      <c r="Q109" s="3">
        <v>2037</v>
      </c>
      <c r="R109" s="3"/>
      <c r="S109" s="3"/>
      <c r="T109" s="3">
        <f t="shared" si="53"/>
        <v>173.30997821990985</v>
      </c>
      <c r="U109" s="12">
        <f>'Country L per 100 km'!N32</f>
        <v>4.3187771824331174</v>
      </c>
      <c r="V109" s="3">
        <f>'Country distance travelled'!N32</f>
        <v>8800</v>
      </c>
      <c r="X109" s="3">
        <v>2037</v>
      </c>
    </row>
    <row r="110" spans="1:28">
      <c r="A110" s="3">
        <v>2038</v>
      </c>
      <c r="B110" s="3"/>
      <c r="C110" s="3"/>
      <c r="D110" s="3"/>
      <c r="E110" s="3"/>
      <c r="F110" s="3"/>
      <c r="G110" s="3"/>
      <c r="H110" s="3"/>
      <c r="I110" s="3">
        <v>2038</v>
      </c>
      <c r="J110" s="3"/>
      <c r="K110" s="3"/>
      <c r="L110" s="3"/>
      <c r="M110" s="3"/>
      <c r="N110" s="3"/>
      <c r="O110" s="3"/>
      <c r="P110" s="3"/>
      <c r="Q110" s="3">
        <v>2038</v>
      </c>
      <c r="R110" s="3"/>
      <c r="S110" s="3"/>
      <c r="T110" s="3">
        <f t="shared" si="53"/>
        <v>173.30997821990985</v>
      </c>
      <c r="U110" s="12">
        <f>'Country L per 100 km'!N33</f>
        <v>4.2760170123100174</v>
      </c>
      <c r="V110" s="3">
        <f>'Country distance travelled'!N33</f>
        <v>8800</v>
      </c>
      <c r="X110" s="3">
        <v>2038</v>
      </c>
    </row>
    <row r="111" spans="1:28">
      <c r="A111" s="3">
        <v>2039</v>
      </c>
      <c r="B111" s="3"/>
      <c r="C111" s="3"/>
      <c r="D111" s="3"/>
      <c r="E111" s="3"/>
      <c r="F111" s="3"/>
      <c r="G111" s="3"/>
      <c r="H111" s="3"/>
      <c r="I111" s="3">
        <v>2039</v>
      </c>
      <c r="J111" s="3"/>
      <c r="K111" s="3"/>
      <c r="L111" s="3"/>
      <c r="M111" s="3"/>
      <c r="N111" s="3"/>
      <c r="O111" s="3"/>
      <c r="P111" s="3"/>
      <c r="Q111" s="3">
        <v>2039</v>
      </c>
      <c r="R111" s="3"/>
      <c r="S111" s="3"/>
      <c r="T111" s="3">
        <f t="shared" si="53"/>
        <v>173.30997821990985</v>
      </c>
      <c r="U111" s="12">
        <f>'Country L per 100 km'!N34</f>
        <v>4.2336802102079378</v>
      </c>
      <c r="V111" s="3">
        <f>'Country distance travelled'!N34</f>
        <v>8800</v>
      </c>
      <c r="X111" s="3">
        <v>2039</v>
      </c>
    </row>
    <row r="112" spans="1:28">
      <c r="A112" s="3">
        <v>2040</v>
      </c>
      <c r="B112" s="3"/>
      <c r="C112" s="3"/>
      <c r="D112" s="3"/>
      <c r="E112" s="3"/>
      <c r="F112" s="3"/>
      <c r="G112" s="3"/>
      <c r="H112" s="3"/>
      <c r="I112" s="3">
        <v>2040</v>
      </c>
      <c r="J112" s="3"/>
      <c r="K112" s="3"/>
      <c r="L112" s="3"/>
      <c r="M112" s="3"/>
      <c r="N112" s="3"/>
      <c r="O112" s="3"/>
      <c r="P112" s="3"/>
      <c r="Q112" s="3">
        <v>2040</v>
      </c>
      <c r="R112" s="3"/>
      <c r="S112" s="3"/>
      <c r="T112" s="3">
        <f t="shared" si="53"/>
        <v>173.30997821990985</v>
      </c>
      <c r="U112" s="12">
        <f>'Country L per 100 km'!N35</f>
        <v>4.1917625843642954</v>
      </c>
      <c r="V112" s="3">
        <f>'Country distance travelled'!N35</f>
        <v>8800</v>
      </c>
      <c r="X112" s="3">
        <v>2040</v>
      </c>
    </row>
    <row r="120" spans="16:29">
      <c r="Q120" s="87" t="s">
        <v>980</v>
      </c>
      <c r="R120" s="87" t="s">
        <v>980</v>
      </c>
      <c r="S120" s="87" t="s">
        <v>980</v>
      </c>
      <c r="T120" s="87" t="s">
        <v>980</v>
      </c>
      <c r="U120" s="87" t="s">
        <v>980</v>
      </c>
      <c r="W120" s="14" t="s">
        <v>812</v>
      </c>
      <c r="X120" s="14" t="s">
        <v>812</v>
      </c>
      <c r="Y120" s="14" t="s">
        <v>812</v>
      </c>
      <c r="Z120" s="14" t="s">
        <v>812</v>
      </c>
      <c r="AA120" s="14" t="s">
        <v>812</v>
      </c>
      <c r="AC120" s="248" t="s">
        <v>952</v>
      </c>
    </row>
    <row r="121" spans="16:29">
      <c r="Q121" s="87" t="s">
        <v>978</v>
      </c>
      <c r="R121" s="87" t="s">
        <v>979</v>
      </c>
      <c r="S121" s="87" t="s">
        <v>916</v>
      </c>
      <c r="T121" s="87" t="s">
        <v>981</v>
      </c>
      <c r="U121" s="87" t="s">
        <v>983</v>
      </c>
      <c r="W121" s="14" t="s">
        <v>725</v>
      </c>
      <c r="X121" s="14" t="s">
        <v>979</v>
      </c>
      <c r="Y121" s="14" t="s">
        <v>916</v>
      </c>
      <c r="Z121" s="14" t="s">
        <v>985</v>
      </c>
      <c r="AA121" s="14" t="s">
        <v>983</v>
      </c>
      <c r="AC121" s="248" t="s">
        <v>1204</v>
      </c>
    </row>
    <row r="122" spans="16:29">
      <c r="P122">
        <v>2012</v>
      </c>
      <c r="Q122" s="3">
        <f>B84</f>
        <v>2452706.0868240586</v>
      </c>
      <c r="R122" s="3">
        <f t="shared" ref="R122:U137" si="54">C84</f>
        <v>490541.21736481169</v>
      </c>
      <c r="S122" s="3">
        <f t="shared" si="54"/>
        <v>318851.79128712765</v>
      </c>
      <c r="T122" s="3">
        <f t="shared" si="54"/>
        <v>26547.974334997733</v>
      </c>
      <c r="U122" s="3">
        <f t="shared" si="54"/>
        <v>782845.03431694163</v>
      </c>
      <c r="V122" s="3"/>
      <c r="W122" s="3">
        <f>J84</f>
        <v>1930508.9006495068</v>
      </c>
      <c r="X122" s="3">
        <f t="shared" ref="X122:AA137" si="55">K84</f>
        <v>386101.78012990137</v>
      </c>
      <c r="Y122" s="3">
        <f t="shared" si="55"/>
        <v>250966.15708443589</v>
      </c>
      <c r="Z122" s="3">
        <f t="shared" si="55"/>
        <v>74800.885726981942</v>
      </c>
      <c r="AA122" s="3">
        <f t="shared" si="55"/>
        <v>711868.8229413192</v>
      </c>
      <c r="AC122" s="13">
        <f>U122/AA122</f>
        <v>1.0997040593551506</v>
      </c>
    </row>
    <row r="123" spans="16:29">
      <c r="P123">
        <v>2013</v>
      </c>
      <c r="Q123" s="3">
        <f t="shared" ref="Q123:U138" si="56">B85</f>
        <v>2193847.6665414684</v>
      </c>
      <c r="R123" s="3">
        <f t="shared" si="54"/>
        <v>438769.53330829367</v>
      </c>
      <c r="S123" s="3">
        <f t="shared" si="54"/>
        <v>285200.19665039092</v>
      </c>
      <c r="T123" s="3">
        <f t="shared" si="54"/>
        <v>15868.507886312134</v>
      </c>
      <c r="U123" s="3">
        <f t="shared" si="54"/>
        <v>708101.22207237256</v>
      </c>
      <c r="V123" s="3"/>
      <c r="W123" s="3">
        <f t="shared" ref="W123:AA138" si="57">J85</f>
        <v>2359113.6235406455</v>
      </c>
      <c r="X123" s="3">
        <f t="shared" si="55"/>
        <v>471822.72470812907</v>
      </c>
      <c r="Y123" s="3">
        <f t="shared" si="55"/>
        <v>306684.77106028394</v>
      </c>
      <c r="Z123" s="3">
        <f t="shared" si="55"/>
        <v>78368.012814998117</v>
      </c>
      <c r="AA123" s="3">
        <f t="shared" si="55"/>
        <v>856875.50858341111</v>
      </c>
      <c r="AC123" s="13">
        <f t="shared" ref="AC123:AC140" si="58">U123/AA123</f>
        <v>0.82637584454130031</v>
      </c>
    </row>
    <row r="124" spans="16:29">
      <c r="P124">
        <v>2014</v>
      </c>
      <c r="Q124" s="3">
        <f t="shared" si="56"/>
        <v>2909235.0625468153</v>
      </c>
      <c r="R124" s="3">
        <f t="shared" si="54"/>
        <v>581847.012509363</v>
      </c>
      <c r="S124" s="3">
        <f t="shared" si="54"/>
        <v>378200.558131086</v>
      </c>
      <c r="T124" s="3">
        <f t="shared" si="54"/>
        <v>17658.74008368899</v>
      </c>
      <c r="U124" s="3">
        <f t="shared" si="54"/>
        <v>942388.83055675996</v>
      </c>
      <c r="V124" s="3"/>
      <c r="W124" s="3">
        <f t="shared" si="57"/>
        <v>2562613.1813125694</v>
      </c>
      <c r="X124" s="3">
        <f t="shared" si="55"/>
        <v>512522.63626251387</v>
      </c>
      <c r="Y124" s="3">
        <f t="shared" si="55"/>
        <v>333139.71357063402</v>
      </c>
      <c r="Z124" s="3">
        <f t="shared" si="55"/>
        <v>78825.004926736234</v>
      </c>
      <c r="AA124" s="3">
        <f t="shared" si="55"/>
        <v>924487.35475988407</v>
      </c>
      <c r="AC124" s="13">
        <f t="shared" si="58"/>
        <v>1.019363678372351</v>
      </c>
    </row>
    <row r="125" spans="16:29">
      <c r="P125">
        <v>2015</v>
      </c>
      <c r="Q125" s="3">
        <f t="shared" si="56"/>
        <v>3056798.6265457966</v>
      </c>
      <c r="R125" s="3">
        <f t="shared" si="54"/>
        <v>611359.72530915937</v>
      </c>
      <c r="S125" s="3">
        <f t="shared" si="54"/>
        <v>397383.8214509536</v>
      </c>
      <c r="T125" s="3">
        <f t="shared" si="54"/>
        <v>18516.544566130236</v>
      </c>
      <c r="U125" s="3">
        <f t="shared" si="54"/>
        <v>990227.00219398271</v>
      </c>
      <c r="V125" s="3"/>
      <c r="W125" s="3">
        <f t="shared" si="57"/>
        <v>3004104.3113264418</v>
      </c>
      <c r="X125" s="3">
        <f t="shared" si="55"/>
        <v>600820.86226528836</v>
      </c>
      <c r="Y125" s="3">
        <f t="shared" si="55"/>
        <v>390533.56047243747</v>
      </c>
      <c r="Z125" s="3">
        <f t="shared" si="55"/>
        <v>65268.116719726189</v>
      </c>
      <c r="AA125" s="3">
        <f t="shared" si="55"/>
        <v>1056622.539457452</v>
      </c>
      <c r="AC125" s="13">
        <f t="shared" si="58"/>
        <v>0.93716248254787216</v>
      </c>
    </row>
    <row r="126" spans="16:29">
      <c r="P126">
        <v>2016</v>
      </c>
      <c r="Q126" s="3">
        <f t="shared" si="56"/>
        <v>2741332.4247324816</v>
      </c>
      <c r="R126" s="3">
        <f t="shared" si="54"/>
        <v>548266.48494649632</v>
      </c>
      <c r="S126" s="3">
        <f t="shared" si="54"/>
        <v>356373.21521522262</v>
      </c>
      <c r="T126" s="3">
        <f t="shared" si="54"/>
        <v>18538.1720913596</v>
      </c>
      <c r="U126" s="3">
        <f t="shared" si="54"/>
        <v>886101.52807035937</v>
      </c>
      <c r="V126" s="3"/>
      <c r="W126" s="3">
        <f t="shared" si="57"/>
        <v>2706256.5884608049</v>
      </c>
      <c r="X126" s="3">
        <f t="shared" si="55"/>
        <v>541251.31769216096</v>
      </c>
      <c r="Y126" s="3">
        <f t="shared" si="55"/>
        <v>351813.35649990465</v>
      </c>
      <c r="Z126" s="3">
        <f t="shared" si="55"/>
        <v>57323.860904991292</v>
      </c>
      <c r="AA126" s="3">
        <f t="shared" si="55"/>
        <v>950388.53509705688</v>
      </c>
      <c r="AC126" s="13">
        <f t="shared" si="58"/>
        <v>0.93235713115990793</v>
      </c>
    </row>
    <row r="127" spans="16:29">
      <c r="P127">
        <v>2017</v>
      </c>
      <c r="Q127" s="3">
        <f t="shared" si="56"/>
        <v>2812574.8390013101</v>
      </c>
      <c r="R127" s="3">
        <f t="shared" si="54"/>
        <v>562514.96780026203</v>
      </c>
      <c r="S127" s="3">
        <f t="shared" si="54"/>
        <v>365634.72907017032</v>
      </c>
      <c r="T127" s="3">
        <f t="shared" si="54"/>
        <v>18451.450275066785</v>
      </c>
      <c r="U127" s="3">
        <f t="shared" si="54"/>
        <v>909698.24659536558</v>
      </c>
      <c r="V127" s="3"/>
      <c r="W127" s="3">
        <f t="shared" si="57"/>
        <v>2781763.5051680435</v>
      </c>
      <c r="X127" s="3">
        <f t="shared" si="55"/>
        <v>556352.70103360876</v>
      </c>
      <c r="Y127" s="3">
        <f t="shared" si="55"/>
        <v>361629.25567184569</v>
      </c>
      <c r="Z127" s="3">
        <f t="shared" si="55"/>
        <v>61908.775149617832</v>
      </c>
      <c r="AA127" s="3">
        <f t="shared" si="55"/>
        <v>979890.73185507231</v>
      </c>
      <c r="AC127" s="13">
        <f t="shared" si="58"/>
        <v>0.92836702810034499</v>
      </c>
    </row>
    <row r="128" spans="16:29">
      <c r="P128">
        <v>2018</v>
      </c>
      <c r="Q128" s="3">
        <f t="shared" si="56"/>
        <v>2761735.0294596031</v>
      </c>
      <c r="R128" s="3">
        <f t="shared" si="54"/>
        <v>552347.00589192065</v>
      </c>
      <c r="S128" s="3">
        <f t="shared" si="54"/>
        <v>359025.55382974842</v>
      </c>
      <c r="T128" s="3">
        <f t="shared" si="54"/>
        <v>18451.450275066785</v>
      </c>
      <c r="U128" s="3">
        <f t="shared" si="54"/>
        <v>892921.10944660229</v>
      </c>
      <c r="V128" s="3"/>
      <c r="W128" s="3">
        <f t="shared" si="57"/>
        <v>2732400</v>
      </c>
      <c r="X128" s="3">
        <f t="shared" si="55"/>
        <v>546480</v>
      </c>
      <c r="Y128" s="3">
        <f t="shared" si="55"/>
        <v>355212</v>
      </c>
      <c r="Z128" s="3">
        <f t="shared" si="55"/>
        <v>68080.389325241704</v>
      </c>
      <c r="AA128" s="3">
        <f t="shared" si="55"/>
        <v>969772.38932524167</v>
      </c>
      <c r="AC128" s="13">
        <f t="shared" si="58"/>
        <v>0.92075328115692001</v>
      </c>
    </row>
    <row r="129" spans="16:29">
      <c r="P129">
        <v>2019</v>
      </c>
      <c r="Q129" s="3">
        <f t="shared" si="56"/>
        <v>2815794.9273361848</v>
      </c>
      <c r="R129" s="3">
        <f t="shared" si="54"/>
        <v>563158.98546723695</v>
      </c>
      <c r="S129" s="3">
        <f t="shared" si="54"/>
        <v>366053.34055370401</v>
      </c>
      <c r="T129" s="3">
        <f t="shared" si="54"/>
        <v>18451.450275066785</v>
      </c>
      <c r="U129" s="3">
        <f t="shared" si="54"/>
        <v>910760.87574587413</v>
      </c>
      <c r="V129" s="3"/>
      <c r="W129" s="3">
        <f t="shared" si="57"/>
        <v>2732400</v>
      </c>
      <c r="X129" s="3">
        <f t="shared" si="55"/>
        <v>546480</v>
      </c>
      <c r="Y129" s="3">
        <f t="shared" si="55"/>
        <v>355212</v>
      </c>
      <c r="Z129" s="3">
        <f t="shared" si="55"/>
        <v>64413.181015818118</v>
      </c>
      <c r="AA129" s="3">
        <f t="shared" si="55"/>
        <v>966105.18101581815</v>
      </c>
      <c r="AC129" s="13">
        <f t="shared" si="58"/>
        <v>0.94271399599394357</v>
      </c>
    </row>
    <row r="130" spans="16:29">
      <c r="P130">
        <v>2020</v>
      </c>
      <c r="Q130" s="3">
        <f t="shared" si="56"/>
        <v>2799733.0820030738</v>
      </c>
      <c r="R130" s="3">
        <f t="shared" si="54"/>
        <v>559946.61640061473</v>
      </c>
      <c r="S130" s="3">
        <f t="shared" si="54"/>
        <v>363965.3006603996</v>
      </c>
      <c r="T130" s="3">
        <f t="shared" si="54"/>
        <v>18451.450275066785</v>
      </c>
      <c r="U130" s="3">
        <f t="shared" si="54"/>
        <v>905460.46678594756</v>
      </c>
      <c r="V130" s="3"/>
      <c r="W130" s="3">
        <f t="shared" si="57"/>
        <v>2732400</v>
      </c>
      <c r="X130" s="3">
        <f t="shared" si="55"/>
        <v>546480</v>
      </c>
      <c r="Y130" s="3">
        <f t="shared" si="55"/>
        <v>355212</v>
      </c>
      <c r="Z130" s="3">
        <f t="shared" si="55"/>
        <v>63874.610396374694</v>
      </c>
      <c r="AA130" s="3">
        <f t="shared" si="55"/>
        <v>965566.61039637472</v>
      </c>
      <c r="AC130" s="13">
        <f t="shared" si="58"/>
        <v>0.93775039136269123</v>
      </c>
    </row>
    <row r="131" spans="16:29">
      <c r="P131">
        <v>2021</v>
      </c>
      <c r="Q131" s="3">
        <f t="shared" si="56"/>
        <v>2729607.4312902624</v>
      </c>
      <c r="R131" s="3">
        <f t="shared" si="54"/>
        <v>545921.48625805252</v>
      </c>
      <c r="S131" s="3">
        <f t="shared" si="54"/>
        <v>354848.96606773412</v>
      </c>
      <c r="T131" s="3">
        <f t="shared" si="54"/>
        <v>18451.450275066785</v>
      </c>
      <c r="U131" s="3">
        <f t="shared" si="54"/>
        <v>882319.00205071992</v>
      </c>
      <c r="V131" s="3"/>
      <c r="W131" s="3">
        <f t="shared" si="57"/>
        <v>2732400</v>
      </c>
      <c r="X131" s="3">
        <f t="shared" si="55"/>
        <v>546480</v>
      </c>
      <c r="Y131" s="3">
        <f t="shared" si="55"/>
        <v>355212</v>
      </c>
      <c r="Z131" s="3">
        <f t="shared" si="55"/>
        <v>66135.433650397579</v>
      </c>
      <c r="AA131" s="3">
        <f t="shared" si="55"/>
        <v>967827.43365039758</v>
      </c>
      <c r="AC131" s="13">
        <f t="shared" si="58"/>
        <v>0.91164909298224606</v>
      </c>
    </row>
    <row r="132" spans="16:29">
      <c r="P132">
        <v>2022</v>
      </c>
      <c r="Q132" s="3">
        <f t="shared" si="56"/>
        <v>2770401.0626873076</v>
      </c>
      <c r="R132" s="3">
        <f t="shared" si="54"/>
        <v>554080.21253746154</v>
      </c>
      <c r="S132" s="3">
        <f t="shared" si="54"/>
        <v>360152.13814935001</v>
      </c>
      <c r="T132" s="3">
        <f t="shared" si="54"/>
        <v>18451.450275066785</v>
      </c>
      <c r="U132" s="3">
        <f t="shared" si="54"/>
        <v>895780.90041174483</v>
      </c>
      <c r="V132" s="3"/>
      <c r="W132" s="3">
        <f t="shared" si="57"/>
        <v>2732400</v>
      </c>
      <c r="X132" s="3">
        <f t="shared" si="55"/>
        <v>546480</v>
      </c>
      <c r="Y132" s="3">
        <f t="shared" si="55"/>
        <v>355212</v>
      </c>
      <c r="Z132" s="3">
        <f t="shared" si="55"/>
        <v>67613.518412635167</v>
      </c>
      <c r="AA132" s="3">
        <f t="shared" si="55"/>
        <v>969305.5184126352</v>
      </c>
      <c r="AC132" s="13">
        <f t="shared" si="58"/>
        <v>0.92414711708100394</v>
      </c>
    </row>
    <row r="133" spans="16:29">
      <c r="P133">
        <v>2023</v>
      </c>
      <c r="Q133" s="3">
        <f t="shared" si="56"/>
        <v>2745759.442060621</v>
      </c>
      <c r="R133" s="3">
        <f t="shared" si="54"/>
        <v>549151.88841212424</v>
      </c>
      <c r="S133" s="3">
        <f t="shared" si="54"/>
        <v>356948.72746788076</v>
      </c>
      <c r="T133" s="3">
        <f t="shared" si="54"/>
        <v>18451.450275066785</v>
      </c>
      <c r="U133" s="3">
        <f t="shared" si="54"/>
        <v>887649.16560493829</v>
      </c>
      <c r="V133" s="3"/>
      <c r="W133" s="3">
        <f t="shared" si="57"/>
        <v>2732400</v>
      </c>
      <c r="X133" s="3">
        <f t="shared" si="55"/>
        <v>546480</v>
      </c>
      <c r="Y133" s="3">
        <f t="shared" si="55"/>
        <v>355212</v>
      </c>
      <c r="Z133" s="3">
        <f t="shared" si="55"/>
        <v>67915.844484092377</v>
      </c>
      <c r="AA133" s="3">
        <f t="shared" si="55"/>
        <v>969607.84448409243</v>
      </c>
      <c r="AC133" s="13">
        <f t="shared" si="58"/>
        <v>0.91547234343719386</v>
      </c>
    </row>
    <row r="134" spans="16:29">
      <c r="P134">
        <v>2024</v>
      </c>
      <c r="Q134" s="3">
        <f t="shared" si="56"/>
        <v>2647616.853612917</v>
      </c>
      <c r="R134" s="3">
        <f t="shared" si="54"/>
        <v>529523.37072258338</v>
      </c>
      <c r="S134" s="3">
        <f t="shared" si="54"/>
        <v>344190.19096967921</v>
      </c>
      <c r="T134" s="3">
        <f t="shared" si="54"/>
        <v>18451.450275066785</v>
      </c>
      <c r="U134" s="3">
        <f t="shared" si="54"/>
        <v>855262.11141719576</v>
      </c>
      <c r="V134" s="3"/>
      <c r="W134" s="3">
        <f t="shared" si="57"/>
        <v>2732400</v>
      </c>
      <c r="X134" s="3">
        <f t="shared" si="55"/>
        <v>546480</v>
      </c>
      <c r="Y134" s="3">
        <f t="shared" si="55"/>
        <v>355212</v>
      </c>
      <c r="Z134" s="3">
        <f t="shared" si="55"/>
        <v>67497.789587049119</v>
      </c>
      <c r="AA134" s="3">
        <f t="shared" si="55"/>
        <v>969189.78958704916</v>
      </c>
      <c r="AC134" s="13">
        <f t="shared" si="58"/>
        <v>0.88245060008484455</v>
      </c>
    </row>
    <row r="135" spans="16:29">
      <c r="P135">
        <v>2025</v>
      </c>
      <c r="Q135" s="3">
        <f t="shared" si="56"/>
        <v>2563497.0251017106</v>
      </c>
      <c r="R135" s="3">
        <f t="shared" si="54"/>
        <v>512699.40502034209</v>
      </c>
      <c r="S135" s="3">
        <f t="shared" si="54"/>
        <v>333254.61326322239</v>
      </c>
      <c r="T135" s="3">
        <f t="shared" si="54"/>
        <v>18451.450275066785</v>
      </c>
      <c r="U135" s="3">
        <f t="shared" si="54"/>
        <v>827502.56800849771</v>
      </c>
      <c r="V135" s="3"/>
      <c r="W135" s="3">
        <f t="shared" si="57"/>
        <v>2732400</v>
      </c>
      <c r="X135" s="3">
        <f t="shared" si="55"/>
        <v>546480</v>
      </c>
      <c r="Y135" s="3">
        <f t="shared" si="55"/>
        <v>355212</v>
      </c>
      <c r="Z135" s="3">
        <f t="shared" si="55"/>
        <v>68147.335800691566</v>
      </c>
      <c r="AA135" s="3">
        <f t="shared" si="55"/>
        <v>969839.33580069151</v>
      </c>
      <c r="AC135" s="13">
        <f t="shared" si="58"/>
        <v>0.85323675526660125</v>
      </c>
    </row>
    <row r="136" spans="16:29">
      <c r="P136">
        <v>2026</v>
      </c>
      <c r="Q136" s="3">
        <f t="shared" si="56"/>
        <v>2515998.3784233173</v>
      </c>
      <c r="R136" s="3">
        <f t="shared" si="54"/>
        <v>503199.67568466347</v>
      </c>
      <c r="S136" s="3">
        <f t="shared" si="54"/>
        <v>327079.78919503128</v>
      </c>
      <c r="T136" s="3">
        <f t="shared" si="54"/>
        <v>18451.450275066785</v>
      </c>
      <c r="U136" s="3">
        <f t="shared" si="54"/>
        <v>811828.01460462797</v>
      </c>
      <c r="V136" s="3"/>
      <c r="W136" s="3">
        <f t="shared" si="57"/>
        <v>2732400</v>
      </c>
      <c r="X136" s="3">
        <f t="shared" si="55"/>
        <v>546480</v>
      </c>
      <c r="Y136" s="3">
        <f t="shared" si="55"/>
        <v>355212</v>
      </c>
      <c r="Z136" s="3">
        <f t="shared" si="55"/>
        <v>69765.93583022157</v>
      </c>
      <c r="AA136" s="3">
        <f t="shared" si="55"/>
        <v>971457.93583022151</v>
      </c>
      <c r="AC136" s="13">
        <f t="shared" si="58"/>
        <v>0.83568004816474983</v>
      </c>
    </row>
    <row r="137" spans="16:29">
      <c r="P137">
        <v>2027</v>
      </c>
      <c r="Q137" s="3">
        <f t="shared" si="56"/>
        <v>2468495.0945604402</v>
      </c>
      <c r="R137" s="3">
        <f t="shared" si="54"/>
        <v>493699.01891208801</v>
      </c>
      <c r="S137" s="3">
        <f t="shared" si="54"/>
        <v>320904.36229285726</v>
      </c>
      <c r="T137" s="3">
        <f t="shared" si="54"/>
        <v>18451.450275066785</v>
      </c>
      <c r="U137" s="3">
        <f t="shared" si="54"/>
        <v>796151.93092987849</v>
      </c>
      <c r="V137" s="3"/>
      <c r="W137" s="3">
        <f t="shared" si="57"/>
        <v>2732400</v>
      </c>
      <c r="X137" s="3">
        <f t="shared" si="55"/>
        <v>546480</v>
      </c>
      <c r="Y137" s="3">
        <f t="shared" si="55"/>
        <v>355212</v>
      </c>
      <c r="Z137" s="3">
        <f t="shared" si="55"/>
        <v>70245.404047457676</v>
      </c>
      <c r="AA137" s="3">
        <f t="shared" si="55"/>
        <v>971937.40404745773</v>
      </c>
      <c r="AC137" s="13">
        <f t="shared" si="58"/>
        <v>0.81913910053718231</v>
      </c>
    </row>
    <row r="138" spans="16:29">
      <c r="P138">
        <v>2028</v>
      </c>
      <c r="Q138" s="3">
        <f t="shared" si="56"/>
        <v>2414925.9553484404</v>
      </c>
      <c r="R138" s="3">
        <f t="shared" si="56"/>
        <v>482985.19106968807</v>
      </c>
      <c r="S138" s="3">
        <f t="shared" si="56"/>
        <v>313940.37419529725</v>
      </c>
      <c r="T138" s="3">
        <f t="shared" si="56"/>
        <v>18451.450275066785</v>
      </c>
      <c r="U138" s="3">
        <f t="shared" si="56"/>
        <v>778474.11498991854</v>
      </c>
      <c r="V138" s="3"/>
      <c r="W138" s="3">
        <f t="shared" si="57"/>
        <v>2732400</v>
      </c>
      <c r="X138" s="3">
        <f t="shared" si="57"/>
        <v>546480</v>
      </c>
      <c r="Y138" s="3">
        <f t="shared" si="57"/>
        <v>355212</v>
      </c>
      <c r="Z138" s="3">
        <f t="shared" si="57"/>
        <v>70283.349050003453</v>
      </c>
      <c r="AA138" s="3">
        <f t="shared" si="57"/>
        <v>971975.34905000345</v>
      </c>
      <c r="AC138" s="13">
        <f t="shared" si="58"/>
        <v>0.80091960742707047</v>
      </c>
    </row>
    <row r="139" spans="16:29">
      <c r="P139">
        <v>2029</v>
      </c>
      <c r="Q139" s="3">
        <f t="shared" ref="Q139:U140" si="59">B101</f>
        <v>2367413.4620935475</v>
      </c>
      <c r="R139" s="3">
        <f t="shared" si="59"/>
        <v>473482.69241870951</v>
      </c>
      <c r="S139" s="3">
        <f t="shared" si="59"/>
        <v>307763.7500721612</v>
      </c>
      <c r="T139" s="3">
        <f t="shared" si="59"/>
        <v>18451.450275066785</v>
      </c>
      <c r="U139" s="3">
        <f t="shared" si="59"/>
        <v>762794.99221580394</v>
      </c>
      <c r="V139" s="3"/>
      <c r="W139" s="3">
        <f t="shared" ref="W139:AA140" si="60">J101</f>
        <v>2732400</v>
      </c>
      <c r="X139" s="3">
        <f t="shared" si="60"/>
        <v>546480</v>
      </c>
      <c r="Y139" s="3">
        <f t="shared" si="60"/>
        <v>355212</v>
      </c>
      <c r="Z139" s="3">
        <f t="shared" si="60"/>
        <v>70571.765871855358</v>
      </c>
      <c r="AA139" s="3">
        <f t="shared" si="60"/>
        <v>972263.76587185531</v>
      </c>
      <c r="AC139" s="13">
        <f t="shared" si="58"/>
        <v>0.78455561030990906</v>
      </c>
    </row>
    <row r="140" spans="16:29">
      <c r="P140">
        <v>2030</v>
      </c>
      <c r="Q140" s="3">
        <f t="shared" si="59"/>
        <v>2313835.1565711917</v>
      </c>
      <c r="R140" s="3">
        <f t="shared" si="59"/>
        <v>462767.03131423832</v>
      </c>
      <c r="S140" s="3">
        <f t="shared" si="59"/>
        <v>300798.57035425492</v>
      </c>
      <c r="T140" s="3">
        <f t="shared" si="59"/>
        <v>18451.450275066785</v>
      </c>
      <c r="U140" s="3">
        <f t="shared" si="59"/>
        <v>745114.15139342647</v>
      </c>
      <c r="V140" s="3"/>
      <c r="W140" s="3">
        <f t="shared" si="60"/>
        <v>2732400</v>
      </c>
      <c r="X140" s="3">
        <f t="shared" si="60"/>
        <v>546480</v>
      </c>
      <c r="Y140" s="3">
        <f t="shared" si="60"/>
        <v>355212</v>
      </c>
      <c r="Z140" s="3">
        <f t="shared" si="60"/>
        <v>70618.201778033326</v>
      </c>
      <c r="AA140" s="3">
        <f t="shared" si="60"/>
        <v>972310.20177803328</v>
      </c>
      <c r="AC140" s="13">
        <f t="shared" si="58"/>
        <v>0.76633377910759293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Y162"/>
  <sheetViews>
    <sheetView zoomScale="85" zoomScaleNormal="85" workbookViewId="0">
      <pane xSplit="1" ySplit="2" topLeftCell="AD57" activePane="bottomRight" state="frozen"/>
      <selection pane="topRight" activeCell="B1" sqref="B1"/>
      <selection pane="bottomLeft" activeCell="A3" sqref="A3"/>
      <selection pane="bottomRight" activeCell="AY58" sqref="AY58"/>
    </sheetView>
  </sheetViews>
  <sheetFormatPr defaultRowHeight="15"/>
  <cols>
    <col min="1" max="1" width="5.7109375" customWidth="1"/>
    <col min="2" max="4" width="9" customWidth="1"/>
    <col min="5" max="5" width="7.42578125" customWidth="1"/>
    <col min="6" max="6" width="9.28515625" customWidth="1"/>
    <col min="7" max="7" width="8.7109375" customWidth="1"/>
    <col min="8" max="8" width="8" customWidth="1"/>
    <col min="9" max="9" width="9.140625" customWidth="1"/>
    <col min="10" max="14" width="9" customWidth="1"/>
    <col min="15" max="15" width="8.5703125" customWidth="1"/>
    <col min="16" max="16" width="10.7109375" customWidth="1"/>
    <col min="17" max="18" width="8.5703125" customWidth="1"/>
    <col min="19" max="20" width="7.42578125" customWidth="1"/>
    <col min="21" max="21" width="10.42578125" customWidth="1"/>
    <col min="22" max="22" width="9" customWidth="1"/>
    <col min="23" max="23" width="8.85546875" customWidth="1"/>
    <col min="24" max="24" width="10" customWidth="1"/>
    <col min="25" max="26" width="11.28515625" customWidth="1"/>
    <col min="27" max="27" width="10" customWidth="1"/>
    <col min="28" max="28" width="8.140625" customWidth="1"/>
    <col min="29" max="29" width="10.28515625" customWidth="1"/>
    <col min="30" max="30" width="14.140625" customWidth="1"/>
    <col min="31" max="31" width="9.28515625" customWidth="1"/>
    <col min="32" max="32" width="8.7109375" customWidth="1"/>
    <col min="33" max="33" width="9.28515625" customWidth="1"/>
    <col min="34" max="34" width="9.85546875" customWidth="1"/>
    <col min="35" max="35" width="7.7109375" customWidth="1"/>
    <col min="36" max="37" width="8.140625" customWidth="1"/>
    <col min="38" max="38" width="9.42578125" customWidth="1"/>
    <col min="39" max="39" width="9" customWidth="1"/>
    <col min="40" max="44" width="8.7109375" customWidth="1"/>
    <col min="45" max="45" width="11" customWidth="1"/>
    <col min="46" max="46" width="8" customWidth="1"/>
    <col min="47" max="48" width="8.85546875" customWidth="1"/>
    <col min="49" max="49" width="7.7109375" customWidth="1"/>
    <col min="50" max="50" width="10.85546875" customWidth="1"/>
    <col min="51" max="51" width="8" customWidth="1"/>
    <col min="52" max="52" width="9.140625" customWidth="1"/>
    <col min="53" max="53" width="10.28515625" customWidth="1"/>
    <col min="54" max="54" width="8.5703125" customWidth="1"/>
    <col min="55" max="55" width="11" customWidth="1"/>
    <col min="56" max="57" width="7.42578125" customWidth="1"/>
    <col min="58" max="58" width="8" customWidth="1"/>
    <col min="59" max="59" width="10.28515625" customWidth="1"/>
    <col min="63" max="63" width="10" customWidth="1"/>
    <col min="64" max="64" width="9.7109375" bestFit="1" customWidth="1"/>
    <col min="65" max="66" width="9.7109375" customWidth="1"/>
    <col min="68" max="68" width="9.7109375" customWidth="1"/>
    <col min="78" max="78" width="10.7109375" bestFit="1" customWidth="1"/>
    <col min="80" max="80" width="12.140625" customWidth="1"/>
    <col min="84" max="84" width="12.5703125" customWidth="1"/>
    <col min="86" max="86" width="12.140625" customWidth="1"/>
    <col min="93" max="93" width="11.140625" customWidth="1"/>
    <col min="94" max="94" width="11.7109375" customWidth="1"/>
    <col min="98" max="98" width="11.85546875" customWidth="1"/>
    <col min="99" max="100" width="9.7109375" bestFit="1" customWidth="1"/>
  </cols>
  <sheetData>
    <row r="1" spans="1:101" ht="12.75" customHeight="1">
      <c r="E1" s="14" t="s">
        <v>250</v>
      </c>
      <c r="F1" s="14"/>
      <c r="G1" s="14"/>
      <c r="H1" s="14"/>
      <c r="I1" s="14"/>
      <c r="J1" t="s">
        <v>251</v>
      </c>
      <c r="N1" t="s">
        <v>303</v>
      </c>
      <c r="W1" t="s">
        <v>485</v>
      </c>
      <c r="AH1" s="14" t="s">
        <v>302</v>
      </c>
      <c r="AI1" s="14"/>
      <c r="AJ1" s="14"/>
      <c r="AK1" s="14"/>
      <c r="AL1" s="14"/>
      <c r="AM1" t="s">
        <v>251</v>
      </c>
      <c r="BE1" s="14" t="s">
        <v>547</v>
      </c>
      <c r="BF1" s="102" t="s">
        <v>339</v>
      </c>
      <c r="BG1" s="86" t="s">
        <v>605</v>
      </c>
      <c r="BH1" s="135" t="s">
        <v>606</v>
      </c>
      <c r="BI1" s="135"/>
      <c r="BN1" s="14" t="s">
        <v>333</v>
      </c>
      <c r="BO1" s="14"/>
      <c r="BP1" s="14"/>
      <c r="BQ1" s="14"/>
      <c r="BR1" s="14"/>
      <c r="BS1" s="14"/>
      <c r="BT1" s="14"/>
      <c r="BU1" s="14"/>
      <c r="BV1" t="s">
        <v>251</v>
      </c>
      <c r="BW1" s="139" t="s">
        <v>643</v>
      </c>
      <c r="BX1" s="14"/>
      <c r="BY1" s="14"/>
      <c r="CS1" t="s">
        <v>647</v>
      </c>
      <c r="CV1" t="s">
        <v>645</v>
      </c>
    </row>
    <row r="2" spans="1:101" ht="12.75" customHeight="1">
      <c r="A2" s="22"/>
      <c r="B2" s="149" t="s">
        <v>255</v>
      </c>
      <c r="C2" s="149" t="s">
        <v>539</v>
      </c>
      <c r="D2" s="149" t="s">
        <v>540</v>
      </c>
      <c r="E2" s="149" t="s">
        <v>238</v>
      </c>
      <c r="F2" s="149" t="s">
        <v>239</v>
      </c>
      <c r="G2" s="149" t="s">
        <v>541</v>
      </c>
      <c r="H2" s="149" t="s">
        <v>542</v>
      </c>
      <c r="I2" s="149" t="s">
        <v>240</v>
      </c>
      <c r="J2" s="149" t="s">
        <v>241</v>
      </c>
      <c r="K2" s="149" t="s">
        <v>242</v>
      </c>
      <c r="L2" s="149" t="s">
        <v>544</v>
      </c>
      <c r="M2" s="7" t="s">
        <v>538</v>
      </c>
      <c r="N2" s="149" t="s">
        <v>243</v>
      </c>
      <c r="O2" s="149" t="s">
        <v>244</v>
      </c>
      <c r="P2" s="149" t="s">
        <v>245</v>
      </c>
      <c r="Q2" s="150" t="s">
        <v>331</v>
      </c>
      <c r="R2" s="149" t="s">
        <v>246</v>
      </c>
      <c r="S2" s="149" t="s">
        <v>545</v>
      </c>
      <c r="T2" s="149" t="s">
        <v>247</v>
      </c>
      <c r="U2" s="149" t="s">
        <v>546</v>
      </c>
      <c r="V2" s="149" t="s">
        <v>248</v>
      </c>
      <c r="W2" s="149" t="s">
        <v>249</v>
      </c>
      <c r="X2" s="149" t="s">
        <v>609</v>
      </c>
      <c r="Y2" s="149" t="s">
        <v>158</v>
      </c>
      <c r="Z2" s="149" t="s">
        <v>1055</v>
      </c>
      <c r="AA2" s="98"/>
      <c r="AB2" s="98"/>
      <c r="AD2" s="22"/>
      <c r="AE2" s="149" t="s">
        <v>255</v>
      </c>
      <c r="AF2" s="149" t="s">
        <v>539</v>
      </c>
      <c r="AG2" s="149" t="s">
        <v>540</v>
      </c>
      <c r="AH2" s="149" t="s">
        <v>238</v>
      </c>
      <c r="AI2" s="149" t="s">
        <v>239</v>
      </c>
      <c r="AJ2" s="149" t="s">
        <v>541</v>
      </c>
      <c r="AK2" s="149" t="s">
        <v>542</v>
      </c>
      <c r="AL2" s="149" t="s">
        <v>240</v>
      </c>
      <c r="AM2" s="149" t="s">
        <v>241</v>
      </c>
      <c r="AN2" s="149" t="s">
        <v>242</v>
      </c>
      <c r="AO2" s="149" t="s">
        <v>544</v>
      </c>
      <c r="AP2" s="7" t="s">
        <v>538</v>
      </c>
      <c r="AQ2" s="149" t="s">
        <v>243</v>
      </c>
      <c r="AR2" s="149" t="s">
        <v>244</v>
      </c>
      <c r="AS2" s="149" t="s">
        <v>245</v>
      </c>
      <c r="AT2" s="150" t="s">
        <v>331</v>
      </c>
      <c r="AU2" s="149" t="s">
        <v>246</v>
      </c>
      <c r="AV2" s="149" t="s">
        <v>545</v>
      </c>
      <c r="AW2" s="149" t="s">
        <v>247</v>
      </c>
      <c r="AX2" s="149" t="s">
        <v>546</v>
      </c>
      <c r="AY2" s="149" t="s">
        <v>248</v>
      </c>
      <c r="AZ2" s="149" t="s">
        <v>249</v>
      </c>
      <c r="BA2" s="149" t="s">
        <v>609</v>
      </c>
      <c r="BB2" s="149" t="s">
        <v>158</v>
      </c>
      <c r="BC2" s="149" t="s">
        <v>1055</v>
      </c>
      <c r="BD2" t="s">
        <v>645</v>
      </c>
      <c r="BF2" s="143" t="s">
        <v>255</v>
      </c>
      <c r="BG2" s="144" t="s">
        <v>539</v>
      </c>
      <c r="BH2" s="144" t="s">
        <v>540</v>
      </c>
      <c r="BI2" s="133" t="s">
        <v>548</v>
      </c>
      <c r="BJ2" s="145" t="s">
        <v>238</v>
      </c>
      <c r="BK2" s="145" t="s">
        <v>239</v>
      </c>
      <c r="BL2" s="133" t="s">
        <v>562</v>
      </c>
      <c r="BM2" s="133" t="s">
        <v>549</v>
      </c>
      <c r="BN2" s="133" t="s">
        <v>550</v>
      </c>
      <c r="BO2" s="144" t="s">
        <v>541</v>
      </c>
      <c r="BP2" s="133" t="s">
        <v>551</v>
      </c>
      <c r="BQ2" s="144" t="s">
        <v>542</v>
      </c>
      <c r="BR2" s="145" t="s">
        <v>240</v>
      </c>
      <c r="BS2" s="145" t="s">
        <v>241</v>
      </c>
      <c r="BT2" s="132" t="s">
        <v>610</v>
      </c>
      <c r="BU2" s="146" t="s">
        <v>543</v>
      </c>
      <c r="BV2" s="133" t="s">
        <v>552</v>
      </c>
      <c r="BW2" s="145" t="s">
        <v>242</v>
      </c>
      <c r="BX2" s="144" t="s">
        <v>544</v>
      </c>
      <c r="BY2" s="90" t="s">
        <v>538</v>
      </c>
      <c r="BZ2" s="145" t="s">
        <v>243</v>
      </c>
      <c r="CA2" s="145" t="s">
        <v>244</v>
      </c>
      <c r="CB2" s="102" t="s">
        <v>553</v>
      </c>
      <c r="CC2" s="102" t="s">
        <v>554</v>
      </c>
      <c r="CD2" s="14" t="s">
        <v>555</v>
      </c>
      <c r="CE2" s="102" t="s">
        <v>556</v>
      </c>
      <c r="CF2" s="90" t="s">
        <v>245</v>
      </c>
      <c r="CG2" s="147" t="s">
        <v>331</v>
      </c>
      <c r="CH2" s="147" t="s">
        <v>246</v>
      </c>
      <c r="CI2" s="102" t="s">
        <v>557</v>
      </c>
      <c r="CJ2" s="14" t="s">
        <v>558</v>
      </c>
      <c r="CK2" s="102" t="s">
        <v>559</v>
      </c>
      <c r="CL2" s="102" t="s">
        <v>560</v>
      </c>
      <c r="CM2" s="102" t="s">
        <v>563</v>
      </c>
      <c r="CN2" s="144" t="s">
        <v>545</v>
      </c>
      <c r="CO2" s="144" t="s">
        <v>247</v>
      </c>
      <c r="CP2" s="144" t="s">
        <v>546</v>
      </c>
      <c r="CQ2" s="78" t="s">
        <v>561</v>
      </c>
      <c r="CR2" s="148" t="s">
        <v>248</v>
      </c>
      <c r="CS2" s="143" t="s">
        <v>607</v>
      </c>
      <c r="CT2" s="7" t="s">
        <v>648</v>
      </c>
      <c r="CU2" s="7" t="s">
        <v>158</v>
      </c>
      <c r="CV2" s="98"/>
      <c r="CW2" s="98"/>
    </row>
    <row r="3" spans="1:101" ht="12.75" customHeight="1">
      <c r="A3">
        <v>2005</v>
      </c>
      <c r="B3" s="131">
        <f t="shared" ref="B3:B15" si="0">B46+AE3</f>
        <v>0</v>
      </c>
      <c r="C3" s="84">
        <f t="shared" ref="C3:C15" si="1">C46+AF3</f>
        <v>0</v>
      </c>
      <c r="D3" s="84">
        <v>0</v>
      </c>
      <c r="E3" s="93">
        <v>0</v>
      </c>
      <c r="F3" s="93">
        <v>0</v>
      </c>
      <c r="G3" s="84">
        <v>0</v>
      </c>
      <c r="H3" s="84">
        <v>0</v>
      </c>
      <c r="I3" s="84">
        <v>0.01</v>
      </c>
      <c r="J3" s="84">
        <v>0.02</v>
      </c>
      <c r="K3" s="94">
        <f t="shared" ref="K3:K15" si="2">K46+AN3</f>
        <v>9.9000000000000005E-2</v>
      </c>
      <c r="L3" s="84">
        <v>0</v>
      </c>
      <c r="M3" s="84">
        <f t="shared" ref="M3:M15" si="3">M46+AP3</f>
        <v>0</v>
      </c>
      <c r="N3" s="84">
        <v>0</v>
      </c>
      <c r="O3" s="93">
        <v>0</v>
      </c>
      <c r="P3" s="93">
        <v>0</v>
      </c>
      <c r="Q3" s="93">
        <v>0</v>
      </c>
      <c r="R3" s="93">
        <v>0</v>
      </c>
      <c r="S3" s="84">
        <v>0</v>
      </c>
      <c r="T3" s="93">
        <v>0</v>
      </c>
      <c r="U3" s="84">
        <v>0</v>
      </c>
      <c r="V3" s="84">
        <v>0.22</v>
      </c>
      <c r="W3" s="84">
        <v>1.1200000000000001</v>
      </c>
      <c r="X3" s="84">
        <f t="shared" ref="X3:X14" si="4">X46+BA3</f>
        <v>0</v>
      </c>
      <c r="Y3" s="84">
        <f>SUM(B3:X3)</f>
        <v>1.4690000000000001</v>
      </c>
      <c r="Z3" s="13"/>
      <c r="AA3" s="13"/>
      <c r="AB3" s="13"/>
      <c r="AD3">
        <v>2005</v>
      </c>
      <c r="AE3" s="131">
        <v>0</v>
      </c>
      <c r="AF3" s="84">
        <v>0</v>
      </c>
      <c r="AG3" s="84">
        <v>0</v>
      </c>
      <c r="AH3" s="84">
        <f t="shared" ref="AH3:AH14" si="5">E3-E46</f>
        <v>0</v>
      </c>
      <c r="AI3" s="84">
        <f t="shared" ref="AI3:AI14" si="6">F3-F46</f>
        <v>0</v>
      </c>
      <c r="AJ3" s="84">
        <v>0</v>
      </c>
      <c r="AK3" s="84">
        <v>0</v>
      </c>
      <c r="AL3" s="84">
        <f t="shared" ref="AL3:AL13" si="7">I3-I46</f>
        <v>0</v>
      </c>
      <c r="AM3" s="84">
        <f t="shared" ref="AM3:AM13" si="8">J3-J46</f>
        <v>0</v>
      </c>
      <c r="AN3" s="84">
        <f>BW37</f>
        <v>0</v>
      </c>
      <c r="AO3" s="84">
        <v>0</v>
      </c>
      <c r="AP3" s="84">
        <v>0</v>
      </c>
      <c r="AQ3" s="84">
        <f t="shared" ref="AQ3:AQ13" si="9">N3-N46</f>
        <v>0</v>
      </c>
      <c r="AR3" s="84">
        <f t="shared" ref="AR3:AR13" si="10">O3-O46</f>
        <v>0</v>
      </c>
      <c r="AS3" s="84">
        <f t="shared" ref="AS3:AS13" si="11">P3-P46</f>
        <v>0</v>
      </c>
      <c r="AT3" s="84">
        <f t="shared" ref="AT3:AT13" si="12">Q3-Q46</f>
        <v>0</v>
      </c>
      <c r="AU3" s="84">
        <f t="shared" ref="AU3:AU13" si="13">R3-R46</f>
        <v>0</v>
      </c>
      <c r="AV3" s="84">
        <v>0</v>
      </c>
      <c r="AW3" s="84">
        <f>T3-T46</f>
        <v>0</v>
      </c>
      <c r="AX3" s="84">
        <f>CP37</f>
        <v>0</v>
      </c>
      <c r="AY3" s="84">
        <f t="shared" ref="AY3:AY13" si="14">V3-V46</f>
        <v>0</v>
      </c>
      <c r="AZ3" s="84">
        <f t="shared" ref="AZ3:AZ13" si="15">W3-W46</f>
        <v>0</v>
      </c>
      <c r="BA3" s="84">
        <f>CT37</f>
        <v>0</v>
      </c>
      <c r="BB3" s="84">
        <f t="shared" ref="BB3:BB15" si="16">SUM(AE3:BA3)</f>
        <v>0</v>
      </c>
      <c r="BC3" s="13"/>
      <c r="BE3">
        <v>2005</v>
      </c>
      <c r="BF3" s="84">
        <f>BH77</f>
        <v>789.096</v>
      </c>
      <c r="BG3" s="93">
        <v>307.90499999999997</v>
      </c>
      <c r="BH3" s="93">
        <v>480.00799999999998</v>
      </c>
      <c r="BI3" s="84"/>
      <c r="BJ3" s="84"/>
      <c r="BK3" s="84"/>
      <c r="BL3" s="84"/>
      <c r="BM3" s="84"/>
      <c r="BN3" s="84"/>
      <c r="BO3" s="93">
        <v>148.178</v>
      </c>
      <c r="BP3" s="84"/>
      <c r="BQ3" s="93">
        <v>147.74</v>
      </c>
      <c r="BR3" s="93">
        <v>2067.7890000000002</v>
      </c>
      <c r="BS3" s="93">
        <v>3340.7080000000001</v>
      </c>
      <c r="BT3" s="93">
        <v>269.70499999999998</v>
      </c>
      <c r="BU3" s="84"/>
      <c r="BV3" s="84"/>
      <c r="BW3" s="84">
        <v>1062</v>
      </c>
      <c r="BX3" s="93">
        <v>171.74199999999999</v>
      </c>
      <c r="BY3" s="93">
        <v>2264.6610000000001</v>
      </c>
      <c r="BZ3" s="84"/>
      <c r="CA3" s="84"/>
      <c r="CB3" s="84"/>
      <c r="CC3" s="84"/>
      <c r="CD3" s="93">
        <v>48.517000000000003</v>
      </c>
      <c r="CE3" s="84"/>
      <c r="CF3" s="93">
        <v>465.19600000000003</v>
      </c>
      <c r="CG3" s="94">
        <f t="shared" ref="CG3:CG15" si="17">AT46</f>
        <v>235</v>
      </c>
      <c r="CH3" s="94">
        <f t="shared" ref="CH3:CH15" si="18">AU46</f>
        <v>109.907</v>
      </c>
      <c r="CI3" s="84"/>
      <c r="CJ3" s="93">
        <v>206.488</v>
      </c>
      <c r="CK3" s="84"/>
      <c r="CL3" s="84"/>
      <c r="CM3" s="84"/>
      <c r="CN3" s="93">
        <v>1649.3510000000001</v>
      </c>
      <c r="CO3" s="93">
        <v>273.93200000000002</v>
      </c>
      <c r="CP3" s="94"/>
      <c r="CQ3" s="94"/>
      <c r="CR3" s="14">
        <v>2439.2510000000002</v>
      </c>
      <c r="CS3" s="3">
        <f>CW77</f>
        <v>13144.8</v>
      </c>
    </row>
    <row r="4" spans="1:101" ht="12.75" customHeight="1">
      <c r="A4">
        <v>2006</v>
      </c>
      <c r="B4" s="131">
        <f t="shared" si="0"/>
        <v>0</v>
      </c>
      <c r="C4" s="84">
        <f t="shared" si="1"/>
        <v>0</v>
      </c>
      <c r="D4" s="84">
        <v>0</v>
      </c>
      <c r="E4" s="93">
        <v>0</v>
      </c>
      <c r="F4" s="93">
        <v>0</v>
      </c>
      <c r="G4" s="84">
        <v>0</v>
      </c>
      <c r="H4" s="84">
        <v>0</v>
      </c>
      <c r="I4" s="93">
        <v>0</v>
      </c>
      <c r="J4" s="93">
        <f>J3</f>
        <v>0.02</v>
      </c>
      <c r="K4" s="94">
        <f t="shared" si="2"/>
        <v>0.123</v>
      </c>
      <c r="L4" s="84">
        <v>0</v>
      </c>
      <c r="M4" s="84">
        <f t="shared" si="3"/>
        <v>0</v>
      </c>
      <c r="N4" s="84">
        <v>0</v>
      </c>
      <c r="O4" s="93">
        <v>0</v>
      </c>
      <c r="P4" s="93">
        <v>0</v>
      </c>
      <c r="Q4" s="93">
        <v>0</v>
      </c>
      <c r="R4" s="93">
        <v>0</v>
      </c>
      <c r="S4" s="84">
        <v>0</v>
      </c>
      <c r="T4" s="93">
        <v>0</v>
      </c>
      <c r="U4" s="84">
        <v>0</v>
      </c>
      <c r="V4" s="84">
        <v>0.32</v>
      </c>
      <c r="W4" s="93">
        <f>W3+(W6-W3)/3</f>
        <v>1.2366666666666668</v>
      </c>
      <c r="X4" s="84">
        <f t="shared" si="4"/>
        <v>0</v>
      </c>
      <c r="Y4" s="84">
        <f t="shared" ref="Y4:Y14" si="19">SUM(B4:X4)</f>
        <v>1.6996666666666669</v>
      </c>
      <c r="Z4" s="13"/>
      <c r="AA4" s="13"/>
      <c r="AB4" s="13"/>
      <c r="AD4">
        <v>2006</v>
      </c>
      <c r="AE4" s="131">
        <v>0</v>
      </c>
      <c r="AF4" s="84">
        <v>0</v>
      </c>
      <c r="AG4" s="84">
        <v>0</v>
      </c>
      <c r="AH4" s="84">
        <f t="shared" si="5"/>
        <v>0</v>
      </c>
      <c r="AI4" s="84">
        <f t="shared" si="6"/>
        <v>0</v>
      </c>
      <c r="AJ4" s="84">
        <v>0</v>
      </c>
      <c r="AK4" s="84">
        <v>0</v>
      </c>
      <c r="AL4" s="84">
        <f t="shared" si="7"/>
        <v>0</v>
      </c>
      <c r="AM4" s="84">
        <f t="shared" si="8"/>
        <v>0</v>
      </c>
      <c r="AN4" s="84">
        <f t="shared" ref="AN4:AN15" si="20">BW38</f>
        <v>0</v>
      </c>
      <c r="AO4" s="84">
        <v>0</v>
      </c>
      <c r="AP4" s="84">
        <v>0</v>
      </c>
      <c r="AQ4" s="84">
        <f t="shared" si="9"/>
        <v>0</v>
      </c>
      <c r="AR4" s="84">
        <f t="shared" si="10"/>
        <v>0</v>
      </c>
      <c r="AS4" s="84">
        <f t="shared" si="11"/>
        <v>0</v>
      </c>
      <c r="AT4" s="84">
        <f t="shared" si="12"/>
        <v>0</v>
      </c>
      <c r="AU4" s="84">
        <f t="shared" si="13"/>
        <v>0</v>
      </c>
      <c r="AV4" s="84">
        <v>0</v>
      </c>
      <c r="AW4" s="84">
        <f>T4-T47</f>
        <v>0</v>
      </c>
      <c r="AX4" s="84">
        <f t="shared" ref="AX4:AX13" si="21">CP38</f>
        <v>0</v>
      </c>
      <c r="AY4" s="84">
        <f t="shared" si="14"/>
        <v>0</v>
      </c>
      <c r="AZ4" s="84">
        <f t="shared" si="15"/>
        <v>0</v>
      </c>
      <c r="BA4" s="84">
        <f t="shared" ref="BA4:BA15" si="22">CT38</f>
        <v>0</v>
      </c>
      <c r="BB4" s="84">
        <f t="shared" si="16"/>
        <v>0</v>
      </c>
      <c r="BC4" s="13"/>
      <c r="BE4">
        <v>2006</v>
      </c>
      <c r="BF4" s="84">
        <f t="shared" ref="BF4:BF15" si="23">BH78</f>
        <v>769.24099999999999</v>
      </c>
      <c r="BG4" s="93">
        <v>308.59500000000003</v>
      </c>
      <c r="BH4" s="93">
        <v>526.11300000000006</v>
      </c>
      <c r="BI4" s="84"/>
      <c r="BJ4" s="84"/>
      <c r="BK4" s="84"/>
      <c r="BL4" s="84"/>
      <c r="BM4" s="84"/>
      <c r="BN4" s="84"/>
      <c r="BO4" s="93">
        <v>156.90899999999999</v>
      </c>
      <c r="BP4" s="84"/>
      <c r="BQ4" s="93">
        <v>145.233</v>
      </c>
      <c r="BR4" s="93">
        <v>2000.5630000000001</v>
      </c>
      <c r="BS4" s="93">
        <v>3466.489</v>
      </c>
      <c r="BT4" s="93">
        <v>267.64400000000001</v>
      </c>
      <c r="BU4" s="84"/>
      <c r="BV4" s="84"/>
      <c r="BW4" s="84">
        <v>1143</v>
      </c>
      <c r="BX4" s="93">
        <v>178.483</v>
      </c>
      <c r="BY4" s="93">
        <v>2354.1410000000001</v>
      </c>
      <c r="BZ4" s="84"/>
      <c r="CA4" s="84"/>
      <c r="CB4" s="84"/>
      <c r="CC4" s="84"/>
      <c r="CD4" s="93">
        <v>50.837000000000003</v>
      </c>
      <c r="CE4" s="84"/>
      <c r="CF4" s="93">
        <v>484.01</v>
      </c>
      <c r="CG4" s="94">
        <f t="shared" si="17"/>
        <v>205</v>
      </c>
      <c r="CH4" s="94">
        <f t="shared" si="18"/>
        <v>109.164</v>
      </c>
      <c r="CI4" s="84"/>
      <c r="CJ4" s="93">
        <v>194.71600000000001</v>
      </c>
      <c r="CK4" s="84"/>
      <c r="CL4" s="84"/>
      <c r="CM4" s="84"/>
      <c r="CN4" s="93">
        <v>1634.489</v>
      </c>
      <c r="CO4" s="93">
        <v>282.47500000000002</v>
      </c>
      <c r="CP4" s="94"/>
      <c r="CQ4" s="94"/>
      <c r="CR4" s="14">
        <v>2344.4070000000002</v>
      </c>
      <c r="CS4" s="3">
        <f t="shared" ref="CS4:CS15" si="24">CW78</f>
        <v>12998.3</v>
      </c>
    </row>
    <row r="5" spans="1:101" ht="12.75" customHeight="1">
      <c r="A5">
        <v>2007</v>
      </c>
      <c r="B5" s="131">
        <f t="shared" si="0"/>
        <v>0</v>
      </c>
      <c r="C5" s="84">
        <f t="shared" si="1"/>
        <v>0</v>
      </c>
      <c r="D5" s="84">
        <v>0</v>
      </c>
      <c r="E5" s="93">
        <v>0</v>
      </c>
      <c r="F5" s="93">
        <v>0</v>
      </c>
      <c r="G5" s="84">
        <v>0</v>
      </c>
      <c r="H5" s="84">
        <v>0</v>
      </c>
      <c r="I5" s="93">
        <v>0</v>
      </c>
      <c r="J5" s="93">
        <f>J4</f>
        <v>0.02</v>
      </c>
      <c r="K5" s="94">
        <f t="shared" si="2"/>
        <v>0.13500000000000001</v>
      </c>
      <c r="L5" s="84">
        <v>0</v>
      </c>
      <c r="M5" s="84">
        <f t="shared" si="3"/>
        <v>0</v>
      </c>
      <c r="N5" s="84">
        <v>0</v>
      </c>
      <c r="O5" s="93">
        <v>0</v>
      </c>
      <c r="P5" s="93">
        <v>0</v>
      </c>
      <c r="Q5" s="93">
        <v>0</v>
      </c>
      <c r="R5" s="84">
        <v>0.01</v>
      </c>
      <c r="S5" s="84">
        <v>0</v>
      </c>
      <c r="T5" s="93">
        <v>0</v>
      </c>
      <c r="U5" s="84">
        <v>0</v>
      </c>
      <c r="V5" s="84">
        <v>0.45</v>
      </c>
      <c r="W5" s="93">
        <f>W4+(W6-W3)/3</f>
        <v>1.3533333333333335</v>
      </c>
      <c r="X5" s="84">
        <f t="shared" si="4"/>
        <v>0</v>
      </c>
      <c r="Y5" s="84">
        <f t="shared" si="19"/>
        <v>1.9683333333333335</v>
      </c>
      <c r="Z5" s="13"/>
      <c r="AA5" s="13"/>
      <c r="AB5" s="13"/>
      <c r="AD5">
        <v>2007</v>
      </c>
      <c r="AE5" s="131">
        <v>0</v>
      </c>
      <c r="AF5" s="84">
        <v>0</v>
      </c>
      <c r="AG5" s="84">
        <v>0</v>
      </c>
      <c r="AH5" s="84">
        <f t="shared" si="5"/>
        <v>0</v>
      </c>
      <c r="AI5" s="84">
        <f t="shared" si="6"/>
        <v>0</v>
      </c>
      <c r="AJ5" s="84">
        <v>0</v>
      </c>
      <c r="AK5" s="84">
        <v>0</v>
      </c>
      <c r="AL5" s="84">
        <f t="shared" si="7"/>
        <v>0</v>
      </c>
      <c r="AM5" s="84">
        <f t="shared" si="8"/>
        <v>0</v>
      </c>
      <c r="AN5" s="84">
        <f t="shared" si="20"/>
        <v>0</v>
      </c>
      <c r="AO5" s="84">
        <v>0</v>
      </c>
      <c r="AP5" s="84">
        <v>0</v>
      </c>
      <c r="AQ5" s="84">
        <f t="shared" si="9"/>
        <v>0</v>
      </c>
      <c r="AR5" s="84">
        <f t="shared" si="10"/>
        <v>0</v>
      </c>
      <c r="AS5" s="84">
        <f t="shared" si="11"/>
        <v>0</v>
      </c>
      <c r="AT5" s="84">
        <f t="shared" si="12"/>
        <v>0</v>
      </c>
      <c r="AU5" s="84">
        <f t="shared" si="13"/>
        <v>0</v>
      </c>
      <c r="AV5" s="84">
        <v>0</v>
      </c>
      <c r="AW5" s="84">
        <f>T5-T48</f>
        <v>0</v>
      </c>
      <c r="AX5" s="84">
        <f t="shared" si="21"/>
        <v>0</v>
      </c>
      <c r="AY5" s="84">
        <f t="shared" si="14"/>
        <v>0</v>
      </c>
      <c r="AZ5" s="84">
        <f t="shared" si="15"/>
        <v>0</v>
      </c>
      <c r="BA5" s="84">
        <f t="shared" si="22"/>
        <v>0</v>
      </c>
      <c r="BB5" s="84">
        <f t="shared" si="16"/>
        <v>0</v>
      </c>
      <c r="BC5" s="13"/>
      <c r="BD5" s="13"/>
      <c r="BE5">
        <v>2007</v>
      </c>
      <c r="BF5" s="84">
        <f t="shared" si="23"/>
        <v>835.19500000000005</v>
      </c>
      <c r="BG5" s="93">
        <v>298.18099999999998</v>
      </c>
      <c r="BH5" s="93">
        <v>524.57500000000005</v>
      </c>
      <c r="BI5" s="84"/>
      <c r="BJ5" s="84"/>
      <c r="BK5" s="84"/>
      <c r="BL5" s="84"/>
      <c r="BM5" s="84"/>
      <c r="BN5" s="84"/>
      <c r="BO5" s="93">
        <v>162.77600000000001</v>
      </c>
      <c r="BP5" s="84"/>
      <c r="BQ5" s="93">
        <v>124.998</v>
      </c>
      <c r="BR5" s="93">
        <v>2064.9989999999998</v>
      </c>
      <c r="BS5" s="93">
        <v>3146.578</v>
      </c>
      <c r="BT5" s="93">
        <v>279.733</v>
      </c>
      <c r="BU5" s="84"/>
      <c r="BV5" s="84"/>
      <c r="BW5" s="84">
        <v>1380</v>
      </c>
      <c r="BX5" s="93">
        <v>186.32499999999999</v>
      </c>
      <c r="BY5" s="93">
        <v>2512.9720000000002</v>
      </c>
      <c r="BZ5" s="84"/>
      <c r="CA5" s="84"/>
      <c r="CB5" s="84"/>
      <c r="CC5" s="84"/>
      <c r="CD5" s="93">
        <v>51.332000000000001</v>
      </c>
      <c r="CE5" s="84"/>
      <c r="CF5" s="93">
        <v>505.53899999999999</v>
      </c>
      <c r="CG5" s="94">
        <f t="shared" si="17"/>
        <v>203</v>
      </c>
      <c r="CH5" s="94">
        <f t="shared" si="18"/>
        <v>129.19499999999999</v>
      </c>
      <c r="CI5" s="84"/>
      <c r="CJ5" s="93">
        <v>201.816</v>
      </c>
      <c r="CK5" s="84"/>
      <c r="CL5" s="84"/>
      <c r="CM5" s="84"/>
      <c r="CN5" s="93">
        <v>1614.8140000000001</v>
      </c>
      <c r="CO5" s="93">
        <v>306.32499999999999</v>
      </c>
      <c r="CP5" s="94"/>
      <c r="CQ5" s="94"/>
      <c r="CR5" s="14">
        <v>2403.623</v>
      </c>
      <c r="CS5" s="3">
        <f t="shared" si="24"/>
        <v>12660</v>
      </c>
    </row>
    <row r="6" spans="1:101" ht="12.75" customHeight="1">
      <c r="A6">
        <v>2008</v>
      </c>
      <c r="B6" s="131">
        <f t="shared" si="0"/>
        <v>0</v>
      </c>
      <c r="C6" s="84">
        <f t="shared" si="1"/>
        <v>0</v>
      </c>
      <c r="D6" s="84">
        <v>0</v>
      </c>
      <c r="E6" s="93">
        <v>0</v>
      </c>
      <c r="F6" s="94">
        <v>0</v>
      </c>
      <c r="G6" s="84">
        <v>0</v>
      </c>
      <c r="H6" s="84">
        <v>0</v>
      </c>
      <c r="I6" s="84">
        <v>0</v>
      </c>
      <c r="J6" s="84">
        <v>7.0000000000000007E-2</v>
      </c>
      <c r="K6" s="94">
        <f t="shared" si="2"/>
        <v>0.19500000000000001</v>
      </c>
      <c r="L6" s="84">
        <v>0</v>
      </c>
      <c r="M6" s="84">
        <f t="shared" si="3"/>
        <v>0</v>
      </c>
      <c r="N6" s="84">
        <v>0</v>
      </c>
      <c r="O6" s="94">
        <v>0</v>
      </c>
      <c r="P6" s="84">
        <v>0.01</v>
      </c>
      <c r="Q6" s="93">
        <v>0</v>
      </c>
      <c r="R6" s="84">
        <v>0.24</v>
      </c>
      <c r="S6" s="84">
        <v>0</v>
      </c>
      <c r="T6" s="93">
        <v>0</v>
      </c>
      <c r="U6" s="84">
        <v>0</v>
      </c>
      <c r="V6" s="84">
        <v>0.22</v>
      </c>
      <c r="W6" s="84">
        <v>1.47</v>
      </c>
      <c r="X6" s="84">
        <f t="shared" si="4"/>
        <v>0</v>
      </c>
      <c r="Y6" s="84">
        <f t="shared" si="19"/>
        <v>2.2050000000000001</v>
      </c>
      <c r="Z6" s="13"/>
      <c r="AA6" s="13"/>
      <c r="AB6" s="13"/>
      <c r="AD6">
        <v>2008</v>
      </c>
      <c r="AE6" s="131">
        <v>0</v>
      </c>
      <c r="AF6" s="84">
        <v>0</v>
      </c>
      <c r="AG6" s="84">
        <v>0</v>
      </c>
      <c r="AH6" s="84">
        <f t="shared" si="5"/>
        <v>0</v>
      </c>
      <c r="AI6" s="84">
        <f t="shared" si="6"/>
        <v>0</v>
      </c>
      <c r="AJ6" s="84">
        <v>0</v>
      </c>
      <c r="AK6" s="84">
        <v>0</v>
      </c>
      <c r="AL6" s="84">
        <f t="shared" si="7"/>
        <v>0</v>
      </c>
      <c r="AM6" s="84">
        <f t="shared" si="8"/>
        <v>0</v>
      </c>
      <c r="AN6" s="84">
        <f t="shared" si="20"/>
        <v>0</v>
      </c>
      <c r="AO6" s="84">
        <v>0</v>
      </c>
      <c r="AP6" s="84">
        <v>0</v>
      </c>
      <c r="AQ6" s="84">
        <f t="shared" si="9"/>
        <v>0</v>
      </c>
      <c r="AR6" s="84">
        <f t="shared" si="10"/>
        <v>0</v>
      </c>
      <c r="AS6" s="84">
        <f t="shared" si="11"/>
        <v>0</v>
      </c>
      <c r="AT6" s="84">
        <f t="shared" si="12"/>
        <v>0</v>
      </c>
      <c r="AU6" s="84">
        <f t="shared" si="13"/>
        <v>0</v>
      </c>
      <c r="AV6" s="84">
        <v>0</v>
      </c>
      <c r="AW6" s="84">
        <f>T6-T49</f>
        <v>0</v>
      </c>
      <c r="AX6" s="84">
        <f t="shared" si="21"/>
        <v>0</v>
      </c>
      <c r="AY6" s="84">
        <f t="shared" si="14"/>
        <v>0</v>
      </c>
      <c r="AZ6" s="84">
        <f t="shared" si="15"/>
        <v>0</v>
      </c>
      <c r="BA6" s="84">
        <f t="shared" si="22"/>
        <v>0</v>
      </c>
      <c r="BB6" s="84">
        <f t="shared" si="16"/>
        <v>0</v>
      </c>
      <c r="BC6" s="13"/>
      <c r="BD6" s="13"/>
      <c r="BE6">
        <v>2008</v>
      </c>
      <c r="BF6" s="84">
        <f t="shared" si="23"/>
        <v>791.22500000000002</v>
      </c>
      <c r="BG6" s="93">
        <v>293.69600000000003</v>
      </c>
      <c r="BH6" s="93">
        <v>535.69299999999998</v>
      </c>
      <c r="BI6" s="84"/>
      <c r="BJ6" s="84"/>
      <c r="BK6" s="84"/>
      <c r="BL6" s="84"/>
      <c r="BM6" s="84"/>
      <c r="BN6" s="84"/>
      <c r="BO6" s="93">
        <v>150.649</v>
      </c>
      <c r="BP6" s="84"/>
      <c r="BQ6" s="93">
        <v>139.07</v>
      </c>
      <c r="BR6" s="93">
        <v>2050.2829999999999</v>
      </c>
      <c r="BS6" s="93">
        <v>3088.2689999999998</v>
      </c>
      <c r="BT6" s="93">
        <v>267.21499999999997</v>
      </c>
      <c r="BU6" s="84"/>
      <c r="BV6" s="84"/>
      <c r="BW6" s="84">
        <v>1550</v>
      </c>
      <c r="BX6" s="93">
        <v>151.61600000000001</v>
      </c>
      <c r="BY6" s="93">
        <v>2174.3229999999999</v>
      </c>
      <c r="BZ6" s="84"/>
      <c r="CA6" s="84"/>
      <c r="CB6" s="84"/>
      <c r="CC6" s="84"/>
      <c r="CD6" s="93">
        <v>52.359000000000002</v>
      </c>
      <c r="CE6" s="84"/>
      <c r="CF6" s="93">
        <v>499.952</v>
      </c>
      <c r="CG6" s="94">
        <f t="shared" si="17"/>
        <v>170</v>
      </c>
      <c r="CH6" s="94">
        <f t="shared" si="18"/>
        <v>110.517</v>
      </c>
      <c r="CI6" s="84"/>
      <c r="CJ6" s="93">
        <v>213.374</v>
      </c>
      <c r="CK6" s="84"/>
      <c r="CL6" s="84"/>
      <c r="CM6" s="84"/>
      <c r="CN6" s="93">
        <v>1161.1759999999999</v>
      </c>
      <c r="CO6" s="93">
        <v>253.923</v>
      </c>
      <c r="CP6" s="94"/>
      <c r="CQ6" s="94"/>
      <c r="CR6" s="14">
        <v>2130.857</v>
      </c>
      <c r="CS6" s="3">
        <f t="shared" si="24"/>
        <v>10693.4</v>
      </c>
    </row>
    <row r="7" spans="1:101" ht="12.75" customHeight="1">
      <c r="A7">
        <v>2009</v>
      </c>
      <c r="B7" s="131">
        <f t="shared" si="0"/>
        <v>0</v>
      </c>
      <c r="C7" s="84">
        <f t="shared" si="1"/>
        <v>0.04</v>
      </c>
      <c r="D7" s="84">
        <v>0</v>
      </c>
      <c r="E7" s="93">
        <v>0</v>
      </c>
      <c r="F7" s="84">
        <v>0.48</v>
      </c>
      <c r="G7" s="84">
        <v>0</v>
      </c>
      <c r="H7" s="84">
        <v>0</v>
      </c>
      <c r="I7" s="84">
        <v>0.1</v>
      </c>
      <c r="J7" s="84">
        <v>0.02</v>
      </c>
      <c r="K7" s="94">
        <f t="shared" si="2"/>
        <v>0.6895</v>
      </c>
      <c r="L7" s="84">
        <v>0</v>
      </c>
      <c r="M7" s="84">
        <f t="shared" si="3"/>
        <v>0</v>
      </c>
      <c r="N7" s="84">
        <v>0.99</v>
      </c>
      <c r="O7" s="94">
        <v>0</v>
      </c>
      <c r="P7" s="84">
        <v>0.03</v>
      </c>
      <c r="Q7" s="93">
        <v>0</v>
      </c>
      <c r="R7" s="84">
        <v>0.154</v>
      </c>
      <c r="S7" s="84">
        <v>0</v>
      </c>
      <c r="T7" s="93">
        <v>0</v>
      </c>
      <c r="U7" s="84">
        <v>0</v>
      </c>
      <c r="V7" s="84">
        <v>0.18</v>
      </c>
      <c r="W7" s="93">
        <f>(W6+W8)/2</f>
        <v>1.33</v>
      </c>
      <c r="X7" s="84">
        <f t="shared" si="4"/>
        <v>0</v>
      </c>
      <c r="Y7" s="84">
        <f t="shared" si="19"/>
        <v>4.0134999999999996</v>
      </c>
      <c r="Z7" s="13"/>
      <c r="AA7" s="13"/>
      <c r="AB7" s="13"/>
      <c r="AD7">
        <v>2009</v>
      </c>
      <c r="AE7" s="131">
        <v>0</v>
      </c>
      <c r="AF7" s="84">
        <v>0</v>
      </c>
      <c r="AG7" s="84">
        <v>0</v>
      </c>
      <c r="AH7" s="84">
        <f t="shared" si="5"/>
        <v>0</v>
      </c>
      <c r="AI7" s="84">
        <f t="shared" si="6"/>
        <v>0</v>
      </c>
      <c r="AJ7" s="84">
        <v>0</v>
      </c>
      <c r="AK7" s="84">
        <v>0</v>
      </c>
      <c r="AL7" s="84">
        <f t="shared" si="7"/>
        <v>0</v>
      </c>
      <c r="AM7" s="84">
        <f t="shared" si="8"/>
        <v>0</v>
      </c>
      <c r="AN7" s="84">
        <f t="shared" si="20"/>
        <v>0.44</v>
      </c>
      <c r="AO7" s="84">
        <v>0</v>
      </c>
      <c r="AP7" s="84">
        <v>0</v>
      </c>
      <c r="AQ7" s="84">
        <f t="shared" si="9"/>
        <v>4.0000000000000036E-3</v>
      </c>
      <c r="AR7" s="84">
        <f t="shared" si="10"/>
        <v>0</v>
      </c>
      <c r="AS7" s="84">
        <f t="shared" si="11"/>
        <v>0</v>
      </c>
      <c r="AT7" s="84">
        <f t="shared" si="12"/>
        <v>0</v>
      </c>
      <c r="AU7" s="84">
        <f t="shared" si="13"/>
        <v>4.0000000000000036E-3</v>
      </c>
      <c r="AV7" s="84">
        <v>0</v>
      </c>
      <c r="AW7" s="84">
        <f>T7-T50</f>
        <v>0</v>
      </c>
      <c r="AX7" s="84">
        <f t="shared" si="21"/>
        <v>0</v>
      </c>
      <c r="AY7" s="84">
        <f t="shared" si="14"/>
        <v>0</v>
      </c>
      <c r="AZ7" s="84">
        <f t="shared" si="15"/>
        <v>0</v>
      </c>
      <c r="BA7" s="84">
        <f t="shared" si="22"/>
        <v>0</v>
      </c>
      <c r="BB7" s="84">
        <f t="shared" si="16"/>
        <v>0.44800000000000001</v>
      </c>
      <c r="BC7" s="13"/>
      <c r="BD7" s="13"/>
      <c r="BF7" s="84">
        <f t="shared" si="23"/>
        <v>728.71500000000003</v>
      </c>
      <c r="BG7" s="93">
        <v>319.22800000000001</v>
      </c>
      <c r="BH7" s="93">
        <v>474.92700000000002</v>
      </c>
      <c r="BI7" s="84"/>
      <c r="BJ7" s="84"/>
      <c r="BK7" s="84"/>
      <c r="BL7" s="84"/>
      <c r="BM7" s="84"/>
      <c r="BN7" s="84"/>
      <c r="BO7" s="93">
        <v>111.965</v>
      </c>
      <c r="BP7" s="84"/>
      <c r="BQ7" s="93">
        <v>90.260999999999996</v>
      </c>
      <c r="BR7" s="93">
        <v>2242.8939999999998</v>
      </c>
      <c r="BS7" s="93">
        <v>3789.5639999999999</v>
      </c>
      <c r="BT7" s="93">
        <v>220.45400000000001</v>
      </c>
      <c r="BU7" s="84"/>
      <c r="BV7" s="84"/>
      <c r="BW7" s="84">
        <v>1553</v>
      </c>
      <c r="BX7" s="93">
        <v>57.454999999999998</v>
      </c>
      <c r="BY7" s="93">
        <v>2165.0810000000001</v>
      </c>
      <c r="BZ7" s="84">
        <f>AQ50</f>
        <v>3923.7425944841675</v>
      </c>
      <c r="CA7" s="84"/>
      <c r="CB7" s="84"/>
      <c r="CC7" s="84"/>
      <c r="CD7" s="93">
        <v>47.265000000000001</v>
      </c>
      <c r="CE7" s="84"/>
      <c r="CF7" s="93">
        <v>387.279</v>
      </c>
      <c r="CG7" s="94">
        <f t="shared" si="17"/>
        <v>130</v>
      </c>
      <c r="CH7" s="94">
        <f t="shared" si="18"/>
        <v>98.674999999999997</v>
      </c>
      <c r="CI7" s="84"/>
      <c r="CJ7" s="93">
        <v>160.90899999999999</v>
      </c>
      <c r="CK7" s="84"/>
      <c r="CL7" s="84"/>
      <c r="CM7" s="84"/>
      <c r="CN7" s="93">
        <v>953.11599999999999</v>
      </c>
      <c r="CO7" s="93">
        <v>212.22900000000001</v>
      </c>
      <c r="CP7" s="94"/>
      <c r="CQ7" s="94"/>
      <c r="CR7" s="14">
        <v>1988.9570000000001</v>
      </c>
      <c r="CS7" s="3">
        <f t="shared" si="24"/>
        <v>8652</v>
      </c>
    </row>
    <row r="8" spans="1:101" ht="12.75" customHeight="1">
      <c r="A8">
        <v>2010</v>
      </c>
      <c r="B8" s="131">
        <f t="shared" si="0"/>
        <v>0.04</v>
      </c>
      <c r="C8" s="84">
        <f t="shared" si="1"/>
        <v>0.112</v>
      </c>
      <c r="D8" s="84">
        <f t="shared" ref="D8:D15" si="25">D51+AG8</f>
        <v>0</v>
      </c>
      <c r="E8" s="94">
        <v>0</v>
      </c>
      <c r="F8" s="84">
        <v>1.43</v>
      </c>
      <c r="G8" s="84">
        <f t="shared" ref="G8:H15" si="26">G51+AJ8</f>
        <v>0</v>
      </c>
      <c r="H8" s="84">
        <f t="shared" si="26"/>
        <v>0</v>
      </c>
      <c r="I8" s="84">
        <v>0.19</v>
      </c>
      <c r="J8" s="84">
        <v>0.14000000000000001</v>
      </c>
      <c r="K8" s="94">
        <f t="shared" si="2"/>
        <v>1.17</v>
      </c>
      <c r="L8" s="84">
        <v>0</v>
      </c>
      <c r="M8" s="84">
        <f t="shared" si="3"/>
        <v>0.04</v>
      </c>
      <c r="N8" s="84">
        <v>2.44</v>
      </c>
      <c r="O8" s="84">
        <v>0.06</v>
      </c>
      <c r="P8" s="84">
        <v>0.12</v>
      </c>
      <c r="Q8" s="93">
        <v>0</v>
      </c>
      <c r="R8" s="84">
        <v>0.39</v>
      </c>
      <c r="S8" s="84">
        <f t="shared" ref="S8:S15" si="27">AV8+S51</f>
        <v>7.2999999999999995E-2</v>
      </c>
      <c r="T8" s="84">
        <f t="shared" ref="T8:T15" si="28">T51+AW8</f>
        <v>0.06</v>
      </c>
      <c r="U8" s="84">
        <f t="shared" ref="U8:U15" si="29">AX8+U51</f>
        <v>0.123</v>
      </c>
      <c r="V8" s="84">
        <v>0.28000000000000003</v>
      </c>
      <c r="W8" s="84">
        <v>1.19</v>
      </c>
      <c r="X8" s="84">
        <f t="shared" si="4"/>
        <v>4.0000000000000001E-3</v>
      </c>
      <c r="Y8" s="84">
        <f t="shared" si="19"/>
        <v>7.8619999999999983</v>
      </c>
      <c r="Z8" s="13"/>
      <c r="AA8" s="13"/>
      <c r="AB8" s="13"/>
      <c r="AC8" s="84"/>
      <c r="AD8">
        <v>2010</v>
      </c>
      <c r="AE8" s="131">
        <f>'DC,NTC,ClimWrks sales'!V7</f>
        <v>3.0000000000000001E-3</v>
      </c>
      <c r="AF8" s="84">
        <v>0</v>
      </c>
      <c r="AG8" s="84">
        <v>0</v>
      </c>
      <c r="AH8" s="84">
        <f t="shared" si="5"/>
        <v>0</v>
      </c>
      <c r="AI8" s="84">
        <f t="shared" si="6"/>
        <v>0.33999999999999986</v>
      </c>
      <c r="AJ8" s="84">
        <v>0</v>
      </c>
      <c r="AK8" s="84">
        <v>0</v>
      </c>
      <c r="AL8" s="84">
        <f t="shared" si="7"/>
        <v>0</v>
      </c>
      <c r="AM8" s="84">
        <f t="shared" si="8"/>
        <v>0</v>
      </c>
      <c r="AN8" s="84">
        <f t="shared" si="20"/>
        <v>0.88</v>
      </c>
      <c r="AO8" s="84">
        <v>0</v>
      </c>
      <c r="AP8" s="84">
        <v>0</v>
      </c>
      <c r="AQ8" s="84">
        <f t="shared" si="9"/>
        <v>0</v>
      </c>
      <c r="AR8" s="84">
        <f t="shared" si="10"/>
        <v>0</v>
      </c>
      <c r="AS8" s="84">
        <f t="shared" si="11"/>
        <v>0</v>
      </c>
      <c r="AT8" s="84">
        <f t="shared" si="12"/>
        <v>0</v>
      </c>
      <c r="AU8" s="84">
        <f t="shared" si="13"/>
        <v>0</v>
      </c>
      <c r="AV8" s="84">
        <v>0</v>
      </c>
      <c r="AW8" s="84">
        <f t="shared" ref="AW8:AW13" si="30">CO42</f>
        <v>0</v>
      </c>
      <c r="AX8" s="84">
        <f t="shared" si="21"/>
        <v>0</v>
      </c>
      <c r="AY8" s="84">
        <f t="shared" si="14"/>
        <v>2.0000000000000018E-2</v>
      </c>
      <c r="AZ8" s="84">
        <f t="shared" si="15"/>
        <v>0</v>
      </c>
      <c r="BA8" s="84">
        <f t="shared" si="22"/>
        <v>0</v>
      </c>
      <c r="BB8" s="84">
        <f t="shared" si="16"/>
        <v>1.2429999999999999</v>
      </c>
      <c r="BC8" s="13"/>
      <c r="BD8" s="13"/>
      <c r="BE8">
        <v>2010</v>
      </c>
      <c r="BF8" s="84">
        <f t="shared" si="23"/>
        <v>827.40700000000004</v>
      </c>
      <c r="BG8" s="93">
        <v>328.01299999999998</v>
      </c>
      <c r="BH8" s="93">
        <v>546.22299999999996</v>
      </c>
      <c r="BI8" s="84">
        <v>186.09200000000001</v>
      </c>
      <c r="BJ8" s="3">
        <f t="shared" ref="BJ8:BK15" si="31">BK82</f>
        <v>710</v>
      </c>
      <c r="BK8" s="3">
        <f t="shared" si="31"/>
        <v>12547</v>
      </c>
      <c r="BL8" s="84">
        <v>46.209000000000003</v>
      </c>
      <c r="BM8" s="84">
        <v>32.68</v>
      </c>
      <c r="BN8" s="84">
        <v>169.58</v>
      </c>
      <c r="BO8" s="93">
        <v>153.30099999999999</v>
      </c>
      <c r="BP8" s="84">
        <v>28.844999999999999</v>
      </c>
      <c r="BQ8" s="93">
        <v>111.386</v>
      </c>
      <c r="BR8" s="93">
        <v>2203.1410000000001</v>
      </c>
      <c r="BS8" s="93">
        <v>2877.79</v>
      </c>
      <c r="BT8" s="93">
        <v>141.49600000000001</v>
      </c>
      <c r="BU8" s="84">
        <v>61.323999999999998</v>
      </c>
      <c r="BV8" s="84">
        <v>3.3290000000000002</v>
      </c>
      <c r="BW8" s="84">
        <v>1950</v>
      </c>
      <c r="BX8" s="93">
        <v>88.385999999999996</v>
      </c>
      <c r="BY8" s="93">
        <v>1967.376</v>
      </c>
      <c r="BZ8" s="84">
        <f t="shared" ref="BZ8:CA12" si="32">BT82</f>
        <v>4212</v>
      </c>
      <c r="CA8" s="84">
        <f t="shared" si="32"/>
        <v>1218</v>
      </c>
      <c r="CB8" s="84">
        <v>26.655999999999999</v>
      </c>
      <c r="CC8" s="84">
        <v>97.659000000000006</v>
      </c>
      <c r="CD8" s="93">
        <v>49.725999999999999</v>
      </c>
      <c r="CE8" s="84">
        <v>13.28</v>
      </c>
      <c r="CF8" s="93">
        <v>483.06099999999998</v>
      </c>
      <c r="CG8" s="94">
        <f t="shared" si="17"/>
        <v>157</v>
      </c>
      <c r="CH8" s="94">
        <f t="shared" si="18"/>
        <v>127.754</v>
      </c>
      <c r="CI8" s="84">
        <v>873.09799999999996</v>
      </c>
      <c r="CJ8" s="93">
        <v>223.42699999999999</v>
      </c>
      <c r="CK8" s="84">
        <v>94.540999999999997</v>
      </c>
      <c r="CL8" s="84">
        <v>126.663</v>
      </c>
      <c r="CM8" s="84">
        <v>60.777000000000001</v>
      </c>
      <c r="CN8" s="93">
        <v>981.88499999999999</v>
      </c>
      <c r="CO8" s="93">
        <v>288.79300000000001</v>
      </c>
      <c r="CP8" s="131">
        <v>296.59699999999998</v>
      </c>
      <c r="CQ8" s="131">
        <v>485.61900000000003</v>
      </c>
      <c r="CR8" s="93">
        <v>2025.0340000000001</v>
      </c>
      <c r="CS8" s="3">
        <f t="shared" si="24"/>
        <v>9522.3389999999999</v>
      </c>
      <c r="CT8" s="3">
        <f>BI8+BL8+BM8+BN8+BP8+BT8+BU8+BV8+CB8+CC8+CD8+CE8+CI8+CJ8+CK8+CL8+CM8+CQ8</f>
        <v>2721.0009999999997</v>
      </c>
      <c r="CU8" s="3">
        <f>SUM(BF8:CS8)</f>
        <v>46343.486999999994</v>
      </c>
    </row>
    <row r="9" spans="1:101" ht="12.75" customHeight="1">
      <c r="A9">
        <v>2011</v>
      </c>
      <c r="B9" s="131">
        <f t="shared" si="0"/>
        <v>0.152</v>
      </c>
      <c r="C9" s="84">
        <f t="shared" si="1"/>
        <v>0.63100000000000001</v>
      </c>
      <c r="D9" s="84">
        <f t="shared" si="25"/>
        <v>0.28799999999999998</v>
      </c>
      <c r="E9" s="84">
        <v>0.52</v>
      </c>
      <c r="F9" s="84">
        <v>5.07</v>
      </c>
      <c r="G9" s="84">
        <f t="shared" si="26"/>
        <v>0.41499999999999998</v>
      </c>
      <c r="H9" s="84">
        <f t="shared" si="26"/>
        <v>2.9000000000000001E-2</v>
      </c>
      <c r="I9" s="84">
        <v>2.73</v>
      </c>
      <c r="J9" s="84">
        <v>1.65</v>
      </c>
      <c r="K9" s="94">
        <f t="shared" si="2"/>
        <v>1.7395</v>
      </c>
      <c r="L9" s="84">
        <f t="shared" ref="L9:L15" si="33">L52+AO9</f>
        <v>4.5999999999999999E-2</v>
      </c>
      <c r="M9" s="84">
        <f t="shared" si="3"/>
        <v>0.11700000000000001</v>
      </c>
      <c r="N9" s="84">
        <v>12.62</v>
      </c>
      <c r="O9" s="84">
        <v>0.27</v>
      </c>
      <c r="P9" s="84">
        <v>0.88</v>
      </c>
      <c r="Q9" s="93">
        <v>0</v>
      </c>
      <c r="R9" s="84">
        <v>1.84</v>
      </c>
      <c r="S9" s="84">
        <f t="shared" si="27"/>
        <v>0.57599999999999996</v>
      </c>
      <c r="T9" s="84">
        <f t="shared" si="28"/>
        <v>0.183</v>
      </c>
      <c r="U9" s="84">
        <f t="shared" si="29"/>
        <v>0.436</v>
      </c>
      <c r="V9" s="84">
        <v>1.22</v>
      </c>
      <c r="W9" s="84">
        <v>17.73</v>
      </c>
      <c r="X9" s="84">
        <f t="shared" si="4"/>
        <v>0.44700000000000006</v>
      </c>
      <c r="Y9" s="84">
        <f>SUM(B9:X9)</f>
        <v>49.589500000000001</v>
      </c>
      <c r="Z9" s="13"/>
      <c r="AA9" s="13"/>
      <c r="AB9" s="13"/>
      <c r="AC9" s="84"/>
      <c r="AD9">
        <v>2011</v>
      </c>
      <c r="AE9" s="131">
        <f>'DC,NTC,ClimWrks sales'!V8</f>
        <v>4.0000000000000001E-3</v>
      </c>
      <c r="AF9" s="84">
        <v>0</v>
      </c>
      <c r="AG9" s="84">
        <v>0</v>
      </c>
      <c r="AH9" s="84">
        <f t="shared" si="5"/>
        <v>0.30000000000000004</v>
      </c>
      <c r="AI9" s="84">
        <f t="shared" si="6"/>
        <v>0.32000000000000028</v>
      </c>
      <c r="AJ9" s="84">
        <v>0</v>
      </c>
      <c r="AK9" s="84">
        <v>0</v>
      </c>
      <c r="AL9" s="84">
        <f t="shared" si="7"/>
        <v>0.10000000000000009</v>
      </c>
      <c r="AM9" s="84">
        <f t="shared" si="8"/>
        <v>0.25</v>
      </c>
      <c r="AN9" s="84">
        <f t="shared" si="20"/>
        <v>1.33</v>
      </c>
      <c r="AO9" s="84">
        <v>0</v>
      </c>
      <c r="AP9" s="84">
        <v>0</v>
      </c>
      <c r="AQ9" s="84">
        <f t="shared" si="9"/>
        <v>9.9999999999997868E-3</v>
      </c>
      <c r="AR9" s="84">
        <f t="shared" si="10"/>
        <v>0</v>
      </c>
      <c r="AS9" s="84">
        <f t="shared" si="11"/>
        <v>2.0000000000000018E-2</v>
      </c>
      <c r="AT9" s="84">
        <f t="shared" si="12"/>
        <v>0</v>
      </c>
      <c r="AU9" s="84">
        <f t="shared" si="13"/>
        <v>0</v>
      </c>
      <c r="AV9" s="84">
        <v>8.0000000000000002E-3</v>
      </c>
      <c r="AW9" s="84">
        <f t="shared" si="30"/>
        <v>0</v>
      </c>
      <c r="AX9" s="84">
        <f t="shared" si="21"/>
        <v>3.7999999999999999E-2</v>
      </c>
      <c r="AY9" s="84">
        <f t="shared" si="14"/>
        <v>1.0000000000000009E-2</v>
      </c>
      <c r="AZ9" s="84">
        <f t="shared" si="15"/>
        <v>7.98</v>
      </c>
      <c r="BA9" s="84">
        <f t="shared" si="22"/>
        <v>1.7000000000000001E-2</v>
      </c>
      <c r="BB9" s="84">
        <f t="shared" si="16"/>
        <v>10.387</v>
      </c>
      <c r="BC9" s="13"/>
      <c r="BD9" s="13"/>
      <c r="BE9">
        <v>2011</v>
      </c>
      <c r="BF9" s="84">
        <f t="shared" si="23"/>
        <v>803.45</v>
      </c>
      <c r="BG9" s="93">
        <v>356.14400000000001</v>
      </c>
      <c r="BH9" s="93">
        <v>572.20899999999995</v>
      </c>
      <c r="BI9" s="84">
        <v>191.43</v>
      </c>
      <c r="BJ9" s="3">
        <f t="shared" si="31"/>
        <v>691</v>
      </c>
      <c r="BK9" s="3">
        <f t="shared" si="31"/>
        <v>13695</v>
      </c>
      <c r="BL9" s="84">
        <v>48.482999999999997</v>
      </c>
      <c r="BM9" s="84">
        <v>27.928999999999998</v>
      </c>
      <c r="BN9" s="84">
        <v>173.6</v>
      </c>
      <c r="BO9" s="93">
        <v>170.00800000000001</v>
      </c>
      <c r="BP9" s="84">
        <v>44.411999999999999</v>
      </c>
      <c r="BQ9" s="93">
        <v>126.169</v>
      </c>
      <c r="BR9" s="93">
        <f>BO83</f>
        <v>2161</v>
      </c>
      <c r="BS9" s="93">
        <f>BP83</f>
        <v>3174</v>
      </c>
      <c r="BT9" s="93">
        <v>97.679000000000002</v>
      </c>
      <c r="BU9" s="84">
        <v>76.328000000000003</v>
      </c>
      <c r="BV9" s="84">
        <v>5.4089999999999998</v>
      </c>
      <c r="BW9" s="84">
        <f>'India data'!Q24</f>
        <v>2514</v>
      </c>
      <c r="BX9" s="93">
        <v>89.896000000000001</v>
      </c>
      <c r="BY9" s="93">
        <v>1743.989</v>
      </c>
      <c r="BZ9" s="84">
        <f t="shared" si="32"/>
        <v>3525</v>
      </c>
      <c r="CA9" s="84">
        <f t="shared" si="32"/>
        <v>1211</v>
      </c>
      <c r="CB9" s="84">
        <v>43.468000000000004</v>
      </c>
      <c r="CC9" s="84">
        <v>125.51900000000001</v>
      </c>
      <c r="CD9" s="93">
        <v>49.881</v>
      </c>
      <c r="CE9" s="84">
        <v>17.157</v>
      </c>
      <c r="CF9" s="93">
        <v>555.91700000000003</v>
      </c>
      <c r="CG9" s="94">
        <f t="shared" si="17"/>
        <v>150</v>
      </c>
      <c r="CH9" s="94">
        <f t="shared" si="18"/>
        <v>138.345</v>
      </c>
      <c r="CI9" s="84">
        <v>928.45699999999999</v>
      </c>
      <c r="CJ9" s="93">
        <v>153.48599999999999</v>
      </c>
      <c r="CK9" s="84">
        <v>81.718999999999994</v>
      </c>
      <c r="CL9" s="84">
        <v>130.81800000000001</v>
      </c>
      <c r="CM9" s="84">
        <v>59.813000000000002</v>
      </c>
      <c r="CN9" s="93">
        <v>808.05799999999999</v>
      </c>
      <c r="CO9" s="93">
        <v>304.983</v>
      </c>
      <c r="CP9" s="131">
        <v>327.95499999999998</v>
      </c>
      <c r="CQ9" s="131">
        <v>602.24800000000005</v>
      </c>
      <c r="CR9" s="93">
        <v>1937.105</v>
      </c>
      <c r="CS9" s="3">
        <f t="shared" si="24"/>
        <v>10540.907999999999</v>
      </c>
      <c r="CT9" s="3">
        <f t="shared" ref="CT9:CT15" si="34">BI9+BL9+BM9+BN9+BP9+BT9+BU9+BV9+CB9+CC9+CD9+CE9+CI9+CJ9+CK9+CL9+CM9+CQ9</f>
        <v>2857.8360000000002</v>
      </c>
      <c r="CU9" s="3">
        <f t="shared" ref="CU9:CU15" si="35">SUM(BF9:CS9)</f>
        <v>48453.972000000009</v>
      </c>
    </row>
    <row r="10" spans="1:101" ht="12.75" customHeight="1">
      <c r="A10">
        <v>2012</v>
      </c>
      <c r="B10" s="131">
        <f t="shared" si="0"/>
        <v>0.13300000000000001</v>
      </c>
      <c r="C10" s="84">
        <f t="shared" si="1"/>
        <v>0.69399999999999995</v>
      </c>
      <c r="D10" s="84">
        <f t="shared" si="25"/>
        <v>0.91100000000000003</v>
      </c>
      <c r="E10" s="84">
        <v>2.02</v>
      </c>
      <c r="F10" s="84">
        <v>9.9</v>
      </c>
      <c r="G10" s="84">
        <f t="shared" si="26"/>
        <v>0.504</v>
      </c>
      <c r="H10" s="84">
        <f t="shared" si="26"/>
        <v>0.17899999999999999</v>
      </c>
      <c r="I10" s="84">
        <v>6.26</v>
      </c>
      <c r="J10" s="84">
        <v>3.37</v>
      </c>
      <c r="K10" s="94">
        <f t="shared" si="2"/>
        <v>3.0599999999999996</v>
      </c>
      <c r="L10" s="84">
        <f t="shared" si="33"/>
        <v>0.13900000000000001</v>
      </c>
      <c r="M10" s="84">
        <f t="shared" si="3"/>
        <v>0.65200000000000002</v>
      </c>
      <c r="N10" s="84">
        <v>24.44</v>
      </c>
      <c r="O10" s="84">
        <v>0.51</v>
      </c>
      <c r="P10" s="84">
        <v>5.12</v>
      </c>
      <c r="Q10" s="84">
        <v>0</v>
      </c>
      <c r="R10" s="84">
        <v>4.51</v>
      </c>
      <c r="S10" s="84">
        <f t="shared" si="27"/>
        <v>0.55200000000000005</v>
      </c>
      <c r="T10" s="84">
        <f t="shared" si="28"/>
        <v>0.95700000000000007</v>
      </c>
      <c r="U10" s="84">
        <f t="shared" si="29"/>
        <v>0.85699999999999998</v>
      </c>
      <c r="V10" s="84">
        <v>2.69</v>
      </c>
      <c r="W10" s="84">
        <v>53.24</v>
      </c>
      <c r="X10" s="84">
        <f t="shared" si="4"/>
        <v>1.0311428571428574</v>
      </c>
      <c r="Y10" s="84">
        <f t="shared" si="19"/>
        <v>121.72914285714286</v>
      </c>
      <c r="Z10" s="13">
        <f t="shared" ref="Z10:Z15" si="36">Z53+BC10</f>
        <v>122</v>
      </c>
      <c r="AA10" s="13"/>
      <c r="AB10" s="13"/>
      <c r="AC10" s="84"/>
      <c r="AD10">
        <v>2012</v>
      </c>
      <c r="AE10" s="131">
        <f>'DC,NTC,ClimWrks sales'!V9</f>
        <v>3.0000000000000001E-3</v>
      </c>
      <c r="AF10" s="84">
        <v>0.26700000000000002</v>
      </c>
      <c r="AG10" s="84">
        <v>0.32600000000000001</v>
      </c>
      <c r="AH10" s="84">
        <f t="shared" si="5"/>
        <v>1.4</v>
      </c>
      <c r="AI10" s="84">
        <f t="shared" si="6"/>
        <v>0.25999999999999979</v>
      </c>
      <c r="AJ10" s="84">
        <v>3.3000000000000002E-2</v>
      </c>
      <c r="AK10" s="84">
        <v>0.128</v>
      </c>
      <c r="AL10" s="84">
        <f t="shared" si="7"/>
        <v>0.59999999999999964</v>
      </c>
      <c r="AM10" s="84">
        <f t="shared" si="8"/>
        <v>1.1600000000000001</v>
      </c>
      <c r="AN10" s="84">
        <f t="shared" si="20"/>
        <v>2.76</v>
      </c>
      <c r="AO10" s="84">
        <v>0</v>
      </c>
      <c r="AP10" s="84">
        <v>0.14499999999999999</v>
      </c>
      <c r="AQ10" s="84">
        <f t="shared" si="9"/>
        <v>10.97</v>
      </c>
      <c r="AR10" s="84">
        <f t="shared" si="10"/>
        <v>0</v>
      </c>
      <c r="AS10" s="84">
        <f t="shared" si="11"/>
        <v>4.33</v>
      </c>
      <c r="AT10" s="84">
        <f t="shared" si="12"/>
        <v>0</v>
      </c>
      <c r="AU10" s="84">
        <f t="shared" si="13"/>
        <v>0.33000000000000007</v>
      </c>
      <c r="AV10" s="84">
        <v>0.109</v>
      </c>
      <c r="AW10" s="84">
        <f t="shared" si="30"/>
        <v>0.65700000000000003</v>
      </c>
      <c r="AX10" s="84">
        <f t="shared" si="21"/>
        <v>0.39400000000000002</v>
      </c>
      <c r="AY10" s="84">
        <f t="shared" si="14"/>
        <v>0.98</v>
      </c>
      <c r="AZ10" s="84">
        <f t="shared" si="15"/>
        <v>38.590000000000003</v>
      </c>
      <c r="BA10" s="84">
        <f t="shared" si="22"/>
        <v>0.14414285714285716</v>
      </c>
      <c r="BB10" s="84">
        <f t="shared" si="16"/>
        <v>63.58614285714286</v>
      </c>
      <c r="BC10" s="13">
        <v>68</v>
      </c>
      <c r="BD10" s="13"/>
      <c r="BE10">
        <v>2012</v>
      </c>
      <c r="BF10" s="84">
        <f t="shared" si="23"/>
        <v>882.68</v>
      </c>
      <c r="BG10" s="93">
        <v>336.01</v>
      </c>
      <c r="BH10" s="93">
        <v>486.73599999999999</v>
      </c>
      <c r="BI10" s="136">
        <f>'Rest Europe'!D39</f>
        <v>200</v>
      </c>
      <c r="BJ10" s="3">
        <f t="shared" si="31"/>
        <v>732</v>
      </c>
      <c r="BK10" s="3">
        <f t="shared" si="31"/>
        <v>15249</v>
      </c>
      <c r="BL10" s="84">
        <v>40.825000000000003</v>
      </c>
      <c r="BM10" s="84">
        <v>20.556000000000001</v>
      </c>
      <c r="BN10" s="84">
        <v>174.00899999999999</v>
      </c>
      <c r="BO10" s="93">
        <v>170.78299999999999</v>
      </c>
      <c r="BP10" s="84">
        <v>49.634</v>
      </c>
      <c r="BQ10" s="93">
        <v>111.292</v>
      </c>
      <c r="BR10" s="93">
        <v>1860.5239999999999</v>
      </c>
      <c r="BS10" s="93">
        <v>3082.3519999999999</v>
      </c>
      <c r="BT10" s="93">
        <v>58.481000000000002</v>
      </c>
      <c r="BU10" s="84">
        <v>106.67100000000001</v>
      </c>
      <c r="BV10" s="84">
        <v>8.8390000000000004</v>
      </c>
      <c r="BW10" s="84">
        <f>'India data'!Q25</f>
        <v>2761</v>
      </c>
      <c r="BX10" s="93">
        <v>79.498000000000005</v>
      </c>
      <c r="BY10" s="93">
        <v>1396.079</v>
      </c>
      <c r="BZ10" s="84">
        <f t="shared" si="32"/>
        <v>4572</v>
      </c>
      <c r="CA10" s="84">
        <f t="shared" si="32"/>
        <v>1176</v>
      </c>
      <c r="CB10" s="84">
        <v>50.134999999999998</v>
      </c>
      <c r="CC10" s="84">
        <v>145.89400000000001</v>
      </c>
      <c r="CD10" s="93">
        <v>50.398000000000003</v>
      </c>
      <c r="CE10" s="84">
        <v>11.925000000000001</v>
      </c>
      <c r="CF10" s="93">
        <v>502.541</v>
      </c>
      <c r="CG10" s="94">
        <f t="shared" si="17"/>
        <v>161</v>
      </c>
      <c r="CH10" s="94">
        <f t="shared" si="18"/>
        <v>127.967</v>
      </c>
      <c r="CI10" s="84">
        <v>908.90599999999995</v>
      </c>
      <c r="CJ10" s="93">
        <v>93.308999999999997</v>
      </c>
      <c r="CK10" s="84">
        <v>66.436000000000007</v>
      </c>
      <c r="CL10" s="84">
        <v>69.268000000000001</v>
      </c>
      <c r="CM10" s="84">
        <v>49.7</v>
      </c>
      <c r="CN10" s="93">
        <v>699.58900000000006</v>
      </c>
      <c r="CO10" s="93">
        <v>279.89499999999998</v>
      </c>
      <c r="CP10" s="131">
        <v>334.04500000000002</v>
      </c>
      <c r="CQ10" s="131">
        <v>565.79100000000005</v>
      </c>
      <c r="CR10" s="93">
        <v>2039.9860000000001</v>
      </c>
      <c r="CS10" s="3">
        <f t="shared" si="24"/>
        <v>12038.475</v>
      </c>
      <c r="CT10" s="3">
        <f t="shared" si="34"/>
        <v>2670.777</v>
      </c>
      <c r="CU10" s="3">
        <f t="shared" si="35"/>
        <v>51750.228999999985</v>
      </c>
    </row>
    <row r="11" spans="1:101" ht="12.75" customHeight="1">
      <c r="A11">
        <v>2013</v>
      </c>
      <c r="B11" s="131">
        <f t="shared" si="0"/>
        <v>0.33999999999999997</v>
      </c>
      <c r="C11" s="84">
        <f t="shared" si="1"/>
        <v>0.83800000000000008</v>
      </c>
      <c r="D11" s="84">
        <f t="shared" si="25"/>
        <v>0.81299999999999994</v>
      </c>
      <c r="E11" s="84">
        <v>3.12</v>
      </c>
      <c r="F11" s="84">
        <v>15.34</v>
      </c>
      <c r="G11" s="84">
        <f t="shared" si="26"/>
        <v>0.50800000000000001</v>
      </c>
      <c r="H11" s="84">
        <f t="shared" si="26"/>
        <v>0.21800000000000003</v>
      </c>
      <c r="I11" s="84">
        <v>9.6199999999999992</v>
      </c>
      <c r="J11" s="84">
        <v>6.93</v>
      </c>
      <c r="K11" s="94">
        <f t="shared" si="2"/>
        <v>3.3600000000000003</v>
      </c>
      <c r="L11" s="84">
        <f t="shared" si="33"/>
        <v>4.7E-2</v>
      </c>
      <c r="M11" s="84">
        <f t="shared" si="3"/>
        <v>1.054</v>
      </c>
      <c r="N11" s="84">
        <v>28.88</v>
      </c>
      <c r="O11" s="84">
        <v>0.6</v>
      </c>
      <c r="P11" s="84">
        <v>22.42</v>
      </c>
      <c r="Q11" s="84">
        <v>1.6E-2</v>
      </c>
      <c r="R11" s="84">
        <v>8.52</v>
      </c>
      <c r="S11" s="84">
        <f t="shared" si="27"/>
        <v>1.008</v>
      </c>
      <c r="T11" s="84">
        <f t="shared" si="28"/>
        <v>1.556</v>
      </c>
      <c r="U11" s="84">
        <f t="shared" si="29"/>
        <v>1.345</v>
      </c>
      <c r="V11" s="84">
        <v>3.75</v>
      </c>
      <c r="W11" s="84">
        <v>96.7</v>
      </c>
      <c r="X11" s="84">
        <f t="shared" si="4"/>
        <v>0.85600000000000021</v>
      </c>
      <c r="Y11" s="84">
        <f t="shared" si="19"/>
        <v>207.839</v>
      </c>
      <c r="Z11" s="13">
        <f t="shared" si="36"/>
        <v>206</v>
      </c>
      <c r="AA11" s="13"/>
      <c r="AB11" s="13"/>
      <c r="AC11" s="84"/>
      <c r="AD11">
        <v>2013</v>
      </c>
      <c r="AE11" s="131">
        <f>'DC,NTC,ClimWrks sales'!V10</f>
        <v>0.13300000000000001</v>
      </c>
      <c r="AF11" s="84">
        <v>0.184</v>
      </c>
      <c r="AG11" s="84">
        <v>0.31900000000000001</v>
      </c>
      <c r="AH11" s="84">
        <f t="shared" si="5"/>
        <v>1.4800000000000002</v>
      </c>
      <c r="AI11" s="84">
        <f t="shared" si="6"/>
        <v>0.73000000000000043</v>
      </c>
      <c r="AJ11" s="84">
        <v>1.0999999999999999E-2</v>
      </c>
      <c r="AK11" s="84">
        <v>0.16800000000000001</v>
      </c>
      <c r="AL11" s="84">
        <f t="shared" si="7"/>
        <v>0.83999999999999986</v>
      </c>
      <c r="AM11" s="84">
        <f t="shared" si="8"/>
        <v>1.62</v>
      </c>
      <c r="AN11" s="84">
        <f t="shared" si="20"/>
        <v>2.95</v>
      </c>
      <c r="AO11" s="84">
        <v>0</v>
      </c>
      <c r="AP11" s="84">
        <v>0.218</v>
      </c>
      <c r="AQ11" s="84">
        <f t="shared" si="9"/>
        <v>14.12</v>
      </c>
      <c r="AR11" s="84">
        <f t="shared" si="10"/>
        <v>0</v>
      </c>
      <c r="AS11" s="84">
        <f t="shared" si="11"/>
        <v>20.170000000000002</v>
      </c>
      <c r="AT11" s="84">
        <f t="shared" si="12"/>
        <v>6.0000000000000001E-3</v>
      </c>
      <c r="AU11" s="84">
        <f t="shared" si="13"/>
        <v>0.32000000000000028</v>
      </c>
      <c r="AV11" s="84">
        <v>8.6999999999999994E-2</v>
      </c>
      <c r="AW11" s="84">
        <f t="shared" si="30"/>
        <v>1.1120000000000001</v>
      </c>
      <c r="AX11" s="84">
        <f t="shared" si="21"/>
        <v>0.218</v>
      </c>
      <c r="AY11" s="84">
        <f t="shared" si="14"/>
        <v>1.0699999999999998</v>
      </c>
      <c r="AZ11" s="84">
        <f t="shared" si="15"/>
        <v>49.010000000000005</v>
      </c>
      <c r="BA11" s="84">
        <f t="shared" si="22"/>
        <v>0.17200000000000001</v>
      </c>
      <c r="BB11" s="84">
        <f t="shared" si="16"/>
        <v>94.938000000000017</v>
      </c>
      <c r="BC11" s="13">
        <v>99</v>
      </c>
      <c r="BD11" s="13"/>
      <c r="BE11">
        <v>2013</v>
      </c>
      <c r="BF11" s="84">
        <f t="shared" si="23"/>
        <v>899.96500000000003</v>
      </c>
      <c r="BG11" s="93">
        <v>319.03500000000003</v>
      </c>
      <c r="BH11" s="93">
        <v>486.065</v>
      </c>
      <c r="BI11" s="136">
        <f>'Rest Europe'!D40</f>
        <v>200</v>
      </c>
      <c r="BJ11" s="3">
        <f t="shared" si="31"/>
        <v>759</v>
      </c>
      <c r="BK11" s="3">
        <f t="shared" si="31"/>
        <v>17523</v>
      </c>
      <c r="BL11" s="84">
        <v>46.563000000000002</v>
      </c>
      <c r="BM11" s="84">
        <v>14.771000000000001</v>
      </c>
      <c r="BN11" s="84">
        <v>164.73599999999999</v>
      </c>
      <c r="BO11" s="93">
        <v>181.27</v>
      </c>
      <c r="BP11" s="84">
        <v>49.484000000000002</v>
      </c>
      <c r="BQ11" s="93">
        <v>103.49299999999999</v>
      </c>
      <c r="BR11" s="93">
        <v>1756.251</v>
      </c>
      <c r="BS11" s="93">
        <v>2952.2570000000001</v>
      </c>
      <c r="BT11" s="93">
        <v>58.694000000000003</v>
      </c>
      <c r="BU11" s="84">
        <v>126.937</v>
      </c>
      <c r="BV11" s="84">
        <v>8.0429999999999993</v>
      </c>
      <c r="BW11" s="139">
        <f>'India data'!T26</f>
        <v>2578</v>
      </c>
      <c r="BX11" s="93">
        <v>74.367000000000004</v>
      </c>
      <c r="BY11" s="93">
        <v>1286.7159999999999</v>
      </c>
      <c r="BZ11" s="84">
        <f t="shared" si="32"/>
        <v>4562</v>
      </c>
      <c r="CA11" s="84">
        <f t="shared" si="32"/>
        <v>1137</v>
      </c>
      <c r="CB11" s="84">
        <v>55.808</v>
      </c>
      <c r="CC11" s="84">
        <v>147.44300000000001</v>
      </c>
      <c r="CD11" s="93">
        <v>46.624000000000002</v>
      </c>
      <c r="CE11" s="84">
        <v>12.932</v>
      </c>
      <c r="CF11" s="93">
        <v>417.024</v>
      </c>
      <c r="CG11" s="94">
        <f t="shared" si="17"/>
        <v>187</v>
      </c>
      <c r="CH11" s="94">
        <f t="shared" si="18"/>
        <v>142.15100000000001</v>
      </c>
      <c r="CI11" s="84">
        <v>987.80899999999997</v>
      </c>
      <c r="CJ11" s="93">
        <v>105.92100000000001</v>
      </c>
      <c r="CK11" s="84">
        <v>57.71</v>
      </c>
      <c r="CL11" s="84">
        <v>66</v>
      </c>
      <c r="CM11" s="84">
        <v>51.968000000000004</v>
      </c>
      <c r="CN11" s="93">
        <v>722.70299999999997</v>
      </c>
      <c r="CO11" s="93">
        <v>269.55200000000002</v>
      </c>
      <c r="CP11" s="93">
        <v>307.846</v>
      </c>
      <c r="CQ11" s="131">
        <v>654.90499999999997</v>
      </c>
      <c r="CR11" s="93">
        <v>2264.7370000000001</v>
      </c>
      <c r="CS11" s="3">
        <f t="shared" si="24"/>
        <v>12333.341</v>
      </c>
      <c r="CT11" s="3">
        <f t="shared" si="34"/>
        <v>2856.348</v>
      </c>
      <c r="CU11" s="3">
        <f t="shared" si="35"/>
        <v>54119.120999999999</v>
      </c>
    </row>
    <row r="12" spans="1:101" ht="12.75" customHeight="1">
      <c r="A12">
        <v>2014</v>
      </c>
      <c r="B12" s="131">
        <f t="shared" si="0"/>
        <v>1.3220000000000001</v>
      </c>
      <c r="C12" s="84">
        <f t="shared" si="1"/>
        <v>1.7049999999999998</v>
      </c>
      <c r="D12" s="84">
        <f t="shared" si="25"/>
        <v>2.0209999999999999</v>
      </c>
      <c r="E12" s="84">
        <v>5.07</v>
      </c>
      <c r="F12" s="84">
        <v>73.17</v>
      </c>
      <c r="G12" s="84">
        <f t="shared" si="26"/>
        <v>1.633</v>
      </c>
      <c r="H12" s="84">
        <f t="shared" si="26"/>
        <v>0.47599999999999998</v>
      </c>
      <c r="I12" s="84">
        <v>12.64</v>
      </c>
      <c r="J12" s="84">
        <v>12.74</v>
      </c>
      <c r="K12" s="94">
        <f t="shared" si="2"/>
        <v>4</v>
      </c>
      <c r="L12" s="84">
        <f t="shared" si="33"/>
        <v>0.25700000000000001</v>
      </c>
      <c r="M12" s="84">
        <f t="shared" si="3"/>
        <v>1.5209999999999999</v>
      </c>
      <c r="N12" s="84">
        <v>32.29</v>
      </c>
      <c r="O12" s="84">
        <v>1.31</v>
      </c>
      <c r="P12" s="84">
        <v>15.09</v>
      </c>
      <c r="Q12" s="84">
        <v>0.254</v>
      </c>
      <c r="R12" s="84">
        <v>19.760000000000002</v>
      </c>
      <c r="S12" s="84">
        <f t="shared" si="27"/>
        <v>1.452</v>
      </c>
      <c r="T12" s="84">
        <f t="shared" si="28"/>
        <v>4.6749999999999998</v>
      </c>
      <c r="U12" s="84">
        <f t="shared" si="29"/>
        <v>2.129</v>
      </c>
      <c r="V12" s="84">
        <v>14.74</v>
      </c>
      <c r="W12" s="84">
        <v>118.78</v>
      </c>
      <c r="X12" s="84">
        <f t="shared" si="4"/>
        <v>2.3059999999999996</v>
      </c>
      <c r="Y12" s="84">
        <f t="shared" si="19"/>
        <v>329.34099999999995</v>
      </c>
      <c r="Z12" s="13">
        <f t="shared" si="36"/>
        <v>288</v>
      </c>
      <c r="AA12" s="13"/>
      <c r="AB12" s="13"/>
      <c r="AC12" s="84"/>
      <c r="AD12">
        <v>2014</v>
      </c>
      <c r="AE12" s="131">
        <f>'DC,NTC,ClimWrks sales'!V11</f>
        <v>1.1420000000000001</v>
      </c>
      <c r="AF12" s="84">
        <v>0.434</v>
      </c>
      <c r="AG12" s="84">
        <v>0.85199999999999998</v>
      </c>
      <c r="AH12" s="84">
        <f t="shared" si="5"/>
        <v>2.2400000000000002</v>
      </c>
      <c r="AI12" s="3">
        <f t="shared" si="6"/>
        <v>24.260000000000005</v>
      </c>
      <c r="AJ12" s="84">
        <v>0.1</v>
      </c>
      <c r="AK12" s="84">
        <v>0.29099999999999998</v>
      </c>
      <c r="AL12" s="84">
        <f t="shared" si="7"/>
        <v>2.0700000000000003</v>
      </c>
      <c r="AM12" s="84">
        <f t="shared" si="8"/>
        <v>4.3900000000000006</v>
      </c>
      <c r="AN12" s="84">
        <f t="shared" si="20"/>
        <v>3.35</v>
      </c>
      <c r="AO12" s="84">
        <v>3.5000000000000003E-2</v>
      </c>
      <c r="AP12" s="84">
        <v>0.44600000000000001</v>
      </c>
      <c r="AQ12" s="84">
        <f t="shared" si="9"/>
        <v>16.18</v>
      </c>
      <c r="AR12" s="84">
        <f t="shared" si="10"/>
        <v>0</v>
      </c>
      <c r="AS12" s="84">
        <f t="shared" si="11"/>
        <v>12.43</v>
      </c>
      <c r="AT12" s="84">
        <f t="shared" si="12"/>
        <v>0.214</v>
      </c>
      <c r="AU12" s="84">
        <f t="shared" si="13"/>
        <v>1.6700000000000017</v>
      </c>
      <c r="AV12" s="84">
        <v>0.41699999999999998</v>
      </c>
      <c r="AW12" s="84">
        <f t="shared" si="30"/>
        <v>3.472</v>
      </c>
      <c r="AX12" s="84">
        <f t="shared" si="21"/>
        <v>0.83699999999999997</v>
      </c>
      <c r="AY12" s="84">
        <f t="shared" si="14"/>
        <v>7.9300000000000006</v>
      </c>
      <c r="AZ12" s="84">
        <f t="shared" si="15"/>
        <v>55.36</v>
      </c>
      <c r="BA12" s="84">
        <f t="shared" si="22"/>
        <v>0.54900000000000004</v>
      </c>
      <c r="BB12" s="84">
        <f t="shared" si="16"/>
        <v>138.66900000000001</v>
      </c>
      <c r="BC12" s="13">
        <v>129</v>
      </c>
      <c r="BD12" s="13"/>
      <c r="BE12">
        <v>2014</v>
      </c>
      <c r="BF12" s="84">
        <f t="shared" si="23"/>
        <v>883.94899999999996</v>
      </c>
      <c r="BG12" s="93">
        <v>303.31799999999998</v>
      </c>
      <c r="BH12" s="93">
        <v>482.93900000000002</v>
      </c>
      <c r="BI12" s="136">
        <f>'Rest Europe'!D41</f>
        <v>200</v>
      </c>
      <c r="BJ12" s="3">
        <f t="shared" si="31"/>
        <v>806</v>
      </c>
      <c r="BK12" s="3">
        <f t="shared" si="31"/>
        <v>19367</v>
      </c>
      <c r="BL12" s="84">
        <v>68.522000000000006</v>
      </c>
      <c r="BM12" s="84">
        <v>17.933</v>
      </c>
      <c r="BN12" s="84">
        <v>192.31399999999999</v>
      </c>
      <c r="BO12" s="93">
        <v>189.06800000000001</v>
      </c>
      <c r="BP12" s="84">
        <v>47.253</v>
      </c>
      <c r="BQ12" s="93">
        <v>106.28100000000001</v>
      </c>
      <c r="BR12" s="93">
        <v>1765.2280000000001</v>
      </c>
      <c r="BS12" s="93">
        <v>3036.6289999999999</v>
      </c>
      <c r="BT12" s="93">
        <v>71.215999999999994</v>
      </c>
      <c r="BU12" s="84">
        <v>164.42</v>
      </c>
      <c r="BV12" s="84">
        <v>10.444000000000001</v>
      </c>
      <c r="BW12" s="139">
        <f>'India data'!T27</f>
        <v>2573</v>
      </c>
      <c r="BX12" s="93">
        <v>96.343999999999994</v>
      </c>
      <c r="BY12" s="93">
        <v>1370.952</v>
      </c>
      <c r="BZ12" s="84">
        <f t="shared" si="32"/>
        <v>4700</v>
      </c>
      <c r="CA12" s="84">
        <f t="shared" si="32"/>
        <v>1140.0327352085353</v>
      </c>
      <c r="CB12" s="84">
        <v>63.04</v>
      </c>
      <c r="CC12" s="84">
        <v>136.09800000000001</v>
      </c>
      <c r="CD12" s="93">
        <v>49.792999999999999</v>
      </c>
      <c r="CE12" s="84">
        <v>15.269</v>
      </c>
      <c r="CF12" s="93">
        <v>387.82499999999999</v>
      </c>
      <c r="CG12" s="94">
        <f t="shared" si="17"/>
        <v>226</v>
      </c>
      <c r="CH12" s="94">
        <f t="shared" si="18"/>
        <v>144.202</v>
      </c>
      <c r="CI12" s="84">
        <v>1047.598</v>
      </c>
      <c r="CJ12" s="93">
        <v>142.82599999999999</v>
      </c>
      <c r="CK12" s="84">
        <v>70.171999999999997</v>
      </c>
      <c r="CL12" s="84">
        <v>72.248999999999995</v>
      </c>
      <c r="CM12" s="84">
        <v>54.085999999999999</v>
      </c>
      <c r="CN12" s="93">
        <v>855.30799999999999</v>
      </c>
      <c r="CO12" s="93">
        <v>303.94600000000003</v>
      </c>
      <c r="CP12" s="93">
        <v>301.892</v>
      </c>
      <c r="CQ12" s="93">
        <v>587.33100000000002</v>
      </c>
      <c r="CR12" s="93">
        <v>2476.4349999999999</v>
      </c>
      <c r="CS12" s="3">
        <f t="shared" si="24"/>
        <v>13002.618999999999</v>
      </c>
      <c r="CT12" s="3">
        <f t="shared" si="34"/>
        <v>3010.5639999999994</v>
      </c>
      <c r="CU12" s="3">
        <f t="shared" si="35"/>
        <v>57529.531735208526</v>
      </c>
    </row>
    <row r="13" spans="1:101" ht="12.75" customHeight="1">
      <c r="A13">
        <v>2015</v>
      </c>
      <c r="B13" s="131">
        <f t="shared" si="0"/>
        <v>1.7709999999999999</v>
      </c>
      <c r="C13" s="84">
        <f t="shared" si="1"/>
        <v>2.778</v>
      </c>
      <c r="D13" s="84">
        <f t="shared" si="25"/>
        <v>3.8090000000000002</v>
      </c>
      <c r="E13" s="84">
        <v>6.96</v>
      </c>
      <c r="F13" s="3">
        <v>207.38</v>
      </c>
      <c r="G13" s="84">
        <f t="shared" si="26"/>
        <v>4.968</v>
      </c>
      <c r="H13" s="84">
        <f t="shared" si="26"/>
        <v>0.65700000000000003</v>
      </c>
      <c r="I13" s="84">
        <v>22.95</v>
      </c>
      <c r="J13" s="84">
        <v>23.19</v>
      </c>
      <c r="K13" s="94">
        <f t="shared" si="2"/>
        <v>5.1749999999999998</v>
      </c>
      <c r="L13" s="84">
        <f t="shared" si="33"/>
        <v>0.55900000000000005</v>
      </c>
      <c r="M13" s="84">
        <f t="shared" si="3"/>
        <v>2.3420000000000001</v>
      </c>
      <c r="N13" s="84">
        <v>24.65</v>
      </c>
      <c r="O13" s="84">
        <v>3.19</v>
      </c>
      <c r="P13" s="84">
        <v>43.77</v>
      </c>
      <c r="Q13" s="84">
        <v>0.29499999999999998</v>
      </c>
      <c r="R13" s="84">
        <v>35.61</v>
      </c>
      <c r="S13" s="84">
        <f t="shared" si="27"/>
        <v>2.2909999999999999</v>
      </c>
      <c r="T13" s="84">
        <f t="shared" si="28"/>
        <v>8.69</v>
      </c>
      <c r="U13" s="84">
        <f t="shared" si="29"/>
        <v>5.6229999999999993</v>
      </c>
      <c r="V13" s="84">
        <v>29.34</v>
      </c>
      <c r="W13" s="84">
        <v>113.87</v>
      </c>
      <c r="X13" s="84">
        <f t="shared" si="4"/>
        <v>3.8970000000000002</v>
      </c>
      <c r="Y13" s="84">
        <f t="shared" si="19"/>
        <v>553.76499999999999</v>
      </c>
      <c r="Z13" s="13">
        <f t="shared" si="36"/>
        <v>448</v>
      </c>
      <c r="AA13" s="13"/>
      <c r="AB13" s="13"/>
      <c r="AC13" s="84"/>
      <c r="AD13">
        <v>2015</v>
      </c>
      <c r="AE13" s="131">
        <f>'DC,NTC,ClimWrks sales'!V12</f>
        <v>1.2119999999999997</v>
      </c>
      <c r="AF13" s="84">
        <v>1.101</v>
      </c>
      <c r="AG13" s="84">
        <v>2.4510000000000001</v>
      </c>
      <c r="AH13" s="84">
        <f t="shared" si="5"/>
        <v>2.58</v>
      </c>
      <c r="AI13" s="3">
        <f t="shared" si="6"/>
        <v>60.66</v>
      </c>
      <c r="AJ13" s="84">
        <v>0.44400000000000001</v>
      </c>
      <c r="AK13" s="84">
        <v>0.41499999999999998</v>
      </c>
      <c r="AL13" s="84">
        <f t="shared" si="7"/>
        <v>5.68</v>
      </c>
      <c r="AM13" s="84">
        <f t="shared" si="8"/>
        <v>11.110000000000001</v>
      </c>
      <c r="AN13" s="84">
        <f t="shared" si="20"/>
        <v>4.3499999999999996</v>
      </c>
      <c r="AO13" s="84">
        <v>9.9000000000000005E-2</v>
      </c>
      <c r="AP13" s="84">
        <v>0.89100000000000001</v>
      </c>
      <c r="AQ13" s="84">
        <f t="shared" si="9"/>
        <v>14.179999999999998</v>
      </c>
      <c r="AR13" s="84">
        <f t="shared" si="10"/>
        <v>0.27</v>
      </c>
      <c r="AS13" s="84">
        <f t="shared" si="11"/>
        <v>41.230000000000004</v>
      </c>
      <c r="AT13" s="84">
        <f t="shared" si="12"/>
        <v>0.22699999999999998</v>
      </c>
      <c r="AU13" s="84">
        <f t="shared" si="13"/>
        <v>7.82</v>
      </c>
      <c r="AV13" s="84">
        <v>0.86899999999999999</v>
      </c>
      <c r="AW13" s="84">
        <f t="shared" si="30"/>
        <v>5.7119999999999997</v>
      </c>
      <c r="AX13" s="84">
        <f t="shared" si="21"/>
        <v>2.5579999999999998</v>
      </c>
      <c r="AY13" s="84">
        <f t="shared" si="14"/>
        <v>19.240000000000002</v>
      </c>
      <c r="AZ13" s="84">
        <f t="shared" si="15"/>
        <v>42.83</v>
      </c>
      <c r="BA13" s="84">
        <f t="shared" si="22"/>
        <v>1.5719999999999998</v>
      </c>
      <c r="BB13" s="84">
        <f t="shared" si="16"/>
        <v>227.50099999999998</v>
      </c>
      <c r="BC13" s="13">
        <v>185</v>
      </c>
      <c r="BD13" s="13"/>
      <c r="BE13">
        <v>2015</v>
      </c>
      <c r="BF13" s="84">
        <f t="shared" si="23"/>
        <v>924.154</v>
      </c>
      <c r="BG13" s="93">
        <v>308.55500000000001</v>
      </c>
      <c r="BH13" s="93">
        <v>501.06599999999997</v>
      </c>
      <c r="BI13" s="136">
        <f>'Rest Europe'!D42</f>
        <v>250</v>
      </c>
      <c r="BJ13" s="3">
        <f t="shared" si="31"/>
        <v>855.35617977528091</v>
      </c>
      <c r="BK13" s="3">
        <f t="shared" si="31"/>
        <v>21203</v>
      </c>
      <c r="BL13" s="136">
        <v>45</v>
      </c>
      <c r="BM13" s="84">
        <v>21.462</v>
      </c>
      <c r="BN13" s="136">
        <f>'Rest Europe'!S42</f>
        <v>229.5</v>
      </c>
      <c r="BO13" s="93">
        <v>207.38900000000001</v>
      </c>
      <c r="BP13" s="84">
        <v>46.015999999999998</v>
      </c>
      <c r="BQ13" s="93">
        <v>108.849</v>
      </c>
      <c r="BR13" s="93">
        <v>1885.568</v>
      </c>
      <c r="BS13" s="93">
        <v>3205.9189999999999</v>
      </c>
      <c r="BT13" s="93">
        <v>75.805000000000007</v>
      </c>
      <c r="BU13" s="136">
        <f>BU12*'Major Europe'!AH42/'Major Europe'!AH41</f>
        <v>180.46097560975605</v>
      </c>
      <c r="BV13" s="84">
        <v>10.411</v>
      </c>
      <c r="BW13" s="139">
        <f>'India data'!T28</f>
        <v>2727</v>
      </c>
      <c r="BX13" s="93">
        <v>124.94499999999999</v>
      </c>
      <c r="BY13" s="93">
        <v>1583.616</v>
      </c>
      <c r="BZ13" s="84">
        <f>BT87</f>
        <v>4216</v>
      </c>
      <c r="CA13" s="84">
        <f>AR56</f>
        <v>1309</v>
      </c>
      <c r="CB13" s="84">
        <v>63.758000000000003</v>
      </c>
      <c r="CC13" s="84">
        <v>131.60599999999999</v>
      </c>
      <c r="CD13" s="93">
        <v>46.472999999999999</v>
      </c>
      <c r="CE13" s="84">
        <v>16.803000000000001</v>
      </c>
      <c r="CF13" s="93">
        <v>452.38799999999998</v>
      </c>
      <c r="CG13" s="94">
        <f t="shared" si="17"/>
        <v>249</v>
      </c>
      <c r="CH13" s="94">
        <f t="shared" si="18"/>
        <v>150.68600000000001</v>
      </c>
      <c r="CI13" s="84">
        <v>1145.5060000000001</v>
      </c>
      <c r="CJ13" s="93">
        <v>178.50299999999999</v>
      </c>
      <c r="CK13" s="136">
        <f>'Rest Europe'!BV42</f>
        <v>83.75</v>
      </c>
      <c r="CL13" s="136">
        <f>'Rest Europe'!CA42</f>
        <v>76.400000000000006</v>
      </c>
      <c r="CM13" s="84">
        <v>60.667999999999999</v>
      </c>
      <c r="CN13" s="93">
        <v>1034.232</v>
      </c>
      <c r="CO13" s="93">
        <v>345.10599999999999</v>
      </c>
      <c r="CP13" s="93">
        <v>323.762</v>
      </c>
      <c r="CQ13" s="93">
        <v>725.596</v>
      </c>
      <c r="CR13" s="93">
        <v>2633.5030000000002</v>
      </c>
      <c r="CS13" s="3">
        <f t="shared" si="24"/>
        <v>13623.689</v>
      </c>
      <c r="CT13" s="3">
        <f t="shared" si="34"/>
        <v>3387.7179756097566</v>
      </c>
      <c r="CU13" s="3">
        <f t="shared" si="35"/>
        <v>61360.501155385027</v>
      </c>
    </row>
    <row r="14" spans="1:101" ht="12.75" customHeight="1">
      <c r="A14">
        <v>2016</v>
      </c>
      <c r="B14" s="131">
        <f t="shared" si="0"/>
        <v>1.7469999999999999</v>
      </c>
      <c r="C14" s="84">
        <f t="shared" si="1"/>
        <v>5.0630000000000006</v>
      </c>
      <c r="D14" s="84">
        <f t="shared" si="25"/>
        <v>8.7249999999999996</v>
      </c>
      <c r="E14" s="84">
        <v>11.58</v>
      </c>
      <c r="F14" s="3">
        <v>336</v>
      </c>
      <c r="G14" s="84">
        <f>G57+AJ14</f>
        <v>1.8839999999999999</v>
      </c>
      <c r="H14" s="84">
        <f t="shared" si="26"/>
        <v>1.4300000000000002</v>
      </c>
      <c r="I14" s="84">
        <f>I57+AL14</f>
        <v>29.180999999999997</v>
      </c>
      <c r="J14" s="84">
        <f>J57+AM14</f>
        <v>25.161000000000001</v>
      </c>
      <c r="K14" s="94">
        <f t="shared" si="2"/>
        <v>6.7624999999999993</v>
      </c>
      <c r="L14" s="94">
        <f t="shared" si="33"/>
        <v>0.69</v>
      </c>
      <c r="M14" s="94">
        <f t="shared" si="3"/>
        <v>2.8289999999999997</v>
      </c>
      <c r="N14" s="94">
        <v>24.85</v>
      </c>
      <c r="O14" s="94">
        <v>5.26</v>
      </c>
      <c r="P14" s="94">
        <f>P57+AS14</f>
        <v>22.896000000000001</v>
      </c>
      <c r="Q14" s="94">
        <v>0.71399999999999997</v>
      </c>
      <c r="R14" s="94">
        <v>44.908000000000001</v>
      </c>
      <c r="S14" s="94">
        <f t="shared" si="27"/>
        <v>3.516</v>
      </c>
      <c r="T14" s="94">
        <f t="shared" si="28"/>
        <v>13.241</v>
      </c>
      <c r="U14" s="94">
        <f t="shared" si="29"/>
        <v>6.1240000000000006</v>
      </c>
      <c r="V14" s="94">
        <f>AY14+V57</f>
        <v>35.162999999999997</v>
      </c>
      <c r="W14" s="94">
        <v>159.62</v>
      </c>
      <c r="X14" s="84">
        <f t="shared" si="4"/>
        <v>5.282</v>
      </c>
      <c r="Y14" s="84">
        <f t="shared" si="19"/>
        <v>752.62650000000008</v>
      </c>
      <c r="Z14" s="13">
        <f t="shared" si="36"/>
        <v>695</v>
      </c>
      <c r="AA14" s="13"/>
      <c r="AB14" s="13"/>
      <c r="AC14" s="84"/>
      <c r="AD14">
        <v>2016</v>
      </c>
      <c r="AE14" s="131">
        <f>'DC,NTC,ClimWrks sales'!V13</f>
        <v>0.84699999999999998</v>
      </c>
      <c r="AF14" s="84">
        <v>1.2370000000000001</v>
      </c>
      <c r="AG14" s="84">
        <v>6.6710000000000003</v>
      </c>
      <c r="AH14" s="84">
        <f t="shared" si="5"/>
        <v>6.36</v>
      </c>
      <c r="AI14" s="3">
        <f t="shared" si="6"/>
        <v>79</v>
      </c>
      <c r="AJ14" s="84">
        <v>0.57199999999999995</v>
      </c>
      <c r="AK14" s="84">
        <v>1.2070000000000001</v>
      </c>
      <c r="AL14" s="94">
        <v>7.4290000000000003</v>
      </c>
      <c r="AM14" s="94">
        <v>13.750999999999999</v>
      </c>
      <c r="AN14" s="84">
        <f t="shared" si="20"/>
        <v>5.35</v>
      </c>
      <c r="AO14" s="84">
        <v>0.29799999999999999</v>
      </c>
      <c r="AP14" s="84">
        <v>1.452</v>
      </c>
      <c r="AQ14" s="94">
        <f>N14-N57</f>
        <v>9.39</v>
      </c>
      <c r="AR14" s="94">
        <f>O14-O57</f>
        <v>0.16000000000000014</v>
      </c>
      <c r="AS14" s="94">
        <v>18.628</v>
      </c>
      <c r="AT14" s="94">
        <f>Q14-Q57</f>
        <v>0.33099999999999996</v>
      </c>
      <c r="AU14" s="94">
        <f>R14-R57</f>
        <v>20.686</v>
      </c>
      <c r="AV14" s="94">
        <v>1.5109999999999999</v>
      </c>
      <c r="AW14" s="94">
        <v>10.295999999999999</v>
      </c>
      <c r="AX14" s="94">
        <v>2.8290000000000002</v>
      </c>
      <c r="AY14" s="94">
        <v>24.899000000000001</v>
      </c>
      <c r="AZ14" s="94">
        <f>W14-W57</f>
        <v>72.89</v>
      </c>
      <c r="BA14" s="84">
        <f t="shared" si="22"/>
        <v>2.7890000000000001</v>
      </c>
      <c r="BB14" s="84">
        <f t="shared" si="16"/>
        <v>288.58300000000003</v>
      </c>
      <c r="BC14" s="13">
        <v>287</v>
      </c>
      <c r="BD14" s="13"/>
      <c r="BE14">
        <v>2016</v>
      </c>
      <c r="BF14" s="84">
        <f t="shared" si="23"/>
        <v>927.28</v>
      </c>
      <c r="BG14" s="93">
        <v>329.60399999999998</v>
      </c>
      <c r="BH14" s="93">
        <v>539.51900000000001</v>
      </c>
      <c r="BI14" s="136">
        <f>'Rest Europe'!D43</f>
        <v>300</v>
      </c>
      <c r="BJ14" s="3">
        <f t="shared" si="31"/>
        <v>888.8640449438202</v>
      </c>
      <c r="BK14" s="3">
        <f t="shared" si="31"/>
        <v>24525.547445255474</v>
      </c>
      <c r="BL14" s="136">
        <f>'Rest Europe'!I43</f>
        <v>44</v>
      </c>
      <c r="BM14" s="136">
        <v>21</v>
      </c>
      <c r="BN14" s="136">
        <f>'Rest Europe'!S43</f>
        <v>259.28571428571428</v>
      </c>
      <c r="BO14" s="93">
        <v>223.142</v>
      </c>
      <c r="BP14" s="136">
        <f>BP13*'Rest Europe'!X43/'Rest Europe'!X42</f>
        <v>50.52737254901961</v>
      </c>
      <c r="BQ14" s="93">
        <v>119.039</v>
      </c>
      <c r="BR14" s="93">
        <v>1983.729</v>
      </c>
      <c r="BS14" s="93">
        <v>3351.4690000000001</v>
      </c>
      <c r="BT14" s="93">
        <v>78.873000000000005</v>
      </c>
      <c r="BU14" s="136">
        <f>BU13*'Major Europe'!AH43/'Major Europe'!AH42</f>
        <v>233.09542682926821</v>
      </c>
      <c r="BV14" s="136">
        <f>BV13*'Rest Europe'!AH43/'Rest Europe'!AH42</f>
        <v>13.560276967163771</v>
      </c>
      <c r="BW14" s="139">
        <f>'India data'!T29</f>
        <v>2830</v>
      </c>
      <c r="BX14" s="93">
        <v>146.6</v>
      </c>
      <c r="BY14" s="93">
        <v>1844.18</v>
      </c>
      <c r="BZ14" s="84">
        <f>AQ57</f>
        <v>4146</v>
      </c>
      <c r="CA14" s="138">
        <f>CO88</f>
        <v>1325</v>
      </c>
      <c r="CB14" s="136">
        <f>CB13*'Rest Europe'!AL43/'Rest Europe'!AL42</f>
        <v>73.031890909090919</v>
      </c>
      <c r="CC14" s="136">
        <f>CC13*'Rest Europe'!AW43/'Rest Europe'!AW42</f>
        <v>157.16793461538458</v>
      </c>
      <c r="CD14" s="93">
        <v>50.561</v>
      </c>
      <c r="CE14" s="136">
        <f>CE13*'Rest Europe'!BG43/'Rest Europe'!BG42</f>
        <v>16.628332640332644</v>
      </c>
      <c r="CF14" s="93">
        <v>384.69799999999998</v>
      </c>
      <c r="CG14" s="94">
        <f t="shared" si="17"/>
        <v>257</v>
      </c>
      <c r="CH14" s="94">
        <f t="shared" si="18"/>
        <v>154.60300000000001</v>
      </c>
      <c r="CI14" s="136">
        <f>CI13*'Rest Europe'!BL43/'Rest Europe'!BL42</f>
        <v>1377.2304961832062</v>
      </c>
      <c r="CJ14" s="93">
        <v>207.33</v>
      </c>
      <c r="CK14" s="136">
        <f>'Rest Europe'!BV43</f>
        <v>95.294117647058812</v>
      </c>
      <c r="CL14" s="136">
        <f>'Rest Europe'!CA43</f>
        <v>91.666666666666671</v>
      </c>
      <c r="CM14" s="136">
        <f>'Rest Europe'!CF43</f>
        <v>63.255813953488357</v>
      </c>
      <c r="CN14" s="93">
        <v>1147.0070000000001</v>
      </c>
      <c r="CO14" s="93">
        <v>372.31799999999998</v>
      </c>
      <c r="CP14" s="93">
        <v>317.315</v>
      </c>
      <c r="CQ14" s="93">
        <v>756.93799999999999</v>
      </c>
      <c r="CR14" s="93">
        <v>2692.7860000000001</v>
      </c>
      <c r="CS14" s="3">
        <f t="shared" si="24"/>
        <v>13843.272000000001</v>
      </c>
      <c r="CT14" s="3">
        <f t="shared" si="34"/>
        <v>3889.4460432463943</v>
      </c>
      <c r="CU14" s="3">
        <f t="shared" si="35"/>
        <v>66238.418533445685</v>
      </c>
    </row>
    <row r="15" spans="1:101" ht="12.75" customHeight="1">
      <c r="A15">
        <v>2017</v>
      </c>
      <c r="B15" s="131">
        <f t="shared" si="0"/>
        <v>1.8929999999999998</v>
      </c>
      <c r="C15" s="84">
        <f t="shared" si="1"/>
        <v>7.1539999999999999</v>
      </c>
      <c r="D15" s="84">
        <f t="shared" si="25"/>
        <v>13.996</v>
      </c>
      <c r="E15" s="84">
        <f>'Canada EV uptake'!AP16/1000</f>
        <v>19.236999999999998</v>
      </c>
      <c r="F15" s="3">
        <f>F58+AI15</f>
        <v>579</v>
      </c>
      <c r="G15" s="84">
        <f t="shared" si="26"/>
        <v>1.3119999999999998</v>
      </c>
      <c r="H15" s="84">
        <f t="shared" si="26"/>
        <v>3.0549999999999997</v>
      </c>
      <c r="I15" s="84">
        <f>I58+AL15</f>
        <v>36.777999999999999</v>
      </c>
      <c r="J15" s="84">
        <f>J58+AM15</f>
        <v>54.495000000000005</v>
      </c>
      <c r="K15" s="94">
        <f t="shared" si="2"/>
        <v>8.35</v>
      </c>
      <c r="L15" s="94">
        <f t="shared" si="33"/>
        <v>0.94799999999999995</v>
      </c>
      <c r="M15" s="94">
        <f t="shared" si="3"/>
        <v>4.83</v>
      </c>
      <c r="N15" s="94">
        <v>56</v>
      </c>
      <c r="O15" s="94">
        <f>O58+AR15</f>
        <v>12.106</v>
      </c>
      <c r="P15" s="94">
        <f>P58+AS15</f>
        <v>11.055</v>
      </c>
      <c r="Q15" s="94">
        <v>1.109</v>
      </c>
      <c r="R15" s="94">
        <v>62.313000000000002</v>
      </c>
      <c r="S15" s="94">
        <f t="shared" si="27"/>
        <v>7.29</v>
      </c>
      <c r="T15" s="94">
        <f t="shared" si="28"/>
        <v>19.663999999999998</v>
      </c>
      <c r="U15" s="94">
        <f t="shared" si="29"/>
        <v>8.1769999999999996</v>
      </c>
      <c r="V15" s="94">
        <f>AY15+V58</f>
        <v>44.750999999999998</v>
      </c>
      <c r="W15" s="94">
        <v>194.47900000000001</v>
      </c>
      <c r="X15" s="84">
        <f>X58+BA15</f>
        <v>13.087999999999999</v>
      </c>
      <c r="Y15" s="84">
        <f>SUM(B15:X15)</f>
        <v>1161.08</v>
      </c>
      <c r="Z15" s="13">
        <f t="shared" si="36"/>
        <v>1091</v>
      </c>
      <c r="AA15" s="13"/>
      <c r="AB15" s="13"/>
      <c r="AC15" s="84"/>
      <c r="AD15">
        <v>2017</v>
      </c>
      <c r="AE15" s="131">
        <f>'DC,NTC,ClimWrks sales'!V14</f>
        <v>0.61</v>
      </c>
      <c r="AF15" s="84">
        <v>1.7210000000000001</v>
      </c>
      <c r="AG15" s="84">
        <v>11.287000000000001</v>
      </c>
      <c r="AH15" s="84">
        <v>8.7260000000000009</v>
      </c>
      <c r="AI15" s="3">
        <v>111</v>
      </c>
      <c r="AJ15" s="84">
        <v>0.61399999999999999</v>
      </c>
      <c r="AK15" s="84">
        <v>2.5529999999999999</v>
      </c>
      <c r="AL15" s="94">
        <v>11.868</v>
      </c>
      <c r="AM15" s="94">
        <v>29.439</v>
      </c>
      <c r="AN15" s="84">
        <f t="shared" si="20"/>
        <v>6.35</v>
      </c>
      <c r="AO15" s="84">
        <v>0.32600000000000001</v>
      </c>
      <c r="AP15" s="84">
        <v>2.863</v>
      </c>
      <c r="AQ15" s="94">
        <f>N15-N58</f>
        <v>34.159999999999997</v>
      </c>
      <c r="AR15" s="94">
        <v>0.29599999999999999</v>
      </c>
      <c r="AS15" s="94">
        <v>1.1579999999999999</v>
      </c>
      <c r="AT15" s="94">
        <f>Q15-Q58</f>
        <v>0.42199999999999993</v>
      </c>
      <c r="AU15" s="94">
        <f>R15-R58</f>
        <v>29.288000000000004</v>
      </c>
      <c r="AV15" s="94">
        <v>3.37</v>
      </c>
      <c r="AW15" s="94">
        <v>15.446999999999999</v>
      </c>
      <c r="AX15" s="94">
        <v>3.4039999999999999</v>
      </c>
      <c r="AY15" s="94">
        <v>31.154</v>
      </c>
      <c r="AZ15" s="94">
        <f>W15-W58</f>
        <v>89.992000000000019</v>
      </c>
      <c r="BA15" s="84">
        <f t="shared" si="22"/>
        <v>7.270999999999999</v>
      </c>
      <c r="BB15" s="84">
        <f t="shared" si="16"/>
        <v>403.31899999999996</v>
      </c>
      <c r="BC15" s="13">
        <v>390</v>
      </c>
      <c r="BD15" s="13"/>
      <c r="BE15">
        <v>2017</v>
      </c>
      <c r="BF15" s="84">
        <f t="shared" si="23"/>
        <v>915.65800000000002</v>
      </c>
      <c r="BG15" s="136">
        <f>'Major Europe'!D44</f>
        <v>352.66990291262141</v>
      </c>
      <c r="BH15" s="136">
        <f>'Major Europe'!I44</f>
        <v>546.79104477611941</v>
      </c>
      <c r="BI15" s="136">
        <f>'Rest Europe'!D44</f>
        <v>313.51351351351354</v>
      </c>
      <c r="BJ15" s="3">
        <f t="shared" si="31"/>
        <v>934.14494382022474</v>
      </c>
      <c r="BK15" s="3">
        <f t="shared" si="31"/>
        <v>27571.428571428572</v>
      </c>
      <c r="BL15" s="136">
        <f>'Rest Europe'!I44</f>
        <v>46</v>
      </c>
      <c r="BM15" s="136">
        <f>'Rest Europe'!N44/'Rest Europe'!N43*BM14</f>
        <v>21.186390532544376</v>
      </c>
      <c r="BN15" s="136">
        <f>'Rest Europe'!S44</f>
        <v>273.91304347826087</v>
      </c>
      <c r="BO15" s="136">
        <f>'Major Europe'!N44</f>
        <v>222.63157894736844</v>
      </c>
      <c r="BP15" s="136">
        <f>BP14*'Rest Europe'!X44/'Rest Europe'!X43</f>
        <v>58.64784313725491</v>
      </c>
      <c r="BQ15" s="136">
        <f>'Major Europe'!S44</f>
        <v>118.8715953307393</v>
      </c>
      <c r="BR15" s="136">
        <f>'Major Europe'!X44</f>
        <v>2107.8857142857141</v>
      </c>
      <c r="BS15" s="136">
        <f>'Major Europe'!AC44</f>
        <v>3433.397435897436</v>
      </c>
      <c r="BT15" s="136">
        <f>'Rest Europe'!AC44</f>
        <v>86.363636363636374</v>
      </c>
      <c r="BU15" s="136">
        <f>BU14*'Major Europe'!AH44/'Major Europe'!AH43</f>
        <v>280.38970632155292</v>
      </c>
      <c r="BV15" s="136">
        <f>BV14*'Rest Europe'!AH44/'Rest Europe'!AH43</f>
        <v>15.774607961598942</v>
      </c>
      <c r="BW15" s="139">
        <f>'India data'!T30</f>
        <v>2950</v>
      </c>
      <c r="BX15" s="136">
        <f>'Major Europe'!AM44</f>
        <v>131.25</v>
      </c>
      <c r="BY15" s="136">
        <f>'Major Europe'!AR44</f>
        <v>1930.8</v>
      </c>
      <c r="BZ15" s="84">
        <f>AQ58</f>
        <v>4391</v>
      </c>
      <c r="CA15" s="84">
        <f>AR58</f>
        <v>1329.3657993200561</v>
      </c>
      <c r="CB15" s="136">
        <f>CB14*'Rest Europe'!AL44/'Rest Europe'!AL43</f>
        <v>74.384333333333345</v>
      </c>
      <c r="CC15" s="136">
        <f>CC14*'Rest Europe'!AW44/'Rest Europe'!AW43</f>
        <v>194.03448717948712</v>
      </c>
      <c r="CD15" s="136">
        <f>'Rest Europe'!BB44</f>
        <v>52.765957446808514</v>
      </c>
      <c r="CE15" s="136">
        <f>CE14*'Rest Europe'!BG44/'Rest Europe'!BG43</f>
        <v>16.437476598549772</v>
      </c>
      <c r="CF15" s="136">
        <f>'Major Europe'!AW44</f>
        <v>417.72727272727269</v>
      </c>
      <c r="CG15" s="94">
        <f t="shared" si="17"/>
        <v>273</v>
      </c>
      <c r="CH15" s="94">
        <f t="shared" si="18"/>
        <v>158.65</v>
      </c>
      <c r="CI15" s="136">
        <f>CI14*'Rest Europe'!BL44/'Rest Europe'!BL43</f>
        <v>1441.355513994911</v>
      </c>
      <c r="CJ15" s="136">
        <f>'Rest Europe'!BQ44</f>
        <v>221.83246073298426</v>
      </c>
      <c r="CK15" s="136">
        <f>'Rest Europe'!BV44</f>
        <v>103.88888888888889</v>
      </c>
      <c r="CL15" s="136">
        <f>'Rest Europe'!CA44</f>
        <v>96.097560975609738</v>
      </c>
      <c r="CM15" s="136">
        <f>'Rest Europe'!CF44</f>
        <v>71.351351351351354</v>
      </c>
      <c r="CN15" s="136">
        <f>'Major Europe'!BG44</f>
        <v>1220.9836065573772</v>
      </c>
      <c r="CO15" s="136">
        <f>'Major Europe'!BL44</f>
        <v>379.375</v>
      </c>
      <c r="CP15" s="136">
        <f>'Major Europe'!BQ44</f>
        <v>314.86274509803928</v>
      </c>
      <c r="CQ15" s="84">
        <f>CQ14</f>
        <v>756.93799999999999</v>
      </c>
      <c r="CR15" s="136">
        <f>'Major Europe'!BV44</f>
        <v>2544.105263157895</v>
      </c>
      <c r="CS15" s="3">
        <f t="shared" si="24"/>
        <v>13399.933000000001</v>
      </c>
      <c r="CT15" s="3">
        <f t="shared" si="34"/>
        <v>4124.874771810285</v>
      </c>
      <c r="CU15" s="3">
        <f t="shared" si="35"/>
        <v>69769.406246069746</v>
      </c>
    </row>
    <row r="16" spans="1:101" ht="12.75" customHeight="1">
      <c r="A16">
        <v>2018</v>
      </c>
      <c r="B16" s="131">
        <f>B59+AE16</f>
        <v>3</v>
      </c>
      <c r="C16" s="94">
        <f>'Austria EV uptake'!K66/1000</f>
        <v>9.2162200117027488</v>
      </c>
      <c r="D16" s="94">
        <f>'Belgian EV uptake'!J62/1000</f>
        <v>18.308409429280395</v>
      </c>
      <c r="E16" s="84">
        <f>'Canada EV uptake'!AQ16/1000</f>
        <v>48.222999999999999</v>
      </c>
      <c r="F16" s="252">
        <v>1100</v>
      </c>
      <c r="G16" s="84">
        <f>'Denmark EV uptake'!K71/1000</f>
        <v>2.2829999999999999</v>
      </c>
      <c r="H16" s="94">
        <f>AK59*H76/100</f>
        <v>5.6251649999999991</v>
      </c>
      <c r="I16" s="84">
        <f>'France EV uptake'!K66/1000</f>
        <v>42.955394517282478</v>
      </c>
      <c r="J16" s="84">
        <f>'Germany EV uptake'!K66/1000</f>
        <v>81.494296390350073</v>
      </c>
      <c r="K16" s="94">
        <v>12</v>
      </c>
      <c r="L16" s="94">
        <f>AO59*L76/100</f>
        <v>1.8052463000000001</v>
      </c>
      <c r="M16" s="94">
        <f>'Italy EV uptake'!K66/1000</f>
        <v>9.0495864888123929</v>
      </c>
      <c r="N16" s="94">
        <f>N15/2+36</f>
        <v>64</v>
      </c>
      <c r="O16" s="94">
        <v>23.75</v>
      </c>
      <c r="P16" s="94">
        <f>AS59*P76/100</f>
        <v>25.890752867891528</v>
      </c>
      <c r="Q16" s="94">
        <f>Q59+AT16</f>
        <v>1.581</v>
      </c>
      <c r="R16" s="84">
        <f>R76/100*AU59</f>
        <v>73.352908504145205</v>
      </c>
      <c r="S16" s="84">
        <f>'Spain EV uptake'!K66/1000</f>
        <v>10.09977177508269</v>
      </c>
      <c r="T16" s="84">
        <f>'Sweden EV uptake'!K66/1000</f>
        <v>36.775444679564693</v>
      </c>
      <c r="U16" s="84">
        <f>'Switzerland EV uptake'!K66/1000</f>
        <v>11.160186430501351</v>
      </c>
      <c r="V16" s="94">
        <f>AY59*V76/100</f>
        <v>57.460939799999998</v>
      </c>
      <c r="W16" s="216">
        <v>350</v>
      </c>
      <c r="X16" s="93">
        <f>X76/100*BA59</f>
        <v>23.445667917748857</v>
      </c>
      <c r="Y16" s="84">
        <f>SUM(B16:X16)</f>
        <v>2011.476990112362</v>
      </c>
      <c r="Z16" s="13">
        <f>Z59+BC16</f>
        <v>1592</v>
      </c>
      <c r="AA16" s="13"/>
      <c r="AB16" s="13"/>
      <c r="AC16" s="13"/>
      <c r="AD16">
        <v>2018</v>
      </c>
      <c r="AE16" s="131">
        <f>'DC,NTC,ClimWrks sales'!V15</f>
        <v>1.4</v>
      </c>
      <c r="AF16" s="84"/>
      <c r="AG16" s="84"/>
      <c r="AH16" s="84"/>
      <c r="AI16" s="3">
        <f>F16-F59</f>
        <v>275</v>
      </c>
      <c r="AJ16" s="84"/>
      <c r="AK16" s="84"/>
      <c r="AL16" s="94"/>
      <c r="AM16" s="94"/>
      <c r="AN16" s="84"/>
      <c r="AO16" s="84"/>
      <c r="AP16" s="84"/>
      <c r="AQ16" s="94">
        <f>N16-N59</f>
        <v>39.04</v>
      </c>
      <c r="AR16" s="94"/>
      <c r="AS16" s="94"/>
      <c r="AT16" s="94">
        <v>0.76500000000000001</v>
      </c>
      <c r="AU16" s="94"/>
      <c r="AV16" s="94"/>
      <c r="AW16" s="94"/>
      <c r="AX16" s="94"/>
      <c r="AY16" s="94"/>
      <c r="AZ16" s="94">
        <f>W16-W59</f>
        <v>105.00000000000003</v>
      </c>
      <c r="BA16" s="84"/>
      <c r="BB16" s="84"/>
      <c r="BC16" s="13">
        <v>597</v>
      </c>
      <c r="BD16" s="1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row>
    <row r="17" spans="1:100" ht="12.75" customHeight="1">
      <c r="A17">
        <v>2019</v>
      </c>
      <c r="B17" s="84"/>
      <c r="C17" s="84"/>
      <c r="D17" s="84"/>
      <c r="E17" s="84"/>
      <c r="F17" s="84"/>
      <c r="G17" s="84"/>
      <c r="H17" s="84"/>
      <c r="I17" s="84"/>
      <c r="J17" s="84"/>
      <c r="K17" s="94"/>
      <c r="L17" s="84"/>
      <c r="M17" s="84"/>
      <c r="N17" s="84"/>
      <c r="P17" s="94"/>
      <c r="Q17" s="84"/>
      <c r="R17" s="84"/>
      <c r="S17" s="84"/>
      <c r="T17" s="84"/>
      <c r="U17" s="84"/>
      <c r="V17" s="84"/>
      <c r="W17" s="84"/>
      <c r="X17" s="84"/>
      <c r="Y17" s="84"/>
      <c r="Z17" s="13"/>
      <c r="AA17" s="13"/>
      <c r="AB17" s="13"/>
      <c r="AC17" s="13"/>
      <c r="AE17" s="13"/>
      <c r="AF17" s="84"/>
      <c r="AG17" s="84"/>
      <c r="AH17" s="84"/>
      <c r="AI17" s="84"/>
      <c r="AJ17" s="84"/>
      <c r="AK17" s="84"/>
      <c r="AL17" s="94"/>
      <c r="AM17" s="94"/>
      <c r="AN17" s="84"/>
      <c r="AO17" s="84"/>
      <c r="AP17" s="84"/>
      <c r="AQ17" s="94"/>
      <c r="AR17" s="94"/>
      <c r="AS17" s="94"/>
      <c r="AT17" s="94"/>
      <c r="AU17" s="94"/>
      <c r="AV17" s="94"/>
      <c r="AW17" s="94"/>
      <c r="AX17" s="94"/>
      <c r="AY17" s="94"/>
      <c r="AZ17" s="94"/>
      <c r="BA17" s="84"/>
      <c r="BB17" s="84"/>
      <c r="BC17" s="13"/>
      <c r="BD17" s="13"/>
      <c r="BE17" s="33"/>
      <c r="BF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row>
    <row r="18" spans="1:100" ht="12.75" customHeight="1">
      <c r="A18">
        <v>2020</v>
      </c>
      <c r="B18" s="84"/>
      <c r="C18" s="84"/>
      <c r="D18" s="84"/>
      <c r="E18" s="84"/>
      <c r="F18" s="84"/>
      <c r="G18" s="84"/>
      <c r="H18" s="84"/>
      <c r="I18" s="84"/>
      <c r="J18" s="84"/>
      <c r="K18" s="94"/>
      <c r="L18" s="84"/>
      <c r="M18" s="84"/>
      <c r="N18" s="84"/>
      <c r="O18" s="84"/>
      <c r="P18" s="94"/>
      <c r="Q18" s="94"/>
      <c r="R18" s="84"/>
      <c r="S18" s="84"/>
      <c r="T18" s="84"/>
      <c r="U18" s="84"/>
      <c r="V18" s="84"/>
      <c r="W18" s="216" t="s">
        <v>1027</v>
      </c>
      <c r="X18" s="84"/>
      <c r="Y18" s="84"/>
      <c r="AE18" s="13"/>
      <c r="AF18" s="84"/>
      <c r="AG18" s="84"/>
      <c r="AH18" s="84"/>
      <c r="AI18" s="84"/>
      <c r="AJ18" s="84"/>
      <c r="AK18" s="84"/>
      <c r="AL18" s="94"/>
      <c r="AM18" s="94"/>
      <c r="AN18" s="84"/>
      <c r="AO18" s="84"/>
      <c r="AP18" s="84"/>
      <c r="AQ18" s="94"/>
      <c r="AR18" s="94"/>
      <c r="AS18" s="94"/>
      <c r="AT18" s="94"/>
      <c r="AU18" s="94"/>
      <c r="AV18" s="94"/>
      <c r="AW18" s="94"/>
      <c r="AX18" s="94"/>
      <c r="AY18" s="94"/>
      <c r="AZ18" s="94"/>
      <c r="BA18" s="84"/>
      <c r="BB18" s="84"/>
      <c r="BC18" s="13"/>
      <c r="BD18" s="13"/>
    </row>
    <row r="19" spans="1:100" ht="12.75" customHeight="1">
      <c r="A19">
        <v>2021</v>
      </c>
      <c r="B19" s="84"/>
      <c r="C19" s="84"/>
      <c r="D19" s="84"/>
      <c r="E19" s="84"/>
      <c r="F19" s="84"/>
      <c r="G19" s="84"/>
      <c r="H19" s="84"/>
      <c r="I19" s="84"/>
      <c r="J19" s="84"/>
      <c r="K19" s="94"/>
      <c r="L19" s="84"/>
      <c r="M19" s="84"/>
      <c r="N19" s="84"/>
      <c r="O19" s="84"/>
      <c r="P19" s="94"/>
      <c r="Q19" s="94"/>
      <c r="R19" s="84"/>
      <c r="S19" s="84"/>
      <c r="T19" s="84"/>
      <c r="U19" s="84"/>
      <c r="V19" s="84"/>
      <c r="W19" s="84"/>
      <c r="X19" s="84"/>
      <c r="Y19" s="84"/>
      <c r="AE19" s="13"/>
      <c r="AF19" s="84"/>
      <c r="AG19" s="84"/>
      <c r="AH19" s="84"/>
      <c r="AI19" s="84"/>
      <c r="AJ19" s="84"/>
      <c r="AK19" s="84"/>
      <c r="AL19" s="94"/>
      <c r="AM19" s="94"/>
      <c r="AN19" s="84"/>
      <c r="AO19" s="84"/>
      <c r="AP19" s="84"/>
      <c r="AQ19" s="94"/>
      <c r="AR19" s="94"/>
      <c r="AS19" s="94"/>
      <c r="AT19" s="94"/>
      <c r="AU19" s="94"/>
      <c r="AV19" s="94"/>
      <c r="AW19" s="94"/>
      <c r="AX19" s="94"/>
      <c r="AY19" s="94"/>
      <c r="AZ19" s="94"/>
      <c r="BA19" s="84"/>
      <c r="BB19" s="84"/>
      <c r="BC19" s="13"/>
      <c r="BD19" s="13"/>
      <c r="BE19" t="s">
        <v>186</v>
      </c>
      <c r="BF19" t="s">
        <v>251</v>
      </c>
      <c r="CV19" t="s">
        <v>186</v>
      </c>
    </row>
    <row r="20" spans="1:100" ht="12.75" customHeight="1">
      <c r="A20">
        <v>2022</v>
      </c>
      <c r="B20" s="84"/>
      <c r="C20" s="84"/>
      <c r="D20" s="84"/>
      <c r="E20" s="84"/>
      <c r="F20" s="84"/>
      <c r="G20" s="84"/>
      <c r="H20" s="84"/>
      <c r="I20" s="84"/>
      <c r="J20" s="84"/>
      <c r="K20" s="94"/>
      <c r="L20" s="84"/>
      <c r="M20" s="84"/>
      <c r="N20" s="84"/>
      <c r="O20" s="84"/>
      <c r="P20" s="94"/>
      <c r="Q20" s="94"/>
      <c r="R20" s="84"/>
      <c r="S20" s="84"/>
      <c r="T20" s="84"/>
      <c r="U20" s="84"/>
      <c r="V20" s="84"/>
      <c r="W20" s="84"/>
      <c r="X20" s="84"/>
      <c r="Y20" s="84"/>
      <c r="AE20" s="13"/>
      <c r="AF20" s="84"/>
      <c r="AG20" s="84"/>
      <c r="AH20" s="84"/>
      <c r="AI20" s="84"/>
      <c r="AJ20" s="84"/>
      <c r="AK20" s="84"/>
      <c r="AL20" s="94"/>
      <c r="AM20" s="94"/>
      <c r="AN20" s="84"/>
      <c r="AO20" s="84"/>
      <c r="AP20" s="84"/>
      <c r="AQ20" s="94"/>
      <c r="AR20" s="94"/>
      <c r="AS20" s="94"/>
      <c r="AT20" s="94"/>
      <c r="AU20" s="94"/>
      <c r="AV20" s="94"/>
      <c r="AW20" s="94"/>
      <c r="AX20" s="94"/>
      <c r="AY20" s="94"/>
      <c r="AZ20" s="94"/>
      <c r="BA20" s="84"/>
      <c r="BB20" s="84"/>
      <c r="BC20" s="13"/>
      <c r="BD20" s="13"/>
      <c r="BF20" s="143" t="s">
        <v>255</v>
      </c>
      <c r="BG20" s="144" t="s">
        <v>539</v>
      </c>
      <c r="BH20" s="144" t="s">
        <v>540</v>
      </c>
      <c r="BI20" s="133" t="s">
        <v>548</v>
      </c>
      <c r="BJ20" s="145" t="s">
        <v>238</v>
      </c>
      <c r="BK20" s="145" t="s">
        <v>239</v>
      </c>
      <c r="BL20" s="133" t="s">
        <v>562</v>
      </c>
      <c r="BM20" s="133" t="s">
        <v>549</v>
      </c>
      <c r="BN20" s="133" t="s">
        <v>550</v>
      </c>
      <c r="BO20" s="144" t="s">
        <v>541</v>
      </c>
      <c r="BP20" s="133" t="s">
        <v>551</v>
      </c>
      <c r="BQ20" s="144" t="s">
        <v>542</v>
      </c>
      <c r="BR20" s="145" t="s">
        <v>240</v>
      </c>
      <c r="BS20" s="145" t="s">
        <v>241</v>
      </c>
      <c r="BT20" s="132" t="s">
        <v>610</v>
      </c>
      <c r="BU20" s="146" t="s">
        <v>543</v>
      </c>
      <c r="BV20" s="133" t="s">
        <v>552</v>
      </c>
      <c r="BW20" s="145" t="s">
        <v>242</v>
      </c>
      <c r="BX20" s="144" t="s">
        <v>544</v>
      </c>
      <c r="BY20" s="90" t="s">
        <v>538</v>
      </c>
      <c r="BZ20" s="145" t="s">
        <v>243</v>
      </c>
      <c r="CA20" s="145" t="s">
        <v>244</v>
      </c>
      <c r="CB20" s="102" t="s">
        <v>553</v>
      </c>
      <c r="CC20" s="102" t="s">
        <v>554</v>
      </c>
      <c r="CD20" s="14" t="s">
        <v>555</v>
      </c>
      <c r="CE20" s="102" t="s">
        <v>556</v>
      </c>
      <c r="CF20" s="90" t="s">
        <v>245</v>
      </c>
      <c r="CG20" s="147" t="s">
        <v>331</v>
      </c>
      <c r="CH20" s="147" t="s">
        <v>246</v>
      </c>
      <c r="CI20" s="102" t="s">
        <v>557</v>
      </c>
      <c r="CJ20" s="14" t="s">
        <v>558</v>
      </c>
      <c r="CK20" s="102" t="s">
        <v>559</v>
      </c>
      <c r="CL20" s="102" t="s">
        <v>560</v>
      </c>
      <c r="CM20" s="102" t="s">
        <v>563</v>
      </c>
      <c r="CN20" s="144" t="s">
        <v>545</v>
      </c>
      <c r="CO20" s="144" t="s">
        <v>247</v>
      </c>
      <c r="CP20" s="144" t="s">
        <v>546</v>
      </c>
      <c r="CQ20" s="78" t="s">
        <v>561</v>
      </c>
      <c r="CR20" s="148" t="s">
        <v>248</v>
      </c>
      <c r="CS20" s="143" t="s">
        <v>607</v>
      </c>
      <c r="CT20" s="7" t="s">
        <v>648</v>
      </c>
      <c r="CU20" s="7" t="s">
        <v>158</v>
      </c>
    </row>
    <row r="21" spans="1:100" ht="12.75" customHeight="1">
      <c r="A21">
        <v>2023</v>
      </c>
      <c r="B21" s="84"/>
      <c r="C21" s="84"/>
      <c r="D21" s="84"/>
      <c r="E21" s="84"/>
      <c r="F21" s="84"/>
      <c r="G21" s="84"/>
      <c r="H21" s="84"/>
      <c r="I21" s="84"/>
      <c r="J21" s="84"/>
      <c r="K21" s="94"/>
      <c r="L21" s="84"/>
      <c r="M21" s="84"/>
      <c r="N21" s="84"/>
      <c r="O21" s="84"/>
      <c r="P21" s="94"/>
      <c r="Q21" s="94"/>
      <c r="R21" s="84"/>
      <c r="S21" s="84"/>
      <c r="T21" s="84"/>
      <c r="U21" s="84"/>
      <c r="V21" s="84"/>
      <c r="W21" s="84"/>
      <c r="X21" s="84"/>
      <c r="Y21" s="84"/>
      <c r="AE21" s="13"/>
      <c r="AF21" s="84"/>
      <c r="AG21" s="84"/>
      <c r="AH21" s="84"/>
      <c r="AI21" s="84"/>
      <c r="AJ21" s="84"/>
      <c r="AK21" s="84"/>
      <c r="AL21" s="94"/>
      <c r="AM21" s="94"/>
      <c r="AN21" s="84"/>
      <c r="AO21" s="84"/>
      <c r="AP21" s="84"/>
      <c r="AQ21" s="94"/>
      <c r="AR21" s="94"/>
      <c r="AS21" s="94"/>
      <c r="AT21" s="94"/>
      <c r="AU21" s="94"/>
      <c r="AV21" s="94"/>
      <c r="AW21" s="94"/>
      <c r="AX21" s="94"/>
      <c r="AY21" s="94"/>
      <c r="AZ21" s="94"/>
      <c r="BA21" s="84"/>
      <c r="BB21" s="84"/>
      <c r="BC21" s="13"/>
      <c r="BD21" s="13"/>
      <c r="BE21">
        <v>2005</v>
      </c>
      <c r="BF21" s="84">
        <f t="shared" ref="BF21:BF33" si="37">B46</f>
        <v>0</v>
      </c>
      <c r="BG21" s="84">
        <f t="shared" ref="BG21:BG33" si="38">C46</f>
        <v>0</v>
      </c>
      <c r="BH21" s="84"/>
      <c r="BI21" s="84"/>
      <c r="BJ21" s="84"/>
      <c r="BK21" s="84">
        <f t="shared" ref="BK21:BK33" si="39">F46</f>
        <v>0</v>
      </c>
      <c r="BL21" s="84"/>
      <c r="BM21" s="84"/>
      <c r="BN21" s="84"/>
      <c r="BO21" s="84">
        <f t="shared" ref="BO21:BO33" si="40">G46</f>
        <v>0</v>
      </c>
      <c r="BP21" s="84"/>
      <c r="BQ21" s="84"/>
      <c r="BR21" s="84">
        <f t="shared" ref="BR21:BR33" si="41">I46</f>
        <v>0.01</v>
      </c>
      <c r="BS21" s="84">
        <f t="shared" ref="BS21:BS33" si="42">J46</f>
        <v>0.02</v>
      </c>
      <c r="BT21" s="84"/>
      <c r="BU21" s="84"/>
      <c r="BV21" s="84"/>
      <c r="BW21" s="84">
        <f>'India data'!Q34</f>
        <v>9.9000000000000005E-2</v>
      </c>
      <c r="BX21" s="84">
        <f t="shared" ref="BX21:BX33" si="43">L46</f>
        <v>0</v>
      </c>
      <c r="BY21" s="84">
        <f t="shared" ref="BY21:BY33" si="44">M46</f>
        <v>0</v>
      </c>
      <c r="BZ21" s="84">
        <f t="shared" ref="BZ21:BZ33" si="45">N46</f>
        <v>0</v>
      </c>
      <c r="CA21" s="84">
        <f t="shared" ref="CA21:CA33" si="46">O46</f>
        <v>0</v>
      </c>
      <c r="CB21" s="84"/>
      <c r="CC21" s="84"/>
      <c r="CD21" s="84"/>
      <c r="CE21" s="84"/>
      <c r="CF21" s="84">
        <f t="shared" ref="CF21:CF33" si="47">P46</f>
        <v>0</v>
      </c>
      <c r="CG21" s="84"/>
      <c r="CH21" s="84">
        <f t="shared" ref="CH21:CH33" si="48">R46</f>
        <v>0</v>
      </c>
      <c r="CI21" s="84"/>
      <c r="CJ21" s="84"/>
      <c r="CK21" s="84"/>
      <c r="CL21" s="84"/>
      <c r="CM21" s="84"/>
      <c r="CN21" s="84">
        <f t="shared" ref="CN21:CN33" si="49">S46</f>
        <v>0</v>
      </c>
      <c r="CO21" s="84">
        <v>0</v>
      </c>
      <c r="CP21" s="84">
        <v>0</v>
      </c>
      <c r="CQ21" s="84"/>
      <c r="CR21" s="84">
        <f t="shared" ref="CR21:CR33" si="50">V46</f>
        <v>0.22</v>
      </c>
      <c r="CS21" s="84">
        <f t="shared" ref="CS21:CS33" si="51">W46</f>
        <v>1.1200000000000001</v>
      </c>
      <c r="CT21" s="84"/>
    </row>
    <row r="22" spans="1:100" ht="12.75" customHeight="1">
      <c r="A22">
        <v>2024</v>
      </c>
      <c r="B22" s="84"/>
      <c r="C22" s="84"/>
      <c r="D22" s="84"/>
      <c r="E22" s="84"/>
      <c r="F22" s="84"/>
      <c r="G22" s="84"/>
      <c r="H22" s="84"/>
      <c r="I22" s="84"/>
      <c r="J22" s="84"/>
      <c r="K22" s="94"/>
      <c r="L22" s="84"/>
      <c r="M22" s="84"/>
      <c r="N22" s="84"/>
      <c r="O22" s="84"/>
      <c r="P22" s="94"/>
      <c r="Q22" s="94"/>
      <c r="R22" s="84"/>
      <c r="S22" s="84"/>
      <c r="T22" s="84"/>
      <c r="U22" s="84"/>
      <c r="V22" s="84"/>
      <c r="W22" s="84"/>
      <c r="X22" s="84"/>
      <c r="Y22" s="84"/>
      <c r="AE22" s="13"/>
      <c r="AF22" s="84"/>
      <c r="AG22" s="84"/>
      <c r="AH22" s="84"/>
      <c r="AI22" s="84"/>
      <c r="AJ22" s="84"/>
      <c r="AK22" s="84"/>
      <c r="AL22" s="94"/>
      <c r="AM22" s="94"/>
      <c r="AN22" s="84"/>
      <c r="AO22" s="84"/>
      <c r="AP22" s="84"/>
      <c r="AQ22" s="94"/>
      <c r="AR22" s="94"/>
      <c r="AS22" s="94"/>
      <c r="AT22" s="94"/>
      <c r="AU22" s="94"/>
      <c r="AV22" s="94"/>
      <c r="AW22" s="94"/>
      <c r="AX22" s="94"/>
      <c r="AY22" s="94"/>
      <c r="AZ22" s="94"/>
      <c r="BA22" s="84"/>
      <c r="BB22" s="84"/>
      <c r="BC22" s="13"/>
      <c r="BD22" s="13"/>
      <c r="BE22">
        <v>2006</v>
      </c>
      <c r="BF22" s="84">
        <f t="shared" si="37"/>
        <v>0</v>
      </c>
      <c r="BG22" s="84">
        <f t="shared" si="38"/>
        <v>0</v>
      </c>
      <c r="BH22" s="84"/>
      <c r="BI22" s="84"/>
      <c r="BJ22" s="84"/>
      <c r="BK22" s="84">
        <f t="shared" si="39"/>
        <v>0</v>
      </c>
      <c r="BL22" s="84"/>
      <c r="BM22" s="84"/>
      <c r="BN22" s="84"/>
      <c r="BO22" s="84">
        <f t="shared" si="40"/>
        <v>0</v>
      </c>
      <c r="BP22" s="84"/>
      <c r="BQ22" s="84"/>
      <c r="BR22" s="84">
        <f t="shared" si="41"/>
        <v>0</v>
      </c>
      <c r="BS22" s="84">
        <f t="shared" si="42"/>
        <v>0.02</v>
      </c>
      <c r="BT22" s="84"/>
      <c r="BU22" s="84"/>
      <c r="BV22" s="84"/>
      <c r="BW22" s="84">
        <f>'India data'!Q35</f>
        <v>0.123</v>
      </c>
      <c r="BX22" s="84">
        <f t="shared" si="43"/>
        <v>0</v>
      </c>
      <c r="BY22" s="84">
        <f t="shared" si="44"/>
        <v>0</v>
      </c>
      <c r="BZ22" s="84">
        <f t="shared" si="45"/>
        <v>0</v>
      </c>
      <c r="CA22" s="84">
        <f t="shared" si="46"/>
        <v>0</v>
      </c>
      <c r="CB22" s="84"/>
      <c r="CC22" s="84"/>
      <c r="CD22" s="84"/>
      <c r="CE22" s="84"/>
      <c r="CF22" s="84">
        <f t="shared" si="47"/>
        <v>0</v>
      </c>
      <c r="CG22" s="84"/>
      <c r="CH22" s="84">
        <f t="shared" si="48"/>
        <v>0</v>
      </c>
      <c r="CI22" s="84"/>
      <c r="CJ22" s="84"/>
      <c r="CK22" s="84"/>
      <c r="CL22" s="84"/>
      <c r="CM22" s="84"/>
      <c r="CN22" s="84">
        <f t="shared" si="49"/>
        <v>0</v>
      </c>
      <c r="CO22" s="84">
        <v>0</v>
      </c>
      <c r="CP22" s="84">
        <v>0</v>
      </c>
      <c r="CQ22" s="84"/>
      <c r="CR22" s="84">
        <f t="shared" si="50"/>
        <v>0.32</v>
      </c>
      <c r="CS22" s="84">
        <f t="shared" si="51"/>
        <v>1.2366666666666668</v>
      </c>
      <c r="CT22" s="84"/>
    </row>
    <row r="23" spans="1:100" ht="12.75" customHeight="1">
      <c r="A23">
        <v>2025</v>
      </c>
      <c r="B23" s="84"/>
      <c r="C23" s="84"/>
      <c r="D23" s="84"/>
      <c r="E23" s="84"/>
      <c r="F23" s="84"/>
      <c r="G23" s="84"/>
      <c r="H23" s="84"/>
      <c r="I23" s="84"/>
      <c r="J23" s="84"/>
      <c r="K23" s="94"/>
      <c r="L23" s="84"/>
      <c r="M23" s="84"/>
      <c r="N23" s="84"/>
      <c r="O23" s="84"/>
      <c r="P23" s="94"/>
      <c r="Q23" s="94"/>
      <c r="R23" s="84"/>
      <c r="S23" s="84"/>
      <c r="T23" s="84"/>
      <c r="U23" s="84"/>
      <c r="V23" s="84"/>
      <c r="W23" s="84"/>
      <c r="X23" s="84"/>
      <c r="Y23" s="84"/>
      <c r="AE23" s="13"/>
      <c r="AF23" s="84"/>
      <c r="AG23" s="84"/>
      <c r="AH23" s="84"/>
      <c r="AI23" s="84"/>
      <c r="AJ23" s="84"/>
      <c r="AK23" s="84"/>
      <c r="AL23" s="94"/>
      <c r="AM23" s="94"/>
      <c r="AN23" s="84"/>
      <c r="AO23" s="84"/>
      <c r="AP23" s="84"/>
      <c r="AQ23" s="94"/>
      <c r="AR23" s="94"/>
      <c r="AS23" s="94"/>
      <c r="AT23" s="94"/>
      <c r="AU23" s="94"/>
      <c r="AV23" s="94"/>
      <c r="AW23" s="94"/>
      <c r="AX23" s="94"/>
      <c r="AY23" s="94"/>
      <c r="AZ23" s="94"/>
      <c r="BA23" s="84"/>
      <c r="BB23" s="84"/>
      <c r="BC23" s="13"/>
      <c r="BD23" s="13"/>
      <c r="BE23">
        <v>2007</v>
      </c>
      <c r="BF23" s="84">
        <f t="shared" si="37"/>
        <v>0</v>
      </c>
      <c r="BG23" s="84">
        <f t="shared" si="38"/>
        <v>0</v>
      </c>
      <c r="BH23" s="84"/>
      <c r="BI23" s="84"/>
      <c r="BJ23" s="84"/>
      <c r="BK23" s="84">
        <f t="shared" si="39"/>
        <v>0</v>
      </c>
      <c r="BL23" s="84"/>
      <c r="BM23" s="84"/>
      <c r="BN23" s="84"/>
      <c r="BO23" s="84">
        <f t="shared" si="40"/>
        <v>0</v>
      </c>
      <c r="BP23" s="84"/>
      <c r="BQ23" s="84"/>
      <c r="BR23" s="84">
        <f t="shared" si="41"/>
        <v>0</v>
      </c>
      <c r="BS23" s="84">
        <f t="shared" si="42"/>
        <v>0.02</v>
      </c>
      <c r="BT23" s="84"/>
      <c r="BU23" s="84"/>
      <c r="BV23" s="84"/>
      <c r="BW23" s="84">
        <f>'India data'!Q36</f>
        <v>0.13500000000000001</v>
      </c>
      <c r="BX23" s="84">
        <f t="shared" si="43"/>
        <v>0</v>
      </c>
      <c r="BY23" s="84">
        <f t="shared" si="44"/>
        <v>0</v>
      </c>
      <c r="BZ23" s="84">
        <f t="shared" si="45"/>
        <v>0</v>
      </c>
      <c r="CA23" s="84">
        <f t="shared" si="46"/>
        <v>0</v>
      </c>
      <c r="CB23" s="84"/>
      <c r="CC23" s="84"/>
      <c r="CD23" s="84"/>
      <c r="CE23" s="84"/>
      <c r="CF23" s="84">
        <f t="shared" si="47"/>
        <v>0</v>
      </c>
      <c r="CG23" s="84"/>
      <c r="CH23" s="84">
        <f t="shared" si="48"/>
        <v>0.01</v>
      </c>
      <c r="CI23" s="84"/>
      <c r="CJ23" s="84"/>
      <c r="CK23" s="84"/>
      <c r="CL23" s="84"/>
      <c r="CM23" s="84"/>
      <c r="CN23" s="84">
        <f t="shared" si="49"/>
        <v>0</v>
      </c>
      <c r="CO23" s="84">
        <v>0</v>
      </c>
      <c r="CP23" s="84">
        <v>0</v>
      </c>
      <c r="CQ23" s="84"/>
      <c r="CR23" s="84">
        <f t="shared" si="50"/>
        <v>0.45</v>
      </c>
      <c r="CS23" s="84">
        <f t="shared" si="51"/>
        <v>1.3533333333333335</v>
      </c>
      <c r="CT23" s="84"/>
    </row>
    <row r="24" spans="1:100" ht="12.75" customHeight="1">
      <c r="A24">
        <v>2026</v>
      </c>
      <c r="B24" s="84"/>
      <c r="C24" s="84"/>
      <c r="D24" s="84"/>
      <c r="E24" s="84"/>
      <c r="F24" s="84"/>
      <c r="G24" s="84"/>
      <c r="H24" s="84"/>
      <c r="I24" s="84"/>
      <c r="J24" s="84"/>
      <c r="K24" s="94"/>
      <c r="L24" s="84"/>
      <c r="M24" s="84"/>
      <c r="N24" s="84"/>
      <c r="O24" s="84"/>
      <c r="P24" s="94"/>
      <c r="Q24" s="94"/>
      <c r="R24" s="84"/>
      <c r="S24" s="84"/>
      <c r="T24" s="84"/>
      <c r="U24" s="84"/>
      <c r="V24" s="84"/>
      <c r="W24" s="84"/>
      <c r="X24" s="84"/>
      <c r="Y24" s="84"/>
      <c r="AE24" s="13"/>
      <c r="AF24" s="84"/>
      <c r="AG24" s="84"/>
      <c r="AH24" s="84"/>
      <c r="AI24" s="84"/>
      <c r="AJ24" s="84"/>
      <c r="AK24" s="84"/>
      <c r="AL24" s="94"/>
      <c r="AM24" s="94"/>
      <c r="AN24" s="84"/>
      <c r="AO24" s="84"/>
      <c r="AP24" s="84"/>
      <c r="AQ24" s="94"/>
      <c r="AR24" s="94"/>
      <c r="AS24" s="94"/>
      <c r="AT24" s="94"/>
      <c r="AU24" s="94"/>
      <c r="AV24" s="94"/>
      <c r="AW24" s="94"/>
      <c r="AX24" s="94"/>
      <c r="AY24" s="94"/>
      <c r="AZ24" s="94"/>
      <c r="BA24" s="84"/>
      <c r="BB24" s="84"/>
      <c r="BC24" s="13"/>
      <c r="BD24" s="13"/>
      <c r="BE24">
        <v>2008</v>
      </c>
      <c r="BF24" s="84">
        <f t="shared" si="37"/>
        <v>0</v>
      </c>
      <c r="BG24" s="84">
        <f t="shared" si="38"/>
        <v>0</v>
      </c>
      <c r="BH24" s="84"/>
      <c r="BI24" s="84"/>
      <c r="BJ24" s="84"/>
      <c r="BK24" s="84">
        <f t="shared" si="39"/>
        <v>0</v>
      </c>
      <c r="BL24" s="84"/>
      <c r="BM24" s="84"/>
      <c r="BN24" s="84"/>
      <c r="BO24" s="84">
        <f t="shared" si="40"/>
        <v>0</v>
      </c>
      <c r="BP24" s="84"/>
      <c r="BQ24" s="84"/>
      <c r="BR24" s="84">
        <f t="shared" si="41"/>
        <v>0</v>
      </c>
      <c r="BS24" s="84">
        <f t="shared" si="42"/>
        <v>7.0000000000000007E-2</v>
      </c>
      <c r="BT24" s="84"/>
      <c r="BU24" s="84"/>
      <c r="BV24" s="84"/>
      <c r="BW24" s="84">
        <f>'India data'!Q37</f>
        <v>0.19500000000000001</v>
      </c>
      <c r="BX24" s="84">
        <f t="shared" si="43"/>
        <v>0</v>
      </c>
      <c r="BY24" s="84">
        <f t="shared" si="44"/>
        <v>0</v>
      </c>
      <c r="BZ24" s="84">
        <f t="shared" si="45"/>
        <v>0</v>
      </c>
      <c r="CA24" s="84">
        <f t="shared" si="46"/>
        <v>0</v>
      </c>
      <c r="CB24" s="84"/>
      <c r="CC24" s="84"/>
      <c r="CD24" s="84"/>
      <c r="CE24" s="84"/>
      <c r="CF24" s="84">
        <f t="shared" si="47"/>
        <v>0.01</v>
      </c>
      <c r="CG24" s="84"/>
      <c r="CH24" s="84">
        <f t="shared" si="48"/>
        <v>0.24</v>
      </c>
      <c r="CI24" s="84"/>
      <c r="CJ24" s="84"/>
      <c r="CK24" s="84"/>
      <c r="CL24" s="84"/>
      <c r="CM24" s="84"/>
      <c r="CN24" s="84">
        <f t="shared" si="49"/>
        <v>0</v>
      </c>
      <c r="CO24" s="84">
        <v>0</v>
      </c>
      <c r="CP24" s="84">
        <v>0</v>
      </c>
      <c r="CQ24" s="84"/>
      <c r="CR24" s="84">
        <f t="shared" si="50"/>
        <v>0.22</v>
      </c>
      <c r="CS24" s="84">
        <f t="shared" si="51"/>
        <v>1.47</v>
      </c>
      <c r="CT24" s="84"/>
    </row>
    <row r="25" spans="1:100" ht="12.75" customHeight="1">
      <c r="A25">
        <v>2027</v>
      </c>
      <c r="B25" s="84"/>
      <c r="C25" s="84"/>
      <c r="D25" s="84"/>
      <c r="E25" s="84"/>
      <c r="F25" s="84"/>
      <c r="G25" s="84"/>
      <c r="H25" s="84"/>
      <c r="I25" s="84"/>
      <c r="J25" s="84"/>
      <c r="K25" s="94"/>
      <c r="L25" s="84"/>
      <c r="M25" s="84"/>
      <c r="N25" s="84"/>
      <c r="O25" s="84"/>
      <c r="P25" s="94"/>
      <c r="Q25" s="94"/>
      <c r="R25" s="84"/>
      <c r="S25" s="84"/>
      <c r="T25" s="84"/>
      <c r="U25" s="84"/>
      <c r="V25" s="84"/>
      <c r="W25" s="84"/>
      <c r="X25" s="84"/>
      <c r="Y25" s="84"/>
      <c r="AE25" s="13"/>
      <c r="AF25" s="84"/>
      <c r="AG25" s="84"/>
      <c r="AH25" s="84"/>
      <c r="AI25" s="84"/>
      <c r="AJ25" s="84"/>
      <c r="AK25" s="84"/>
      <c r="AL25" s="94"/>
      <c r="AM25" s="94"/>
      <c r="AN25" s="84"/>
      <c r="AO25" s="84"/>
      <c r="AP25" s="84"/>
      <c r="AQ25" s="94"/>
      <c r="AR25" s="94"/>
      <c r="AS25" s="94"/>
      <c r="AT25" s="94"/>
      <c r="AU25" s="94"/>
      <c r="AV25" s="94"/>
      <c r="AW25" s="94"/>
      <c r="AX25" s="94"/>
      <c r="AY25" s="94"/>
      <c r="AZ25" s="94"/>
      <c r="BA25" s="84"/>
      <c r="BB25" s="84"/>
      <c r="BC25" s="13"/>
      <c r="BD25" s="13"/>
      <c r="BF25" s="84">
        <f t="shared" si="37"/>
        <v>0</v>
      </c>
      <c r="BG25" s="84">
        <f t="shared" si="38"/>
        <v>0.04</v>
      </c>
      <c r="BH25" s="84"/>
      <c r="BI25" s="84"/>
      <c r="BJ25" s="84"/>
      <c r="BK25" s="84">
        <f t="shared" si="39"/>
        <v>0.48</v>
      </c>
      <c r="BL25" s="84"/>
      <c r="BM25" s="84"/>
      <c r="BN25" s="84"/>
      <c r="BO25" s="84">
        <f t="shared" si="40"/>
        <v>3.1E-2</v>
      </c>
      <c r="BP25" s="84"/>
      <c r="BQ25" s="84"/>
      <c r="BR25" s="84">
        <f t="shared" si="41"/>
        <v>0.1</v>
      </c>
      <c r="BS25" s="84">
        <f t="shared" si="42"/>
        <v>0.02</v>
      </c>
      <c r="BT25" s="84"/>
      <c r="BU25" s="84"/>
      <c r="BV25" s="84"/>
      <c r="BW25" s="84">
        <f>'India data'!Q38</f>
        <v>0.2495</v>
      </c>
      <c r="BX25" s="84">
        <f t="shared" si="43"/>
        <v>0</v>
      </c>
      <c r="BY25" s="84">
        <f t="shared" si="44"/>
        <v>0</v>
      </c>
      <c r="BZ25" s="84">
        <f t="shared" si="45"/>
        <v>0.98599999999999999</v>
      </c>
      <c r="CA25" s="84">
        <f t="shared" si="46"/>
        <v>0</v>
      </c>
      <c r="CB25" s="84"/>
      <c r="CC25" s="84"/>
      <c r="CD25" s="84"/>
      <c r="CE25" s="84"/>
      <c r="CF25" s="84">
        <f t="shared" si="47"/>
        <v>0.03</v>
      </c>
      <c r="CG25" s="84"/>
      <c r="CH25" s="84">
        <f t="shared" si="48"/>
        <v>0.15</v>
      </c>
      <c r="CI25" s="84"/>
      <c r="CJ25" s="84"/>
      <c r="CK25" s="84"/>
      <c r="CL25" s="84"/>
      <c r="CM25" s="84"/>
      <c r="CN25" s="84">
        <f t="shared" si="49"/>
        <v>0</v>
      </c>
      <c r="CO25" s="84">
        <f>'Major Europe'!BJ14/1000</f>
        <v>0</v>
      </c>
      <c r="CP25" s="84">
        <v>0.03</v>
      </c>
      <c r="CQ25" s="84"/>
      <c r="CR25" s="84">
        <f t="shared" si="50"/>
        <v>0.18</v>
      </c>
      <c r="CS25" s="84">
        <f t="shared" si="51"/>
        <v>1.33</v>
      </c>
      <c r="CT25" s="84"/>
    </row>
    <row r="26" spans="1:100" ht="12.75" customHeight="1">
      <c r="A26">
        <v>2028</v>
      </c>
      <c r="B26" s="84"/>
      <c r="C26" s="84"/>
      <c r="D26" s="84"/>
      <c r="E26" s="84"/>
      <c r="F26" s="84"/>
      <c r="G26" s="84"/>
      <c r="H26" s="84"/>
      <c r="I26" s="84"/>
      <c r="J26" s="84"/>
      <c r="K26" s="94"/>
      <c r="L26" s="84"/>
      <c r="M26" s="84"/>
      <c r="N26" s="84"/>
      <c r="O26" s="84"/>
      <c r="P26" s="94"/>
      <c r="Q26" s="94"/>
      <c r="R26" s="84"/>
      <c r="S26" s="84"/>
      <c r="T26" s="84"/>
      <c r="U26" s="84"/>
      <c r="V26" s="84"/>
      <c r="W26" s="84"/>
      <c r="X26" s="84"/>
      <c r="Y26" s="84"/>
      <c r="AE26" s="13"/>
      <c r="AF26" s="84"/>
      <c r="AG26" s="84"/>
      <c r="AH26" s="84"/>
      <c r="AI26" s="84"/>
      <c r="AJ26" s="84"/>
      <c r="AK26" s="84"/>
      <c r="AL26" s="94"/>
      <c r="AM26" s="94"/>
      <c r="AN26" s="84"/>
      <c r="AO26" s="84"/>
      <c r="AP26" s="84"/>
      <c r="AQ26" s="94"/>
      <c r="AR26" s="94"/>
      <c r="AS26" s="94"/>
      <c r="AT26" s="94"/>
      <c r="AU26" s="94"/>
      <c r="AV26" s="94"/>
      <c r="AW26" s="94"/>
      <c r="AX26" s="94"/>
      <c r="AY26" s="94"/>
      <c r="AZ26" s="94"/>
      <c r="BA26" s="84"/>
      <c r="BB26" s="84"/>
      <c r="BC26" s="13"/>
      <c r="BD26" s="13"/>
      <c r="BE26">
        <v>2010</v>
      </c>
      <c r="BF26" s="84">
        <f t="shared" si="37"/>
        <v>3.6999999999999998E-2</v>
      </c>
      <c r="BG26" s="84">
        <f t="shared" si="38"/>
        <v>0.112</v>
      </c>
      <c r="BH26" s="84">
        <f t="shared" ref="BH26:BH33" si="52">D51</f>
        <v>0</v>
      </c>
      <c r="BI26" s="84">
        <f>'Rest Europe'!B15/1000</f>
        <v>0</v>
      </c>
      <c r="BJ26" s="84">
        <f t="shared" ref="BJ26:BJ33" si="53">E51</f>
        <v>0</v>
      </c>
      <c r="BK26" s="84">
        <f t="shared" si="39"/>
        <v>1.0900000000000001</v>
      </c>
      <c r="BL26" s="84">
        <f>'Rest Europe'!G15/1000</f>
        <v>0</v>
      </c>
      <c r="BM26" s="84">
        <f>'Rest Europe'!L15/1000</f>
        <v>0</v>
      </c>
      <c r="BN26" s="84">
        <f>'Rest Europe'!Q15/1000</f>
        <v>4.0000000000000001E-3</v>
      </c>
      <c r="BO26" s="84">
        <f t="shared" si="40"/>
        <v>0</v>
      </c>
      <c r="BP26" s="84">
        <f>'Rest Europe'!V15/1000</f>
        <v>0</v>
      </c>
      <c r="BQ26" s="84">
        <f t="shared" ref="BQ26:BQ33" si="54">H51</f>
        <v>0</v>
      </c>
      <c r="BR26" s="84">
        <f t="shared" si="41"/>
        <v>0.19</v>
      </c>
      <c r="BS26" s="84">
        <f t="shared" si="42"/>
        <v>0.14000000000000001</v>
      </c>
      <c r="BT26" s="84">
        <f>'Rest Europe'!AA15/1000</f>
        <v>0</v>
      </c>
      <c r="BU26" s="84">
        <f>'Major Europe'!AF15/1000</f>
        <v>0</v>
      </c>
      <c r="BV26" s="84">
        <f>'Rest Europe'!AF15/1000</f>
        <v>0</v>
      </c>
      <c r="BW26" s="84">
        <f>'India data'!Q39</f>
        <v>0.28999999999999998</v>
      </c>
      <c r="BX26" s="84">
        <f t="shared" si="43"/>
        <v>1.7999999999999999E-2</v>
      </c>
      <c r="BY26" s="84">
        <f t="shared" si="44"/>
        <v>0.04</v>
      </c>
      <c r="BZ26" s="84">
        <f t="shared" si="45"/>
        <v>2.44</v>
      </c>
      <c r="CA26" s="84">
        <f t="shared" si="46"/>
        <v>0.06</v>
      </c>
      <c r="CB26" s="84">
        <f>'Rest Europe'!AK15/1000</f>
        <v>0</v>
      </c>
      <c r="CC26" s="84">
        <f>'Rest Europe'!AU15/1000</f>
        <v>0</v>
      </c>
      <c r="CD26" s="84">
        <f>'Rest Europe'!AZ15/1000</f>
        <v>0</v>
      </c>
      <c r="CE26" s="84">
        <f>'Rest Europe'!BE15/1000</f>
        <v>0</v>
      </c>
      <c r="CF26" s="84">
        <f t="shared" si="47"/>
        <v>0.12</v>
      </c>
      <c r="CG26" s="84">
        <f t="shared" ref="CG26:CG33" si="55">Q51</f>
        <v>0</v>
      </c>
      <c r="CH26" s="84">
        <f t="shared" si="48"/>
        <v>0.39</v>
      </c>
      <c r="CI26" s="84">
        <f>'Rest Europe'!BJ15/1000</f>
        <v>0</v>
      </c>
      <c r="CJ26" s="84">
        <f>'Rest Europe'!BO15/1000</f>
        <v>0</v>
      </c>
      <c r="CK26" s="84">
        <f>'Rest Europe'!BT15/1000</f>
        <v>0</v>
      </c>
      <c r="CL26" s="84">
        <f>'Rest Europe'!BY15/1000</f>
        <v>0</v>
      </c>
      <c r="CM26" s="84">
        <f>'Rest Europe'!CD15/1000</f>
        <v>0</v>
      </c>
      <c r="CN26" s="84">
        <f t="shared" si="49"/>
        <v>7.2999999999999995E-2</v>
      </c>
      <c r="CO26" s="84">
        <f>'Major Europe'!BJ15/1000</f>
        <v>0.06</v>
      </c>
      <c r="CP26" s="84">
        <f>'Major Europe'!BO15/1000</f>
        <v>0.123</v>
      </c>
      <c r="CQ26" s="84">
        <f>'Rest Europe'!CI15/1000</f>
        <v>0</v>
      </c>
      <c r="CR26" s="84">
        <f t="shared" si="50"/>
        <v>0.26</v>
      </c>
      <c r="CS26" s="84">
        <f t="shared" si="51"/>
        <v>1.19</v>
      </c>
      <c r="CT26" s="84">
        <f>BI26+BL26+BM26+BN26+BP26+BT26+BU26+BV26+CB26+CC26+CD26+CE26+CI26+CJ26+CK26+CL26+CM26+CQ26</f>
        <v>4.0000000000000001E-3</v>
      </c>
      <c r="CU26" s="84">
        <f>SUM(BF26:CS26)</f>
        <v>6.6369999999999987</v>
      </c>
    </row>
    <row r="27" spans="1:100" ht="12.75" customHeight="1">
      <c r="A27">
        <v>2029</v>
      </c>
      <c r="B27" s="84"/>
      <c r="C27" s="84"/>
      <c r="D27" s="84"/>
      <c r="E27" s="84"/>
      <c r="F27" s="84"/>
      <c r="G27" s="84"/>
      <c r="H27" s="84"/>
      <c r="I27" s="84"/>
      <c r="J27" s="84"/>
      <c r="K27" s="94"/>
      <c r="L27" s="84"/>
      <c r="M27" s="84"/>
      <c r="N27" s="84"/>
      <c r="O27" s="84"/>
      <c r="P27" s="94"/>
      <c r="Q27" s="94"/>
      <c r="R27" s="84"/>
      <c r="S27" s="84"/>
      <c r="T27" s="84"/>
      <c r="U27" s="84"/>
      <c r="V27" s="84"/>
      <c r="W27" s="84"/>
      <c r="X27" s="84"/>
      <c r="Y27" s="84"/>
      <c r="AE27" s="13"/>
      <c r="AF27" s="84"/>
      <c r="AG27" s="84"/>
      <c r="AH27" s="84"/>
      <c r="AI27" s="84"/>
      <c r="AJ27" s="84"/>
      <c r="AK27" s="84"/>
      <c r="AL27" s="94"/>
      <c r="AM27" s="94"/>
      <c r="AN27" s="84"/>
      <c r="AO27" s="84"/>
      <c r="AP27" s="84"/>
      <c r="AQ27" s="94"/>
      <c r="AR27" s="94"/>
      <c r="AS27" s="94"/>
      <c r="AT27" s="94"/>
      <c r="AU27" s="94"/>
      <c r="AV27" s="94"/>
      <c r="AW27" s="94"/>
      <c r="AX27" s="94"/>
      <c r="AY27" s="94"/>
      <c r="AZ27" s="94"/>
      <c r="BA27" s="84"/>
      <c r="BB27" s="84"/>
      <c r="BC27" s="13"/>
      <c r="BD27" s="13"/>
      <c r="BE27">
        <v>2011</v>
      </c>
      <c r="BF27" s="84">
        <f t="shared" si="37"/>
        <v>0.14799999999999999</v>
      </c>
      <c r="BG27" s="84">
        <f t="shared" si="38"/>
        <v>0.63100000000000001</v>
      </c>
      <c r="BH27" s="84">
        <f t="shared" si="52"/>
        <v>0.28799999999999998</v>
      </c>
      <c r="BI27" s="84">
        <f>'Rest Europe'!B16/1000</f>
        <v>0</v>
      </c>
      <c r="BJ27" s="84">
        <f t="shared" si="53"/>
        <v>0.22</v>
      </c>
      <c r="BK27" s="84">
        <f t="shared" si="39"/>
        <v>4.75</v>
      </c>
      <c r="BL27" s="84">
        <f>'Rest Europe'!G16/1000</f>
        <v>0</v>
      </c>
      <c r="BM27" s="84">
        <f>'Rest Europe'!L16/1000</f>
        <v>0</v>
      </c>
      <c r="BN27" s="84">
        <f>'Rest Europe'!Q16/1000</f>
        <v>5.6000000000000001E-2</v>
      </c>
      <c r="BO27" s="84">
        <f t="shared" si="40"/>
        <v>0.41499999999999998</v>
      </c>
      <c r="BP27" s="84">
        <f>'Rest Europe'!V16/1000</f>
        <v>5.6000000000000001E-2</v>
      </c>
      <c r="BQ27" s="84">
        <f t="shared" si="54"/>
        <v>2.9000000000000001E-2</v>
      </c>
      <c r="BR27" s="84">
        <f t="shared" si="41"/>
        <v>2.63</v>
      </c>
      <c r="BS27" s="84">
        <f t="shared" si="42"/>
        <v>1.4</v>
      </c>
      <c r="BT27" s="84">
        <f>'Rest Europe'!AA16/1000</f>
        <v>0</v>
      </c>
      <c r="BU27" s="84">
        <f>'Major Europe'!AF16/1000</f>
        <v>8.9999999999999993E-3</v>
      </c>
      <c r="BV27" s="84">
        <f>'Rest Europe'!AF16/1000</f>
        <v>0</v>
      </c>
      <c r="BW27" s="84">
        <f>'India data'!Q40</f>
        <v>0.40949999999999998</v>
      </c>
      <c r="BX27" s="84">
        <f t="shared" si="43"/>
        <v>4.5999999999999999E-2</v>
      </c>
      <c r="BY27" s="84">
        <f t="shared" si="44"/>
        <v>0.11700000000000001</v>
      </c>
      <c r="BZ27" s="84">
        <f t="shared" si="45"/>
        <v>12.61</v>
      </c>
      <c r="CA27" s="84">
        <f t="shared" si="46"/>
        <v>0.27</v>
      </c>
      <c r="CB27" s="84">
        <f>'Rest Europe'!AK16/1000</f>
        <v>0</v>
      </c>
      <c r="CC27" s="84">
        <f>'Rest Europe'!AU16/1000</f>
        <v>0</v>
      </c>
      <c r="CD27" s="84">
        <f>'Rest Europe'!AZ16/1000</f>
        <v>3.1E-2</v>
      </c>
      <c r="CE27" s="84">
        <f>'Rest Europe'!BE16/1000</f>
        <v>0</v>
      </c>
      <c r="CF27" s="84">
        <f t="shared" si="47"/>
        <v>0.86</v>
      </c>
      <c r="CG27" s="84">
        <f t="shared" si="55"/>
        <v>0</v>
      </c>
      <c r="CH27" s="84">
        <f t="shared" si="48"/>
        <v>1.84</v>
      </c>
      <c r="CI27" s="84">
        <f>'Rest Europe'!BJ16/1000</f>
        <v>3.5000000000000003E-2</v>
      </c>
      <c r="CJ27" s="84">
        <f>'Rest Europe'!BO16/1000</f>
        <v>0.20100000000000001</v>
      </c>
      <c r="CK27" s="84">
        <f>'Rest Europe'!BT16/1000</f>
        <v>5.0000000000000001E-3</v>
      </c>
      <c r="CL27" s="84">
        <f>'Rest Europe'!BY16/1000</f>
        <v>2.5000000000000001E-2</v>
      </c>
      <c r="CM27" s="84">
        <f>'Rest Europe'!CD16/1000</f>
        <v>1.2E-2</v>
      </c>
      <c r="CN27" s="84">
        <f t="shared" si="49"/>
        <v>0.56799999999999995</v>
      </c>
      <c r="CO27" s="84">
        <f>'Major Europe'!BJ16/1000</f>
        <v>0.183</v>
      </c>
      <c r="CP27" s="84">
        <f>'Major Europe'!BO16/1000</f>
        <v>0.39800000000000002</v>
      </c>
      <c r="CQ27" s="84">
        <f>'Rest Europe'!CI16/1000</f>
        <v>0</v>
      </c>
      <c r="CR27" s="84">
        <f t="shared" si="50"/>
        <v>1.21</v>
      </c>
      <c r="CS27" s="84">
        <f t="shared" si="51"/>
        <v>9.75</v>
      </c>
      <c r="CT27" s="84">
        <f t="shared" ref="CT27:CT33" si="56">BI27+BL27+BM27+BN27+BP27+BT27+BU27+BV27+CB27+CC27+CD27+CE27+CI27+CJ27+CK27+CL27+CM27+CQ27</f>
        <v>0.43000000000000005</v>
      </c>
      <c r="CU27" s="84">
        <f t="shared" ref="CU27:CU33" si="57">SUM(BF27:CS27)</f>
        <v>39.202500000000001</v>
      </c>
    </row>
    <row r="28" spans="1:100" ht="12.75" customHeight="1">
      <c r="A28">
        <v>2030</v>
      </c>
      <c r="B28" s="84"/>
      <c r="C28" s="84"/>
      <c r="D28" s="84"/>
      <c r="E28" s="84"/>
      <c r="F28" s="84"/>
      <c r="G28" s="84"/>
      <c r="H28" s="84"/>
      <c r="I28" s="84"/>
      <c r="J28" s="84"/>
      <c r="K28" s="94"/>
      <c r="L28" s="84"/>
      <c r="M28" s="84"/>
      <c r="N28" s="84"/>
      <c r="O28" s="84"/>
      <c r="P28" s="94"/>
      <c r="Q28" s="94"/>
      <c r="R28" s="84"/>
      <c r="S28" s="84"/>
      <c r="T28" s="84"/>
      <c r="U28" s="84"/>
      <c r="V28" s="84"/>
      <c r="W28" s="84"/>
      <c r="X28" s="84"/>
      <c r="Y28" s="84"/>
      <c r="AE28" s="13"/>
      <c r="AF28" s="84"/>
      <c r="AG28" s="84"/>
      <c r="AH28" s="84"/>
      <c r="AI28" s="84"/>
      <c r="AJ28" s="84"/>
      <c r="AK28" s="84"/>
      <c r="AL28" s="94"/>
      <c r="AM28" s="94"/>
      <c r="AN28" s="84"/>
      <c r="AO28" s="84"/>
      <c r="AP28" s="84"/>
      <c r="AQ28" s="94"/>
      <c r="AR28" s="94"/>
      <c r="AS28" s="94"/>
      <c r="AT28" s="94"/>
      <c r="AU28" s="94"/>
      <c r="AV28" s="94"/>
      <c r="AW28" s="94"/>
      <c r="AX28" s="94"/>
      <c r="AY28" s="94"/>
      <c r="AZ28" s="94"/>
      <c r="BA28" s="84"/>
      <c r="BB28" s="84"/>
      <c r="BC28" s="13"/>
      <c r="BD28" s="13"/>
      <c r="BE28">
        <v>2012</v>
      </c>
      <c r="BF28" s="84">
        <f t="shared" si="37"/>
        <v>0.13</v>
      </c>
      <c r="BG28" s="84">
        <f t="shared" si="38"/>
        <v>0.42699999999999999</v>
      </c>
      <c r="BH28" s="84">
        <f t="shared" si="52"/>
        <v>0.58499999999999996</v>
      </c>
      <c r="BI28" s="84">
        <f>'Rest Europe'!B17/1000</f>
        <v>0</v>
      </c>
      <c r="BJ28" s="84">
        <f t="shared" si="53"/>
        <v>0.62</v>
      </c>
      <c r="BK28" s="84">
        <f t="shared" si="39"/>
        <v>9.64</v>
      </c>
      <c r="BL28" s="84">
        <f>'Rest Europe'!G17/1000</f>
        <v>0</v>
      </c>
      <c r="BM28" s="84">
        <f>'Rest Europe'!L17/1000</f>
        <v>0</v>
      </c>
      <c r="BN28" s="84">
        <f>'Rest Europe'!Q17/1000</f>
        <v>9.1999999999999998E-2</v>
      </c>
      <c r="BO28" s="84">
        <f t="shared" si="40"/>
        <v>0.47099999999999997</v>
      </c>
      <c r="BP28" s="84">
        <f>'Rest Europe'!V17/1000</f>
        <v>0.50600000000000001</v>
      </c>
      <c r="BQ28" s="84">
        <f t="shared" si="54"/>
        <v>5.0999999999999997E-2</v>
      </c>
      <c r="BR28" s="84">
        <f t="shared" si="41"/>
        <v>5.66</v>
      </c>
      <c r="BS28" s="84">
        <f t="shared" si="42"/>
        <v>2.21</v>
      </c>
      <c r="BT28" s="84">
        <f>'Rest Europe'!AA17/1000</f>
        <v>1E-3</v>
      </c>
      <c r="BU28" s="84">
        <f>'Major Europe'!AF17/1000</f>
        <v>8.0000000000000002E-3</v>
      </c>
      <c r="BV28" s="84">
        <f>'Rest Europe'!AF17/1000</f>
        <v>1.7000000000000001E-2</v>
      </c>
      <c r="BW28" s="84">
        <f>'India data'!Q41</f>
        <v>0.3</v>
      </c>
      <c r="BX28" s="84">
        <f t="shared" si="43"/>
        <v>0.13900000000000001</v>
      </c>
      <c r="BY28" s="84">
        <f t="shared" si="44"/>
        <v>0.50700000000000001</v>
      </c>
      <c r="BZ28" s="84">
        <f t="shared" si="45"/>
        <v>13.47</v>
      </c>
      <c r="CA28" s="84">
        <f t="shared" si="46"/>
        <v>0.51</v>
      </c>
      <c r="CB28" s="84">
        <f>'Rest Europe'!AK17/1000</f>
        <v>6.0000000000000001E-3</v>
      </c>
      <c r="CC28" s="84">
        <f>'Rest Europe'!AU17/1000</f>
        <v>0</v>
      </c>
      <c r="CD28" s="84">
        <f>'Rest Europe'!AZ17/1000</f>
        <v>6.0999999999999999E-2</v>
      </c>
      <c r="CE28" s="84">
        <f>'Rest Europe'!BE17/1000</f>
        <v>1E-3</v>
      </c>
      <c r="CF28" s="84">
        <f t="shared" si="47"/>
        <v>0.79</v>
      </c>
      <c r="CG28" s="84">
        <f t="shared" si="55"/>
        <v>0</v>
      </c>
      <c r="CH28" s="84">
        <f t="shared" si="48"/>
        <v>4.18</v>
      </c>
      <c r="CI28" s="84">
        <f>'Rest Europe'!BJ17/1000</f>
        <v>1.9E-2</v>
      </c>
      <c r="CJ28" s="84">
        <f>'Rest Europe'!BO17/1000</f>
        <v>6.4000000000000001E-2</v>
      </c>
      <c r="CK28" s="84">
        <f>'Rest Europe'!BT17/1000</f>
        <v>0</v>
      </c>
      <c r="CL28" s="84">
        <f>'Rest Europe'!BY17/1000</f>
        <v>3.0000000000000001E-3</v>
      </c>
      <c r="CM28" s="84">
        <f>'Rest Europe'!CD17/1000</f>
        <v>1.7000000000000001E-2</v>
      </c>
      <c r="CN28" s="84">
        <f t="shared" si="49"/>
        <v>0.443</v>
      </c>
      <c r="CO28" s="84">
        <f>'Major Europe'!BJ17/1000</f>
        <v>0.3</v>
      </c>
      <c r="CP28" s="84">
        <f>'Major Europe'!BO17/1000</f>
        <v>0.46300000000000002</v>
      </c>
      <c r="CQ28" s="84">
        <f>'Rest Europe'!CI17/1000</f>
        <v>9.1999999999999998E-2</v>
      </c>
      <c r="CR28" s="84">
        <f t="shared" si="50"/>
        <v>1.71</v>
      </c>
      <c r="CS28" s="84">
        <f t="shared" si="51"/>
        <v>14.65</v>
      </c>
      <c r="CT28" s="84">
        <f t="shared" si="56"/>
        <v>0.88700000000000012</v>
      </c>
      <c r="CU28" s="84">
        <f t="shared" si="57"/>
        <v>58.142999999999994</v>
      </c>
    </row>
    <row r="29" spans="1:100" ht="12.75" customHeight="1">
      <c r="B29" s="84"/>
      <c r="C29" s="84"/>
      <c r="D29" s="84"/>
      <c r="E29" s="84"/>
      <c r="F29" s="84"/>
      <c r="G29" s="84"/>
      <c r="H29" s="84"/>
      <c r="I29" s="84"/>
      <c r="J29" s="84"/>
      <c r="K29" s="94"/>
      <c r="L29" s="84"/>
      <c r="M29" s="84"/>
      <c r="N29" s="84"/>
      <c r="O29" s="84"/>
      <c r="P29" s="94"/>
      <c r="Q29" s="94"/>
      <c r="R29" s="84"/>
      <c r="S29" s="84"/>
      <c r="T29" s="84"/>
      <c r="U29" s="84"/>
      <c r="V29" s="84"/>
      <c r="W29" s="84"/>
      <c r="X29" s="84"/>
      <c r="Y29" s="84"/>
      <c r="AE29" s="13"/>
      <c r="AF29" s="84"/>
      <c r="AG29" s="84"/>
      <c r="AH29" s="84"/>
      <c r="AI29" s="84"/>
      <c r="AJ29" s="84"/>
      <c r="AK29" s="84"/>
      <c r="AL29" s="94"/>
      <c r="AM29" s="94"/>
      <c r="AN29" s="84"/>
      <c r="AO29" s="84"/>
      <c r="AP29" s="84"/>
      <c r="AQ29" s="94"/>
      <c r="AR29" s="94"/>
      <c r="AS29" s="94"/>
      <c r="AT29" s="94"/>
      <c r="AU29" s="94"/>
      <c r="AV29" s="94"/>
      <c r="AW29" s="94"/>
      <c r="AX29" s="94"/>
      <c r="AY29" s="94"/>
      <c r="AZ29" s="94"/>
      <c r="BA29" s="84"/>
      <c r="BB29" s="84"/>
      <c r="BC29" s="13"/>
      <c r="BD29" s="13"/>
      <c r="BE29">
        <v>2013</v>
      </c>
      <c r="BF29" s="84">
        <f t="shared" si="37"/>
        <v>0.20699999999999999</v>
      </c>
      <c r="BG29" s="84">
        <f t="shared" si="38"/>
        <v>0.65400000000000003</v>
      </c>
      <c r="BH29" s="84">
        <f t="shared" si="52"/>
        <v>0.49399999999999999</v>
      </c>
      <c r="BI29" s="84">
        <f>'Rest Europe'!B18/1000</f>
        <v>0</v>
      </c>
      <c r="BJ29" s="84">
        <f t="shared" si="53"/>
        <v>1.64</v>
      </c>
      <c r="BK29" s="84">
        <f t="shared" si="39"/>
        <v>14.61</v>
      </c>
      <c r="BL29" s="84">
        <f>'Rest Europe'!G18/1000</f>
        <v>0</v>
      </c>
      <c r="BM29" s="84">
        <f>'Rest Europe'!L18/1000</f>
        <v>0</v>
      </c>
      <c r="BN29" s="84">
        <f>'Rest Europe'!Q18/1000</f>
        <v>3.9E-2</v>
      </c>
      <c r="BO29" s="84">
        <f t="shared" si="40"/>
        <v>0.497</v>
      </c>
      <c r="BP29" s="84">
        <f>'Rest Europe'!V18/1000</f>
        <v>0.14599999999999999</v>
      </c>
      <c r="BQ29" s="84">
        <f t="shared" si="54"/>
        <v>0.05</v>
      </c>
      <c r="BR29" s="84">
        <f t="shared" si="41"/>
        <v>8.7799999999999994</v>
      </c>
      <c r="BS29" s="84">
        <f t="shared" si="42"/>
        <v>5.31</v>
      </c>
      <c r="BT29" s="84">
        <f>'Rest Europe'!AA18/1000</f>
        <v>2E-3</v>
      </c>
      <c r="BU29" s="84">
        <f>'Major Europe'!AF18/1000</f>
        <v>1.0999999999999999E-2</v>
      </c>
      <c r="BV29" s="84">
        <f>'Rest Europe'!AF18/1000</f>
        <v>0.08</v>
      </c>
      <c r="BW29" s="84">
        <f>'India data'!Q42</f>
        <v>0.41</v>
      </c>
      <c r="BX29" s="84">
        <f t="shared" si="43"/>
        <v>4.7E-2</v>
      </c>
      <c r="BY29" s="84">
        <f t="shared" si="44"/>
        <v>0.83599999999999997</v>
      </c>
      <c r="BZ29" s="84">
        <f t="shared" si="45"/>
        <v>14.76</v>
      </c>
      <c r="CA29" s="84">
        <f t="shared" si="46"/>
        <v>0.6</v>
      </c>
      <c r="CB29" s="84">
        <f>'Rest Europe'!AK18/1000</f>
        <v>3.0000000000000001E-3</v>
      </c>
      <c r="CC29" s="84">
        <f>'Rest Europe'!AU18/1000</f>
        <v>2E-3</v>
      </c>
      <c r="CD29" s="84">
        <f>'Rest Europe'!AZ18/1000</f>
        <v>0.14299999999999999</v>
      </c>
      <c r="CE29" s="84">
        <f>'Rest Europe'!BE18/1000</f>
        <v>7.0000000000000001E-3</v>
      </c>
      <c r="CF29" s="84">
        <f t="shared" si="47"/>
        <v>2.25</v>
      </c>
      <c r="CG29" s="84">
        <f t="shared" si="55"/>
        <v>0.01</v>
      </c>
      <c r="CH29" s="84">
        <f t="shared" si="48"/>
        <v>8.1999999999999993</v>
      </c>
      <c r="CI29" s="84">
        <f>'Rest Europe'!BJ18/1000</f>
        <v>2.7E-2</v>
      </c>
      <c r="CJ29" s="84">
        <f>'Rest Europe'!BO18/1000</f>
        <v>0.16600000000000001</v>
      </c>
      <c r="CK29" s="84">
        <f>'Rest Europe'!BT18/1000</f>
        <v>3.6999999999999998E-2</v>
      </c>
      <c r="CL29" s="84">
        <f>'Rest Europe'!BY18/1000</f>
        <v>1.6E-2</v>
      </c>
      <c r="CM29" s="84">
        <f>'Rest Europe'!CD18/1000</f>
        <v>5.0000000000000001E-3</v>
      </c>
      <c r="CN29" s="84">
        <f t="shared" si="49"/>
        <v>0.92100000000000004</v>
      </c>
      <c r="CO29" s="84">
        <f>'Major Europe'!BJ18/1000</f>
        <v>0.44400000000000001</v>
      </c>
      <c r="CP29" s="84">
        <f>'Major Europe'!BO18/1000</f>
        <v>1.127</v>
      </c>
      <c r="CQ29" s="84">
        <f>'Rest Europe'!CI18/1000</f>
        <v>0</v>
      </c>
      <c r="CR29" s="84">
        <f t="shared" si="50"/>
        <v>2.68</v>
      </c>
      <c r="CS29" s="84">
        <f t="shared" si="51"/>
        <v>47.69</v>
      </c>
      <c r="CT29" s="84">
        <f t="shared" si="56"/>
        <v>0.68400000000000016</v>
      </c>
      <c r="CU29" s="84">
        <f t="shared" si="57"/>
        <v>112.901</v>
      </c>
    </row>
    <row r="30" spans="1:100" ht="12.75" customHeight="1">
      <c r="B30" s="84"/>
      <c r="C30" s="84"/>
      <c r="D30" s="84"/>
      <c r="E30" s="84"/>
      <c r="F30" s="84"/>
      <c r="G30" s="84"/>
      <c r="H30" s="84"/>
      <c r="I30" s="84"/>
      <c r="J30" s="84"/>
      <c r="K30" s="94"/>
      <c r="L30" s="84"/>
      <c r="M30" s="84"/>
      <c r="N30" s="84"/>
      <c r="O30" s="84"/>
      <c r="P30" s="94"/>
      <c r="Q30" s="94"/>
      <c r="R30" s="84"/>
      <c r="S30" s="84"/>
      <c r="T30" s="84"/>
      <c r="U30" s="84"/>
      <c r="V30" s="84"/>
      <c r="W30" s="84"/>
      <c r="X30" s="84"/>
      <c r="Y30" s="84"/>
      <c r="AE30" s="13"/>
      <c r="AF30" s="84"/>
      <c r="AG30" s="84"/>
      <c r="AH30" s="84"/>
      <c r="AI30" s="84"/>
      <c r="AJ30" s="84"/>
      <c r="AK30" s="84"/>
      <c r="AL30" s="94"/>
      <c r="AM30" s="94"/>
      <c r="AN30" s="84"/>
      <c r="AO30" s="84"/>
      <c r="AP30" s="84"/>
      <c r="AQ30" s="94"/>
      <c r="AR30" s="94"/>
      <c r="AS30" s="94"/>
      <c r="AT30" s="94"/>
      <c r="AU30" s="94"/>
      <c r="AV30" s="94"/>
      <c r="AW30" s="94"/>
      <c r="AX30" s="94"/>
      <c r="AY30" s="94"/>
      <c r="AZ30" s="94"/>
      <c r="BA30" s="84"/>
      <c r="BB30" s="84"/>
      <c r="BC30" s="13"/>
      <c r="BD30" s="13"/>
      <c r="BE30">
        <v>2014</v>
      </c>
      <c r="BF30" s="137">
        <f t="shared" si="37"/>
        <v>0.18</v>
      </c>
      <c r="BG30" s="84">
        <f t="shared" si="38"/>
        <v>1.2709999999999999</v>
      </c>
      <c r="BH30" s="84">
        <f t="shared" si="52"/>
        <v>1.169</v>
      </c>
      <c r="BI30" s="84">
        <f>'Rest Europe'!B19/1000</f>
        <v>2E-3</v>
      </c>
      <c r="BJ30" s="84">
        <f t="shared" si="53"/>
        <v>2.83</v>
      </c>
      <c r="BK30" s="84">
        <f t="shared" si="39"/>
        <v>48.91</v>
      </c>
      <c r="BL30" s="84">
        <f>'Rest Europe'!G19/1000</f>
        <v>3.9E-2</v>
      </c>
      <c r="BM30" s="84">
        <f>'Rest Europe'!L19/1000</f>
        <v>0</v>
      </c>
      <c r="BN30" s="84">
        <f>'Rest Europe'!Q19/1000</f>
        <v>0.187</v>
      </c>
      <c r="BO30" s="84">
        <f t="shared" si="40"/>
        <v>1.5329999999999999</v>
      </c>
      <c r="BP30" s="84">
        <f>'Rest Europe'!V19/1000</f>
        <v>0.33400000000000002</v>
      </c>
      <c r="BQ30" s="84">
        <f t="shared" si="54"/>
        <v>0.185</v>
      </c>
      <c r="BR30" s="84">
        <f t="shared" si="41"/>
        <v>10.57</v>
      </c>
      <c r="BS30" s="84">
        <f t="shared" si="42"/>
        <v>8.35</v>
      </c>
      <c r="BT30" s="84">
        <f>'Rest Europe'!AA19/1000</f>
        <v>4.2000000000000003E-2</v>
      </c>
      <c r="BU30" s="84">
        <f>'Major Europe'!AF19/1000</f>
        <v>2.8000000000000001E-2</v>
      </c>
      <c r="BV30" s="84">
        <f>'Rest Europe'!AF19/1000</f>
        <v>0.20599999999999999</v>
      </c>
      <c r="BW30" s="84">
        <f>'India data'!Q43</f>
        <v>0.65</v>
      </c>
      <c r="BX30" s="84">
        <f t="shared" si="43"/>
        <v>0.222</v>
      </c>
      <c r="BY30" s="84">
        <f t="shared" si="44"/>
        <v>1.075</v>
      </c>
      <c r="BZ30" s="84">
        <f t="shared" si="45"/>
        <v>16.11</v>
      </c>
      <c r="CA30" s="84">
        <f t="shared" si="46"/>
        <v>1.31</v>
      </c>
      <c r="CB30" s="84">
        <f>'Rest Europe'!AK19/1000</f>
        <v>0.17199999999999999</v>
      </c>
      <c r="CC30" s="84">
        <f>'Rest Europe'!AU19/1000</f>
        <v>4.0000000000000001E-3</v>
      </c>
      <c r="CD30" s="84">
        <f>'Rest Europe'!AZ19/1000</f>
        <v>0.30099999999999999</v>
      </c>
      <c r="CE30" s="84">
        <f>'Rest Europe'!BE19/1000</f>
        <v>2.8000000000000001E-2</v>
      </c>
      <c r="CF30" s="84">
        <f t="shared" si="47"/>
        <v>2.66</v>
      </c>
      <c r="CG30" s="84">
        <f t="shared" si="55"/>
        <v>0.04</v>
      </c>
      <c r="CH30" s="84">
        <f t="shared" si="48"/>
        <v>18.09</v>
      </c>
      <c r="CI30" s="84">
        <f>'Rest Europe'!BJ19/1000</f>
        <v>6.8000000000000005E-2</v>
      </c>
      <c r="CJ30" s="84">
        <f>'Rest Europe'!BO19/1000</f>
        <v>0.19600000000000001</v>
      </c>
      <c r="CK30" s="84">
        <f>'Rest Europe'!BT19/1000</f>
        <v>1.7000000000000001E-2</v>
      </c>
      <c r="CL30" s="84">
        <f>'Rest Europe'!BY19/1000</f>
        <v>6.9000000000000006E-2</v>
      </c>
      <c r="CM30" s="84">
        <f>'Rest Europe'!CD19/1000</f>
        <v>3.9E-2</v>
      </c>
      <c r="CN30" s="84">
        <f t="shared" si="49"/>
        <v>1.0349999999999999</v>
      </c>
      <c r="CO30" s="84">
        <f>'Major Europe'!BJ19/1000</f>
        <v>1.2030000000000001</v>
      </c>
      <c r="CP30" s="84">
        <f>'Major Europe'!BO19/1000</f>
        <v>1.292</v>
      </c>
      <c r="CQ30" s="84">
        <f>'Rest Europe'!CI19/1000</f>
        <v>2.5000000000000001E-2</v>
      </c>
      <c r="CR30" s="84">
        <f t="shared" si="50"/>
        <v>6.81</v>
      </c>
      <c r="CS30" s="84">
        <f t="shared" si="51"/>
        <v>63.42</v>
      </c>
      <c r="CT30" s="84">
        <f t="shared" si="56"/>
        <v>1.7569999999999997</v>
      </c>
      <c r="CU30" s="84">
        <f t="shared" si="57"/>
        <v>190.67200000000003</v>
      </c>
    </row>
    <row r="31" spans="1:100" ht="12.75" customHeight="1">
      <c r="B31" s="84"/>
      <c r="C31" s="84"/>
      <c r="D31" s="84"/>
      <c r="E31" s="84"/>
      <c r="F31" s="84"/>
      <c r="G31" s="84"/>
      <c r="H31" s="84"/>
      <c r="I31" s="84"/>
      <c r="J31" s="84"/>
      <c r="K31" s="94"/>
      <c r="L31" s="84"/>
      <c r="M31" s="84"/>
      <c r="N31" s="84"/>
      <c r="O31" s="84"/>
      <c r="P31" s="94"/>
      <c r="Q31" s="94"/>
      <c r="R31" s="84"/>
      <c r="S31" s="84"/>
      <c r="T31" s="84"/>
      <c r="U31" s="84"/>
      <c r="V31" s="84"/>
      <c r="W31" s="84"/>
      <c r="X31" s="84"/>
      <c r="Y31" s="84"/>
      <c r="AE31" s="13"/>
      <c r="AF31" s="84"/>
      <c r="AG31" s="84"/>
      <c r="AH31" s="84"/>
      <c r="AI31" s="84"/>
      <c r="AJ31" s="84"/>
      <c r="AK31" s="84"/>
      <c r="AL31" s="94"/>
      <c r="AM31" s="94"/>
      <c r="AN31" s="84"/>
      <c r="AO31" s="84"/>
      <c r="AP31" s="84"/>
      <c r="AQ31" s="94"/>
      <c r="AR31" s="94"/>
      <c r="AS31" s="94"/>
      <c r="AT31" s="94"/>
      <c r="AU31" s="94"/>
      <c r="AV31" s="94"/>
      <c r="AW31" s="94"/>
      <c r="AX31" s="94"/>
      <c r="AY31" s="94"/>
      <c r="AZ31" s="94"/>
      <c r="BA31" s="84"/>
      <c r="BB31" s="84"/>
      <c r="BC31" s="13"/>
      <c r="BD31" s="13"/>
      <c r="BE31">
        <v>2015</v>
      </c>
      <c r="BF31" s="84">
        <f t="shared" si="37"/>
        <v>0.55900000000000005</v>
      </c>
      <c r="BG31" s="84">
        <f t="shared" si="38"/>
        <v>1.677</v>
      </c>
      <c r="BH31" s="84">
        <f t="shared" si="52"/>
        <v>1.3580000000000001</v>
      </c>
      <c r="BI31" s="84">
        <f>'Rest Europe'!B20/1000</f>
        <v>0.01</v>
      </c>
      <c r="BJ31" s="84">
        <f t="shared" si="53"/>
        <v>4.38</v>
      </c>
      <c r="BK31" s="84">
        <f t="shared" si="39"/>
        <v>146.72</v>
      </c>
      <c r="BL31" s="84">
        <f>'Rest Europe'!G20/1000</f>
        <v>0.08</v>
      </c>
      <c r="BM31" s="84">
        <f>'Rest Europe'!L20/1000</f>
        <v>4.0000000000000001E-3</v>
      </c>
      <c r="BN31" s="84">
        <f>'Rest Europe'!Q20/1000</f>
        <v>0.33100000000000002</v>
      </c>
      <c r="BO31" s="84">
        <f t="shared" si="40"/>
        <v>4.524</v>
      </c>
      <c r="BP31" s="84">
        <f>'Rest Europe'!V20/1000</f>
        <v>3.9E-2</v>
      </c>
      <c r="BQ31" s="84">
        <f t="shared" si="54"/>
        <v>0.24199999999999999</v>
      </c>
      <c r="BR31" s="84">
        <f t="shared" si="41"/>
        <v>17.27</v>
      </c>
      <c r="BS31" s="84">
        <f t="shared" si="42"/>
        <v>12.08</v>
      </c>
      <c r="BT31" s="84">
        <f>'Rest Europe'!AA20/1000</f>
        <v>3.9E-2</v>
      </c>
      <c r="BU31" s="84">
        <f>'Major Europe'!AF20/1000</f>
        <v>0.16600000000000001</v>
      </c>
      <c r="BV31" s="84">
        <f>'Rest Europe'!AF20/1000</f>
        <v>0.38900000000000001</v>
      </c>
      <c r="BW31" s="84">
        <f>'India data'!Q44</f>
        <v>0.82499999999999996</v>
      </c>
      <c r="BX31" s="84">
        <f t="shared" si="43"/>
        <v>0.46</v>
      </c>
      <c r="BY31" s="84">
        <f t="shared" si="44"/>
        <v>1.4510000000000001</v>
      </c>
      <c r="BZ31" s="84">
        <f t="shared" si="45"/>
        <v>10.47</v>
      </c>
      <c r="CA31" s="84">
        <f t="shared" si="46"/>
        <v>2.92</v>
      </c>
      <c r="CB31" s="84">
        <f>'Rest Europe'!AK20/1000</f>
        <v>0.02</v>
      </c>
      <c r="CC31" s="84">
        <f>'Rest Europe'!AU20/1000</f>
        <v>2.5000000000000001E-2</v>
      </c>
      <c r="CD31" s="84">
        <f>'Rest Europe'!AZ20/1000</f>
        <v>7.0999999999999994E-2</v>
      </c>
      <c r="CE31" s="84">
        <f>'Rest Europe'!BE20/1000</f>
        <v>3.4000000000000002E-2</v>
      </c>
      <c r="CF31" s="84">
        <f t="shared" si="47"/>
        <v>2.54</v>
      </c>
      <c r="CG31" s="84">
        <f t="shared" si="55"/>
        <v>6.8000000000000005E-2</v>
      </c>
      <c r="CH31" s="84">
        <f t="shared" si="48"/>
        <v>27.79</v>
      </c>
      <c r="CI31" s="84">
        <f>'Rest Europe'!BJ20/1000</f>
        <v>8.5999999999999993E-2</v>
      </c>
      <c r="CJ31" s="84">
        <f>'Rest Europe'!BO20/1000</f>
        <v>0.63900000000000001</v>
      </c>
      <c r="CK31" s="84">
        <f>'Rest Europe'!BT20/1000</f>
        <v>2.8000000000000001E-2</v>
      </c>
      <c r="CL31" s="84">
        <f>'Rest Europe'!BY20/1000</f>
        <v>0.123</v>
      </c>
      <c r="CM31" s="84">
        <f>'Rest Europe'!CD20/1000</f>
        <v>0.122</v>
      </c>
      <c r="CN31" s="84">
        <f t="shared" si="49"/>
        <v>1.4219999999999999</v>
      </c>
      <c r="CO31" s="84">
        <f>'Major Europe'!BJ20/1000</f>
        <v>2.9780000000000002</v>
      </c>
      <c r="CP31" s="84">
        <f>'Major Europe'!BO20/1000</f>
        <v>3.0649999999999999</v>
      </c>
      <c r="CQ31" s="84">
        <f>'Rest Europe'!CI20/1000</f>
        <v>0.11899999999999999</v>
      </c>
      <c r="CR31" s="84">
        <f t="shared" si="50"/>
        <v>10.1</v>
      </c>
      <c r="CS31" s="84">
        <f t="shared" si="51"/>
        <v>71.040000000000006</v>
      </c>
      <c r="CT31" s="84">
        <f t="shared" si="56"/>
        <v>2.3250000000000002</v>
      </c>
      <c r="CU31" s="84">
        <f t="shared" si="57"/>
        <v>326.26400000000001</v>
      </c>
    </row>
    <row r="32" spans="1:100" ht="12.75" customHeight="1">
      <c r="B32" s="84"/>
      <c r="C32" s="84"/>
      <c r="D32" s="84"/>
      <c r="E32" s="84"/>
      <c r="F32" s="84"/>
      <c r="G32" s="84"/>
      <c r="H32" s="84"/>
      <c r="I32" s="84"/>
      <c r="J32" s="84"/>
      <c r="K32" s="94"/>
      <c r="L32" s="84"/>
      <c r="M32" s="84"/>
      <c r="N32" s="84"/>
      <c r="O32" s="84"/>
      <c r="P32" s="94"/>
      <c r="Q32" s="94"/>
      <c r="R32" s="84"/>
      <c r="S32" s="84"/>
      <c r="T32" s="84"/>
      <c r="U32" s="84"/>
      <c r="V32" s="84"/>
      <c r="W32" s="84"/>
      <c r="X32" s="84"/>
      <c r="Y32" s="84"/>
      <c r="AE32" s="13"/>
      <c r="AF32" s="84"/>
      <c r="AG32" s="84"/>
      <c r="AH32" s="84"/>
      <c r="AI32" s="84"/>
      <c r="AJ32" s="84"/>
      <c r="AK32" s="84"/>
      <c r="AL32" s="94"/>
      <c r="AM32" s="94"/>
      <c r="AN32" s="84"/>
      <c r="AO32" s="84"/>
      <c r="AP32" s="84"/>
      <c r="AQ32" s="94"/>
      <c r="AR32" s="94"/>
      <c r="AS32" s="94"/>
      <c r="AT32" s="94"/>
      <c r="AU32" s="94"/>
      <c r="AV32" s="94"/>
      <c r="AW32" s="94"/>
      <c r="AX32" s="94"/>
      <c r="AY32" s="94"/>
      <c r="AZ32" s="94"/>
      <c r="BA32" s="84"/>
      <c r="BB32" s="84"/>
      <c r="BC32" s="13"/>
      <c r="BD32" s="13"/>
      <c r="BE32">
        <v>2016</v>
      </c>
      <c r="BF32" s="84">
        <f t="shared" si="37"/>
        <v>0.9</v>
      </c>
      <c r="BG32" s="84">
        <f t="shared" si="38"/>
        <v>3.8260000000000001</v>
      </c>
      <c r="BH32" s="84">
        <f t="shared" si="52"/>
        <v>2.0539999999999998</v>
      </c>
      <c r="BI32" s="84">
        <f>'Rest Europe'!B21/1000</f>
        <v>1.0999999999999999E-2</v>
      </c>
      <c r="BJ32" s="84">
        <f t="shared" si="53"/>
        <v>5.22</v>
      </c>
      <c r="BK32" s="84">
        <f t="shared" si="39"/>
        <v>257</v>
      </c>
      <c r="BL32" s="84">
        <f>'Rest Europe'!G21/1000</f>
        <v>5.7000000000000002E-2</v>
      </c>
      <c r="BM32" s="84">
        <f>'Rest Europe'!L21/1000</f>
        <v>1.9E-2</v>
      </c>
      <c r="BN32" s="84">
        <f>'Rest Europe'!Q21/1000</f>
        <v>0.23300000000000001</v>
      </c>
      <c r="BO32" s="84">
        <f t="shared" si="40"/>
        <v>1.3120000000000001</v>
      </c>
      <c r="BP32" s="84">
        <f>'Rest Europe'!V21/1000</f>
        <v>4.9000000000000002E-2</v>
      </c>
      <c r="BQ32" s="84">
        <f t="shared" si="54"/>
        <v>0.223</v>
      </c>
      <c r="BR32" s="84">
        <f t="shared" si="41"/>
        <v>21.751999999999999</v>
      </c>
      <c r="BS32" s="84">
        <f t="shared" si="42"/>
        <v>11.41</v>
      </c>
      <c r="BT32" s="84">
        <f>'Rest Europe'!AA21/1000</f>
        <v>3.3000000000000002E-2</v>
      </c>
      <c r="BU32" s="84">
        <f>'Major Europe'!AF21/1000</f>
        <v>0.20100000000000001</v>
      </c>
      <c r="BV32" s="84">
        <f>'Rest Europe'!AF21/1000</f>
        <v>0.376</v>
      </c>
      <c r="BW32" s="84">
        <f>'India data'!Q45</f>
        <v>1.4125000000000001</v>
      </c>
      <c r="BX32" s="84">
        <f t="shared" si="43"/>
        <v>0.39200000000000002</v>
      </c>
      <c r="BY32" s="84">
        <f t="shared" si="44"/>
        <v>1.377</v>
      </c>
      <c r="BZ32" s="84">
        <f t="shared" si="45"/>
        <v>15.46</v>
      </c>
      <c r="CA32" s="84">
        <f t="shared" si="46"/>
        <v>5.0999999999999996</v>
      </c>
      <c r="CB32" s="84">
        <f>'Rest Europe'!AK21/1000</f>
        <v>2.8000000000000001E-2</v>
      </c>
      <c r="CC32" s="84">
        <f>'Rest Europe'!AU21/1000</f>
        <v>6.5000000000000002E-2</v>
      </c>
      <c r="CD32" s="84">
        <f>'Rest Europe'!AZ21/1000</f>
        <v>0.13600000000000001</v>
      </c>
      <c r="CE32" s="84">
        <f>'Rest Europe'!BE21/1000</f>
        <v>1.7000000000000001E-2</v>
      </c>
      <c r="CF32" s="84">
        <f t="shared" si="47"/>
        <v>4.2679999999999998</v>
      </c>
      <c r="CG32" s="84">
        <f t="shared" si="55"/>
        <v>0.38300000000000001</v>
      </c>
      <c r="CH32" s="84">
        <f t="shared" si="48"/>
        <v>24.222000000000001</v>
      </c>
      <c r="CI32" s="84">
        <f>'Rest Europe'!BJ21/1000</f>
        <v>0.13800000000000001</v>
      </c>
      <c r="CJ32" s="84">
        <f>'Rest Europe'!BO21/1000</f>
        <v>0.78400000000000003</v>
      </c>
      <c r="CK32" s="84">
        <f>'Rest Europe'!BT21/1000</f>
        <v>6.9000000000000006E-2</v>
      </c>
      <c r="CL32" s="84">
        <f>'Rest Europe'!BY21/1000</f>
        <v>5.5E-2</v>
      </c>
      <c r="CM32" s="84">
        <f>'Rest Europe'!CD21/1000</f>
        <v>0.17799999999999999</v>
      </c>
      <c r="CN32" s="84">
        <f t="shared" si="49"/>
        <v>2.0049999999999999</v>
      </c>
      <c r="CO32" s="84">
        <f>'Major Europe'!BJ21/1000</f>
        <v>2.9430000000000001</v>
      </c>
      <c r="CP32" s="84">
        <f>'Major Europe'!BO21/1000</f>
        <v>3.2759999999999998</v>
      </c>
      <c r="CQ32" s="84">
        <f>'Rest Europe'!CI21/1000</f>
        <v>4.3999999999999997E-2</v>
      </c>
      <c r="CR32" s="84">
        <f t="shared" si="50"/>
        <v>10.263999999999999</v>
      </c>
      <c r="CS32" s="84">
        <f t="shared" si="51"/>
        <v>86.73</v>
      </c>
      <c r="CT32" s="84">
        <f t="shared" si="56"/>
        <v>2.4929999999999994</v>
      </c>
      <c r="CU32" s="84">
        <f t="shared" si="57"/>
        <v>464.02250000000009</v>
      </c>
    </row>
    <row r="33" spans="1:100" ht="12.75" customHeight="1">
      <c r="B33" s="84"/>
      <c r="C33" s="84"/>
      <c r="D33" s="84"/>
      <c r="E33" s="84"/>
      <c r="F33" s="84"/>
      <c r="G33" s="84"/>
      <c r="H33" s="84"/>
      <c r="I33" s="84"/>
      <c r="J33" s="84"/>
      <c r="K33" s="94"/>
      <c r="L33" s="84"/>
      <c r="M33" s="84"/>
      <c r="N33" s="84"/>
      <c r="O33" s="84"/>
      <c r="P33" s="94"/>
      <c r="Q33" s="94"/>
      <c r="R33" s="84"/>
      <c r="S33" s="84"/>
      <c r="T33" s="84"/>
      <c r="U33" s="84"/>
      <c r="V33" s="84"/>
      <c r="W33" s="84"/>
      <c r="X33" s="84"/>
      <c r="Y33" s="84"/>
      <c r="AE33" s="13"/>
      <c r="AF33" s="84"/>
      <c r="AG33" s="84"/>
      <c r="AH33" s="84"/>
      <c r="AI33" s="84"/>
      <c r="AJ33" s="84"/>
      <c r="AK33" s="84"/>
      <c r="AL33" s="94"/>
      <c r="AM33" s="94"/>
      <c r="AN33" s="84"/>
      <c r="AO33" s="84"/>
      <c r="AP33" s="84"/>
      <c r="AQ33" s="94"/>
      <c r="AR33" s="94"/>
      <c r="AS33" s="94"/>
      <c r="AT33" s="94"/>
      <c r="AU33" s="94"/>
      <c r="AV33" s="94"/>
      <c r="AW33" s="94"/>
      <c r="AX33" s="94"/>
      <c r="AY33" s="94"/>
      <c r="AZ33" s="94"/>
      <c r="BA33" s="84"/>
      <c r="BB33" s="84"/>
      <c r="BC33" s="13"/>
      <c r="BD33" s="13"/>
      <c r="BE33">
        <v>2017</v>
      </c>
      <c r="BF33" s="84">
        <f t="shared" si="37"/>
        <v>1.2829999999999999</v>
      </c>
      <c r="BG33" s="84">
        <f t="shared" si="38"/>
        <v>5.4329999999999998</v>
      </c>
      <c r="BH33" s="84">
        <f t="shared" si="52"/>
        <v>2.7090000000000001</v>
      </c>
      <c r="BI33" s="84">
        <f>'Rest Europe'!B22/1000</f>
        <v>6.6000000000000003E-2</v>
      </c>
      <c r="BJ33" s="84">
        <f t="shared" si="53"/>
        <v>9.8379999999999992</v>
      </c>
      <c r="BK33" s="84">
        <f t="shared" si="39"/>
        <v>468</v>
      </c>
      <c r="BL33" s="84">
        <f>'Rest Europe'!G22/1000</f>
        <v>8.0000000000000002E-3</v>
      </c>
      <c r="BM33" s="84">
        <f>'Rest Europe'!L22/1000</f>
        <v>4.3999999999999997E-2</v>
      </c>
      <c r="BN33" s="84">
        <f>'Rest Europe'!Q22/1000</f>
        <v>0.38900000000000001</v>
      </c>
      <c r="BO33" s="84">
        <f t="shared" si="40"/>
        <v>0.69799999999999995</v>
      </c>
      <c r="BP33" s="84">
        <f>'Rest Europe'!V22/1000</f>
        <v>2.5999999999999999E-2</v>
      </c>
      <c r="BQ33" s="84">
        <f t="shared" si="54"/>
        <v>0.502</v>
      </c>
      <c r="BR33" s="84">
        <f t="shared" si="41"/>
        <v>24.91</v>
      </c>
      <c r="BS33" s="84">
        <f t="shared" si="42"/>
        <v>25.056000000000001</v>
      </c>
      <c r="BT33" s="84">
        <f>'Rest Europe'!AA22/1000</f>
        <v>3.4000000000000002E-2</v>
      </c>
      <c r="BU33" s="84">
        <f>'Major Europe'!AF22/1000</f>
        <v>0.753</v>
      </c>
      <c r="BV33" s="84">
        <f>'Rest Europe'!AF22/1000</f>
        <v>0.85399999999999998</v>
      </c>
      <c r="BW33" s="84">
        <f>'India data'!Q46</f>
        <v>2</v>
      </c>
      <c r="BX33" s="84">
        <f t="shared" si="43"/>
        <v>0.622</v>
      </c>
      <c r="BY33" s="84">
        <f t="shared" si="44"/>
        <v>1.9670000000000001</v>
      </c>
      <c r="BZ33" s="84">
        <f t="shared" si="45"/>
        <v>21.84</v>
      </c>
      <c r="CA33" s="84">
        <f t="shared" si="46"/>
        <v>11.81</v>
      </c>
      <c r="CB33" s="84">
        <f>'Rest Europe'!AK22/1000</f>
        <v>7.0999999999999994E-2</v>
      </c>
      <c r="CC33" s="84">
        <f>'Rest Europe'!AU22/1000</f>
        <v>4.8000000000000001E-2</v>
      </c>
      <c r="CD33" s="84">
        <f>'Rest Europe'!AZ22/1000</f>
        <v>0.35399999999999998</v>
      </c>
      <c r="CE33" s="84">
        <f>'Rest Europe'!BE22/1000</f>
        <v>4.8000000000000001E-2</v>
      </c>
      <c r="CF33" s="84">
        <f t="shared" si="47"/>
        <v>9.8970000000000002</v>
      </c>
      <c r="CG33" s="84">
        <f t="shared" si="55"/>
        <v>0.68700000000000006</v>
      </c>
      <c r="CH33" s="84">
        <f t="shared" si="48"/>
        <v>33.024999999999999</v>
      </c>
      <c r="CI33" s="84">
        <f>'Rest Europe'!BJ22/1000</f>
        <v>0.47499999999999998</v>
      </c>
      <c r="CJ33" s="84">
        <f>'Rest Europe'!BO22/1000</f>
        <v>1.7929999999999999</v>
      </c>
      <c r="CK33" s="84">
        <f>'Rest Europe'!BT22/1000</f>
        <v>0.23200000000000001</v>
      </c>
      <c r="CL33" s="84">
        <f>'Rest Europe'!BY22/1000</f>
        <v>0.20899999999999999</v>
      </c>
      <c r="CM33" s="84">
        <f>'Rest Europe'!CD22/1000</f>
        <v>0.33600000000000002</v>
      </c>
      <c r="CN33" s="84">
        <f t="shared" si="49"/>
        <v>3.92</v>
      </c>
      <c r="CO33" s="84">
        <f>'Major Europe'!BJ22/1000</f>
        <v>4.2169999999999996</v>
      </c>
      <c r="CP33" s="84">
        <f>'Major Europe'!BO22/1000</f>
        <v>4.6909999999999998</v>
      </c>
      <c r="CQ33" s="84">
        <f>'Rest Europe'!CI22/1000</f>
        <v>7.6999999999999999E-2</v>
      </c>
      <c r="CR33" s="84">
        <f t="shared" si="50"/>
        <v>13.597</v>
      </c>
      <c r="CS33" s="84">
        <f t="shared" si="51"/>
        <v>104.48699999999999</v>
      </c>
      <c r="CT33" s="84">
        <f t="shared" si="56"/>
        <v>5.8170000000000002</v>
      </c>
      <c r="CU33" s="84">
        <f t="shared" si="57"/>
        <v>757.00599999999997</v>
      </c>
    </row>
    <row r="34" spans="1:100" ht="12.75" customHeight="1">
      <c r="B34" s="84"/>
      <c r="C34" s="84"/>
      <c r="D34" s="84"/>
      <c r="E34" s="84"/>
      <c r="F34" s="84"/>
      <c r="G34" s="84"/>
      <c r="H34" s="84"/>
      <c r="I34" s="84"/>
      <c r="J34" s="84"/>
      <c r="K34" s="94"/>
      <c r="L34" s="84"/>
      <c r="M34" s="84"/>
      <c r="N34" s="84"/>
      <c r="O34" s="84"/>
      <c r="P34" s="94"/>
      <c r="Q34" s="94"/>
      <c r="R34" s="84"/>
      <c r="S34" s="84"/>
      <c r="T34" s="84"/>
      <c r="U34" s="84"/>
      <c r="V34" s="84"/>
      <c r="W34" s="84"/>
      <c r="X34" s="84"/>
      <c r="Y34" s="84"/>
      <c r="AE34" s="13"/>
      <c r="AF34" s="84"/>
      <c r="AG34" s="84"/>
      <c r="AH34" s="84"/>
      <c r="AI34" s="84"/>
      <c r="AJ34" s="84"/>
      <c r="AK34" s="84"/>
      <c r="AL34" s="94"/>
      <c r="AM34" s="94"/>
      <c r="AN34" s="84"/>
      <c r="AO34" s="84"/>
      <c r="AP34" s="84"/>
      <c r="AQ34" s="94"/>
      <c r="AR34" s="94"/>
      <c r="AS34" s="94"/>
      <c r="AT34" s="94"/>
      <c r="AU34" s="94"/>
      <c r="AV34" s="94"/>
      <c r="AW34" s="94"/>
      <c r="AX34" s="94"/>
      <c r="AY34" s="94"/>
      <c r="AZ34" s="94"/>
      <c r="BA34" s="84"/>
      <c r="BB34" s="84"/>
      <c r="BC34" s="13"/>
      <c r="BD34" s="13"/>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row>
    <row r="35" spans="1:100" ht="12.75" customHeight="1">
      <c r="B35" s="84"/>
      <c r="C35" s="84"/>
      <c r="D35" s="84"/>
      <c r="E35" s="84"/>
      <c r="F35" s="84"/>
      <c r="G35" s="84"/>
      <c r="H35" s="84"/>
      <c r="I35" s="84"/>
      <c r="J35" s="84"/>
      <c r="K35" s="94"/>
      <c r="L35" s="84"/>
      <c r="M35" s="84"/>
      <c r="N35" s="84"/>
      <c r="O35" s="84"/>
      <c r="P35" s="94"/>
      <c r="Q35" s="94"/>
      <c r="R35" s="84"/>
      <c r="S35" s="84"/>
      <c r="T35" s="84"/>
      <c r="U35" s="84"/>
      <c r="V35" s="84"/>
      <c r="W35" s="84"/>
      <c r="X35" s="84"/>
      <c r="Y35" s="84"/>
      <c r="AE35" s="13"/>
      <c r="AF35" s="84"/>
      <c r="AG35" s="84"/>
      <c r="AH35" s="84"/>
      <c r="AI35" s="84"/>
      <c r="AJ35" s="84"/>
      <c r="AK35" s="84"/>
      <c r="AL35" s="94"/>
      <c r="AM35" s="94"/>
      <c r="AN35" s="84"/>
      <c r="AO35" s="84"/>
      <c r="AP35" s="84"/>
      <c r="AQ35" s="94"/>
      <c r="AR35" s="94"/>
      <c r="AS35" s="94"/>
      <c r="AT35" s="94"/>
      <c r="AU35" s="94"/>
      <c r="AV35" s="94"/>
      <c r="AW35" s="94"/>
      <c r="AX35" s="94"/>
      <c r="AY35" s="94"/>
      <c r="AZ35" s="94"/>
      <c r="BA35" s="84"/>
      <c r="BB35" s="84"/>
      <c r="BC35" s="13"/>
      <c r="BD35" s="13"/>
      <c r="BE35" t="s">
        <v>332</v>
      </c>
      <c r="BF35" s="84" t="s">
        <v>251</v>
      </c>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V35" t="s">
        <v>332</v>
      </c>
    </row>
    <row r="36" spans="1:100" ht="12.75" customHeight="1">
      <c r="B36" s="84"/>
      <c r="C36" s="84"/>
      <c r="D36" s="84"/>
      <c r="E36" s="84"/>
      <c r="F36" s="84"/>
      <c r="G36" s="84"/>
      <c r="H36" s="84"/>
      <c r="I36" s="84"/>
      <c r="J36" s="84"/>
      <c r="K36" s="94"/>
      <c r="L36" s="84"/>
      <c r="M36" s="84"/>
      <c r="N36" s="84"/>
      <c r="O36" s="84"/>
      <c r="P36" s="94"/>
      <c r="Q36" s="94"/>
      <c r="R36" s="84"/>
      <c r="S36" s="84"/>
      <c r="T36" s="84"/>
      <c r="U36" s="84"/>
      <c r="V36" s="84"/>
      <c r="W36" s="84"/>
      <c r="X36" s="84"/>
      <c r="Y36" s="84"/>
      <c r="AE36" s="13"/>
      <c r="AF36" s="84"/>
      <c r="AG36" s="84"/>
      <c r="AH36" s="84"/>
      <c r="AI36" s="84"/>
      <c r="AJ36" s="84"/>
      <c r="AK36" s="84"/>
      <c r="AL36" s="94"/>
      <c r="AM36" s="94"/>
      <c r="AN36" s="84"/>
      <c r="AO36" s="84"/>
      <c r="AP36" s="84"/>
      <c r="AQ36" s="94"/>
      <c r="AR36" s="94"/>
      <c r="AS36" s="94"/>
      <c r="AT36" s="94"/>
      <c r="AU36" s="94"/>
      <c r="AV36" s="94"/>
      <c r="AW36" s="94"/>
      <c r="AX36" s="94"/>
      <c r="AY36" s="94"/>
      <c r="AZ36" s="94"/>
      <c r="BA36" s="84"/>
      <c r="BB36" s="84"/>
      <c r="BC36" s="13"/>
      <c r="BD36" s="13"/>
      <c r="BF36" s="143" t="s">
        <v>255</v>
      </c>
      <c r="BG36" s="144" t="s">
        <v>539</v>
      </c>
      <c r="BH36" s="144" t="s">
        <v>540</v>
      </c>
      <c r="BI36" s="133" t="s">
        <v>548</v>
      </c>
      <c r="BJ36" s="145" t="s">
        <v>238</v>
      </c>
      <c r="BK36" s="145" t="s">
        <v>239</v>
      </c>
      <c r="BL36" s="133" t="s">
        <v>562</v>
      </c>
      <c r="BM36" s="133" t="s">
        <v>549</v>
      </c>
      <c r="BN36" s="133" t="s">
        <v>550</v>
      </c>
      <c r="BO36" s="144" t="s">
        <v>541</v>
      </c>
      <c r="BP36" s="133" t="s">
        <v>551</v>
      </c>
      <c r="BQ36" s="144" t="s">
        <v>542</v>
      </c>
      <c r="BR36" s="145" t="s">
        <v>240</v>
      </c>
      <c r="BS36" s="145" t="s">
        <v>241</v>
      </c>
      <c r="BT36" s="132" t="s">
        <v>610</v>
      </c>
      <c r="BU36" s="146" t="s">
        <v>543</v>
      </c>
      <c r="BV36" s="133" t="s">
        <v>552</v>
      </c>
      <c r="BW36" s="145" t="s">
        <v>242</v>
      </c>
      <c r="BX36" s="144" t="s">
        <v>544</v>
      </c>
      <c r="BY36" s="90" t="s">
        <v>538</v>
      </c>
      <c r="BZ36" s="145" t="s">
        <v>243</v>
      </c>
      <c r="CA36" s="145" t="s">
        <v>244</v>
      </c>
      <c r="CB36" s="102" t="s">
        <v>553</v>
      </c>
      <c r="CC36" s="102" t="s">
        <v>554</v>
      </c>
      <c r="CD36" s="14" t="s">
        <v>555</v>
      </c>
      <c r="CE36" s="102" t="s">
        <v>556</v>
      </c>
      <c r="CF36" s="90" t="s">
        <v>245</v>
      </c>
      <c r="CG36" s="147" t="s">
        <v>331</v>
      </c>
      <c r="CH36" s="147" t="s">
        <v>246</v>
      </c>
      <c r="CI36" s="102" t="s">
        <v>557</v>
      </c>
      <c r="CJ36" s="14" t="s">
        <v>558</v>
      </c>
      <c r="CK36" s="102" t="s">
        <v>559</v>
      </c>
      <c r="CL36" s="102" t="s">
        <v>560</v>
      </c>
      <c r="CM36" s="102" t="s">
        <v>563</v>
      </c>
      <c r="CN36" s="144" t="s">
        <v>545</v>
      </c>
      <c r="CO36" s="144" t="s">
        <v>247</v>
      </c>
      <c r="CP36" s="144" t="s">
        <v>546</v>
      </c>
      <c r="CQ36" s="78" t="s">
        <v>561</v>
      </c>
      <c r="CR36" s="148" t="s">
        <v>248</v>
      </c>
      <c r="CS36" s="143" t="s">
        <v>607</v>
      </c>
      <c r="CT36" s="7" t="s">
        <v>648</v>
      </c>
      <c r="CU36" s="7" t="s">
        <v>158</v>
      </c>
    </row>
    <row r="37" spans="1:100" ht="12.75" customHeight="1">
      <c r="B37" s="84"/>
      <c r="C37" s="84"/>
      <c r="D37" s="84"/>
      <c r="E37" s="84"/>
      <c r="F37" s="84"/>
      <c r="G37" s="84"/>
      <c r="H37" s="84"/>
      <c r="I37" s="84"/>
      <c r="J37" s="84"/>
      <c r="K37" s="94"/>
      <c r="L37" s="84"/>
      <c r="M37" s="84"/>
      <c r="N37" s="84"/>
      <c r="O37" s="84"/>
      <c r="P37" s="94"/>
      <c r="Q37" s="94"/>
      <c r="R37" s="84"/>
      <c r="S37" s="84"/>
      <c r="T37" s="84"/>
      <c r="U37" s="84"/>
      <c r="V37" s="84"/>
      <c r="W37" s="84"/>
      <c r="X37" s="84"/>
      <c r="Y37" s="84"/>
      <c r="AE37" s="13"/>
      <c r="AF37" s="84"/>
      <c r="AG37" s="84"/>
      <c r="AH37" s="84"/>
      <c r="AI37" s="84"/>
      <c r="AJ37" s="84"/>
      <c r="AK37" s="84"/>
      <c r="AL37" s="94"/>
      <c r="AM37" s="94"/>
      <c r="AN37" s="84"/>
      <c r="AO37" s="84"/>
      <c r="AP37" s="84"/>
      <c r="AQ37" s="94"/>
      <c r="AR37" s="94"/>
      <c r="AS37" s="94"/>
      <c r="AT37" s="94"/>
      <c r="AU37" s="94"/>
      <c r="AV37" s="94"/>
      <c r="AW37" s="94"/>
      <c r="AX37" s="94"/>
      <c r="AY37" s="94"/>
      <c r="AZ37" s="94"/>
      <c r="BA37" s="84"/>
      <c r="BB37" s="84"/>
      <c r="BC37" s="13"/>
      <c r="BD37" s="13"/>
      <c r="BE37">
        <v>2005</v>
      </c>
      <c r="BF37" s="84">
        <f t="shared" ref="BF37:BF49" si="58">AE3</f>
        <v>0</v>
      </c>
      <c r="BG37" s="84">
        <f t="shared" ref="BG37:BG49" si="59">AF3</f>
        <v>0</v>
      </c>
      <c r="BH37" s="84"/>
      <c r="BI37" s="84"/>
      <c r="BJ37" s="84"/>
      <c r="BK37" s="84">
        <f t="shared" ref="BK37:BK49" si="60">AI3</f>
        <v>0</v>
      </c>
      <c r="BL37" s="84"/>
      <c r="BM37" s="84"/>
      <c r="BN37" s="84"/>
      <c r="BO37" s="84">
        <f t="shared" ref="BO37:BO49" si="61">AJ3</f>
        <v>0</v>
      </c>
      <c r="BP37" s="84"/>
      <c r="BQ37" s="84"/>
      <c r="BR37" s="84">
        <f t="shared" ref="BR37:BR49" si="62">AL3</f>
        <v>0</v>
      </c>
      <c r="BS37" s="84">
        <f t="shared" ref="BS37:BS49" si="63">AM3</f>
        <v>0</v>
      </c>
      <c r="BT37" s="84"/>
      <c r="BU37" s="84"/>
      <c r="BV37" s="84"/>
      <c r="BW37" s="84">
        <f>'India data'!U34</f>
        <v>0</v>
      </c>
      <c r="BX37" s="84">
        <f t="shared" ref="BX37:BY41" si="64">AO3</f>
        <v>0</v>
      </c>
      <c r="BY37" s="84">
        <f t="shared" si="64"/>
        <v>0</v>
      </c>
      <c r="BZ37" s="84">
        <f t="shared" ref="BZ37:BZ49" si="65">AQ3</f>
        <v>0</v>
      </c>
      <c r="CA37" s="84">
        <f>AR3</f>
        <v>0</v>
      </c>
      <c r="CB37" s="84"/>
      <c r="CC37" s="84"/>
      <c r="CD37" s="84"/>
      <c r="CE37" s="84"/>
      <c r="CF37" s="84">
        <f>AS3</f>
        <v>0</v>
      </c>
      <c r="CG37" s="84"/>
      <c r="CH37" s="84">
        <f>AU3</f>
        <v>0</v>
      </c>
      <c r="CI37" s="84"/>
      <c r="CJ37" s="84"/>
      <c r="CK37" s="84"/>
      <c r="CL37" s="84"/>
      <c r="CM37" s="84"/>
      <c r="CN37" s="84">
        <f>AV3</f>
        <v>0</v>
      </c>
      <c r="CO37" s="84">
        <v>0</v>
      </c>
      <c r="CP37" s="84">
        <v>0</v>
      </c>
      <c r="CQ37" s="84"/>
      <c r="CR37" s="84">
        <f t="shared" ref="CR37:CR49" si="66">AY3</f>
        <v>0</v>
      </c>
      <c r="CS37" s="84">
        <f t="shared" ref="CS37:CS49" si="67">AZ3</f>
        <v>0</v>
      </c>
      <c r="CT37" s="84"/>
    </row>
    <row r="38" spans="1:100" ht="12.75" customHeight="1">
      <c r="B38" s="84"/>
      <c r="C38" s="84"/>
      <c r="D38" s="84"/>
      <c r="E38" s="84"/>
      <c r="F38" s="84"/>
      <c r="G38" s="84"/>
      <c r="H38" s="84"/>
      <c r="I38" s="84"/>
      <c r="J38" s="84"/>
      <c r="K38" s="94"/>
      <c r="L38" s="84"/>
      <c r="M38" s="84"/>
      <c r="N38" s="84"/>
      <c r="O38" s="84"/>
      <c r="P38" s="94"/>
      <c r="Q38" s="94"/>
      <c r="R38" s="84"/>
      <c r="S38" s="84"/>
      <c r="T38" s="84"/>
      <c r="U38" s="84"/>
      <c r="V38" s="84"/>
      <c r="W38" s="84"/>
      <c r="X38" s="84"/>
      <c r="Y38" s="84"/>
      <c r="AE38" s="13"/>
      <c r="AF38" s="84"/>
      <c r="AG38" s="84"/>
      <c r="AH38" s="84"/>
      <c r="AI38" s="84"/>
      <c r="AJ38" s="84"/>
      <c r="AK38" s="84"/>
      <c r="AL38" s="94"/>
      <c r="AM38" s="94"/>
      <c r="AN38" s="84"/>
      <c r="AO38" s="84"/>
      <c r="AP38" s="84"/>
      <c r="AQ38" s="94"/>
      <c r="AR38" s="94"/>
      <c r="AS38" s="94"/>
      <c r="AT38" s="94"/>
      <c r="AU38" s="94"/>
      <c r="AV38" s="94"/>
      <c r="AW38" s="94"/>
      <c r="AX38" s="94"/>
      <c r="AY38" s="94"/>
      <c r="AZ38" s="94"/>
      <c r="BA38" s="84"/>
      <c r="BB38" s="84"/>
      <c r="BC38" s="13"/>
      <c r="BD38" s="13"/>
      <c r="BE38">
        <v>2006</v>
      </c>
      <c r="BF38" s="84">
        <f t="shared" si="58"/>
        <v>0</v>
      </c>
      <c r="BG38" s="84">
        <f t="shared" si="59"/>
        <v>0</v>
      </c>
      <c r="BH38" s="84"/>
      <c r="BI38" s="84"/>
      <c r="BJ38" s="84"/>
      <c r="BK38" s="84">
        <f t="shared" si="60"/>
        <v>0</v>
      </c>
      <c r="BL38" s="84"/>
      <c r="BM38" s="84"/>
      <c r="BN38" s="84"/>
      <c r="BO38" s="84">
        <f t="shared" si="61"/>
        <v>0</v>
      </c>
      <c r="BP38" s="84"/>
      <c r="BQ38" s="84"/>
      <c r="BR38" s="84">
        <f t="shared" si="62"/>
        <v>0</v>
      </c>
      <c r="BS38" s="84">
        <f t="shared" si="63"/>
        <v>0</v>
      </c>
      <c r="BT38" s="84"/>
      <c r="BU38" s="84"/>
      <c r="BV38" s="84"/>
      <c r="BW38" s="84">
        <f>'India data'!U35</f>
        <v>0</v>
      </c>
      <c r="BX38" s="84">
        <f t="shared" si="64"/>
        <v>0</v>
      </c>
      <c r="BY38" s="84">
        <f t="shared" si="64"/>
        <v>0</v>
      </c>
      <c r="BZ38" s="84">
        <f t="shared" si="65"/>
        <v>0</v>
      </c>
      <c r="CA38" s="84">
        <f>AR4</f>
        <v>0</v>
      </c>
      <c r="CB38" s="84"/>
      <c r="CC38" s="84"/>
      <c r="CD38" s="84"/>
      <c r="CE38" s="84"/>
      <c r="CF38" s="84">
        <f t="shared" ref="CF38:CF49" si="68">AS4</f>
        <v>0</v>
      </c>
      <c r="CG38" s="84"/>
      <c r="CH38" s="84">
        <f t="shared" ref="CH38:CH49" si="69">AU4</f>
        <v>0</v>
      </c>
      <c r="CI38" s="84"/>
      <c r="CJ38" s="84"/>
      <c r="CK38" s="84"/>
      <c r="CL38" s="84"/>
      <c r="CM38" s="84"/>
      <c r="CN38" s="84">
        <f>AV4</f>
        <v>0</v>
      </c>
      <c r="CO38" s="84">
        <v>0</v>
      </c>
      <c r="CP38" s="84">
        <v>0</v>
      </c>
      <c r="CQ38" s="84"/>
      <c r="CR38" s="84">
        <f t="shared" si="66"/>
        <v>0</v>
      </c>
      <c r="CS38" s="84">
        <f t="shared" si="67"/>
        <v>0</v>
      </c>
      <c r="CT38" s="84"/>
    </row>
    <row r="39" spans="1:100" ht="12.75" customHeight="1">
      <c r="B39" s="84"/>
      <c r="C39" s="84"/>
      <c r="D39" s="84"/>
      <c r="E39" s="84"/>
      <c r="F39" s="84"/>
      <c r="G39" s="84"/>
      <c r="H39" s="84"/>
      <c r="I39" s="84"/>
      <c r="J39" s="84"/>
      <c r="K39" s="94"/>
      <c r="L39" s="84"/>
      <c r="M39" s="84"/>
      <c r="N39" s="84"/>
      <c r="O39" s="84"/>
      <c r="P39" s="94"/>
      <c r="Q39" s="94"/>
      <c r="R39" s="84"/>
      <c r="S39" s="84"/>
      <c r="T39" s="84"/>
      <c r="U39" s="84"/>
      <c r="V39" s="84"/>
      <c r="W39" s="84"/>
      <c r="X39" s="84"/>
      <c r="Y39" s="84"/>
      <c r="AE39" s="13"/>
      <c r="AF39" s="84"/>
      <c r="AG39" s="84"/>
      <c r="AH39" s="84"/>
      <c r="AI39" s="84"/>
      <c r="AJ39" s="84"/>
      <c r="AK39" s="84"/>
      <c r="AL39" s="94"/>
      <c r="AM39" s="94"/>
      <c r="AN39" s="84"/>
      <c r="AO39" s="84"/>
      <c r="AP39" s="84"/>
      <c r="AQ39" s="94"/>
      <c r="AR39" s="94"/>
      <c r="AS39" s="94"/>
      <c r="AT39" s="94"/>
      <c r="AU39" s="94"/>
      <c r="AV39" s="94"/>
      <c r="AW39" s="94"/>
      <c r="AX39" s="94"/>
      <c r="AY39" s="94"/>
      <c r="AZ39" s="94"/>
      <c r="BA39" s="84"/>
      <c r="BB39" s="84"/>
      <c r="BC39" s="13"/>
      <c r="BD39" s="13"/>
      <c r="BE39">
        <v>2007</v>
      </c>
      <c r="BF39" s="84">
        <f t="shared" si="58"/>
        <v>0</v>
      </c>
      <c r="BG39" s="84">
        <f t="shared" si="59"/>
        <v>0</v>
      </c>
      <c r="BH39" s="84"/>
      <c r="BI39" s="84"/>
      <c r="BJ39" s="84"/>
      <c r="BK39" s="84">
        <f t="shared" si="60"/>
        <v>0</v>
      </c>
      <c r="BL39" s="84"/>
      <c r="BM39" s="84"/>
      <c r="BN39" s="84"/>
      <c r="BO39" s="84">
        <f t="shared" si="61"/>
        <v>0</v>
      </c>
      <c r="BP39" s="84"/>
      <c r="BQ39" s="84"/>
      <c r="BR39" s="84">
        <f t="shared" si="62"/>
        <v>0</v>
      </c>
      <c r="BS39" s="84">
        <f t="shared" si="63"/>
        <v>0</v>
      </c>
      <c r="BT39" s="84"/>
      <c r="BU39" s="84"/>
      <c r="BV39" s="84"/>
      <c r="BW39" s="84">
        <f>'India data'!U36</f>
        <v>0</v>
      </c>
      <c r="BX39" s="84">
        <f t="shared" si="64"/>
        <v>0</v>
      </c>
      <c r="BY39" s="84">
        <f t="shared" si="64"/>
        <v>0</v>
      </c>
      <c r="BZ39" s="84">
        <f t="shared" si="65"/>
        <v>0</v>
      </c>
      <c r="CA39" s="84">
        <f>AR5</f>
        <v>0</v>
      </c>
      <c r="CB39" s="84"/>
      <c r="CC39" s="84"/>
      <c r="CD39" s="84"/>
      <c r="CE39" s="84"/>
      <c r="CF39" s="84">
        <f t="shared" si="68"/>
        <v>0</v>
      </c>
      <c r="CG39" s="84"/>
      <c r="CH39" s="84">
        <f t="shared" si="69"/>
        <v>0</v>
      </c>
      <c r="CI39" s="84"/>
      <c r="CJ39" s="84"/>
      <c r="CK39" s="84"/>
      <c r="CL39" s="84"/>
      <c r="CM39" s="84"/>
      <c r="CN39" s="84">
        <f>AV5</f>
        <v>0</v>
      </c>
      <c r="CO39" s="84">
        <v>0</v>
      </c>
      <c r="CP39" s="84">
        <v>0</v>
      </c>
      <c r="CQ39" s="84"/>
      <c r="CR39" s="84">
        <f t="shared" si="66"/>
        <v>0</v>
      </c>
      <c r="CS39" s="84">
        <f t="shared" si="67"/>
        <v>0</v>
      </c>
      <c r="CT39" s="84"/>
    </row>
    <row r="40" spans="1:100" ht="12.75" customHeight="1">
      <c r="B40" s="84"/>
      <c r="C40" s="84"/>
      <c r="D40" s="84"/>
      <c r="E40" s="84"/>
      <c r="F40" s="84"/>
      <c r="G40" s="84"/>
      <c r="H40" s="84"/>
      <c r="I40" s="84"/>
      <c r="J40" s="84"/>
      <c r="K40" s="94"/>
      <c r="L40" s="84"/>
      <c r="M40" s="84"/>
      <c r="N40" s="84"/>
      <c r="O40" s="84"/>
      <c r="P40" s="84" t="s">
        <v>537</v>
      </c>
      <c r="Q40" s="94"/>
      <c r="R40" s="84"/>
      <c r="S40" s="84"/>
      <c r="T40" s="84"/>
      <c r="U40" s="84"/>
      <c r="V40" s="84"/>
      <c r="W40" s="84"/>
      <c r="X40" s="84"/>
      <c r="Y40" s="84"/>
      <c r="AE40" s="13"/>
      <c r="AF40" s="84"/>
      <c r="AG40" s="84"/>
      <c r="AH40" s="84"/>
      <c r="AI40" s="84"/>
      <c r="AJ40" s="84"/>
      <c r="AK40" s="84"/>
      <c r="AL40" s="94"/>
      <c r="AM40" s="94"/>
      <c r="AN40" s="84"/>
      <c r="AO40" s="84"/>
      <c r="AP40" s="84"/>
      <c r="AQ40" s="94"/>
      <c r="AR40" s="94"/>
      <c r="AS40" s="94"/>
      <c r="AT40" s="94"/>
      <c r="AU40" s="94"/>
      <c r="AV40" s="94"/>
      <c r="AW40" s="94"/>
      <c r="AX40" s="94"/>
      <c r="AY40" s="94"/>
      <c r="AZ40" s="94"/>
      <c r="BA40" s="84"/>
      <c r="BB40" s="84"/>
      <c r="BC40" s="13"/>
      <c r="BD40" s="13"/>
      <c r="BE40">
        <v>2008</v>
      </c>
      <c r="BF40" s="84">
        <f t="shared" si="58"/>
        <v>0</v>
      </c>
      <c r="BG40" s="84">
        <f t="shared" si="59"/>
        <v>0</v>
      </c>
      <c r="BH40" s="84"/>
      <c r="BI40" s="84"/>
      <c r="BJ40" s="84"/>
      <c r="BK40" s="84">
        <f t="shared" si="60"/>
        <v>0</v>
      </c>
      <c r="BL40" s="84"/>
      <c r="BM40" s="84"/>
      <c r="BN40" s="84"/>
      <c r="BO40" s="84">
        <f t="shared" si="61"/>
        <v>0</v>
      </c>
      <c r="BP40" s="84"/>
      <c r="BQ40" s="84"/>
      <c r="BR40" s="84">
        <f t="shared" si="62"/>
        <v>0</v>
      </c>
      <c r="BS40" s="84">
        <f t="shared" si="63"/>
        <v>0</v>
      </c>
      <c r="BT40" s="84"/>
      <c r="BU40" s="84"/>
      <c r="BV40" s="84"/>
      <c r="BW40" s="84">
        <f>'India data'!U37</f>
        <v>0</v>
      </c>
      <c r="BX40" s="84">
        <f t="shared" si="64"/>
        <v>0</v>
      </c>
      <c r="BY40" s="84">
        <f t="shared" si="64"/>
        <v>0</v>
      </c>
      <c r="BZ40" s="84">
        <f t="shared" si="65"/>
        <v>0</v>
      </c>
      <c r="CA40" s="84">
        <f>AR6</f>
        <v>0</v>
      </c>
      <c r="CB40" s="84"/>
      <c r="CC40" s="84"/>
      <c r="CD40" s="84"/>
      <c r="CE40" s="84"/>
      <c r="CF40" s="84">
        <f t="shared" si="68"/>
        <v>0</v>
      </c>
      <c r="CG40" s="84"/>
      <c r="CH40" s="84">
        <f t="shared" si="69"/>
        <v>0</v>
      </c>
      <c r="CI40" s="84"/>
      <c r="CJ40" s="84"/>
      <c r="CK40" s="84"/>
      <c r="CL40" s="84"/>
      <c r="CM40" s="84"/>
      <c r="CN40" s="84">
        <f>AV6</f>
        <v>0</v>
      </c>
      <c r="CO40" s="84">
        <v>0</v>
      </c>
      <c r="CP40" s="84">
        <v>0</v>
      </c>
      <c r="CQ40" s="84"/>
      <c r="CR40" s="84">
        <f t="shared" si="66"/>
        <v>0</v>
      </c>
      <c r="CS40" s="84">
        <f t="shared" si="67"/>
        <v>0</v>
      </c>
      <c r="CT40" s="84"/>
    </row>
    <row r="41" spans="1:100" ht="12.75" customHeight="1">
      <c r="B41" s="84"/>
      <c r="C41" s="84"/>
      <c r="D41" s="84"/>
      <c r="E41" s="84"/>
      <c r="F41" s="84"/>
      <c r="G41" s="84"/>
      <c r="H41" s="84"/>
      <c r="I41" s="84"/>
      <c r="J41" s="84"/>
      <c r="K41" s="94"/>
      <c r="L41" s="84"/>
      <c r="M41" s="84"/>
      <c r="N41" s="84"/>
      <c r="O41" s="84"/>
      <c r="P41" s="94"/>
      <c r="Q41" s="94"/>
      <c r="R41" s="84"/>
      <c r="S41" s="84"/>
      <c r="T41" s="84"/>
      <c r="U41" s="84"/>
      <c r="V41" s="84"/>
      <c r="W41" s="84"/>
      <c r="X41" s="84"/>
      <c r="Y41" s="84"/>
      <c r="AE41" s="13"/>
      <c r="AF41" s="13"/>
      <c r="AG41" s="13"/>
      <c r="AH41" s="13"/>
      <c r="AI41" s="13"/>
      <c r="AJ41" s="13"/>
      <c r="AK41" s="13"/>
      <c r="AL41" s="13"/>
      <c r="AM41" s="13"/>
      <c r="AN41" s="13"/>
      <c r="AO41" s="13"/>
      <c r="AP41" s="13"/>
      <c r="AQ41" s="13"/>
      <c r="AR41" s="13"/>
      <c r="AS41" s="72"/>
      <c r="AT41" s="13"/>
      <c r="AU41" s="13"/>
      <c r="AV41" s="13"/>
      <c r="AW41" s="13"/>
      <c r="AX41" s="13"/>
      <c r="AY41" s="13"/>
      <c r="AZ41" s="72"/>
      <c r="BA41" s="72"/>
      <c r="BB41" s="13"/>
      <c r="BC41" s="13"/>
      <c r="BD41" s="13"/>
      <c r="BF41" s="84">
        <f t="shared" si="58"/>
        <v>0</v>
      </c>
      <c r="BG41" s="84">
        <f t="shared" si="59"/>
        <v>0</v>
      </c>
      <c r="BH41" s="84"/>
      <c r="BI41" s="84"/>
      <c r="BJ41" s="84"/>
      <c r="BK41" s="84">
        <f t="shared" si="60"/>
        <v>0</v>
      </c>
      <c r="BL41" s="84"/>
      <c r="BM41" s="84"/>
      <c r="BN41" s="84"/>
      <c r="BO41" s="84">
        <f t="shared" si="61"/>
        <v>0</v>
      </c>
      <c r="BP41" s="84"/>
      <c r="BQ41" s="84"/>
      <c r="BR41" s="84">
        <f t="shared" si="62"/>
        <v>0</v>
      </c>
      <c r="BS41" s="84">
        <f t="shared" si="63"/>
        <v>0</v>
      </c>
      <c r="BT41" s="84"/>
      <c r="BU41" s="84"/>
      <c r="BV41" s="84"/>
      <c r="BW41" s="84">
        <f>'India data'!U38</f>
        <v>0.44</v>
      </c>
      <c r="BX41" s="84">
        <f t="shared" si="64"/>
        <v>0</v>
      </c>
      <c r="BY41" s="84">
        <f t="shared" si="64"/>
        <v>0</v>
      </c>
      <c r="BZ41" s="84">
        <f t="shared" si="65"/>
        <v>4.0000000000000036E-3</v>
      </c>
      <c r="CA41" s="84">
        <f>AR7</f>
        <v>0</v>
      </c>
      <c r="CB41" s="84"/>
      <c r="CC41" s="84"/>
      <c r="CD41" s="84"/>
      <c r="CE41" s="84"/>
      <c r="CF41" s="84">
        <f t="shared" si="68"/>
        <v>0</v>
      </c>
      <c r="CG41" s="84"/>
      <c r="CH41" s="84">
        <f t="shared" si="69"/>
        <v>4.0000000000000036E-3</v>
      </c>
      <c r="CI41" s="84"/>
      <c r="CJ41" s="84"/>
      <c r="CK41" s="84"/>
      <c r="CL41" s="84"/>
      <c r="CM41" s="84"/>
      <c r="CN41" s="84">
        <f>AV7</f>
        <v>0</v>
      </c>
      <c r="CO41" s="84">
        <v>0</v>
      </c>
      <c r="CP41" s="84">
        <f>'Major Europe'!BP14/1000</f>
        <v>0</v>
      </c>
      <c r="CQ41" s="84"/>
      <c r="CR41" s="84">
        <f t="shared" si="66"/>
        <v>0</v>
      </c>
      <c r="CS41" s="84">
        <f t="shared" si="67"/>
        <v>0</v>
      </c>
      <c r="CT41" s="84"/>
    </row>
    <row r="42" spans="1:100" ht="12.75" customHeight="1">
      <c r="B42" s="84"/>
      <c r="C42" s="84"/>
      <c r="D42" s="84"/>
      <c r="E42" s="84"/>
      <c r="F42" s="84"/>
      <c r="G42" s="84"/>
      <c r="H42" s="84"/>
      <c r="I42" s="84"/>
      <c r="J42" s="84"/>
      <c r="K42" s="94"/>
      <c r="L42" s="84"/>
      <c r="M42" s="84"/>
      <c r="N42" s="84"/>
      <c r="O42" s="84"/>
      <c r="P42" s="94"/>
      <c r="Q42" s="94"/>
      <c r="R42" s="84"/>
      <c r="S42" s="84"/>
      <c r="T42" s="84"/>
      <c r="U42" s="84"/>
      <c r="V42" s="84"/>
      <c r="W42" s="84"/>
      <c r="X42" s="84"/>
      <c r="Y42" s="84"/>
      <c r="AE42" s="13"/>
      <c r="AF42" s="13"/>
      <c r="AG42" s="13"/>
      <c r="AR42" s="13"/>
      <c r="AS42" s="72"/>
      <c r="AT42" t="s">
        <v>341</v>
      </c>
      <c r="AU42" s="13"/>
      <c r="AV42" s="13"/>
      <c r="AW42" s="13"/>
      <c r="AX42" s="13"/>
      <c r="AY42" s="13"/>
      <c r="AZ42" s="72"/>
      <c r="BA42" s="72"/>
      <c r="BB42" s="13"/>
      <c r="BC42" s="13"/>
      <c r="BD42" s="13"/>
      <c r="BE42">
        <v>2010</v>
      </c>
      <c r="BF42" s="84">
        <f t="shared" si="58"/>
        <v>3.0000000000000001E-3</v>
      </c>
      <c r="BG42" s="84">
        <f t="shared" si="59"/>
        <v>0</v>
      </c>
      <c r="BH42" s="84">
        <f t="shared" ref="BH42:BH49" si="70">AG8</f>
        <v>0</v>
      </c>
      <c r="BI42" s="84">
        <f>'Rest Europe'!C15/1000</f>
        <v>0</v>
      </c>
      <c r="BJ42" s="84">
        <f t="shared" ref="BJ42:BJ49" si="71">AH8</f>
        <v>0</v>
      </c>
      <c r="BK42" s="84">
        <f t="shared" si="60"/>
        <v>0.33999999999999986</v>
      </c>
      <c r="BL42" s="84">
        <f>'Rest Europe'!H15/1000</f>
        <v>0</v>
      </c>
      <c r="BM42" s="84">
        <f>'Rest Europe'!M15/1000</f>
        <v>0</v>
      </c>
      <c r="BN42" s="84">
        <f>'Rest Europe'!R15/1000</f>
        <v>0</v>
      </c>
      <c r="BO42" s="84">
        <f t="shared" si="61"/>
        <v>0</v>
      </c>
      <c r="BP42" s="84">
        <f>'Rest Europe'!W15/1000</f>
        <v>0</v>
      </c>
      <c r="BQ42" s="84">
        <f t="shared" ref="BQ42:BQ49" si="72">AK8</f>
        <v>0</v>
      </c>
      <c r="BR42" s="84">
        <f t="shared" si="62"/>
        <v>0</v>
      </c>
      <c r="BS42" s="84">
        <f t="shared" si="63"/>
        <v>0</v>
      </c>
      <c r="BT42" s="84">
        <f>'Rest Europe'!AB15/1000</f>
        <v>0</v>
      </c>
      <c r="BU42" s="84">
        <f>'Major Europe'!AG15/1000</f>
        <v>0</v>
      </c>
      <c r="BV42" s="84">
        <f>'Rest Europe'!AG15/1000</f>
        <v>0</v>
      </c>
      <c r="BW42" s="84">
        <f>'India data'!U39</f>
        <v>0.88</v>
      </c>
      <c r="BX42" s="84">
        <f t="shared" ref="BX42:BY49" si="73">AO8</f>
        <v>0</v>
      </c>
      <c r="BY42" s="84">
        <f t="shared" si="73"/>
        <v>0</v>
      </c>
      <c r="BZ42" s="84">
        <f t="shared" si="65"/>
        <v>0</v>
      </c>
      <c r="CA42" s="84">
        <f t="shared" ref="CA42:CA49" si="74">AR8</f>
        <v>0</v>
      </c>
      <c r="CB42" s="84">
        <f>'Rest Europe'!AL15/1000</f>
        <v>0</v>
      </c>
      <c r="CC42" s="84">
        <f>'Rest Europe'!AV15/1000</f>
        <v>0</v>
      </c>
      <c r="CD42" s="84">
        <f>'Rest Europe'!BA15/1000</f>
        <v>0</v>
      </c>
      <c r="CE42" s="84">
        <f>'Rest Europe'!BF15/1000</f>
        <v>0</v>
      </c>
      <c r="CF42" s="84">
        <f t="shared" si="68"/>
        <v>0</v>
      </c>
      <c r="CG42" s="84">
        <f t="shared" ref="CG42:CG49" si="75">AT8</f>
        <v>0</v>
      </c>
      <c r="CH42" s="84">
        <f t="shared" si="69"/>
        <v>0</v>
      </c>
      <c r="CI42" s="84">
        <f>'Rest Europe'!BK15/1000</f>
        <v>0</v>
      </c>
      <c r="CJ42" s="84">
        <f>'Rest Europe'!BP15/1000</f>
        <v>0</v>
      </c>
      <c r="CK42" s="84">
        <f>'Rest Europe'!BU15/1000</f>
        <v>0</v>
      </c>
      <c r="CL42" s="84">
        <f>'Rest Europe'!BZ15/1000</f>
        <v>0</v>
      </c>
      <c r="CM42" s="84">
        <f>'Rest Europe'!CE15/1000</f>
        <v>0</v>
      </c>
      <c r="CN42" s="84">
        <f t="shared" ref="CN42:CN49" si="76">AV8</f>
        <v>0</v>
      </c>
      <c r="CO42" s="84">
        <f>'Major Europe'!BK15/1000</f>
        <v>0</v>
      </c>
      <c r="CP42" s="84">
        <f>'Major Europe'!BP15/1000</f>
        <v>0</v>
      </c>
      <c r="CQ42" s="84">
        <f>'Rest Europe'!CJ15/1000</f>
        <v>0</v>
      </c>
      <c r="CR42" s="84">
        <f t="shared" si="66"/>
        <v>2.0000000000000018E-2</v>
      </c>
      <c r="CS42" s="84">
        <f t="shared" si="67"/>
        <v>0</v>
      </c>
      <c r="CT42" s="84">
        <f>BI42+BL42+BM42+BN42+BP42+BT42+BU42+BV42+CB42+CC42+CD42+CE42+CI42+CJ42+CK42+CL42+CM42+CQ42</f>
        <v>0</v>
      </c>
      <c r="CU42" s="84">
        <f>SUM(BF42:CS42)</f>
        <v>1.2429999999999999</v>
      </c>
    </row>
    <row r="43" spans="1:100" ht="12.75" customHeight="1">
      <c r="B43" s="84"/>
      <c r="C43" s="84"/>
      <c r="D43" s="84"/>
      <c r="E43" s="84"/>
      <c r="F43" s="84"/>
      <c r="G43" s="84"/>
      <c r="H43" s="84"/>
      <c r="I43" s="84"/>
      <c r="J43" s="84"/>
      <c r="K43" s="94"/>
      <c r="L43" s="84"/>
      <c r="M43" s="84"/>
      <c r="N43" s="84"/>
      <c r="O43" s="84"/>
      <c r="P43" s="94"/>
      <c r="Q43" s="94"/>
      <c r="R43" s="84"/>
      <c r="S43" s="84"/>
      <c r="T43" s="84"/>
      <c r="U43" s="84"/>
      <c r="V43" s="84"/>
      <c r="W43" s="84"/>
      <c r="X43" s="84"/>
      <c r="Y43" s="84"/>
      <c r="AS43" s="72"/>
      <c r="AT43" t="s">
        <v>340</v>
      </c>
      <c r="BD43" s="13"/>
      <c r="BE43">
        <v>2011</v>
      </c>
      <c r="BF43" s="84">
        <f t="shared" si="58"/>
        <v>4.0000000000000001E-3</v>
      </c>
      <c r="BG43" s="84">
        <f t="shared" si="59"/>
        <v>0</v>
      </c>
      <c r="BH43" s="84">
        <f t="shared" si="70"/>
        <v>0</v>
      </c>
      <c r="BI43" s="84">
        <f>'Rest Europe'!C16/1000</f>
        <v>0</v>
      </c>
      <c r="BJ43" s="84">
        <f t="shared" si="71"/>
        <v>0.30000000000000004</v>
      </c>
      <c r="BK43" s="84">
        <f t="shared" si="60"/>
        <v>0.32000000000000028</v>
      </c>
      <c r="BL43" s="84">
        <f>'Rest Europe'!H16/1000</f>
        <v>0</v>
      </c>
      <c r="BM43" s="84">
        <f>'Rest Europe'!M16/1000</f>
        <v>0</v>
      </c>
      <c r="BN43" s="84">
        <f>'Rest Europe'!R16/1000</f>
        <v>0</v>
      </c>
      <c r="BO43" s="84">
        <f t="shared" si="61"/>
        <v>0</v>
      </c>
      <c r="BP43" s="84">
        <f>'Rest Europe'!W16/1000</f>
        <v>0</v>
      </c>
      <c r="BQ43" s="84">
        <f t="shared" si="72"/>
        <v>0</v>
      </c>
      <c r="BR43" s="84">
        <f t="shared" si="62"/>
        <v>0.10000000000000009</v>
      </c>
      <c r="BS43" s="84">
        <f t="shared" si="63"/>
        <v>0.25</v>
      </c>
      <c r="BT43" s="84">
        <f>'Rest Europe'!AB16/1000</f>
        <v>0</v>
      </c>
      <c r="BU43" s="84">
        <f>'Major Europe'!AG16/1000</f>
        <v>0</v>
      </c>
      <c r="BV43" s="84">
        <f>'Rest Europe'!AG16/1000</f>
        <v>0</v>
      </c>
      <c r="BW43" s="84">
        <f>'India data'!U40</f>
        <v>1.33</v>
      </c>
      <c r="BX43" s="84">
        <f t="shared" si="73"/>
        <v>0</v>
      </c>
      <c r="BY43" s="84">
        <f t="shared" si="73"/>
        <v>0</v>
      </c>
      <c r="BZ43" s="84">
        <f t="shared" si="65"/>
        <v>9.9999999999997868E-3</v>
      </c>
      <c r="CA43" s="84">
        <f t="shared" si="74"/>
        <v>0</v>
      </c>
      <c r="CB43" s="84">
        <f>'Rest Europe'!AL16/1000</f>
        <v>0</v>
      </c>
      <c r="CC43" s="84">
        <f>'Rest Europe'!AV16/1000</f>
        <v>0</v>
      </c>
      <c r="CD43" s="84">
        <f>'Rest Europe'!BA16/1000</f>
        <v>0</v>
      </c>
      <c r="CE43" s="84">
        <f>'Rest Europe'!BF16/1000</f>
        <v>0</v>
      </c>
      <c r="CF43" s="84">
        <f t="shared" si="68"/>
        <v>2.0000000000000018E-2</v>
      </c>
      <c r="CG43" s="84">
        <f t="shared" si="75"/>
        <v>0</v>
      </c>
      <c r="CH43" s="84">
        <f t="shared" si="69"/>
        <v>0</v>
      </c>
      <c r="CI43" s="84">
        <f>'Rest Europe'!BK16/1000</f>
        <v>0</v>
      </c>
      <c r="CJ43" s="84">
        <f>'Rest Europe'!BP16/1000</f>
        <v>0</v>
      </c>
      <c r="CK43" s="84">
        <f>'Rest Europe'!BU16/1000</f>
        <v>0</v>
      </c>
      <c r="CL43" s="84">
        <f>'Rest Europe'!BZ16/1000</f>
        <v>1.7000000000000001E-2</v>
      </c>
      <c r="CM43" s="84">
        <f>'Rest Europe'!CE16/1000</f>
        <v>0</v>
      </c>
      <c r="CN43" s="84">
        <f t="shared" si="76"/>
        <v>8.0000000000000002E-3</v>
      </c>
      <c r="CO43" s="84">
        <f>'Major Europe'!BK16/1000</f>
        <v>0</v>
      </c>
      <c r="CP43" s="84">
        <f>'Major Europe'!BP16/1000</f>
        <v>3.7999999999999999E-2</v>
      </c>
      <c r="CQ43" s="84">
        <f>'Rest Europe'!CJ16/1000</f>
        <v>0</v>
      </c>
      <c r="CR43" s="84">
        <f t="shared" si="66"/>
        <v>1.0000000000000009E-2</v>
      </c>
      <c r="CS43" s="84">
        <f t="shared" si="67"/>
        <v>7.98</v>
      </c>
      <c r="CT43" s="84">
        <f t="shared" ref="CT43:CT49" si="77">BI43+BL43+BM43+BN43+BP43+BT43+BU43+BV43+CB43+CC43+CD43+CE43+CI43+CJ43+CK43+CL43+CM43+CQ43</f>
        <v>1.7000000000000001E-2</v>
      </c>
      <c r="CU43" s="84">
        <f t="shared" ref="CU43:CU49" si="78">SUM(BF43:CS43)</f>
        <v>10.387</v>
      </c>
    </row>
    <row r="44" spans="1:100" ht="12.75" customHeight="1">
      <c r="B44" s="84"/>
      <c r="C44" s="84"/>
      <c r="D44" s="84"/>
      <c r="E44" s="93" t="s">
        <v>254</v>
      </c>
      <c r="F44" s="93"/>
      <c r="G44" s="93"/>
      <c r="H44" s="93"/>
      <c r="I44" s="84"/>
      <c r="J44" s="84" t="s">
        <v>251</v>
      </c>
      <c r="K44" s="94"/>
      <c r="L44" s="84"/>
      <c r="M44" s="84"/>
      <c r="N44" s="84"/>
      <c r="O44" s="84"/>
      <c r="P44" s="84"/>
      <c r="Q44" s="84"/>
      <c r="R44" s="84"/>
      <c r="S44" s="84"/>
      <c r="T44" s="84"/>
      <c r="U44" s="84"/>
      <c r="V44" s="84"/>
      <c r="W44" s="84"/>
      <c r="X44" s="84"/>
      <c r="Y44" s="84"/>
      <c r="AE44" s="33" t="s">
        <v>333</v>
      </c>
      <c r="AF44" s="33"/>
      <c r="AG44" s="33"/>
      <c r="AH44" s="33"/>
      <c r="AI44" s="33"/>
      <c r="AJ44" s="33"/>
      <c r="AK44" s="33"/>
      <c r="AL44" s="33"/>
      <c r="AM44" s="33"/>
      <c r="AN44" s="33"/>
      <c r="AO44" s="33"/>
      <c r="AP44" s="33"/>
      <c r="AQ44" t="s">
        <v>251</v>
      </c>
      <c r="AZ44" s="101" t="s">
        <v>1379</v>
      </c>
      <c r="BA44" s="101"/>
      <c r="BD44" s="13"/>
      <c r="BE44">
        <v>2012</v>
      </c>
      <c r="BF44" s="84">
        <f t="shared" si="58"/>
        <v>3.0000000000000001E-3</v>
      </c>
      <c r="BG44" s="84">
        <f t="shared" si="59"/>
        <v>0.26700000000000002</v>
      </c>
      <c r="BH44" s="84">
        <f t="shared" si="70"/>
        <v>0.32600000000000001</v>
      </c>
      <c r="BI44" s="84">
        <f>'Rest Europe'!C17/1000</f>
        <v>4.0000000000000001E-3</v>
      </c>
      <c r="BJ44" s="84">
        <f t="shared" si="71"/>
        <v>1.4</v>
      </c>
      <c r="BK44" s="84">
        <f t="shared" si="60"/>
        <v>0.25999999999999979</v>
      </c>
      <c r="BL44" s="84">
        <f>'Rest Europe'!H17/1000</f>
        <v>0</v>
      </c>
      <c r="BM44" s="84">
        <f>'Rest Europe'!M17/1000</f>
        <v>0</v>
      </c>
      <c r="BN44" s="84">
        <f>'Rest Europe'!R17/1000</f>
        <v>1.6E-2</v>
      </c>
      <c r="BO44" s="84">
        <f t="shared" si="61"/>
        <v>3.3000000000000002E-2</v>
      </c>
      <c r="BP44" s="84">
        <f>'Rest Europe'!W17/1000</f>
        <v>5.0000000000000001E-3</v>
      </c>
      <c r="BQ44" s="84">
        <f t="shared" si="72"/>
        <v>0.128</v>
      </c>
      <c r="BR44" s="84">
        <f t="shared" si="62"/>
        <v>0.59999999999999964</v>
      </c>
      <c r="BS44" s="84">
        <f t="shared" si="63"/>
        <v>1.1600000000000001</v>
      </c>
      <c r="BT44" s="84">
        <f>'Rest Europe'!AB17/1000</f>
        <v>0</v>
      </c>
      <c r="BU44" s="84">
        <f>'Major Europe'!AG17/1000</f>
        <v>1.7000000000000001E-2</v>
      </c>
      <c r="BV44" s="84">
        <f>'Rest Europe'!AG17/1000</f>
        <v>1.2142857142857143E-2</v>
      </c>
      <c r="BW44" s="84">
        <f>'India data'!U41</f>
        <v>2.76</v>
      </c>
      <c r="BX44" s="84">
        <f t="shared" si="73"/>
        <v>0</v>
      </c>
      <c r="BY44" s="84">
        <f t="shared" si="73"/>
        <v>0.14499999999999999</v>
      </c>
      <c r="BZ44" s="84">
        <f t="shared" si="65"/>
        <v>10.97</v>
      </c>
      <c r="CA44" s="84">
        <f t="shared" si="74"/>
        <v>0</v>
      </c>
      <c r="CB44" s="84">
        <f>'Rest Europe'!AL17/1000</f>
        <v>3.0000000000000001E-3</v>
      </c>
      <c r="CC44" s="84">
        <f>'Rest Europe'!AV17/1000</f>
        <v>0</v>
      </c>
      <c r="CD44" s="84">
        <f>'Rest Europe'!BA17/1000</f>
        <v>0.03</v>
      </c>
      <c r="CE44" s="84">
        <f>'Rest Europe'!BF17/1000</f>
        <v>0</v>
      </c>
      <c r="CF44" s="84">
        <f t="shared" si="68"/>
        <v>4.33</v>
      </c>
      <c r="CG44" s="84">
        <f t="shared" si="75"/>
        <v>0</v>
      </c>
      <c r="CH44" s="84">
        <f t="shared" si="69"/>
        <v>0.33000000000000007</v>
      </c>
      <c r="CI44" s="84">
        <f>'Rest Europe'!BK17/1000</f>
        <v>1.2E-2</v>
      </c>
      <c r="CJ44" s="84">
        <f>'Rest Europe'!BP17/1000</f>
        <v>0.03</v>
      </c>
      <c r="CK44" s="84">
        <f>'Rest Europe'!BU17/1000</f>
        <v>5.0000000000000001E-3</v>
      </c>
      <c r="CL44" s="84">
        <f>'Rest Europe'!BZ17/1000</f>
        <v>0</v>
      </c>
      <c r="CM44" s="84">
        <f>'Rest Europe'!CE17/1000</f>
        <v>0.01</v>
      </c>
      <c r="CN44" s="84">
        <f t="shared" si="76"/>
        <v>0.109</v>
      </c>
      <c r="CO44" s="84">
        <f>'Major Europe'!BK17/1000</f>
        <v>0.65700000000000003</v>
      </c>
      <c r="CP44" s="84">
        <f>'Major Europe'!BP17/1000</f>
        <v>0.39400000000000002</v>
      </c>
      <c r="CQ44" s="84">
        <f>'Rest Europe'!CJ17/1000</f>
        <v>0</v>
      </c>
      <c r="CR44" s="84">
        <f t="shared" si="66"/>
        <v>0.98</v>
      </c>
      <c r="CS44" s="84">
        <f t="shared" si="67"/>
        <v>38.590000000000003</v>
      </c>
      <c r="CT44" s="84">
        <f t="shared" si="77"/>
        <v>0.14414285714285716</v>
      </c>
      <c r="CU44" s="84">
        <f t="shared" si="78"/>
        <v>63.58614285714286</v>
      </c>
    </row>
    <row r="45" spans="1:100" ht="12.75" customHeight="1">
      <c r="A45" s="22"/>
      <c r="B45" s="151" t="s">
        <v>255</v>
      </c>
      <c r="C45" s="151" t="s">
        <v>539</v>
      </c>
      <c r="D45" s="151" t="s">
        <v>540</v>
      </c>
      <c r="E45" s="151" t="s">
        <v>238</v>
      </c>
      <c r="F45" s="151" t="s">
        <v>239</v>
      </c>
      <c r="G45" s="151" t="s">
        <v>541</v>
      </c>
      <c r="H45" s="151" t="s">
        <v>542</v>
      </c>
      <c r="I45" s="151" t="s">
        <v>240</v>
      </c>
      <c r="J45" s="151" t="s">
        <v>241</v>
      </c>
      <c r="K45" s="143" t="s">
        <v>242</v>
      </c>
      <c r="L45" s="151" t="s">
        <v>544</v>
      </c>
      <c r="M45" s="152" t="s">
        <v>538</v>
      </c>
      <c r="N45" s="151" t="s">
        <v>243</v>
      </c>
      <c r="O45" s="151" t="s">
        <v>244</v>
      </c>
      <c r="P45" s="149" t="s">
        <v>245</v>
      </c>
      <c r="Q45" s="153" t="s">
        <v>331</v>
      </c>
      <c r="R45" s="151" t="s">
        <v>246</v>
      </c>
      <c r="S45" s="151" t="s">
        <v>545</v>
      </c>
      <c r="T45" s="151" t="s">
        <v>247</v>
      </c>
      <c r="U45" s="151" t="s">
        <v>546</v>
      </c>
      <c r="V45" s="151" t="s">
        <v>248</v>
      </c>
      <c r="W45" s="151" t="s">
        <v>249</v>
      </c>
      <c r="X45" s="149" t="s">
        <v>609</v>
      </c>
      <c r="Y45" s="151" t="s">
        <v>158</v>
      </c>
      <c r="Z45" s="149" t="s">
        <v>1055</v>
      </c>
      <c r="AE45" s="149" t="s">
        <v>255</v>
      </c>
      <c r="AF45" s="149" t="s">
        <v>539</v>
      </c>
      <c r="AG45" s="149" t="s">
        <v>540</v>
      </c>
      <c r="AH45" s="149" t="s">
        <v>238</v>
      </c>
      <c r="AI45" s="149" t="s">
        <v>239</v>
      </c>
      <c r="AJ45" s="149" t="s">
        <v>541</v>
      </c>
      <c r="AK45" s="149" t="s">
        <v>542</v>
      </c>
      <c r="AL45" s="149" t="s">
        <v>240</v>
      </c>
      <c r="AM45" s="149" t="s">
        <v>241</v>
      </c>
      <c r="AN45" s="149" t="s">
        <v>242</v>
      </c>
      <c r="AO45" s="149" t="s">
        <v>544</v>
      </c>
      <c r="AP45" s="7" t="s">
        <v>538</v>
      </c>
      <c r="AQ45" s="149" t="s">
        <v>243</v>
      </c>
      <c r="AR45" s="149" t="s">
        <v>244</v>
      </c>
      <c r="AS45" s="149" t="s">
        <v>245</v>
      </c>
      <c r="AT45" s="150" t="s">
        <v>331</v>
      </c>
      <c r="AU45" s="149" t="s">
        <v>246</v>
      </c>
      <c r="AV45" s="149" t="s">
        <v>545</v>
      </c>
      <c r="AW45" s="149" t="s">
        <v>247</v>
      </c>
      <c r="AX45" s="149" t="s">
        <v>546</v>
      </c>
      <c r="AY45" s="149" t="s">
        <v>248</v>
      </c>
      <c r="AZ45" s="149" t="s">
        <v>249</v>
      </c>
      <c r="BA45" s="149" t="s">
        <v>609</v>
      </c>
      <c r="BB45" s="149" t="s">
        <v>158</v>
      </c>
      <c r="BD45" s="13"/>
      <c r="BE45">
        <v>2013</v>
      </c>
      <c r="BF45" s="84">
        <f t="shared" si="58"/>
        <v>0.13300000000000001</v>
      </c>
      <c r="BG45" s="84">
        <f t="shared" si="59"/>
        <v>0.184</v>
      </c>
      <c r="BH45" s="84">
        <f t="shared" si="70"/>
        <v>0.31900000000000001</v>
      </c>
      <c r="BI45" s="84">
        <f>'Rest Europe'!C18/1000</f>
        <v>0</v>
      </c>
      <c r="BJ45" s="84">
        <f t="shared" si="71"/>
        <v>1.4800000000000002</v>
      </c>
      <c r="BK45" s="84">
        <f t="shared" si="60"/>
        <v>0.73000000000000043</v>
      </c>
      <c r="BL45" s="84">
        <f>'Rest Europe'!H18/1000</f>
        <v>0</v>
      </c>
      <c r="BM45" s="84">
        <f>'Rest Europe'!M18/1000</f>
        <v>0</v>
      </c>
      <c r="BN45" s="84">
        <f>'Rest Europe'!R18/1000</f>
        <v>1.0999999999999999E-2</v>
      </c>
      <c r="BO45" s="84">
        <f t="shared" si="61"/>
        <v>1.0999999999999999E-2</v>
      </c>
      <c r="BP45" s="84">
        <f>'Rest Europe'!W18/1000</f>
        <v>5.0000000000000001E-3</v>
      </c>
      <c r="BQ45" s="84">
        <f t="shared" si="72"/>
        <v>0.16800000000000001</v>
      </c>
      <c r="BR45" s="84">
        <f t="shared" si="62"/>
        <v>0.83999999999999986</v>
      </c>
      <c r="BS45" s="84">
        <f t="shared" si="63"/>
        <v>1.62</v>
      </c>
      <c r="BT45" s="84">
        <f>'Rest Europe'!AB18/1000</f>
        <v>1E-3</v>
      </c>
      <c r="BU45" s="84">
        <f>'Major Europe'!AG18/1000</f>
        <v>1.2999999999999999E-2</v>
      </c>
      <c r="BV45" s="84">
        <f>'Rest Europe'!AG18/1000</f>
        <v>2.4E-2</v>
      </c>
      <c r="BW45" s="84">
        <f>'India data'!U42</f>
        <v>2.95</v>
      </c>
      <c r="BX45" s="84">
        <f t="shared" si="73"/>
        <v>0</v>
      </c>
      <c r="BY45" s="84">
        <f t="shared" si="73"/>
        <v>0.218</v>
      </c>
      <c r="BZ45" s="84">
        <f t="shared" si="65"/>
        <v>14.12</v>
      </c>
      <c r="CA45" s="84">
        <f t="shared" si="74"/>
        <v>0</v>
      </c>
      <c r="CB45" s="84">
        <f>'Rest Europe'!AL18/1000</f>
        <v>5.0000000000000001E-3</v>
      </c>
      <c r="CC45" s="84">
        <f>'Rest Europe'!AV18/1000</f>
        <v>4.0000000000000001E-3</v>
      </c>
      <c r="CD45" s="84">
        <f>'Rest Europe'!BA18/1000</f>
        <v>0.03</v>
      </c>
      <c r="CE45" s="84">
        <f>'Rest Europe'!BF18/1000</f>
        <v>0</v>
      </c>
      <c r="CF45" s="84">
        <f t="shared" si="68"/>
        <v>20.170000000000002</v>
      </c>
      <c r="CG45" s="84">
        <f t="shared" si="75"/>
        <v>6.0000000000000001E-3</v>
      </c>
      <c r="CH45" s="84">
        <f t="shared" si="69"/>
        <v>0.32000000000000028</v>
      </c>
      <c r="CI45" s="84">
        <f>'Rest Europe'!BK18/1000</f>
        <v>0.01</v>
      </c>
      <c r="CJ45" s="84">
        <f>'Rest Europe'!BP18/1000</f>
        <v>4.3999999999999997E-2</v>
      </c>
      <c r="CK45" s="84">
        <f>'Rest Europe'!BU18/1000</f>
        <v>0</v>
      </c>
      <c r="CL45" s="84">
        <f>'Rest Europe'!BZ18/1000</f>
        <v>1.2E-2</v>
      </c>
      <c r="CM45" s="84">
        <f>'Rest Europe'!CE18/1000</f>
        <v>1.2999999999999999E-2</v>
      </c>
      <c r="CN45" s="84">
        <f t="shared" si="76"/>
        <v>8.6999999999999994E-2</v>
      </c>
      <c r="CO45" s="84">
        <f>'Major Europe'!BK18/1000</f>
        <v>1.1120000000000001</v>
      </c>
      <c r="CP45" s="84">
        <f>'Major Europe'!BP18/1000</f>
        <v>0.218</v>
      </c>
      <c r="CQ45" s="84">
        <f>'Rest Europe'!CJ18/1000</f>
        <v>0</v>
      </c>
      <c r="CR45" s="84">
        <f t="shared" si="66"/>
        <v>1.0699999999999998</v>
      </c>
      <c r="CS45" s="84">
        <f t="shared" si="67"/>
        <v>49.010000000000005</v>
      </c>
      <c r="CT45" s="84">
        <f t="shared" si="77"/>
        <v>0.17200000000000001</v>
      </c>
      <c r="CU45" s="84">
        <f t="shared" si="78"/>
        <v>94.938000000000017</v>
      </c>
    </row>
    <row r="46" spans="1:100" ht="12.75" customHeight="1">
      <c r="A46">
        <v>2005</v>
      </c>
      <c r="B46" s="131">
        <v>0</v>
      </c>
      <c r="C46" s="84">
        <v>0</v>
      </c>
      <c r="D46" s="84">
        <v>0</v>
      </c>
      <c r="E46" s="93">
        <v>0</v>
      </c>
      <c r="F46" s="93">
        <v>0</v>
      </c>
      <c r="G46" s="84">
        <v>0</v>
      </c>
      <c r="H46" s="84">
        <v>0</v>
      </c>
      <c r="I46" s="84">
        <v>0.01</v>
      </c>
      <c r="J46" s="84">
        <v>0.02</v>
      </c>
      <c r="K46" s="94">
        <f>BW21</f>
        <v>9.9000000000000005E-2</v>
      </c>
      <c r="L46" s="84">
        <v>0</v>
      </c>
      <c r="M46" s="84">
        <v>0</v>
      </c>
      <c r="N46" s="84">
        <v>0</v>
      </c>
      <c r="O46" s="93">
        <v>0</v>
      </c>
      <c r="P46" s="93">
        <v>0</v>
      </c>
      <c r="Q46" s="93">
        <v>0</v>
      </c>
      <c r="R46" s="93">
        <v>0</v>
      </c>
      <c r="S46" s="84">
        <v>0</v>
      </c>
      <c r="T46" s="93">
        <v>0</v>
      </c>
      <c r="U46" s="84">
        <f>CP21</f>
        <v>0</v>
      </c>
      <c r="V46" s="84">
        <v>0.22</v>
      </c>
      <c r="W46" s="84">
        <v>1.1200000000000001</v>
      </c>
      <c r="X46" s="94">
        <f>CT21</f>
        <v>0</v>
      </c>
      <c r="Y46" s="84">
        <f t="shared" ref="Y46:Y57" si="79">SUM(B46:X46)</f>
        <v>1.4690000000000001</v>
      </c>
      <c r="AD46">
        <v>2005</v>
      </c>
      <c r="AE46" s="84">
        <f t="shared" ref="AE46:AE57" si="80">BF3</f>
        <v>789.096</v>
      </c>
      <c r="AF46" s="84">
        <f t="shared" ref="AF46:AF57" si="81">BG3</f>
        <v>307.90499999999997</v>
      </c>
      <c r="AG46" s="84">
        <f t="shared" ref="AG46:AG57" si="82">BH3</f>
        <v>480.00799999999998</v>
      </c>
      <c r="AH46" s="3"/>
      <c r="AI46" s="3"/>
      <c r="AJ46" s="84">
        <f t="shared" ref="AJ46:AJ57" si="83">BO3</f>
        <v>148.178</v>
      </c>
      <c r="AK46" s="84">
        <f t="shared" ref="AK46:AK57" si="84">BQ3</f>
        <v>147.74</v>
      </c>
      <c r="AL46" s="84">
        <f t="shared" ref="AL46:AL58" si="85">BR3</f>
        <v>2067.7890000000002</v>
      </c>
      <c r="AM46" s="84">
        <f t="shared" ref="AM46:AM57" si="86">BS3</f>
        <v>3340.7080000000001</v>
      </c>
      <c r="AN46" s="3">
        <f t="shared" ref="AN46:AN51" si="87">BW3</f>
        <v>1062</v>
      </c>
      <c r="AO46" s="3">
        <f t="shared" ref="AO46:AO57" si="88">BX3</f>
        <v>171.74199999999999</v>
      </c>
      <c r="AP46" s="3">
        <f t="shared" ref="AP46:AP57" si="89">BY3</f>
        <v>2264.6610000000001</v>
      </c>
      <c r="AQ46" s="3"/>
      <c r="AR46" s="3"/>
      <c r="AS46" s="3">
        <f t="shared" ref="AS46:AS57" si="90">CF3</f>
        <v>465.19600000000003</v>
      </c>
      <c r="AT46" s="3">
        <v>235</v>
      </c>
      <c r="AU46" s="61">
        <f>CR77</f>
        <v>109.907</v>
      </c>
      <c r="AV46" s="61">
        <f t="shared" ref="AV46:AV57" si="91">CN3</f>
        <v>1649.3510000000001</v>
      </c>
      <c r="AW46" s="61">
        <f t="shared" ref="AW46:AW57" si="92">CO3</f>
        <v>273.93200000000002</v>
      </c>
      <c r="AX46" s="61"/>
      <c r="AY46" s="61">
        <f t="shared" ref="AY46:AY58" si="93">CR3</f>
        <v>2439.2510000000002</v>
      </c>
      <c r="AZ46" s="61">
        <f>CW77</f>
        <v>13144.8</v>
      </c>
      <c r="BA46" s="3"/>
      <c r="BB46" s="3"/>
      <c r="BC46" s="3"/>
      <c r="BD46" s="13"/>
      <c r="BE46">
        <v>2014</v>
      </c>
      <c r="BF46" s="137">
        <f t="shared" si="58"/>
        <v>1.1420000000000001</v>
      </c>
      <c r="BG46" s="84">
        <f t="shared" si="59"/>
        <v>0.434</v>
      </c>
      <c r="BH46" s="84">
        <f t="shared" si="70"/>
        <v>0.85199999999999998</v>
      </c>
      <c r="BI46" s="84">
        <f>'Rest Europe'!C19/1000</f>
        <v>2E-3</v>
      </c>
      <c r="BJ46" s="84">
        <f t="shared" si="71"/>
        <v>2.2400000000000002</v>
      </c>
      <c r="BK46" s="84">
        <f t="shared" si="60"/>
        <v>24.260000000000005</v>
      </c>
      <c r="BL46" s="84">
        <f>'Rest Europe'!H19/1000</f>
        <v>5.0000000000000001E-3</v>
      </c>
      <c r="BM46" s="84">
        <f>'Rest Europe'!M19/1000</f>
        <v>3.0000000000000001E-3</v>
      </c>
      <c r="BN46" s="84">
        <f>'Rest Europe'!R19/1000</f>
        <v>5.5E-2</v>
      </c>
      <c r="BO46" s="84">
        <f t="shared" si="61"/>
        <v>0.1</v>
      </c>
      <c r="BP46" s="84">
        <f>'Rest Europe'!W19/1000</f>
        <v>2.5999999999999999E-2</v>
      </c>
      <c r="BQ46" s="84">
        <f t="shared" si="72"/>
        <v>0.29099999999999998</v>
      </c>
      <c r="BR46" s="84">
        <f t="shared" si="62"/>
        <v>2.0700000000000003</v>
      </c>
      <c r="BS46" s="84">
        <f t="shared" si="63"/>
        <v>4.3900000000000006</v>
      </c>
      <c r="BT46" s="84">
        <f>'Rest Europe'!AB19/1000</f>
        <v>1.7000000000000001E-2</v>
      </c>
      <c r="BU46" s="84">
        <f>'Major Europe'!AG19/1000</f>
        <v>1.2999999999999999E-2</v>
      </c>
      <c r="BV46" s="84">
        <f>'Rest Europe'!AG19/1000</f>
        <v>2.8000000000000001E-2</v>
      </c>
      <c r="BW46" s="84">
        <f>'India data'!U43</f>
        <v>3.35</v>
      </c>
      <c r="BX46" s="84">
        <f t="shared" si="73"/>
        <v>3.5000000000000003E-2</v>
      </c>
      <c r="BY46" s="84">
        <f t="shared" si="73"/>
        <v>0.44600000000000001</v>
      </c>
      <c r="BZ46" s="84">
        <f t="shared" si="65"/>
        <v>16.18</v>
      </c>
      <c r="CA46" s="84">
        <f t="shared" si="74"/>
        <v>0</v>
      </c>
      <c r="CB46" s="84">
        <f>'Rest Europe'!AL19/1000</f>
        <v>3.0000000000000001E-3</v>
      </c>
      <c r="CC46" s="84">
        <f>'Rest Europe'!AV19/1000</f>
        <v>0.01</v>
      </c>
      <c r="CD46" s="84">
        <f>'Rest Europe'!BA19/1000</f>
        <v>0.106</v>
      </c>
      <c r="CE46" s="84">
        <f>'Rest Europe'!BF19/1000</f>
        <v>4.0000000000000001E-3</v>
      </c>
      <c r="CF46" s="84">
        <f t="shared" si="68"/>
        <v>12.43</v>
      </c>
      <c r="CG46" s="84">
        <f t="shared" si="75"/>
        <v>0.214</v>
      </c>
      <c r="CH46" s="84">
        <f t="shared" si="69"/>
        <v>1.6700000000000017</v>
      </c>
      <c r="CI46" s="84">
        <f>'Rest Europe'!BK19/1000</f>
        <v>8.2000000000000003E-2</v>
      </c>
      <c r="CJ46" s="84">
        <f>'Rest Europe'!BP19/1000</f>
        <v>0.10299999999999999</v>
      </c>
      <c r="CK46" s="84">
        <f>'Rest Europe'!BU19/1000</f>
        <v>1.2999999999999999E-2</v>
      </c>
      <c r="CL46" s="84">
        <f>'Rest Europe'!BZ19/1000</f>
        <v>4.9000000000000002E-2</v>
      </c>
      <c r="CM46" s="84">
        <f>'Rest Europe'!CE19/1000</f>
        <v>0.01</v>
      </c>
      <c r="CN46" s="84">
        <f t="shared" si="76"/>
        <v>0.41699999999999998</v>
      </c>
      <c r="CO46" s="84">
        <f>'Major Europe'!BK19/1000</f>
        <v>3.472</v>
      </c>
      <c r="CP46" s="84">
        <f>'Major Europe'!BP19/1000</f>
        <v>0.83699999999999997</v>
      </c>
      <c r="CQ46" s="84">
        <f>'Rest Europe'!CJ19/1000</f>
        <v>0.02</v>
      </c>
      <c r="CR46" s="84">
        <f t="shared" si="66"/>
        <v>7.9300000000000006</v>
      </c>
      <c r="CS46" s="84">
        <f t="shared" si="67"/>
        <v>55.36</v>
      </c>
      <c r="CT46" s="84">
        <f t="shared" si="77"/>
        <v>0.54900000000000004</v>
      </c>
      <c r="CU46" s="84">
        <f t="shared" si="78"/>
        <v>138.66899999999998</v>
      </c>
    </row>
    <row r="47" spans="1:100" ht="12.75" customHeight="1">
      <c r="A47">
        <v>2006</v>
      </c>
      <c r="B47" s="131">
        <v>0</v>
      </c>
      <c r="C47" s="84">
        <v>0</v>
      </c>
      <c r="D47" s="84">
        <v>0</v>
      </c>
      <c r="E47" s="93">
        <v>0</v>
      </c>
      <c r="F47" s="93">
        <v>0</v>
      </c>
      <c r="G47" s="84">
        <v>0</v>
      </c>
      <c r="H47" s="84">
        <v>0</v>
      </c>
      <c r="I47" s="93">
        <v>0</v>
      </c>
      <c r="J47" s="93">
        <f>J46</f>
        <v>0.02</v>
      </c>
      <c r="K47" s="94">
        <f t="shared" ref="K47:K58" si="94">BW22</f>
        <v>0.123</v>
      </c>
      <c r="L47" s="84">
        <v>0</v>
      </c>
      <c r="M47" s="84">
        <v>0</v>
      </c>
      <c r="N47" s="84">
        <v>0</v>
      </c>
      <c r="O47" s="93">
        <v>0</v>
      </c>
      <c r="P47" s="93">
        <v>0</v>
      </c>
      <c r="Q47" s="93">
        <v>0</v>
      </c>
      <c r="R47" s="93">
        <v>0</v>
      </c>
      <c r="S47" s="84">
        <v>0</v>
      </c>
      <c r="T47" s="93">
        <v>0</v>
      </c>
      <c r="U47" s="84">
        <f t="shared" ref="U47:U56" si="95">CP22</f>
        <v>0</v>
      </c>
      <c r="V47" s="84">
        <v>0.32</v>
      </c>
      <c r="W47" s="93">
        <f>W46+(W49-W46)/3</f>
        <v>1.2366666666666668</v>
      </c>
      <c r="X47" s="94">
        <f t="shared" ref="X47:X57" si="96">CT22</f>
        <v>0</v>
      </c>
      <c r="Y47" s="84">
        <f t="shared" si="79"/>
        <v>1.6996666666666669</v>
      </c>
      <c r="AD47">
        <v>2006</v>
      </c>
      <c r="AE47" s="84">
        <f t="shared" si="80"/>
        <v>769.24099999999999</v>
      </c>
      <c r="AF47" s="84">
        <f t="shared" si="81"/>
        <v>308.59500000000003</v>
      </c>
      <c r="AG47" s="84">
        <f t="shared" si="82"/>
        <v>526.11300000000006</v>
      </c>
      <c r="AH47" s="3"/>
      <c r="AI47" s="3"/>
      <c r="AJ47" s="84">
        <f t="shared" si="83"/>
        <v>156.90899999999999</v>
      </c>
      <c r="AK47" s="84">
        <f t="shared" si="84"/>
        <v>145.233</v>
      </c>
      <c r="AL47" s="84">
        <f t="shared" si="85"/>
        <v>2000.5630000000001</v>
      </c>
      <c r="AM47" s="84">
        <f t="shared" si="86"/>
        <v>3466.489</v>
      </c>
      <c r="AN47" s="3">
        <f t="shared" si="87"/>
        <v>1143</v>
      </c>
      <c r="AO47" s="3">
        <f t="shared" si="88"/>
        <v>178.483</v>
      </c>
      <c r="AP47" s="3">
        <f t="shared" si="89"/>
        <v>2354.1410000000001</v>
      </c>
      <c r="AQ47" s="3"/>
      <c r="AR47" s="3"/>
      <c r="AS47" s="3">
        <f t="shared" si="90"/>
        <v>484.01</v>
      </c>
      <c r="AT47" s="3">
        <v>205</v>
      </c>
      <c r="AU47" s="61">
        <f>CR78</f>
        <v>109.164</v>
      </c>
      <c r="AV47" s="61">
        <f t="shared" si="91"/>
        <v>1634.489</v>
      </c>
      <c r="AW47" s="61">
        <f t="shared" si="92"/>
        <v>282.47500000000002</v>
      </c>
      <c r="AX47" s="61"/>
      <c r="AY47" s="61">
        <f t="shared" si="93"/>
        <v>2344.4070000000002</v>
      </c>
      <c r="AZ47" s="61">
        <f t="shared" ref="AZ47:AZ58" si="97">CW78</f>
        <v>12998.3</v>
      </c>
      <c r="BA47" s="3"/>
      <c r="BB47" s="3"/>
      <c r="BC47" s="3"/>
      <c r="BD47" s="13"/>
      <c r="BE47">
        <v>2015</v>
      </c>
      <c r="BF47" s="84">
        <f t="shared" si="58"/>
        <v>1.2119999999999997</v>
      </c>
      <c r="BG47" s="84">
        <f t="shared" si="59"/>
        <v>1.101</v>
      </c>
      <c r="BH47" s="84">
        <f t="shared" si="70"/>
        <v>2.4510000000000001</v>
      </c>
      <c r="BI47" s="84">
        <f>'Rest Europe'!C20/1000</f>
        <v>5.0000000000000001E-3</v>
      </c>
      <c r="BJ47" s="84">
        <f t="shared" si="71"/>
        <v>2.58</v>
      </c>
      <c r="BK47" s="84">
        <f t="shared" si="60"/>
        <v>60.66</v>
      </c>
      <c r="BL47" s="84">
        <f>'Rest Europe'!H20/1000</f>
        <v>4.2999999999999997E-2</v>
      </c>
      <c r="BM47" s="84">
        <f>'Rest Europe'!M20/1000</f>
        <v>2.5999999999999999E-2</v>
      </c>
      <c r="BN47" s="84">
        <f>'Rest Europe'!R20/1000</f>
        <v>0.128</v>
      </c>
      <c r="BO47" s="84">
        <f t="shared" si="61"/>
        <v>0.44400000000000001</v>
      </c>
      <c r="BP47" s="84">
        <f>'Rest Europe'!W20/1000</f>
        <v>1.2E-2</v>
      </c>
      <c r="BQ47" s="84">
        <f t="shared" si="72"/>
        <v>0.41499999999999998</v>
      </c>
      <c r="BR47" s="84">
        <f t="shared" si="62"/>
        <v>5.68</v>
      </c>
      <c r="BS47" s="84">
        <f t="shared" si="63"/>
        <v>11.110000000000001</v>
      </c>
      <c r="BT47" s="84">
        <f>'Rest Europe'!AB20/1000</f>
        <v>2.3E-2</v>
      </c>
      <c r="BU47" s="84">
        <f>'Major Europe'!AG20/1000</f>
        <v>5.8999999999999997E-2</v>
      </c>
      <c r="BV47" s="84">
        <f>'Rest Europe'!AG20/1000</f>
        <v>0.17</v>
      </c>
      <c r="BW47" s="84">
        <f>'India data'!U44</f>
        <v>4.3499999999999996</v>
      </c>
      <c r="BX47" s="84">
        <f t="shared" si="73"/>
        <v>9.9000000000000005E-2</v>
      </c>
      <c r="BY47" s="84">
        <f t="shared" si="73"/>
        <v>0.89100000000000001</v>
      </c>
      <c r="BZ47" s="84">
        <f t="shared" si="65"/>
        <v>14.179999999999998</v>
      </c>
      <c r="CA47" s="84">
        <f t="shared" si="74"/>
        <v>0.27</v>
      </c>
      <c r="CB47" s="84">
        <f>'Rest Europe'!AL20/1000</f>
        <v>0.01</v>
      </c>
      <c r="CC47" s="84">
        <f>'Rest Europe'!AV20/1000</f>
        <v>1.4E-2</v>
      </c>
      <c r="CD47" s="84">
        <f>'Rest Europe'!BA20/1000</f>
        <v>0.113</v>
      </c>
      <c r="CE47" s="84">
        <f>'Rest Europe'!BF20/1000</f>
        <v>3.0000000000000001E-3</v>
      </c>
      <c r="CF47" s="84">
        <f t="shared" si="68"/>
        <v>41.230000000000004</v>
      </c>
      <c r="CG47" s="84">
        <f t="shared" si="75"/>
        <v>0.22699999999999998</v>
      </c>
      <c r="CH47" s="84">
        <f t="shared" si="69"/>
        <v>7.82</v>
      </c>
      <c r="CI47" s="84">
        <f>'Rest Europe'!BK20/1000</f>
        <v>0.17599999999999999</v>
      </c>
      <c r="CJ47" s="84">
        <f>'Rest Europe'!BP20/1000</f>
        <v>0.54100000000000004</v>
      </c>
      <c r="CK47" s="84">
        <f>'Rest Europe'!BU20/1000</f>
        <v>3.9E-2</v>
      </c>
      <c r="CL47" s="84">
        <f>'Rest Europe'!BZ20/1000</f>
        <v>6.8000000000000005E-2</v>
      </c>
      <c r="CM47" s="84">
        <f>'Rest Europe'!CE20/1000</f>
        <v>3.5000000000000003E-2</v>
      </c>
      <c r="CN47" s="84">
        <f t="shared" si="76"/>
        <v>0.86899999999999999</v>
      </c>
      <c r="CO47" s="84">
        <f>'Major Europe'!BK20/1000</f>
        <v>5.7119999999999997</v>
      </c>
      <c r="CP47" s="84">
        <f>'Major Europe'!BP20/1000</f>
        <v>2.5579999999999998</v>
      </c>
      <c r="CQ47" s="84">
        <f>'Rest Europe'!CJ20/1000</f>
        <v>0.107</v>
      </c>
      <c r="CR47" s="84">
        <f t="shared" si="66"/>
        <v>19.240000000000002</v>
      </c>
      <c r="CS47" s="84">
        <f t="shared" si="67"/>
        <v>42.83</v>
      </c>
      <c r="CT47" s="84">
        <f t="shared" si="77"/>
        <v>1.5719999999999998</v>
      </c>
      <c r="CU47" s="84">
        <f t="shared" si="78"/>
        <v>227.50099999999998</v>
      </c>
    </row>
    <row r="48" spans="1:100" ht="12.75" customHeight="1">
      <c r="A48">
        <v>2007</v>
      </c>
      <c r="B48" s="131">
        <v>0</v>
      </c>
      <c r="C48" s="84">
        <v>0</v>
      </c>
      <c r="D48" s="84">
        <v>0</v>
      </c>
      <c r="E48" s="93">
        <v>0</v>
      </c>
      <c r="F48" s="93">
        <v>0</v>
      </c>
      <c r="G48" s="84">
        <v>0</v>
      </c>
      <c r="H48" s="84">
        <v>0</v>
      </c>
      <c r="I48" s="93">
        <v>0</v>
      </c>
      <c r="J48" s="93">
        <f>J47</f>
        <v>0.02</v>
      </c>
      <c r="K48" s="94">
        <f t="shared" si="94"/>
        <v>0.13500000000000001</v>
      </c>
      <c r="L48" s="84">
        <v>0</v>
      </c>
      <c r="M48" s="84">
        <v>0</v>
      </c>
      <c r="N48" s="84">
        <v>0</v>
      </c>
      <c r="O48" s="93">
        <v>0</v>
      </c>
      <c r="P48" s="93">
        <v>0</v>
      </c>
      <c r="Q48" s="93">
        <v>0</v>
      </c>
      <c r="R48" s="84">
        <v>0.01</v>
      </c>
      <c r="S48" s="84">
        <v>0</v>
      </c>
      <c r="T48" s="93">
        <v>0</v>
      </c>
      <c r="U48" s="84">
        <f t="shared" si="95"/>
        <v>0</v>
      </c>
      <c r="V48" s="84">
        <v>0.45</v>
      </c>
      <c r="W48" s="93">
        <f>W47+(W49-W46)/3</f>
        <v>1.3533333333333335</v>
      </c>
      <c r="X48" s="94">
        <f t="shared" si="96"/>
        <v>0</v>
      </c>
      <c r="Y48" s="84">
        <f t="shared" si="79"/>
        <v>1.9683333333333335</v>
      </c>
      <c r="AD48">
        <v>2007</v>
      </c>
      <c r="AE48" s="84">
        <f t="shared" si="80"/>
        <v>835.19500000000005</v>
      </c>
      <c r="AF48" s="84">
        <f t="shared" si="81"/>
        <v>298.18099999999998</v>
      </c>
      <c r="AG48" s="84">
        <f t="shared" si="82"/>
        <v>524.57500000000005</v>
      </c>
      <c r="AH48" s="3"/>
      <c r="AI48" s="3"/>
      <c r="AJ48" s="84">
        <f t="shared" si="83"/>
        <v>162.77600000000001</v>
      </c>
      <c r="AK48" s="84">
        <f t="shared" si="84"/>
        <v>124.998</v>
      </c>
      <c r="AL48" s="84">
        <f t="shared" si="85"/>
        <v>2064.9989999999998</v>
      </c>
      <c r="AM48" s="84">
        <f t="shared" si="86"/>
        <v>3146.578</v>
      </c>
      <c r="AN48" s="3">
        <f t="shared" si="87"/>
        <v>1380</v>
      </c>
      <c r="AO48" s="3">
        <f t="shared" si="88"/>
        <v>186.32499999999999</v>
      </c>
      <c r="AP48" s="3">
        <f t="shared" si="89"/>
        <v>2512.9720000000002</v>
      </c>
      <c r="AQ48" s="3"/>
      <c r="AR48" s="3"/>
      <c r="AS48" s="3">
        <f t="shared" si="90"/>
        <v>505.53899999999999</v>
      </c>
      <c r="AT48" s="3">
        <v>203</v>
      </c>
      <c r="AU48" s="61">
        <f t="shared" ref="AU48:AU57" si="98">CR79</f>
        <v>129.19499999999999</v>
      </c>
      <c r="AV48" s="61">
        <f t="shared" si="91"/>
        <v>1614.8140000000001</v>
      </c>
      <c r="AW48" s="61">
        <f t="shared" si="92"/>
        <v>306.32499999999999</v>
      </c>
      <c r="AX48" s="61"/>
      <c r="AY48" s="61">
        <f t="shared" si="93"/>
        <v>2403.623</v>
      </c>
      <c r="AZ48" s="61">
        <f t="shared" si="97"/>
        <v>12660</v>
      </c>
      <c r="BA48" s="3"/>
      <c r="BB48" s="3"/>
      <c r="BC48" s="3"/>
      <c r="BD48" s="13"/>
      <c r="BE48">
        <v>2016</v>
      </c>
      <c r="BF48" s="84">
        <f t="shared" si="58"/>
        <v>0.84699999999999998</v>
      </c>
      <c r="BG48" s="84">
        <f t="shared" si="59"/>
        <v>1.2370000000000001</v>
      </c>
      <c r="BH48" s="84">
        <f t="shared" si="70"/>
        <v>6.6710000000000003</v>
      </c>
      <c r="BI48" s="84">
        <f>'Rest Europe'!C21/1000</f>
        <v>1E-3</v>
      </c>
      <c r="BJ48" s="84">
        <f t="shared" si="71"/>
        <v>6.36</v>
      </c>
      <c r="BK48" s="84">
        <f t="shared" si="60"/>
        <v>79</v>
      </c>
      <c r="BL48" s="84">
        <f>'Rest Europe'!H21/1000</f>
        <v>3.1E-2</v>
      </c>
      <c r="BM48" s="84">
        <f>'Rest Europe'!M21/1000</f>
        <v>0.02</v>
      </c>
      <c r="BN48" s="84">
        <f>'Rest Europe'!R21/1000</f>
        <v>0.13</v>
      </c>
      <c r="BO48" s="84">
        <f t="shared" si="61"/>
        <v>0.57199999999999995</v>
      </c>
      <c r="BP48" s="84">
        <f>'Rest Europe'!W21/1000</f>
        <v>7.0000000000000001E-3</v>
      </c>
      <c r="BQ48" s="84">
        <f t="shared" si="72"/>
        <v>1.2070000000000001</v>
      </c>
      <c r="BR48" s="84">
        <f t="shared" si="62"/>
        <v>7.4290000000000003</v>
      </c>
      <c r="BS48" s="84">
        <f t="shared" si="63"/>
        <v>13.750999999999999</v>
      </c>
      <c r="BT48" s="84">
        <f>'Rest Europe'!AB21/1000</f>
        <v>1.4E-2</v>
      </c>
      <c r="BU48" s="84">
        <f>'Major Europe'!AG21/1000</f>
        <v>0.109</v>
      </c>
      <c r="BV48" s="84">
        <f>'Rest Europe'!AG21/1000</f>
        <v>0.78200000000000003</v>
      </c>
      <c r="BW48" s="84">
        <f>'India data'!U45</f>
        <v>5.35</v>
      </c>
      <c r="BX48" s="84">
        <f t="shared" si="73"/>
        <v>0.29799999999999999</v>
      </c>
      <c r="BY48" s="84">
        <f t="shared" si="73"/>
        <v>1.452</v>
      </c>
      <c r="BZ48" s="84">
        <f t="shared" si="65"/>
        <v>9.39</v>
      </c>
      <c r="CA48" s="84">
        <f t="shared" si="74"/>
        <v>0.16000000000000014</v>
      </c>
      <c r="CB48" s="84">
        <f>'Rest Europe'!AL21/1000</f>
        <v>1.7999999999999999E-2</v>
      </c>
      <c r="CC48" s="84">
        <f>'Rest Europe'!AV21/1000</f>
        <v>1.6E-2</v>
      </c>
      <c r="CD48" s="84">
        <f>'Rest Europe'!BA21/1000</f>
        <v>0.17</v>
      </c>
      <c r="CE48" s="84">
        <f>'Rest Europe'!BF21/1000</f>
        <v>0</v>
      </c>
      <c r="CF48" s="84">
        <f t="shared" si="68"/>
        <v>18.628</v>
      </c>
      <c r="CG48" s="84">
        <f t="shared" si="75"/>
        <v>0.33099999999999996</v>
      </c>
      <c r="CH48" s="84">
        <f t="shared" si="69"/>
        <v>20.686</v>
      </c>
      <c r="CI48" s="84">
        <f>'Rest Europe'!BK21/1000</f>
        <v>0.13200000000000001</v>
      </c>
      <c r="CJ48" s="84">
        <f>'Rest Europe'!BP21/1000</f>
        <v>1.089</v>
      </c>
      <c r="CK48" s="84">
        <f>'Rest Europe'!BU21/1000</f>
        <v>9.2999999999999999E-2</v>
      </c>
      <c r="CL48" s="84">
        <f>'Rest Europe'!BZ21/1000</f>
        <v>0</v>
      </c>
      <c r="CM48" s="84">
        <f>'Rest Europe'!CE21/1000</f>
        <v>9.4E-2</v>
      </c>
      <c r="CN48" s="84">
        <f t="shared" si="76"/>
        <v>1.5109999999999999</v>
      </c>
      <c r="CO48" s="84">
        <f>'Major Europe'!BK21/1000</f>
        <v>10.47</v>
      </c>
      <c r="CP48" s="84">
        <f>'Major Europe'!BP21/1000</f>
        <v>2.16</v>
      </c>
      <c r="CQ48" s="84">
        <f>'Rest Europe'!CJ21/1000</f>
        <v>8.3000000000000004E-2</v>
      </c>
      <c r="CR48" s="84">
        <f t="shared" si="66"/>
        <v>24.899000000000001</v>
      </c>
      <c r="CS48" s="84">
        <f t="shared" si="67"/>
        <v>72.89</v>
      </c>
      <c r="CT48" s="84">
        <f t="shared" si="77"/>
        <v>2.7890000000000001</v>
      </c>
      <c r="CU48" s="84">
        <f t="shared" si="78"/>
        <v>288.08799999999997</v>
      </c>
    </row>
    <row r="49" spans="1:100" ht="12.75" customHeight="1">
      <c r="A49">
        <v>2008</v>
      </c>
      <c r="B49" s="131">
        <v>0</v>
      </c>
      <c r="C49" s="84">
        <v>0</v>
      </c>
      <c r="D49" s="84">
        <v>0</v>
      </c>
      <c r="E49" s="93">
        <v>0</v>
      </c>
      <c r="F49" s="94">
        <v>0</v>
      </c>
      <c r="G49" s="84">
        <v>0</v>
      </c>
      <c r="H49" s="84">
        <v>0</v>
      </c>
      <c r="I49" s="84">
        <v>0</v>
      </c>
      <c r="J49" s="84">
        <v>7.0000000000000007E-2</v>
      </c>
      <c r="K49" s="94">
        <f t="shared" si="94"/>
        <v>0.19500000000000001</v>
      </c>
      <c r="L49" s="84">
        <v>0</v>
      </c>
      <c r="M49" s="84">
        <v>0</v>
      </c>
      <c r="N49" s="84">
        <v>0</v>
      </c>
      <c r="O49" s="94">
        <v>0</v>
      </c>
      <c r="P49" s="84">
        <v>0.01</v>
      </c>
      <c r="Q49" s="93">
        <v>0</v>
      </c>
      <c r="R49" s="84">
        <v>0.24</v>
      </c>
      <c r="S49" s="84">
        <v>0</v>
      </c>
      <c r="T49" s="93">
        <v>0</v>
      </c>
      <c r="U49" s="84">
        <f t="shared" si="95"/>
        <v>0</v>
      </c>
      <c r="V49" s="84">
        <v>0.22</v>
      </c>
      <c r="W49" s="84">
        <v>1.47</v>
      </c>
      <c r="X49" s="94">
        <f t="shared" si="96"/>
        <v>0</v>
      </c>
      <c r="Y49" s="84">
        <f t="shared" si="79"/>
        <v>2.2050000000000001</v>
      </c>
      <c r="AD49">
        <v>2008</v>
      </c>
      <c r="AE49" s="84">
        <f t="shared" si="80"/>
        <v>791.22500000000002</v>
      </c>
      <c r="AF49" s="84">
        <f t="shared" si="81"/>
        <v>293.69600000000003</v>
      </c>
      <c r="AG49" s="84">
        <f t="shared" si="82"/>
        <v>535.69299999999998</v>
      </c>
      <c r="AH49" s="3"/>
      <c r="AI49" s="3"/>
      <c r="AJ49" s="84">
        <f t="shared" si="83"/>
        <v>150.649</v>
      </c>
      <c r="AK49" s="84">
        <f t="shared" si="84"/>
        <v>139.07</v>
      </c>
      <c r="AL49" s="84">
        <f t="shared" si="85"/>
        <v>2050.2829999999999</v>
      </c>
      <c r="AM49" s="84">
        <f t="shared" si="86"/>
        <v>3088.2689999999998</v>
      </c>
      <c r="AN49" s="3">
        <f t="shared" si="87"/>
        <v>1550</v>
      </c>
      <c r="AO49" s="3">
        <f t="shared" si="88"/>
        <v>151.61600000000001</v>
      </c>
      <c r="AP49" s="3">
        <f t="shared" si="89"/>
        <v>2174.3229999999999</v>
      </c>
      <c r="AQ49" s="3"/>
      <c r="AR49" s="3"/>
      <c r="AS49" s="3">
        <f t="shared" si="90"/>
        <v>499.952</v>
      </c>
      <c r="AT49" s="3">
        <v>170</v>
      </c>
      <c r="AU49" s="61">
        <f t="shared" si="98"/>
        <v>110.517</v>
      </c>
      <c r="AV49" s="61">
        <f t="shared" si="91"/>
        <v>1161.1759999999999</v>
      </c>
      <c r="AW49" s="61">
        <f t="shared" si="92"/>
        <v>253.923</v>
      </c>
      <c r="AX49" s="61"/>
      <c r="AY49" s="61">
        <f t="shared" si="93"/>
        <v>2130.857</v>
      </c>
      <c r="AZ49" s="61">
        <f t="shared" si="97"/>
        <v>10693.4</v>
      </c>
      <c r="BA49" s="3"/>
      <c r="BB49" s="3"/>
      <c r="BC49" s="3"/>
      <c r="BD49" s="13"/>
      <c r="BE49">
        <v>2017</v>
      </c>
      <c r="BF49" s="84">
        <f t="shared" si="58"/>
        <v>0.61</v>
      </c>
      <c r="BG49" s="84">
        <f t="shared" si="59"/>
        <v>1.7210000000000001</v>
      </c>
      <c r="BH49" s="84">
        <f t="shared" si="70"/>
        <v>11.287000000000001</v>
      </c>
      <c r="BI49" s="84">
        <f>'Rest Europe'!C22/1000</f>
        <v>0.05</v>
      </c>
      <c r="BJ49" s="84">
        <f t="shared" si="71"/>
        <v>8.7260000000000009</v>
      </c>
      <c r="BK49" s="84">
        <f t="shared" si="60"/>
        <v>111</v>
      </c>
      <c r="BL49" s="84">
        <f>'Rest Europe'!H22/1000</f>
        <v>1.4999999999999999E-2</v>
      </c>
      <c r="BM49" s="84">
        <f>'Rest Europe'!M22/1000</f>
        <v>5.5E-2</v>
      </c>
      <c r="BN49" s="84">
        <f>'Rest Europe'!R22/1000</f>
        <v>0.24099999999999999</v>
      </c>
      <c r="BO49" s="84">
        <f t="shared" si="61"/>
        <v>0.61399999999999999</v>
      </c>
      <c r="BP49" s="84">
        <f>'Rest Europe'!W22/1000</f>
        <v>2.5999999999999999E-2</v>
      </c>
      <c r="BQ49" s="84">
        <f t="shared" si="72"/>
        <v>2.5529999999999999</v>
      </c>
      <c r="BR49" s="84">
        <f t="shared" si="62"/>
        <v>11.868</v>
      </c>
      <c r="BS49" s="84">
        <f t="shared" si="63"/>
        <v>29.439</v>
      </c>
      <c r="BT49" s="84">
        <f>'Rest Europe'!AB22/1000</f>
        <v>0.156</v>
      </c>
      <c r="BU49" s="84">
        <f>'Major Europe'!AG22/1000</f>
        <v>0.38900000000000001</v>
      </c>
      <c r="BV49" s="84">
        <f>'Rest Europe'!AG22/1000</f>
        <v>2.1360000000000001</v>
      </c>
      <c r="BW49" s="84">
        <f>'India data'!U46</f>
        <v>6.35</v>
      </c>
      <c r="BX49" s="84">
        <f t="shared" si="73"/>
        <v>0.32600000000000001</v>
      </c>
      <c r="BY49" s="84">
        <f t="shared" si="73"/>
        <v>2.863</v>
      </c>
      <c r="BZ49" s="84">
        <f t="shared" si="65"/>
        <v>34.159999999999997</v>
      </c>
      <c r="CA49" s="84">
        <f t="shared" si="74"/>
        <v>0.29599999999999999</v>
      </c>
      <c r="CB49" s="84">
        <f>'Rest Europe'!AL22/1000</f>
        <v>0.03</v>
      </c>
      <c r="CC49" s="84">
        <f>'Rest Europe'!AV22/1000</f>
        <v>2.1999999999999999E-2</v>
      </c>
      <c r="CD49" s="84">
        <f>'Rest Europe'!BA22/1000</f>
        <v>0.63800000000000001</v>
      </c>
      <c r="CE49" s="84">
        <f>'Rest Europe'!BF22/1000</f>
        <v>5.0000000000000001E-3</v>
      </c>
      <c r="CF49" s="84">
        <f t="shared" si="68"/>
        <v>1.1579999999999999</v>
      </c>
      <c r="CG49" s="84">
        <f t="shared" si="75"/>
        <v>0.42199999999999993</v>
      </c>
      <c r="CH49" s="84">
        <f t="shared" si="69"/>
        <v>29.288000000000004</v>
      </c>
      <c r="CI49" s="84">
        <f>'Rest Europe'!BK22/1000</f>
        <v>0.51400000000000001</v>
      </c>
      <c r="CJ49" s="84">
        <f>'Rest Europe'!BP22/1000</f>
        <v>2.444</v>
      </c>
      <c r="CK49" s="84">
        <f>'Rest Europe'!BU22/1000</f>
        <v>0.14199999999999999</v>
      </c>
      <c r="CL49" s="84">
        <f>'Rest Europe'!BZ22/1000</f>
        <v>0.185</v>
      </c>
      <c r="CM49" s="84">
        <f>'Rest Europe'!CE22/1000</f>
        <v>0.192</v>
      </c>
      <c r="CN49" s="84">
        <f t="shared" si="76"/>
        <v>3.37</v>
      </c>
      <c r="CO49" s="84">
        <f>'Major Europe'!BK22/1000</f>
        <v>15.814</v>
      </c>
      <c r="CP49" s="84">
        <f>'Major Europe'!BP22/1000</f>
        <v>3.3380000000000001</v>
      </c>
      <c r="CQ49" s="84">
        <f>'Rest Europe'!CJ22/1000</f>
        <v>3.1E-2</v>
      </c>
      <c r="CR49" s="84">
        <f t="shared" si="66"/>
        <v>31.154</v>
      </c>
      <c r="CS49" s="84">
        <f t="shared" si="67"/>
        <v>89.992000000000019</v>
      </c>
      <c r="CT49" s="84">
        <f t="shared" si="77"/>
        <v>7.270999999999999</v>
      </c>
      <c r="CU49" s="84">
        <f t="shared" si="78"/>
        <v>403.62000000000006</v>
      </c>
    </row>
    <row r="50" spans="1:100" ht="12.75" customHeight="1">
      <c r="A50">
        <v>2009</v>
      </c>
      <c r="B50" s="131">
        <v>0</v>
      </c>
      <c r="C50" s="84">
        <v>0.04</v>
      </c>
      <c r="D50" s="84">
        <v>0</v>
      </c>
      <c r="E50" s="93">
        <v>0</v>
      </c>
      <c r="F50" s="84">
        <v>0.48</v>
      </c>
      <c r="G50" s="84">
        <v>3.1E-2</v>
      </c>
      <c r="H50" s="84">
        <v>0</v>
      </c>
      <c r="I50" s="84">
        <v>0.1</v>
      </c>
      <c r="J50" s="84">
        <v>0.02</v>
      </c>
      <c r="K50" s="94">
        <f t="shared" si="94"/>
        <v>0.2495</v>
      </c>
      <c r="L50" s="84">
        <v>0</v>
      </c>
      <c r="M50" s="84">
        <v>0</v>
      </c>
      <c r="N50" s="84">
        <v>0.98599999999999999</v>
      </c>
      <c r="O50" s="94">
        <v>0</v>
      </c>
      <c r="P50" s="84">
        <v>0.03</v>
      </c>
      <c r="Q50" s="93">
        <v>0</v>
      </c>
      <c r="R50" s="84">
        <v>0.15</v>
      </c>
      <c r="S50" s="84">
        <v>0</v>
      </c>
      <c r="T50" s="93">
        <v>0</v>
      </c>
      <c r="U50" s="84">
        <f t="shared" si="95"/>
        <v>0.03</v>
      </c>
      <c r="V50" s="84">
        <v>0.18</v>
      </c>
      <c r="W50" s="93">
        <f>(W49+W51)/2</f>
        <v>1.33</v>
      </c>
      <c r="X50" s="94">
        <f t="shared" si="96"/>
        <v>0</v>
      </c>
      <c r="Y50" s="84">
        <f t="shared" si="79"/>
        <v>3.6265000000000001</v>
      </c>
      <c r="AD50">
        <v>2009</v>
      </c>
      <c r="AE50" s="84">
        <f t="shared" si="80"/>
        <v>728.71500000000003</v>
      </c>
      <c r="AF50" s="84">
        <f t="shared" si="81"/>
        <v>319.22800000000001</v>
      </c>
      <c r="AG50" s="84">
        <f t="shared" si="82"/>
        <v>474.92700000000002</v>
      </c>
      <c r="AH50" s="61">
        <f t="shared" ref="AH50:AI58" si="99">BK81</f>
        <v>747.67100000000005</v>
      </c>
      <c r="AI50" s="15">
        <f>AI51+AI51-AI52</f>
        <v>11399</v>
      </c>
      <c r="AJ50" s="84">
        <f t="shared" si="83"/>
        <v>111.965</v>
      </c>
      <c r="AK50" s="84">
        <f t="shared" si="84"/>
        <v>90.260999999999996</v>
      </c>
      <c r="AL50" s="84">
        <f t="shared" si="85"/>
        <v>2242.8939999999998</v>
      </c>
      <c r="AM50" s="84">
        <f t="shared" si="86"/>
        <v>3789.5639999999999</v>
      </c>
      <c r="AN50" s="3">
        <f t="shared" si="87"/>
        <v>1553</v>
      </c>
      <c r="AO50" s="3">
        <f t="shared" si="88"/>
        <v>57.454999999999998</v>
      </c>
      <c r="AP50" s="3">
        <f t="shared" si="89"/>
        <v>2165.0810000000001</v>
      </c>
      <c r="AQ50" s="61">
        <f>AQ51*4560/4895</f>
        <v>3923.7425944841675</v>
      </c>
      <c r="AR50" s="15">
        <f>AR51+AR51-AR52</f>
        <v>1225</v>
      </c>
      <c r="AS50" s="61">
        <f t="shared" si="90"/>
        <v>387.279</v>
      </c>
      <c r="AT50" s="61">
        <v>130</v>
      </c>
      <c r="AU50" s="61">
        <f t="shared" si="98"/>
        <v>98.674999999999997</v>
      </c>
      <c r="AV50" s="61">
        <f t="shared" si="91"/>
        <v>953.11599999999999</v>
      </c>
      <c r="AW50" s="61">
        <f t="shared" si="92"/>
        <v>212.22900000000001</v>
      </c>
      <c r="AX50" s="15">
        <f>AX51</f>
        <v>296.59699999999998</v>
      </c>
      <c r="AY50" s="61">
        <f t="shared" si="93"/>
        <v>1988.9570000000001</v>
      </c>
      <c r="AZ50" s="61">
        <f t="shared" si="97"/>
        <v>8652</v>
      </c>
      <c r="BA50" s="15">
        <f>BA51+BA51-BA52</f>
        <v>2584.1659999999993</v>
      </c>
      <c r="BB50" s="61">
        <f>SUM(AE50:BA50)</f>
        <v>44131.522594484173</v>
      </c>
      <c r="BC50" s="3"/>
      <c r="BD50" s="13"/>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row>
    <row r="51" spans="1:100" ht="12.75" customHeight="1">
      <c r="A51">
        <v>2010</v>
      </c>
      <c r="B51" s="131">
        <f>'DC,NTC,ClimWrks sales'!S7</f>
        <v>3.6999999999999998E-2</v>
      </c>
      <c r="C51" s="84">
        <v>0.112</v>
      </c>
      <c r="D51" s="84">
        <v>0</v>
      </c>
      <c r="E51" s="94">
        <v>0</v>
      </c>
      <c r="F51" s="84">
        <v>1.0900000000000001</v>
      </c>
      <c r="G51" s="84">
        <v>0</v>
      </c>
      <c r="H51" s="84">
        <v>0</v>
      </c>
      <c r="I51" s="84">
        <v>0.19</v>
      </c>
      <c r="J51" s="84">
        <v>0.14000000000000001</v>
      </c>
      <c r="K51" s="94">
        <f t="shared" si="94"/>
        <v>0.28999999999999998</v>
      </c>
      <c r="L51" s="84">
        <v>1.7999999999999999E-2</v>
      </c>
      <c r="M51" s="84">
        <v>0.04</v>
      </c>
      <c r="N51" s="84">
        <v>2.44</v>
      </c>
      <c r="O51" s="84">
        <v>0.06</v>
      </c>
      <c r="P51" s="84">
        <v>0.12</v>
      </c>
      <c r="Q51" s="93">
        <v>0</v>
      </c>
      <c r="R51" s="84">
        <v>0.39</v>
      </c>
      <c r="S51" s="84">
        <v>7.2999999999999995E-2</v>
      </c>
      <c r="T51" s="84">
        <f t="shared" ref="T51:T58" si="100">CO26</f>
        <v>0.06</v>
      </c>
      <c r="U51" s="84">
        <f t="shared" si="95"/>
        <v>0.123</v>
      </c>
      <c r="V51" s="84">
        <v>0.26</v>
      </c>
      <c r="W51" s="84">
        <v>1.19</v>
      </c>
      <c r="X51" s="94">
        <f t="shared" si="96"/>
        <v>4.0000000000000001E-3</v>
      </c>
      <c r="Y51" s="84">
        <f t="shared" si="79"/>
        <v>6.6369999999999987</v>
      </c>
      <c r="AD51">
        <v>2010</v>
      </c>
      <c r="AE51" s="84">
        <f t="shared" si="80"/>
        <v>827.40700000000004</v>
      </c>
      <c r="AF51" s="84">
        <f t="shared" si="81"/>
        <v>328.01299999999998</v>
      </c>
      <c r="AG51" s="84">
        <f t="shared" si="82"/>
        <v>546.22299999999996</v>
      </c>
      <c r="AH51" s="61">
        <f t="shared" si="99"/>
        <v>710</v>
      </c>
      <c r="AI51" s="61">
        <f t="shared" si="99"/>
        <v>12547</v>
      </c>
      <c r="AJ51" s="84">
        <f t="shared" si="83"/>
        <v>153.30099999999999</v>
      </c>
      <c r="AK51" s="84">
        <f t="shared" si="84"/>
        <v>111.386</v>
      </c>
      <c r="AL51" s="84">
        <f t="shared" si="85"/>
        <v>2203.1410000000001</v>
      </c>
      <c r="AM51" s="84">
        <f t="shared" si="86"/>
        <v>2877.79</v>
      </c>
      <c r="AN51" s="3">
        <f t="shared" si="87"/>
        <v>1950</v>
      </c>
      <c r="AO51" s="3">
        <f t="shared" si="88"/>
        <v>88.385999999999996</v>
      </c>
      <c r="AP51" s="3">
        <f t="shared" si="89"/>
        <v>1967.376</v>
      </c>
      <c r="AQ51" s="61">
        <f t="shared" ref="AQ51:AR55" si="101">BT82</f>
        <v>4212</v>
      </c>
      <c r="AR51" s="61">
        <f t="shared" si="101"/>
        <v>1218</v>
      </c>
      <c r="AS51" s="61">
        <f t="shared" si="90"/>
        <v>483.06099999999998</v>
      </c>
      <c r="AT51" s="61">
        <v>157</v>
      </c>
      <c r="AU51" s="61">
        <f t="shared" si="98"/>
        <v>127.754</v>
      </c>
      <c r="AV51" s="61">
        <f t="shared" si="91"/>
        <v>981.88499999999999</v>
      </c>
      <c r="AW51" s="61">
        <f t="shared" si="92"/>
        <v>288.79300000000001</v>
      </c>
      <c r="AX51" s="61">
        <f t="shared" ref="AX51:AX57" si="102">CP8</f>
        <v>296.59699999999998</v>
      </c>
      <c r="AY51" s="61">
        <f t="shared" si="93"/>
        <v>2025.0340000000001</v>
      </c>
      <c r="AZ51" s="61">
        <f t="shared" si="97"/>
        <v>9522.3389999999999</v>
      </c>
      <c r="BA51" s="61">
        <f>CT8</f>
        <v>2721.0009999999997</v>
      </c>
      <c r="BB51" s="61">
        <f t="shared" ref="BB51:BB59" si="103">SUM(AE51:BA51)</f>
        <v>46343.487000000001</v>
      </c>
      <c r="BC51" s="3"/>
      <c r="BD51" s="13"/>
      <c r="BE51" t="s">
        <v>644</v>
      </c>
      <c r="BF51" s="84" t="s">
        <v>251</v>
      </c>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V51" t="s">
        <v>644</v>
      </c>
    </row>
    <row r="52" spans="1:100" ht="12.75" customHeight="1">
      <c r="A52">
        <v>2011</v>
      </c>
      <c r="B52" s="131">
        <f>'DC,NTC,ClimWrks sales'!S8</f>
        <v>0.14799999999999999</v>
      </c>
      <c r="C52" s="84">
        <v>0.63100000000000001</v>
      </c>
      <c r="D52" s="84">
        <v>0.28799999999999998</v>
      </c>
      <c r="E52" s="84">
        <v>0.22</v>
      </c>
      <c r="F52" s="84">
        <v>4.75</v>
      </c>
      <c r="G52" s="84">
        <v>0.41499999999999998</v>
      </c>
      <c r="H52" s="84">
        <v>2.9000000000000001E-2</v>
      </c>
      <c r="I52" s="84">
        <v>2.63</v>
      </c>
      <c r="J52" s="84">
        <v>1.4</v>
      </c>
      <c r="K52" s="94">
        <f t="shared" si="94"/>
        <v>0.40949999999999998</v>
      </c>
      <c r="L52" s="84">
        <v>4.5999999999999999E-2</v>
      </c>
      <c r="M52" s="84">
        <v>0.11700000000000001</v>
      </c>
      <c r="N52" s="84">
        <v>12.61</v>
      </c>
      <c r="O52" s="84">
        <v>0.27</v>
      </c>
      <c r="P52" s="84">
        <v>0.86</v>
      </c>
      <c r="Q52" s="93">
        <v>0</v>
      </c>
      <c r="R52" s="84">
        <v>1.84</v>
      </c>
      <c r="S52" s="84">
        <v>0.56799999999999995</v>
      </c>
      <c r="T52" s="84">
        <f t="shared" si="100"/>
        <v>0.183</v>
      </c>
      <c r="U52" s="84">
        <f t="shared" si="95"/>
        <v>0.39800000000000002</v>
      </c>
      <c r="V52" s="84">
        <v>1.21</v>
      </c>
      <c r="W52" s="84">
        <v>9.75</v>
      </c>
      <c r="X52" s="94">
        <f t="shared" si="96"/>
        <v>0.43000000000000005</v>
      </c>
      <c r="Y52" s="84">
        <f t="shared" si="79"/>
        <v>39.202500000000001</v>
      </c>
      <c r="AD52">
        <v>2011</v>
      </c>
      <c r="AE52" s="84">
        <f t="shared" si="80"/>
        <v>803.45</v>
      </c>
      <c r="AF52" s="84">
        <f t="shared" si="81"/>
        <v>356.14400000000001</v>
      </c>
      <c r="AG52" s="84">
        <f t="shared" si="82"/>
        <v>572.20899999999995</v>
      </c>
      <c r="AH52" s="61">
        <f t="shared" si="99"/>
        <v>691</v>
      </c>
      <c r="AI52" s="61">
        <f t="shared" si="99"/>
        <v>13695</v>
      </c>
      <c r="AJ52" s="84">
        <f t="shared" si="83"/>
        <v>170.00800000000001</v>
      </c>
      <c r="AK52" s="84">
        <f t="shared" si="84"/>
        <v>126.169</v>
      </c>
      <c r="AL52" s="84">
        <f t="shared" si="85"/>
        <v>2161</v>
      </c>
      <c r="AM52" s="84">
        <f t="shared" si="86"/>
        <v>3174</v>
      </c>
      <c r="AN52" s="3">
        <f t="shared" ref="AN52:AN58" si="104">BW9</f>
        <v>2514</v>
      </c>
      <c r="AO52" s="3">
        <f t="shared" si="88"/>
        <v>89.896000000000001</v>
      </c>
      <c r="AP52" s="3">
        <f t="shared" si="89"/>
        <v>1743.989</v>
      </c>
      <c r="AQ52" s="61">
        <f t="shared" si="101"/>
        <v>3525</v>
      </c>
      <c r="AR52" s="61">
        <f t="shared" si="101"/>
        <v>1211</v>
      </c>
      <c r="AS52" s="61">
        <f t="shared" si="90"/>
        <v>555.91700000000003</v>
      </c>
      <c r="AT52" s="61">
        <v>150</v>
      </c>
      <c r="AU52" s="61">
        <f t="shared" si="98"/>
        <v>138.345</v>
      </c>
      <c r="AV52" s="61">
        <f t="shared" si="91"/>
        <v>808.05799999999999</v>
      </c>
      <c r="AW52" s="61">
        <f t="shared" si="92"/>
        <v>304.983</v>
      </c>
      <c r="AX52" s="61">
        <f t="shared" si="102"/>
        <v>327.95499999999998</v>
      </c>
      <c r="AY52" s="61">
        <f t="shared" si="93"/>
        <v>1937.105</v>
      </c>
      <c r="AZ52" s="61">
        <f t="shared" si="97"/>
        <v>10540.907999999999</v>
      </c>
      <c r="BA52" s="61">
        <f t="shared" ref="BA52:BA58" si="105">CT9</f>
        <v>2857.8360000000002</v>
      </c>
      <c r="BB52" s="61">
        <f t="shared" si="103"/>
        <v>48453.972000000016</v>
      </c>
      <c r="BC52" s="3"/>
      <c r="BD52" s="13"/>
      <c r="BF52" s="143" t="s">
        <v>255</v>
      </c>
      <c r="BG52" s="144" t="s">
        <v>539</v>
      </c>
      <c r="BH52" s="144" t="s">
        <v>540</v>
      </c>
      <c r="BI52" s="133" t="s">
        <v>548</v>
      </c>
      <c r="BJ52" s="145" t="s">
        <v>238</v>
      </c>
      <c r="BK52" s="145" t="s">
        <v>239</v>
      </c>
      <c r="BL52" s="133" t="s">
        <v>562</v>
      </c>
      <c r="BM52" s="133" t="s">
        <v>549</v>
      </c>
      <c r="BN52" s="133" t="s">
        <v>550</v>
      </c>
      <c r="BO52" s="144" t="s">
        <v>541</v>
      </c>
      <c r="BP52" s="133" t="s">
        <v>551</v>
      </c>
      <c r="BQ52" s="144" t="s">
        <v>542</v>
      </c>
      <c r="BR52" s="145" t="s">
        <v>240</v>
      </c>
      <c r="BS52" s="145" t="s">
        <v>241</v>
      </c>
      <c r="BT52" s="132" t="s">
        <v>610</v>
      </c>
      <c r="BU52" s="146" t="s">
        <v>543</v>
      </c>
      <c r="BV52" s="133" t="s">
        <v>552</v>
      </c>
      <c r="BW52" s="145" t="s">
        <v>242</v>
      </c>
      <c r="BX52" s="144" t="s">
        <v>544</v>
      </c>
      <c r="BY52" s="90" t="s">
        <v>538</v>
      </c>
      <c r="BZ52" s="145" t="s">
        <v>243</v>
      </c>
      <c r="CA52" s="145" t="s">
        <v>244</v>
      </c>
      <c r="CB52" s="102" t="s">
        <v>553</v>
      </c>
      <c r="CC52" s="102" t="s">
        <v>554</v>
      </c>
      <c r="CD52" s="14" t="s">
        <v>555</v>
      </c>
      <c r="CE52" s="102" t="s">
        <v>556</v>
      </c>
      <c r="CF52" s="90" t="s">
        <v>245</v>
      </c>
      <c r="CG52" s="147" t="s">
        <v>331</v>
      </c>
      <c r="CH52" s="147" t="s">
        <v>246</v>
      </c>
      <c r="CI52" s="102" t="s">
        <v>557</v>
      </c>
      <c r="CJ52" s="14" t="s">
        <v>558</v>
      </c>
      <c r="CK52" s="102" t="s">
        <v>559</v>
      </c>
      <c r="CL52" s="102" t="s">
        <v>560</v>
      </c>
      <c r="CM52" s="102" t="s">
        <v>563</v>
      </c>
      <c r="CN52" s="144" t="s">
        <v>545</v>
      </c>
      <c r="CO52" s="144" t="s">
        <v>247</v>
      </c>
      <c r="CP52" s="144" t="s">
        <v>546</v>
      </c>
      <c r="CQ52" s="78" t="s">
        <v>561</v>
      </c>
      <c r="CR52" s="148" t="s">
        <v>248</v>
      </c>
      <c r="CS52" s="143" t="s">
        <v>607</v>
      </c>
      <c r="CT52" s="7" t="s">
        <v>648</v>
      </c>
      <c r="CU52" s="7" t="s">
        <v>158</v>
      </c>
    </row>
    <row r="53" spans="1:100" ht="12.75" customHeight="1">
      <c r="A53">
        <v>2012</v>
      </c>
      <c r="B53" s="131">
        <f>'DC,NTC,ClimWrks sales'!S9</f>
        <v>0.13</v>
      </c>
      <c r="C53" s="84">
        <v>0.42699999999999999</v>
      </c>
      <c r="D53" s="84">
        <v>0.58499999999999996</v>
      </c>
      <c r="E53" s="84">
        <v>0.62</v>
      </c>
      <c r="F53" s="84">
        <v>9.64</v>
      </c>
      <c r="G53" s="84">
        <v>0.47099999999999997</v>
      </c>
      <c r="H53" s="84">
        <v>5.0999999999999997E-2</v>
      </c>
      <c r="I53" s="84">
        <v>5.66</v>
      </c>
      <c r="J53" s="84">
        <v>2.21</v>
      </c>
      <c r="K53" s="94">
        <f t="shared" si="94"/>
        <v>0.3</v>
      </c>
      <c r="L53" s="84">
        <v>0.13900000000000001</v>
      </c>
      <c r="M53" s="84">
        <v>0.50700000000000001</v>
      </c>
      <c r="N53" s="84">
        <v>13.47</v>
      </c>
      <c r="O53" s="84">
        <v>0.51</v>
      </c>
      <c r="P53" s="84">
        <v>0.79</v>
      </c>
      <c r="Q53" s="84">
        <v>0</v>
      </c>
      <c r="R53" s="84">
        <v>4.18</v>
      </c>
      <c r="S53" s="84">
        <v>0.443</v>
      </c>
      <c r="T53" s="84">
        <f t="shared" si="100"/>
        <v>0.3</v>
      </c>
      <c r="U53" s="84">
        <f t="shared" si="95"/>
        <v>0.46300000000000002</v>
      </c>
      <c r="V53" s="84">
        <v>1.71</v>
      </c>
      <c r="W53" s="84">
        <v>14.65</v>
      </c>
      <c r="X53" s="94">
        <f t="shared" si="96"/>
        <v>0.88700000000000012</v>
      </c>
      <c r="Y53" s="84">
        <f t="shared" si="79"/>
        <v>58.143000000000001</v>
      </c>
      <c r="Z53">
        <v>54</v>
      </c>
      <c r="AD53">
        <v>2012</v>
      </c>
      <c r="AE53" s="84">
        <f t="shared" si="80"/>
        <v>882.68</v>
      </c>
      <c r="AF53" s="84">
        <f t="shared" si="81"/>
        <v>336.01</v>
      </c>
      <c r="AG53" s="84">
        <f t="shared" si="82"/>
        <v>486.73599999999999</v>
      </c>
      <c r="AH53" s="61">
        <f t="shared" si="99"/>
        <v>732</v>
      </c>
      <c r="AI53" s="61">
        <f t="shared" si="99"/>
        <v>15249</v>
      </c>
      <c r="AJ53" s="84">
        <f t="shared" si="83"/>
        <v>170.78299999999999</v>
      </c>
      <c r="AK53" s="84">
        <f t="shared" si="84"/>
        <v>111.292</v>
      </c>
      <c r="AL53" s="84">
        <f t="shared" si="85"/>
        <v>1860.5239999999999</v>
      </c>
      <c r="AM53" s="84">
        <f t="shared" si="86"/>
        <v>3082.3519999999999</v>
      </c>
      <c r="AN53" s="3">
        <f t="shared" si="104"/>
        <v>2761</v>
      </c>
      <c r="AO53" s="3">
        <f t="shared" si="88"/>
        <v>79.498000000000005</v>
      </c>
      <c r="AP53" s="3">
        <f t="shared" si="89"/>
        <v>1396.079</v>
      </c>
      <c r="AQ53" s="61">
        <f t="shared" si="101"/>
        <v>4572</v>
      </c>
      <c r="AR53" s="61">
        <f t="shared" si="101"/>
        <v>1176</v>
      </c>
      <c r="AS53" s="61">
        <f t="shared" si="90"/>
        <v>502.541</v>
      </c>
      <c r="AT53" s="61">
        <v>161</v>
      </c>
      <c r="AU53" s="61">
        <f t="shared" si="98"/>
        <v>127.967</v>
      </c>
      <c r="AV53" s="61">
        <f t="shared" si="91"/>
        <v>699.58900000000006</v>
      </c>
      <c r="AW53" s="61">
        <f t="shared" si="92"/>
        <v>279.89499999999998</v>
      </c>
      <c r="AX53" s="61">
        <f t="shared" si="102"/>
        <v>334.04500000000002</v>
      </c>
      <c r="AY53" s="61">
        <f t="shared" si="93"/>
        <v>2039.9860000000001</v>
      </c>
      <c r="AZ53" s="61">
        <f t="shared" si="97"/>
        <v>12038.475</v>
      </c>
      <c r="BA53" s="61">
        <f t="shared" si="105"/>
        <v>2670.777</v>
      </c>
      <c r="BB53" s="61">
        <f t="shared" si="103"/>
        <v>51750.228999999985</v>
      </c>
      <c r="BC53" s="3"/>
      <c r="BD53" s="13"/>
      <c r="BE53">
        <v>2005</v>
      </c>
      <c r="BF53" s="84">
        <f t="shared" ref="BF53:BG57" si="106">BF21+BF37</f>
        <v>0</v>
      </c>
      <c r="BG53" s="84">
        <f t="shared" si="106"/>
        <v>0</v>
      </c>
      <c r="BH53" s="84"/>
      <c r="BI53" s="84"/>
      <c r="BJ53" s="84"/>
      <c r="BK53" s="84">
        <f>BK21+BK37</f>
        <v>0</v>
      </c>
      <c r="BL53" s="84"/>
      <c r="BM53" s="84"/>
      <c r="BN53" s="84"/>
      <c r="BO53" s="84">
        <f>BO21+BO37</f>
        <v>0</v>
      </c>
      <c r="BP53" s="84"/>
      <c r="BQ53" s="84"/>
      <c r="BR53" s="84">
        <f t="shared" ref="BR53:BS57" si="107">BR21+BR37</f>
        <v>0.01</v>
      </c>
      <c r="BS53" s="84">
        <f t="shared" si="107"/>
        <v>0.02</v>
      </c>
      <c r="BT53" s="84"/>
      <c r="BU53" s="84"/>
      <c r="BV53" s="84"/>
      <c r="BW53" s="84">
        <f t="shared" ref="BW53:CA57" si="108">BW21+BW37</f>
        <v>9.9000000000000005E-2</v>
      </c>
      <c r="BX53" s="84">
        <f t="shared" si="108"/>
        <v>0</v>
      </c>
      <c r="BY53" s="84">
        <f t="shared" si="108"/>
        <v>0</v>
      </c>
      <c r="BZ53" s="84">
        <f t="shared" si="108"/>
        <v>0</v>
      </c>
      <c r="CA53" s="84">
        <f t="shared" si="108"/>
        <v>0</v>
      </c>
      <c r="CB53" s="84"/>
      <c r="CC53" s="84"/>
      <c r="CD53" s="84"/>
      <c r="CE53" s="84"/>
      <c r="CF53" s="84">
        <f>CF21+CF37</f>
        <v>0</v>
      </c>
      <c r="CG53" s="84"/>
      <c r="CH53" s="84">
        <f>CH21+CH37</f>
        <v>0</v>
      </c>
      <c r="CI53" s="84"/>
      <c r="CJ53" s="84"/>
      <c r="CK53" s="84"/>
      <c r="CL53" s="84"/>
      <c r="CM53" s="84"/>
      <c r="CN53" s="84">
        <f t="shared" ref="CN53:CP57" si="109">CN21+CN37</f>
        <v>0</v>
      </c>
      <c r="CO53" s="84">
        <f t="shared" si="109"/>
        <v>0</v>
      </c>
      <c r="CP53" s="84">
        <f t="shared" si="109"/>
        <v>0</v>
      </c>
      <c r="CQ53" s="84"/>
      <c r="CR53" s="84">
        <f t="shared" ref="CR53:CS57" si="110">CR21+CR37</f>
        <v>0.22</v>
      </c>
      <c r="CS53" s="84">
        <f t="shared" si="110"/>
        <v>1.1200000000000001</v>
      </c>
    </row>
    <row r="54" spans="1:100" ht="12.75" customHeight="1">
      <c r="A54">
        <v>2013</v>
      </c>
      <c r="B54" s="131">
        <f>'DC,NTC,ClimWrks sales'!S10</f>
        <v>0.20699999999999999</v>
      </c>
      <c r="C54" s="84">
        <v>0.65400000000000003</v>
      </c>
      <c r="D54" s="84">
        <v>0.49399999999999999</v>
      </c>
      <c r="E54" s="84">
        <v>1.64</v>
      </c>
      <c r="F54" s="84">
        <v>14.61</v>
      </c>
      <c r="G54" s="84">
        <v>0.497</v>
      </c>
      <c r="H54" s="84">
        <v>0.05</v>
      </c>
      <c r="I54" s="84">
        <v>8.7799999999999994</v>
      </c>
      <c r="J54" s="84">
        <v>5.31</v>
      </c>
      <c r="K54" s="94">
        <f t="shared" si="94"/>
        <v>0.41</v>
      </c>
      <c r="L54" s="84">
        <v>4.7E-2</v>
      </c>
      <c r="M54" s="84">
        <v>0.83599999999999997</v>
      </c>
      <c r="N54" s="84">
        <v>14.76</v>
      </c>
      <c r="O54" s="84">
        <v>0.6</v>
      </c>
      <c r="P54" s="84">
        <v>2.25</v>
      </c>
      <c r="Q54" s="84">
        <v>0.01</v>
      </c>
      <c r="R54" s="84">
        <v>8.1999999999999993</v>
      </c>
      <c r="S54" s="84">
        <v>0.92100000000000004</v>
      </c>
      <c r="T54" s="84">
        <f t="shared" si="100"/>
        <v>0.44400000000000001</v>
      </c>
      <c r="U54" s="84">
        <f t="shared" si="95"/>
        <v>1.127</v>
      </c>
      <c r="V54" s="84">
        <v>2.68</v>
      </c>
      <c r="W54" s="84">
        <v>47.69</v>
      </c>
      <c r="X54" s="94">
        <f t="shared" si="96"/>
        <v>0.68400000000000016</v>
      </c>
      <c r="Y54" s="84">
        <f t="shared" si="79"/>
        <v>112.901</v>
      </c>
      <c r="Z54">
        <v>107</v>
      </c>
      <c r="AD54">
        <v>2013</v>
      </c>
      <c r="AE54" s="84">
        <f t="shared" si="80"/>
        <v>899.96500000000003</v>
      </c>
      <c r="AF54" s="84">
        <f t="shared" si="81"/>
        <v>319.03500000000003</v>
      </c>
      <c r="AG54" s="84">
        <f t="shared" si="82"/>
        <v>486.065</v>
      </c>
      <c r="AH54" s="61">
        <f t="shared" si="99"/>
        <v>759</v>
      </c>
      <c r="AI54" s="61">
        <f t="shared" si="99"/>
        <v>17523</v>
      </c>
      <c r="AJ54" s="84">
        <f t="shared" si="83"/>
        <v>181.27</v>
      </c>
      <c r="AK54" s="84">
        <f t="shared" si="84"/>
        <v>103.49299999999999</v>
      </c>
      <c r="AL54" s="84">
        <f t="shared" si="85"/>
        <v>1756.251</v>
      </c>
      <c r="AM54" s="84">
        <f t="shared" si="86"/>
        <v>2952.2570000000001</v>
      </c>
      <c r="AN54" s="3">
        <f t="shared" si="104"/>
        <v>2578</v>
      </c>
      <c r="AO54" s="3">
        <f t="shared" si="88"/>
        <v>74.367000000000004</v>
      </c>
      <c r="AP54" s="3">
        <f t="shared" si="89"/>
        <v>1286.7159999999999</v>
      </c>
      <c r="AQ54" s="61">
        <f t="shared" si="101"/>
        <v>4562</v>
      </c>
      <c r="AR54" s="61">
        <f t="shared" si="101"/>
        <v>1137</v>
      </c>
      <c r="AS54" s="61">
        <f t="shared" si="90"/>
        <v>417.024</v>
      </c>
      <c r="AT54" s="61">
        <v>187</v>
      </c>
      <c r="AU54" s="61">
        <f t="shared" si="98"/>
        <v>142.15100000000001</v>
      </c>
      <c r="AV54" s="61">
        <f t="shared" si="91"/>
        <v>722.70299999999997</v>
      </c>
      <c r="AW54" s="61">
        <f t="shared" si="92"/>
        <v>269.55200000000002</v>
      </c>
      <c r="AX54" s="61">
        <f t="shared" si="102"/>
        <v>307.846</v>
      </c>
      <c r="AY54" s="61">
        <f t="shared" si="93"/>
        <v>2264.7370000000001</v>
      </c>
      <c r="AZ54" s="61">
        <f t="shared" si="97"/>
        <v>12333.341</v>
      </c>
      <c r="BA54" s="61">
        <f t="shared" si="105"/>
        <v>2856.348</v>
      </c>
      <c r="BB54" s="61">
        <f t="shared" si="103"/>
        <v>54119.120999999992</v>
      </c>
      <c r="BC54" s="3"/>
      <c r="BD54" s="13"/>
      <c r="BE54">
        <v>2006</v>
      </c>
      <c r="BF54" s="84">
        <f t="shared" si="106"/>
        <v>0</v>
      </c>
      <c r="BG54" s="84">
        <f t="shared" si="106"/>
        <v>0</v>
      </c>
      <c r="BH54" s="84"/>
      <c r="BI54" s="84"/>
      <c r="BJ54" s="84"/>
      <c r="BK54" s="84">
        <f>BK22+BK38</f>
        <v>0</v>
      </c>
      <c r="BL54" s="84"/>
      <c r="BM54" s="84"/>
      <c r="BN54" s="84"/>
      <c r="BO54" s="84">
        <f>BO22+BO38</f>
        <v>0</v>
      </c>
      <c r="BP54" s="84"/>
      <c r="BQ54" s="84"/>
      <c r="BR54" s="84">
        <f t="shared" si="107"/>
        <v>0</v>
      </c>
      <c r="BS54" s="84">
        <f t="shared" si="107"/>
        <v>0.02</v>
      </c>
      <c r="BT54" s="84"/>
      <c r="BU54" s="84"/>
      <c r="BV54" s="84"/>
      <c r="BW54" s="84">
        <f t="shared" si="108"/>
        <v>0.123</v>
      </c>
      <c r="BX54" s="84">
        <f t="shared" si="108"/>
        <v>0</v>
      </c>
      <c r="BY54" s="84">
        <f t="shared" si="108"/>
        <v>0</v>
      </c>
      <c r="BZ54" s="84">
        <f t="shared" si="108"/>
        <v>0</v>
      </c>
      <c r="CA54" s="84">
        <f t="shared" si="108"/>
        <v>0</v>
      </c>
      <c r="CB54" s="84"/>
      <c r="CC54" s="84"/>
      <c r="CD54" s="84"/>
      <c r="CE54" s="84"/>
      <c r="CF54" s="84">
        <f>CF22+CF38</f>
        <v>0</v>
      </c>
      <c r="CG54" s="84"/>
      <c r="CH54" s="84">
        <f>CH22+CH38</f>
        <v>0</v>
      </c>
      <c r="CI54" s="84"/>
      <c r="CJ54" s="84"/>
      <c r="CK54" s="84"/>
      <c r="CL54" s="84"/>
      <c r="CM54" s="84"/>
      <c r="CN54" s="84">
        <f t="shared" si="109"/>
        <v>0</v>
      </c>
      <c r="CO54" s="84">
        <f t="shared" si="109"/>
        <v>0</v>
      </c>
      <c r="CP54" s="84">
        <f t="shared" si="109"/>
        <v>0</v>
      </c>
      <c r="CQ54" s="84"/>
      <c r="CR54" s="84">
        <f t="shared" si="110"/>
        <v>0.32</v>
      </c>
      <c r="CS54" s="84">
        <f t="shared" si="110"/>
        <v>1.2366666666666668</v>
      </c>
    </row>
    <row r="55" spans="1:100" ht="12.75" customHeight="1">
      <c r="A55">
        <v>2014</v>
      </c>
      <c r="B55" s="131">
        <f>'DC,NTC,ClimWrks sales'!S11</f>
        <v>0.18</v>
      </c>
      <c r="C55" s="84">
        <v>1.2709999999999999</v>
      </c>
      <c r="D55" s="84">
        <v>1.169</v>
      </c>
      <c r="E55" s="84">
        <v>2.83</v>
      </c>
      <c r="F55" s="84">
        <v>48.91</v>
      </c>
      <c r="G55" s="84">
        <v>1.5329999999999999</v>
      </c>
      <c r="H55" s="84">
        <v>0.185</v>
      </c>
      <c r="I55" s="84">
        <v>10.57</v>
      </c>
      <c r="J55" s="84">
        <v>8.35</v>
      </c>
      <c r="K55" s="94">
        <f t="shared" si="94"/>
        <v>0.65</v>
      </c>
      <c r="L55" s="84">
        <v>0.222</v>
      </c>
      <c r="M55" s="84">
        <v>1.075</v>
      </c>
      <c r="N55" s="84">
        <v>16.11</v>
      </c>
      <c r="O55" s="84">
        <v>1.31</v>
      </c>
      <c r="P55" s="84">
        <v>2.66</v>
      </c>
      <c r="Q55" s="84">
        <v>0.04</v>
      </c>
      <c r="R55" s="84">
        <v>18.09</v>
      </c>
      <c r="S55" s="84">
        <v>1.0349999999999999</v>
      </c>
      <c r="T55" s="84">
        <f t="shared" si="100"/>
        <v>1.2030000000000001</v>
      </c>
      <c r="U55" s="84">
        <f t="shared" si="95"/>
        <v>1.292</v>
      </c>
      <c r="V55" s="84">
        <v>6.81</v>
      </c>
      <c r="W55" s="84">
        <v>63.42</v>
      </c>
      <c r="X55" s="94">
        <f t="shared" si="96"/>
        <v>1.7569999999999997</v>
      </c>
      <c r="Y55" s="84">
        <f t="shared" si="79"/>
        <v>190.67200000000003</v>
      </c>
      <c r="Z55">
        <v>159</v>
      </c>
      <c r="AD55">
        <v>2014</v>
      </c>
      <c r="AE55" s="84">
        <f t="shared" si="80"/>
        <v>883.94899999999996</v>
      </c>
      <c r="AF55" s="84">
        <f t="shared" si="81"/>
        <v>303.31799999999998</v>
      </c>
      <c r="AG55" s="84">
        <f t="shared" si="82"/>
        <v>482.93900000000002</v>
      </c>
      <c r="AH55" s="61">
        <f t="shared" si="99"/>
        <v>806</v>
      </c>
      <c r="AI55" s="61">
        <f t="shared" si="99"/>
        <v>19367</v>
      </c>
      <c r="AJ55" s="84">
        <f t="shared" si="83"/>
        <v>189.06800000000001</v>
      </c>
      <c r="AK55" s="84">
        <f t="shared" si="84"/>
        <v>106.28100000000001</v>
      </c>
      <c r="AL55" s="84">
        <f t="shared" si="85"/>
        <v>1765.2280000000001</v>
      </c>
      <c r="AM55" s="84">
        <f t="shared" si="86"/>
        <v>3036.6289999999999</v>
      </c>
      <c r="AN55" s="3">
        <f t="shared" si="104"/>
        <v>2573</v>
      </c>
      <c r="AO55" s="3">
        <f t="shared" si="88"/>
        <v>96.343999999999994</v>
      </c>
      <c r="AP55" s="3">
        <f t="shared" si="89"/>
        <v>1370.952</v>
      </c>
      <c r="AQ55" s="61">
        <f t="shared" si="101"/>
        <v>4700</v>
      </c>
      <c r="AR55" s="61">
        <f t="shared" si="101"/>
        <v>1140.0327352085353</v>
      </c>
      <c r="AS55" s="61">
        <f t="shared" si="90"/>
        <v>387.82499999999999</v>
      </c>
      <c r="AT55" s="61">
        <v>226</v>
      </c>
      <c r="AU55" s="61">
        <f t="shared" si="98"/>
        <v>144.202</v>
      </c>
      <c r="AV55" s="61">
        <f t="shared" si="91"/>
        <v>855.30799999999999</v>
      </c>
      <c r="AW55" s="61">
        <f t="shared" si="92"/>
        <v>303.94600000000003</v>
      </c>
      <c r="AX55" s="61">
        <f t="shared" si="102"/>
        <v>301.892</v>
      </c>
      <c r="AY55" s="61">
        <f t="shared" si="93"/>
        <v>2476.4349999999999</v>
      </c>
      <c r="AZ55" s="61">
        <f t="shared" si="97"/>
        <v>13002.618999999999</v>
      </c>
      <c r="BA55" s="61">
        <f t="shared" si="105"/>
        <v>3010.5639999999994</v>
      </c>
      <c r="BB55" s="61">
        <f t="shared" si="103"/>
        <v>57529.531735208526</v>
      </c>
      <c r="BC55" s="3"/>
      <c r="BD55" s="13"/>
      <c r="BE55">
        <v>2007</v>
      </c>
      <c r="BF55" s="84">
        <f t="shared" si="106"/>
        <v>0</v>
      </c>
      <c r="BG55" s="84">
        <f t="shared" si="106"/>
        <v>0</v>
      </c>
      <c r="BH55" s="84"/>
      <c r="BI55" s="84"/>
      <c r="BJ55" s="84"/>
      <c r="BK55" s="84">
        <f>BK23+BK39</f>
        <v>0</v>
      </c>
      <c r="BL55" s="84"/>
      <c r="BM55" s="84"/>
      <c r="BN55" s="84"/>
      <c r="BO55" s="84">
        <f>BO23+BO39</f>
        <v>0</v>
      </c>
      <c r="BP55" s="84"/>
      <c r="BQ55" s="84"/>
      <c r="BR55" s="84">
        <f t="shared" si="107"/>
        <v>0</v>
      </c>
      <c r="BS55" s="84">
        <f t="shared" si="107"/>
        <v>0.02</v>
      </c>
      <c r="BT55" s="84"/>
      <c r="BU55" s="84"/>
      <c r="BV55" s="84"/>
      <c r="BW55" s="84">
        <f t="shared" si="108"/>
        <v>0.13500000000000001</v>
      </c>
      <c r="BX55" s="84">
        <f t="shared" si="108"/>
        <v>0</v>
      </c>
      <c r="BY55" s="84">
        <f t="shared" si="108"/>
        <v>0</v>
      </c>
      <c r="BZ55" s="84">
        <f t="shared" si="108"/>
        <v>0</v>
      </c>
      <c r="CA55" s="84">
        <f t="shared" si="108"/>
        <v>0</v>
      </c>
      <c r="CB55" s="84"/>
      <c r="CC55" s="84"/>
      <c r="CD55" s="84"/>
      <c r="CE55" s="84"/>
      <c r="CF55" s="84">
        <f>CF23+CF39</f>
        <v>0</v>
      </c>
      <c r="CG55" s="84"/>
      <c r="CH55" s="84">
        <f>CH23+CH39</f>
        <v>0.01</v>
      </c>
      <c r="CI55" s="84"/>
      <c r="CJ55" s="84"/>
      <c r="CK55" s="84"/>
      <c r="CL55" s="84"/>
      <c r="CM55" s="84"/>
      <c r="CN55" s="84">
        <f t="shared" si="109"/>
        <v>0</v>
      </c>
      <c r="CO55" s="84">
        <f t="shared" si="109"/>
        <v>0</v>
      </c>
      <c r="CP55" s="84">
        <f t="shared" si="109"/>
        <v>0</v>
      </c>
      <c r="CQ55" s="84"/>
      <c r="CR55" s="84">
        <f t="shared" si="110"/>
        <v>0.45</v>
      </c>
      <c r="CS55" s="84">
        <f t="shared" si="110"/>
        <v>1.3533333333333335</v>
      </c>
    </row>
    <row r="56" spans="1:100" ht="12.75" customHeight="1">
      <c r="A56">
        <v>2015</v>
      </c>
      <c r="B56" s="131">
        <f>'DC,NTC,ClimWrks sales'!S12</f>
        <v>0.55900000000000005</v>
      </c>
      <c r="C56" s="84">
        <v>1.677</v>
      </c>
      <c r="D56" s="84">
        <v>1.3580000000000001</v>
      </c>
      <c r="E56" s="84">
        <v>4.38</v>
      </c>
      <c r="F56" s="3">
        <v>146.72</v>
      </c>
      <c r="G56" s="84">
        <v>4.524</v>
      </c>
      <c r="H56" s="84">
        <v>0.24199999999999999</v>
      </c>
      <c r="I56" s="84">
        <v>17.27</v>
      </c>
      <c r="J56" s="84">
        <v>12.08</v>
      </c>
      <c r="K56" s="94">
        <f t="shared" si="94"/>
        <v>0.82499999999999996</v>
      </c>
      <c r="L56" s="84">
        <v>0.46</v>
      </c>
      <c r="M56" s="84">
        <v>1.4510000000000001</v>
      </c>
      <c r="N56" s="84">
        <v>10.47</v>
      </c>
      <c r="O56" s="84">
        <v>2.92</v>
      </c>
      <c r="P56" s="84">
        <v>2.54</v>
      </c>
      <c r="Q56" s="84">
        <v>6.8000000000000005E-2</v>
      </c>
      <c r="R56" s="84">
        <v>27.79</v>
      </c>
      <c r="S56" s="84">
        <v>1.4219999999999999</v>
      </c>
      <c r="T56" s="84">
        <f t="shared" si="100"/>
        <v>2.9780000000000002</v>
      </c>
      <c r="U56" s="84">
        <f t="shared" si="95"/>
        <v>3.0649999999999999</v>
      </c>
      <c r="V56" s="84">
        <v>10.1</v>
      </c>
      <c r="W56" s="84">
        <v>71.040000000000006</v>
      </c>
      <c r="X56" s="94">
        <f t="shared" si="96"/>
        <v>2.3250000000000002</v>
      </c>
      <c r="Y56" s="84">
        <f t="shared" si="79"/>
        <v>326.26399999999995</v>
      </c>
      <c r="Z56">
        <v>263</v>
      </c>
      <c r="AD56">
        <v>2015</v>
      </c>
      <c r="AE56" s="84">
        <f t="shared" si="80"/>
        <v>924.154</v>
      </c>
      <c r="AF56" s="84">
        <f t="shared" si="81"/>
        <v>308.55500000000001</v>
      </c>
      <c r="AG56" s="84">
        <f t="shared" si="82"/>
        <v>501.06599999999997</v>
      </c>
      <c r="AH56" s="61">
        <f t="shared" si="99"/>
        <v>855.35617977528091</v>
      </c>
      <c r="AI56" s="61">
        <f t="shared" si="99"/>
        <v>21203</v>
      </c>
      <c r="AJ56" s="84">
        <f t="shared" si="83"/>
        <v>207.38900000000001</v>
      </c>
      <c r="AK56" s="84">
        <f t="shared" si="84"/>
        <v>108.849</v>
      </c>
      <c r="AL56" s="84">
        <f t="shared" si="85"/>
        <v>1885.568</v>
      </c>
      <c r="AM56" s="84">
        <f t="shared" si="86"/>
        <v>3205.9189999999999</v>
      </c>
      <c r="AN56" s="3">
        <f t="shared" si="104"/>
        <v>2727</v>
      </c>
      <c r="AO56" s="3">
        <f t="shared" si="88"/>
        <v>124.94499999999999</v>
      </c>
      <c r="AP56" s="3">
        <f t="shared" si="89"/>
        <v>1583.616</v>
      </c>
      <c r="AQ56" s="61">
        <f>BT87</f>
        <v>4216</v>
      </c>
      <c r="AR56" s="61">
        <f>CO87</f>
        <v>1309</v>
      </c>
      <c r="AS56" s="61">
        <f t="shared" si="90"/>
        <v>452.38799999999998</v>
      </c>
      <c r="AT56" s="61">
        <v>249</v>
      </c>
      <c r="AU56" s="61">
        <f t="shared" si="98"/>
        <v>150.68600000000001</v>
      </c>
      <c r="AV56" s="61">
        <f t="shared" si="91"/>
        <v>1034.232</v>
      </c>
      <c r="AW56" s="61">
        <f t="shared" si="92"/>
        <v>345.10599999999999</v>
      </c>
      <c r="AX56" s="61">
        <f t="shared" si="102"/>
        <v>323.762</v>
      </c>
      <c r="AY56" s="61">
        <f t="shared" si="93"/>
        <v>2633.5030000000002</v>
      </c>
      <c r="AZ56" s="61">
        <f t="shared" si="97"/>
        <v>13623.689</v>
      </c>
      <c r="BA56" s="61">
        <f t="shared" si="105"/>
        <v>3387.7179756097566</v>
      </c>
      <c r="BB56" s="61">
        <f t="shared" si="103"/>
        <v>61360.501155385027</v>
      </c>
      <c r="BC56" s="3"/>
      <c r="BD56" s="13"/>
      <c r="BE56">
        <v>2008</v>
      </c>
      <c r="BF56" s="84">
        <f t="shared" si="106"/>
        <v>0</v>
      </c>
      <c r="BG56" s="84">
        <f t="shared" si="106"/>
        <v>0</v>
      </c>
      <c r="BH56" s="84"/>
      <c r="BI56" s="84"/>
      <c r="BJ56" s="84"/>
      <c r="BK56" s="84">
        <f>BK24+BK40</f>
        <v>0</v>
      </c>
      <c r="BL56" s="84"/>
      <c r="BM56" s="84"/>
      <c r="BN56" s="84"/>
      <c r="BO56" s="84">
        <f>BO24+BO40</f>
        <v>0</v>
      </c>
      <c r="BP56" s="84"/>
      <c r="BQ56" s="84"/>
      <c r="BR56" s="84">
        <f t="shared" si="107"/>
        <v>0</v>
      </c>
      <c r="BS56" s="84">
        <f t="shared" si="107"/>
        <v>7.0000000000000007E-2</v>
      </c>
      <c r="BT56" s="84"/>
      <c r="BU56" s="84"/>
      <c r="BV56" s="84"/>
      <c r="BW56" s="84">
        <f t="shared" si="108"/>
        <v>0.19500000000000001</v>
      </c>
      <c r="BX56" s="84">
        <f t="shared" si="108"/>
        <v>0</v>
      </c>
      <c r="BY56" s="84">
        <f t="shared" si="108"/>
        <v>0</v>
      </c>
      <c r="BZ56" s="84">
        <f t="shared" si="108"/>
        <v>0</v>
      </c>
      <c r="CA56" s="84">
        <f t="shared" si="108"/>
        <v>0</v>
      </c>
      <c r="CB56" s="84"/>
      <c r="CC56" s="84"/>
      <c r="CD56" s="84"/>
      <c r="CE56" s="84"/>
      <c r="CF56" s="84">
        <f>CF24+CF40</f>
        <v>0.01</v>
      </c>
      <c r="CG56" s="84"/>
      <c r="CH56" s="84">
        <f>CH24+CH40</f>
        <v>0.24</v>
      </c>
      <c r="CI56" s="84"/>
      <c r="CJ56" s="84"/>
      <c r="CK56" s="84"/>
      <c r="CL56" s="84"/>
      <c r="CM56" s="84"/>
      <c r="CN56" s="84">
        <f t="shared" si="109"/>
        <v>0</v>
      </c>
      <c r="CO56" s="84">
        <f t="shared" si="109"/>
        <v>0</v>
      </c>
      <c r="CP56" s="84">
        <f t="shared" si="109"/>
        <v>0</v>
      </c>
      <c r="CQ56" s="84"/>
      <c r="CR56" s="84">
        <f t="shared" si="110"/>
        <v>0.22</v>
      </c>
      <c r="CS56" s="84">
        <f t="shared" si="110"/>
        <v>1.47</v>
      </c>
    </row>
    <row r="57" spans="1:100" ht="12.75" customHeight="1">
      <c r="A57">
        <v>2016</v>
      </c>
      <c r="B57" s="131">
        <f>'DC,NTC,ClimWrks sales'!S13</f>
        <v>0.9</v>
      </c>
      <c r="C57" s="84">
        <v>3.8260000000000001</v>
      </c>
      <c r="D57" s="84">
        <v>2.0539999999999998</v>
      </c>
      <c r="E57" s="84">
        <v>5.22</v>
      </c>
      <c r="F57" s="3">
        <v>257</v>
      </c>
      <c r="G57" s="84">
        <v>1.3120000000000001</v>
      </c>
      <c r="H57" s="84">
        <v>0.223</v>
      </c>
      <c r="I57" s="84">
        <v>21.751999999999999</v>
      </c>
      <c r="J57" s="84">
        <v>11.41</v>
      </c>
      <c r="K57" s="94">
        <f t="shared" si="94"/>
        <v>1.4125000000000001</v>
      </c>
      <c r="L57" s="84">
        <v>0.39200000000000002</v>
      </c>
      <c r="M57" s="84">
        <v>1.377</v>
      </c>
      <c r="N57" s="84">
        <v>15.46</v>
      </c>
      <c r="O57" s="84">
        <v>5.0999999999999996</v>
      </c>
      <c r="P57" s="84">
        <v>4.2679999999999998</v>
      </c>
      <c r="Q57" s="84">
        <v>0.38300000000000001</v>
      </c>
      <c r="R57" s="84">
        <v>24.222000000000001</v>
      </c>
      <c r="S57" s="84">
        <v>2.0049999999999999</v>
      </c>
      <c r="T57" s="84">
        <v>2.9449999999999998</v>
      </c>
      <c r="U57" s="84">
        <v>3.2949999999999999</v>
      </c>
      <c r="V57" s="84">
        <v>10.263999999999999</v>
      </c>
      <c r="W57" s="84">
        <v>86.73</v>
      </c>
      <c r="X57" s="94">
        <f t="shared" si="96"/>
        <v>2.4929999999999994</v>
      </c>
      <c r="Y57" s="84">
        <f t="shared" si="79"/>
        <v>464.04350000000005</v>
      </c>
      <c r="Z57" s="84">
        <v>408</v>
      </c>
      <c r="AD57">
        <v>2016</v>
      </c>
      <c r="AE57" s="84">
        <f t="shared" si="80"/>
        <v>927.28</v>
      </c>
      <c r="AF57" s="84">
        <f t="shared" si="81"/>
        <v>329.60399999999998</v>
      </c>
      <c r="AG57" s="84">
        <f t="shared" si="82"/>
        <v>539.51900000000001</v>
      </c>
      <c r="AH57" s="61">
        <f t="shared" si="99"/>
        <v>888.8640449438202</v>
      </c>
      <c r="AI57" s="61">
        <f t="shared" si="99"/>
        <v>24525.547445255474</v>
      </c>
      <c r="AJ57" s="84">
        <f t="shared" si="83"/>
        <v>223.142</v>
      </c>
      <c r="AK57" s="84">
        <f t="shared" si="84"/>
        <v>119.039</v>
      </c>
      <c r="AL57" s="84">
        <f t="shared" si="85"/>
        <v>1983.729</v>
      </c>
      <c r="AM57" s="84">
        <f t="shared" si="86"/>
        <v>3351.4690000000001</v>
      </c>
      <c r="AN57" s="3">
        <f t="shared" si="104"/>
        <v>2830</v>
      </c>
      <c r="AO57" s="3">
        <f t="shared" si="88"/>
        <v>146.6</v>
      </c>
      <c r="AP57" s="3">
        <f t="shared" si="89"/>
        <v>1844.18</v>
      </c>
      <c r="AQ57" s="61">
        <v>4146</v>
      </c>
      <c r="AR57" s="61">
        <f>CO88</f>
        <v>1325</v>
      </c>
      <c r="AS57" s="61">
        <f t="shared" si="90"/>
        <v>384.69799999999998</v>
      </c>
      <c r="AT57" s="61">
        <v>257</v>
      </c>
      <c r="AU57" s="61">
        <f t="shared" si="98"/>
        <v>154.60300000000001</v>
      </c>
      <c r="AV57" s="61">
        <f t="shared" si="91"/>
        <v>1147.0070000000001</v>
      </c>
      <c r="AW57" s="61">
        <f t="shared" si="92"/>
        <v>372.31799999999998</v>
      </c>
      <c r="AX57" s="61">
        <f t="shared" si="102"/>
        <v>317.315</v>
      </c>
      <c r="AY57" s="61">
        <f t="shared" si="93"/>
        <v>2692.7860000000001</v>
      </c>
      <c r="AZ57" s="61">
        <f t="shared" si="97"/>
        <v>13843.272000000001</v>
      </c>
      <c r="BA57" s="61">
        <f t="shared" si="105"/>
        <v>3889.4460432463943</v>
      </c>
      <c r="BB57" s="61">
        <f t="shared" si="103"/>
        <v>66238.418533445685</v>
      </c>
      <c r="BC57" s="3"/>
      <c r="BD57" s="13"/>
      <c r="BF57" s="84">
        <f t="shared" si="106"/>
        <v>0</v>
      </c>
      <c r="BG57" s="84">
        <f t="shared" si="106"/>
        <v>0.04</v>
      </c>
      <c r="BH57" s="84"/>
      <c r="BI57" s="84"/>
      <c r="BJ57" s="84"/>
      <c r="BK57" s="84">
        <f>BK25+BK41</f>
        <v>0.48</v>
      </c>
      <c r="BL57" s="84"/>
      <c r="BM57" s="84"/>
      <c r="BN57" s="84"/>
      <c r="BO57" s="84">
        <f>BO25+BO41</f>
        <v>3.1E-2</v>
      </c>
      <c r="BP57" s="84"/>
      <c r="BQ57" s="84"/>
      <c r="BR57" s="84">
        <f t="shared" si="107"/>
        <v>0.1</v>
      </c>
      <c r="BS57" s="84">
        <f t="shared" si="107"/>
        <v>0.02</v>
      </c>
      <c r="BT57" s="84"/>
      <c r="BU57" s="84"/>
      <c r="BV57" s="84"/>
      <c r="BW57" s="84">
        <f t="shared" si="108"/>
        <v>0.6895</v>
      </c>
      <c r="BX57" s="84">
        <f t="shared" si="108"/>
        <v>0</v>
      </c>
      <c r="BY57" s="84">
        <f t="shared" si="108"/>
        <v>0</v>
      </c>
      <c r="BZ57" s="84">
        <f t="shared" si="108"/>
        <v>0.99</v>
      </c>
      <c r="CA57" s="84">
        <f t="shared" si="108"/>
        <v>0</v>
      </c>
      <c r="CB57" s="84"/>
      <c r="CC57" s="84"/>
      <c r="CD57" s="84"/>
      <c r="CE57" s="84"/>
      <c r="CF57" s="84">
        <f>CF25+CF41</f>
        <v>0.03</v>
      </c>
      <c r="CG57" s="84"/>
      <c r="CH57" s="84">
        <f>CH25+CH41</f>
        <v>0.154</v>
      </c>
      <c r="CI57" s="84"/>
      <c r="CJ57" s="84"/>
      <c r="CK57" s="84"/>
      <c r="CL57" s="84"/>
      <c r="CM57" s="84"/>
      <c r="CN57" s="84">
        <f t="shared" si="109"/>
        <v>0</v>
      </c>
      <c r="CO57" s="84">
        <f t="shared" si="109"/>
        <v>0</v>
      </c>
      <c r="CP57" s="84">
        <f t="shared" si="109"/>
        <v>0.03</v>
      </c>
      <c r="CQ57" s="84"/>
      <c r="CR57" s="84">
        <f t="shared" si="110"/>
        <v>0.18</v>
      </c>
      <c r="CS57" s="84">
        <f t="shared" si="110"/>
        <v>1.33</v>
      </c>
    </row>
    <row r="58" spans="1:100">
      <c r="A58">
        <v>2017</v>
      </c>
      <c r="B58" s="131">
        <f>'DC,NTC,ClimWrks sales'!S14</f>
        <v>1.2829999999999999</v>
      </c>
      <c r="C58" s="84">
        <v>5.4329999999999998</v>
      </c>
      <c r="D58" s="84">
        <v>2.7090000000000001</v>
      </c>
      <c r="E58" s="84">
        <v>9.8379999999999992</v>
      </c>
      <c r="F58" s="3">
        <v>468</v>
      </c>
      <c r="G58" s="84">
        <v>0.69799999999999995</v>
      </c>
      <c r="H58" s="84">
        <v>0.502</v>
      </c>
      <c r="I58" s="84">
        <v>24.91</v>
      </c>
      <c r="J58" s="84">
        <v>25.056000000000001</v>
      </c>
      <c r="K58" s="94">
        <f t="shared" si="94"/>
        <v>2</v>
      </c>
      <c r="L58" s="84">
        <v>0.622</v>
      </c>
      <c r="M58" s="84">
        <v>1.9670000000000001</v>
      </c>
      <c r="N58" s="84">
        <f>0.39*N15</f>
        <v>21.84</v>
      </c>
      <c r="O58" s="84">
        <v>11.81</v>
      </c>
      <c r="P58" s="84">
        <v>9.8970000000000002</v>
      </c>
      <c r="Q58" s="84">
        <v>0.68700000000000006</v>
      </c>
      <c r="R58" s="84">
        <v>33.024999999999999</v>
      </c>
      <c r="S58" s="84">
        <v>3.92</v>
      </c>
      <c r="T58" s="84">
        <f t="shared" si="100"/>
        <v>4.2169999999999996</v>
      </c>
      <c r="U58" s="84">
        <v>4.7729999999999997</v>
      </c>
      <c r="V58" s="84">
        <v>13.597</v>
      </c>
      <c r="W58" s="94">
        <v>104.48699999999999</v>
      </c>
      <c r="X58" s="94">
        <f>CT33</f>
        <v>5.8170000000000002</v>
      </c>
      <c r="Y58" s="84">
        <f>SUM(B58:X58)</f>
        <v>757.08799999999985</v>
      </c>
      <c r="Z58" s="84">
        <v>701</v>
      </c>
      <c r="AD58">
        <v>2017</v>
      </c>
      <c r="AE58" s="94">
        <f t="shared" ref="AE58:AG59" si="111">AE119/1000</f>
        <v>916.65800000000002</v>
      </c>
      <c r="AF58" s="84">
        <f t="shared" si="111"/>
        <v>353.935</v>
      </c>
      <c r="AG58" s="84">
        <f t="shared" si="111"/>
        <v>546.55799999999999</v>
      </c>
      <c r="AH58" s="61">
        <f>AH57*AH119/AH118</f>
        <v>906.27444103668699</v>
      </c>
      <c r="AI58" s="61">
        <f t="shared" si="99"/>
        <v>27571.428571428572</v>
      </c>
      <c r="AJ58" s="84">
        <f>AJ119/1000</f>
        <v>221.81800000000001</v>
      </c>
      <c r="AK58" s="84">
        <f>AK119/1000</f>
        <v>118.533</v>
      </c>
      <c r="AL58" s="84">
        <f t="shared" si="85"/>
        <v>2107.8857142857141</v>
      </c>
      <c r="AM58" s="84">
        <f>AM119/1000</f>
        <v>3441.261</v>
      </c>
      <c r="AN58" s="3">
        <f t="shared" si="104"/>
        <v>2950</v>
      </c>
      <c r="AO58" s="3">
        <f>AO119/1000</f>
        <v>131.33799999999999</v>
      </c>
      <c r="AP58" s="3">
        <f>AP119/1000</f>
        <v>1970.201</v>
      </c>
      <c r="AQ58" s="61">
        <v>4391</v>
      </c>
      <c r="AR58" s="61">
        <f>AR57*AR119/AR118</f>
        <v>1329.3657993200561</v>
      </c>
      <c r="AS58" s="61">
        <f>AS119/1000</f>
        <v>418.46100000000001</v>
      </c>
      <c r="AT58" s="61">
        <v>273</v>
      </c>
      <c r="AU58" s="61">
        <f t="shared" ref="AU58:AX59" si="112">AU119/1000</f>
        <v>158.65</v>
      </c>
      <c r="AV58" s="61">
        <f t="shared" si="112"/>
        <v>1234.931</v>
      </c>
      <c r="AW58" s="61">
        <f t="shared" si="112"/>
        <v>379.39299999999997</v>
      </c>
      <c r="AX58" s="61">
        <f t="shared" si="112"/>
        <v>314.02800000000002</v>
      </c>
      <c r="AY58" s="61">
        <f t="shared" si="93"/>
        <v>2544.105263157895</v>
      </c>
      <c r="AZ58" s="61">
        <f t="shared" si="97"/>
        <v>13399.933000000001</v>
      </c>
      <c r="BA58" s="61">
        <f t="shared" si="105"/>
        <v>4124.874771810285</v>
      </c>
      <c r="BB58" s="61">
        <f t="shared" si="103"/>
        <v>69803.632561039209</v>
      </c>
      <c r="BC58" s="3"/>
      <c r="BD58" s="13"/>
      <c r="BE58">
        <v>2010</v>
      </c>
      <c r="BF58" s="84">
        <f t="shared" ref="BF58:CS58" si="113">BF26+BF42</f>
        <v>0.04</v>
      </c>
      <c r="BG58" s="84">
        <f t="shared" si="113"/>
        <v>0.112</v>
      </c>
      <c r="BH58" s="84">
        <f t="shared" si="113"/>
        <v>0</v>
      </c>
      <c r="BI58" s="84">
        <f t="shared" si="113"/>
        <v>0</v>
      </c>
      <c r="BJ58" s="84">
        <f t="shared" si="113"/>
        <v>0</v>
      </c>
      <c r="BK58" s="84">
        <f t="shared" si="113"/>
        <v>1.43</v>
      </c>
      <c r="BL58" s="84">
        <f t="shared" si="113"/>
        <v>0</v>
      </c>
      <c r="BM58" s="84">
        <f t="shared" si="113"/>
        <v>0</v>
      </c>
      <c r="BN58" s="84">
        <f t="shared" si="113"/>
        <v>4.0000000000000001E-3</v>
      </c>
      <c r="BO58" s="84">
        <f t="shared" si="113"/>
        <v>0</v>
      </c>
      <c r="BP58" s="84">
        <f t="shared" si="113"/>
        <v>0</v>
      </c>
      <c r="BQ58" s="84">
        <f t="shared" si="113"/>
        <v>0</v>
      </c>
      <c r="BR58" s="84">
        <f t="shared" si="113"/>
        <v>0.19</v>
      </c>
      <c r="BS58" s="84">
        <f t="shared" si="113"/>
        <v>0.14000000000000001</v>
      </c>
      <c r="BT58" s="84">
        <f t="shared" si="113"/>
        <v>0</v>
      </c>
      <c r="BU58" s="84">
        <f t="shared" si="113"/>
        <v>0</v>
      </c>
      <c r="BV58" s="84">
        <f t="shared" si="113"/>
        <v>0</v>
      </c>
      <c r="BW58" s="84">
        <f t="shared" si="113"/>
        <v>1.17</v>
      </c>
      <c r="BX58" s="84">
        <f t="shared" si="113"/>
        <v>1.7999999999999999E-2</v>
      </c>
      <c r="BY58" s="84">
        <f t="shared" si="113"/>
        <v>0.04</v>
      </c>
      <c r="BZ58" s="84">
        <f t="shared" si="113"/>
        <v>2.44</v>
      </c>
      <c r="CA58" s="84">
        <f t="shared" si="113"/>
        <v>0.06</v>
      </c>
      <c r="CB58" s="84">
        <f t="shared" si="113"/>
        <v>0</v>
      </c>
      <c r="CC58" s="84">
        <f t="shared" si="113"/>
        <v>0</v>
      </c>
      <c r="CD58" s="84">
        <f t="shared" si="113"/>
        <v>0</v>
      </c>
      <c r="CE58" s="84">
        <f t="shared" si="113"/>
        <v>0</v>
      </c>
      <c r="CF58" s="84">
        <f t="shared" si="113"/>
        <v>0.12</v>
      </c>
      <c r="CG58" s="84">
        <f t="shared" si="113"/>
        <v>0</v>
      </c>
      <c r="CH58" s="84">
        <f t="shared" si="113"/>
        <v>0.39</v>
      </c>
      <c r="CI58" s="84">
        <f t="shared" si="113"/>
        <v>0</v>
      </c>
      <c r="CJ58" s="84">
        <f t="shared" si="113"/>
        <v>0</v>
      </c>
      <c r="CK58" s="84">
        <f t="shared" si="113"/>
        <v>0</v>
      </c>
      <c r="CL58" s="84">
        <f t="shared" si="113"/>
        <v>0</v>
      </c>
      <c r="CM58" s="84">
        <f t="shared" si="113"/>
        <v>0</v>
      </c>
      <c r="CN58" s="84">
        <f t="shared" si="113"/>
        <v>7.2999999999999995E-2</v>
      </c>
      <c r="CO58" s="84">
        <f t="shared" si="113"/>
        <v>0.06</v>
      </c>
      <c r="CP58" s="84">
        <f t="shared" si="113"/>
        <v>0.123</v>
      </c>
      <c r="CQ58" s="84">
        <f t="shared" si="113"/>
        <v>0</v>
      </c>
      <c r="CR58" s="84">
        <f t="shared" si="113"/>
        <v>0.28000000000000003</v>
      </c>
      <c r="CS58" s="84">
        <f t="shared" si="113"/>
        <v>1.19</v>
      </c>
      <c r="CT58" s="84">
        <f>BI58+BL58+BM58+BN58+BP58+BT58+BU58+BV58+CB58+CC58+CD58+CE58+CI58+CJ58+CK58+CL58+CM58+CQ58</f>
        <v>4.0000000000000001E-3</v>
      </c>
      <c r="CU58" s="84">
        <f>SUM(BF58:CS58)</f>
        <v>7.879999999999999</v>
      </c>
    </row>
    <row r="59" spans="1:100">
      <c r="A59">
        <v>2018</v>
      </c>
      <c r="B59" s="131">
        <f>'DC,NTC,ClimWrks sales'!S15</f>
        <v>1.6</v>
      </c>
      <c r="C59" s="84"/>
      <c r="D59" s="84"/>
      <c r="E59" s="84"/>
      <c r="F59" s="3">
        <f>0.75*F16</f>
        <v>825</v>
      </c>
      <c r="G59" s="84"/>
      <c r="H59" s="84"/>
      <c r="I59" s="84"/>
      <c r="J59" s="84"/>
      <c r="K59" s="94"/>
      <c r="L59" s="84"/>
      <c r="M59" s="84"/>
      <c r="N59" s="84">
        <f>0.39*N16</f>
        <v>24.96</v>
      </c>
      <c r="O59" s="84"/>
      <c r="P59" s="84"/>
      <c r="Q59" s="84">
        <v>0.81599999999999995</v>
      </c>
      <c r="R59" s="84"/>
      <c r="S59" s="84"/>
      <c r="T59" s="84"/>
      <c r="U59" s="84"/>
      <c r="V59" s="84"/>
      <c r="W59" s="94">
        <f>0.7*W16</f>
        <v>244.99999999999997</v>
      </c>
      <c r="X59" s="94"/>
      <c r="Y59" s="84"/>
      <c r="Z59">
        <v>995</v>
      </c>
      <c r="AD59">
        <v>2018</v>
      </c>
      <c r="AE59" s="94">
        <f t="shared" si="111"/>
        <v>889.52499999999998</v>
      </c>
      <c r="AF59" s="84">
        <f t="shared" si="111"/>
        <v>349.06799999999998</v>
      </c>
      <c r="AG59" s="84">
        <f t="shared" si="111"/>
        <v>562.61599999999999</v>
      </c>
      <c r="AH59" s="61">
        <f>AH58*AH120/AH119</f>
        <v>892.44247316794065</v>
      </c>
      <c r="AI59" s="33">
        <f>AI58*1.011</f>
        <v>27874.714285714283</v>
      </c>
      <c r="AJ59" s="84">
        <f>AJ120/1000</f>
        <v>222.499</v>
      </c>
      <c r="AK59" s="84">
        <f>AK120/1000</f>
        <v>123.63</v>
      </c>
      <c r="AL59" s="94">
        <f>AL58*AL120/AL119</f>
        <v>2193.453112922839</v>
      </c>
      <c r="AM59" s="84">
        <f>AM120/1000</f>
        <v>3451.0459999999998</v>
      </c>
      <c r="AN59" s="61">
        <f>AN58*AN120/AN119</f>
        <v>3099.5908001623138</v>
      </c>
      <c r="AO59" s="3">
        <f>AO120/1000</f>
        <v>126.241</v>
      </c>
      <c r="AP59" s="3">
        <f>AP120/1000</f>
        <v>1909.056</v>
      </c>
      <c r="AQ59" s="61">
        <f>AQ58*AQ120/AQ119</f>
        <v>4326.0662600309679</v>
      </c>
      <c r="AR59" s="61">
        <f>AR58*AR120/AR119</f>
        <v>1324.0917676058862</v>
      </c>
      <c r="AS59" s="61">
        <f>AS120/1000</f>
        <v>452.47500000000002</v>
      </c>
      <c r="AT59" s="61">
        <v>270</v>
      </c>
      <c r="AU59" s="61">
        <f t="shared" si="112"/>
        <v>151.155</v>
      </c>
      <c r="AV59" s="61">
        <f t="shared" si="112"/>
        <v>1328.731</v>
      </c>
      <c r="AW59" s="61">
        <f t="shared" si="112"/>
        <v>356.916</v>
      </c>
      <c r="AX59" s="61">
        <f t="shared" si="112"/>
        <v>302.07400000000001</v>
      </c>
      <c r="AY59" s="61">
        <f>AY120/1000</f>
        <v>2374.4189999999999</v>
      </c>
      <c r="AZ59" s="61">
        <f>AZ58*AZ120/AZ119</f>
        <v>13381.030003026313</v>
      </c>
      <c r="BA59" s="15">
        <f>BA58+BA58-BA57</f>
        <v>4360.3035003741752</v>
      </c>
      <c r="BB59" s="61">
        <f t="shared" si="103"/>
        <v>70321.143203004729</v>
      </c>
      <c r="BC59" s="33"/>
      <c r="BD59" s="13"/>
      <c r="BE59">
        <v>2011</v>
      </c>
      <c r="BF59" s="84">
        <f t="shared" ref="BF59:CS59" si="114">BF27+BF43</f>
        <v>0.152</v>
      </c>
      <c r="BG59" s="84">
        <f t="shared" si="114"/>
        <v>0.63100000000000001</v>
      </c>
      <c r="BH59" s="84">
        <f t="shared" si="114"/>
        <v>0.28799999999999998</v>
      </c>
      <c r="BI59" s="84">
        <f t="shared" si="114"/>
        <v>0</v>
      </c>
      <c r="BJ59" s="84">
        <f t="shared" si="114"/>
        <v>0.52</v>
      </c>
      <c r="BK59" s="84">
        <f t="shared" si="114"/>
        <v>5.07</v>
      </c>
      <c r="BL59" s="84">
        <f t="shared" si="114"/>
        <v>0</v>
      </c>
      <c r="BM59" s="84">
        <f t="shared" si="114"/>
        <v>0</v>
      </c>
      <c r="BN59" s="84">
        <f t="shared" si="114"/>
        <v>5.6000000000000001E-2</v>
      </c>
      <c r="BO59" s="84">
        <f t="shared" si="114"/>
        <v>0.41499999999999998</v>
      </c>
      <c r="BP59" s="84">
        <f t="shared" si="114"/>
        <v>5.6000000000000001E-2</v>
      </c>
      <c r="BQ59" s="84">
        <f t="shared" si="114"/>
        <v>2.9000000000000001E-2</v>
      </c>
      <c r="BR59" s="84">
        <f t="shared" si="114"/>
        <v>2.73</v>
      </c>
      <c r="BS59" s="84">
        <f t="shared" si="114"/>
        <v>1.65</v>
      </c>
      <c r="BT59" s="84">
        <f t="shared" si="114"/>
        <v>0</v>
      </c>
      <c r="BU59" s="84">
        <f t="shared" si="114"/>
        <v>8.9999999999999993E-3</v>
      </c>
      <c r="BV59" s="84">
        <f t="shared" si="114"/>
        <v>0</v>
      </c>
      <c r="BW59" s="84">
        <f t="shared" si="114"/>
        <v>1.7395</v>
      </c>
      <c r="BX59" s="84">
        <f t="shared" si="114"/>
        <v>4.5999999999999999E-2</v>
      </c>
      <c r="BY59" s="84">
        <f t="shared" si="114"/>
        <v>0.11700000000000001</v>
      </c>
      <c r="BZ59" s="84">
        <f t="shared" si="114"/>
        <v>12.62</v>
      </c>
      <c r="CA59" s="84">
        <f t="shared" si="114"/>
        <v>0.27</v>
      </c>
      <c r="CB59" s="84">
        <f t="shared" si="114"/>
        <v>0</v>
      </c>
      <c r="CC59" s="84">
        <f t="shared" si="114"/>
        <v>0</v>
      </c>
      <c r="CD59" s="84">
        <f t="shared" si="114"/>
        <v>3.1E-2</v>
      </c>
      <c r="CE59" s="84">
        <f t="shared" si="114"/>
        <v>0</v>
      </c>
      <c r="CF59" s="84">
        <f t="shared" si="114"/>
        <v>0.88</v>
      </c>
      <c r="CG59" s="84">
        <f t="shared" si="114"/>
        <v>0</v>
      </c>
      <c r="CH59" s="84">
        <f t="shared" si="114"/>
        <v>1.84</v>
      </c>
      <c r="CI59" s="84">
        <f t="shared" si="114"/>
        <v>3.5000000000000003E-2</v>
      </c>
      <c r="CJ59" s="84">
        <f t="shared" si="114"/>
        <v>0.20100000000000001</v>
      </c>
      <c r="CK59" s="84">
        <f t="shared" si="114"/>
        <v>5.0000000000000001E-3</v>
      </c>
      <c r="CL59" s="84">
        <f t="shared" si="114"/>
        <v>4.2000000000000003E-2</v>
      </c>
      <c r="CM59" s="84">
        <f t="shared" si="114"/>
        <v>1.2E-2</v>
      </c>
      <c r="CN59" s="84">
        <f t="shared" si="114"/>
        <v>0.57599999999999996</v>
      </c>
      <c r="CO59" s="84">
        <f t="shared" si="114"/>
        <v>0.183</v>
      </c>
      <c r="CP59" s="84">
        <f t="shared" si="114"/>
        <v>0.436</v>
      </c>
      <c r="CQ59" s="84">
        <f t="shared" si="114"/>
        <v>0</v>
      </c>
      <c r="CR59" s="84">
        <f t="shared" si="114"/>
        <v>1.22</v>
      </c>
      <c r="CS59" s="84">
        <f t="shared" si="114"/>
        <v>17.73</v>
      </c>
      <c r="CT59" s="84">
        <f t="shared" ref="CT59:CT65" si="115">BI59+BL59+BM59+BN59+BP59+BT59+BU59+BV59+CB59+CC59+CD59+CE59+CI59+CJ59+CK59+CL59+CM59+CQ59</f>
        <v>0.44700000000000001</v>
      </c>
      <c r="CU59" s="84">
        <f t="shared" ref="CU59:CU65" si="116">SUM(BF59:CS59)</f>
        <v>49.589500000000001</v>
      </c>
    </row>
    <row r="60" spans="1:100">
      <c r="I60" s="13"/>
      <c r="J60" s="12"/>
      <c r="K60" s="12"/>
      <c r="L60" s="12"/>
      <c r="M60" s="12"/>
      <c r="P60" s="13"/>
      <c r="Q60" s="13"/>
      <c r="R60" s="13"/>
      <c r="S60" s="13"/>
      <c r="T60" s="13"/>
      <c r="U60" s="13"/>
      <c r="V60" s="13"/>
      <c r="AC60" s="33"/>
      <c r="AD60">
        <v>2019</v>
      </c>
      <c r="AE60" s="33"/>
      <c r="AF60" s="33"/>
      <c r="AG60" s="33"/>
      <c r="AH60" s="33"/>
      <c r="AI60" s="61"/>
      <c r="AJ60" s="33"/>
      <c r="AK60" s="33"/>
      <c r="AL60" s="33"/>
      <c r="AM60" s="33"/>
      <c r="AN60" s="61"/>
      <c r="AO60" s="33"/>
      <c r="AP60" s="33"/>
      <c r="AQ60" s="33"/>
      <c r="AR60" s="33"/>
      <c r="AS60" s="33"/>
      <c r="AT60" s="33"/>
      <c r="AU60" s="33"/>
      <c r="AV60" s="33"/>
      <c r="AW60" s="33"/>
      <c r="AX60" s="33"/>
      <c r="AY60" s="61"/>
      <c r="AZ60" s="33"/>
      <c r="BA60" s="33"/>
      <c r="BB60" s="33"/>
      <c r="BC60" s="33"/>
      <c r="BD60" s="13"/>
      <c r="BE60">
        <v>2012</v>
      </c>
      <c r="BF60" s="84">
        <f t="shared" ref="BF60:CS60" si="117">BF28+BF44</f>
        <v>0.13300000000000001</v>
      </c>
      <c r="BG60" s="84">
        <f t="shared" si="117"/>
        <v>0.69399999999999995</v>
      </c>
      <c r="BH60" s="84">
        <f t="shared" si="117"/>
        <v>0.91100000000000003</v>
      </c>
      <c r="BI60" s="84">
        <f t="shared" si="117"/>
        <v>4.0000000000000001E-3</v>
      </c>
      <c r="BJ60" s="84">
        <f t="shared" si="117"/>
        <v>2.02</v>
      </c>
      <c r="BK60" s="84">
        <f t="shared" si="117"/>
        <v>9.9</v>
      </c>
      <c r="BL60" s="84">
        <f t="shared" si="117"/>
        <v>0</v>
      </c>
      <c r="BM60" s="84">
        <f t="shared" si="117"/>
        <v>0</v>
      </c>
      <c r="BN60" s="84">
        <f t="shared" si="117"/>
        <v>0.108</v>
      </c>
      <c r="BO60" s="84">
        <f t="shared" si="117"/>
        <v>0.504</v>
      </c>
      <c r="BP60" s="84">
        <f t="shared" si="117"/>
        <v>0.51100000000000001</v>
      </c>
      <c r="BQ60" s="84">
        <f t="shared" si="117"/>
        <v>0.17899999999999999</v>
      </c>
      <c r="BR60" s="84">
        <f t="shared" si="117"/>
        <v>6.26</v>
      </c>
      <c r="BS60" s="84">
        <f t="shared" si="117"/>
        <v>3.37</v>
      </c>
      <c r="BT60" s="84">
        <f t="shared" si="117"/>
        <v>1E-3</v>
      </c>
      <c r="BU60" s="84">
        <f t="shared" si="117"/>
        <v>2.5000000000000001E-2</v>
      </c>
      <c r="BV60" s="84">
        <f t="shared" si="117"/>
        <v>2.9142857142857144E-2</v>
      </c>
      <c r="BW60" s="84">
        <f t="shared" si="117"/>
        <v>3.0599999999999996</v>
      </c>
      <c r="BX60" s="84">
        <f t="shared" si="117"/>
        <v>0.13900000000000001</v>
      </c>
      <c r="BY60" s="84">
        <f t="shared" si="117"/>
        <v>0.65200000000000002</v>
      </c>
      <c r="BZ60" s="84">
        <f t="shared" si="117"/>
        <v>24.44</v>
      </c>
      <c r="CA60" s="84">
        <f t="shared" si="117"/>
        <v>0.51</v>
      </c>
      <c r="CB60" s="84">
        <f t="shared" si="117"/>
        <v>9.0000000000000011E-3</v>
      </c>
      <c r="CC60" s="84">
        <f t="shared" si="117"/>
        <v>0</v>
      </c>
      <c r="CD60" s="84">
        <f t="shared" si="117"/>
        <v>9.0999999999999998E-2</v>
      </c>
      <c r="CE60" s="84">
        <f t="shared" si="117"/>
        <v>1E-3</v>
      </c>
      <c r="CF60" s="84">
        <f t="shared" si="117"/>
        <v>5.12</v>
      </c>
      <c r="CG60" s="84">
        <f t="shared" si="117"/>
        <v>0</v>
      </c>
      <c r="CH60" s="84">
        <f t="shared" si="117"/>
        <v>4.51</v>
      </c>
      <c r="CI60" s="84">
        <f t="shared" si="117"/>
        <v>3.1E-2</v>
      </c>
      <c r="CJ60" s="84">
        <f t="shared" si="117"/>
        <v>9.4E-2</v>
      </c>
      <c r="CK60" s="84">
        <f t="shared" si="117"/>
        <v>5.0000000000000001E-3</v>
      </c>
      <c r="CL60" s="84">
        <f t="shared" si="117"/>
        <v>3.0000000000000001E-3</v>
      </c>
      <c r="CM60" s="84">
        <f t="shared" si="117"/>
        <v>2.7000000000000003E-2</v>
      </c>
      <c r="CN60" s="84">
        <f t="shared" si="117"/>
        <v>0.55200000000000005</v>
      </c>
      <c r="CO60" s="84">
        <f t="shared" si="117"/>
        <v>0.95700000000000007</v>
      </c>
      <c r="CP60" s="84">
        <f t="shared" si="117"/>
        <v>0.85699999999999998</v>
      </c>
      <c r="CQ60" s="84">
        <f t="shared" si="117"/>
        <v>9.1999999999999998E-2</v>
      </c>
      <c r="CR60" s="84">
        <f t="shared" si="117"/>
        <v>2.69</v>
      </c>
      <c r="CS60" s="84">
        <f t="shared" si="117"/>
        <v>53.24</v>
      </c>
      <c r="CT60" s="84">
        <f t="shared" si="115"/>
        <v>1.0311428571428571</v>
      </c>
      <c r="CU60" s="84">
        <f t="shared" si="116"/>
        <v>121.72914285714285</v>
      </c>
    </row>
    <row r="61" spans="1:100">
      <c r="B61" s="102"/>
      <c r="C61" s="102"/>
      <c r="D61" s="102"/>
      <c r="E61" s="14" t="s">
        <v>649</v>
      </c>
      <c r="F61" s="14"/>
      <c r="G61" s="14"/>
      <c r="H61" s="14"/>
      <c r="I61" s="14"/>
      <c r="AC61" s="33"/>
      <c r="AD61">
        <v>2020</v>
      </c>
      <c r="AE61" s="143"/>
      <c r="AF61" s="143"/>
      <c r="AG61" s="143"/>
      <c r="AH61" s="143"/>
      <c r="AI61" s="143"/>
      <c r="AJ61" s="143"/>
      <c r="AK61" s="143"/>
      <c r="AL61" s="143"/>
      <c r="AM61" s="143"/>
      <c r="AN61" s="143"/>
      <c r="AO61" s="143"/>
      <c r="AP61" s="147"/>
      <c r="AQ61" s="143"/>
      <c r="AR61" s="143"/>
      <c r="AS61" s="143"/>
      <c r="AT61" s="154"/>
      <c r="AU61" s="143"/>
      <c r="AV61" s="143"/>
      <c r="AW61" s="143"/>
      <c r="AX61" s="143"/>
      <c r="AY61" s="61"/>
      <c r="AZ61" s="143"/>
      <c r="BA61" s="143"/>
      <c r="BB61" s="143"/>
      <c r="BC61" s="140"/>
      <c r="BD61" s="13"/>
      <c r="BE61">
        <v>2013</v>
      </c>
      <c r="BF61" s="84">
        <f t="shared" ref="BF61:CS61" si="118">BF29+BF45</f>
        <v>0.33999999999999997</v>
      </c>
      <c r="BG61" s="84">
        <f t="shared" si="118"/>
        <v>0.83800000000000008</v>
      </c>
      <c r="BH61" s="84">
        <f t="shared" si="118"/>
        <v>0.81299999999999994</v>
      </c>
      <c r="BI61" s="84">
        <f t="shared" si="118"/>
        <v>0</v>
      </c>
      <c r="BJ61" s="84">
        <f t="shared" si="118"/>
        <v>3.12</v>
      </c>
      <c r="BK61" s="84">
        <f t="shared" si="118"/>
        <v>15.34</v>
      </c>
      <c r="BL61" s="84">
        <f t="shared" si="118"/>
        <v>0</v>
      </c>
      <c r="BM61" s="84">
        <f t="shared" si="118"/>
        <v>0</v>
      </c>
      <c r="BN61" s="84">
        <f t="shared" si="118"/>
        <v>0.05</v>
      </c>
      <c r="BO61" s="84">
        <f t="shared" si="118"/>
        <v>0.50800000000000001</v>
      </c>
      <c r="BP61" s="84">
        <f t="shared" si="118"/>
        <v>0.151</v>
      </c>
      <c r="BQ61" s="84">
        <f t="shared" si="118"/>
        <v>0.21800000000000003</v>
      </c>
      <c r="BR61" s="84">
        <f t="shared" si="118"/>
        <v>9.6199999999999992</v>
      </c>
      <c r="BS61" s="84">
        <f t="shared" si="118"/>
        <v>6.93</v>
      </c>
      <c r="BT61" s="84">
        <f t="shared" si="118"/>
        <v>3.0000000000000001E-3</v>
      </c>
      <c r="BU61" s="84">
        <f t="shared" si="118"/>
        <v>2.4E-2</v>
      </c>
      <c r="BV61" s="84">
        <f t="shared" si="118"/>
        <v>0.10400000000000001</v>
      </c>
      <c r="BW61" s="84">
        <f t="shared" si="118"/>
        <v>3.3600000000000003</v>
      </c>
      <c r="BX61" s="84">
        <f t="shared" si="118"/>
        <v>4.7E-2</v>
      </c>
      <c r="BY61" s="84">
        <f t="shared" si="118"/>
        <v>1.054</v>
      </c>
      <c r="BZ61" s="84">
        <f t="shared" si="118"/>
        <v>28.88</v>
      </c>
      <c r="CA61" s="84">
        <f t="shared" si="118"/>
        <v>0.6</v>
      </c>
      <c r="CB61" s="84">
        <f t="shared" si="118"/>
        <v>8.0000000000000002E-3</v>
      </c>
      <c r="CC61" s="84">
        <f t="shared" si="118"/>
        <v>6.0000000000000001E-3</v>
      </c>
      <c r="CD61" s="84">
        <f t="shared" si="118"/>
        <v>0.17299999999999999</v>
      </c>
      <c r="CE61" s="84">
        <f t="shared" si="118"/>
        <v>7.0000000000000001E-3</v>
      </c>
      <c r="CF61" s="84">
        <f t="shared" si="118"/>
        <v>22.42</v>
      </c>
      <c r="CG61" s="84">
        <f t="shared" si="118"/>
        <v>1.6E-2</v>
      </c>
      <c r="CH61" s="84">
        <f t="shared" si="118"/>
        <v>8.52</v>
      </c>
      <c r="CI61" s="84">
        <f t="shared" si="118"/>
        <v>3.6999999999999998E-2</v>
      </c>
      <c r="CJ61" s="84">
        <f t="shared" si="118"/>
        <v>0.21000000000000002</v>
      </c>
      <c r="CK61" s="84">
        <f t="shared" si="118"/>
        <v>3.6999999999999998E-2</v>
      </c>
      <c r="CL61" s="84">
        <f t="shared" si="118"/>
        <v>2.8000000000000001E-2</v>
      </c>
      <c r="CM61" s="84">
        <f t="shared" si="118"/>
        <v>1.7999999999999999E-2</v>
      </c>
      <c r="CN61" s="84">
        <f t="shared" si="118"/>
        <v>1.008</v>
      </c>
      <c r="CO61" s="84">
        <f t="shared" si="118"/>
        <v>1.556</v>
      </c>
      <c r="CP61" s="84">
        <f t="shared" si="118"/>
        <v>1.345</v>
      </c>
      <c r="CQ61" s="84">
        <f t="shared" si="118"/>
        <v>0</v>
      </c>
      <c r="CR61" s="84">
        <f t="shared" si="118"/>
        <v>3.75</v>
      </c>
      <c r="CS61" s="84">
        <f t="shared" si="118"/>
        <v>96.7</v>
      </c>
      <c r="CT61" s="84">
        <f t="shared" si="115"/>
        <v>0.85600000000000021</v>
      </c>
      <c r="CU61" s="84">
        <f t="shared" si="116"/>
        <v>207.839</v>
      </c>
    </row>
    <row r="62" spans="1:100">
      <c r="B62" s="149" t="s">
        <v>255</v>
      </c>
      <c r="C62" s="149" t="s">
        <v>539</v>
      </c>
      <c r="D62" s="149" t="s">
        <v>540</v>
      </c>
      <c r="E62" s="149" t="s">
        <v>238</v>
      </c>
      <c r="F62" s="149" t="s">
        <v>239</v>
      </c>
      <c r="G62" s="149" t="s">
        <v>541</v>
      </c>
      <c r="H62" s="149" t="s">
        <v>542</v>
      </c>
      <c r="I62" s="149" t="s">
        <v>240</v>
      </c>
      <c r="J62" s="149" t="s">
        <v>241</v>
      </c>
      <c r="K62" s="149" t="s">
        <v>242</v>
      </c>
      <c r="L62" s="149" t="s">
        <v>544</v>
      </c>
      <c r="M62" s="7" t="s">
        <v>538</v>
      </c>
      <c r="N62" s="149" t="s">
        <v>243</v>
      </c>
      <c r="O62" s="149" t="s">
        <v>244</v>
      </c>
      <c r="P62" s="149" t="s">
        <v>245</v>
      </c>
      <c r="Q62" s="150" t="s">
        <v>331</v>
      </c>
      <c r="R62" s="149" t="s">
        <v>246</v>
      </c>
      <c r="S62" s="149" t="s">
        <v>545</v>
      </c>
      <c r="T62" s="149" t="s">
        <v>247</v>
      </c>
      <c r="U62" s="149" t="s">
        <v>546</v>
      </c>
      <c r="V62" s="149" t="s">
        <v>248</v>
      </c>
      <c r="W62" s="149" t="s">
        <v>249</v>
      </c>
      <c r="X62" s="149" t="s">
        <v>609</v>
      </c>
      <c r="Y62" s="150" t="s">
        <v>158</v>
      </c>
      <c r="Z62" s="149" t="s">
        <v>838</v>
      </c>
      <c r="AC62" s="33"/>
      <c r="AD62">
        <v>2021</v>
      </c>
      <c r="AE62" s="149"/>
      <c r="AF62" s="149"/>
      <c r="AG62" s="149"/>
      <c r="AH62" s="149"/>
      <c r="AI62" s="149"/>
      <c r="AJ62" s="149"/>
      <c r="AK62" s="149"/>
      <c r="AL62" s="149"/>
      <c r="AM62" s="149"/>
      <c r="AN62" s="149"/>
      <c r="AO62" s="149"/>
      <c r="AP62" s="7"/>
      <c r="AQ62" s="149"/>
      <c r="AR62" s="149"/>
      <c r="AS62" s="149"/>
      <c r="AT62" s="150"/>
      <c r="AU62" s="149"/>
      <c r="AV62" s="149"/>
      <c r="AW62" s="149"/>
      <c r="AX62" s="149"/>
      <c r="AY62" s="61"/>
      <c r="AZ62" s="149"/>
      <c r="BA62" s="149"/>
      <c r="BB62" s="149"/>
      <c r="BC62" s="94"/>
      <c r="BD62" s="13"/>
      <c r="BE62">
        <v>2014</v>
      </c>
      <c r="BF62" s="137">
        <f t="shared" ref="BF62:CS62" si="119">BF30+BF46</f>
        <v>1.3220000000000001</v>
      </c>
      <c r="BG62" s="84">
        <f t="shared" si="119"/>
        <v>1.7049999999999998</v>
      </c>
      <c r="BH62" s="84">
        <f t="shared" si="119"/>
        <v>2.0209999999999999</v>
      </c>
      <c r="BI62" s="84">
        <f t="shared" si="119"/>
        <v>4.0000000000000001E-3</v>
      </c>
      <c r="BJ62" s="84">
        <f t="shared" si="119"/>
        <v>5.07</v>
      </c>
      <c r="BK62" s="84">
        <f t="shared" si="119"/>
        <v>73.17</v>
      </c>
      <c r="BL62" s="84">
        <f t="shared" si="119"/>
        <v>4.3999999999999997E-2</v>
      </c>
      <c r="BM62" s="84">
        <f t="shared" si="119"/>
        <v>3.0000000000000001E-3</v>
      </c>
      <c r="BN62" s="84">
        <f t="shared" si="119"/>
        <v>0.24199999999999999</v>
      </c>
      <c r="BO62" s="84">
        <f t="shared" si="119"/>
        <v>1.633</v>
      </c>
      <c r="BP62" s="84">
        <f t="shared" si="119"/>
        <v>0.36000000000000004</v>
      </c>
      <c r="BQ62" s="84">
        <f t="shared" si="119"/>
        <v>0.47599999999999998</v>
      </c>
      <c r="BR62" s="84">
        <f t="shared" si="119"/>
        <v>12.64</v>
      </c>
      <c r="BS62" s="84">
        <f t="shared" si="119"/>
        <v>12.74</v>
      </c>
      <c r="BT62" s="84">
        <f t="shared" si="119"/>
        <v>5.9000000000000004E-2</v>
      </c>
      <c r="BU62" s="84">
        <f t="shared" si="119"/>
        <v>4.1000000000000002E-2</v>
      </c>
      <c r="BV62" s="84">
        <f t="shared" si="119"/>
        <v>0.23399999999999999</v>
      </c>
      <c r="BW62" s="84">
        <f t="shared" si="119"/>
        <v>4</v>
      </c>
      <c r="BX62" s="84">
        <f t="shared" si="119"/>
        <v>0.25700000000000001</v>
      </c>
      <c r="BY62" s="84">
        <f t="shared" si="119"/>
        <v>1.5209999999999999</v>
      </c>
      <c r="BZ62" s="84">
        <f t="shared" si="119"/>
        <v>32.29</v>
      </c>
      <c r="CA62" s="84">
        <f t="shared" si="119"/>
        <v>1.31</v>
      </c>
      <c r="CB62" s="84">
        <f t="shared" si="119"/>
        <v>0.17499999999999999</v>
      </c>
      <c r="CC62" s="84">
        <f t="shared" si="119"/>
        <v>1.4E-2</v>
      </c>
      <c r="CD62" s="84">
        <f t="shared" si="119"/>
        <v>0.40699999999999997</v>
      </c>
      <c r="CE62" s="84">
        <f t="shared" si="119"/>
        <v>3.2000000000000001E-2</v>
      </c>
      <c r="CF62" s="84">
        <f t="shared" si="119"/>
        <v>15.09</v>
      </c>
      <c r="CG62" s="84">
        <f t="shared" si="119"/>
        <v>0.254</v>
      </c>
      <c r="CH62" s="84">
        <f t="shared" si="119"/>
        <v>19.760000000000002</v>
      </c>
      <c r="CI62" s="84">
        <f t="shared" si="119"/>
        <v>0.15000000000000002</v>
      </c>
      <c r="CJ62" s="84">
        <f t="shared" si="119"/>
        <v>0.29899999999999999</v>
      </c>
      <c r="CK62" s="84">
        <f t="shared" si="119"/>
        <v>0.03</v>
      </c>
      <c r="CL62" s="84">
        <f t="shared" si="119"/>
        <v>0.11800000000000001</v>
      </c>
      <c r="CM62" s="84">
        <f t="shared" si="119"/>
        <v>4.9000000000000002E-2</v>
      </c>
      <c r="CN62" s="84">
        <f t="shared" si="119"/>
        <v>1.452</v>
      </c>
      <c r="CO62" s="84">
        <f t="shared" si="119"/>
        <v>4.6749999999999998</v>
      </c>
      <c r="CP62" s="84">
        <f t="shared" si="119"/>
        <v>2.129</v>
      </c>
      <c r="CQ62" s="84">
        <f t="shared" si="119"/>
        <v>4.4999999999999998E-2</v>
      </c>
      <c r="CR62" s="84">
        <f t="shared" si="119"/>
        <v>14.74</v>
      </c>
      <c r="CS62" s="84">
        <f t="shared" si="119"/>
        <v>118.78</v>
      </c>
      <c r="CT62" s="84">
        <f t="shared" si="115"/>
        <v>2.3059999999999996</v>
      </c>
      <c r="CU62" s="84">
        <f t="shared" si="116"/>
        <v>329.34100000000001</v>
      </c>
    </row>
    <row r="63" spans="1:100">
      <c r="A63">
        <v>2005</v>
      </c>
      <c r="B63" s="13">
        <f t="shared" ref="B63:B75" si="120">B3/AE46*100</f>
        <v>0</v>
      </c>
      <c r="C63" s="13">
        <f t="shared" ref="C63:C75" si="121">C3/AF46*100</f>
        <v>0</v>
      </c>
      <c r="D63" s="13">
        <f t="shared" ref="D63:D75" si="122">D3/AG46*100</f>
        <v>0</v>
      </c>
      <c r="E63" s="13">
        <v>0</v>
      </c>
      <c r="F63" s="13">
        <v>0</v>
      </c>
      <c r="G63" s="13">
        <f t="shared" ref="G63:G75" si="123">G3/AJ46*100</f>
        <v>0</v>
      </c>
      <c r="H63" s="13">
        <f t="shared" ref="H63:H75" si="124">H3/AK46*100</f>
        <v>0</v>
      </c>
      <c r="I63" s="13">
        <f t="shared" ref="I63:I75" si="125">I3/AL46*100</f>
        <v>4.8360833721429019E-4</v>
      </c>
      <c r="J63" s="13">
        <f t="shared" ref="J63:J75" si="126">J3/AM46*100</f>
        <v>5.9867549034516032E-4</v>
      </c>
      <c r="K63" s="13">
        <f t="shared" ref="K63:K75" si="127">K3/AN46*100</f>
        <v>9.3220338983050852E-3</v>
      </c>
      <c r="L63" s="13">
        <f t="shared" ref="L63:L75" si="128">L3/AO46*100</f>
        <v>0</v>
      </c>
      <c r="M63" s="13">
        <f t="shared" ref="M63:M75" si="129">M3/AP46*100</f>
        <v>0</v>
      </c>
      <c r="N63" s="13">
        <v>0</v>
      </c>
      <c r="O63" s="13">
        <v>0</v>
      </c>
      <c r="P63" s="13">
        <f t="shared" ref="P63:P75" si="130">P3/AS46*100</f>
        <v>0</v>
      </c>
      <c r="Q63" s="13">
        <f t="shared" ref="Q63:Q75" si="131">Q3/AT46*100</f>
        <v>0</v>
      </c>
      <c r="R63" s="13">
        <f t="shared" ref="R63:R75" si="132">R3/AU46*100</f>
        <v>0</v>
      </c>
      <c r="S63" s="13">
        <f t="shared" ref="S63:S75" si="133">S3/AV46*100</f>
        <v>0</v>
      </c>
      <c r="T63" s="13">
        <f t="shared" ref="T63:T75" si="134">T3/AW46*100</f>
        <v>0</v>
      </c>
      <c r="U63" s="13">
        <v>0</v>
      </c>
      <c r="V63" s="13">
        <f t="shared" ref="V63:V75" si="135">V3/AY46*100</f>
        <v>9.0191620296558236E-3</v>
      </c>
      <c r="W63" s="13">
        <f t="shared" ref="W63:W75" si="136">W3/AZ46*100</f>
        <v>8.5204795812792913E-3</v>
      </c>
      <c r="X63" s="13">
        <v>0</v>
      </c>
      <c r="Y63" s="13"/>
      <c r="Z63" s="172" t="s">
        <v>839</v>
      </c>
      <c r="AA63" s="172"/>
      <c r="AB63" s="172"/>
      <c r="AC63" s="33"/>
      <c r="AD63">
        <v>2022</v>
      </c>
      <c r="AE63" s="72"/>
      <c r="AF63" s="72"/>
      <c r="AG63" s="72"/>
      <c r="AH63" s="72"/>
      <c r="AI63" s="72"/>
      <c r="AJ63" s="72"/>
      <c r="AK63" s="72"/>
      <c r="AL63" s="72"/>
      <c r="AM63" s="72"/>
      <c r="AN63" s="72"/>
      <c r="AO63" s="72"/>
      <c r="AP63" s="72"/>
      <c r="AQ63" s="72"/>
      <c r="AR63" s="72"/>
      <c r="AS63" s="72"/>
      <c r="AT63" s="72"/>
      <c r="AU63" s="72"/>
      <c r="AV63" s="72"/>
      <c r="AW63" s="72"/>
      <c r="AX63" s="72"/>
      <c r="AY63" s="61"/>
      <c r="AZ63" s="72"/>
      <c r="BA63" s="72"/>
      <c r="BB63" s="72"/>
      <c r="BC63" s="94"/>
      <c r="BD63" s="13"/>
      <c r="BE63">
        <v>2015</v>
      </c>
      <c r="BF63" s="84">
        <f t="shared" ref="BF63:CS63" si="137">BF31+BF47</f>
        <v>1.7709999999999999</v>
      </c>
      <c r="BG63" s="84">
        <f t="shared" si="137"/>
        <v>2.778</v>
      </c>
      <c r="BH63" s="84">
        <f t="shared" si="137"/>
        <v>3.8090000000000002</v>
      </c>
      <c r="BI63" s="84">
        <f t="shared" si="137"/>
        <v>1.4999999999999999E-2</v>
      </c>
      <c r="BJ63" s="84">
        <f t="shared" si="137"/>
        <v>6.96</v>
      </c>
      <c r="BK63" s="84">
        <f t="shared" si="137"/>
        <v>207.38</v>
      </c>
      <c r="BL63" s="84">
        <f t="shared" si="137"/>
        <v>0.123</v>
      </c>
      <c r="BM63" s="84">
        <f t="shared" si="137"/>
        <v>0.03</v>
      </c>
      <c r="BN63" s="84">
        <f t="shared" si="137"/>
        <v>0.45900000000000002</v>
      </c>
      <c r="BO63" s="84">
        <f t="shared" si="137"/>
        <v>4.968</v>
      </c>
      <c r="BP63" s="84">
        <f t="shared" si="137"/>
        <v>5.1000000000000004E-2</v>
      </c>
      <c r="BQ63" s="84">
        <f t="shared" si="137"/>
        <v>0.65700000000000003</v>
      </c>
      <c r="BR63" s="84">
        <f t="shared" si="137"/>
        <v>22.95</v>
      </c>
      <c r="BS63" s="84">
        <f t="shared" si="137"/>
        <v>23.19</v>
      </c>
      <c r="BT63" s="84">
        <f t="shared" si="137"/>
        <v>6.2E-2</v>
      </c>
      <c r="BU63" s="84">
        <f t="shared" si="137"/>
        <v>0.22500000000000001</v>
      </c>
      <c r="BV63" s="84">
        <f t="shared" si="137"/>
        <v>0.55900000000000005</v>
      </c>
      <c r="BW63" s="84">
        <f t="shared" si="137"/>
        <v>5.1749999999999998</v>
      </c>
      <c r="BX63" s="84">
        <f t="shared" si="137"/>
        <v>0.55900000000000005</v>
      </c>
      <c r="BY63" s="84">
        <f t="shared" si="137"/>
        <v>2.3420000000000001</v>
      </c>
      <c r="BZ63" s="84">
        <f t="shared" si="137"/>
        <v>24.65</v>
      </c>
      <c r="CA63" s="84">
        <f t="shared" si="137"/>
        <v>3.19</v>
      </c>
      <c r="CB63" s="84">
        <f t="shared" si="137"/>
        <v>0.03</v>
      </c>
      <c r="CC63" s="84">
        <f t="shared" si="137"/>
        <v>3.9E-2</v>
      </c>
      <c r="CD63" s="84">
        <f t="shared" si="137"/>
        <v>0.184</v>
      </c>
      <c r="CE63" s="84">
        <f t="shared" si="137"/>
        <v>3.7000000000000005E-2</v>
      </c>
      <c r="CF63" s="84">
        <f t="shared" si="137"/>
        <v>43.77</v>
      </c>
      <c r="CG63" s="84">
        <f t="shared" si="137"/>
        <v>0.29499999999999998</v>
      </c>
      <c r="CH63" s="84">
        <f t="shared" si="137"/>
        <v>35.61</v>
      </c>
      <c r="CI63" s="84">
        <f t="shared" si="137"/>
        <v>0.26200000000000001</v>
      </c>
      <c r="CJ63" s="84">
        <f t="shared" si="137"/>
        <v>1.1800000000000002</v>
      </c>
      <c r="CK63" s="84">
        <f t="shared" si="137"/>
        <v>6.7000000000000004E-2</v>
      </c>
      <c r="CL63" s="84">
        <f t="shared" si="137"/>
        <v>0.191</v>
      </c>
      <c r="CM63" s="84">
        <f t="shared" si="137"/>
        <v>0.157</v>
      </c>
      <c r="CN63" s="84">
        <f t="shared" si="137"/>
        <v>2.2909999999999999</v>
      </c>
      <c r="CO63" s="84">
        <f t="shared" si="137"/>
        <v>8.69</v>
      </c>
      <c r="CP63" s="84">
        <f t="shared" si="137"/>
        <v>5.6229999999999993</v>
      </c>
      <c r="CQ63" s="84">
        <f t="shared" si="137"/>
        <v>0.22599999999999998</v>
      </c>
      <c r="CR63" s="84">
        <f t="shared" si="137"/>
        <v>29.340000000000003</v>
      </c>
      <c r="CS63" s="84">
        <f t="shared" si="137"/>
        <v>113.87</v>
      </c>
      <c r="CT63" s="84">
        <f t="shared" si="115"/>
        <v>3.8969999999999998</v>
      </c>
      <c r="CU63" s="84">
        <f t="shared" si="116"/>
        <v>553.76499999999999</v>
      </c>
    </row>
    <row r="64" spans="1:100">
      <c r="A64">
        <v>2006</v>
      </c>
      <c r="B64" s="13">
        <f t="shared" si="120"/>
        <v>0</v>
      </c>
      <c r="C64" s="13">
        <f t="shared" si="121"/>
        <v>0</v>
      </c>
      <c r="D64" s="13">
        <f t="shared" si="122"/>
        <v>0</v>
      </c>
      <c r="E64" s="13">
        <v>0</v>
      </c>
      <c r="F64" s="13">
        <v>0</v>
      </c>
      <c r="G64" s="13">
        <f t="shared" si="123"/>
        <v>0</v>
      </c>
      <c r="H64" s="13">
        <f t="shared" si="124"/>
        <v>0</v>
      </c>
      <c r="I64" s="13">
        <f t="shared" si="125"/>
        <v>0</v>
      </c>
      <c r="J64" s="13">
        <f t="shared" si="126"/>
        <v>5.7695264574617142E-4</v>
      </c>
      <c r="K64" s="13">
        <f t="shared" si="127"/>
        <v>1.0761154855643044E-2</v>
      </c>
      <c r="L64" s="13">
        <f t="shared" si="128"/>
        <v>0</v>
      </c>
      <c r="M64" s="13">
        <f t="shared" si="129"/>
        <v>0</v>
      </c>
      <c r="N64" s="13">
        <v>0</v>
      </c>
      <c r="O64" s="13">
        <v>0</v>
      </c>
      <c r="P64" s="13">
        <f t="shared" si="130"/>
        <v>0</v>
      </c>
      <c r="Q64" s="13">
        <f t="shared" si="131"/>
        <v>0</v>
      </c>
      <c r="R64" s="13">
        <f t="shared" si="132"/>
        <v>0</v>
      </c>
      <c r="S64" s="13">
        <f t="shared" si="133"/>
        <v>0</v>
      </c>
      <c r="T64" s="13">
        <f t="shared" si="134"/>
        <v>0</v>
      </c>
      <c r="U64" s="13">
        <v>0</v>
      </c>
      <c r="V64" s="13">
        <f t="shared" si="135"/>
        <v>1.3649507103502078E-2</v>
      </c>
      <c r="W64" s="13">
        <f t="shared" si="136"/>
        <v>9.5140646597375571E-3</v>
      </c>
      <c r="X64" s="13">
        <v>0</v>
      </c>
      <c r="Y64" s="13"/>
      <c r="Z64" s="13"/>
      <c r="AA64" s="13"/>
      <c r="AB64" s="13"/>
      <c r="AC64" s="33"/>
      <c r="AD64">
        <v>2023</v>
      </c>
      <c r="AE64" s="72"/>
      <c r="AF64" s="72"/>
      <c r="AG64" s="72"/>
      <c r="AH64" s="72"/>
      <c r="AI64" s="72"/>
      <c r="AJ64" s="72"/>
      <c r="AK64" s="72"/>
      <c r="AL64" s="72"/>
      <c r="AM64" s="72"/>
      <c r="AN64" s="72"/>
      <c r="AO64" s="72"/>
      <c r="AP64" s="72"/>
      <c r="AQ64" s="72"/>
      <c r="AR64" s="72"/>
      <c r="AS64" s="72"/>
      <c r="AT64" s="72"/>
      <c r="AU64" s="72"/>
      <c r="AV64" s="72"/>
      <c r="AW64" s="72"/>
      <c r="AX64" s="72"/>
      <c r="AY64" s="61"/>
      <c r="AZ64" s="72"/>
      <c r="BA64" s="72"/>
      <c r="BB64" s="72"/>
      <c r="BC64" s="94"/>
      <c r="BD64" s="13"/>
      <c r="BE64">
        <v>2016</v>
      </c>
      <c r="BF64" s="84">
        <f t="shared" ref="BF64:CS64" si="138">BF32+BF48</f>
        <v>1.7469999999999999</v>
      </c>
      <c r="BG64" s="84">
        <f t="shared" si="138"/>
        <v>5.0630000000000006</v>
      </c>
      <c r="BH64" s="84">
        <f t="shared" si="138"/>
        <v>8.7249999999999996</v>
      </c>
      <c r="BI64" s="84">
        <f t="shared" si="138"/>
        <v>1.2E-2</v>
      </c>
      <c r="BJ64" s="84">
        <f t="shared" si="138"/>
        <v>11.58</v>
      </c>
      <c r="BK64" s="84">
        <f t="shared" si="138"/>
        <v>336</v>
      </c>
      <c r="BL64" s="84">
        <f t="shared" si="138"/>
        <v>8.7999999999999995E-2</v>
      </c>
      <c r="BM64" s="84">
        <f t="shared" si="138"/>
        <v>3.9E-2</v>
      </c>
      <c r="BN64" s="84">
        <f t="shared" si="138"/>
        <v>0.36299999999999999</v>
      </c>
      <c r="BO64" s="84">
        <f t="shared" si="138"/>
        <v>1.8839999999999999</v>
      </c>
      <c r="BP64" s="84">
        <f t="shared" si="138"/>
        <v>5.6000000000000001E-2</v>
      </c>
      <c r="BQ64" s="84">
        <f t="shared" si="138"/>
        <v>1.4300000000000002</v>
      </c>
      <c r="BR64" s="84">
        <f t="shared" si="138"/>
        <v>29.180999999999997</v>
      </c>
      <c r="BS64" s="84">
        <f t="shared" si="138"/>
        <v>25.161000000000001</v>
      </c>
      <c r="BT64" s="84">
        <f t="shared" si="138"/>
        <v>4.7E-2</v>
      </c>
      <c r="BU64" s="84">
        <f t="shared" si="138"/>
        <v>0.31</v>
      </c>
      <c r="BV64" s="84">
        <f t="shared" si="138"/>
        <v>1.1579999999999999</v>
      </c>
      <c r="BW64" s="84">
        <f t="shared" si="138"/>
        <v>6.7624999999999993</v>
      </c>
      <c r="BX64" s="84">
        <f t="shared" si="138"/>
        <v>0.69</v>
      </c>
      <c r="BY64" s="84">
        <f t="shared" si="138"/>
        <v>2.8289999999999997</v>
      </c>
      <c r="BZ64" s="84">
        <f t="shared" si="138"/>
        <v>24.85</v>
      </c>
      <c r="CA64" s="84">
        <f t="shared" si="138"/>
        <v>5.26</v>
      </c>
      <c r="CB64" s="84">
        <f t="shared" si="138"/>
        <v>4.5999999999999999E-2</v>
      </c>
      <c r="CC64" s="84">
        <f t="shared" si="138"/>
        <v>8.1000000000000003E-2</v>
      </c>
      <c r="CD64" s="84">
        <f t="shared" si="138"/>
        <v>0.30600000000000005</v>
      </c>
      <c r="CE64" s="84">
        <f t="shared" si="138"/>
        <v>1.7000000000000001E-2</v>
      </c>
      <c r="CF64" s="84">
        <f t="shared" si="138"/>
        <v>22.896000000000001</v>
      </c>
      <c r="CG64" s="84">
        <f t="shared" si="138"/>
        <v>0.71399999999999997</v>
      </c>
      <c r="CH64" s="84">
        <f t="shared" si="138"/>
        <v>44.908000000000001</v>
      </c>
      <c r="CI64" s="84">
        <f t="shared" si="138"/>
        <v>0.27</v>
      </c>
      <c r="CJ64" s="84">
        <f t="shared" si="138"/>
        <v>1.873</v>
      </c>
      <c r="CK64" s="84">
        <f t="shared" si="138"/>
        <v>0.16200000000000001</v>
      </c>
      <c r="CL64" s="84">
        <f t="shared" si="138"/>
        <v>5.5E-2</v>
      </c>
      <c r="CM64" s="84">
        <f t="shared" si="138"/>
        <v>0.27200000000000002</v>
      </c>
      <c r="CN64" s="84">
        <f t="shared" si="138"/>
        <v>3.516</v>
      </c>
      <c r="CO64" s="84">
        <f t="shared" si="138"/>
        <v>13.413</v>
      </c>
      <c r="CP64" s="84">
        <f t="shared" si="138"/>
        <v>5.4359999999999999</v>
      </c>
      <c r="CQ64" s="84">
        <f t="shared" si="138"/>
        <v>0.127</v>
      </c>
      <c r="CR64" s="84">
        <f t="shared" si="138"/>
        <v>35.162999999999997</v>
      </c>
      <c r="CS64" s="84">
        <f t="shared" si="138"/>
        <v>159.62</v>
      </c>
      <c r="CT64" s="84">
        <f t="shared" si="115"/>
        <v>5.2819999999999991</v>
      </c>
      <c r="CU64" s="84">
        <f t="shared" si="116"/>
        <v>752.11050000000012</v>
      </c>
    </row>
    <row r="65" spans="1:103">
      <c r="A65">
        <v>2007</v>
      </c>
      <c r="B65" s="13">
        <f t="shared" si="120"/>
        <v>0</v>
      </c>
      <c r="C65" s="13">
        <f t="shared" si="121"/>
        <v>0</v>
      </c>
      <c r="D65" s="13">
        <f t="shared" si="122"/>
        <v>0</v>
      </c>
      <c r="E65" s="13">
        <v>0</v>
      </c>
      <c r="F65" s="13">
        <v>0</v>
      </c>
      <c r="G65" s="13">
        <f t="shared" si="123"/>
        <v>0</v>
      </c>
      <c r="H65" s="13">
        <f t="shared" si="124"/>
        <v>0</v>
      </c>
      <c r="I65" s="13">
        <f t="shared" si="125"/>
        <v>0</v>
      </c>
      <c r="J65" s="13">
        <f t="shared" si="126"/>
        <v>6.3561113056787412E-4</v>
      </c>
      <c r="K65" s="13">
        <f t="shared" si="127"/>
        <v>9.7826086956521747E-3</v>
      </c>
      <c r="L65" s="13">
        <f t="shared" si="128"/>
        <v>0</v>
      </c>
      <c r="M65" s="13">
        <f t="shared" si="129"/>
        <v>0</v>
      </c>
      <c r="N65" s="13">
        <v>0</v>
      </c>
      <c r="O65" s="13">
        <v>0</v>
      </c>
      <c r="P65" s="13">
        <f t="shared" si="130"/>
        <v>0</v>
      </c>
      <c r="Q65" s="13">
        <f t="shared" si="131"/>
        <v>0</v>
      </c>
      <c r="R65" s="13">
        <f t="shared" si="132"/>
        <v>7.7402376252950975E-3</v>
      </c>
      <c r="S65" s="13">
        <f t="shared" si="133"/>
        <v>0</v>
      </c>
      <c r="T65" s="13">
        <f t="shared" si="134"/>
        <v>0</v>
      </c>
      <c r="U65" s="13">
        <v>0</v>
      </c>
      <c r="V65" s="13">
        <f t="shared" si="135"/>
        <v>1.8721737976379823E-2</v>
      </c>
      <c r="W65" s="13">
        <f t="shared" si="136"/>
        <v>1.0689836756187468E-2</v>
      </c>
      <c r="X65" s="13">
        <v>0</v>
      </c>
      <c r="Y65" s="13"/>
      <c r="Z65" s="13" t="s">
        <v>1004</v>
      </c>
      <c r="AA65" s="13" t="s">
        <v>1028</v>
      </c>
      <c r="AB65" s="13"/>
      <c r="AC65" s="33"/>
      <c r="AD65">
        <v>2024</v>
      </c>
      <c r="AE65" s="72"/>
      <c r="AF65" s="72"/>
      <c r="AG65" s="72"/>
      <c r="AH65" s="72"/>
      <c r="AI65" s="72"/>
      <c r="AJ65" s="72"/>
      <c r="AK65" s="72"/>
      <c r="AL65" s="72"/>
      <c r="AM65" s="72"/>
      <c r="AN65" s="72"/>
      <c r="AO65" s="72"/>
      <c r="AP65" s="72"/>
      <c r="AQ65" s="72"/>
      <c r="AR65" s="72"/>
      <c r="AS65" s="94"/>
      <c r="AT65" s="72"/>
      <c r="AU65" s="72"/>
      <c r="AV65" s="72"/>
      <c r="AW65" s="72"/>
      <c r="AX65" s="72"/>
      <c r="AY65" s="61"/>
      <c r="AZ65" s="72"/>
      <c r="BA65" s="72"/>
      <c r="BB65" s="72"/>
      <c r="BC65" s="94"/>
      <c r="BD65" s="13"/>
      <c r="BE65">
        <v>2017</v>
      </c>
      <c r="BF65" s="84">
        <f t="shared" ref="BF65:CS65" si="139">BF33+BF49</f>
        <v>1.8929999999999998</v>
      </c>
      <c r="BG65" s="84">
        <f>BG33+BG49</f>
        <v>7.1539999999999999</v>
      </c>
      <c r="BH65" s="84">
        <f t="shared" si="139"/>
        <v>13.996</v>
      </c>
      <c r="BI65" s="84">
        <f t="shared" si="139"/>
        <v>0.11600000000000001</v>
      </c>
      <c r="BJ65" s="84">
        <f t="shared" si="139"/>
        <v>18.564</v>
      </c>
      <c r="BK65" s="84">
        <f t="shared" si="139"/>
        <v>579</v>
      </c>
      <c r="BL65" s="84">
        <f t="shared" si="139"/>
        <v>2.3E-2</v>
      </c>
      <c r="BM65" s="84">
        <f t="shared" si="139"/>
        <v>9.9000000000000005E-2</v>
      </c>
      <c r="BN65" s="84">
        <f t="shared" si="139"/>
        <v>0.63</v>
      </c>
      <c r="BO65" s="84">
        <f t="shared" si="139"/>
        <v>1.3119999999999998</v>
      </c>
      <c r="BP65" s="84">
        <f t="shared" si="139"/>
        <v>5.1999999999999998E-2</v>
      </c>
      <c r="BQ65" s="84">
        <f t="shared" si="139"/>
        <v>3.0549999999999997</v>
      </c>
      <c r="BR65" s="84">
        <f t="shared" si="139"/>
        <v>36.777999999999999</v>
      </c>
      <c r="BS65" s="84">
        <f t="shared" si="139"/>
        <v>54.495000000000005</v>
      </c>
      <c r="BT65" s="84">
        <f t="shared" si="139"/>
        <v>0.19</v>
      </c>
      <c r="BU65" s="84">
        <f t="shared" si="139"/>
        <v>1.1419999999999999</v>
      </c>
      <c r="BV65" s="84">
        <f t="shared" si="139"/>
        <v>2.99</v>
      </c>
      <c r="BW65" s="84">
        <f t="shared" si="139"/>
        <v>8.35</v>
      </c>
      <c r="BX65" s="84">
        <f t="shared" si="139"/>
        <v>0.94799999999999995</v>
      </c>
      <c r="BY65" s="84">
        <f t="shared" si="139"/>
        <v>4.83</v>
      </c>
      <c r="BZ65" s="84">
        <f t="shared" si="139"/>
        <v>56</v>
      </c>
      <c r="CA65" s="84">
        <f t="shared" si="139"/>
        <v>12.106</v>
      </c>
      <c r="CB65" s="84">
        <f t="shared" si="139"/>
        <v>0.10099999999999999</v>
      </c>
      <c r="CC65" s="84">
        <f t="shared" si="139"/>
        <v>7.0000000000000007E-2</v>
      </c>
      <c r="CD65" s="84">
        <f t="shared" si="139"/>
        <v>0.99199999999999999</v>
      </c>
      <c r="CE65" s="84">
        <f t="shared" si="139"/>
        <v>5.2999999999999999E-2</v>
      </c>
      <c r="CF65" s="84">
        <f t="shared" si="139"/>
        <v>11.055</v>
      </c>
      <c r="CG65" s="84">
        <f t="shared" si="139"/>
        <v>1.109</v>
      </c>
      <c r="CH65" s="84">
        <f t="shared" si="139"/>
        <v>62.313000000000002</v>
      </c>
      <c r="CI65" s="84">
        <f t="shared" si="139"/>
        <v>0.98899999999999999</v>
      </c>
      <c r="CJ65" s="84">
        <f t="shared" si="139"/>
        <v>4.2370000000000001</v>
      </c>
      <c r="CK65" s="84">
        <f t="shared" si="139"/>
        <v>0.374</v>
      </c>
      <c r="CL65" s="84">
        <f t="shared" si="139"/>
        <v>0.39400000000000002</v>
      </c>
      <c r="CM65" s="84">
        <f t="shared" si="139"/>
        <v>0.52800000000000002</v>
      </c>
      <c r="CN65" s="84">
        <f t="shared" si="139"/>
        <v>7.29</v>
      </c>
      <c r="CO65" s="84">
        <f t="shared" si="139"/>
        <v>20.030999999999999</v>
      </c>
      <c r="CP65" s="84">
        <f t="shared" si="139"/>
        <v>8.0289999999999999</v>
      </c>
      <c r="CQ65" s="84">
        <f t="shared" si="139"/>
        <v>0.108</v>
      </c>
      <c r="CR65" s="84">
        <f t="shared" si="139"/>
        <v>44.750999999999998</v>
      </c>
      <c r="CS65" s="84">
        <f t="shared" si="139"/>
        <v>194.47900000000001</v>
      </c>
      <c r="CT65" s="84">
        <f t="shared" si="115"/>
        <v>13.088000000000003</v>
      </c>
      <c r="CU65" s="84">
        <f t="shared" si="116"/>
        <v>1160.626</v>
      </c>
    </row>
    <row r="66" spans="1:103">
      <c r="A66">
        <v>2008</v>
      </c>
      <c r="B66" s="13">
        <f t="shared" si="120"/>
        <v>0</v>
      </c>
      <c r="C66" s="13">
        <f t="shared" si="121"/>
        <v>0</v>
      </c>
      <c r="D66" s="13">
        <f t="shared" si="122"/>
        <v>0</v>
      </c>
      <c r="E66" s="13">
        <v>0</v>
      </c>
      <c r="F66" s="13">
        <v>0</v>
      </c>
      <c r="G66" s="13">
        <f t="shared" si="123"/>
        <v>0</v>
      </c>
      <c r="H66" s="13">
        <f t="shared" si="124"/>
        <v>0</v>
      </c>
      <c r="I66" s="13">
        <f t="shared" si="125"/>
        <v>0</v>
      </c>
      <c r="J66" s="13">
        <f t="shared" si="126"/>
        <v>2.266641927889054E-3</v>
      </c>
      <c r="K66" s="13">
        <f t="shared" si="127"/>
        <v>1.2580645161290323E-2</v>
      </c>
      <c r="L66" s="13">
        <f t="shared" si="128"/>
        <v>0</v>
      </c>
      <c r="M66" s="13">
        <f t="shared" si="129"/>
        <v>0</v>
      </c>
      <c r="N66" s="13">
        <v>0</v>
      </c>
      <c r="O66" s="13">
        <v>0</v>
      </c>
      <c r="P66" s="13">
        <f t="shared" si="130"/>
        <v>2.0001920184337697E-3</v>
      </c>
      <c r="Q66" s="13">
        <f t="shared" si="131"/>
        <v>0</v>
      </c>
      <c r="R66" s="13">
        <f t="shared" si="132"/>
        <v>0.21716116072640407</v>
      </c>
      <c r="S66" s="13">
        <f t="shared" si="133"/>
        <v>0</v>
      </c>
      <c r="T66" s="13">
        <f t="shared" si="134"/>
        <v>0</v>
      </c>
      <c r="U66" s="13">
        <v>0</v>
      </c>
      <c r="V66" s="13">
        <f t="shared" si="135"/>
        <v>1.0324484467986355E-2</v>
      </c>
      <c r="W66" s="13">
        <f t="shared" si="136"/>
        <v>1.3746797089793705E-2</v>
      </c>
      <c r="X66" s="13">
        <v>0</v>
      </c>
      <c r="Y66" s="13"/>
      <c r="Z66" s="84" t="s">
        <v>1091</v>
      </c>
      <c r="AA66" s="13"/>
      <c r="AB66" s="13"/>
      <c r="AC66" s="72"/>
      <c r="AD66">
        <v>2025</v>
      </c>
      <c r="AE66" s="72"/>
      <c r="AF66" s="72"/>
      <c r="AG66" s="72"/>
      <c r="AH66" s="72"/>
      <c r="AI66" s="72"/>
      <c r="AJ66" s="72"/>
      <c r="AK66" s="72"/>
      <c r="AL66" s="72"/>
      <c r="AM66" s="72"/>
      <c r="AN66" s="72"/>
      <c r="AO66" s="72"/>
      <c r="AP66" s="72"/>
      <c r="AQ66" s="72"/>
      <c r="AR66" s="72"/>
      <c r="AS66" s="72"/>
      <c r="AT66" s="72"/>
      <c r="AU66" s="72"/>
      <c r="AV66" s="72"/>
      <c r="AW66" s="72"/>
      <c r="AX66" s="72"/>
      <c r="AY66" s="61"/>
      <c r="AZ66" s="72"/>
      <c r="BA66" s="72"/>
      <c r="BB66" s="72"/>
      <c r="BC66" s="94"/>
      <c r="BD66" s="13"/>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row>
    <row r="67" spans="1:103">
      <c r="A67">
        <v>2009</v>
      </c>
      <c r="B67" s="13">
        <f t="shared" si="120"/>
        <v>0</v>
      </c>
      <c r="C67" s="13">
        <f t="shared" si="121"/>
        <v>1.2530229177891664E-2</v>
      </c>
      <c r="D67" s="13">
        <f t="shared" si="122"/>
        <v>0</v>
      </c>
      <c r="E67" s="13">
        <v>0</v>
      </c>
      <c r="F67" s="13">
        <v>0</v>
      </c>
      <c r="G67" s="13">
        <f t="shared" si="123"/>
        <v>0</v>
      </c>
      <c r="H67" s="13">
        <f t="shared" si="124"/>
        <v>0</v>
      </c>
      <c r="I67" s="13">
        <f t="shared" si="125"/>
        <v>4.4585254586262226E-3</v>
      </c>
      <c r="J67" s="13">
        <f t="shared" si="126"/>
        <v>5.2776519937385946E-4</v>
      </c>
      <c r="K67" s="13">
        <f t="shared" si="127"/>
        <v>4.4397939471989695E-2</v>
      </c>
      <c r="L67" s="13">
        <f t="shared" si="128"/>
        <v>0</v>
      </c>
      <c r="M67" s="13">
        <f t="shared" si="129"/>
        <v>0</v>
      </c>
      <c r="N67" s="13">
        <f t="shared" ref="N67:N76" si="140">N7/AQ50*100</f>
        <v>2.5231012895486578E-2</v>
      </c>
      <c r="O67" s="13">
        <v>0</v>
      </c>
      <c r="P67" s="13">
        <f t="shared" si="130"/>
        <v>7.7463534041350025E-3</v>
      </c>
      <c r="Q67" s="13">
        <f t="shared" si="131"/>
        <v>0</v>
      </c>
      <c r="R67" s="13">
        <f t="shared" si="132"/>
        <v>0.15606789967063592</v>
      </c>
      <c r="S67" s="13">
        <f t="shared" si="133"/>
        <v>0</v>
      </c>
      <c r="T67" s="13">
        <f t="shared" si="134"/>
        <v>0</v>
      </c>
      <c r="U67" s="13">
        <v>0</v>
      </c>
      <c r="V67" s="13">
        <f t="shared" si="135"/>
        <v>9.0499694060756468E-3</v>
      </c>
      <c r="W67" s="13">
        <f t="shared" si="136"/>
        <v>1.5372168284789645E-2</v>
      </c>
      <c r="X67" s="13">
        <v>0</v>
      </c>
      <c r="Y67" s="13">
        <f t="shared" ref="Y67:Y74" si="141">Y7/BB50*100</f>
        <v>9.0944063654437145E-3</v>
      </c>
      <c r="Z67" s="13"/>
      <c r="AA67" s="13"/>
      <c r="AB67" s="13"/>
      <c r="AC67" s="72"/>
      <c r="AD67">
        <v>2026</v>
      </c>
      <c r="AE67" s="72"/>
      <c r="AF67" s="72"/>
      <c r="AG67" s="72"/>
      <c r="AH67" s="72"/>
      <c r="AI67" s="72"/>
      <c r="AJ67" s="72"/>
      <c r="AK67" s="72"/>
      <c r="AL67" s="72"/>
      <c r="AM67" s="72"/>
      <c r="AN67" s="72"/>
      <c r="AO67" s="72"/>
      <c r="AP67" s="72"/>
      <c r="AQ67" s="72"/>
      <c r="AR67" s="72"/>
      <c r="AS67" s="72"/>
      <c r="AT67" s="72"/>
      <c r="AU67" s="72"/>
      <c r="AV67" s="72"/>
      <c r="AW67" s="72"/>
      <c r="AX67" s="72"/>
      <c r="AY67" s="61"/>
      <c r="AZ67" s="72"/>
      <c r="BA67" s="72"/>
      <c r="BB67" s="72"/>
      <c r="BC67" s="94"/>
      <c r="BD67" s="13"/>
      <c r="BF67" s="137" t="s">
        <v>646</v>
      </c>
      <c r="BG67" s="137"/>
      <c r="BH67" s="84"/>
      <c r="BI67" s="14" t="s">
        <v>652</v>
      </c>
      <c r="BJ67" s="14"/>
      <c r="BK67" s="14"/>
      <c r="BL67" s="14"/>
      <c r="BM67" s="93" t="s">
        <v>653</v>
      </c>
      <c r="BN67" s="93"/>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row>
    <row r="68" spans="1:103">
      <c r="A68">
        <v>2010</v>
      </c>
      <c r="B68" s="13">
        <f t="shared" si="120"/>
        <v>4.8343801780743939E-3</v>
      </c>
      <c r="C68" s="13">
        <f t="shared" si="121"/>
        <v>3.4144988155957234E-2</v>
      </c>
      <c r="D68" s="13">
        <f t="shared" si="122"/>
        <v>0</v>
      </c>
      <c r="E68" s="13">
        <f t="shared" ref="E68:E76" si="142">E8/AH51*100</f>
        <v>0</v>
      </c>
      <c r="F68" s="13">
        <f t="shared" ref="F68:F76" si="143">F8/AI51*100</f>
        <v>1.1397146728301586E-2</v>
      </c>
      <c r="G68" s="13">
        <f t="shared" si="123"/>
        <v>0</v>
      </c>
      <c r="H68" s="13">
        <f t="shared" si="124"/>
        <v>0</v>
      </c>
      <c r="I68" s="13">
        <f t="shared" si="125"/>
        <v>8.6240508437725946E-3</v>
      </c>
      <c r="J68" s="13">
        <f t="shared" si="126"/>
        <v>4.8648442033643879E-3</v>
      </c>
      <c r="K68" s="13">
        <f t="shared" si="127"/>
        <v>0.06</v>
      </c>
      <c r="L68" s="13">
        <f t="shared" si="128"/>
        <v>0</v>
      </c>
      <c r="M68" s="13">
        <f t="shared" si="129"/>
        <v>2.0331649872723872E-3</v>
      </c>
      <c r="N68" s="13">
        <f t="shared" si="140"/>
        <v>5.7929724596391265E-2</v>
      </c>
      <c r="O68" s="13">
        <f t="shared" ref="O68:O76" si="144">O8/AR51*100</f>
        <v>4.9261083743842356E-3</v>
      </c>
      <c r="P68" s="13">
        <f t="shared" si="130"/>
        <v>2.4841583154094411E-2</v>
      </c>
      <c r="Q68" s="13">
        <f t="shared" si="131"/>
        <v>0</v>
      </c>
      <c r="R68" s="13">
        <f t="shared" si="132"/>
        <v>0.30527419885091661</v>
      </c>
      <c r="S68" s="13">
        <f t="shared" si="133"/>
        <v>7.4346792139609015E-3</v>
      </c>
      <c r="T68" s="13">
        <f t="shared" si="134"/>
        <v>2.0776126845179765E-2</v>
      </c>
      <c r="U68" s="13">
        <f t="shared" ref="U68:U76" si="145">U8/AX51*100</f>
        <v>4.1470412714895974E-2</v>
      </c>
      <c r="V68" s="13">
        <f t="shared" si="135"/>
        <v>1.3826928337993337E-2</v>
      </c>
      <c r="W68" s="13">
        <f t="shared" si="136"/>
        <v>1.2496929588413098E-2</v>
      </c>
      <c r="X68" s="13">
        <f t="shared" ref="X68:X75" si="146">X8/BA51*100</f>
        <v>1.4700472362928204E-4</v>
      </c>
      <c r="Y68" s="13">
        <f t="shared" si="141"/>
        <v>1.6964627629336562E-2</v>
      </c>
      <c r="Z68" s="13"/>
      <c r="AA68" s="13"/>
      <c r="AB68" s="13"/>
      <c r="AC68" s="72"/>
      <c r="AD68">
        <v>2027</v>
      </c>
      <c r="AE68" s="72"/>
      <c r="AF68" s="72"/>
      <c r="AG68" s="72"/>
      <c r="AH68" s="72"/>
      <c r="AI68" s="72"/>
      <c r="AJ68" s="72"/>
      <c r="AK68" s="72"/>
      <c r="AL68" s="72"/>
      <c r="AM68" s="72"/>
      <c r="AN68" s="72"/>
      <c r="AO68" s="72"/>
      <c r="AP68" s="72"/>
      <c r="AQ68" s="72"/>
      <c r="AR68" s="72"/>
      <c r="AS68" s="72"/>
      <c r="AT68" s="72"/>
      <c r="AU68" s="72"/>
      <c r="AV68" s="72"/>
      <c r="AW68" s="72"/>
      <c r="AX68" s="72"/>
      <c r="AY68" s="61"/>
      <c r="AZ68" s="72"/>
      <c r="BA68" s="72"/>
      <c r="BB68" s="72"/>
      <c r="BC68" s="94"/>
      <c r="BD68" s="13"/>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row>
    <row r="69" spans="1:103">
      <c r="A69">
        <v>2011</v>
      </c>
      <c r="B69" s="13">
        <f t="shared" si="120"/>
        <v>1.8918414338166656E-2</v>
      </c>
      <c r="C69" s="13">
        <f t="shared" si="121"/>
        <v>0.17717552450694102</v>
      </c>
      <c r="D69" s="13">
        <f t="shared" si="122"/>
        <v>5.0331260081543636E-2</v>
      </c>
      <c r="E69" s="13">
        <f t="shared" si="142"/>
        <v>7.5253256150506515E-2</v>
      </c>
      <c r="F69" s="13">
        <f t="shared" si="143"/>
        <v>3.7020810514786423E-2</v>
      </c>
      <c r="G69" s="13">
        <f t="shared" si="123"/>
        <v>0.24410615971013125</v>
      </c>
      <c r="H69" s="13">
        <f t="shared" si="124"/>
        <v>2.2985043869730284E-2</v>
      </c>
      <c r="I69" s="13">
        <f t="shared" si="125"/>
        <v>0.12633040259139289</v>
      </c>
      <c r="J69" s="13">
        <f t="shared" si="126"/>
        <v>5.1984877126654061E-2</v>
      </c>
      <c r="K69" s="13">
        <f t="shared" si="127"/>
        <v>6.9192521877486077E-2</v>
      </c>
      <c r="L69" s="13">
        <f t="shared" si="128"/>
        <v>5.117024116757142E-2</v>
      </c>
      <c r="M69" s="13">
        <f t="shared" si="129"/>
        <v>6.7087579107437028E-3</v>
      </c>
      <c r="N69" s="13">
        <f t="shared" si="140"/>
        <v>0.35801418439716309</v>
      </c>
      <c r="O69" s="13">
        <f t="shared" si="144"/>
        <v>2.2295623451692819E-2</v>
      </c>
      <c r="P69" s="13">
        <f t="shared" si="130"/>
        <v>0.15829701196401622</v>
      </c>
      <c r="Q69" s="13">
        <f t="shared" si="131"/>
        <v>0</v>
      </c>
      <c r="R69" s="13">
        <f t="shared" si="132"/>
        <v>1.3300083125519535</v>
      </c>
      <c r="S69" s="13">
        <f t="shared" si="133"/>
        <v>7.1282011934786851E-2</v>
      </c>
      <c r="T69" s="13">
        <f t="shared" si="134"/>
        <v>6.0003344448706981E-2</v>
      </c>
      <c r="U69" s="13">
        <f t="shared" si="145"/>
        <v>0.13294506868320349</v>
      </c>
      <c r="V69" s="13">
        <f t="shared" si="135"/>
        <v>6.2980581847654094E-2</v>
      </c>
      <c r="W69" s="13">
        <f t="shared" si="136"/>
        <v>0.16820182853317761</v>
      </c>
      <c r="X69" s="13">
        <f t="shared" si="146"/>
        <v>1.5641205443559392E-2</v>
      </c>
      <c r="Y69" s="13">
        <f t="shared" si="141"/>
        <v>0.10234351891729328</v>
      </c>
      <c r="Z69" s="13">
        <v>7.0000000000000007E-2</v>
      </c>
      <c r="AA69" s="13">
        <f t="shared" ref="AA69:AA76" si="147">Z69*Y$75/Z$75</f>
        <v>8.6891513536609996E-2</v>
      </c>
      <c r="AB69" s="13"/>
      <c r="AC69" s="72"/>
      <c r="AD69">
        <v>2028</v>
      </c>
      <c r="AE69" s="72"/>
      <c r="AF69" s="72"/>
      <c r="AG69" s="72"/>
      <c r="AH69" s="72"/>
      <c r="AI69" s="72"/>
      <c r="AJ69" s="72"/>
      <c r="AK69" s="72"/>
      <c r="AL69" s="72"/>
      <c r="AM69" s="72"/>
      <c r="AN69" s="72"/>
      <c r="AO69" s="72"/>
      <c r="AP69" s="72"/>
      <c r="AQ69" s="72"/>
      <c r="AR69" s="72"/>
      <c r="AS69" s="72"/>
      <c r="AT69" s="72"/>
      <c r="AU69" s="72"/>
      <c r="AV69" s="72"/>
      <c r="AW69" s="72"/>
      <c r="AX69" s="72"/>
      <c r="AY69" s="61"/>
      <c r="AZ69" s="72"/>
      <c r="BA69" s="72"/>
      <c r="BB69" s="72"/>
      <c r="BC69" s="94"/>
      <c r="BD69" s="13"/>
    </row>
    <row r="70" spans="1:103">
      <c r="A70">
        <v>2012</v>
      </c>
      <c r="B70" s="13">
        <f t="shared" si="120"/>
        <v>1.5067748221325963E-2</v>
      </c>
      <c r="C70" s="13">
        <f t="shared" si="121"/>
        <v>0.20654147198000058</v>
      </c>
      <c r="D70" s="13">
        <f t="shared" si="122"/>
        <v>0.18716511620262322</v>
      </c>
      <c r="E70" s="13">
        <f t="shared" si="142"/>
        <v>0.27595628415300544</v>
      </c>
      <c r="F70" s="13">
        <f t="shared" si="143"/>
        <v>6.4922289986228607E-2</v>
      </c>
      <c r="G70" s="13">
        <f t="shared" si="123"/>
        <v>0.29511134012167489</v>
      </c>
      <c r="H70" s="13">
        <f t="shared" si="124"/>
        <v>0.16083815548287389</v>
      </c>
      <c r="I70" s="13">
        <f t="shared" si="125"/>
        <v>0.33646435090329391</v>
      </c>
      <c r="J70" s="13">
        <f t="shared" si="126"/>
        <v>0.10933209445254793</v>
      </c>
      <c r="K70" s="13">
        <f t="shared" si="127"/>
        <v>0.11082940963419051</v>
      </c>
      <c r="L70" s="13">
        <f t="shared" si="128"/>
        <v>0.17484716596643943</v>
      </c>
      <c r="M70" s="13">
        <f t="shared" si="129"/>
        <v>4.6702228169036283E-2</v>
      </c>
      <c r="N70" s="13">
        <f t="shared" si="140"/>
        <v>0.53455818022747159</v>
      </c>
      <c r="O70" s="13">
        <f t="shared" si="144"/>
        <v>4.336734693877551E-2</v>
      </c>
      <c r="P70" s="13">
        <f t="shared" si="130"/>
        <v>1.0188223448435052</v>
      </c>
      <c r="Q70" s="13">
        <f t="shared" si="131"/>
        <v>0</v>
      </c>
      <c r="R70" s="13">
        <f t="shared" si="132"/>
        <v>3.5243461204841871</v>
      </c>
      <c r="S70" s="13">
        <f t="shared" si="133"/>
        <v>7.8903470466230891E-2</v>
      </c>
      <c r="T70" s="13">
        <f t="shared" si="134"/>
        <v>0.34191393201021814</v>
      </c>
      <c r="U70" s="13">
        <f t="shared" si="145"/>
        <v>0.25655226092292954</v>
      </c>
      <c r="V70" s="13">
        <f t="shared" si="135"/>
        <v>0.13186365004465717</v>
      </c>
      <c r="W70" s="13">
        <f t="shared" si="136"/>
        <v>0.44224870675064742</v>
      </c>
      <c r="X70" s="13">
        <f t="shared" si="146"/>
        <v>3.8608347201689146E-2</v>
      </c>
      <c r="Y70" s="13">
        <f t="shared" si="141"/>
        <v>0.23522435592921317</v>
      </c>
      <c r="Z70" s="13">
        <v>0.17</v>
      </c>
      <c r="AA70" s="13">
        <f t="shared" si="147"/>
        <v>0.21102224716033854</v>
      </c>
      <c r="AB70" s="13"/>
      <c r="AC70" s="72"/>
      <c r="AD70">
        <v>2029</v>
      </c>
      <c r="AE70" s="72"/>
      <c r="AF70" s="72"/>
      <c r="AG70" s="72"/>
      <c r="AH70" s="72"/>
      <c r="AI70" s="72"/>
      <c r="AJ70" s="72"/>
      <c r="AK70" s="72"/>
      <c r="AL70" s="72"/>
      <c r="AM70" s="72"/>
      <c r="AN70" s="72"/>
      <c r="AO70" s="72"/>
      <c r="AP70" s="72"/>
      <c r="AQ70" s="72"/>
      <c r="AR70" s="72"/>
      <c r="AS70" s="72"/>
      <c r="AT70" s="72"/>
      <c r="AU70" s="72"/>
      <c r="AV70" s="72"/>
      <c r="AW70" s="72"/>
      <c r="AX70" s="72"/>
      <c r="AY70" s="61"/>
      <c r="AZ70" s="72"/>
      <c r="BA70" s="72"/>
      <c r="BB70" s="72"/>
      <c r="BC70" s="94"/>
      <c r="BD70" s="13"/>
      <c r="BE70" s="72"/>
      <c r="BF70" s="13"/>
    </row>
    <row r="71" spans="1:103">
      <c r="A71">
        <v>2013</v>
      </c>
      <c r="B71" s="13">
        <f t="shared" si="120"/>
        <v>3.7779246970715524E-2</v>
      </c>
      <c r="C71" s="13">
        <f t="shared" si="121"/>
        <v>0.26266710548999328</v>
      </c>
      <c r="D71" s="13">
        <f t="shared" si="122"/>
        <v>0.16726158024132573</v>
      </c>
      <c r="E71" s="13">
        <f t="shared" si="142"/>
        <v>0.41106719367588934</v>
      </c>
      <c r="F71" s="13">
        <f t="shared" si="143"/>
        <v>8.7542087542087546E-2</v>
      </c>
      <c r="G71" s="13">
        <f t="shared" si="123"/>
        <v>0.28024493848954596</v>
      </c>
      <c r="H71" s="13">
        <f t="shared" si="124"/>
        <v>0.2106422656604795</v>
      </c>
      <c r="I71" s="13">
        <f t="shared" si="125"/>
        <v>0.54775769522693507</v>
      </c>
      <c r="J71" s="13">
        <f t="shared" si="126"/>
        <v>0.2347356615633395</v>
      </c>
      <c r="K71" s="13">
        <f t="shared" si="127"/>
        <v>0.13033359193173003</v>
      </c>
      <c r="L71" s="13">
        <f t="shared" si="128"/>
        <v>6.3200075302217371E-2</v>
      </c>
      <c r="M71" s="13">
        <f t="shared" si="129"/>
        <v>8.1913957703176152E-2</v>
      </c>
      <c r="N71" s="13">
        <f t="shared" si="140"/>
        <v>0.63305567733450241</v>
      </c>
      <c r="O71" s="13">
        <f t="shared" si="144"/>
        <v>5.277044854881266E-2</v>
      </c>
      <c r="P71" s="13">
        <f t="shared" si="130"/>
        <v>5.3761893799877232</v>
      </c>
      <c r="Q71" s="13">
        <f t="shared" si="131"/>
        <v>8.5561497326203211E-3</v>
      </c>
      <c r="R71" s="13">
        <f t="shared" si="132"/>
        <v>5.9936264957685834</v>
      </c>
      <c r="S71" s="13">
        <f t="shared" si="133"/>
        <v>0.13947638241435278</v>
      </c>
      <c r="T71" s="13">
        <f t="shared" si="134"/>
        <v>0.57725411052412889</v>
      </c>
      <c r="U71" s="13">
        <f t="shared" si="145"/>
        <v>0.43690676507084714</v>
      </c>
      <c r="V71" s="13">
        <f t="shared" si="135"/>
        <v>0.16558214044279757</v>
      </c>
      <c r="W71" s="13">
        <f t="shared" si="136"/>
        <v>0.78405356666940451</v>
      </c>
      <c r="X71" s="13">
        <f t="shared" si="146"/>
        <v>2.9968337191406656E-2</v>
      </c>
      <c r="Y71" s="13">
        <f t="shared" si="141"/>
        <v>0.38403986642724675</v>
      </c>
      <c r="Z71" s="13">
        <v>0.25</v>
      </c>
      <c r="AA71" s="13">
        <f t="shared" si="147"/>
        <v>0.31032683405932138</v>
      </c>
      <c r="AB71" s="13"/>
      <c r="AC71" s="72"/>
      <c r="AD71">
        <v>2030</v>
      </c>
      <c r="AE71" s="72"/>
      <c r="AF71" s="72"/>
      <c r="AG71" s="72"/>
      <c r="AH71" s="72"/>
      <c r="AI71" s="72"/>
      <c r="AJ71" s="72"/>
      <c r="AK71" s="72"/>
      <c r="AL71" s="72"/>
      <c r="AM71" s="72"/>
      <c r="AN71" s="72"/>
      <c r="AO71" s="72"/>
      <c r="AP71" s="72"/>
      <c r="AQ71" s="72"/>
      <c r="AR71" s="72"/>
      <c r="AS71" s="72"/>
      <c r="AT71" s="72"/>
      <c r="AU71" s="72"/>
      <c r="AV71" s="72"/>
      <c r="AW71" s="72"/>
      <c r="AX71" s="72"/>
      <c r="AY71" s="61"/>
      <c r="AZ71" s="72"/>
      <c r="BA71" s="72"/>
      <c r="BB71" s="72"/>
      <c r="BC71" s="94"/>
      <c r="BD71" s="13"/>
      <c r="BE71" s="72"/>
      <c r="BF71" s="13"/>
      <c r="CY71" t="s">
        <v>346</v>
      </c>
    </row>
    <row r="72" spans="1:103">
      <c r="A72">
        <v>2014</v>
      </c>
      <c r="B72" s="13">
        <f t="shared" si="120"/>
        <v>0.14955613955103744</v>
      </c>
      <c r="C72" s="13">
        <f t="shared" si="121"/>
        <v>0.56211632675937462</v>
      </c>
      <c r="D72" s="13">
        <f t="shared" si="122"/>
        <v>0.41847935246480406</v>
      </c>
      <c r="E72" s="13">
        <f t="shared" si="142"/>
        <v>0.62903225806451613</v>
      </c>
      <c r="F72" s="13">
        <f t="shared" si="143"/>
        <v>0.37780761088449427</v>
      </c>
      <c r="G72" s="13">
        <f t="shared" si="123"/>
        <v>0.86371041106903335</v>
      </c>
      <c r="H72" s="13">
        <f t="shared" si="124"/>
        <v>0.44786932753737729</v>
      </c>
      <c r="I72" s="13">
        <f t="shared" si="125"/>
        <v>0.71605480991690595</v>
      </c>
      <c r="J72" s="13">
        <f t="shared" si="126"/>
        <v>0.41954417217249784</v>
      </c>
      <c r="K72" s="13">
        <f t="shared" si="127"/>
        <v>0.15546055188495919</v>
      </c>
      <c r="L72" s="13">
        <f t="shared" si="128"/>
        <v>0.26675247031470567</v>
      </c>
      <c r="M72" s="13">
        <f t="shared" si="129"/>
        <v>0.11094480331915341</v>
      </c>
      <c r="N72" s="13">
        <f t="shared" si="140"/>
        <v>0.68702127659574463</v>
      </c>
      <c r="O72" s="13">
        <f t="shared" si="144"/>
        <v>0.11490898107942263</v>
      </c>
      <c r="P72" s="13">
        <f t="shared" si="130"/>
        <v>3.8909301875846061</v>
      </c>
      <c r="Q72" s="13">
        <f t="shared" si="131"/>
        <v>0.11238938053097347</v>
      </c>
      <c r="R72" s="13">
        <f t="shared" si="132"/>
        <v>13.7029999583917</v>
      </c>
      <c r="S72" s="13">
        <f t="shared" si="133"/>
        <v>0.16976340686629846</v>
      </c>
      <c r="T72" s="13">
        <f t="shared" si="134"/>
        <v>1.5381021628841962</v>
      </c>
      <c r="U72" s="13">
        <f t="shared" si="145"/>
        <v>0.70521908497078434</v>
      </c>
      <c r="V72" s="13">
        <f t="shared" si="135"/>
        <v>0.59521045373692427</v>
      </c>
      <c r="W72" s="13">
        <f t="shared" si="136"/>
        <v>0.91350827091065279</v>
      </c>
      <c r="X72" s="13">
        <f t="shared" si="146"/>
        <v>7.6596943297003478E-2</v>
      </c>
      <c r="Y72" s="13">
        <f t="shared" si="141"/>
        <v>0.57247293705754376</v>
      </c>
      <c r="Z72" s="13">
        <v>0.37</v>
      </c>
      <c r="AA72" s="13">
        <f t="shared" si="147"/>
        <v>0.45928371440779564</v>
      </c>
      <c r="AB72" s="13"/>
      <c r="AC72" s="72"/>
      <c r="AD72" s="33"/>
      <c r="AE72" s="72"/>
      <c r="AF72" s="72"/>
      <c r="AG72" s="72"/>
      <c r="AH72" s="72"/>
      <c r="AI72" s="72"/>
      <c r="AJ72" s="72"/>
      <c r="AK72" s="72"/>
      <c r="AL72" s="72"/>
      <c r="AM72" s="72"/>
      <c r="AN72" s="72"/>
      <c r="AO72" s="72"/>
      <c r="AP72" s="72"/>
      <c r="AQ72" s="72"/>
      <c r="AR72" s="72"/>
      <c r="AS72" s="72"/>
      <c r="AT72" s="72"/>
      <c r="AU72" s="72"/>
      <c r="AV72" s="72"/>
      <c r="AW72" s="72"/>
      <c r="AX72" s="72"/>
      <c r="AY72" s="61"/>
      <c r="AZ72" s="72"/>
      <c r="BA72" s="72"/>
      <c r="BB72" s="72"/>
      <c r="BC72" s="94"/>
      <c r="BD72" s="13"/>
      <c r="BE72" s="72"/>
      <c r="BF72" s="13"/>
      <c r="CY72" t="s">
        <v>345</v>
      </c>
    </row>
    <row r="73" spans="1:103">
      <c r="A73">
        <v>2015</v>
      </c>
      <c r="B73" s="13">
        <f t="shared" si="120"/>
        <v>0.19163472754540908</v>
      </c>
      <c r="C73" s="13">
        <f t="shared" si="121"/>
        <v>0.90032571178558107</v>
      </c>
      <c r="D73" s="13">
        <f t="shared" si="122"/>
        <v>0.76017929773722437</v>
      </c>
      <c r="E73" s="13">
        <f t="shared" si="142"/>
        <v>0.81369611450384693</v>
      </c>
      <c r="F73" s="13">
        <f t="shared" si="143"/>
        <v>0.97806914115926991</v>
      </c>
      <c r="G73" s="13">
        <f t="shared" si="123"/>
        <v>2.3954983147611491</v>
      </c>
      <c r="H73" s="13">
        <f t="shared" si="124"/>
        <v>0.60358845740429401</v>
      </c>
      <c r="I73" s="13">
        <f t="shared" si="125"/>
        <v>1.2171398750933407</v>
      </c>
      <c r="J73" s="13">
        <f t="shared" si="126"/>
        <v>0.7233495294173059</v>
      </c>
      <c r="K73" s="13">
        <f t="shared" si="127"/>
        <v>0.18976897689768976</v>
      </c>
      <c r="L73" s="13">
        <f t="shared" si="128"/>
        <v>0.44739685461603113</v>
      </c>
      <c r="M73" s="13">
        <f t="shared" si="129"/>
        <v>0.14788938732622051</v>
      </c>
      <c r="N73" s="13">
        <f t="shared" si="140"/>
        <v>0.58467741935483863</v>
      </c>
      <c r="O73" s="13">
        <f t="shared" si="144"/>
        <v>0.24369747899159661</v>
      </c>
      <c r="P73" s="13">
        <f t="shared" si="130"/>
        <v>9.675322952863473</v>
      </c>
      <c r="Q73" s="13">
        <f t="shared" si="131"/>
        <v>0.11847389558232932</v>
      </c>
      <c r="R73" s="13">
        <f t="shared" si="132"/>
        <v>23.63192333727088</v>
      </c>
      <c r="S73" s="13">
        <f t="shared" si="133"/>
        <v>0.22151702906117776</v>
      </c>
      <c r="T73" s="13">
        <f t="shared" si="134"/>
        <v>2.5180669127746258</v>
      </c>
      <c r="U73" s="13">
        <f t="shared" si="145"/>
        <v>1.736769602362229</v>
      </c>
      <c r="V73" s="13">
        <f t="shared" si="135"/>
        <v>1.1141054329537501</v>
      </c>
      <c r="W73" s="13">
        <f t="shared" si="136"/>
        <v>0.83582354236066314</v>
      </c>
      <c r="X73" s="13">
        <f t="shared" si="146"/>
        <v>0.11503318836033208</v>
      </c>
      <c r="Y73" s="13">
        <f t="shared" si="141"/>
        <v>0.90247796151091464</v>
      </c>
      <c r="Z73" s="13">
        <v>0.61</v>
      </c>
      <c r="AA73" s="13">
        <f t="shared" si="147"/>
        <v>0.75719747510474411</v>
      </c>
      <c r="AB73" s="13"/>
      <c r="AC73" s="72"/>
      <c r="AE73" s="72" t="s">
        <v>1260</v>
      </c>
      <c r="AF73" s="72"/>
      <c r="AG73" s="72"/>
      <c r="AH73" s="72"/>
      <c r="AI73" t="s">
        <v>1259</v>
      </c>
      <c r="AJ73" s="72"/>
      <c r="AK73" s="72"/>
      <c r="AL73" s="72"/>
      <c r="AM73" s="72"/>
      <c r="AN73" s="72"/>
      <c r="AO73" s="72"/>
      <c r="AP73" s="72"/>
      <c r="AQ73" s="72"/>
      <c r="AR73" s="72"/>
      <c r="AS73" s="72"/>
      <c r="AT73" s="72"/>
      <c r="AU73" s="72"/>
      <c r="AV73" s="72"/>
      <c r="AW73" s="72"/>
      <c r="AX73" s="72"/>
      <c r="AY73" s="61"/>
      <c r="AZ73" s="72"/>
      <c r="BA73" s="72"/>
      <c r="BB73" s="72"/>
      <c r="BC73" s="94"/>
      <c r="BD73" s="13"/>
      <c r="BE73" s="72"/>
      <c r="BF73" s="13"/>
      <c r="BL73" s="14" t="s">
        <v>333</v>
      </c>
      <c r="BM73" s="14"/>
      <c r="BN73" s="14"/>
      <c r="BO73" s="14"/>
      <c r="BP73" s="14"/>
      <c r="BQ73" s="14"/>
      <c r="BR73" s="14"/>
      <c r="BS73" s="14"/>
      <c r="BT73" t="s">
        <v>251</v>
      </c>
      <c r="CJ73" s="14" t="s">
        <v>333</v>
      </c>
      <c r="CK73" s="14"/>
      <c r="CL73" s="14"/>
      <c r="CM73" s="14"/>
      <c r="CN73" t="s">
        <v>251</v>
      </c>
    </row>
    <row r="74" spans="1:103">
      <c r="A74">
        <v>2016</v>
      </c>
      <c r="B74" s="13">
        <f t="shared" si="120"/>
        <v>0.18840048313346561</v>
      </c>
      <c r="C74" s="13">
        <f t="shared" si="121"/>
        <v>1.5360857271149624</v>
      </c>
      <c r="D74" s="13">
        <f t="shared" si="122"/>
        <v>1.6171812299474162</v>
      </c>
      <c r="E74" s="13">
        <f t="shared" si="142"/>
        <v>1.302786412148317</v>
      </c>
      <c r="F74" s="13">
        <f t="shared" si="143"/>
        <v>1.37</v>
      </c>
      <c r="G74" s="13">
        <f t="shared" si="123"/>
        <v>0.84430541986716978</v>
      </c>
      <c r="H74" s="13">
        <f t="shared" si="124"/>
        <v>1.2012869731768581</v>
      </c>
      <c r="I74" s="13">
        <f t="shared" si="125"/>
        <v>1.4710174625667114</v>
      </c>
      <c r="J74" s="13">
        <f t="shared" si="126"/>
        <v>0.75074541939668848</v>
      </c>
      <c r="K74" s="13">
        <f t="shared" si="127"/>
        <v>0.23895759717314485</v>
      </c>
      <c r="L74" s="13">
        <f t="shared" si="128"/>
        <v>0.47066848567530695</v>
      </c>
      <c r="M74" s="13">
        <f t="shared" si="129"/>
        <v>0.15340151178301467</v>
      </c>
      <c r="N74" s="13">
        <f t="shared" si="140"/>
        <v>0.59937288953207912</v>
      </c>
      <c r="O74" s="13">
        <f t="shared" si="144"/>
        <v>0.3969811320754717</v>
      </c>
      <c r="P74" s="13">
        <f t="shared" si="130"/>
        <v>5.9516815787968742</v>
      </c>
      <c r="Q74" s="13">
        <f t="shared" si="131"/>
        <v>0.27782101167315176</v>
      </c>
      <c r="R74" s="13">
        <f t="shared" si="132"/>
        <v>29.047301798800802</v>
      </c>
      <c r="S74" s="13">
        <f t="shared" si="133"/>
        <v>0.30653692610419991</v>
      </c>
      <c r="T74" s="13">
        <f t="shared" si="134"/>
        <v>3.5563684807073526</v>
      </c>
      <c r="U74" s="13">
        <f t="shared" si="145"/>
        <v>1.9299434316058177</v>
      </c>
      <c r="V74" s="13">
        <f t="shared" si="135"/>
        <v>1.3058222970559115</v>
      </c>
      <c r="W74" s="13">
        <f t="shared" si="136"/>
        <v>1.1530510994799494</v>
      </c>
      <c r="X74" s="13">
        <f t="shared" si="146"/>
        <v>0.13580340082546269</v>
      </c>
      <c r="Y74" s="13">
        <f t="shared" si="141"/>
        <v>1.1362386310898671</v>
      </c>
      <c r="Z74" s="13">
        <v>0.83</v>
      </c>
      <c r="AA74" s="13">
        <f t="shared" si="147"/>
        <v>1.0302850890769468</v>
      </c>
      <c r="AB74" s="13"/>
      <c r="AC74" s="72"/>
      <c r="AE74" s="72" t="s">
        <v>1261</v>
      </c>
      <c r="AF74" s="72" t="s">
        <v>374</v>
      </c>
      <c r="AG74" s="72" t="s">
        <v>374</v>
      </c>
      <c r="AH74" s="72" t="s">
        <v>1262</v>
      </c>
      <c r="AI74" s="72" t="s">
        <v>1263</v>
      </c>
      <c r="AJ74" s="72" t="s">
        <v>374</v>
      </c>
      <c r="AK74" s="72" t="s">
        <v>374</v>
      </c>
      <c r="AL74" s="72" t="s">
        <v>374</v>
      </c>
      <c r="AM74" s="72" t="s">
        <v>374</v>
      </c>
      <c r="AN74" s="72" t="s">
        <v>374</v>
      </c>
      <c r="AO74" s="72" t="s">
        <v>374</v>
      </c>
      <c r="AP74" s="72" t="s">
        <v>374</v>
      </c>
      <c r="AQ74" s="72" t="s">
        <v>374</v>
      </c>
      <c r="AR74" s="72" t="s">
        <v>374</v>
      </c>
      <c r="AS74" s="72" t="s">
        <v>374</v>
      </c>
      <c r="AT74" s="72" t="s">
        <v>374</v>
      </c>
      <c r="AU74" s="72" t="s">
        <v>374</v>
      </c>
      <c r="AV74" s="72" t="s">
        <v>374</v>
      </c>
      <c r="AW74" s="72" t="s">
        <v>374</v>
      </c>
      <c r="AX74" s="72" t="s">
        <v>374</v>
      </c>
      <c r="AY74" s="72" t="s">
        <v>374</v>
      </c>
      <c r="AZ74" s="72" t="s">
        <v>1264</v>
      </c>
      <c r="BA74" s="72"/>
      <c r="BB74" s="72"/>
      <c r="BC74" s="94"/>
      <c r="BD74" s="13"/>
      <c r="BE74" s="72"/>
      <c r="BF74" s="13"/>
      <c r="BH74" t="s">
        <v>608</v>
      </c>
      <c r="BK74" t="s">
        <v>334</v>
      </c>
      <c r="BU74" t="s">
        <v>334</v>
      </c>
      <c r="BX74" t="s">
        <v>337</v>
      </c>
      <c r="CO74" t="s">
        <v>347</v>
      </c>
    </row>
    <row r="75" spans="1:103">
      <c r="A75">
        <v>2017</v>
      </c>
      <c r="B75" s="13">
        <f t="shared" si="120"/>
        <v>0.20651104337713735</v>
      </c>
      <c r="C75" s="13">
        <f t="shared" si="121"/>
        <v>2.0212750928842866</v>
      </c>
      <c r="D75" s="13">
        <f t="shared" si="122"/>
        <v>2.5607529301556289</v>
      </c>
      <c r="E75" s="13">
        <f t="shared" si="142"/>
        <v>2.1226462017393763</v>
      </c>
      <c r="F75" s="13">
        <f t="shared" si="143"/>
        <v>2.0999999999999996</v>
      </c>
      <c r="G75" s="13">
        <f t="shared" si="123"/>
        <v>0.5914758946523726</v>
      </c>
      <c r="H75" s="13">
        <f t="shared" si="124"/>
        <v>2.5773413311061049</v>
      </c>
      <c r="I75" s="13">
        <f t="shared" si="125"/>
        <v>1.7447815007590544</v>
      </c>
      <c r="J75" s="13">
        <f t="shared" si="126"/>
        <v>1.5835764854801773</v>
      </c>
      <c r="K75" s="13">
        <f t="shared" si="127"/>
        <v>0.2830508474576271</v>
      </c>
      <c r="L75" s="13">
        <f t="shared" si="128"/>
        <v>0.72180176338911817</v>
      </c>
      <c r="M75" s="13">
        <f t="shared" si="129"/>
        <v>0.24515265193754346</v>
      </c>
      <c r="N75" s="13">
        <f t="shared" si="140"/>
        <v>1.2753359143703029</v>
      </c>
      <c r="O75" s="13">
        <f t="shared" si="144"/>
        <v>0.91065980531408097</v>
      </c>
      <c r="P75" s="13">
        <f t="shared" si="130"/>
        <v>2.6418232523460965</v>
      </c>
      <c r="Q75" s="13">
        <f t="shared" si="131"/>
        <v>0.40622710622710623</v>
      </c>
      <c r="R75" s="13">
        <f t="shared" si="132"/>
        <v>39.277024897573277</v>
      </c>
      <c r="S75" s="13">
        <f t="shared" si="133"/>
        <v>0.5903163820488756</v>
      </c>
      <c r="T75" s="13">
        <f t="shared" si="134"/>
        <v>5.1830160282345741</v>
      </c>
      <c r="U75" s="13">
        <f t="shared" si="145"/>
        <v>2.6039079317767841</v>
      </c>
      <c r="V75" s="13">
        <f t="shared" si="135"/>
        <v>1.7590074061814718</v>
      </c>
      <c r="W75" s="13">
        <f t="shared" si="136"/>
        <v>1.4513430776109104</v>
      </c>
      <c r="X75" s="13">
        <f t="shared" si="146"/>
        <v>0.31729448102144603</v>
      </c>
      <c r="Y75" s="13">
        <f>Y15/BB58*100</f>
        <v>1.6633518305579627</v>
      </c>
      <c r="Z75" s="13">
        <v>1.34</v>
      </c>
      <c r="AA75" s="13">
        <f t="shared" si="147"/>
        <v>1.6633518305579627</v>
      </c>
      <c r="AB75" s="13"/>
      <c r="AC75" s="72"/>
      <c r="AE75" s="149" t="s">
        <v>255</v>
      </c>
      <c r="AF75" s="149" t="s">
        <v>539</v>
      </c>
      <c r="AG75" s="149" t="s">
        <v>540</v>
      </c>
      <c r="AH75" s="149" t="s">
        <v>238</v>
      </c>
      <c r="AI75" s="149" t="s">
        <v>239</v>
      </c>
      <c r="AJ75" s="149" t="s">
        <v>541</v>
      </c>
      <c r="AK75" s="149" t="s">
        <v>542</v>
      </c>
      <c r="AL75" s="149" t="s">
        <v>240</v>
      </c>
      <c r="AM75" s="149" t="s">
        <v>241</v>
      </c>
      <c r="AN75" s="149" t="s">
        <v>242</v>
      </c>
      <c r="AO75" s="149" t="s">
        <v>544</v>
      </c>
      <c r="AP75" s="7" t="s">
        <v>538</v>
      </c>
      <c r="AQ75" s="149" t="s">
        <v>243</v>
      </c>
      <c r="AR75" s="149" t="s">
        <v>244</v>
      </c>
      <c r="AS75" s="149" t="s">
        <v>245</v>
      </c>
      <c r="AT75" s="150" t="s">
        <v>331</v>
      </c>
      <c r="AU75" s="149" t="s">
        <v>246</v>
      </c>
      <c r="AV75" s="149" t="s">
        <v>545</v>
      </c>
      <c r="AW75" s="149" t="s">
        <v>247</v>
      </c>
      <c r="AX75" s="149" t="s">
        <v>546</v>
      </c>
      <c r="AY75" s="149" t="s">
        <v>248</v>
      </c>
      <c r="AZ75" s="149" t="s">
        <v>249</v>
      </c>
      <c r="BA75" s="33"/>
      <c r="BB75" s="33"/>
      <c r="BC75" s="33"/>
      <c r="BD75" s="13"/>
      <c r="BE75" s="72"/>
      <c r="BF75" s="13"/>
      <c r="BG75" s="102" t="s">
        <v>339</v>
      </c>
      <c r="BH75" s="101" t="s">
        <v>335</v>
      </c>
      <c r="BI75" s="101"/>
      <c r="BJ75" s="101"/>
      <c r="BK75" s="101" t="s">
        <v>335</v>
      </c>
      <c r="BL75" s="101" t="s">
        <v>335</v>
      </c>
      <c r="BM75" s="101"/>
      <c r="BN75" s="101"/>
      <c r="BO75" s="101" t="s">
        <v>335</v>
      </c>
      <c r="BP75" s="101" t="s">
        <v>335</v>
      </c>
      <c r="BQ75" s="101"/>
      <c r="BR75" s="101"/>
      <c r="BS75" s="101"/>
      <c r="BT75" s="101" t="s">
        <v>335</v>
      </c>
      <c r="BU75" s="101" t="s">
        <v>335</v>
      </c>
      <c r="BV75" s="101" t="s">
        <v>335</v>
      </c>
      <c r="CC75" t="s">
        <v>336</v>
      </c>
      <c r="CW75" t="s">
        <v>647</v>
      </c>
    </row>
    <row r="76" spans="1:103">
      <c r="A76">
        <v>2018</v>
      </c>
      <c r="B76" s="20">
        <f>B16/AE59*100</f>
        <v>0.33725864927910965</v>
      </c>
      <c r="C76" s="13">
        <f>C16/AF59*100</f>
        <v>2.6402362896921945</v>
      </c>
      <c r="D76" s="13">
        <f>D16/AG59*100</f>
        <v>3.2541572634408542</v>
      </c>
      <c r="E76" s="13">
        <f t="shared" si="142"/>
        <v>5.4034855410703155</v>
      </c>
      <c r="F76" s="13">
        <f t="shared" si="143"/>
        <v>3.9462287890202599</v>
      </c>
      <c r="G76" s="13">
        <f>G16/AJ59*100</f>
        <v>1.0260720272900103</v>
      </c>
      <c r="H76" s="13">
        <f>'Finland EV uptake'!B13</f>
        <v>4.55</v>
      </c>
      <c r="I76" s="13">
        <f>I16/AL59*100</f>
        <v>1.9583456908291597</v>
      </c>
      <c r="J76" s="13">
        <f>J16/AM59*100</f>
        <v>2.3614375580722506</v>
      </c>
      <c r="K76" s="13">
        <f>K16/AN59*100</f>
        <v>0.38714787769313308</v>
      </c>
      <c r="L76" s="13">
        <f>'Ireland EV uptake'!B13</f>
        <v>1.43</v>
      </c>
      <c r="M76" s="13">
        <f>M16/AP59*100</f>
        <v>0.4740346269995428</v>
      </c>
      <c r="N76" s="72">
        <f t="shared" si="140"/>
        <v>1.4794040625614888</v>
      </c>
      <c r="O76" s="13">
        <f t="shared" si="144"/>
        <v>1.7936823248242677</v>
      </c>
      <c r="P76" s="13">
        <f>'Netherlands logist Take-up'!B91</f>
        <v>5.7220294751956517</v>
      </c>
      <c r="Q76" s="13">
        <f>Q16/AT59*100</f>
        <v>0.58555555555555561</v>
      </c>
      <c r="R76" s="13">
        <f>'Norway EV uptake with subs'!F23</f>
        <v>48.528271313648382</v>
      </c>
      <c r="S76" s="13">
        <f>S16/AV59*100</f>
        <v>0.76010658102224526</v>
      </c>
      <c r="T76" s="13">
        <f>T16/AW59*100</f>
        <v>10.303669401081681</v>
      </c>
      <c r="U76" s="13">
        <f t="shared" si="145"/>
        <v>3.6945206904604002</v>
      </c>
      <c r="V76" s="13">
        <f>'British EV uptake'!B13</f>
        <v>2.42</v>
      </c>
      <c r="W76" s="13">
        <f>W16/AZ59*100</f>
        <v>2.6156431898055863</v>
      </c>
      <c r="X76" s="20">
        <f>'Rest Europe EV takeup'!C13</f>
        <v>0.53770724711563977</v>
      </c>
      <c r="Y76" s="13">
        <f>Y16/BB59*100</f>
        <v>2.8604156566476502</v>
      </c>
      <c r="Z76" s="13">
        <v>1.92</v>
      </c>
      <c r="AA76" s="20">
        <f t="shared" si="147"/>
        <v>2.3833100855755882</v>
      </c>
      <c r="AB76" s="13"/>
      <c r="AC76" s="72"/>
      <c r="AD76" s="254">
        <v>42370</v>
      </c>
      <c r="AE76" s="94"/>
      <c r="AF76" s="94"/>
      <c r="AG76" s="79">
        <v>44326</v>
      </c>
      <c r="AH76" s="79">
        <v>110945</v>
      </c>
      <c r="AI76" s="79"/>
      <c r="AJ76" s="79"/>
      <c r="AK76" s="79"/>
      <c r="AL76" s="79"/>
      <c r="AM76" s="79"/>
      <c r="AN76" s="79"/>
      <c r="AO76" s="79"/>
      <c r="AP76" s="79"/>
      <c r="AQ76" s="79"/>
      <c r="AR76" s="79"/>
      <c r="AS76" s="79"/>
      <c r="AT76" s="79"/>
      <c r="AU76" s="79"/>
      <c r="AV76" s="79"/>
      <c r="AW76" s="79"/>
      <c r="AX76" s="79"/>
      <c r="AY76" s="79"/>
      <c r="AZ76" s="79"/>
      <c r="BA76" s="33"/>
      <c r="BB76" s="33"/>
      <c r="BC76" s="33"/>
      <c r="BD76" s="13"/>
      <c r="BE76" s="72"/>
      <c r="BH76" s="98" t="s">
        <v>255</v>
      </c>
      <c r="BI76" s="98" t="s">
        <v>539</v>
      </c>
      <c r="BJ76" s="98" t="s">
        <v>540</v>
      </c>
      <c r="BK76" s="98" t="s">
        <v>238</v>
      </c>
      <c r="BL76" s="98" t="s">
        <v>239</v>
      </c>
      <c r="BM76" s="98" t="s">
        <v>541</v>
      </c>
      <c r="BN76" s="98" t="s">
        <v>542</v>
      </c>
      <c r="BO76" s="98" t="s">
        <v>240</v>
      </c>
      <c r="BP76" s="98" t="s">
        <v>241</v>
      </c>
      <c r="BQ76" s="98" t="s">
        <v>543</v>
      </c>
      <c r="BR76" s="98" t="s">
        <v>544</v>
      </c>
      <c r="BS76" t="s">
        <v>538</v>
      </c>
      <c r="BT76" s="98" t="s">
        <v>243</v>
      </c>
      <c r="BU76" s="98" t="s">
        <v>244</v>
      </c>
      <c r="BV76" s="98" t="s">
        <v>330</v>
      </c>
      <c r="BW76" s="22" t="s">
        <v>331</v>
      </c>
      <c r="BX76" s="98" t="s">
        <v>246</v>
      </c>
      <c r="BY76" s="98" t="s">
        <v>545</v>
      </c>
      <c r="BZ76" s="98" t="s">
        <v>247</v>
      </c>
      <c r="CA76" s="98" t="s">
        <v>546</v>
      </c>
      <c r="CB76" s="98" t="s">
        <v>248</v>
      </c>
      <c r="CC76" s="98" t="s">
        <v>249</v>
      </c>
      <c r="CD76" s="98" t="s">
        <v>158</v>
      </c>
      <c r="CH76" s="22" t="s">
        <v>255</v>
      </c>
      <c r="CI76" t="s">
        <v>238</v>
      </c>
      <c r="CJ76" t="s">
        <v>239</v>
      </c>
      <c r="CK76" t="s">
        <v>240</v>
      </c>
      <c r="CL76" t="s">
        <v>241</v>
      </c>
      <c r="CM76" t="s">
        <v>538</v>
      </c>
      <c r="CN76" t="s">
        <v>243</v>
      </c>
      <c r="CO76" t="s">
        <v>244</v>
      </c>
      <c r="CP76" s="98" t="s">
        <v>330</v>
      </c>
      <c r="CQ76" s="22" t="s">
        <v>331</v>
      </c>
      <c r="CR76" t="s">
        <v>246</v>
      </c>
      <c r="CS76" t="s">
        <v>247</v>
      </c>
      <c r="CT76" t="s">
        <v>248</v>
      </c>
      <c r="CU76" t="s">
        <v>529</v>
      </c>
      <c r="CV76" t="s">
        <v>343</v>
      </c>
      <c r="CW76" t="s">
        <v>530</v>
      </c>
      <c r="CY76" t="s">
        <v>344</v>
      </c>
    </row>
    <row r="77" spans="1:103">
      <c r="A77">
        <v>2019</v>
      </c>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72"/>
      <c r="AD77" s="254">
        <v>42401</v>
      </c>
      <c r="AE77" s="94"/>
      <c r="AF77" s="94"/>
      <c r="AG77" s="79">
        <v>49707</v>
      </c>
      <c r="AH77" s="79">
        <v>123032</v>
      </c>
      <c r="AI77" s="79"/>
      <c r="AJ77" s="79"/>
      <c r="AK77" s="79"/>
      <c r="AL77" s="79"/>
      <c r="AM77" s="79"/>
      <c r="AN77" s="79"/>
      <c r="AO77" s="79"/>
      <c r="AP77" s="79"/>
      <c r="AQ77" s="79"/>
      <c r="AR77" s="79"/>
      <c r="AS77" s="79"/>
      <c r="AT77" s="79"/>
      <c r="AU77" s="79"/>
      <c r="AV77" s="79"/>
      <c r="AW77" s="79"/>
      <c r="AX77" s="79"/>
      <c r="AY77" s="79"/>
      <c r="AZ77" s="79"/>
      <c r="BD77" s="13"/>
      <c r="BE77" s="72"/>
      <c r="BG77">
        <v>2005</v>
      </c>
      <c r="BH77" s="3">
        <v>789.096</v>
      </c>
      <c r="BI77" s="3"/>
      <c r="BJ77" s="3"/>
      <c r="BK77" s="3"/>
      <c r="BL77" s="3"/>
      <c r="BM77" s="3"/>
      <c r="BN77" s="3"/>
      <c r="BO77" s="3"/>
      <c r="BP77" s="3"/>
      <c r="BQ77" s="3"/>
      <c r="BR77" s="3"/>
      <c r="BS77" s="3"/>
      <c r="BT77" s="3"/>
      <c r="BU77" s="3"/>
      <c r="BV77" s="3"/>
      <c r="BW77" s="3"/>
      <c r="BX77" s="3"/>
      <c r="BY77" s="3"/>
      <c r="BZ77" s="3"/>
      <c r="CA77" s="3"/>
      <c r="CB77" s="3"/>
      <c r="CC77" s="3"/>
      <c r="CD77" s="3"/>
      <c r="CE77" s="3"/>
      <c r="CG77">
        <v>2005</v>
      </c>
      <c r="CH77" s="3">
        <v>608.80399999999997</v>
      </c>
      <c r="CI77" s="3">
        <v>845.22</v>
      </c>
      <c r="CJ77" s="3"/>
      <c r="CK77" s="3">
        <v>2067.7890000000002</v>
      </c>
      <c r="CL77" s="3">
        <v>3319.259</v>
      </c>
      <c r="CM77" s="3"/>
      <c r="CN77" s="3"/>
      <c r="CO77" s="3"/>
      <c r="CP77" s="3">
        <v>465.15199999999999</v>
      </c>
      <c r="CQ77" s="3"/>
      <c r="CR77" s="3">
        <v>109.907</v>
      </c>
      <c r="CS77" s="3">
        <v>274.30099999999999</v>
      </c>
      <c r="CT77" s="3">
        <v>2439.7170000000001</v>
      </c>
      <c r="CU77" s="3">
        <v>7660.4</v>
      </c>
      <c r="CV77" s="3">
        <v>17444.8</v>
      </c>
      <c r="CW77" s="3">
        <v>13144.8</v>
      </c>
      <c r="CY77" s="3">
        <v>7436</v>
      </c>
    </row>
    <row r="78" spans="1:103">
      <c r="A78">
        <v>2020</v>
      </c>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254">
        <v>42430</v>
      </c>
      <c r="AE78" s="84"/>
      <c r="AF78" s="84"/>
      <c r="AG78" s="79">
        <v>56423</v>
      </c>
      <c r="AH78" s="79">
        <v>187540</v>
      </c>
      <c r="AI78" s="79"/>
      <c r="AJ78" s="79"/>
      <c r="AK78" s="79"/>
      <c r="AL78" s="79"/>
      <c r="AM78" s="79"/>
      <c r="AN78" s="79"/>
      <c r="AO78" s="79"/>
      <c r="AP78" s="79"/>
      <c r="AQ78" s="79"/>
      <c r="AR78" s="79"/>
      <c r="AS78" s="79"/>
      <c r="AT78" s="79"/>
      <c r="AU78" s="79"/>
      <c r="AV78" s="79"/>
      <c r="AW78" s="79"/>
      <c r="AX78" s="79"/>
      <c r="AY78" s="79"/>
      <c r="AZ78" s="79"/>
      <c r="BD78" s="72"/>
      <c r="BE78" s="72"/>
      <c r="BG78">
        <v>2006</v>
      </c>
      <c r="BH78" s="3">
        <v>769.24099999999999</v>
      </c>
      <c r="BI78" s="3"/>
      <c r="BJ78" s="3"/>
      <c r="BK78" s="3"/>
      <c r="BL78" s="3"/>
      <c r="BM78" s="3"/>
      <c r="BN78" s="3"/>
      <c r="BO78" s="3"/>
      <c r="BP78" s="3"/>
      <c r="BQ78" s="3"/>
      <c r="BR78" s="3"/>
      <c r="BS78" s="3"/>
      <c r="BT78" s="3"/>
      <c r="BU78" s="3"/>
      <c r="BV78" s="3"/>
      <c r="BW78" s="3"/>
      <c r="BX78" s="3"/>
      <c r="BY78" s="3"/>
      <c r="BZ78" s="3"/>
      <c r="CA78" s="3"/>
      <c r="CB78" s="3"/>
      <c r="CC78" s="61"/>
      <c r="CD78" s="3"/>
      <c r="CE78" s="3"/>
      <c r="CG78">
        <v>2006</v>
      </c>
      <c r="CH78" s="3">
        <v>598.39400000000001</v>
      </c>
      <c r="CI78" s="3">
        <v>863.16099999999994</v>
      </c>
      <c r="CJ78" s="3"/>
      <c r="CK78" s="3">
        <v>2000.549</v>
      </c>
      <c r="CL78" s="3">
        <v>3467.9609999999998</v>
      </c>
      <c r="CM78" s="3"/>
      <c r="CN78" s="3"/>
      <c r="CO78" s="3"/>
      <c r="CP78" s="3">
        <v>483.97</v>
      </c>
      <c r="CQ78" s="3"/>
      <c r="CR78" s="3">
        <v>109.164</v>
      </c>
      <c r="CS78" s="3">
        <v>282.76600000000002</v>
      </c>
      <c r="CT78" s="3">
        <v>2344.864</v>
      </c>
      <c r="CU78" s="61">
        <v>7761.3</v>
      </c>
      <c r="CV78" s="3">
        <v>17048.3</v>
      </c>
      <c r="CW78" s="3">
        <v>12998.3</v>
      </c>
      <c r="CY78" s="61">
        <v>7939</v>
      </c>
    </row>
    <row r="79" spans="1:103">
      <c r="A79">
        <v>2021</v>
      </c>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254">
        <v>42461</v>
      </c>
      <c r="AE79" s="84"/>
      <c r="AF79" s="84"/>
      <c r="AG79" s="79">
        <v>55022</v>
      </c>
      <c r="AH79" s="79">
        <v>197203</v>
      </c>
      <c r="AI79" s="79"/>
      <c r="AJ79" s="79"/>
      <c r="AK79" s="79"/>
      <c r="AL79" s="79"/>
      <c r="AM79" s="79"/>
      <c r="AN79" s="79"/>
      <c r="AO79" s="79"/>
      <c r="AP79" s="79"/>
      <c r="AQ79" s="79"/>
      <c r="AR79" s="79"/>
      <c r="AS79" s="79"/>
      <c r="AT79" s="79"/>
      <c r="AU79" s="79"/>
      <c r="AV79" s="79"/>
      <c r="AW79" s="79"/>
      <c r="AX79" s="79"/>
      <c r="AY79" s="79"/>
      <c r="AZ79" s="79"/>
      <c r="BD79" s="72"/>
      <c r="BE79" s="72"/>
      <c r="BG79">
        <v>2007</v>
      </c>
      <c r="BH79" s="3">
        <v>835.19500000000005</v>
      </c>
      <c r="BI79" s="3"/>
      <c r="BJ79" s="3"/>
      <c r="BK79" s="3"/>
      <c r="BL79" s="3"/>
      <c r="BM79" s="3"/>
      <c r="BN79" s="3"/>
      <c r="BO79" s="3"/>
      <c r="BP79" s="3"/>
      <c r="BQ79" s="3"/>
      <c r="BR79" s="3"/>
      <c r="BS79" s="3"/>
      <c r="BT79" s="3"/>
      <c r="BU79" s="3"/>
      <c r="BV79" s="3"/>
      <c r="BW79" s="3"/>
      <c r="BX79" s="3"/>
      <c r="BY79" s="3"/>
      <c r="BZ79" s="3"/>
      <c r="CA79" s="3"/>
      <c r="CB79" s="3"/>
      <c r="CC79" s="61"/>
      <c r="CD79" s="3"/>
      <c r="CE79" s="3"/>
      <c r="CG79">
        <v>2007</v>
      </c>
      <c r="CH79" s="3">
        <v>636.96500000000003</v>
      </c>
      <c r="CI79" s="3">
        <v>859.00300000000004</v>
      </c>
      <c r="CJ79" s="3"/>
      <c r="CK79" s="3">
        <v>2064.5430000000001</v>
      </c>
      <c r="CL79" s="3">
        <v>3148.163</v>
      </c>
      <c r="CM79" s="3"/>
      <c r="CN79" s="3"/>
      <c r="CO79" s="3">
        <v>1020</v>
      </c>
      <c r="CP79" s="3">
        <v>505.53800000000001</v>
      </c>
      <c r="CQ79" s="3"/>
      <c r="CR79" s="3">
        <v>129.19499999999999</v>
      </c>
      <c r="CS79" s="3">
        <v>306.79899999999998</v>
      </c>
      <c r="CT79" s="3">
        <v>2404.0070000000001</v>
      </c>
      <c r="CU79" s="61">
        <v>7562.1</v>
      </c>
      <c r="CV79" s="3">
        <v>16460</v>
      </c>
      <c r="CW79" s="3">
        <v>12660</v>
      </c>
      <c r="CY79" s="61">
        <v>7603</v>
      </c>
    </row>
    <row r="80" spans="1:103">
      <c r="A80">
        <v>2022</v>
      </c>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254">
        <v>42491</v>
      </c>
      <c r="AE80" s="84"/>
      <c r="AF80" s="84"/>
      <c r="AG80" s="79">
        <v>48856</v>
      </c>
      <c r="AH80" s="79">
        <v>216861</v>
      </c>
      <c r="AI80" s="79"/>
      <c r="AJ80" s="79"/>
      <c r="AK80" s="79"/>
      <c r="AL80" s="79"/>
      <c r="AM80" s="79"/>
      <c r="AN80" s="79"/>
      <c r="AO80" s="79"/>
      <c r="AP80" s="79"/>
      <c r="AQ80" s="79"/>
      <c r="AR80" s="79"/>
      <c r="AS80" s="79"/>
      <c r="AT80" s="79"/>
      <c r="AU80" s="79"/>
      <c r="AV80" s="79"/>
      <c r="AW80" s="79"/>
      <c r="AX80" s="79"/>
      <c r="AY80" s="79"/>
      <c r="AZ80" s="79"/>
      <c r="BD80" s="72"/>
      <c r="BG80">
        <v>2008</v>
      </c>
      <c r="BH80" s="3">
        <v>791.22500000000002</v>
      </c>
      <c r="BI80" s="3"/>
      <c r="BJ80" s="3"/>
      <c r="BK80" s="3"/>
      <c r="BL80" s="3"/>
      <c r="BM80" s="3"/>
      <c r="BN80" s="3"/>
      <c r="BO80" s="3"/>
      <c r="BP80" s="3"/>
      <c r="BQ80" s="3"/>
      <c r="BR80" s="3"/>
      <c r="BS80" s="3"/>
      <c r="BT80" s="3"/>
      <c r="BU80" s="3"/>
      <c r="BV80" s="3"/>
      <c r="BW80" s="3"/>
      <c r="BX80" s="3"/>
      <c r="BY80" s="3"/>
      <c r="BZ80" s="3"/>
      <c r="CA80" s="3"/>
      <c r="CB80" s="3"/>
      <c r="CC80" s="61"/>
      <c r="CD80" s="3"/>
      <c r="CE80" s="3"/>
      <c r="CG80">
        <v>2008</v>
      </c>
      <c r="CH80" s="3">
        <v>596.76599999999996</v>
      </c>
      <c r="CI80" s="3">
        <v>894.50599999999997</v>
      </c>
      <c r="CJ80" s="3"/>
      <c r="CK80" s="3">
        <v>2050.2820000000002</v>
      </c>
      <c r="CL80" s="3">
        <v>3090.04</v>
      </c>
      <c r="CM80" s="3"/>
      <c r="CN80" s="3"/>
      <c r="CO80" s="3">
        <v>1006</v>
      </c>
      <c r="CP80" s="3">
        <v>499.91800000000001</v>
      </c>
      <c r="CQ80" s="3"/>
      <c r="CR80" s="3">
        <v>110.517</v>
      </c>
      <c r="CS80" s="3">
        <v>253.982</v>
      </c>
      <c r="CT80" s="3">
        <v>2131.7950000000001</v>
      </c>
      <c r="CU80" s="61">
        <v>6769.2</v>
      </c>
      <c r="CV80" s="3">
        <v>13493.4</v>
      </c>
      <c r="CW80" s="3">
        <v>10693.4</v>
      </c>
      <c r="CY80" s="61">
        <v>5148</v>
      </c>
    </row>
    <row r="81" spans="1:103">
      <c r="A81">
        <v>2023</v>
      </c>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254">
        <v>42522</v>
      </c>
      <c r="AE81" s="84"/>
      <c r="AF81" s="84"/>
      <c r="AG81" s="79">
        <v>55273</v>
      </c>
      <c r="AH81" s="79">
        <v>203486</v>
      </c>
      <c r="AI81" s="79"/>
      <c r="AJ81" s="79"/>
      <c r="AK81" s="79"/>
      <c r="AL81" s="79"/>
      <c r="AM81" s="79"/>
      <c r="AN81" s="79"/>
      <c r="AO81" s="79"/>
      <c r="AP81" s="79"/>
      <c r="AQ81" s="79"/>
      <c r="AR81" s="79"/>
      <c r="AS81" s="79"/>
      <c r="AT81" s="79"/>
      <c r="AU81" s="79"/>
      <c r="AV81" s="79"/>
      <c r="AW81" s="79"/>
      <c r="AX81" s="79"/>
      <c r="AY81" s="79"/>
      <c r="AZ81" s="79"/>
      <c r="BD81" s="72"/>
      <c r="BF81" s="3"/>
      <c r="BH81" s="3">
        <v>728.71500000000003</v>
      </c>
      <c r="BI81" s="3"/>
      <c r="BJ81" s="3"/>
      <c r="BK81" s="3">
        <f>CI81</f>
        <v>747.67100000000005</v>
      </c>
      <c r="BL81" s="3"/>
      <c r="BM81" s="3"/>
      <c r="BN81" s="3"/>
      <c r="BO81" s="3"/>
      <c r="BP81" s="3"/>
      <c r="BQ81" s="3"/>
      <c r="BR81" s="3"/>
      <c r="BS81" s="3"/>
      <c r="BT81" s="3"/>
      <c r="BU81" s="3"/>
      <c r="BV81" s="3"/>
      <c r="BW81" s="3"/>
      <c r="BX81" s="3"/>
      <c r="BY81" s="3"/>
      <c r="BZ81" s="3"/>
      <c r="CA81" s="3"/>
      <c r="CB81" s="3"/>
      <c r="CC81" s="3"/>
      <c r="CD81" s="3"/>
      <c r="CE81" s="3"/>
      <c r="CG81" s="18">
        <v>2009</v>
      </c>
      <c r="CH81" s="16">
        <v>540.56200000000001</v>
      </c>
      <c r="CI81" s="16">
        <v>747.67100000000005</v>
      </c>
      <c r="CJ81" s="16"/>
      <c r="CK81" s="16">
        <v>2302.3980000000001</v>
      </c>
      <c r="CL81" s="16">
        <v>3807.1750000000002</v>
      </c>
      <c r="CM81" s="16"/>
      <c r="CN81" s="18"/>
      <c r="CO81" s="16">
        <v>1224</v>
      </c>
      <c r="CP81" s="16">
        <v>387.15199999999999</v>
      </c>
      <c r="CQ81" s="16"/>
      <c r="CR81" s="16">
        <v>98.674999999999997</v>
      </c>
      <c r="CS81" s="16">
        <v>213.40799999999999</v>
      </c>
      <c r="CT81" s="16">
        <v>1994.99</v>
      </c>
      <c r="CU81" s="73">
        <v>5401.5</v>
      </c>
      <c r="CV81" s="16">
        <v>10602</v>
      </c>
      <c r="CW81" s="16">
        <v>8652</v>
      </c>
      <c r="CY81" s="61">
        <v>5800</v>
      </c>
    </row>
    <row r="82" spans="1:103">
      <c r="A82">
        <v>2024</v>
      </c>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254">
        <v>42552</v>
      </c>
      <c r="AE82" s="84"/>
      <c r="AF82" s="84"/>
      <c r="AG82" s="79">
        <v>34373</v>
      </c>
      <c r="AH82" s="79">
        <v>181834</v>
      </c>
      <c r="AI82" s="79"/>
      <c r="AJ82" s="79"/>
      <c r="AK82" s="79"/>
      <c r="AL82" s="79"/>
      <c r="AM82" s="79"/>
      <c r="AN82" s="79"/>
      <c r="AO82" s="79"/>
      <c r="AP82" s="79"/>
      <c r="AQ82" s="79"/>
      <c r="AR82" s="79"/>
      <c r="AS82" s="79"/>
      <c r="AT82" s="79"/>
      <c r="AU82" s="79"/>
      <c r="AV82" s="79"/>
      <c r="AW82" s="79"/>
      <c r="AX82" s="79"/>
      <c r="AY82" s="79"/>
      <c r="AZ82" s="79"/>
      <c r="BD82" s="72"/>
      <c r="BF82" s="3"/>
      <c r="BG82">
        <v>2010</v>
      </c>
      <c r="BH82" s="61">
        <v>827.40700000000004</v>
      </c>
      <c r="BI82" s="100"/>
      <c r="BJ82" s="100"/>
      <c r="BK82" s="100">
        <v>710</v>
      </c>
      <c r="BL82" s="100">
        <v>12547</v>
      </c>
      <c r="BM82" s="100"/>
      <c r="BN82" s="100"/>
      <c r="BO82" s="100">
        <v>2209</v>
      </c>
      <c r="BP82" s="100">
        <v>2916</v>
      </c>
      <c r="BQ82" s="100"/>
      <c r="BR82" s="100"/>
      <c r="BS82" s="100"/>
      <c r="BT82" s="100">
        <v>4212</v>
      </c>
      <c r="BU82" s="100">
        <v>1218</v>
      </c>
      <c r="BV82" s="100">
        <v>483</v>
      </c>
      <c r="BW82" s="100">
        <v>169</v>
      </c>
      <c r="BX82" s="100">
        <v>159</v>
      </c>
      <c r="BY82" s="100"/>
      <c r="BZ82" s="3">
        <v>290</v>
      </c>
      <c r="CA82" s="3"/>
      <c r="CB82" s="3">
        <v>1996</v>
      </c>
      <c r="CC82" s="99">
        <v>5635</v>
      </c>
      <c r="CD82" s="3"/>
      <c r="CE82" s="3"/>
      <c r="CG82">
        <v>2010</v>
      </c>
      <c r="CH82" s="3">
        <v>592.12199999999996</v>
      </c>
      <c r="CI82" s="3">
        <v>710.21400000000006</v>
      </c>
      <c r="CJ82" s="3"/>
      <c r="CK82" s="3">
        <v>2251.6689999999999</v>
      </c>
      <c r="CL82" s="3">
        <v>2916.259</v>
      </c>
      <c r="CM82" s="3"/>
      <c r="CO82" s="3">
        <v>1212</v>
      </c>
      <c r="CP82" s="3">
        <v>482.54500000000002</v>
      </c>
      <c r="CQ82" s="3"/>
      <c r="CR82" s="3">
        <v>127.754</v>
      </c>
      <c r="CS82" s="3">
        <v>289.68400000000003</v>
      </c>
      <c r="CT82" s="3">
        <v>2030.846</v>
      </c>
      <c r="CU82" s="61">
        <v>6136.6</v>
      </c>
      <c r="CV82" s="3">
        <v>11772.339</v>
      </c>
      <c r="CW82" s="3">
        <v>9522.3389999999999</v>
      </c>
      <c r="CY82" s="61">
        <v>5928</v>
      </c>
    </row>
    <row r="83" spans="1:103">
      <c r="A83">
        <v>2025</v>
      </c>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254">
        <v>42583</v>
      </c>
      <c r="AE83" s="84"/>
      <c r="AF83" s="84"/>
      <c r="AG83" s="79">
        <v>38655</v>
      </c>
      <c r="AH83" s="79">
        <v>183945</v>
      </c>
      <c r="AI83" s="79"/>
      <c r="AJ83" s="79"/>
      <c r="AK83" s="79"/>
      <c r="AL83" s="79"/>
      <c r="AM83" s="79"/>
      <c r="AN83" s="79"/>
      <c r="AO83" s="79"/>
      <c r="AP83" s="79"/>
      <c r="AQ83" s="79"/>
      <c r="AR83" s="79"/>
      <c r="AS83" s="79"/>
      <c r="AT83" s="79"/>
      <c r="AU83" s="79"/>
      <c r="AV83" s="79"/>
      <c r="AW83" s="79"/>
      <c r="AX83" s="79"/>
      <c r="AY83" s="79"/>
      <c r="AZ83" s="79"/>
      <c r="BD83" s="72"/>
      <c r="BF83" s="3"/>
      <c r="BG83">
        <v>2011</v>
      </c>
      <c r="BH83" s="61">
        <v>803.45</v>
      </c>
      <c r="BI83" s="100"/>
      <c r="BJ83" s="100"/>
      <c r="BK83" s="100">
        <v>691</v>
      </c>
      <c r="BL83" s="100">
        <v>13695</v>
      </c>
      <c r="BM83" s="100"/>
      <c r="BN83" s="100"/>
      <c r="BO83" s="100">
        <v>2161</v>
      </c>
      <c r="BP83" s="100">
        <v>3174</v>
      </c>
      <c r="BQ83" s="100"/>
      <c r="BR83" s="100"/>
      <c r="BS83" s="100"/>
      <c r="BT83" s="100">
        <v>3525</v>
      </c>
      <c r="BU83" s="100">
        <v>1211</v>
      </c>
      <c r="BV83" s="100">
        <v>556</v>
      </c>
      <c r="BW83" s="100">
        <v>165</v>
      </c>
      <c r="BX83" s="100">
        <v>169</v>
      </c>
      <c r="BY83" s="100"/>
      <c r="BZ83" s="3">
        <v>305</v>
      </c>
      <c r="CA83" s="3"/>
      <c r="CB83" s="3">
        <v>1907</v>
      </c>
      <c r="CC83" s="3">
        <v>12734</v>
      </c>
      <c r="CD83" s="3"/>
      <c r="CE83" s="3"/>
      <c r="CG83">
        <v>2011</v>
      </c>
      <c r="CH83" s="3">
        <v>559.52200000000005</v>
      </c>
      <c r="CI83" s="3">
        <v>691.07899999999995</v>
      </c>
      <c r="CJ83" s="3"/>
      <c r="CK83" s="3">
        <v>2204.2289999999998</v>
      </c>
      <c r="CL83" s="3">
        <v>3173.634</v>
      </c>
      <c r="CM83" s="3"/>
      <c r="CO83" s="3">
        <v>1255</v>
      </c>
      <c r="CP83" s="3">
        <v>555.798</v>
      </c>
      <c r="CQ83" s="3"/>
      <c r="CR83" s="3">
        <v>138.345</v>
      </c>
      <c r="CS83" s="3">
        <v>304.98399999999998</v>
      </c>
      <c r="CT83" s="3">
        <v>1941.3030000000001</v>
      </c>
      <c r="CU83" s="61">
        <v>6089.7079999999996</v>
      </c>
      <c r="CV83" s="3">
        <v>13040.907999999999</v>
      </c>
      <c r="CW83" s="3">
        <v>10540.907999999999</v>
      </c>
      <c r="CY83" s="61">
        <v>6283</v>
      </c>
    </row>
    <row r="84" spans="1:103">
      <c r="A84">
        <v>2026</v>
      </c>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254">
        <v>42614</v>
      </c>
      <c r="AG84" s="79">
        <v>41748</v>
      </c>
      <c r="AH84" s="79">
        <v>186837</v>
      </c>
      <c r="AI84" s="79"/>
      <c r="AJ84" s="79"/>
      <c r="AK84" s="79"/>
      <c r="AL84" s="79"/>
      <c r="AM84" s="79"/>
      <c r="AN84" s="79"/>
      <c r="AO84" s="79"/>
      <c r="AP84" s="79"/>
      <c r="AQ84" s="79"/>
      <c r="AR84" s="79"/>
      <c r="AS84" s="79"/>
      <c r="AT84" s="79"/>
      <c r="AU84" s="79"/>
      <c r="AV84" s="79"/>
      <c r="AW84" s="79"/>
      <c r="AX84" s="79"/>
      <c r="AY84" s="79"/>
      <c r="AZ84" s="79"/>
      <c r="BA84" s="33"/>
      <c r="BB84" s="33"/>
      <c r="BC84" s="33"/>
      <c r="BD84" s="72"/>
      <c r="BF84" s="3"/>
      <c r="BG84">
        <v>2012</v>
      </c>
      <c r="BH84" s="61">
        <v>882.68</v>
      </c>
      <c r="BI84" s="100"/>
      <c r="BJ84" s="100"/>
      <c r="BK84" s="100">
        <v>732</v>
      </c>
      <c r="BL84" s="100">
        <v>15249</v>
      </c>
      <c r="BM84" s="100"/>
      <c r="BN84" s="100"/>
      <c r="BO84" s="100">
        <v>1857</v>
      </c>
      <c r="BP84" s="100">
        <v>3083</v>
      </c>
      <c r="BQ84" s="100"/>
      <c r="BR84" s="100"/>
      <c r="BS84" s="100"/>
      <c r="BT84" s="100">
        <v>4572</v>
      </c>
      <c r="BU84" s="100">
        <v>1176</v>
      </c>
      <c r="BV84" s="100">
        <v>502</v>
      </c>
      <c r="BW84" s="100">
        <v>179</v>
      </c>
      <c r="BX84" s="100">
        <v>172</v>
      </c>
      <c r="BY84" s="100"/>
      <c r="BZ84" s="3">
        <v>280</v>
      </c>
      <c r="CA84" s="3"/>
      <c r="CB84" s="3">
        <v>2011</v>
      </c>
      <c r="CC84" s="3">
        <v>14442</v>
      </c>
      <c r="CD84" s="3"/>
      <c r="CE84" s="3"/>
      <c r="CG84">
        <v>2012</v>
      </c>
      <c r="CH84" s="3">
        <v>576.85500000000002</v>
      </c>
      <c r="CI84" s="3">
        <v>759.024</v>
      </c>
      <c r="CJ84" s="3"/>
      <c r="CK84" s="3">
        <v>1898.76</v>
      </c>
      <c r="CL84" s="3">
        <v>3082.5039999999999</v>
      </c>
      <c r="CM84" s="3"/>
      <c r="CO84" s="3">
        <v>1196</v>
      </c>
      <c r="CP84" s="3">
        <v>502.49599999999998</v>
      </c>
      <c r="CQ84" s="3"/>
      <c r="CR84" s="3">
        <v>127.967</v>
      </c>
      <c r="CS84" s="3">
        <v>279.899</v>
      </c>
      <c r="CT84" s="3">
        <v>2044.6089999999999</v>
      </c>
      <c r="CU84" s="61">
        <v>7244.4390000000003</v>
      </c>
      <c r="CV84" s="3">
        <v>14788.475</v>
      </c>
      <c r="CW84" s="3">
        <v>12038.475</v>
      </c>
      <c r="CY84" s="61">
        <v>7524</v>
      </c>
    </row>
    <row r="85" spans="1:103">
      <c r="A85">
        <v>2027</v>
      </c>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C85" s="13"/>
      <c r="AD85" s="254">
        <v>42644</v>
      </c>
      <c r="AE85" s="33"/>
      <c r="AF85" s="33"/>
      <c r="AG85" s="79">
        <v>41969</v>
      </c>
      <c r="AH85" s="79">
        <v>164214</v>
      </c>
      <c r="AI85" s="79"/>
      <c r="AJ85" s="79"/>
      <c r="AK85" s="79"/>
      <c r="AL85" s="79"/>
      <c r="AM85" s="79"/>
      <c r="AN85" s="79"/>
      <c r="AO85" s="79"/>
      <c r="AP85" s="79"/>
      <c r="AQ85" s="79"/>
      <c r="AR85" s="79"/>
      <c r="AS85" s="79"/>
      <c r="AT85" s="79"/>
      <c r="AU85" s="79"/>
      <c r="AV85" s="79"/>
      <c r="AW85" s="79"/>
      <c r="AX85" s="79"/>
      <c r="AY85" s="79"/>
      <c r="AZ85" s="79"/>
      <c r="BA85" s="33"/>
      <c r="BB85" s="33"/>
      <c r="BC85" s="33"/>
      <c r="BD85" s="72"/>
      <c r="BF85" s="3"/>
      <c r="BG85">
        <v>2013</v>
      </c>
      <c r="BH85" s="61">
        <v>899.96500000000003</v>
      </c>
      <c r="BI85" s="100"/>
      <c r="BJ85" s="100"/>
      <c r="BK85" s="100">
        <v>759</v>
      </c>
      <c r="BL85" s="100">
        <v>17523</v>
      </c>
      <c r="BM85" s="100"/>
      <c r="BN85" s="100"/>
      <c r="BO85" s="100">
        <v>1757</v>
      </c>
      <c r="BP85" s="100">
        <v>2952</v>
      </c>
      <c r="BQ85" s="100"/>
      <c r="BR85" s="100"/>
      <c r="BS85" s="100"/>
      <c r="BT85" s="100">
        <v>4562</v>
      </c>
      <c r="BU85" s="100">
        <v>1137</v>
      </c>
      <c r="BV85" s="100">
        <v>417</v>
      </c>
      <c r="BW85" s="100">
        <v>213</v>
      </c>
      <c r="BX85" s="100">
        <v>176</v>
      </c>
      <c r="BY85" s="100"/>
      <c r="BZ85" s="3">
        <v>270</v>
      </c>
      <c r="CA85" s="3"/>
      <c r="CB85" s="3">
        <v>2225</v>
      </c>
      <c r="CC85" s="99">
        <v>13115</v>
      </c>
      <c r="CD85" s="3"/>
      <c r="CE85" s="3"/>
      <c r="CG85">
        <v>2013</v>
      </c>
      <c r="CH85" s="3">
        <v>566.45399999999995</v>
      </c>
      <c r="CI85" s="99">
        <v>461.37799999999999</v>
      </c>
      <c r="CJ85" s="3"/>
      <c r="CK85" s="3">
        <v>1790.4559999999999</v>
      </c>
      <c r="CL85" s="3">
        <v>2952.431</v>
      </c>
      <c r="CM85" s="3"/>
      <c r="CO85" s="3">
        <v>1165</v>
      </c>
      <c r="CP85" s="3">
        <v>417.036</v>
      </c>
      <c r="CQ85" s="3"/>
      <c r="CR85" s="3">
        <v>142.15100000000001</v>
      </c>
      <c r="CS85" s="3">
        <v>269.55799999999999</v>
      </c>
      <c r="CT85" s="3">
        <v>1904.7370000000001</v>
      </c>
      <c r="CU85" s="61">
        <v>7585.3410000000003</v>
      </c>
      <c r="CV85" s="3">
        <v>15883.442999999999</v>
      </c>
      <c r="CW85" s="3">
        <v>12333.341</v>
      </c>
      <c r="CY85" s="61">
        <v>7507</v>
      </c>
    </row>
    <row r="86" spans="1:103">
      <c r="A86">
        <v>2028</v>
      </c>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C86" s="13"/>
      <c r="AD86" s="254">
        <v>42675</v>
      </c>
      <c r="AE86" s="79"/>
      <c r="AF86" s="79"/>
      <c r="AG86" s="79">
        <v>39645</v>
      </c>
      <c r="AH86" s="79">
        <v>158653</v>
      </c>
      <c r="AI86" s="79"/>
      <c r="AJ86" s="79"/>
      <c r="AK86" s="79"/>
      <c r="AL86" s="79"/>
      <c r="AM86" s="79"/>
      <c r="AN86" s="79"/>
      <c r="AO86" s="79"/>
      <c r="AP86" s="79"/>
      <c r="AQ86" s="79"/>
      <c r="AR86" s="79"/>
      <c r="AS86" s="79"/>
      <c r="AT86" s="79"/>
      <c r="AU86" s="79"/>
      <c r="AV86" s="79"/>
      <c r="AW86" s="79"/>
      <c r="AX86" s="79"/>
      <c r="AY86" s="79"/>
      <c r="AZ86" s="79"/>
      <c r="BA86" s="94"/>
      <c r="BB86" s="72"/>
      <c r="BC86" s="72"/>
      <c r="BD86" s="72"/>
      <c r="BF86" s="3"/>
      <c r="BG86">
        <v>2014</v>
      </c>
      <c r="BH86" s="61">
        <v>883.94899999999996</v>
      </c>
      <c r="BI86" s="100"/>
      <c r="BJ86" s="100"/>
      <c r="BK86" s="100">
        <v>806</v>
      </c>
      <c r="BL86" s="100">
        <v>19367</v>
      </c>
      <c r="BM86" s="100"/>
      <c r="BN86" s="100"/>
      <c r="BO86" s="100">
        <v>1765</v>
      </c>
      <c r="BP86" s="100">
        <v>3037</v>
      </c>
      <c r="BQ86" s="100"/>
      <c r="BR86" s="100"/>
      <c r="BS86" s="100"/>
      <c r="BT86" s="100">
        <v>4700</v>
      </c>
      <c r="BU86" s="100">
        <v>1140.0327352085353</v>
      </c>
      <c r="BV86" s="100">
        <v>388</v>
      </c>
      <c r="BW86" s="100">
        <v>258</v>
      </c>
      <c r="BX86" s="100">
        <v>172</v>
      </c>
      <c r="BY86" s="100"/>
      <c r="BZ86" s="3">
        <v>304</v>
      </c>
      <c r="CA86" s="3"/>
      <c r="CB86" s="3">
        <v>2438</v>
      </c>
      <c r="CC86" s="99">
        <v>13842</v>
      </c>
      <c r="CD86" s="3"/>
      <c r="CE86" s="3"/>
      <c r="CG86">
        <v>2014</v>
      </c>
      <c r="CH86" s="3">
        <v>531.62800000000004</v>
      </c>
      <c r="CI86" s="99">
        <v>756.79300000000001</v>
      </c>
      <c r="CJ86" s="3"/>
      <c r="CK86" s="3">
        <v>1795.885</v>
      </c>
      <c r="CL86" s="3">
        <v>3036.7730000000001</v>
      </c>
      <c r="CM86" s="3"/>
      <c r="CO86" s="3">
        <v>1213</v>
      </c>
      <c r="CP86" s="3">
        <v>390.41199999999998</v>
      </c>
      <c r="CQ86" s="3"/>
      <c r="CR86" s="3">
        <v>144.202</v>
      </c>
      <c r="CS86" s="3">
        <v>303.94799999999998</v>
      </c>
      <c r="CT86" s="3">
        <v>2477.4349999999999</v>
      </c>
      <c r="CU86" s="61">
        <v>7687.6189999999997</v>
      </c>
      <c r="CV86" s="3">
        <v>16841.973000000002</v>
      </c>
      <c r="CW86" s="3">
        <v>13002.618999999999</v>
      </c>
      <c r="CY86" s="61">
        <v>7826</v>
      </c>
    </row>
    <row r="87" spans="1:103">
      <c r="A87">
        <v>2029</v>
      </c>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254">
        <v>42705</v>
      </c>
      <c r="AE87" s="33"/>
      <c r="AF87" s="33"/>
      <c r="AG87" s="79">
        <v>33523</v>
      </c>
      <c r="AH87" s="79">
        <v>124277</v>
      </c>
      <c r="AI87" s="79"/>
      <c r="AJ87" s="79"/>
      <c r="AK87" s="79"/>
      <c r="AL87" s="79"/>
      <c r="AM87" s="79"/>
      <c r="AN87" s="79"/>
      <c r="AO87" s="79"/>
      <c r="AP87" s="79"/>
      <c r="AQ87" s="79"/>
      <c r="AR87" s="79"/>
      <c r="AS87" s="79"/>
      <c r="AT87" s="79"/>
      <c r="AU87" s="79"/>
      <c r="AV87" s="79"/>
      <c r="AW87" s="79"/>
      <c r="AX87" s="79"/>
      <c r="AY87" s="79"/>
      <c r="AZ87" s="79"/>
      <c r="BA87" s="79"/>
      <c r="BB87" s="72"/>
      <c r="BC87" s="72"/>
      <c r="BD87" s="72"/>
      <c r="BF87" s="3"/>
      <c r="BG87">
        <v>2015</v>
      </c>
      <c r="BH87" s="61">
        <v>924.154</v>
      </c>
      <c r="BI87" s="100"/>
      <c r="BJ87" s="100"/>
      <c r="BK87" s="100">
        <v>855.35617977528091</v>
      </c>
      <c r="BL87" s="100">
        <v>21203</v>
      </c>
      <c r="BM87" s="100"/>
      <c r="BN87" s="100"/>
      <c r="BO87" s="100">
        <v>1886</v>
      </c>
      <c r="BP87" s="100">
        <v>3206</v>
      </c>
      <c r="BQ87" s="100"/>
      <c r="BR87" s="100"/>
      <c r="BS87" s="100"/>
      <c r="BT87" s="100">
        <v>4216</v>
      </c>
      <c r="BU87" s="3"/>
      <c r="BV87" s="100">
        <v>449</v>
      </c>
      <c r="BW87" s="100">
        <v>280</v>
      </c>
      <c r="BX87" s="100">
        <v>176</v>
      </c>
      <c r="BY87" s="100"/>
      <c r="BZ87" s="3">
        <v>362</v>
      </c>
      <c r="CA87" s="3"/>
      <c r="CB87" s="3">
        <v>2602</v>
      </c>
      <c r="CC87" s="99">
        <v>14506</v>
      </c>
      <c r="CD87" s="3"/>
      <c r="CE87" s="3"/>
      <c r="CG87" s="18">
        <v>2015</v>
      </c>
      <c r="CH87" s="16">
        <v>515.68299999999999</v>
      </c>
      <c r="CI87" s="103">
        <v>713.05799999999999</v>
      </c>
      <c r="CJ87" s="16"/>
      <c r="CK87" s="16">
        <v>1917.2260000000001</v>
      </c>
      <c r="CL87" s="16">
        <v>3206.0419999999999</v>
      </c>
      <c r="CM87" s="16"/>
      <c r="CN87" s="18"/>
      <c r="CO87" s="16">
        <v>1309</v>
      </c>
      <c r="CP87" s="16">
        <v>452.20699999999999</v>
      </c>
      <c r="CQ87" s="16"/>
      <c r="CR87" s="16">
        <v>150.68600000000001</v>
      </c>
      <c r="CS87" s="16">
        <v>345.108</v>
      </c>
      <c r="CT87" s="16">
        <v>2633.5030000000002</v>
      </c>
      <c r="CU87" s="73">
        <v>7523.6890000000003</v>
      </c>
      <c r="CV87" s="16">
        <v>17834.599999999999</v>
      </c>
      <c r="CW87" s="16">
        <v>13623.689</v>
      </c>
      <c r="CY87" s="61">
        <v>7127</v>
      </c>
    </row>
    <row r="88" spans="1:103">
      <c r="A88">
        <v>2030</v>
      </c>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254">
        <v>42736</v>
      </c>
      <c r="AE88" s="79">
        <v>69047</v>
      </c>
      <c r="AF88" s="79">
        <v>26415</v>
      </c>
      <c r="AG88" s="79">
        <v>51701</v>
      </c>
      <c r="AH88" s="79">
        <v>110945</v>
      </c>
      <c r="AI88" s="79">
        <v>221.82</v>
      </c>
      <c r="AJ88" s="79">
        <v>19534</v>
      </c>
      <c r="AK88" s="79">
        <v>12742</v>
      </c>
      <c r="AL88" s="79">
        <v>153055</v>
      </c>
      <c r="AM88" s="79">
        <v>241399</v>
      </c>
      <c r="AN88" s="79">
        <v>265389</v>
      </c>
      <c r="AO88" s="79">
        <v>39003</v>
      </c>
      <c r="AP88" s="79">
        <v>172034</v>
      </c>
      <c r="AQ88" s="79">
        <v>229100</v>
      </c>
      <c r="AR88" s="79">
        <v>122884</v>
      </c>
      <c r="AS88" s="79">
        <v>51536</v>
      </c>
      <c r="AT88" s="79">
        <v>10150</v>
      </c>
      <c r="AU88" s="79">
        <v>13055</v>
      </c>
      <c r="AV88" s="79">
        <v>84515</v>
      </c>
      <c r="AW88" s="79">
        <v>23282</v>
      </c>
      <c r="AX88" s="79">
        <v>19451</v>
      </c>
      <c r="AY88" s="79">
        <v>174564</v>
      </c>
      <c r="AZ88" s="79">
        <v>1143421</v>
      </c>
      <c r="BA88" s="79"/>
      <c r="BB88" s="72"/>
      <c r="BC88" s="72"/>
      <c r="BG88">
        <v>2016</v>
      </c>
      <c r="BH88" s="61">
        <v>927.28</v>
      </c>
      <c r="BI88" s="3"/>
      <c r="BJ88" s="61"/>
      <c r="BK88" s="100">
        <v>888.8640449438202</v>
      </c>
      <c r="BL88" s="100">
        <v>24525.547445255474</v>
      </c>
      <c r="BM88" s="100"/>
      <c r="BN88" s="100"/>
      <c r="BO88" s="100">
        <v>2021.2328767123288</v>
      </c>
      <c r="BP88" s="3"/>
      <c r="BQ88" s="3"/>
      <c r="BR88" s="3"/>
      <c r="BS88" s="3"/>
      <c r="BT88" s="3"/>
      <c r="BU88" s="3"/>
      <c r="BV88" s="100">
        <v>383</v>
      </c>
      <c r="BW88" s="3"/>
      <c r="BX88" s="3"/>
      <c r="BY88" s="3"/>
      <c r="BZ88" s="3"/>
      <c r="CA88" s="3"/>
      <c r="CB88" s="3"/>
      <c r="CC88" s="3"/>
      <c r="CD88" s="3"/>
      <c r="CE88" s="3"/>
      <c r="CG88">
        <v>2016</v>
      </c>
      <c r="CH88" s="3">
        <v>486.25700000000001</v>
      </c>
      <c r="CI88" s="99">
        <v>661.11</v>
      </c>
      <c r="CJ88" s="3"/>
      <c r="CK88" s="3">
        <v>2015.1769999999999</v>
      </c>
      <c r="CL88" s="3">
        <v>3351.607</v>
      </c>
      <c r="CM88" s="3"/>
      <c r="CO88" s="3">
        <v>1325</v>
      </c>
      <c r="CP88" s="3">
        <v>385.048</v>
      </c>
      <c r="CQ88" s="3"/>
      <c r="CR88" s="3">
        <v>154.60300000000001</v>
      </c>
      <c r="CS88" s="3">
        <v>372.31799999999998</v>
      </c>
      <c r="CT88" s="3">
        <v>2692.7860000000001</v>
      </c>
      <c r="CU88" s="61">
        <v>6869.7719999999999</v>
      </c>
      <c r="CV88" s="3">
        <v>17864.255000000001</v>
      </c>
      <c r="CW88" s="3">
        <v>13843.272000000001</v>
      </c>
      <c r="CY88" s="61">
        <v>6836</v>
      </c>
    </row>
    <row r="89" spans="1:103">
      <c r="R89" s="84"/>
      <c r="S89" s="84"/>
      <c r="T89" s="13"/>
      <c r="U89" s="13"/>
      <c r="V89" s="13"/>
      <c r="W89" s="13"/>
      <c r="X89" s="13"/>
      <c r="Y89" s="13"/>
      <c r="Z89" s="13"/>
      <c r="AA89" s="13"/>
      <c r="AB89" s="13"/>
      <c r="AC89" s="13"/>
      <c r="AD89" s="254">
        <v>42767</v>
      </c>
      <c r="AE89" s="79">
        <v>70237</v>
      </c>
      <c r="AF89" s="79">
        <v>25371</v>
      </c>
      <c r="AG89" s="79">
        <v>51942</v>
      </c>
      <c r="AH89" s="79">
        <v>123033</v>
      </c>
      <c r="AI89" s="79">
        <v>163.27000000000001</v>
      </c>
      <c r="AJ89" s="79">
        <v>17628</v>
      </c>
      <c r="AK89" s="79">
        <v>9164</v>
      </c>
      <c r="AL89" s="79">
        <v>161885</v>
      </c>
      <c r="AM89" s="79">
        <v>243602</v>
      </c>
      <c r="AN89" s="79">
        <v>255470</v>
      </c>
      <c r="AO89" s="79">
        <v>17089</v>
      </c>
      <c r="AP89" s="79">
        <v>184350</v>
      </c>
      <c r="AQ89" s="79">
        <v>273860</v>
      </c>
      <c r="AR89" s="79">
        <v>135824</v>
      </c>
      <c r="AS89" s="79">
        <v>32329</v>
      </c>
      <c r="AT89" s="79">
        <v>8050</v>
      </c>
      <c r="AU89" s="79">
        <v>11788</v>
      </c>
      <c r="AV89" s="79">
        <v>97796</v>
      </c>
      <c r="AW89" s="79">
        <v>27735</v>
      </c>
      <c r="AX89" s="79">
        <v>22809</v>
      </c>
      <c r="AY89" s="79">
        <v>83115</v>
      </c>
      <c r="AZ89" s="79">
        <v>1333510</v>
      </c>
      <c r="BA89" s="79"/>
      <c r="BB89" s="72"/>
      <c r="BC89" s="72"/>
      <c r="BG89">
        <v>2017</v>
      </c>
      <c r="BH89" s="61">
        <v>915.65800000000002</v>
      </c>
      <c r="BI89" s="3"/>
      <c r="BJ89" s="61"/>
      <c r="BK89" s="100">
        <v>934.14494382022474</v>
      </c>
      <c r="BL89" s="100">
        <v>27571.428571428572</v>
      </c>
      <c r="BM89" s="100"/>
      <c r="BN89" s="100"/>
      <c r="BO89" s="100"/>
      <c r="BP89" s="3"/>
      <c r="BQ89" s="3"/>
      <c r="BR89" s="3"/>
      <c r="BS89" s="3"/>
      <c r="BT89" s="3"/>
      <c r="BU89" s="3"/>
      <c r="BV89" s="100">
        <v>415</v>
      </c>
      <c r="BW89" s="3"/>
      <c r="BX89" s="3"/>
      <c r="BY89" s="3"/>
      <c r="BZ89" s="3"/>
      <c r="CA89" s="3"/>
      <c r="CB89" s="3"/>
      <c r="CC89" s="3"/>
      <c r="CD89" s="3"/>
      <c r="CE89" s="3"/>
      <c r="CG89">
        <v>2017</v>
      </c>
      <c r="CH89" s="3">
        <v>450.012</v>
      </c>
      <c r="CI89" s="99">
        <v>646.96</v>
      </c>
      <c r="CJ89" s="3"/>
      <c r="CK89" s="3">
        <v>2048</v>
      </c>
      <c r="CL89" s="3">
        <v>3705</v>
      </c>
      <c r="CM89" s="3"/>
      <c r="CO89" s="3"/>
      <c r="CP89" s="3">
        <v>417.69499999999999</v>
      </c>
      <c r="CQ89" s="3"/>
      <c r="CR89" s="3">
        <v>158.65</v>
      </c>
      <c r="CS89" s="3">
        <v>378</v>
      </c>
      <c r="CT89" s="3">
        <v>2673.9609999999998</v>
      </c>
      <c r="CU89" s="61">
        <v>6073.5330000000004</v>
      </c>
      <c r="CV89" s="61">
        <v>17529.759999999998</v>
      </c>
      <c r="CW89" s="3">
        <v>13399.933000000001</v>
      </c>
      <c r="CY89" s="61">
        <v>5824</v>
      </c>
    </row>
    <row r="90" spans="1:103">
      <c r="E90" s="174" t="s">
        <v>816</v>
      </c>
      <c r="F90" s="174"/>
      <c r="G90" s="174"/>
      <c r="H90" s="174"/>
      <c r="R90" s="84"/>
      <c r="S90" s="84"/>
      <c r="T90" s="13"/>
      <c r="U90" s="13"/>
      <c r="V90" s="13"/>
      <c r="W90" s="13"/>
      <c r="X90" s="13"/>
      <c r="Y90" s="13"/>
      <c r="Z90" s="13"/>
      <c r="AA90" s="13"/>
      <c r="AB90" s="13"/>
      <c r="AC90" s="13"/>
      <c r="AD90" s="254">
        <v>42795</v>
      </c>
      <c r="AE90" s="79">
        <v>80456</v>
      </c>
      <c r="AF90" s="79">
        <v>36709</v>
      </c>
      <c r="AG90" s="79">
        <v>61066</v>
      </c>
      <c r="AH90" s="79">
        <v>187540</v>
      </c>
      <c r="AI90" s="79">
        <v>209.63</v>
      </c>
      <c r="AJ90" s="79">
        <v>22760</v>
      </c>
      <c r="AK90" s="79">
        <v>11202</v>
      </c>
      <c r="AL90" s="79">
        <v>226145</v>
      </c>
      <c r="AM90" s="79">
        <v>359683</v>
      </c>
      <c r="AN90" s="79">
        <v>282698</v>
      </c>
      <c r="AO90" s="79">
        <v>19890</v>
      </c>
      <c r="AP90" s="79">
        <v>226780</v>
      </c>
      <c r="AQ90" s="79">
        <v>398048</v>
      </c>
      <c r="AR90" s="79">
        <v>167983</v>
      </c>
      <c r="AS90" s="79">
        <v>36789</v>
      </c>
      <c r="AT90" s="79">
        <v>9230</v>
      </c>
      <c r="AU90" s="79">
        <v>13398</v>
      </c>
      <c r="AV90" s="79">
        <v>125600</v>
      </c>
      <c r="AW90" s="79">
        <v>38387</v>
      </c>
      <c r="AX90" s="79">
        <v>30509</v>
      </c>
      <c r="AY90" s="79">
        <v>562337</v>
      </c>
      <c r="AZ90" s="79">
        <v>1555859</v>
      </c>
      <c r="BA90" s="79"/>
      <c r="BB90" s="72"/>
      <c r="BC90" s="72"/>
      <c r="BF90" s="3"/>
      <c r="CH90" s="3"/>
      <c r="CI90" s="3"/>
      <c r="CJ90" s="3"/>
      <c r="CK90" s="3"/>
      <c r="CL90" s="3"/>
      <c r="CM90" s="3"/>
      <c r="CO90" s="3"/>
      <c r="CP90" s="3"/>
      <c r="CQ90" s="3"/>
      <c r="CR90" s="3"/>
      <c r="CS90" s="3"/>
      <c r="CT90" s="3"/>
      <c r="CU90" s="61"/>
    </row>
    <row r="91" spans="1:103">
      <c r="B91" s="149" t="s">
        <v>255</v>
      </c>
      <c r="C91" s="149" t="s">
        <v>539</v>
      </c>
      <c r="D91" s="149" t="s">
        <v>540</v>
      </c>
      <c r="E91" s="149" t="s">
        <v>238</v>
      </c>
      <c r="F91" s="149" t="s">
        <v>239</v>
      </c>
      <c r="G91" s="149" t="s">
        <v>541</v>
      </c>
      <c r="H91" s="149" t="s">
        <v>542</v>
      </c>
      <c r="I91" s="149" t="s">
        <v>240</v>
      </c>
      <c r="J91" s="149" t="s">
        <v>241</v>
      </c>
      <c r="K91" s="149" t="s">
        <v>242</v>
      </c>
      <c r="L91" s="149" t="s">
        <v>544</v>
      </c>
      <c r="M91" s="7" t="s">
        <v>538</v>
      </c>
      <c r="N91" s="149" t="s">
        <v>243</v>
      </c>
      <c r="O91" s="149" t="s">
        <v>244</v>
      </c>
      <c r="P91" s="149" t="s">
        <v>245</v>
      </c>
      <c r="Q91" s="150" t="s">
        <v>331</v>
      </c>
      <c r="R91" s="149" t="s">
        <v>246</v>
      </c>
      <c r="S91" s="149" t="s">
        <v>545</v>
      </c>
      <c r="T91" s="149" t="s">
        <v>247</v>
      </c>
      <c r="U91" s="149" t="s">
        <v>546</v>
      </c>
      <c r="V91" s="149" t="s">
        <v>248</v>
      </c>
      <c r="W91" s="149" t="s">
        <v>249</v>
      </c>
      <c r="X91" s="149" t="s">
        <v>609</v>
      </c>
      <c r="Y91" s="150" t="s">
        <v>158</v>
      </c>
      <c r="AA91" s="149" t="s">
        <v>1089</v>
      </c>
      <c r="AB91" s="13" t="s">
        <v>1090</v>
      </c>
      <c r="AC91" s="13"/>
      <c r="AD91" s="254">
        <v>42826</v>
      </c>
      <c r="AE91" s="79">
        <v>63515</v>
      </c>
      <c r="AF91" s="79">
        <v>30272</v>
      </c>
      <c r="AG91" s="79">
        <v>51132</v>
      </c>
      <c r="AH91" s="79">
        <v>197203</v>
      </c>
      <c r="AI91" s="79">
        <v>172.22</v>
      </c>
      <c r="AJ91" s="79">
        <v>17610</v>
      </c>
      <c r="AK91" s="79">
        <v>9394</v>
      </c>
      <c r="AL91" s="79">
        <v>171879</v>
      </c>
      <c r="AM91" s="79">
        <v>290697</v>
      </c>
      <c r="AN91" s="79">
        <v>277683</v>
      </c>
      <c r="AO91" s="79">
        <v>7841</v>
      </c>
      <c r="AP91" s="79">
        <v>160969</v>
      </c>
      <c r="AQ91" s="79">
        <v>195874</v>
      </c>
      <c r="AR91" s="79">
        <v>152726</v>
      </c>
      <c r="AS91" s="79">
        <v>29360</v>
      </c>
      <c r="AT91" s="79">
        <v>6996</v>
      </c>
      <c r="AU91" s="79">
        <v>11339</v>
      </c>
      <c r="AV91" s="79">
        <v>101375</v>
      </c>
      <c r="AW91" s="79">
        <v>30476</v>
      </c>
      <c r="AX91" s="79">
        <v>25815</v>
      </c>
      <c r="AY91" s="79">
        <v>152076</v>
      </c>
      <c r="AZ91" s="79">
        <v>1182476</v>
      </c>
      <c r="BA91" s="79"/>
      <c r="BB91" s="72"/>
      <c r="BC91" s="72"/>
      <c r="BF91" s="3"/>
      <c r="BH91" s="3"/>
      <c r="BI91" s="3"/>
      <c r="BJ91" s="3"/>
    </row>
    <row r="92" spans="1:103">
      <c r="A92">
        <v>2009</v>
      </c>
      <c r="B92" s="13">
        <f t="shared" ref="B92:B100" si="148">B50/AE50*100</f>
        <v>0</v>
      </c>
      <c r="C92" s="13">
        <f t="shared" ref="C92:C100" si="149">C50/AF50*100</f>
        <v>1.2530229177891664E-2</v>
      </c>
      <c r="D92" s="13">
        <f t="shared" ref="D92:D100" si="150">D50/AG50*100</f>
        <v>0</v>
      </c>
      <c r="E92" s="13">
        <f t="shared" ref="E92:E100" si="151">E50/AH50*100</f>
        <v>0</v>
      </c>
      <c r="F92" s="13">
        <v>0</v>
      </c>
      <c r="G92" s="13">
        <f t="shared" ref="G92:G100" si="152">G50/AJ50*100</f>
        <v>2.7687223685973296E-2</v>
      </c>
      <c r="H92" s="13">
        <f t="shared" ref="H92:H100" si="153">H50/AK50*100</f>
        <v>0</v>
      </c>
      <c r="I92" s="13">
        <f t="shared" ref="I92:I100" si="154">I50/AL50*100</f>
        <v>4.4585254586262226E-3</v>
      </c>
      <c r="J92" s="13">
        <f t="shared" ref="J92:J100" si="155">J50/AM50*100</f>
        <v>5.2776519937385946E-4</v>
      </c>
      <c r="K92" s="13">
        <f t="shared" ref="K92:K100" si="156">K50/AN50*100</f>
        <v>1.6065679330328396E-2</v>
      </c>
      <c r="L92" s="13">
        <f t="shared" ref="L92:L100" si="157">L50/AO50*100</f>
        <v>0</v>
      </c>
      <c r="M92" s="13">
        <f t="shared" ref="M92:M100" si="158">M50/AP50*100</f>
        <v>0</v>
      </c>
      <c r="N92" s="13">
        <f t="shared" ref="N92:N100" si="159">N50/AQ50*100</f>
        <v>2.5129069409040167E-2</v>
      </c>
      <c r="O92" s="13">
        <v>0</v>
      </c>
      <c r="P92" s="13">
        <f t="shared" ref="P92:P100" si="160">P50/AS50*100</f>
        <v>7.7463534041350025E-3</v>
      </c>
      <c r="Q92" s="13">
        <f t="shared" ref="Q92:Q100" si="161">Q50/AT50*100</f>
        <v>0</v>
      </c>
      <c r="R92" s="13">
        <f t="shared" ref="R92:R100" si="162">R50/AU50*100</f>
        <v>0.15201418799087915</v>
      </c>
      <c r="S92" s="13">
        <f t="shared" ref="S92:S100" si="163">S50/AV50*100</f>
        <v>0</v>
      </c>
      <c r="T92" s="13">
        <f t="shared" ref="T92:T100" si="164">T50/AW50*100</f>
        <v>0</v>
      </c>
      <c r="U92" s="13">
        <f>U93*U68/U69</f>
        <v>1.2936133305116624E-2</v>
      </c>
      <c r="V92" s="13">
        <f t="shared" ref="V92:V100" si="165">V50/AY50*100</f>
        <v>9.0499694060756468E-3</v>
      </c>
      <c r="W92" s="13">
        <f t="shared" ref="W92:W100" si="166">W50/AZ50*100</f>
        <v>1.5372168284789645E-2</v>
      </c>
      <c r="X92" s="13">
        <v>0</v>
      </c>
      <c r="Y92" s="13">
        <f t="shared" ref="Y92:Y100" si="167">Y50/BB50*100</f>
        <v>8.2174821687508743E-3</v>
      </c>
      <c r="AC92" s="13"/>
      <c r="AD92" s="254">
        <v>42856</v>
      </c>
      <c r="AE92" s="79">
        <v>75471</v>
      </c>
      <c r="AF92" s="79">
        <v>32497</v>
      </c>
      <c r="AG92" s="79">
        <v>51342</v>
      </c>
      <c r="AH92" s="79">
        <v>216861</v>
      </c>
      <c r="AI92" s="79">
        <v>175.13</v>
      </c>
      <c r="AJ92" s="79">
        <v>22300</v>
      </c>
      <c r="AK92" s="79">
        <v>11055</v>
      </c>
      <c r="AL92" s="79">
        <v>191419</v>
      </c>
      <c r="AM92" s="79">
        <v>323952</v>
      </c>
      <c r="AN92" s="79">
        <v>251764</v>
      </c>
      <c r="AO92" s="79">
        <v>5992</v>
      </c>
      <c r="AP92" s="79">
        <v>204807</v>
      </c>
      <c r="AQ92" s="79">
        <v>206936</v>
      </c>
      <c r="AR92" s="79">
        <v>154823</v>
      </c>
      <c r="AS92" s="79">
        <v>36484</v>
      </c>
      <c r="AT92" s="79">
        <v>8386</v>
      </c>
      <c r="AU92" s="79">
        <v>14175</v>
      </c>
      <c r="AV92" s="79">
        <v>126411</v>
      </c>
      <c r="AW92" s="79">
        <v>35326</v>
      </c>
      <c r="AX92" s="79">
        <v>28411</v>
      </c>
      <c r="AY92" s="79">
        <v>186265</v>
      </c>
      <c r="AZ92" s="79">
        <v>1282376</v>
      </c>
      <c r="BA92" s="79"/>
      <c r="BB92" s="72"/>
      <c r="BC92" s="72"/>
    </row>
    <row r="93" spans="1:103">
      <c r="A93">
        <v>2010</v>
      </c>
      <c r="B93" s="13">
        <f t="shared" si="148"/>
        <v>4.4718016647188139E-3</v>
      </c>
      <c r="C93" s="13">
        <f t="shared" si="149"/>
        <v>3.4144988155957234E-2</v>
      </c>
      <c r="D93" s="13">
        <f t="shared" si="150"/>
        <v>0</v>
      </c>
      <c r="E93" s="13">
        <f t="shared" si="151"/>
        <v>0</v>
      </c>
      <c r="F93" s="13">
        <f t="shared" ref="F93:F100" si="168">F51/AI51*100</f>
        <v>8.6873356180760357E-3</v>
      </c>
      <c r="G93" s="13">
        <f t="shared" si="152"/>
        <v>0</v>
      </c>
      <c r="H93" s="13">
        <f t="shared" si="153"/>
        <v>0</v>
      </c>
      <c r="I93" s="13">
        <f t="shared" si="154"/>
        <v>8.6240508437725946E-3</v>
      </c>
      <c r="J93" s="13">
        <f t="shared" si="155"/>
        <v>4.8648442033643879E-3</v>
      </c>
      <c r="K93" s="13">
        <f t="shared" si="156"/>
        <v>1.4871794871794871E-2</v>
      </c>
      <c r="L93" s="13">
        <f t="shared" si="157"/>
        <v>2.0365216210712106E-2</v>
      </c>
      <c r="M93" s="13">
        <f t="shared" si="158"/>
        <v>2.0331649872723872E-3</v>
      </c>
      <c r="N93" s="13">
        <f t="shared" si="159"/>
        <v>5.7929724596391265E-2</v>
      </c>
      <c r="O93" s="13">
        <f t="shared" ref="O93:O100" si="169">O51/AR51*100</f>
        <v>4.9261083743842356E-3</v>
      </c>
      <c r="P93" s="13">
        <f t="shared" si="160"/>
        <v>2.4841583154094411E-2</v>
      </c>
      <c r="Q93" s="13">
        <f t="shared" si="161"/>
        <v>0</v>
      </c>
      <c r="R93" s="13">
        <f t="shared" si="162"/>
        <v>0.30527419885091661</v>
      </c>
      <c r="S93" s="13">
        <f t="shared" si="163"/>
        <v>7.4346792139609015E-3</v>
      </c>
      <c r="T93" s="13">
        <f t="shared" si="164"/>
        <v>2.0776126845179765E-2</v>
      </c>
      <c r="U93" s="13">
        <f t="shared" ref="U93:U100" si="170">U51/AX51*100</f>
        <v>4.1470412714895974E-2</v>
      </c>
      <c r="V93" s="13">
        <f t="shared" si="165"/>
        <v>1.2839290599565243E-2</v>
      </c>
      <c r="W93" s="13">
        <f t="shared" si="166"/>
        <v>1.2496929588413098E-2</v>
      </c>
      <c r="X93" s="13">
        <f t="shared" ref="X93:X100" si="171">X51/BA51*100</f>
        <v>1.4700472362928204E-4</v>
      </c>
      <c r="Y93" s="13">
        <f t="shared" si="167"/>
        <v>1.4321322001514472E-2</v>
      </c>
      <c r="AC93" s="13"/>
      <c r="AD93" s="254">
        <v>42887</v>
      </c>
      <c r="AE93" s="79">
        <v>102039</v>
      </c>
      <c r="AF93" s="79">
        <v>35562</v>
      </c>
      <c r="AG93" s="79">
        <v>55119</v>
      </c>
      <c r="AH93" s="79">
        <v>203486</v>
      </c>
      <c r="AI93" s="79">
        <v>183.18</v>
      </c>
      <c r="AJ93" s="79">
        <v>23965</v>
      </c>
      <c r="AK93" s="79">
        <v>10860</v>
      </c>
      <c r="AL93" s="79">
        <v>230940</v>
      </c>
      <c r="AM93" s="79">
        <v>327693</v>
      </c>
      <c r="AN93" s="79">
        <v>199036</v>
      </c>
      <c r="AO93" s="79">
        <v>1400</v>
      </c>
      <c r="AP93" s="79">
        <v>188363</v>
      </c>
      <c r="AQ93" s="79">
        <v>274000</v>
      </c>
      <c r="AR93" s="79">
        <v>163597</v>
      </c>
      <c r="AS93" s="79">
        <v>41309</v>
      </c>
      <c r="AT93" s="79">
        <v>10181</v>
      </c>
      <c r="AU93" s="79">
        <v>14228</v>
      </c>
      <c r="AV93" s="79">
        <v>131797</v>
      </c>
      <c r="AW93" s="79">
        <v>38324</v>
      </c>
      <c r="AX93" s="79">
        <v>31923</v>
      </c>
      <c r="AY93" s="79">
        <v>243454</v>
      </c>
      <c r="AZ93" s="79">
        <v>1474041</v>
      </c>
      <c r="BA93" s="79"/>
      <c r="BB93" s="94"/>
      <c r="BC93" s="94"/>
      <c r="CG93" t="s">
        <v>537</v>
      </c>
    </row>
    <row r="94" spans="1:103">
      <c r="A94">
        <v>2011</v>
      </c>
      <c r="B94" s="13">
        <f t="shared" si="148"/>
        <v>1.8420561329267532E-2</v>
      </c>
      <c r="C94" s="13">
        <f t="shared" si="149"/>
        <v>0.17717552450694102</v>
      </c>
      <c r="D94" s="13">
        <f t="shared" si="150"/>
        <v>5.0331260081543636E-2</v>
      </c>
      <c r="E94" s="13">
        <f t="shared" si="151"/>
        <v>3.1837916063675829E-2</v>
      </c>
      <c r="F94" s="13">
        <f t="shared" si="168"/>
        <v>3.4684191310697332E-2</v>
      </c>
      <c r="G94" s="13">
        <f t="shared" si="152"/>
        <v>0.24410615971013125</v>
      </c>
      <c r="H94" s="13">
        <f t="shared" si="153"/>
        <v>2.2985043869730284E-2</v>
      </c>
      <c r="I94" s="13">
        <f t="shared" si="154"/>
        <v>0.12170291531698287</v>
      </c>
      <c r="J94" s="13">
        <f t="shared" si="155"/>
        <v>4.4108380592312535E-2</v>
      </c>
      <c r="K94" s="13">
        <f t="shared" si="156"/>
        <v>1.6288782816229117E-2</v>
      </c>
      <c r="L94" s="13">
        <f t="shared" si="157"/>
        <v>5.117024116757142E-2</v>
      </c>
      <c r="M94" s="13">
        <f t="shared" si="158"/>
        <v>6.7087579107437028E-3</v>
      </c>
      <c r="N94" s="13">
        <f t="shared" si="159"/>
        <v>0.35773049645390065</v>
      </c>
      <c r="O94" s="13">
        <f t="shared" si="169"/>
        <v>2.2295623451692819E-2</v>
      </c>
      <c r="P94" s="13">
        <f t="shared" si="160"/>
        <v>0.15469935260119766</v>
      </c>
      <c r="Q94" s="13">
        <f t="shared" si="161"/>
        <v>0</v>
      </c>
      <c r="R94" s="13">
        <f t="shared" si="162"/>
        <v>1.3300083125519535</v>
      </c>
      <c r="S94" s="13">
        <f t="shared" si="163"/>
        <v>7.0291983991248141E-2</v>
      </c>
      <c r="T94" s="13">
        <f t="shared" si="164"/>
        <v>6.0003344448706981E-2</v>
      </c>
      <c r="U94" s="13">
        <f t="shared" si="170"/>
        <v>0.12135811315576835</v>
      </c>
      <c r="V94" s="13">
        <f t="shared" si="165"/>
        <v>6.246434757021431E-2</v>
      </c>
      <c r="W94" s="13">
        <f t="shared" si="166"/>
        <v>9.249677542010612E-2</v>
      </c>
      <c r="X94" s="13">
        <f t="shared" si="171"/>
        <v>1.5046349755549304E-2</v>
      </c>
      <c r="Y94" s="13">
        <f t="shared" si="167"/>
        <v>8.0906679848661303E-2</v>
      </c>
      <c r="AB94" s="13"/>
      <c r="AC94" s="13"/>
      <c r="AD94" s="254">
        <v>42917</v>
      </c>
      <c r="AE94" s="79">
        <v>76771</v>
      </c>
      <c r="AF94" s="79">
        <v>27801</v>
      </c>
      <c r="AG94" s="79">
        <v>36627</v>
      </c>
      <c r="AH94" s="79">
        <v>181831</v>
      </c>
      <c r="AI94" s="79">
        <v>167.84</v>
      </c>
      <c r="AJ94" s="79">
        <v>15208</v>
      </c>
      <c r="AK94" s="79">
        <v>8848</v>
      </c>
      <c r="AL94" s="79">
        <v>147519</v>
      </c>
      <c r="AM94" s="79">
        <v>283080</v>
      </c>
      <c r="AN94" s="79">
        <v>299066</v>
      </c>
      <c r="AO94" s="79">
        <v>27707</v>
      </c>
      <c r="AP94" s="79">
        <v>145942</v>
      </c>
      <c r="AQ94" s="79">
        <v>241127</v>
      </c>
      <c r="AR94" s="79">
        <v>148239</v>
      </c>
      <c r="AS94" s="79">
        <v>32735</v>
      </c>
      <c r="AT94" s="79">
        <v>7605</v>
      </c>
      <c r="AU94" s="79">
        <v>11476</v>
      </c>
      <c r="AV94" s="79">
        <v>109947</v>
      </c>
      <c r="AW94" s="79">
        <v>24722</v>
      </c>
      <c r="AX94" s="79">
        <v>24885</v>
      </c>
      <c r="AY94" s="79">
        <v>161997</v>
      </c>
      <c r="AZ94" s="79">
        <v>1415139</v>
      </c>
      <c r="BA94" s="79"/>
      <c r="BB94" s="94"/>
      <c r="BC94" s="94"/>
      <c r="BF94" s="98"/>
      <c r="CG94" t="s">
        <v>342</v>
      </c>
    </row>
    <row r="95" spans="1:103">
      <c r="A95">
        <v>2012</v>
      </c>
      <c r="B95" s="13">
        <f t="shared" si="148"/>
        <v>1.4727874201296055E-2</v>
      </c>
      <c r="C95" s="13">
        <f t="shared" si="149"/>
        <v>0.12707955120383321</v>
      </c>
      <c r="D95" s="13">
        <f t="shared" si="150"/>
        <v>0.12018835672726078</v>
      </c>
      <c r="E95" s="13">
        <f t="shared" si="151"/>
        <v>8.4699453551912565E-2</v>
      </c>
      <c r="F95" s="13">
        <f t="shared" si="168"/>
        <v>6.3217260148206444E-2</v>
      </c>
      <c r="G95" s="13">
        <f t="shared" si="152"/>
        <v>0.27578857380418426</v>
      </c>
      <c r="H95" s="13">
        <f t="shared" si="153"/>
        <v>4.5825396254897025E-2</v>
      </c>
      <c r="I95" s="13">
        <f t="shared" si="154"/>
        <v>0.30421537158348944</v>
      </c>
      <c r="J95" s="13">
        <f t="shared" si="155"/>
        <v>7.1698495175113036E-2</v>
      </c>
      <c r="K95" s="13">
        <f t="shared" si="156"/>
        <v>1.0865628395508873E-2</v>
      </c>
      <c r="L95" s="13">
        <f t="shared" si="157"/>
        <v>0.17484716596643943</v>
      </c>
      <c r="M95" s="13">
        <f t="shared" si="158"/>
        <v>3.6315996444327293E-2</v>
      </c>
      <c r="N95" s="13">
        <f t="shared" si="159"/>
        <v>0.29461942257217849</v>
      </c>
      <c r="O95" s="13">
        <f t="shared" si="169"/>
        <v>4.336734693877551E-2</v>
      </c>
      <c r="P95" s="13">
        <f t="shared" si="160"/>
        <v>0.15720110398952525</v>
      </c>
      <c r="Q95" s="13">
        <f t="shared" si="161"/>
        <v>0</v>
      </c>
      <c r="R95" s="13">
        <f t="shared" si="162"/>
        <v>3.2664671360585151</v>
      </c>
      <c r="S95" s="13">
        <f t="shared" si="163"/>
        <v>6.3322893870543989E-2</v>
      </c>
      <c r="T95" s="13">
        <f t="shared" si="164"/>
        <v>0.10718305078690224</v>
      </c>
      <c r="U95" s="13">
        <f t="shared" si="170"/>
        <v>0.13860408028858387</v>
      </c>
      <c r="V95" s="13">
        <f t="shared" si="165"/>
        <v>8.3824104675228162E-2</v>
      </c>
      <c r="W95" s="13">
        <f t="shared" si="166"/>
        <v>0.12169315465621684</v>
      </c>
      <c r="X95" s="13">
        <f t="shared" si="171"/>
        <v>3.3211308918715418E-2</v>
      </c>
      <c r="Y95" s="13">
        <f t="shared" si="167"/>
        <v>0.11235312601225401</v>
      </c>
      <c r="AA95" s="13">
        <f t="shared" ref="AA95:AA100" si="172">Y95+Y108</f>
        <v>0.2352243559292132</v>
      </c>
      <c r="AB95" s="13">
        <f t="shared" ref="AB95:AB100" si="173">Y95/AA95</f>
        <v>0.47764240045815998</v>
      </c>
      <c r="AC95" s="13"/>
      <c r="AD95" s="254">
        <v>42948</v>
      </c>
      <c r="AE95" s="79">
        <v>73851</v>
      </c>
      <c r="AF95" s="79">
        <v>26102</v>
      </c>
      <c r="AG95" s="79">
        <v>35517</v>
      </c>
      <c r="AH95" s="79">
        <v>183945</v>
      </c>
      <c r="AI95" s="79">
        <v>187.52</v>
      </c>
      <c r="AJ95" s="79">
        <v>15313</v>
      </c>
      <c r="AK95" s="79">
        <v>9669</v>
      </c>
      <c r="AL95" s="79">
        <v>107455</v>
      </c>
      <c r="AM95" s="79">
        <v>253679</v>
      </c>
      <c r="AN95" s="79">
        <v>294416</v>
      </c>
      <c r="AO95" s="79">
        <v>5729</v>
      </c>
      <c r="AP95" s="79">
        <v>83638</v>
      </c>
      <c r="AQ95" s="79">
        <v>196169</v>
      </c>
      <c r="AR95" s="79">
        <v>154158</v>
      </c>
      <c r="AS95" s="79">
        <v>29584</v>
      </c>
      <c r="AT95" s="79">
        <v>8606</v>
      </c>
      <c r="AU95" s="79">
        <v>13415</v>
      </c>
      <c r="AV95" s="79">
        <v>72410</v>
      </c>
      <c r="AW95" s="79">
        <v>29915</v>
      </c>
      <c r="AX95" s="79">
        <v>23160</v>
      </c>
      <c r="AY95" s="79">
        <v>76433</v>
      </c>
      <c r="AZ95" s="79">
        <v>1483331</v>
      </c>
      <c r="BA95" s="79"/>
      <c r="BB95" s="94"/>
      <c r="BC95" s="94"/>
    </row>
    <row r="96" spans="1:103">
      <c r="A96">
        <v>2013</v>
      </c>
      <c r="B96" s="13">
        <f t="shared" si="148"/>
        <v>2.3000894479229747E-2</v>
      </c>
      <c r="C96" s="13">
        <f t="shared" si="149"/>
        <v>0.20499318256617613</v>
      </c>
      <c r="D96" s="13">
        <f t="shared" si="150"/>
        <v>0.10163249771121147</v>
      </c>
      <c r="E96" s="13">
        <f t="shared" si="151"/>
        <v>0.21607378129117261</v>
      </c>
      <c r="F96" s="13">
        <f t="shared" si="168"/>
        <v>8.3376134223591844E-2</v>
      </c>
      <c r="G96" s="13">
        <f t="shared" si="152"/>
        <v>0.27417664257737073</v>
      </c>
      <c r="H96" s="13">
        <f t="shared" si="153"/>
        <v>4.8312446252403551E-2</v>
      </c>
      <c r="I96" s="13">
        <f t="shared" si="154"/>
        <v>0.49992854096595529</v>
      </c>
      <c r="J96" s="13">
        <f t="shared" si="155"/>
        <v>0.17986239002905233</v>
      </c>
      <c r="K96" s="13">
        <f t="shared" si="156"/>
        <v>1.5903801396431341E-2</v>
      </c>
      <c r="L96" s="13">
        <f t="shared" si="157"/>
        <v>6.3200075302217371E-2</v>
      </c>
      <c r="M96" s="13">
        <f t="shared" si="158"/>
        <v>6.4971602125099878E-2</v>
      </c>
      <c r="N96" s="13">
        <f t="shared" si="159"/>
        <v>0.32354230600613765</v>
      </c>
      <c r="O96" s="13">
        <f t="shared" si="169"/>
        <v>5.277044854881266E-2</v>
      </c>
      <c r="P96" s="13">
        <f t="shared" si="160"/>
        <v>0.53953729281767959</v>
      </c>
      <c r="Q96" s="13">
        <f t="shared" si="161"/>
        <v>5.3475935828877011E-3</v>
      </c>
      <c r="R96" s="13">
        <f t="shared" si="162"/>
        <v>5.7685137635331429</v>
      </c>
      <c r="S96" s="13">
        <f t="shared" si="163"/>
        <v>0.12743824226549497</v>
      </c>
      <c r="T96" s="13">
        <f t="shared" si="164"/>
        <v>0.16471775390277199</v>
      </c>
      <c r="U96" s="13">
        <f t="shared" si="170"/>
        <v>0.3660921369775797</v>
      </c>
      <c r="V96" s="13">
        <f t="shared" si="165"/>
        <v>0.11833603636978599</v>
      </c>
      <c r="W96" s="13">
        <f t="shared" si="166"/>
        <v>0.38667543530986448</v>
      </c>
      <c r="X96" s="13">
        <f t="shared" si="171"/>
        <v>2.3946661961357658E-2</v>
      </c>
      <c r="Y96" s="13">
        <f t="shared" si="167"/>
        <v>0.20861573121263374</v>
      </c>
      <c r="AA96" s="13">
        <f t="shared" si="172"/>
        <v>0.38403986642724675</v>
      </c>
      <c r="AB96" s="13">
        <f t="shared" si="173"/>
        <v>0.54321373755647395</v>
      </c>
      <c r="AC96" s="13" t="s">
        <v>139</v>
      </c>
      <c r="AD96" s="254">
        <v>42979</v>
      </c>
      <c r="AE96" s="79">
        <v>77150</v>
      </c>
      <c r="AF96" s="79">
        <v>29622</v>
      </c>
      <c r="AG96" s="79">
        <v>40895</v>
      </c>
      <c r="AH96" s="79">
        <v>186837</v>
      </c>
      <c r="AI96" s="79">
        <v>234.26</v>
      </c>
      <c r="AJ96" s="79">
        <v>14371</v>
      </c>
      <c r="AK96" s="79">
        <v>9116</v>
      </c>
      <c r="AL96" s="79">
        <v>170652</v>
      </c>
      <c r="AM96" s="79">
        <v>288035</v>
      </c>
      <c r="AN96" s="79">
        <v>310041</v>
      </c>
      <c r="AO96" s="79">
        <v>3897</v>
      </c>
      <c r="AP96" s="79">
        <v>167469</v>
      </c>
      <c r="AQ96" s="79">
        <v>276049</v>
      </c>
      <c r="AR96" s="79">
        <v>153785</v>
      </c>
      <c r="AS96" s="79">
        <v>35964</v>
      </c>
      <c r="AT96" s="79">
        <v>9855</v>
      </c>
      <c r="AU96" s="79">
        <v>13484</v>
      </c>
      <c r="AV96" s="79">
        <v>83291</v>
      </c>
      <c r="AW96" s="79">
        <v>31672</v>
      </c>
      <c r="AX96" s="79">
        <v>24520</v>
      </c>
      <c r="AY96" s="79">
        <v>426170</v>
      </c>
      <c r="AZ96" s="79">
        <v>1523867</v>
      </c>
      <c r="BA96" s="79"/>
      <c r="BB96" s="94"/>
      <c r="BC96" s="94"/>
    </row>
    <row r="97" spans="1:55">
      <c r="A97">
        <v>2014</v>
      </c>
      <c r="B97" s="13">
        <f t="shared" si="148"/>
        <v>2.036316574825018E-2</v>
      </c>
      <c r="C97" s="13">
        <f t="shared" si="149"/>
        <v>0.41903217085698835</v>
      </c>
      <c r="D97" s="13">
        <f t="shared" si="150"/>
        <v>0.24205955617583172</v>
      </c>
      <c r="E97" s="13">
        <f t="shared" si="151"/>
        <v>0.35111662531017374</v>
      </c>
      <c r="F97" s="13">
        <f t="shared" si="168"/>
        <v>0.2525429854907833</v>
      </c>
      <c r="G97" s="13">
        <f t="shared" si="152"/>
        <v>0.81081938773351381</v>
      </c>
      <c r="H97" s="13">
        <f t="shared" si="153"/>
        <v>0.17406686049246808</v>
      </c>
      <c r="I97" s="13">
        <f t="shared" si="154"/>
        <v>0.59878950481184301</v>
      </c>
      <c r="J97" s="13">
        <f t="shared" si="155"/>
        <v>0.27497596841761041</v>
      </c>
      <c r="K97" s="13">
        <f t="shared" si="156"/>
        <v>2.5262339681305871E-2</v>
      </c>
      <c r="L97" s="13">
        <f t="shared" si="157"/>
        <v>0.23042431287885082</v>
      </c>
      <c r="M97" s="13">
        <f t="shared" si="158"/>
        <v>7.841266506777772E-2</v>
      </c>
      <c r="N97" s="13">
        <f t="shared" si="159"/>
        <v>0.34276595744680849</v>
      </c>
      <c r="O97" s="13">
        <f t="shared" si="169"/>
        <v>0.11490898107942263</v>
      </c>
      <c r="P97" s="13">
        <f t="shared" si="160"/>
        <v>0.68587636176110367</v>
      </c>
      <c r="Q97" s="13">
        <f t="shared" si="161"/>
        <v>1.7699115044247787E-2</v>
      </c>
      <c r="R97" s="13">
        <f t="shared" si="162"/>
        <v>12.544902289843415</v>
      </c>
      <c r="S97" s="13">
        <f t="shared" si="163"/>
        <v>0.12100904001833257</v>
      </c>
      <c r="T97" s="13">
        <f t="shared" si="164"/>
        <v>0.39579398972185847</v>
      </c>
      <c r="U97" s="13">
        <f t="shared" si="170"/>
        <v>0.42796761755859714</v>
      </c>
      <c r="V97" s="13">
        <f t="shared" si="165"/>
        <v>0.2749920753017947</v>
      </c>
      <c r="W97" s="13">
        <f t="shared" si="166"/>
        <v>0.48774789140556996</v>
      </c>
      <c r="X97" s="13">
        <f t="shared" si="171"/>
        <v>5.8361157577118433E-2</v>
      </c>
      <c r="Y97" s="13">
        <f t="shared" si="167"/>
        <v>0.33143325566703208</v>
      </c>
      <c r="AA97" s="13">
        <f t="shared" si="172"/>
        <v>0.57247293705754387</v>
      </c>
      <c r="AB97" s="13">
        <f t="shared" si="173"/>
        <v>0.57895008517008206</v>
      </c>
      <c r="AC97" s="13"/>
      <c r="AD97" s="254">
        <v>43009</v>
      </c>
      <c r="AE97" s="79">
        <v>73267</v>
      </c>
      <c r="AF97" s="79">
        <v>28321</v>
      </c>
      <c r="AG97" s="79">
        <v>43500</v>
      </c>
      <c r="AH97" s="79">
        <v>164214</v>
      </c>
      <c r="AI97" s="79">
        <v>235.25</v>
      </c>
      <c r="AJ97" s="79">
        <v>18562</v>
      </c>
      <c r="AK97" s="79">
        <v>8747</v>
      </c>
      <c r="AL97" s="79">
        <v>176496</v>
      </c>
      <c r="AM97" s="79">
        <v>272855</v>
      </c>
      <c r="AN97" s="79">
        <v>280000</v>
      </c>
      <c r="AO97" s="79">
        <v>1943</v>
      </c>
      <c r="AP97" s="79">
        <v>158417</v>
      </c>
      <c r="AQ97" s="79">
        <v>200547</v>
      </c>
      <c r="AR97" s="79">
        <v>129562</v>
      </c>
      <c r="AS97" s="79">
        <v>37130</v>
      </c>
      <c r="AT97" s="79">
        <v>11109</v>
      </c>
      <c r="AU97" s="79">
        <v>12472</v>
      </c>
      <c r="AV97" s="79">
        <v>94676</v>
      </c>
      <c r="AW97" s="79">
        <v>32112</v>
      </c>
      <c r="AX97" s="79">
        <v>24724</v>
      </c>
      <c r="AY97" s="79">
        <v>158192</v>
      </c>
      <c r="AZ97" s="79">
        <v>1354975</v>
      </c>
      <c r="BA97" s="79"/>
      <c r="BB97" s="94"/>
      <c r="BC97" s="94"/>
    </row>
    <row r="98" spans="1:55">
      <c r="A98">
        <v>2015</v>
      </c>
      <c r="B98" s="13">
        <f t="shared" si="148"/>
        <v>6.0487754205467925E-2</v>
      </c>
      <c r="C98" s="13">
        <f t="shared" si="149"/>
        <v>0.54350115862650095</v>
      </c>
      <c r="D98" s="13">
        <f t="shared" si="150"/>
        <v>0.27102218071072481</v>
      </c>
      <c r="E98" s="13">
        <f t="shared" si="151"/>
        <v>0.51206738240328287</v>
      </c>
      <c r="F98" s="13">
        <f t="shared" si="168"/>
        <v>0.69197755034664898</v>
      </c>
      <c r="G98" s="13">
        <f t="shared" si="152"/>
        <v>2.1814078856641386</v>
      </c>
      <c r="H98" s="13">
        <f t="shared" si="153"/>
        <v>0.22232634199671103</v>
      </c>
      <c r="I98" s="13">
        <f t="shared" si="154"/>
        <v>0.9159043853098906</v>
      </c>
      <c r="J98" s="13">
        <f t="shared" si="155"/>
        <v>0.37680303214148581</v>
      </c>
      <c r="K98" s="13">
        <f t="shared" si="156"/>
        <v>3.025302530253025E-2</v>
      </c>
      <c r="L98" s="13">
        <f t="shared" si="157"/>
        <v>0.36816199127616156</v>
      </c>
      <c r="M98" s="13">
        <f t="shared" si="158"/>
        <v>9.1625747655997417E-2</v>
      </c>
      <c r="N98" s="13">
        <f t="shared" si="159"/>
        <v>0.24833965844402278</v>
      </c>
      <c r="O98" s="13">
        <f t="shared" si="169"/>
        <v>0.22307104660045837</v>
      </c>
      <c r="P98" s="13">
        <f t="shared" si="160"/>
        <v>0.56146493717782087</v>
      </c>
      <c r="Q98" s="13">
        <f t="shared" si="161"/>
        <v>2.7309236947791166E-2</v>
      </c>
      <c r="R98" s="13">
        <f t="shared" si="162"/>
        <v>18.442323772613246</v>
      </c>
      <c r="S98" s="13">
        <f t="shared" si="163"/>
        <v>0.13749332838279998</v>
      </c>
      <c r="T98" s="13">
        <f t="shared" si="164"/>
        <v>0.86292327574716188</v>
      </c>
      <c r="U98" s="13">
        <f t="shared" si="170"/>
        <v>0.94668305730752844</v>
      </c>
      <c r="V98" s="13">
        <f t="shared" si="165"/>
        <v>0.38351959348441977</v>
      </c>
      <c r="W98" s="13">
        <f t="shared" si="166"/>
        <v>0.52144466891456498</v>
      </c>
      <c r="X98" s="13">
        <f t="shared" si="171"/>
        <v>6.8630270191884044E-2</v>
      </c>
      <c r="Y98" s="13">
        <f t="shared" si="167"/>
        <v>0.53171664809873675</v>
      </c>
      <c r="AA98" s="13">
        <f t="shared" si="172"/>
        <v>0.90247796151091442</v>
      </c>
      <c r="AB98" s="13">
        <f t="shared" si="173"/>
        <v>0.58917410815056925</v>
      </c>
      <c r="AC98" s="13"/>
      <c r="AD98" s="254">
        <v>43040</v>
      </c>
      <c r="AE98" s="79">
        <v>77677</v>
      </c>
      <c r="AF98" s="79">
        <v>29612</v>
      </c>
      <c r="AG98" s="79">
        <v>39645</v>
      </c>
      <c r="AH98" s="79">
        <v>158653</v>
      </c>
      <c r="AI98" s="79">
        <v>258.95</v>
      </c>
      <c r="AJ98" s="79">
        <v>18051</v>
      </c>
      <c r="AK98" s="79">
        <v>9668</v>
      </c>
      <c r="AL98" s="79">
        <v>180012</v>
      </c>
      <c r="AM98" s="79">
        <v>302636</v>
      </c>
      <c r="AN98" s="79">
        <v>280000</v>
      </c>
      <c r="AO98" s="79">
        <v>687</v>
      </c>
      <c r="AP98" s="79">
        <v>156332</v>
      </c>
      <c r="AQ98" s="79">
        <v>222938</v>
      </c>
      <c r="AR98" s="79">
        <v>162608</v>
      </c>
      <c r="AS98" s="79">
        <v>37713</v>
      </c>
      <c r="AT98" s="79">
        <v>10289</v>
      </c>
      <c r="AU98" s="79">
        <v>13743</v>
      </c>
      <c r="AV98" s="79">
        <v>104170</v>
      </c>
      <c r="AW98" s="79">
        <v>32484</v>
      </c>
      <c r="AX98" s="79">
        <v>26749</v>
      </c>
      <c r="AY98" s="79">
        <v>163541</v>
      </c>
      <c r="AZ98" s="79">
        <v>1393010</v>
      </c>
      <c r="BA98" s="79"/>
      <c r="BB98" s="94"/>
      <c r="BC98" s="94"/>
    </row>
    <row r="99" spans="1:55">
      <c r="A99">
        <v>2016</v>
      </c>
      <c r="B99" s="13">
        <f t="shared" si="148"/>
        <v>9.7058062289707536E-2</v>
      </c>
      <c r="C99" s="13">
        <f t="shared" si="149"/>
        <v>1.1607868836543247</v>
      </c>
      <c r="D99" s="13">
        <f t="shared" si="150"/>
        <v>0.38070948381799341</v>
      </c>
      <c r="E99" s="13">
        <f t="shared" si="151"/>
        <v>0.58726641376633981</v>
      </c>
      <c r="F99" s="13">
        <f t="shared" si="168"/>
        <v>1.0478869047619048</v>
      </c>
      <c r="G99" s="13">
        <f t="shared" si="152"/>
        <v>0.58796640704125624</v>
      </c>
      <c r="H99" s="13">
        <f t="shared" si="153"/>
        <v>0.18733356294995757</v>
      </c>
      <c r="I99" s="13">
        <f t="shared" si="154"/>
        <v>1.0965207445170182</v>
      </c>
      <c r="J99" s="13">
        <f t="shared" si="155"/>
        <v>0.34044772605684254</v>
      </c>
      <c r="K99" s="13">
        <f t="shared" si="156"/>
        <v>4.991166077738516E-2</v>
      </c>
      <c r="L99" s="13">
        <f t="shared" si="157"/>
        <v>0.26739427012278311</v>
      </c>
      <c r="M99" s="13">
        <f t="shared" si="158"/>
        <v>7.4667331822273308E-2</v>
      </c>
      <c r="N99" s="13">
        <f t="shared" si="159"/>
        <v>0.37288953207911241</v>
      </c>
      <c r="O99" s="13">
        <f t="shared" si="169"/>
        <v>0.38490566037735846</v>
      </c>
      <c r="P99" s="13">
        <f t="shared" si="160"/>
        <v>1.1094416919245746</v>
      </c>
      <c r="Q99" s="13">
        <f t="shared" si="161"/>
        <v>0.1490272373540856</v>
      </c>
      <c r="R99" s="13">
        <f t="shared" si="162"/>
        <v>15.667225086188497</v>
      </c>
      <c r="S99" s="13">
        <f t="shared" si="163"/>
        <v>0.17480276929434604</v>
      </c>
      <c r="T99" s="13">
        <f t="shared" si="164"/>
        <v>0.79099049737052729</v>
      </c>
      <c r="U99" s="13">
        <f t="shared" si="170"/>
        <v>1.0384003277500276</v>
      </c>
      <c r="V99" s="13">
        <f t="shared" si="165"/>
        <v>0.3811665687507288</v>
      </c>
      <c r="W99" s="13">
        <f t="shared" si="166"/>
        <v>0.62651373172469627</v>
      </c>
      <c r="X99" s="13">
        <f t="shared" si="171"/>
        <v>6.4096531286989472E-2</v>
      </c>
      <c r="Y99" s="13">
        <f t="shared" si="167"/>
        <v>0.70056548793611539</v>
      </c>
      <c r="AA99" s="13">
        <f t="shared" si="172"/>
        <v>1.1362386310898671</v>
      </c>
      <c r="AB99" s="13">
        <f t="shared" si="173"/>
        <v>0.61656545444519961</v>
      </c>
      <c r="AC99" s="13"/>
      <c r="AD99" s="254">
        <v>43070</v>
      </c>
      <c r="AE99" s="79">
        <v>77177</v>
      </c>
      <c r="AF99" s="79">
        <v>25651</v>
      </c>
      <c r="AG99" s="79">
        <v>28072</v>
      </c>
      <c r="AH99" s="79">
        <v>164214</v>
      </c>
      <c r="AI99" s="79">
        <v>265.33</v>
      </c>
      <c r="AJ99" s="79">
        <v>16516</v>
      </c>
      <c r="AK99" s="79">
        <v>8068</v>
      </c>
      <c r="AL99" s="79">
        <v>193375</v>
      </c>
      <c r="AM99" s="79">
        <v>253950</v>
      </c>
      <c r="AN99" s="79">
        <v>269712</v>
      </c>
      <c r="AO99" s="79">
        <v>160</v>
      </c>
      <c r="AP99" s="79">
        <v>121100</v>
      </c>
      <c r="AQ99" s="79">
        <v>228363</v>
      </c>
      <c r="AR99" s="79">
        <v>173171</v>
      </c>
      <c r="AS99" s="79">
        <v>17528</v>
      </c>
      <c r="AT99" s="79">
        <v>8151</v>
      </c>
      <c r="AU99" s="79">
        <v>16077</v>
      </c>
      <c r="AV99" s="79">
        <v>102943</v>
      </c>
      <c r="AW99" s="79">
        <v>34958</v>
      </c>
      <c r="AX99" s="79">
        <v>31072</v>
      </c>
      <c r="AY99" s="79">
        <v>152473</v>
      </c>
      <c r="AZ99" s="79">
        <v>1603129</v>
      </c>
      <c r="BA99" s="79"/>
      <c r="BB99" s="94"/>
      <c r="BC99" s="94"/>
    </row>
    <row r="100" spans="1:55">
      <c r="A100">
        <v>2017</v>
      </c>
      <c r="B100" s="13">
        <f t="shared" si="148"/>
        <v>0.13996495966870959</v>
      </c>
      <c r="C100" s="13">
        <f t="shared" si="149"/>
        <v>1.5350276180654641</v>
      </c>
      <c r="D100" s="13">
        <f t="shared" si="150"/>
        <v>0.49564730550097158</v>
      </c>
      <c r="E100" s="13">
        <f t="shared" si="151"/>
        <v>1.0855431373245299</v>
      </c>
      <c r="F100" s="13">
        <f t="shared" si="168"/>
        <v>1.6974093264248706</v>
      </c>
      <c r="G100" s="13">
        <f t="shared" si="152"/>
        <v>0.3146723890757287</v>
      </c>
      <c r="H100" s="13">
        <f t="shared" si="153"/>
        <v>0.42351075227995583</v>
      </c>
      <c r="I100" s="13">
        <f t="shared" si="154"/>
        <v>1.1817528735632183</v>
      </c>
      <c r="J100" s="13">
        <f t="shared" si="155"/>
        <v>0.72810519167247123</v>
      </c>
      <c r="K100" s="13">
        <f t="shared" si="156"/>
        <v>6.7796610169491525E-2</v>
      </c>
      <c r="L100" s="13">
        <f t="shared" si="157"/>
        <v>0.47358723294096156</v>
      </c>
      <c r="M100" s="13">
        <f t="shared" si="158"/>
        <v>9.9837529267318426E-2</v>
      </c>
      <c r="N100" s="13">
        <f t="shared" si="159"/>
        <v>0.49738100660441809</v>
      </c>
      <c r="O100" s="13">
        <f t="shared" si="169"/>
        <v>0.88839354871628096</v>
      </c>
      <c r="P100" s="13">
        <f t="shared" si="160"/>
        <v>2.3650949550854201</v>
      </c>
      <c r="Q100" s="13">
        <f t="shared" si="161"/>
        <v>0.2516483516483517</v>
      </c>
      <c r="R100" s="13">
        <f t="shared" si="162"/>
        <v>20.816262212417268</v>
      </c>
      <c r="S100" s="13">
        <f t="shared" si="163"/>
        <v>0.31742664165042417</v>
      </c>
      <c r="T100" s="13">
        <f t="shared" si="164"/>
        <v>1.1115123368116966</v>
      </c>
      <c r="U100" s="13">
        <f t="shared" si="170"/>
        <v>1.5199281592724214</v>
      </c>
      <c r="V100" s="13">
        <f t="shared" si="165"/>
        <v>0.5344511564400678</v>
      </c>
      <c r="W100" s="13">
        <f t="shared" si="166"/>
        <v>0.77975763013143407</v>
      </c>
      <c r="X100" s="13">
        <f t="shared" si="171"/>
        <v>0.14102246302733432</v>
      </c>
      <c r="Y100" s="13">
        <f t="shared" si="167"/>
        <v>1.0845968500822225</v>
      </c>
      <c r="AA100" s="13">
        <f t="shared" si="172"/>
        <v>1.6623876973527008</v>
      </c>
      <c r="AB100" s="13">
        <f t="shared" si="173"/>
        <v>0.65243315491892073</v>
      </c>
      <c r="AC100" s="13"/>
      <c r="AD100" s="254">
        <v>43101</v>
      </c>
      <c r="AE100" s="79">
        <v>69475</v>
      </c>
      <c r="AF100" s="79">
        <v>28656</v>
      </c>
      <c r="AG100" s="79">
        <v>56869</v>
      </c>
      <c r="AH100" s="79">
        <v>117281</v>
      </c>
      <c r="AI100" s="79">
        <v>245.62</v>
      </c>
      <c r="AJ100" s="79">
        <v>19917</v>
      </c>
      <c r="AK100" s="79">
        <v>13579</v>
      </c>
      <c r="AL100" s="79">
        <v>156851</v>
      </c>
      <c r="AM100" s="79">
        <v>269429</v>
      </c>
      <c r="AN100" s="79">
        <v>285477</v>
      </c>
      <c r="AO100" s="79">
        <v>37125</v>
      </c>
      <c r="AP100" s="79">
        <v>177822</v>
      </c>
      <c r="AQ100" s="79">
        <v>215058</v>
      </c>
      <c r="AR100" s="79">
        <v>133527</v>
      </c>
      <c r="AS100" s="79">
        <v>59367</v>
      </c>
      <c r="AT100" s="79">
        <v>10798</v>
      </c>
      <c r="AU100" s="79">
        <v>9207</v>
      </c>
      <c r="AV100" s="79">
        <v>101661</v>
      </c>
      <c r="AW100" s="79">
        <v>22980</v>
      </c>
      <c r="AX100" s="79">
        <v>21671</v>
      </c>
      <c r="AY100" s="79">
        <v>163615</v>
      </c>
      <c r="AZ100" s="79">
        <v>1154885</v>
      </c>
      <c r="BA100" s="79"/>
      <c r="BB100" s="94"/>
      <c r="BC100" s="94"/>
    </row>
    <row r="101" spans="1:55">
      <c r="A101">
        <v>2018</v>
      </c>
      <c r="E101" s="84"/>
      <c r="Q101" s="13">
        <f>Q59/AT59*100</f>
        <v>0.30222222222222223</v>
      </c>
      <c r="R101" s="84"/>
      <c r="S101" s="84"/>
      <c r="T101" s="13"/>
      <c r="U101" s="13"/>
      <c r="V101" s="13"/>
      <c r="W101" s="13"/>
      <c r="X101" s="13"/>
      <c r="Y101" s="13"/>
      <c r="Z101" s="13"/>
      <c r="AA101" s="13"/>
      <c r="AB101" s="13"/>
      <c r="AC101" s="13"/>
      <c r="AD101" s="254">
        <v>43132</v>
      </c>
      <c r="AE101" s="79">
        <v>74290</v>
      </c>
      <c r="AF101" s="79">
        <v>26542</v>
      </c>
      <c r="AG101" s="79">
        <v>50257</v>
      </c>
      <c r="AH101" s="79">
        <v>125530</v>
      </c>
      <c r="AI101" s="79">
        <v>147.55000000000001</v>
      </c>
      <c r="AJ101" s="79">
        <v>17278</v>
      </c>
      <c r="AK101" s="79">
        <v>9106</v>
      </c>
      <c r="AL101" s="79">
        <v>168897</v>
      </c>
      <c r="AM101" s="79">
        <v>261749</v>
      </c>
      <c r="AN101" s="79">
        <v>275329</v>
      </c>
      <c r="AO101" s="79">
        <v>17081</v>
      </c>
      <c r="AP101" s="79">
        <v>181734</v>
      </c>
      <c r="AQ101" s="79">
        <v>259780</v>
      </c>
      <c r="AR101" s="79">
        <v>125360</v>
      </c>
      <c r="AS101" s="79">
        <v>35410</v>
      </c>
      <c r="AT101" s="79">
        <v>7415</v>
      </c>
      <c r="AU101" s="79">
        <v>10191</v>
      </c>
      <c r="AV101" s="79">
        <v>110474</v>
      </c>
      <c r="AW101" s="79">
        <v>27211</v>
      </c>
      <c r="AX101" s="79">
        <v>22292</v>
      </c>
      <c r="AY101" s="79">
        <v>80805</v>
      </c>
      <c r="AZ101" s="79">
        <v>1302128</v>
      </c>
      <c r="BA101" s="79"/>
      <c r="BB101" s="94"/>
      <c r="BC101" s="94"/>
    </row>
    <row r="102" spans="1:55">
      <c r="E102" s="84"/>
      <c r="R102" s="84"/>
      <c r="S102" s="84"/>
      <c r="T102" s="13"/>
      <c r="U102" s="13"/>
      <c r="V102" s="13"/>
      <c r="W102" s="13"/>
      <c r="X102" s="13"/>
      <c r="Y102" s="13"/>
      <c r="Z102" s="13"/>
      <c r="AA102" s="13"/>
      <c r="AB102" s="13"/>
      <c r="AC102" s="13"/>
      <c r="AD102" s="254">
        <v>43160</v>
      </c>
      <c r="AE102" s="79">
        <v>81645</v>
      </c>
      <c r="AF102" s="79">
        <v>35517</v>
      </c>
      <c r="AG102" s="79">
        <v>58431</v>
      </c>
      <c r="AH102" s="79">
        <v>186447</v>
      </c>
      <c r="AI102" s="79">
        <v>216.86</v>
      </c>
      <c r="AJ102" s="79">
        <v>19755</v>
      </c>
      <c r="AK102" s="79">
        <v>11721</v>
      </c>
      <c r="AL102" s="79">
        <v>231110</v>
      </c>
      <c r="AM102" s="79">
        <v>347433</v>
      </c>
      <c r="AN102" s="79">
        <v>300722</v>
      </c>
      <c r="AO102" s="79">
        <v>17796</v>
      </c>
      <c r="AP102" s="79">
        <v>213731</v>
      </c>
      <c r="AQ102" s="79">
        <v>378898</v>
      </c>
      <c r="AR102" s="79">
        <v>165834</v>
      </c>
      <c r="AS102" s="79">
        <v>42194</v>
      </c>
      <c r="AT102" s="79">
        <v>9050</v>
      </c>
      <c r="AU102" s="79">
        <v>14401</v>
      </c>
      <c r="AV102" s="79">
        <v>128175</v>
      </c>
      <c r="AW102" s="79">
        <v>37206</v>
      </c>
      <c r="AX102" s="79">
        <v>28126</v>
      </c>
      <c r="AY102" s="79">
        <v>474069</v>
      </c>
      <c r="AZ102" s="79">
        <v>1653529</v>
      </c>
      <c r="BA102" s="79"/>
      <c r="BB102" s="94"/>
      <c r="BC102" s="94"/>
    </row>
    <row r="103" spans="1:55">
      <c r="E103" s="176" t="s">
        <v>817</v>
      </c>
      <c r="F103" s="176"/>
      <c r="G103" s="176"/>
      <c r="H103" s="176"/>
      <c r="R103" s="84"/>
      <c r="S103" s="84"/>
      <c r="T103" s="13"/>
      <c r="U103" s="13"/>
      <c r="V103" s="13"/>
      <c r="W103" s="13"/>
      <c r="X103" s="13"/>
      <c r="Y103" s="13"/>
      <c r="Z103" s="13"/>
      <c r="AA103" s="13"/>
      <c r="AB103" s="13"/>
      <c r="AC103" s="13"/>
      <c r="AD103" s="254">
        <v>43191</v>
      </c>
      <c r="AE103" s="79">
        <v>63692</v>
      </c>
      <c r="AF103" s="79">
        <v>31904</v>
      </c>
      <c r="AG103" s="79">
        <v>54602</v>
      </c>
      <c r="AH103" s="79">
        <v>191856</v>
      </c>
      <c r="AI103" s="79">
        <v>191.44</v>
      </c>
      <c r="AJ103" s="79">
        <v>18718</v>
      </c>
      <c r="AK103" s="79">
        <v>11044</v>
      </c>
      <c r="AL103" s="79">
        <v>187396</v>
      </c>
      <c r="AM103" s="79">
        <v>314055</v>
      </c>
      <c r="AN103" s="79">
        <v>298504</v>
      </c>
      <c r="AO103" s="79">
        <v>8102</v>
      </c>
      <c r="AP103" s="79">
        <v>171379</v>
      </c>
      <c r="AQ103" s="79">
        <v>193585</v>
      </c>
      <c r="AR103" s="79">
        <v>160120</v>
      </c>
      <c r="AS103" s="79">
        <v>34290</v>
      </c>
      <c r="AT103" s="79">
        <v>6848</v>
      </c>
      <c r="AU103" s="79">
        <v>14055</v>
      </c>
      <c r="AV103" s="79">
        <v>113816</v>
      </c>
      <c r="AW103" s="79">
        <v>34215</v>
      </c>
      <c r="AX103" s="79">
        <v>26519</v>
      </c>
      <c r="AY103" s="79">
        <v>167911</v>
      </c>
      <c r="AZ103" s="79">
        <v>1119833</v>
      </c>
      <c r="BA103" s="79"/>
    </row>
    <row r="104" spans="1:55">
      <c r="B104" s="149" t="s">
        <v>255</v>
      </c>
      <c r="C104" s="149" t="s">
        <v>539</v>
      </c>
      <c r="D104" s="149" t="s">
        <v>540</v>
      </c>
      <c r="E104" s="149" t="s">
        <v>238</v>
      </c>
      <c r="F104" s="149" t="s">
        <v>239</v>
      </c>
      <c r="G104" s="149" t="s">
        <v>541</v>
      </c>
      <c r="H104" s="149" t="s">
        <v>542</v>
      </c>
      <c r="I104" s="149" t="s">
        <v>240</v>
      </c>
      <c r="J104" s="149" t="s">
        <v>241</v>
      </c>
      <c r="K104" s="149" t="s">
        <v>242</v>
      </c>
      <c r="L104" s="149" t="s">
        <v>544</v>
      </c>
      <c r="M104" s="7" t="s">
        <v>538</v>
      </c>
      <c r="N104" s="149" t="s">
        <v>243</v>
      </c>
      <c r="O104" s="149" t="s">
        <v>244</v>
      </c>
      <c r="P104" s="149" t="s">
        <v>245</v>
      </c>
      <c r="Q104" s="150" t="s">
        <v>331</v>
      </c>
      <c r="R104" s="149" t="s">
        <v>246</v>
      </c>
      <c r="S104" s="149" t="s">
        <v>545</v>
      </c>
      <c r="T104" s="149" t="s">
        <v>247</v>
      </c>
      <c r="U104" s="149" t="s">
        <v>546</v>
      </c>
      <c r="V104" s="149" t="s">
        <v>248</v>
      </c>
      <c r="W104" s="149" t="s">
        <v>249</v>
      </c>
      <c r="X104" s="149" t="s">
        <v>609</v>
      </c>
      <c r="Y104" s="150" t="s">
        <v>158</v>
      </c>
      <c r="Z104" s="13"/>
      <c r="AA104" s="13" t="s">
        <v>246</v>
      </c>
      <c r="AB104" s="13"/>
      <c r="AC104" s="13"/>
      <c r="AD104" s="254">
        <v>43221</v>
      </c>
      <c r="AE104" s="79">
        <v>75759</v>
      </c>
      <c r="AF104" s="79">
        <v>32631</v>
      </c>
      <c r="AG104" s="79">
        <v>54999</v>
      </c>
      <c r="AH104" s="79">
        <v>215407</v>
      </c>
      <c r="AI104" s="79">
        <v>188.94</v>
      </c>
      <c r="AJ104" s="79">
        <v>22560</v>
      </c>
      <c r="AK104" s="79">
        <v>12482</v>
      </c>
      <c r="AL104" s="79">
        <v>191705</v>
      </c>
      <c r="AM104" s="79">
        <v>305057</v>
      </c>
      <c r="AN104" s="79">
        <v>301258</v>
      </c>
      <c r="AO104" s="79">
        <v>6080</v>
      </c>
      <c r="AP104" s="79">
        <v>199113</v>
      </c>
      <c r="AQ104" s="79">
        <v>202031</v>
      </c>
      <c r="AR104" s="79">
        <v>157133</v>
      </c>
      <c r="AS104" s="79">
        <v>36952</v>
      </c>
      <c r="AT104" s="79">
        <v>9275</v>
      </c>
      <c r="AU104" s="79">
        <v>13046</v>
      </c>
      <c r="AV104" s="79">
        <v>135822</v>
      </c>
      <c r="AW104" s="79">
        <v>37687</v>
      </c>
      <c r="AX104" s="79">
        <v>27826</v>
      </c>
      <c r="AY104" s="79">
        <v>192649</v>
      </c>
      <c r="AZ104" s="79">
        <v>1327071</v>
      </c>
      <c r="BA104" s="79"/>
    </row>
    <row r="105" spans="1:55">
      <c r="A105">
        <v>2009</v>
      </c>
      <c r="B105" s="13">
        <f t="shared" ref="B105:B113" si="174">AE7/AE50*100</f>
        <v>0</v>
      </c>
      <c r="C105" s="13">
        <f t="shared" ref="C105:C113" si="175">AF7/AF50*100</f>
        <v>0</v>
      </c>
      <c r="D105" s="13">
        <f t="shared" ref="D105:D113" si="176">AG7/AG50*100</f>
        <v>0</v>
      </c>
      <c r="E105" s="13">
        <f t="shared" ref="E105:E113" si="177">AH7/AH50*100</f>
        <v>0</v>
      </c>
      <c r="F105" s="13">
        <v>0</v>
      </c>
      <c r="G105" s="13">
        <f t="shared" ref="G105:G113" si="178">AJ7/AJ50*100</f>
        <v>0</v>
      </c>
      <c r="H105" s="13">
        <f t="shared" ref="H105:H113" si="179">AK7/AK50*100</f>
        <v>0</v>
      </c>
      <c r="I105" s="13">
        <f t="shared" ref="I105:I113" si="180">AL7/AL50*100</f>
        <v>0</v>
      </c>
      <c r="J105" s="13">
        <f t="shared" ref="J105:J113" si="181">AM7/AM50*100</f>
        <v>0</v>
      </c>
      <c r="K105" s="13">
        <f t="shared" ref="K105:K113" si="182">AN7/AN50*100</f>
        <v>2.8332260141661299E-2</v>
      </c>
      <c r="L105" s="13">
        <f t="shared" ref="L105:L113" si="183">AO7/AO50*100</f>
        <v>0</v>
      </c>
      <c r="M105" s="13">
        <f t="shared" ref="M105:M113" si="184">AP7/AP50*100</f>
        <v>0</v>
      </c>
      <c r="N105" s="13">
        <f t="shared" ref="N105:N113" si="185">AQ7/AQ50*100</f>
        <v>1.0194348644641052E-4</v>
      </c>
      <c r="O105" s="13">
        <v>0</v>
      </c>
      <c r="P105" s="13">
        <f t="shared" ref="P105:P113" si="186">AS7/AS50*100</f>
        <v>0</v>
      </c>
      <c r="Q105" s="13">
        <f t="shared" ref="Q105:Q114" si="187">AT7/AT50*100</f>
        <v>0</v>
      </c>
      <c r="R105" s="13">
        <f t="shared" ref="R105:R113" si="188">AU7/AU50*100</f>
        <v>4.053711679756781E-3</v>
      </c>
      <c r="S105" s="13">
        <f t="shared" ref="S105:S113" si="189">AV7/AV50*100</f>
        <v>0</v>
      </c>
      <c r="T105" s="13">
        <f t="shared" ref="T105:T113" si="190">AW7/AW50*100</f>
        <v>0</v>
      </c>
      <c r="U105" s="13">
        <v>0</v>
      </c>
      <c r="V105" s="13">
        <f t="shared" ref="V105:V113" si="191">AY7/AY50*100</f>
        <v>0</v>
      </c>
      <c r="W105" s="13">
        <f t="shared" ref="W105:W113" si="192">AZ7/AZ50*100</f>
        <v>0</v>
      </c>
      <c r="X105" s="13">
        <v>0</v>
      </c>
      <c r="Y105" s="13">
        <f t="shared" ref="Y105:Y113" si="193">BB7/BB50*100</f>
        <v>1.0151473904868031E-3</v>
      </c>
      <c r="Z105" s="13"/>
      <c r="AA105">
        <v>0.15201418799087915</v>
      </c>
      <c r="AB105">
        <v>0.15606789967063592</v>
      </c>
      <c r="AC105">
        <f>AB105/2</f>
        <v>7.8033949835317959E-2</v>
      </c>
      <c r="AD105" s="254">
        <v>43252</v>
      </c>
      <c r="AE105" s="79">
        <v>97723</v>
      </c>
      <c r="AF105" s="79">
        <v>38113</v>
      </c>
      <c r="AG105" s="79">
        <v>56211</v>
      </c>
      <c r="AH105" s="79">
        <v>200156</v>
      </c>
      <c r="AI105" s="79">
        <v>187.42</v>
      </c>
      <c r="AJ105" s="79">
        <v>22514</v>
      </c>
      <c r="AK105" s="79">
        <v>11652</v>
      </c>
      <c r="AL105" s="79">
        <v>252222</v>
      </c>
      <c r="AM105" s="79">
        <v>341308</v>
      </c>
      <c r="AN105" s="79">
        <v>273759</v>
      </c>
      <c r="AO105" s="79">
        <v>1255</v>
      </c>
      <c r="AP105" s="79">
        <v>174702</v>
      </c>
      <c r="AQ105" s="79">
        <v>252477</v>
      </c>
      <c r="AR105" s="79">
        <v>155138</v>
      </c>
      <c r="AS105" s="79">
        <v>47117</v>
      </c>
      <c r="AT105" s="79">
        <v>9725</v>
      </c>
      <c r="AU105" s="79">
        <v>15845</v>
      </c>
      <c r="AV105" s="79">
        <v>142376</v>
      </c>
      <c r="AW105" s="79">
        <v>66244</v>
      </c>
      <c r="AX105" s="79">
        <v>31476</v>
      </c>
      <c r="AY105" s="79">
        <v>234945</v>
      </c>
      <c r="AZ105" s="79">
        <v>1576564</v>
      </c>
      <c r="BA105" s="79"/>
    </row>
    <row r="106" spans="1:55">
      <c r="A106">
        <v>2010</v>
      </c>
      <c r="B106" s="13">
        <f t="shared" si="174"/>
        <v>3.6257851335557952E-4</v>
      </c>
      <c r="C106" s="13">
        <f t="shared" si="175"/>
        <v>0</v>
      </c>
      <c r="D106" s="13">
        <f t="shared" si="176"/>
        <v>0</v>
      </c>
      <c r="E106" s="13">
        <f t="shared" si="177"/>
        <v>0</v>
      </c>
      <c r="F106" s="13">
        <f t="shared" ref="F106:F113" si="194">AI8/AI51*100</f>
        <v>2.7098111102255508E-3</v>
      </c>
      <c r="G106" s="13">
        <f t="shared" si="178"/>
        <v>0</v>
      </c>
      <c r="H106" s="13">
        <f t="shared" si="179"/>
        <v>0</v>
      </c>
      <c r="I106" s="13">
        <f t="shared" si="180"/>
        <v>0</v>
      </c>
      <c r="J106" s="13">
        <f t="shared" si="181"/>
        <v>0</v>
      </c>
      <c r="K106" s="13">
        <f t="shared" si="182"/>
        <v>4.5128205128205125E-2</v>
      </c>
      <c r="L106" s="13">
        <f t="shared" si="183"/>
        <v>0</v>
      </c>
      <c r="M106" s="13">
        <f t="shared" si="184"/>
        <v>0</v>
      </c>
      <c r="N106" s="13">
        <f t="shared" si="185"/>
        <v>0</v>
      </c>
      <c r="O106" s="13">
        <f t="shared" ref="O106:O113" si="195">AR8/AR51*100</f>
        <v>0</v>
      </c>
      <c r="P106" s="13">
        <f t="shared" si="186"/>
        <v>0</v>
      </c>
      <c r="Q106" s="13">
        <f t="shared" si="187"/>
        <v>0</v>
      </c>
      <c r="R106" s="13">
        <f t="shared" si="188"/>
        <v>0</v>
      </c>
      <c r="S106" s="13">
        <f t="shared" si="189"/>
        <v>0</v>
      </c>
      <c r="T106" s="13">
        <f t="shared" si="190"/>
        <v>0</v>
      </c>
      <c r="U106" s="13">
        <f t="shared" ref="U106:U113" si="196">AX8/AX51*100</f>
        <v>0</v>
      </c>
      <c r="V106" s="13">
        <f t="shared" si="191"/>
        <v>9.8763773842809642E-4</v>
      </c>
      <c r="W106" s="13">
        <f t="shared" si="192"/>
        <v>0</v>
      </c>
      <c r="X106" s="13">
        <f t="shared" ref="X106:X113" si="197">BA8/BA51*100</f>
        <v>0</v>
      </c>
      <c r="Y106" s="13">
        <f t="shared" si="193"/>
        <v>2.6821460370472336E-3</v>
      </c>
      <c r="Z106" s="13"/>
      <c r="AA106">
        <v>0.30527419885091661</v>
      </c>
      <c r="AB106">
        <v>0.30527419885091661</v>
      </c>
      <c r="AC106">
        <f t="shared" ref="AC106:AC113" si="198">AB106/2</f>
        <v>0.15263709942545831</v>
      </c>
      <c r="AD106" s="254">
        <v>43282</v>
      </c>
      <c r="AE106" s="79">
        <v>65172</v>
      </c>
      <c r="AF106" s="79">
        <v>31552</v>
      </c>
      <c r="AG106" s="79">
        <v>42771</v>
      </c>
      <c r="AH106" s="79">
        <v>175317</v>
      </c>
      <c r="AI106" s="79">
        <v>158.94999999999999</v>
      </c>
      <c r="AJ106" s="79">
        <v>16450</v>
      </c>
      <c r="AK106" s="79">
        <v>9579</v>
      </c>
      <c r="AL106" s="79">
        <v>175396</v>
      </c>
      <c r="AM106" s="79">
        <v>317848</v>
      </c>
      <c r="AN106" s="79">
        <v>290960</v>
      </c>
      <c r="AO106" s="79">
        <v>26944</v>
      </c>
      <c r="AP106" s="79">
        <v>152393</v>
      </c>
      <c r="AQ106" s="79">
        <v>245068</v>
      </c>
      <c r="AR106" s="79">
        <v>154310</v>
      </c>
      <c r="AS106" s="79">
        <v>36263</v>
      </c>
      <c r="AT106" s="79">
        <v>8040</v>
      </c>
      <c r="AU106" s="79">
        <v>9611</v>
      </c>
      <c r="AV106" s="79">
        <v>131176</v>
      </c>
      <c r="AW106" s="79">
        <v>12504</v>
      </c>
      <c r="AX106" s="79">
        <v>25483</v>
      </c>
      <c r="AY106" s="79">
        <v>163898</v>
      </c>
      <c r="AZ106" s="79">
        <v>1370405</v>
      </c>
      <c r="BA106" s="79"/>
    </row>
    <row r="107" spans="1:55">
      <c r="A107">
        <v>2011</v>
      </c>
      <c r="B107" s="13">
        <f t="shared" si="174"/>
        <v>4.9785300889912247E-4</v>
      </c>
      <c r="C107" s="13">
        <f t="shared" si="175"/>
        <v>0</v>
      </c>
      <c r="D107" s="13">
        <f t="shared" si="176"/>
        <v>0</v>
      </c>
      <c r="E107" s="13">
        <f t="shared" si="177"/>
        <v>4.3415340086830685E-2</v>
      </c>
      <c r="F107" s="13">
        <f t="shared" si="194"/>
        <v>2.3366192040890858E-3</v>
      </c>
      <c r="G107" s="13">
        <f t="shared" si="178"/>
        <v>0</v>
      </c>
      <c r="H107" s="13">
        <f t="shared" si="179"/>
        <v>0</v>
      </c>
      <c r="I107" s="13">
        <f t="shared" si="180"/>
        <v>4.6274872744099995E-3</v>
      </c>
      <c r="J107" s="13">
        <f t="shared" si="181"/>
        <v>7.8764965343415243E-3</v>
      </c>
      <c r="K107" s="13">
        <f t="shared" si="182"/>
        <v>5.2903739061256963E-2</v>
      </c>
      <c r="L107" s="13">
        <f t="shared" si="183"/>
        <v>0</v>
      </c>
      <c r="M107" s="13">
        <f t="shared" si="184"/>
        <v>0</v>
      </c>
      <c r="N107" s="13">
        <f t="shared" si="185"/>
        <v>2.8368794326240533E-4</v>
      </c>
      <c r="O107" s="13">
        <f t="shared" si="195"/>
        <v>0</v>
      </c>
      <c r="P107" s="13">
        <f t="shared" si="186"/>
        <v>3.597659362818553E-3</v>
      </c>
      <c r="Q107" s="13">
        <f t="shared" si="187"/>
        <v>0</v>
      </c>
      <c r="R107" s="13">
        <f t="shared" si="188"/>
        <v>0</v>
      </c>
      <c r="S107" s="13">
        <f t="shared" si="189"/>
        <v>9.9002794353870646E-4</v>
      </c>
      <c r="T107" s="13">
        <f t="shared" si="190"/>
        <v>0</v>
      </c>
      <c r="U107" s="13">
        <f t="shared" si="196"/>
        <v>1.1586955527435168E-2</v>
      </c>
      <c r="V107" s="13">
        <f t="shared" si="191"/>
        <v>5.1623427743978823E-4</v>
      </c>
      <c r="W107" s="13">
        <f t="shared" si="192"/>
        <v>7.5705053113071477E-2</v>
      </c>
      <c r="X107" s="13">
        <f t="shared" si="197"/>
        <v>5.9485568801008872E-4</v>
      </c>
      <c r="Y107" s="13">
        <f t="shared" si="193"/>
        <v>2.1436839068631974E-2</v>
      </c>
      <c r="Z107" s="13"/>
      <c r="AA107">
        <v>1.3300083125519535</v>
      </c>
      <c r="AB107">
        <v>1.3300083125519535</v>
      </c>
      <c r="AC107">
        <f t="shared" si="198"/>
        <v>0.66500415627597675</v>
      </c>
      <c r="AD107" s="254">
        <v>43313</v>
      </c>
      <c r="AE107" s="79">
        <v>72211</v>
      </c>
      <c r="AF107" s="79">
        <v>34345</v>
      </c>
      <c r="AG107" s="79">
        <v>54437</v>
      </c>
      <c r="AH107" s="79">
        <v>180942</v>
      </c>
      <c r="AI107" s="79">
        <v>178.99</v>
      </c>
      <c r="AJ107" s="79">
        <v>20740</v>
      </c>
      <c r="AK107" s="79">
        <v>12004</v>
      </c>
      <c r="AL107" s="79">
        <v>150391</v>
      </c>
      <c r="AM107" s="79">
        <v>316405</v>
      </c>
      <c r="AN107" s="79">
        <v>287186</v>
      </c>
      <c r="AO107" s="79">
        <v>5932</v>
      </c>
      <c r="AP107" s="79">
        <v>91551</v>
      </c>
      <c r="AQ107" s="79">
        <v>200355</v>
      </c>
      <c r="AR107" s="79">
        <v>152998</v>
      </c>
      <c r="AS107" s="79">
        <v>41355</v>
      </c>
      <c r="AT107" s="79">
        <v>8639</v>
      </c>
      <c r="AU107" s="79">
        <v>14524</v>
      </c>
      <c r="AV107" s="79">
        <v>107692</v>
      </c>
      <c r="AW107" s="79">
        <v>24670</v>
      </c>
      <c r="AX107" s="79">
        <v>21484</v>
      </c>
      <c r="AY107" s="79">
        <v>94094</v>
      </c>
      <c r="AZ107" s="79">
        <v>1428268</v>
      </c>
      <c r="BA107" s="79"/>
    </row>
    <row r="108" spans="1:55">
      <c r="A108">
        <v>2012</v>
      </c>
      <c r="B108" s="13">
        <f t="shared" si="174"/>
        <v>3.3987402002990893E-4</v>
      </c>
      <c r="C108" s="13">
        <f t="shared" si="175"/>
        <v>7.9461920776167386E-2</v>
      </c>
      <c r="D108" s="13">
        <f t="shared" si="176"/>
        <v>6.6976759475362427E-2</v>
      </c>
      <c r="E108" s="13">
        <f t="shared" si="177"/>
        <v>0.19125683060109289</v>
      </c>
      <c r="F108" s="13">
        <f t="shared" si="194"/>
        <v>1.7050298380221641E-3</v>
      </c>
      <c r="G108" s="13">
        <f t="shared" si="178"/>
        <v>1.9322766317490619E-2</v>
      </c>
      <c r="H108" s="13">
        <f t="shared" si="179"/>
        <v>0.11501275922797685</v>
      </c>
      <c r="I108" s="13">
        <f t="shared" si="180"/>
        <v>3.2248979319804513E-2</v>
      </c>
      <c r="J108" s="13">
        <f t="shared" si="181"/>
        <v>3.7633599277434898E-2</v>
      </c>
      <c r="K108" s="13">
        <f t="shared" si="182"/>
        <v>9.9963781238681632E-2</v>
      </c>
      <c r="L108" s="13">
        <f t="shared" si="183"/>
        <v>0</v>
      </c>
      <c r="M108" s="13">
        <f t="shared" si="184"/>
        <v>1.0386231724708988E-2</v>
      </c>
      <c r="N108" s="13">
        <f t="shared" si="185"/>
        <v>0.2399387576552931</v>
      </c>
      <c r="O108" s="13">
        <f t="shared" si="195"/>
        <v>0</v>
      </c>
      <c r="P108" s="13">
        <f t="shared" si="186"/>
        <v>0.86162124085398006</v>
      </c>
      <c r="Q108" s="13">
        <f t="shared" si="187"/>
        <v>0</v>
      </c>
      <c r="R108" s="13">
        <f t="shared" si="188"/>
        <v>0.25787898442567231</v>
      </c>
      <c r="S108" s="13">
        <f t="shared" si="189"/>
        <v>1.5580576595686894E-2</v>
      </c>
      <c r="T108" s="13">
        <f t="shared" si="190"/>
        <v>0.2347308812233159</v>
      </c>
      <c r="U108" s="13">
        <f t="shared" si="196"/>
        <v>0.11794818063434566</v>
      </c>
      <c r="V108" s="13">
        <f t="shared" si="191"/>
        <v>4.8039545369429004E-2</v>
      </c>
      <c r="W108" s="13">
        <f t="shared" si="192"/>
        <v>0.3205555520944306</v>
      </c>
      <c r="X108" s="13">
        <f t="shared" si="197"/>
        <v>5.3970382829737241E-3</v>
      </c>
      <c r="Y108" s="13">
        <f t="shared" si="193"/>
        <v>0.12287122991695917</v>
      </c>
      <c r="Z108" s="13"/>
      <c r="AA108">
        <v>3.2664671360585151</v>
      </c>
      <c r="AB108">
        <v>3.5243461204841871</v>
      </c>
      <c r="AC108">
        <f t="shared" si="198"/>
        <v>1.7621730602420935</v>
      </c>
      <c r="AD108" s="254">
        <v>43344</v>
      </c>
      <c r="AE108" s="79">
        <v>71907</v>
      </c>
      <c r="AF108" s="79">
        <v>17205</v>
      </c>
      <c r="AG108" s="79">
        <v>27145</v>
      </c>
      <c r="AH108" s="79">
        <v>172974</v>
      </c>
      <c r="AI108" s="79">
        <v>206.05</v>
      </c>
      <c r="AJ108" s="79">
        <v>12067</v>
      </c>
      <c r="AK108" s="79">
        <v>6528</v>
      </c>
      <c r="AL108" s="79">
        <v>148752</v>
      </c>
      <c r="AM108" s="79">
        <v>200134</v>
      </c>
      <c r="AN108" s="79">
        <v>292658</v>
      </c>
      <c r="AO108" s="79">
        <v>3201</v>
      </c>
      <c r="AP108" s="79">
        <v>124976</v>
      </c>
      <c r="AQ108" s="79">
        <v>265059</v>
      </c>
      <c r="AR108" s="79">
        <v>127352</v>
      </c>
      <c r="AS108" s="79">
        <v>29527</v>
      </c>
      <c r="AT108" s="79">
        <v>9431</v>
      </c>
      <c r="AU108" s="79">
        <v>10620</v>
      </c>
      <c r="AV108" s="79">
        <v>69129</v>
      </c>
      <c r="AW108" s="79">
        <v>19111</v>
      </c>
      <c r="AX108" s="79">
        <v>20409</v>
      </c>
      <c r="AY108" s="79">
        <v>338834</v>
      </c>
      <c r="AZ108" s="79">
        <v>1432069</v>
      </c>
      <c r="BA108" s="79"/>
    </row>
    <row r="109" spans="1:55">
      <c r="A109">
        <v>2013</v>
      </c>
      <c r="B109" s="13">
        <f t="shared" si="174"/>
        <v>1.4778352491485781E-2</v>
      </c>
      <c r="C109" s="13">
        <f t="shared" si="175"/>
        <v>5.7673922923817136E-2</v>
      </c>
      <c r="D109" s="13">
        <f t="shared" si="176"/>
        <v>6.5629082530114291E-2</v>
      </c>
      <c r="E109" s="13">
        <f t="shared" si="177"/>
        <v>0.19499341238471676</v>
      </c>
      <c r="F109" s="13">
        <f t="shared" si="194"/>
        <v>4.1659533184956934E-3</v>
      </c>
      <c r="G109" s="13">
        <f t="shared" si="178"/>
        <v>6.0682959121752082E-3</v>
      </c>
      <c r="H109" s="13">
        <f t="shared" si="179"/>
        <v>0.16232981940807592</v>
      </c>
      <c r="I109" s="13">
        <f t="shared" si="180"/>
        <v>4.7829154260979771E-2</v>
      </c>
      <c r="J109" s="13">
        <f t="shared" si="181"/>
        <v>5.4873271534287157E-2</v>
      </c>
      <c r="K109" s="13">
        <f t="shared" si="182"/>
        <v>0.11442979053529868</v>
      </c>
      <c r="L109" s="13">
        <f t="shared" si="183"/>
        <v>0</v>
      </c>
      <c r="M109" s="13">
        <f t="shared" si="184"/>
        <v>1.6942355578076284E-2</v>
      </c>
      <c r="N109" s="13">
        <f t="shared" si="185"/>
        <v>0.30951337132836476</v>
      </c>
      <c r="O109" s="13">
        <f t="shared" si="195"/>
        <v>0</v>
      </c>
      <c r="P109" s="13">
        <f t="shared" si="186"/>
        <v>4.8366520871700427</v>
      </c>
      <c r="Q109" s="13">
        <f t="shared" si="187"/>
        <v>3.2085561497326204E-3</v>
      </c>
      <c r="R109" s="13">
        <f t="shared" si="188"/>
        <v>0.22511273223543996</v>
      </c>
      <c r="S109" s="13">
        <f t="shared" si="189"/>
        <v>1.2038140148857828E-2</v>
      </c>
      <c r="T109" s="13">
        <f t="shared" si="190"/>
        <v>0.4125363566213569</v>
      </c>
      <c r="U109" s="13">
        <f t="shared" si="196"/>
        <v>7.0814628093267412E-2</v>
      </c>
      <c r="V109" s="13">
        <f t="shared" si="191"/>
        <v>4.7246104073011559E-2</v>
      </c>
      <c r="W109" s="13">
        <f t="shared" si="192"/>
        <v>0.39737813135953998</v>
      </c>
      <c r="X109" s="13">
        <f t="shared" si="197"/>
        <v>6.0216752300490005E-3</v>
      </c>
      <c r="Y109" s="13">
        <f t="shared" si="193"/>
        <v>0.17542413521461303</v>
      </c>
      <c r="Z109" s="13"/>
      <c r="AA109">
        <v>5.7685137635331429</v>
      </c>
      <c r="AB109">
        <v>5.9936264957685834</v>
      </c>
      <c r="AC109">
        <f t="shared" si="198"/>
        <v>2.9968132478842917</v>
      </c>
      <c r="AD109" s="254">
        <v>43374</v>
      </c>
      <c r="AE109" s="79">
        <v>67651</v>
      </c>
      <c r="AF109" s="79">
        <v>22603</v>
      </c>
      <c r="AG109" s="79">
        <v>36894</v>
      </c>
      <c r="AH109" s="79">
        <v>161125</v>
      </c>
      <c r="AI109" s="78">
        <v>205</v>
      </c>
      <c r="AJ109" s="78">
        <v>17500</v>
      </c>
      <c r="AK109" s="79">
        <v>7935</v>
      </c>
      <c r="AL109" s="79">
        <v>173799</v>
      </c>
      <c r="AM109" s="79">
        <v>252628</v>
      </c>
      <c r="AN109" s="78">
        <v>275000</v>
      </c>
      <c r="AO109" s="79">
        <v>1725</v>
      </c>
      <c r="AP109" s="79">
        <v>146655</v>
      </c>
      <c r="AQ109" s="79">
        <v>227179</v>
      </c>
      <c r="AR109" s="79">
        <v>160370</v>
      </c>
      <c r="AS109" s="78">
        <v>35000</v>
      </c>
      <c r="AT109" s="78">
        <v>11000</v>
      </c>
      <c r="AU109" s="79">
        <v>11655</v>
      </c>
      <c r="AV109" s="79">
        <v>88410</v>
      </c>
      <c r="AW109" s="79">
        <v>23088</v>
      </c>
      <c r="AX109" s="79">
        <v>22788</v>
      </c>
      <c r="AY109" s="79">
        <v>153599</v>
      </c>
      <c r="AZ109" s="79">
        <v>1356760</v>
      </c>
      <c r="BA109" s="79"/>
    </row>
    <row r="110" spans="1:55">
      <c r="A110">
        <v>2014</v>
      </c>
      <c r="B110" s="13">
        <f t="shared" si="174"/>
        <v>0.12919297380278727</v>
      </c>
      <c r="C110" s="13">
        <f t="shared" si="175"/>
        <v>0.14308415590238627</v>
      </c>
      <c r="D110" s="13">
        <f t="shared" si="176"/>
        <v>0.17641979628897228</v>
      </c>
      <c r="E110" s="13">
        <f t="shared" si="177"/>
        <v>0.2779156327543425</v>
      </c>
      <c r="F110" s="13">
        <f t="shared" si="194"/>
        <v>0.12526462539371097</v>
      </c>
      <c r="G110" s="13">
        <f t="shared" si="178"/>
        <v>5.2891023335519489E-2</v>
      </c>
      <c r="H110" s="13">
        <f t="shared" si="179"/>
        <v>0.27380246704490918</v>
      </c>
      <c r="I110" s="13">
        <f t="shared" si="180"/>
        <v>0.11726530510506293</v>
      </c>
      <c r="J110" s="13">
        <f t="shared" si="181"/>
        <v>0.14456820375488744</v>
      </c>
      <c r="K110" s="13">
        <f t="shared" si="182"/>
        <v>0.13019821220365332</v>
      </c>
      <c r="L110" s="13">
        <f t="shared" si="183"/>
        <v>3.6328157435854859E-2</v>
      </c>
      <c r="M110" s="13">
        <f t="shared" si="184"/>
        <v>3.2532138251375686E-2</v>
      </c>
      <c r="N110" s="13">
        <f t="shared" si="185"/>
        <v>0.3442553191489362</v>
      </c>
      <c r="O110" s="13">
        <f t="shared" si="195"/>
        <v>0</v>
      </c>
      <c r="P110" s="13">
        <f t="shared" si="186"/>
        <v>3.2050538258235028</v>
      </c>
      <c r="Q110" s="13">
        <f t="shared" si="187"/>
        <v>9.4690265486725655E-2</v>
      </c>
      <c r="R110" s="13">
        <f t="shared" si="188"/>
        <v>1.1580976685482878</v>
      </c>
      <c r="S110" s="13">
        <f t="shared" si="189"/>
        <v>4.8754366847965878E-2</v>
      </c>
      <c r="T110" s="13">
        <f t="shared" si="190"/>
        <v>1.1423081731623379</v>
      </c>
      <c r="U110" s="13">
        <f t="shared" si="196"/>
        <v>0.27725146741218715</v>
      </c>
      <c r="V110" s="13">
        <f t="shared" si="191"/>
        <v>0.32021837843512957</v>
      </c>
      <c r="W110" s="13">
        <f t="shared" si="192"/>
        <v>0.42576037950508283</v>
      </c>
      <c r="X110" s="13">
        <f t="shared" si="197"/>
        <v>1.8235785719885048E-2</v>
      </c>
      <c r="Y110" s="13">
        <f t="shared" si="193"/>
        <v>0.24103968139051182</v>
      </c>
      <c r="Z110" s="13"/>
      <c r="AA110">
        <v>12.544902289843415</v>
      </c>
      <c r="AB110">
        <v>13.7029999583917</v>
      </c>
      <c r="AC110">
        <f t="shared" si="198"/>
        <v>6.8514999791958502</v>
      </c>
      <c r="AD110" s="254">
        <v>43405</v>
      </c>
      <c r="AE110" s="78">
        <v>75000</v>
      </c>
      <c r="AF110" s="78">
        <v>25000</v>
      </c>
      <c r="AG110" s="78">
        <v>40000</v>
      </c>
      <c r="AH110" s="78">
        <v>160000</v>
      </c>
      <c r="AI110" s="78">
        <v>245</v>
      </c>
      <c r="AJ110" s="78">
        <v>17500</v>
      </c>
      <c r="AK110" s="78">
        <v>9000</v>
      </c>
      <c r="AL110" s="78">
        <v>180000</v>
      </c>
      <c r="AM110" s="78">
        <v>275000</v>
      </c>
      <c r="AN110" s="78">
        <v>275000</v>
      </c>
      <c r="AO110" s="78">
        <v>500</v>
      </c>
      <c r="AP110" s="78">
        <v>150000</v>
      </c>
      <c r="AQ110" s="78">
        <v>230000</v>
      </c>
      <c r="AR110" s="78">
        <v>160000</v>
      </c>
      <c r="AS110" s="78">
        <v>35000</v>
      </c>
      <c r="AT110" s="78">
        <v>10000</v>
      </c>
      <c r="AU110" s="78">
        <v>13000</v>
      </c>
      <c r="AV110" s="78">
        <v>100000</v>
      </c>
      <c r="AW110" s="78">
        <v>25000</v>
      </c>
      <c r="AX110" s="78">
        <v>25000</v>
      </c>
      <c r="AY110" s="78">
        <v>160000</v>
      </c>
      <c r="AZ110" s="78">
        <v>1400000</v>
      </c>
      <c r="BA110" s="79"/>
    </row>
    <row r="111" spans="1:55">
      <c r="A111">
        <v>2015</v>
      </c>
      <c r="B111" s="13">
        <f t="shared" si="174"/>
        <v>0.13114697333994116</v>
      </c>
      <c r="C111" s="13">
        <f t="shared" si="175"/>
        <v>0.35682455315908018</v>
      </c>
      <c r="D111" s="13">
        <f t="shared" si="176"/>
        <v>0.48915711702649955</v>
      </c>
      <c r="E111" s="13">
        <f t="shared" si="177"/>
        <v>0.30162873210056396</v>
      </c>
      <c r="F111" s="13">
        <f t="shared" si="194"/>
        <v>0.28609159081262081</v>
      </c>
      <c r="G111" s="13">
        <f t="shared" si="178"/>
        <v>0.21409042909701095</v>
      </c>
      <c r="H111" s="13">
        <f t="shared" si="179"/>
        <v>0.38126211540758292</v>
      </c>
      <c r="I111" s="13">
        <f t="shared" si="180"/>
        <v>0.30123548978344988</v>
      </c>
      <c r="J111" s="13">
        <f t="shared" si="181"/>
        <v>0.34654649727582021</v>
      </c>
      <c r="K111" s="13">
        <f t="shared" si="182"/>
        <v>0.15951595159515952</v>
      </c>
      <c r="L111" s="13">
        <f t="shared" si="183"/>
        <v>7.9234863339869552E-2</v>
      </c>
      <c r="M111" s="13">
        <f t="shared" si="184"/>
        <v>5.626363967022309E-2</v>
      </c>
      <c r="N111" s="13">
        <f t="shared" si="185"/>
        <v>0.33633776091081585</v>
      </c>
      <c r="O111" s="13">
        <f t="shared" si="195"/>
        <v>2.0626432391138275E-2</v>
      </c>
      <c r="P111" s="13">
        <f t="shared" si="186"/>
        <v>9.1138580156856506</v>
      </c>
      <c r="Q111" s="13">
        <f t="shared" si="187"/>
        <v>9.116465863453814E-2</v>
      </c>
      <c r="R111" s="13">
        <f t="shared" si="188"/>
        <v>5.1895995646576321</v>
      </c>
      <c r="S111" s="13">
        <f t="shared" si="189"/>
        <v>8.4023700678377777E-2</v>
      </c>
      <c r="T111" s="13">
        <f t="shared" si="190"/>
        <v>1.6551436370274639</v>
      </c>
      <c r="U111" s="13">
        <f t="shared" si="196"/>
        <v>0.79008654505470055</v>
      </c>
      <c r="V111" s="13">
        <f t="shared" si="191"/>
        <v>0.73058583946933042</v>
      </c>
      <c r="W111" s="13">
        <f t="shared" si="192"/>
        <v>0.31437887344609816</v>
      </c>
      <c r="X111" s="13">
        <f t="shared" si="197"/>
        <v>4.6402918168448035E-2</v>
      </c>
      <c r="Y111" s="13">
        <f t="shared" si="193"/>
        <v>0.37076131341217766</v>
      </c>
      <c r="Z111" s="13"/>
      <c r="AA111">
        <v>18.442323772613246</v>
      </c>
      <c r="AB111">
        <v>23.63192333727088</v>
      </c>
      <c r="AC111">
        <f t="shared" si="198"/>
        <v>11.81596166863544</v>
      </c>
      <c r="AD111" s="254">
        <v>43435</v>
      </c>
      <c r="AE111" s="78">
        <v>75000</v>
      </c>
      <c r="AF111" s="78">
        <v>25000</v>
      </c>
      <c r="AG111" s="78">
        <v>30000</v>
      </c>
      <c r="AH111" s="78">
        <v>160000</v>
      </c>
      <c r="AI111" s="78">
        <v>245</v>
      </c>
      <c r="AJ111" s="78">
        <v>17500</v>
      </c>
      <c r="AK111" s="78">
        <v>9000</v>
      </c>
      <c r="AL111" s="78">
        <v>180000</v>
      </c>
      <c r="AM111" s="78">
        <v>250000</v>
      </c>
      <c r="AN111" s="78">
        <v>275000</v>
      </c>
      <c r="AO111" s="78">
        <v>500</v>
      </c>
      <c r="AP111" s="78">
        <v>125000</v>
      </c>
      <c r="AQ111" s="78">
        <v>230000</v>
      </c>
      <c r="AR111" s="78">
        <v>160000</v>
      </c>
      <c r="AS111" s="78">
        <v>20000</v>
      </c>
      <c r="AT111" s="78">
        <v>8000</v>
      </c>
      <c r="AU111" s="78">
        <v>15000</v>
      </c>
      <c r="AV111" s="78">
        <v>100000</v>
      </c>
      <c r="AW111" s="78">
        <v>27000</v>
      </c>
      <c r="AX111" s="78">
        <v>29000</v>
      </c>
      <c r="AY111" s="78">
        <v>150000</v>
      </c>
      <c r="AZ111" s="78">
        <v>1600000</v>
      </c>
      <c r="BA111" s="79"/>
    </row>
    <row r="112" spans="1:55">
      <c r="A112">
        <v>2016</v>
      </c>
      <c r="B112" s="13">
        <f t="shared" si="174"/>
        <v>9.1342420843758099E-2</v>
      </c>
      <c r="C112" s="13">
        <f t="shared" si="175"/>
        <v>0.37529884346063763</v>
      </c>
      <c r="D112" s="13">
        <f t="shared" si="176"/>
        <v>1.2364717461294228</v>
      </c>
      <c r="E112" s="13">
        <f t="shared" si="177"/>
        <v>0.71551999838197733</v>
      </c>
      <c r="F112" s="13">
        <f t="shared" si="194"/>
        <v>0.32211309523809523</v>
      </c>
      <c r="G112" s="13">
        <f t="shared" si="178"/>
        <v>0.25633901282591354</v>
      </c>
      <c r="H112" s="13">
        <f t="shared" si="179"/>
        <v>1.0139534102269003</v>
      </c>
      <c r="I112" s="13">
        <f t="shared" si="180"/>
        <v>0.37449671804969331</v>
      </c>
      <c r="J112" s="13">
        <f t="shared" si="181"/>
        <v>0.41029769333984589</v>
      </c>
      <c r="K112" s="13">
        <f t="shared" si="182"/>
        <v>0.1890459363957597</v>
      </c>
      <c r="L112" s="13">
        <f t="shared" si="183"/>
        <v>0.20327421555252387</v>
      </c>
      <c r="M112" s="13">
        <f t="shared" si="184"/>
        <v>7.8734179960741363E-2</v>
      </c>
      <c r="N112" s="13">
        <f t="shared" si="185"/>
        <v>0.22648335745296672</v>
      </c>
      <c r="O112" s="13">
        <f t="shared" si="195"/>
        <v>1.2075471698113219E-2</v>
      </c>
      <c r="P112" s="13">
        <f t="shared" si="186"/>
        <v>4.8422398868723002</v>
      </c>
      <c r="Q112" s="13">
        <f t="shared" si="187"/>
        <v>0.12879377431906613</v>
      </c>
      <c r="R112" s="13">
        <f t="shared" si="188"/>
        <v>13.380076712612304</v>
      </c>
      <c r="S112" s="13">
        <f t="shared" si="189"/>
        <v>0.13173415680985381</v>
      </c>
      <c r="T112" s="13">
        <f t="shared" si="190"/>
        <v>2.7653779833368248</v>
      </c>
      <c r="U112" s="13">
        <f t="shared" si="196"/>
        <v>0.89154310385579016</v>
      </c>
      <c r="V112" s="13">
        <f t="shared" si="191"/>
        <v>0.92465572830518272</v>
      </c>
      <c r="W112" s="13">
        <f t="shared" si="192"/>
        <v>0.52653736775525317</v>
      </c>
      <c r="X112" s="13">
        <f t="shared" si="197"/>
        <v>7.1706869538473203E-2</v>
      </c>
      <c r="Y112" s="13">
        <f t="shared" si="193"/>
        <v>0.43567314315375177</v>
      </c>
      <c r="Z112" s="13"/>
      <c r="AA112">
        <v>15.667225086188497</v>
      </c>
      <c r="AB112">
        <v>29.047301798800802</v>
      </c>
      <c r="AC112">
        <f t="shared" si="198"/>
        <v>14.523650899400401</v>
      </c>
      <c r="AG112" s="79"/>
      <c r="AH112" s="79"/>
      <c r="AI112" s="79"/>
      <c r="AJ112" s="79"/>
      <c r="AK112" s="79"/>
      <c r="AL112" s="79"/>
      <c r="AM112" s="79"/>
      <c r="AN112" s="79"/>
      <c r="AO112" s="79"/>
      <c r="AP112" s="79"/>
      <c r="AQ112" s="79"/>
      <c r="AR112" s="79"/>
      <c r="AS112" s="79"/>
      <c r="AT112" s="79"/>
      <c r="AU112" s="79"/>
      <c r="AV112" s="79"/>
      <c r="AW112" s="79"/>
      <c r="AX112" s="79"/>
      <c r="AY112" s="79"/>
      <c r="AZ112" s="79"/>
      <c r="BA112" s="79"/>
    </row>
    <row r="113" spans="1:54">
      <c r="A113">
        <v>2017</v>
      </c>
      <c r="B113" s="13">
        <f t="shared" si="174"/>
        <v>6.6546083708427781E-2</v>
      </c>
      <c r="C113" s="13">
        <f t="shared" si="175"/>
        <v>0.48624747481882269</v>
      </c>
      <c r="D113" s="13">
        <f t="shared" si="176"/>
        <v>2.0651056246546573</v>
      </c>
      <c r="E113" s="13">
        <f t="shared" si="177"/>
        <v>0.96284299820022878</v>
      </c>
      <c r="F113" s="13">
        <f t="shared" si="194"/>
        <v>0.40259067357512951</v>
      </c>
      <c r="G113" s="13">
        <f t="shared" si="178"/>
        <v>0.2768035055766439</v>
      </c>
      <c r="H113" s="13">
        <f t="shared" si="179"/>
        <v>2.1538305788261494</v>
      </c>
      <c r="I113" s="13">
        <f t="shared" si="180"/>
        <v>0.56302862719583613</v>
      </c>
      <c r="J113" s="13">
        <f t="shared" si="181"/>
        <v>0.85547129380770592</v>
      </c>
      <c r="K113" s="13">
        <f t="shared" si="182"/>
        <v>0.21525423728813559</v>
      </c>
      <c r="L113" s="13">
        <f t="shared" si="183"/>
        <v>0.24821453044815669</v>
      </c>
      <c r="M113" s="13">
        <f t="shared" si="184"/>
        <v>0.14531512267022503</v>
      </c>
      <c r="N113" s="13">
        <f t="shared" si="185"/>
        <v>0.77795490776588461</v>
      </c>
      <c r="O113" s="13">
        <f t="shared" si="195"/>
        <v>2.2266256597800096E-2</v>
      </c>
      <c r="P113" s="13">
        <f t="shared" si="186"/>
        <v>0.2767282972606766</v>
      </c>
      <c r="Q113" s="13">
        <f t="shared" si="187"/>
        <v>0.15457875457875456</v>
      </c>
      <c r="R113" s="13">
        <f t="shared" si="188"/>
        <v>18.460762685156006</v>
      </c>
      <c r="S113" s="13">
        <f t="shared" si="189"/>
        <v>0.27288974039845137</v>
      </c>
      <c r="T113" s="13">
        <f t="shared" si="190"/>
        <v>4.0715036914228779</v>
      </c>
      <c r="U113" s="13">
        <f t="shared" si="196"/>
        <v>1.0839797725043625</v>
      </c>
      <c r="V113" s="13">
        <f t="shared" si="191"/>
        <v>1.2245562497414042</v>
      </c>
      <c r="W113" s="13">
        <f t="shared" si="192"/>
        <v>0.67158544747947624</v>
      </c>
      <c r="X113" s="13">
        <f t="shared" si="197"/>
        <v>0.17627201799411168</v>
      </c>
      <c r="Y113" s="13">
        <f t="shared" si="193"/>
        <v>0.57779084727047836</v>
      </c>
      <c r="Z113" s="13"/>
      <c r="AA113">
        <v>20.816262212417268</v>
      </c>
      <c r="AB113">
        <v>39.277024897573277</v>
      </c>
      <c r="AC113">
        <f t="shared" si="198"/>
        <v>19.638512448786638</v>
      </c>
      <c r="AG113" s="79"/>
      <c r="AH113" s="79"/>
      <c r="AI113" s="79"/>
      <c r="AJ113" s="79"/>
      <c r="AK113" s="79"/>
      <c r="AL113" s="79"/>
      <c r="AM113" s="79"/>
      <c r="AN113" s="79"/>
      <c r="AO113" s="79"/>
      <c r="AP113" s="79"/>
      <c r="AQ113" s="79"/>
      <c r="AR113" s="79"/>
      <c r="AS113" s="79"/>
      <c r="AT113" s="79"/>
      <c r="AU113" s="79"/>
      <c r="AV113" s="79"/>
      <c r="AW113" s="79"/>
      <c r="AX113" s="79"/>
      <c r="AY113" s="79"/>
      <c r="AZ113" s="79"/>
      <c r="BA113" s="79"/>
    </row>
    <row r="114" spans="1:54">
      <c r="A114">
        <v>2018</v>
      </c>
      <c r="E114" s="84"/>
      <c r="Q114" s="13">
        <f t="shared" si="187"/>
        <v>0.28333333333333333</v>
      </c>
      <c r="S114" s="84"/>
      <c r="T114" s="84"/>
      <c r="U114" s="13"/>
      <c r="V114" s="13"/>
      <c r="W114" s="13"/>
      <c r="X114" s="13"/>
      <c r="Y114" s="13"/>
      <c r="Z114" s="13"/>
      <c r="AD114">
        <v>2012</v>
      </c>
      <c r="AE114" s="79">
        <v>882680</v>
      </c>
      <c r="AF114" s="79">
        <v>336010</v>
      </c>
      <c r="AG114" s="79"/>
      <c r="AH114" s="79"/>
      <c r="AI114" s="79"/>
      <c r="AJ114" s="79">
        <v>170813</v>
      </c>
      <c r="AK114" s="79">
        <v>111258</v>
      </c>
      <c r="AL114" s="79"/>
      <c r="AM114" s="79">
        <v>3082504</v>
      </c>
      <c r="AN114" s="79"/>
      <c r="AO114" s="79">
        <v>79574</v>
      </c>
      <c r="AP114" s="79"/>
      <c r="AQ114" s="79">
        <v>3014651</v>
      </c>
      <c r="AR114" s="79">
        <v>1534023</v>
      </c>
      <c r="AS114" s="79"/>
      <c r="AT114" s="79"/>
      <c r="AU114" s="79">
        <v>137967</v>
      </c>
      <c r="AV114" s="79">
        <v>699589</v>
      </c>
      <c r="AW114" s="79">
        <v>279899</v>
      </c>
      <c r="AX114" s="79">
        <v>328139</v>
      </c>
      <c r="AY114" s="79">
        <v>2044609</v>
      </c>
      <c r="AZ114" s="79">
        <v>14491873</v>
      </c>
      <c r="BA114" s="79"/>
      <c r="BB114" s="61"/>
    </row>
    <row r="115" spans="1:54">
      <c r="E115" s="84"/>
      <c r="S115" s="84"/>
      <c r="T115" s="84"/>
      <c r="U115" s="13"/>
      <c r="V115" s="13"/>
      <c r="W115" s="13"/>
      <c r="X115" s="13"/>
      <c r="Y115" s="13"/>
      <c r="Z115" s="13"/>
      <c r="AD115">
        <v>2013</v>
      </c>
      <c r="AE115" s="79">
        <v>899965</v>
      </c>
      <c r="AF115" s="79">
        <v>319035</v>
      </c>
      <c r="AG115" s="79"/>
      <c r="AH115" s="79"/>
      <c r="AI115" s="79">
        <v>1792.89</v>
      </c>
      <c r="AJ115" s="79">
        <v>182201</v>
      </c>
      <c r="AK115" s="79">
        <v>103455</v>
      </c>
      <c r="AL115" s="79">
        <v>1790473</v>
      </c>
      <c r="AM115" s="79">
        <v>2952431</v>
      </c>
      <c r="AN115" s="79"/>
      <c r="AO115" s="79">
        <v>74303</v>
      </c>
      <c r="AP115" s="79">
        <v>1304648</v>
      </c>
      <c r="AQ115" s="79">
        <v>2872111</v>
      </c>
      <c r="AR115" s="79">
        <v>1530399</v>
      </c>
      <c r="AS115" s="79">
        <v>416674</v>
      </c>
      <c r="AT115" s="79">
        <v>82433</v>
      </c>
      <c r="AU115" s="79">
        <v>142151</v>
      </c>
      <c r="AV115" s="79">
        <v>722703</v>
      </c>
      <c r="AW115" s="79">
        <v>269599</v>
      </c>
      <c r="AX115" s="79">
        <v>307885</v>
      </c>
      <c r="AY115" s="79">
        <v>2264737</v>
      </c>
      <c r="AZ115" s="79">
        <v>15600199</v>
      </c>
      <c r="BA115" s="79"/>
      <c r="BB115" s="255"/>
    </row>
    <row r="116" spans="1:54">
      <c r="E116" s="84"/>
      <c r="S116" s="84"/>
      <c r="T116" s="84"/>
      <c r="U116" s="13"/>
      <c r="V116" s="13"/>
      <c r="W116" s="13"/>
      <c r="X116" s="13"/>
      <c r="Y116" s="13"/>
      <c r="Z116" s="13"/>
      <c r="AD116">
        <v>2014</v>
      </c>
      <c r="AE116" s="79">
        <v>883943</v>
      </c>
      <c r="AF116" s="79">
        <v>303318</v>
      </c>
      <c r="AG116" s="79"/>
      <c r="AH116" s="79"/>
      <c r="AI116" s="79">
        <v>1970.06</v>
      </c>
      <c r="AJ116" s="79">
        <v>189055</v>
      </c>
      <c r="AK116" s="79">
        <v>106236</v>
      </c>
      <c r="AL116" s="79">
        <v>1795913</v>
      </c>
      <c r="AM116" s="79">
        <v>3036773</v>
      </c>
      <c r="AN116" s="79"/>
      <c r="AO116" s="79">
        <v>96284</v>
      </c>
      <c r="AP116" s="79">
        <v>1359616</v>
      </c>
      <c r="AQ116" s="79">
        <v>2860472</v>
      </c>
      <c r="AR116" s="79">
        <v>1650170</v>
      </c>
      <c r="AS116" s="79">
        <v>387835</v>
      </c>
      <c r="AT116" s="79">
        <v>90632</v>
      </c>
      <c r="AU116" s="79">
        <v>144202</v>
      </c>
      <c r="AV116" s="79">
        <v>855308</v>
      </c>
      <c r="AW116" s="79">
        <v>303948</v>
      </c>
      <c r="AX116" s="79">
        <v>301942</v>
      </c>
      <c r="AY116" s="79">
        <v>2476435</v>
      </c>
      <c r="AZ116" s="79">
        <v>16522000</v>
      </c>
      <c r="BA116" s="79"/>
      <c r="BB116" s="255"/>
    </row>
    <row r="117" spans="1:54">
      <c r="E117" s="84"/>
      <c r="S117" s="84"/>
      <c r="T117" s="84"/>
      <c r="U117" s="13"/>
      <c r="V117" s="13"/>
      <c r="W117" s="13"/>
      <c r="X117" s="13"/>
      <c r="Y117" s="13"/>
      <c r="Z117" s="13"/>
      <c r="AD117">
        <v>2015</v>
      </c>
      <c r="AE117" s="79">
        <v>924154</v>
      </c>
      <c r="AF117" s="79">
        <v>308555</v>
      </c>
      <c r="AG117" s="79"/>
      <c r="AH117" s="79"/>
      <c r="AI117" s="79">
        <v>2114.63</v>
      </c>
      <c r="AJ117" s="79">
        <v>207721</v>
      </c>
      <c r="AK117" s="79">
        <v>108819</v>
      </c>
      <c r="AL117" s="79">
        <v>1917230</v>
      </c>
      <c r="AM117" s="79">
        <v>3206042</v>
      </c>
      <c r="AN117" s="79"/>
      <c r="AO117" s="79">
        <v>124945</v>
      </c>
      <c r="AP117" s="79">
        <v>1575737</v>
      </c>
      <c r="AQ117" s="79">
        <v>2704485</v>
      </c>
      <c r="AR117" s="79">
        <v>1823606</v>
      </c>
      <c r="AS117" s="79">
        <v>448925</v>
      </c>
      <c r="AT117" s="79">
        <v>95097</v>
      </c>
      <c r="AU117" s="79">
        <v>150686</v>
      </c>
      <c r="AV117" s="79">
        <v>1034232</v>
      </c>
      <c r="AW117" s="79">
        <v>345108</v>
      </c>
      <c r="AX117" s="79">
        <v>323783</v>
      </c>
      <c r="AY117" s="79">
        <v>2633503</v>
      </c>
      <c r="AZ117" s="79">
        <v>17470499</v>
      </c>
      <c r="BA117" s="79"/>
      <c r="BB117" s="255"/>
    </row>
    <row r="118" spans="1:54">
      <c r="E118" s="84"/>
      <c r="S118" s="84"/>
      <c r="T118" s="84"/>
      <c r="U118" s="13"/>
      <c r="V118" s="13"/>
      <c r="W118" s="13"/>
      <c r="X118" s="13"/>
      <c r="Y118" s="13"/>
      <c r="Z118" s="13"/>
      <c r="AD118">
        <v>2016</v>
      </c>
      <c r="AE118" s="79">
        <v>927275</v>
      </c>
      <c r="AF118" s="79">
        <v>329604</v>
      </c>
      <c r="AG118" s="79">
        <f>SUM(AG76:AG87)</f>
        <v>539520</v>
      </c>
      <c r="AH118" s="79">
        <f>SUM(AH76:AH87)</f>
        <v>2038827</v>
      </c>
      <c r="AI118" s="79">
        <v>2437.69</v>
      </c>
      <c r="AJ118" s="79">
        <v>222916</v>
      </c>
      <c r="AK118" s="79">
        <v>119000</v>
      </c>
      <c r="AL118" s="79">
        <v>2015186</v>
      </c>
      <c r="AM118" s="79">
        <v>3351607</v>
      </c>
      <c r="AN118" s="79"/>
      <c r="AO118" s="79">
        <v>146649</v>
      </c>
      <c r="AP118" s="79">
        <v>1825892</v>
      </c>
      <c r="AQ118" s="79">
        <v>2801491</v>
      </c>
      <c r="AR118" s="79">
        <v>1813385</v>
      </c>
      <c r="AS118" s="79">
        <v>382825</v>
      </c>
      <c r="AT118" s="79">
        <v>102644</v>
      </c>
      <c r="AU118" s="79">
        <v>154603</v>
      </c>
      <c r="AV118" s="79">
        <v>1147009</v>
      </c>
      <c r="AW118" s="79">
        <v>372318</v>
      </c>
      <c r="AX118" s="79">
        <v>317318</v>
      </c>
      <c r="AY118" s="79">
        <v>2692786</v>
      </c>
      <c r="AZ118" s="79">
        <v>17550394</v>
      </c>
      <c r="BA118" s="79"/>
      <c r="BB118" s="255"/>
    </row>
    <row r="119" spans="1:54">
      <c r="E119" s="84"/>
      <c r="S119" s="84"/>
      <c r="T119" s="84"/>
      <c r="U119" s="13"/>
      <c r="V119" s="13"/>
      <c r="W119" s="13"/>
      <c r="X119" s="13"/>
      <c r="Y119" s="13"/>
      <c r="Z119" s="13"/>
      <c r="AD119">
        <v>2017</v>
      </c>
      <c r="AE119" s="79">
        <f t="shared" ref="AE119:AY119" si="199">SUM(AE88:AE99)</f>
        <v>916658</v>
      </c>
      <c r="AF119" s="79">
        <f t="shared" si="199"/>
        <v>353935</v>
      </c>
      <c r="AG119" s="79">
        <f t="shared" si="199"/>
        <v>546558</v>
      </c>
      <c r="AH119" s="79">
        <f t="shared" si="199"/>
        <v>2078762</v>
      </c>
      <c r="AI119" s="79">
        <f t="shared" si="199"/>
        <v>2474.3999999999996</v>
      </c>
      <c r="AJ119" s="79">
        <f t="shared" si="199"/>
        <v>221818</v>
      </c>
      <c r="AK119" s="79">
        <f t="shared" si="199"/>
        <v>118533</v>
      </c>
      <c r="AL119" s="79">
        <f t="shared" si="199"/>
        <v>2110832</v>
      </c>
      <c r="AM119" s="79">
        <f t="shared" si="199"/>
        <v>3441261</v>
      </c>
      <c r="AN119" s="79">
        <f t="shared" si="199"/>
        <v>3265275</v>
      </c>
      <c r="AO119" s="79">
        <f t="shared" si="199"/>
        <v>131338</v>
      </c>
      <c r="AP119" s="79">
        <f t="shared" si="199"/>
        <v>1970201</v>
      </c>
      <c r="AQ119" s="79">
        <f t="shared" si="199"/>
        <v>2943011</v>
      </c>
      <c r="AR119" s="79">
        <f t="shared" si="199"/>
        <v>1819360</v>
      </c>
      <c r="AS119" s="79">
        <f t="shared" si="199"/>
        <v>418461</v>
      </c>
      <c r="AT119" s="79">
        <f t="shared" si="199"/>
        <v>108608</v>
      </c>
      <c r="AU119" s="79">
        <f t="shared" si="199"/>
        <v>158650</v>
      </c>
      <c r="AV119" s="79">
        <f t="shared" si="199"/>
        <v>1234931</v>
      </c>
      <c r="AW119" s="79">
        <f t="shared" si="199"/>
        <v>379393</v>
      </c>
      <c r="AX119" s="79">
        <f t="shared" si="199"/>
        <v>314028</v>
      </c>
      <c r="AY119" s="79">
        <f t="shared" si="199"/>
        <v>2540617</v>
      </c>
      <c r="AZ119" s="79">
        <v>17230436</v>
      </c>
      <c r="BA119" s="79">
        <f>SUM(AZ88:AZ99)</f>
        <v>16745134</v>
      </c>
      <c r="BB119" s="255"/>
    </row>
    <row r="120" spans="1:54">
      <c r="E120" s="84"/>
      <c r="S120" s="84"/>
      <c r="T120" s="84"/>
      <c r="U120" s="13"/>
      <c r="V120" s="13"/>
      <c r="W120" s="13"/>
      <c r="X120" s="13"/>
      <c r="Y120" s="13"/>
      <c r="Z120" s="13"/>
      <c r="AD120">
        <v>2018</v>
      </c>
      <c r="AE120" s="79">
        <f t="shared" ref="AE120:AY120" si="200">SUM(AE100:AE111)</f>
        <v>889525</v>
      </c>
      <c r="AF120" s="79">
        <f t="shared" si="200"/>
        <v>349068</v>
      </c>
      <c r="AG120" s="79">
        <f t="shared" si="200"/>
        <v>562616</v>
      </c>
      <c r="AH120" s="79">
        <f t="shared" si="200"/>
        <v>2047035</v>
      </c>
      <c r="AI120" s="79">
        <f t="shared" si="200"/>
        <v>2416.8200000000002</v>
      </c>
      <c r="AJ120" s="79">
        <f t="shared" si="200"/>
        <v>222499</v>
      </c>
      <c r="AK120" s="79">
        <f t="shared" si="200"/>
        <v>123630</v>
      </c>
      <c r="AL120" s="79">
        <f t="shared" si="200"/>
        <v>2196519</v>
      </c>
      <c r="AM120" s="79">
        <f t="shared" si="200"/>
        <v>3451046</v>
      </c>
      <c r="AN120" s="79">
        <f t="shared" si="200"/>
        <v>3430853</v>
      </c>
      <c r="AO120" s="79">
        <f t="shared" si="200"/>
        <v>126241</v>
      </c>
      <c r="AP120" s="79">
        <f t="shared" si="200"/>
        <v>1909056</v>
      </c>
      <c r="AQ120" s="79">
        <f t="shared" si="200"/>
        <v>2899490</v>
      </c>
      <c r="AR120" s="79">
        <f t="shared" si="200"/>
        <v>1812142</v>
      </c>
      <c r="AS120" s="79">
        <f t="shared" si="200"/>
        <v>452475</v>
      </c>
      <c r="AT120" s="79">
        <f t="shared" si="200"/>
        <v>108221</v>
      </c>
      <c r="AU120" s="79">
        <f t="shared" si="200"/>
        <v>151155</v>
      </c>
      <c r="AV120" s="79">
        <f t="shared" si="200"/>
        <v>1328731</v>
      </c>
      <c r="AW120" s="79">
        <f t="shared" si="200"/>
        <v>356916</v>
      </c>
      <c r="AX120" s="79">
        <f t="shared" si="200"/>
        <v>302074</v>
      </c>
      <c r="AY120" s="79">
        <f t="shared" si="200"/>
        <v>2374419</v>
      </c>
      <c r="AZ120" s="79">
        <f>AZ119*BA120/BA119</f>
        <v>17206129.394917473</v>
      </c>
      <c r="BA120" s="79">
        <f>SUM(AZ100:AZ111)</f>
        <v>16721512</v>
      </c>
      <c r="BB120" s="255"/>
    </row>
    <row r="121" spans="1:54">
      <c r="E121" s="84"/>
      <c r="S121" s="84"/>
      <c r="T121" s="84"/>
      <c r="U121" s="13"/>
      <c r="V121" s="13"/>
      <c r="W121" s="13"/>
      <c r="X121" s="13"/>
      <c r="Y121" s="13"/>
      <c r="Z121" s="13"/>
    </row>
    <row r="122" spans="1:54">
      <c r="E122" s="84"/>
      <c r="S122" s="84"/>
      <c r="T122" s="84"/>
      <c r="U122" s="13"/>
      <c r="V122" s="13"/>
      <c r="W122" s="13"/>
      <c r="X122" s="13"/>
      <c r="Y122" s="13"/>
    </row>
    <row r="123" spans="1:54">
      <c r="E123" s="84"/>
      <c r="S123" s="84"/>
      <c r="T123" s="84"/>
      <c r="U123" s="13"/>
      <c r="V123" s="13"/>
      <c r="W123" s="13"/>
      <c r="X123" s="13"/>
      <c r="Y123" s="13"/>
    </row>
    <row r="124" spans="1:54">
      <c r="E124" s="84"/>
      <c r="S124" s="84"/>
      <c r="T124" s="84"/>
      <c r="U124" s="13"/>
      <c r="V124" s="13"/>
      <c r="W124" s="13"/>
      <c r="X124" s="13"/>
      <c r="Y124" s="13"/>
    </row>
    <row r="125" spans="1:54">
      <c r="E125" s="84"/>
      <c r="S125" s="84"/>
      <c r="T125" s="84"/>
      <c r="U125" s="13"/>
      <c r="V125" s="13"/>
      <c r="W125" s="13"/>
      <c r="X125" s="13"/>
      <c r="Y125" s="13"/>
      <c r="AU125" s="33" t="s">
        <v>1258</v>
      </c>
    </row>
    <row r="126" spans="1:54">
      <c r="E126" s="84"/>
      <c r="S126" s="84"/>
      <c r="T126" s="84"/>
      <c r="U126" s="13"/>
      <c r="V126" s="13"/>
      <c r="W126" s="13"/>
      <c r="X126" s="13"/>
      <c r="Y126" s="13"/>
    </row>
    <row r="127" spans="1:54">
      <c r="E127" s="84"/>
      <c r="S127" s="84"/>
      <c r="T127" s="84"/>
      <c r="U127" s="13"/>
      <c r="V127" s="13"/>
      <c r="W127" s="13"/>
      <c r="X127" s="13"/>
      <c r="Y127" s="13"/>
    </row>
    <row r="128" spans="1:54">
      <c r="Y128" s="13"/>
    </row>
    <row r="129" spans="1:25">
      <c r="E129" s="14" t="s">
        <v>253</v>
      </c>
      <c r="F129" s="14"/>
      <c r="G129" s="14"/>
      <c r="H129" s="14"/>
    </row>
    <row r="130" spans="1:25">
      <c r="B130" s="149" t="s">
        <v>255</v>
      </c>
      <c r="C130" s="149" t="s">
        <v>539</v>
      </c>
      <c r="D130" s="149" t="s">
        <v>540</v>
      </c>
      <c r="E130" s="149" t="s">
        <v>238</v>
      </c>
      <c r="F130" s="149" t="s">
        <v>239</v>
      </c>
      <c r="G130" s="149" t="s">
        <v>541</v>
      </c>
      <c r="H130" s="149" t="s">
        <v>542</v>
      </c>
      <c r="I130" s="149" t="s">
        <v>240</v>
      </c>
      <c r="J130" s="149" t="s">
        <v>241</v>
      </c>
      <c r="K130" s="149" t="s">
        <v>242</v>
      </c>
      <c r="L130" s="149" t="s">
        <v>544</v>
      </c>
      <c r="M130" s="7" t="s">
        <v>538</v>
      </c>
      <c r="N130" s="149" t="s">
        <v>243</v>
      </c>
      <c r="O130" s="149" t="s">
        <v>244</v>
      </c>
      <c r="P130" s="149" t="s">
        <v>245</v>
      </c>
      <c r="Q130" s="150" t="s">
        <v>331</v>
      </c>
      <c r="R130" s="149" t="s">
        <v>246</v>
      </c>
      <c r="S130" s="149" t="s">
        <v>545</v>
      </c>
      <c r="T130" s="149" t="s">
        <v>247</v>
      </c>
      <c r="U130" s="149" t="s">
        <v>546</v>
      </c>
      <c r="V130" s="149" t="s">
        <v>248</v>
      </c>
      <c r="W130" s="149" t="s">
        <v>249</v>
      </c>
      <c r="X130" s="149" t="s">
        <v>609</v>
      </c>
      <c r="Y130" s="149" t="s">
        <v>158</v>
      </c>
    </row>
    <row r="131" spans="1:25">
      <c r="A131">
        <v>2005</v>
      </c>
      <c r="B131" s="84">
        <v>0</v>
      </c>
      <c r="C131" s="84">
        <v>0</v>
      </c>
      <c r="D131" s="84">
        <v>0</v>
      </c>
      <c r="E131" s="84">
        <v>0</v>
      </c>
      <c r="F131" s="84">
        <v>0</v>
      </c>
      <c r="G131" s="84">
        <v>0</v>
      </c>
      <c r="H131" s="84">
        <v>0</v>
      </c>
      <c r="I131" s="84">
        <v>0</v>
      </c>
      <c r="J131" s="84">
        <v>0</v>
      </c>
      <c r="K131" s="84">
        <f>K3</f>
        <v>9.9000000000000005E-2</v>
      </c>
      <c r="L131" s="84">
        <v>0</v>
      </c>
      <c r="M131" s="84">
        <v>0</v>
      </c>
      <c r="N131" s="84">
        <v>0</v>
      </c>
      <c r="O131" s="84">
        <v>0</v>
      </c>
      <c r="P131" s="84">
        <v>0</v>
      </c>
      <c r="Q131" s="84">
        <v>0</v>
      </c>
      <c r="R131" s="84">
        <v>0</v>
      </c>
      <c r="S131" s="84">
        <v>0</v>
      </c>
      <c r="T131" s="84">
        <v>0</v>
      </c>
      <c r="U131" s="84">
        <v>0</v>
      </c>
      <c r="V131" s="84">
        <f>V3</f>
        <v>0.22</v>
      </c>
      <c r="W131" s="84">
        <f>W3</f>
        <v>1.1200000000000001</v>
      </c>
      <c r="X131" s="84">
        <v>0</v>
      </c>
      <c r="Y131" s="84">
        <f>SUM(B131:X131)</f>
        <v>1.4390000000000001</v>
      </c>
    </row>
    <row r="132" spans="1:25">
      <c r="A132">
        <v>2006</v>
      </c>
      <c r="B132" s="84">
        <f t="shared" ref="B132:B143" si="201">B131+B4</f>
        <v>0</v>
      </c>
      <c r="C132" s="84">
        <f t="shared" ref="C132:C143" si="202">C131+C4</f>
        <v>0</v>
      </c>
      <c r="D132" s="84">
        <f t="shared" ref="D132:D143" si="203">D131+D4</f>
        <v>0</v>
      </c>
      <c r="E132" s="84">
        <f t="shared" ref="E132:E143" si="204">E131+E4</f>
        <v>0</v>
      </c>
      <c r="F132" s="84">
        <f t="shared" ref="F132:F143" si="205">F131+F4</f>
        <v>0</v>
      </c>
      <c r="G132" s="84">
        <f t="shared" ref="G132:G143" si="206">G131+G4</f>
        <v>0</v>
      </c>
      <c r="H132" s="84">
        <f t="shared" ref="H132:H143" si="207">H131+H4</f>
        <v>0</v>
      </c>
      <c r="I132" s="84">
        <f t="shared" ref="I132:I143" si="208">I131+I4</f>
        <v>0</v>
      </c>
      <c r="J132" s="84">
        <f t="shared" ref="J132:J143" si="209">J131+J4</f>
        <v>0.02</v>
      </c>
      <c r="K132" s="84">
        <f t="shared" ref="K132:K143" si="210">K131+K4</f>
        <v>0.222</v>
      </c>
      <c r="L132" s="84">
        <f t="shared" ref="L132:L143" si="211">L131+L4</f>
        <v>0</v>
      </c>
      <c r="M132" s="84">
        <f t="shared" ref="M132:M143" si="212">M131+M4</f>
        <v>0</v>
      </c>
      <c r="N132" s="84">
        <f t="shared" ref="N132:N143" si="213">N131+N4</f>
        <v>0</v>
      </c>
      <c r="O132" s="84">
        <f t="shared" ref="O132:O143" si="214">O131+O4</f>
        <v>0</v>
      </c>
      <c r="P132" s="84">
        <f t="shared" ref="P132:P143" si="215">P131+P4</f>
        <v>0</v>
      </c>
      <c r="Q132" s="84">
        <f t="shared" ref="Q132:Q143" si="216">Q131+Q4</f>
        <v>0</v>
      </c>
      <c r="R132" s="84">
        <f t="shared" ref="R132:R143" si="217">R131+R4</f>
        <v>0</v>
      </c>
      <c r="S132" s="84">
        <f t="shared" ref="S132:S143" si="218">S131+S4</f>
        <v>0</v>
      </c>
      <c r="T132" s="84">
        <f t="shared" ref="T132:T143" si="219">T131+T4</f>
        <v>0</v>
      </c>
      <c r="U132" s="84">
        <f t="shared" ref="U132:U143" si="220">U131+U4</f>
        <v>0</v>
      </c>
      <c r="V132" s="84">
        <f t="shared" ref="V132:V143" si="221">V131+V4</f>
        <v>0.54</v>
      </c>
      <c r="W132" s="84">
        <f t="shared" ref="W132:W144" si="222">W131+W4</f>
        <v>2.3566666666666669</v>
      </c>
      <c r="X132" s="84">
        <f t="shared" ref="X132:X143" si="223">X131+X4</f>
        <v>0</v>
      </c>
      <c r="Y132" s="84">
        <f t="shared" ref="Y132:Y143" si="224">SUM(B132:X132)</f>
        <v>3.1386666666666669</v>
      </c>
    </row>
    <row r="133" spans="1:25">
      <c r="A133">
        <v>2007</v>
      </c>
      <c r="B133" s="84">
        <f t="shared" si="201"/>
        <v>0</v>
      </c>
      <c r="C133" s="84">
        <f t="shared" si="202"/>
        <v>0</v>
      </c>
      <c r="D133" s="84">
        <f t="shared" si="203"/>
        <v>0</v>
      </c>
      <c r="E133" s="84">
        <f t="shared" si="204"/>
        <v>0</v>
      </c>
      <c r="F133" s="84">
        <f t="shared" si="205"/>
        <v>0</v>
      </c>
      <c r="G133" s="84">
        <f t="shared" si="206"/>
        <v>0</v>
      </c>
      <c r="H133" s="84">
        <f t="shared" si="207"/>
        <v>0</v>
      </c>
      <c r="I133" s="84">
        <f t="shared" si="208"/>
        <v>0</v>
      </c>
      <c r="J133" s="84">
        <f t="shared" si="209"/>
        <v>0.04</v>
      </c>
      <c r="K133" s="84">
        <f t="shared" si="210"/>
        <v>0.35699999999999998</v>
      </c>
      <c r="L133" s="84">
        <f t="shared" si="211"/>
        <v>0</v>
      </c>
      <c r="M133" s="84">
        <f t="shared" si="212"/>
        <v>0</v>
      </c>
      <c r="N133" s="84">
        <f t="shared" si="213"/>
        <v>0</v>
      </c>
      <c r="O133" s="84">
        <f t="shared" si="214"/>
        <v>0</v>
      </c>
      <c r="P133" s="84">
        <f t="shared" si="215"/>
        <v>0</v>
      </c>
      <c r="Q133" s="84">
        <f t="shared" si="216"/>
        <v>0</v>
      </c>
      <c r="R133" s="84">
        <f t="shared" si="217"/>
        <v>0.01</v>
      </c>
      <c r="S133" s="84">
        <f t="shared" si="218"/>
        <v>0</v>
      </c>
      <c r="T133" s="84">
        <f t="shared" si="219"/>
        <v>0</v>
      </c>
      <c r="U133" s="84">
        <f t="shared" si="220"/>
        <v>0</v>
      </c>
      <c r="V133" s="84">
        <f t="shared" si="221"/>
        <v>0.99</v>
      </c>
      <c r="W133" s="84">
        <f t="shared" si="222"/>
        <v>3.7100000000000004</v>
      </c>
      <c r="X133" s="84">
        <f t="shared" si="223"/>
        <v>0</v>
      </c>
      <c r="Y133" s="84">
        <f t="shared" si="224"/>
        <v>5.1070000000000002</v>
      </c>
    </row>
    <row r="134" spans="1:25">
      <c r="A134">
        <v>2008</v>
      </c>
      <c r="B134" s="84">
        <f t="shared" si="201"/>
        <v>0</v>
      </c>
      <c r="C134" s="84">
        <f t="shared" si="202"/>
        <v>0</v>
      </c>
      <c r="D134" s="84">
        <f t="shared" si="203"/>
        <v>0</v>
      </c>
      <c r="E134" s="84">
        <f t="shared" si="204"/>
        <v>0</v>
      </c>
      <c r="F134" s="84">
        <f t="shared" si="205"/>
        <v>0</v>
      </c>
      <c r="G134" s="84">
        <f t="shared" si="206"/>
        <v>0</v>
      </c>
      <c r="H134" s="84">
        <f t="shared" si="207"/>
        <v>0</v>
      </c>
      <c r="I134" s="84">
        <f t="shared" si="208"/>
        <v>0</v>
      </c>
      <c r="J134" s="84">
        <f t="shared" si="209"/>
        <v>0.11000000000000001</v>
      </c>
      <c r="K134" s="84">
        <f t="shared" si="210"/>
        <v>0.55200000000000005</v>
      </c>
      <c r="L134" s="84">
        <f t="shared" si="211"/>
        <v>0</v>
      </c>
      <c r="M134" s="84">
        <f t="shared" si="212"/>
        <v>0</v>
      </c>
      <c r="N134" s="84">
        <f t="shared" si="213"/>
        <v>0</v>
      </c>
      <c r="O134" s="84">
        <f t="shared" si="214"/>
        <v>0</v>
      </c>
      <c r="P134" s="84">
        <f t="shared" si="215"/>
        <v>0.01</v>
      </c>
      <c r="Q134" s="84">
        <f t="shared" si="216"/>
        <v>0</v>
      </c>
      <c r="R134" s="84">
        <f t="shared" si="217"/>
        <v>0.25</v>
      </c>
      <c r="S134" s="84">
        <f t="shared" si="218"/>
        <v>0</v>
      </c>
      <c r="T134" s="84">
        <f t="shared" si="219"/>
        <v>0</v>
      </c>
      <c r="U134" s="84">
        <f t="shared" si="220"/>
        <v>0</v>
      </c>
      <c r="V134" s="84">
        <f t="shared" si="221"/>
        <v>1.21</v>
      </c>
      <c r="W134" s="84">
        <f t="shared" si="222"/>
        <v>5.1800000000000006</v>
      </c>
      <c r="X134" s="84">
        <f t="shared" si="223"/>
        <v>0</v>
      </c>
      <c r="Y134" s="84">
        <f t="shared" si="224"/>
        <v>7.3120000000000012</v>
      </c>
    </row>
    <row r="135" spans="1:25">
      <c r="A135">
        <v>2009</v>
      </c>
      <c r="B135" s="84">
        <f t="shared" si="201"/>
        <v>0</v>
      </c>
      <c r="C135" s="84">
        <f t="shared" si="202"/>
        <v>0.04</v>
      </c>
      <c r="D135" s="84">
        <f t="shared" si="203"/>
        <v>0</v>
      </c>
      <c r="E135" s="84">
        <f t="shared" si="204"/>
        <v>0</v>
      </c>
      <c r="F135" s="84">
        <f t="shared" si="205"/>
        <v>0.48</v>
      </c>
      <c r="G135" s="84">
        <f t="shared" si="206"/>
        <v>0</v>
      </c>
      <c r="H135" s="84">
        <f t="shared" si="207"/>
        <v>0</v>
      </c>
      <c r="I135" s="84">
        <f t="shared" si="208"/>
        <v>0.1</v>
      </c>
      <c r="J135" s="84">
        <f t="shared" si="209"/>
        <v>0.13</v>
      </c>
      <c r="K135" s="84">
        <f t="shared" si="210"/>
        <v>1.2415</v>
      </c>
      <c r="L135" s="84">
        <f t="shared" si="211"/>
        <v>0</v>
      </c>
      <c r="M135" s="84">
        <f t="shared" si="212"/>
        <v>0</v>
      </c>
      <c r="N135" s="84">
        <f t="shared" si="213"/>
        <v>0.99</v>
      </c>
      <c r="O135" s="84">
        <f t="shared" si="214"/>
        <v>0</v>
      </c>
      <c r="P135" s="84">
        <f t="shared" si="215"/>
        <v>0.04</v>
      </c>
      <c r="Q135" s="84">
        <f t="shared" si="216"/>
        <v>0</v>
      </c>
      <c r="R135" s="84">
        <f t="shared" si="217"/>
        <v>0.40400000000000003</v>
      </c>
      <c r="S135" s="84">
        <f t="shared" si="218"/>
        <v>0</v>
      </c>
      <c r="T135" s="84">
        <f t="shared" si="219"/>
        <v>0</v>
      </c>
      <c r="U135" s="84">
        <f t="shared" si="220"/>
        <v>0</v>
      </c>
      <c r="V135" s="84">
        <f t="shared" si="221"/>
        <v>1.39</v>
      </c>
      <c r="W135" s="84">
        <f t="shared" si="222"/>
        <v>6.5100000000000007</v>
      </c>
      <c r="X135" s="84">
        <f t="shared" si="223"/>
        <v>0</v>
      </c>
      <c r="Y135" s="84">
        <f t="shared" si="224"/>
        <v>11.325500000000002</v>
      </c>
    </row>
    <row r="136" spans="1:25">
      <c r="A136">
        <v>2010</v>
      </c>
      <c r="B136" s="84">
        <f t="shared" si="201"/>
        <v>0.04</v>
      </c>
      <c r="C136" s="84">
        <f t="shared" si="202"/>
        <v>0.152</v>
      </c>
      <c r="D136" s="84">
        <f t="shared" si="203"/>
        <v>0</v>
      </c>
      <c r="E136" s="84">
        <f t="shared" si="204"/>
        <v>0</v>
      </c>
      <c r="F136" s="84">
        <f t="shared" si="205"/>
        <v>1.91</v>
      </c>
      <c r="G136" s="84">
        <f t="shared" si="206"/>
        <v>0</v>
      </c>
      <c r="H136" s="84">
        <f t="shared" si="207"/>
        <v>0</v>
      </c>
      <c r="I136" s="84">
        <f t="shared" si="208"/>
        <v>0.29000000000000004</v>
      </c>
      <c r="J136" s="84">
        <f t="shared" si="209"/>
        <v>0.27</v>
      </c>
      <c r="K136" s="84">
        <f t="shared" si="210"/>
        <v>2.4115000000000002</v>
      </c>
      <c r="L136" s="84">
        <f t="shared" si="211"/>
        <v>0</v>
      </c>
      <c r="M136" s="84">
        <f t="shared" si="212"/>
        <v>0.04</v>
      </c>
      <c r="N136" s="84">
        <f t="shared" si="213"/>
        <v>3.4299999999999997</v>
      </c>
      <c r="O136" s="84">
        <f t="shared" si="214"/>
        <v>0.06</v>
      </c>
      <c r="P136" s="84">
        <f t="shared" si="215"/>
        <v>0.16</v>
      </c>
      <c r="Q136" s="84">
        <f t="shared" si="216"/>
        <v>0</v>
      </c>
      <c r="R136" s="84">
        <f t="shared" si="217"/>
        <v>0.79400000000000004</v>
      </c>
      <c r="S136" s="84">
        <f t="shared" si="218"/>
        <v>7.2999999999999995E-2</v>
      </c>
      <c r="T136" s="84">
        <f t="shared" si="219"/>
        <v>0.06</v>
      </c>
      <c r="U136" s="84">
        <f t="shared" si="220"/>
        <v>0.123</v>
      </c>
      <c r="V136" s="84">
        <f t="shared" si="221"/>
        <v>1.67</v>
      </c>
      <c r="W136" s="84">
        <f t="shared" si="222"/>
        <v>7.7000000000000011</v>
      </c>
      <c r="X136" s="84">
        <f t="shared" si="223"/>
        <v>4.0000000000000001E-3</v>
      </c>
      <c r="Y136" s="84">
        <f t="shared" si="224"/>
        <v>19.187500000000004</v>
      </c>
    </row>
    <row r="137" spans="1:25">
      <c r="A137">
        <v>2011</v>
      </c>
      <c r="B137" s="84">
        <f t="shared" si="201"/>
        <v>0.192</v>
      </c>
      <c r="C137" s="84">
        <f t="shared" si="202"/>
        <v>0.78300000000000003</v>
      </c>
      <c r="D137" s="84">
        <f t="shared" si="203"/>
        <v>0.28799999999999998</v>
      </c>
      <c r="E137" s="84">
        <f t="shared" si="204"/>
        <v>0.52</v>
      </c>
      <c r="F137" s="84">
        <f t="shared" si="205"/>
        <v>6.98</v>
      </c>
      <c r="G137" s="84">
        <f t="shared" si="206"/>
        <v>0.41499999999999998</v>
      </c>
      <c r="H137" s="84">
        <f t="shared" si="207"/>
        <v>2.9000000000000001E-2</v>
      </c>
      <c r="I137" s="84">
        <f t="shared" si="208"/>
        <v>3.02</v>
      </c>
      <c r="J137" s="84">
        <f t="shared" si="209"/>
        <v>1.92</v>
      </c>
      <c r="K137" s="84">
        <f t="shared" si="210"/>
        <v>4.1509999999999998</v>
      </c>
      <c r="L137" s="84">
        <f t="shared" si="211"/>
        <v>4.5999999999999999E-2</v>
      </c>
      <c r="M137" s="84">
        <f t="shared" si="212"/>
        <v>0.157</v>
      </c>
      <c r="N137" s="84">
        <f t="shared" si="213"/>
        <v>16.049999999999997</v>
      </c>
      <c r="O137" s="84">
        <f t="shared" si="214"/>
        <v>0.33</v>
      </c>
      <c r="P137" s="84">
        <f t="shared" si="215"/>
        <v>1.04</v>
      </c>
      <c r="Q137" s="84">
        <f t="shared" si="216"/>
        <v>0</v>
      </c>
      <c r="R137" s="84">
        <f t="shared" si="217"/>
        <v>2.6340000000000003</v>
      </c>
      <c r="S137" s="84">
        <f t="shared" si="218"/>
        <v>0.64899999999999991</v>
      </c>
      <c r="T137" s="84">
        <f t="shared" si="219"/>
        <v>0.24299999999999999</v>
      </c>
      <c r="U137" s="84">
        <f t="shared" si="220"/>
        <v>0.55899999999999994</v>
      </c>
      <c r="V137" s="84">
        <f t="shared" si="221"/>
        <v>2.8899999999999997</v>
      </c>
      <c r="W137" s="84">
        <f t="shared" si="222"/>
        <v>25.43</v>
      </c>
      <c r="X137" s="84">
        <f t="shared" si="223"/>
        <v>0.45100000000000007</v>
      </c>
      <c r="Y137" s="84">
        <f t="shared" si="224"/>
        <v>68.776999999999987</v>
      </c>
    </row>
    <row r="138" spans="1:25">
      <c r="A138">
        <v>2012</v>
      </c>
      <c r="B138" s="84">
        <f t="shared" si="201"/>
        <v>0.32500000000000001</v>
      </c>
      <c r="C138" s="84">
        <f t="shared" si="202"/>
        <v>1.4769999999999999</v>
      </c>
      <c r="D138" s="84">
        <f t="shared" si="203"/>
        <v>1.1990000000000001</v>
      </c>
      <c r="E138" s="84">
        <f t="shared" si="204"/>
        <v>2.54</v>
      </c>
      <c r="F138" s="84">
        <f t="shared" si="205"/>
        <v>16.880000000000003</v>
      </c>
      <c r="G138" s="84">
        <f t="shared" si="206"/>
        <v>0.91900000000000004</v>
      </c>
      <c r="H138" s="84">
        <f t="shared" si="207"/>
        <v>0.20799999999999999</v>
      </c>
      <c r="I138" s="84">
        <f t="shared" si="208"/>
        <v>9.2799999999999994</v>
      </c>
      <c r="J138" s="84">
        <f t="shared" si="209"/>
        <v>5.29</v>
      </c>
      <c r="K138" s="84">
        <f t="shared" si="210"/>
        <v>7.2109999999999994</v>
      </c>
      <c r="L138" s="84">
        <f t="shared" si="211"/>
        <v>0.185</v>
      </c>
      <c r="M138" s="84">
        <f t="shared" si="212"/>
        <v>0.80900000000000005</v>
      </c>
      <c r="N138" s="84">
        <f t="shared" si="213"/>
        <v>40.489999999999995</v>
      </c>
      <c r="O138" s="84">
        <f t="shared" si="214"/>
        <v>0.84000000000000008</v>
      </c>
      <c r="P138" s="84">
        <f t="shared" si="215"/>
        <v>6.16</v>
      </c>
      <c r="Q138" s="84">
        <f t="shared" si="216"/>
        <v>0</v>
      </c>
      <c r="R138" s="84">
        <f t="shared" si="217"/>
        <v>7.1440000000000001</v>
      </c>
      <c r="S138" s="84">
        <f t="shared" si="218"/>
        <v>1.2010000000000001</v>
      </c>
      <c r="T138" s="84">
        <f t="shared" si="219"/>
        <v>1.2000000000000002</v>
      </c>
      <c r="U138" s="84">
        <f t="shared" si="220"/>
        <v>1.4159999999999999</v>
      </c>
      <c r="V138" s="84">
        <f t="shared" si="221"/>
        <v>5.58</v>
      </c>
      <c r="W138" s="84">
        <f t="shared" si="222"/>
        <v>78.67</v>
      </c>
      <c r="X138" s="84">
        <f t="shared" si="223"/>
        <v>1.4821428571428574</v>
      </c>
      <c r="Y138" s="84">
        <f t="shared" si="224"/>
        <v>190.50614285714286</v>
      </c>
    </row>
    <row r="139" spans="1:25">
      <c r="A139">
        <v>2013</v>
      </c>
      <c r="B139" s="84">
        <f t="shared" si="201"/>
        <v>0.66500000000000004</v>
      </c>
      <c r="C139" s="84">
        <f t="shared" si="202"/>
        <v>2.3149999999999999</v>
      </c>
      <c r="D139" s="84">
        <f t="shared" si="203"/>
        <v>2.012</v>
      </c>
      <c r="E139" s="84">
        <f t="shared" si="204"/>
        <v>5.66</v>
      </c>
      <c r="F139" s="84">
        <f t="shared" si="205"/>
        <v>32.22</v>
      </c>
      <c r="G139" s="84">
        <f t="shared" si="206"/>
        <v>1.427</v>
      </c>
      <c r="H139" s="84">
        <f t="shared" si="207"/>
        <v>0.42600000000000005</v>
      </c>
      <c r="I139" s="84">
        <f t="shared" si="208"/>
        <v>18.899999999999999</v>
      </c>
      <c r="J139" s="84">
        <f t="shared" si="209"/>
        <v>12.219999999999999</v>
      </c>
      <c r="K139" s="84">
        <f t="shared" si="210"/>
        <v>10.571</v>
      </c>
      <c r="L139" s="84">
        <f t="shared" si="211"/>
        <v>0.23199999999999998</v>
      </c>
      <c r="M139" s="84">
        <f t="shared" si="212"/>
        <v>1.863</v>
      </c>
      <c r="N139" s="84">
        <f t="shared" si="213"/>
        <v>69.36999999999999</v>
      </c>
      <c r="O139" s="84">
        <f t="shared" si="214"/>
        <v>1.44</v>
      </c>
      <c r="P139" s="84">
        <f t="shared" si="215"/>
        <v>28.580000000000002</v>
      </c>
      <c r="Q139" s="84">
        <f t="shared" si="216"/>
        <v>1.6E-2</v>
      </c>
      <c r="R139" s="84">
        <f t="shared" si="217"/>
        <v>15.664</v>
      </c>
      <c r="S139" s="84">
        <f t="shared" si="218"/>
        <v>2.2090000000000001</v>
      </c>
      <c r="T139" s="84">
        <f t="shared" si="219"/>
        <v>2.7560000000000002</v>
      </c>
      <c r="U139" s="84">
        <f t="shared" si="220"/>
        <v>2.7610000000000001</v>
      </c>
      <c r="V139" s="84">
        <f t="shared" si="221"/>
        <v>9.33</v>
      </c>
      <c r="W139" s="84">
        <f t="shared" si="222"/>
        <v>175.37</v>
      </c>
      <c r="X139" s="84">
        <f t="shared" si="223"/>
        <v>2.3381428571428575</v>
      </c>
      <c r="Y139" s="84">
        <f t="shared" si="224"/>
        <v>398.34514285714283</v>
      </c>
    </row>
    <row r="140" spans="1:25">
      <c r="A140">
        <v>2014</v>
      </c>
      <c r="B140" s="84">
        <f t="shared" si="201"/>
        <v>1.9870000000000001</v>
      </c>
      <c r="C140" s="84">
        <f t="shared" si="202"/>
        <v>4.0199999999999996</v>
      </c>
      <c r="D140" s="84">
        <f t="shared" si="203"/>
        <v>4.0329999999999995</v>
      </c>
      <c r="E140" s="84">
        <f t="shared" si="204"/>
        <v>10.73</v>
      </c>
      <c r="F140" s="84">
        <f t="shared" si="205"/>
        <v>105.39</v>
      </c>
      <c r="G140" s="84">
        <f t="shared" si="206"/>
        <v>3.06</v>
      </c>
      <c r="H140" s="84">
        <f t="shared" si="207"/>
        <v>0.90200000000000002</v>
      </c>
      <c r="I140" s="84">
        <f t="shared" si="208"/>
        <v>31.54</v>
      </c>
      <c r="J140" s="84">
        <f t="shared" si="209"/>
        <v>24.96</v>
      </c>
      <c r="K140" s="84">
        <f t="shared" si="210"/>
        <v>14.571</v>
      </c>
      <c r="L140" s="84">
        <f t="shared" si="211"/>
        <v>0.48899999999999999</v>
      </c>
      <c r="M140" s="84">
        <f t="shared" si="212"/>
        <v>3.3839999999999999</v>
      </c>
      <c r="N140" s="84">
        <f t="shared" si="213"/>
        <v>101.66</v>
      </c>
      <c r="O140" s="84">
        <f t="shared" si="214"/>
        <v>2.75</v>
      </c>
      <c r="P140" s="84">
        <f t="shared" si="215"/>
        <v>43.67</v>
      </c>
      <c r="Q140" s="84">
        <f t="shared" si="216"/>
        <v>0.27</v>
      </c>
      <c r="R140" s="84">
        <f t="shared" si="217"/>
        <v>35.423999999999999</v>
      </c>
      <c r="S140" s="84">
        <f t="shared" si="218"/>
        <v>3.661</v>
      </c>
      <c r="T140" s="84">
        <f t="shared" si="219"/>
        <v>7.431</v>
      </c>
      <c r="U140" s="84">
        <f t="shared" si="220"/>
        <v>4.8900000000000006</v>
      </c>
      <c r="V140" s="84">
        <f t="shared" si="221"/>
        <v>24.07</v>
      </c>
      <c r="W140" s="84">
        <f t="shared" si="222"/>
        <v>294.14999999999998</v>
      </c>
      <c r="X140" s="84">
        <f t="shared" si="223"/>
        <v>4.6441428571428567</v>
      </c>
      <c r="Y140" s="84">
        <f t="shared" si="224"/>
        <v>727.68614285714273</v>
      </c>
    </row>
    <row r="141" spans="1:25">
      <c r="A141">
        <v>2015</v>
      </c>
      <c r="B141" s="84">
        <f t="shared" si="201"/>
        <v>3.758</v>
      </c>
      <c r="C141" s="84">
        <f t="shared" si="202"/>
        <v>6.798</v>
      </c>
      <c r="D141" s="84">
        <f t="shared" si="203"/>
        <v>7.8419999999999996</v>
      </c>
      <c r="E141" s="84">
        <f t="shared" si="204"/>
        <v>17.690000000000001</v>
      </c>
      <c r="F141" s="84">
        <f t="shared" si="205"/>
        <v>312.77</v>
      </c>
      <c r="G141" s="84">
        <f t="shared" si="206"/>
        <v>8.0280000000000005</v>
      </c>
      <c r="H141" s="84">
        <f t="shared" si="207"/>
        <v>1.5590000000000002</v>
      </c>
      <c r="I141" s="84">
        <f t="shared" si="208"/>
        <v>54.489999999999995</v>
      </c>
      <c r="J141" s="84">
        <f t="shared" si="209"/>
        <v>48.150000000000006</v>
      </c>
      <c r="K141" s="84">
        <f t="shared" si="210"/>
        <v>19.745999999999999</v>
      </c>
      <c r="L141" s="84">
        <f t="shared" si="211"/>
        <v>1.048</v>
      </c>
      <c r="M141" s="84">
        <f t="shared" si="212"/>
        <v>5.726</v>
      </c>
      <c r="N141" s="84">
        <f t="shared" si="213"/>
        <v>126.31</v>
      </c>
      <c r="O141" s="84">
        <f t="shared" si="214"/>
        <v>5.9399999999999995</v>
      </c>
      <c r="P141" s="84">
        <f t="shared" si="215"/>
        <v>87.44</v>
      </c>
      <c r="Q141" s="84">
        <f t="shared" si="216"/>
        <v>0.56499999999999995</v>
      </c>
      <c r="R141" s="84">
        <f t="shared" si="217"/>
        <v>71.033999999999992</v>
      </c>
      <c r="S141" s="84">
        <f t="shared" si="218"/>
        <v>5.952</v>
      </c>
      <c r="T141" s="84">
        <f t="shared" si="219"/>
        <v>16.120999999999999</v>
      </c>
      <c r="U141" s="84">
        <f t="shared" si="220"/>
        <v>10.513</v>
      </c>
      <c r="V141" s="84">
        <f t="shared" si="221"/>
        <v>53.41</v>
      </c>
      <c r="W141" s="84">
        <f t="shared" si="222"/>
        <v>408.02</v>
      </c>
      <c r="X141" s="84">
        <f t="shared" si="223"/>
        <v>8.5411428571428569</v>
      </c>
      <c r="Y141" s="84">
        <f t="shared" si="224"/>
        <v>1281.4511428571429</v>
      </c>
    </row>
    <row r="142" spans="1:25">
      <c r="A142">
        <v>2016</v>
      </c>
      <c r="B142" s="84">
        <f t="shared" si="201"/>
        <v>5.5049999999999999</v>
      </c>
      <c r="C142" s="84">
        <f t="shared" si="202"/>
        <v>11.861000000000001</v>
      </c>
      <c r="D142" s="84">
        <f t="shared" si="203"/>
        <v>16.567</v>
      </c>
      <c r="E142" s="84">
        <f t="shared" si="204"/>
        <v>29.270000000000003</v>
      </c>
      <c r="F142" s="84">
        <f t="shared" si="205"/>
        <v>648.77</v>
      </c>
      <c r="G142" s="84">
        <f t="shared" si="206"/>
        <v>9.9120000000000008</v>
      </c>
      <c r="H142" s="84">
        <f t="shared" si="207"/>
        <v>2.9890000000000003</v>
      </c>
      <c r="I142" s="84">
        <f t="shared" si="208"/>
        <v>83.670999999999992</v>
      </c>
      <c r="J142" s="84">
        <f t="shared" si="209"/>
        <v>73.311000000000007</v>
      </c>
      <c r="K142" s="84">
        <f t="shared" si="210"/>
        <v>26.508499999999998</v>
      </c>
      <c r="L142" s="84">
        <f t="shared" si="211"/>
        <v>1.738</v>
      </c>
      <c r="M142" s="84">
        <f t="shared" si="212"/>
        <v>8.5549999999999997</v>
      </c>
      <c r="N142" s="84">
        <f t="shared" si="213"/>
        <v>151.16</v>
      </c>
      <c r="O142" s="84">
        <f t="shared" si="214"/>
        <v>11.2</v>
      </c>
      <c r="P142" s="84">
        <f t="shared" si="215"/>
        <v>110.336</v>
      </c>
      <c r="Q142" s="84">
        <f t="shared" si="216"/>
        <v>1.2789999999999999</v>
      </c>
      <c r="R142" s="84">
        <f t="shared" si="217"/>
        <v>115.94199999999999</v>
      </c>
      <c r="S142" s="84">
        <f t="shared" si="218"/>
        <v>9.468</v>
      </c>
      <c r="T142" s="84">
        <f t="shared" si="219"/>
        <v>29.361999999999998</v>
      </c>
      <c r="U142" s="84">
        <f t="shared" si="220"/>
        <v>16.637</v>
      </c>
      <c r="V142" s="84">
        <f t="shared" si="221"/>
        <v>88.572999999999993</v>
      </c>
      <c r="W142" s="84">
        <f t="shared" si="222"/>
        <v>567.64</v>
      </c>
      <c r="X142" s="84">
        <f t="shared" si="223"/>
        <v>13.823142857142857</v>
      </c>
      <c r="Y142" s="84">
        <f t="shared" si="224"/>
        <v>2034.0776428571432</v>
      </c>
    </row>
    <row r="143" spans="1:25">
      <c r="A143">
        <v>2017</v>
      </c>
      <c r="B143" s="84">
        <f t="shared" si="201"/>
        <v>7.3979999999999997</v>
      </c>
      <c r="C143" s="84">
        <f t="shared" si="202"/>
        <v>19.015000000000001</v>
      </c>
      <c r="D143" s="84">
        <f t="shared" si="203"/>
        <v>30.563000000000002</v>
      </c>
      <c r="E143" s="84">
        <f t="shared" si="204"/>
        <v>48.507000000000005</v>
      </c>
      <c r="F143" s="84">
        <f t="shared" si="205"/>
        <v>1227.77</v>
      </c>
      <c r="G143" s="84">
        <f t="shared" si="206"/>
        <v>11.224</v>
      </c>
      <c r="H143" s="84">
        <f t="shared" si="207"/>
        <v>6.0440000000000005</v>
      </c>
      <c r="I143" s="84">
        <f t="shared" si="208"/>
        <v>120.44899999999998</v>
      </c>
      <c r="J143" s="84">
        <f t="shared" si="209"/>
        <v>127.80600000000001</v>
      </c>
      <c r="K143" s="84">
        <f t="shared" si="210"/>
        <v>34.858499999999999</v>
      </c>
      <c r="L143" s="84">
        <f t="shared" si="211"/>
        <v>2.6859999999999999</v>
      </c>
      <c r="M143" s="84">
        <f t="shared" si="212"/>
        <v>13.385</v>
      </c>
      <c r="N143" s="84">
        <f t="shared" si="213"/>
        <v>207.16</v>
      </c>
      <c r="O143" s="84">
        <f t="shared" si="214"/>
        <v>23.305999999999997</v>
      </c>
      <c r="P143" s="84">
        <f t="shared" si="215"/>
        <v>121.39099999999999</v>
      </c>
      <c r="Q143" s="84">
        <f t="shared" si="216"/>
        <v>2.3879999999999999</v>
      </c>
      <c r="R143" s="84">
        <f t="shared" si="217"/>
        <v>178.255</v>
      </c>
      <c r="S143" s="84">
        <f t="shared" si="218"/>
        <v>16.757999999999999</v>
      </c>
      <c r="T143" s="84">
        <f t="shared" si="219"/>
        <v>49.025999999999996</v>
      </c>
      <c r="U143" s="84">
        <f t="shared" si="220"/>
        <v>24.814</v>
      </c>
      <c r="V143" s="84">
        <f t="shared" si="221"/>
        <v>133.32399999999998</v>
      </c>
      <c r="W143" s="84">
        <f t="shared" si="222"/>
        <v>762.11900000000003</v>
      </c>
      <c r="X143" s="84">
        <f t="shared" si="223"/>
        <v>26.911142857142856</v>
      </c>
      <c r="Y143" s="84">
        <f t="shared" si="224"/>
        <v>3195.1576428571425</v>
      </c>
    </row>
    <row r="144" spans="1:25">
      <c r="A144">
        <v>2018</v>
      </c>
      <c r="Q144" s="84">
        <f>Q143+Q16</f>
        <v>3.9689999999999999</v>
      </c>
      <c r="V144" s="84"/>
      <c r="W144" s="84">
        <f t="shared" si="222"/>
        <v>1112.1190000000001</v>
      </c>
    </row>
    <row r="145" spans="1:23">
      <c r="A145">
        <v>2019</v>
      </c>
      <c r="V145" s="84"/>
      <c r="W145" s="84"/>
    </row>
    <row r="146" spans="1:23">
      <c r="A146">
        <v>2020</v>
      </c>
      <c r="V146" s="84"/>
      <c r="W146" s="84"/>
    </row>
    <row r="147" spans="1:23">
      <c r="A147">
        <v>2021</v>
      </c>
      <c r="V147" s="84"/>
      <c r="W147" s="84"/>
    </row>
    <row r="148" spans="1:23">
      <c r="A148">
        <v>2022</v>
      </c>
      <c r="V148" s="84"/>
      <c r="W148" s="84"/>
    </row>
    <row r="149" spans="1:23">
      <c r="A149">
        <v>2023</v>
      </c>
      <c r="V149" s="84"/>
    </row>
    <row r="150" spans="1:23">
      <c r="A150">
        <v>2024</v>
      </c>
      <c r="V150" s="84"/>
    </row>
    <row r="151" spans="1:23">
      <c r="A151">
        <v>2025</v>
      </c>
      <c r="V151" s="84"/>
    </row>
    <row r="152" spans="1:23">
      <c r="A152">
        <v>2026</v>
      </c>
      <c r="V152" s="84"/>
    </row>
    <row r="153" spans="1:23">
      <c r="A153">
        <v>2027</v>
      </c>
      <c r="V153" s="84"/>
    </row>
    <row r="154" spans="1:23">
      <c r="A154">
        <v>2028</v>
      </c>
      <c r="V154" s="84"/>
    </row>
    <row r="155" spans="1:23">
      <c r="A155">
        <v>2029</v>
      </c>
      <c r="V155" s="84"/>
    </row>
    <row r="156" spans="1:23">
      <c r="A156">
        <v>2030</v>
      </c>
      <c r="V156" s="84"/>
    </row>
    <row r="160" spans="1:23">
      <c r="Q160" t="s">
        <v>1029</v>
      </c>
    </row>
    <row r="161" spans="17:17">
      <c r="Q161" t="s">
        <v>1030</v>
      </c>
    </row>
    <row r="162" spans="17:17">
      <c r="Q162" t="s">
        <v>1031</v>
      </c>
    </row>
  </sheetData>
  <printOptions gridLines="1"/>
  <pageMargins left="0.7" right="0.7" top="0.75" bottom="0.75" header="0.3" footer="0.3"/>
  <pageSetup paperSize="9" fitToHeight="0"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67"/>
  <sheetViews>
    <sheetView topLeftCell="A16" zoomScale="75" zoomScaleNormal="75" workbookViewId="0">
      <selection activeCell="W47" sqref="W47"/>
    </sheetView>
  </sheetViews>
  <sheetFormatPr defaultRowHeight="15"/>
  <cols>
    <col min="3" max="3" width="9.140625" customWidth="1"/>
    <col min="13" max="13" width="13.140625" customWidth="1"/>
    <col min="17" max="17" width="11" customWidth="1"/>
  </cols>
  <sheetData>
    <row r="2" spans="1:15">
      <c r="M2" t="s">
        <v>453</v>
      </c>
    </row>
    <row r="4" spans="1:15">
      <c r="M4" t="s">
        <v>348</v>
      </c>
    </row>
    <row r="5" spans="1:15">
      <c r="B5" t="s">
        <v>356</v>
      </c>
      <c r="C5" t="s">
        <v>357</v>
      </c>
      <c r="D5" t="s">
        <v>358</v>
      </c>
      <c r="E5" t="s">
        <v>359</v>
      </c>
      <c r="F5" t="s">
        <v>158</v>
      </c>
      <c r="H5" t="s">
        <v>349</v>
      </c>
      <c r="I5" t="s">
        <v>350</v>
      </c>
      <c r="J5" t="s">
        <v>360</v>
      </c>
      <c r="K5" t="s">
        <v>158</v>
      </c>
      <c r="M5" t="s">
        <v>356</v>
      </c>
      <c r="N5" t="s">
        <v>357</v>
      </c>
      <c r="O5" t="s">
        <v>158</v>
      </c>
    </row>
    <row r="6" spans="1:15">
      <c r="A6">
        <v>2009</v>
      </c>
      <c r="B6">
        <f t="shared" ref="B6:B12" si="0">B19/1000</f>
        <v>0.98599999999999999</v>
      </c>
      <c r="C6">
        <f t="shared" ref="C6:K6" si="1">C19/1000</f>
        <v>0</v>
      </c>
      <c r="D6">
        <f t="shared" si="1"/>
        <v>0</v>
      </c>
      <c r="E6">
        <f t="shared" si="1"/>
        <v>0</v>
      </c>
      <c r="F6">
        <f t="shared" si="1"/>
        <v>0.98599999999999999</v>
      </c>
      <c r="H6">
        <f t="shared" si="1"/>
        <v>0.98599999999999999</v>
      </c>
      <c r="I6">
        <f t="shared" si="1"/>
        <v>0</v>
      </c>
      <c r="J6">
        <f t="shared" si="1"/>
        <v>0</v>
      </c>
      <c r="K6">
        <f t="shared" si="1"/>
        <v>0.98599999999999999</v>
      </c>
      <c r="M6">
        <v>0.98599999999999999</v>
      </c>
      <c r="N6">
        <v>4.0000000000000036E-3</v>
      </c>
      <c r="O6">
        <v>0.99</v>
      </c>
    </row>
    <row r="7" spans="1:15">
      <c r="A7">
        <v>2010</v>
      </c>
      <c r="B7">
        <f t="shared" si="0"/>
        <v>2.359</v>
      </c>
      <c r="C7">
        <f t="shared" ref="C7:F12" si="2">C20/1000</f>
        <v>0</v>
      </c>
      <c r="D7">
        <f t="shared" si="2"/>
        <v>0</v>
      </c>
      <c r="E7">
        <f t="shared" si="2"/>
        <v>0</v>
      </c>
      <c r="F7">
        <f t="shared" si="2"/>
        <v>2.359</v>
      </c>
      <c r="H7">
        <f t="shared" ref="H7:K12" si="3">H20/1000</f>
        <v>2.359</v>
      </c>
      <c r="I7">
        <f t="shared" si="3"/>
        <v>0</v>
      </c>
      <c r="J7">
        <f t="shared" si="3"/>
        <v>0</v>
      </c>
      <c r="K7">
        <f t="shared" si="3"/>
        <v>2.359</v>
      </c>
      <c r="M7">
        <v>2.44</v>
      </c>
      <c r="N7">
        <v>0</v>
      </c>
      <c r="O7">
        <v>2.44</v>
      </c>
    </row>
    <row r="8" spans="1:15">
      <c r="A8">
        <v>2011</v>
      </c>
      <c r="B8">
        <f t="shared" si="0"/>
        <v>12.6</v>
      </c>
      <c r="C8">
        <f t="shared" si="2"/>
        <v>0</v>
      </c>
      <c r="D8">
        <f t="shared" si="2"/>
        <v>0.747</v>
      </c>
      <c r="E8">
        <f t="shared" si="2"/>
        <v>0</v>
      </c>
      <c r="F8">
        <f t="shared" si="2"/>
        <v>13.347</v>
      </c>
      <c r="H8">
        <f t="shared" si="3"/>
        <v>12.6</v>
      </c>
      <c r="I8">
        <f t="shared" si="3"/>
        <v>0.747</v>
      </c>
      <c r="J8">
        <f t="shared" si="3"/>
        <v>0</v>
      </c>
      <c r="K8">
        <f t="shared" si="3"/>
        <v>13.347</v>
      </c>
      <c r="M8">
        <v>12.61</v>
      </c>
      <c r="N8">
        <v>9.9999999999997868E-3</v>
      </c>
      <c r="O8">
        <v>12.62</v>
      </c>
    </row>
    <row r="9" spans="1:15">
      <c r="A9">
        <v>2012</v>
      </c>
      <c r="B9">
        <f t="shared" si="0"/>
        <v>13.41</v>
      </c>
      <c r="C9">
        <f t="shared" si="2"/>
        <v>10.97</v>
      </c>
      <c r="D9">
        <f t="shared" si="2"/>
        <v>2.4870000000000001</v>
      </c>
      <c r="E9">
        <f t="shared" si="2"/>
        <v>0</v>
      </c>
      <c r="F9">
        <f t="shared" si="2"/>
        <v>26.867000000000001</v>
      </c>
      <c r="H9">
        <f t="shared" si="3"/>
        <v>24.38</v>
      </c>
      <c r="I9" s="87">
        <f t="shared" si="3"/>
        <v>2.4870000000000001</v>
      </c>
      <c r="J9">
        <f t="shared" si="3"/>
        <v>0</v>
      </c>
      <c r="K9">
        <f t="shared" si="3"/>
        <v>26.867000000000001</v>
      </c>
      <c r="M9">
        <v>13.47</v>
      </c>
      <c r="N9">
        <v>10.97</v>
      </c>
      <c r="O9">
        <v>24.44</v>
      </c>
    </row>
    <row r="10" spans="1:15">
      <c r="A10">
        <v>2013</v>
      </c>
      <c r="B10">
        <f t="shared" si="0"/>
        <v>14.512</v>
      </c>
      <c r="C10">
        <f t="shared" si="2"/>
        <v>14.06</v>
      </c>
      <c r="D10">
        <f t="shared" si="2"/>
        <v>1.4610000000000001</v>
      </c>
      <c r="E10">
        <f t="shared" si="2"/>
        <v>0.55400000000000005</v>
      </c>
      <c r="F10">
        <f t="shared" si="2"/>
        <v>30.587</v>
      </c>
      <c r="G10" s="106"/>
      <c r="H10">
        <f t="shared" si="3"/>
        <v>28.571999999999999</v>
      </c>
      <c r="I10" s="87">
        <f t="shared" si="3"/>
        <v>1.4610000000000001</v>
      </c>
      <c r="J10">
        <f t="shared" si="3"/>
        <v>0.55400000000000005</v>
      </c>
      <c r="K10">
        <f t="shared" si="3"/>
        <v>30.587</v>
      </c>
      <c r="M10">
        <v>14.76</v>
      </c>
      <c r="N10">
        <v>14.12</v>
      </c>
      <c r="O10">
        <v>28.88</v>
      </c>
    </row>
    <row r="11" spans="1:15">
      <c r="A11">
        <v>2014</v>
      </c>
      <c r="B11">
        <f t="shared" si="0"/>
        <v>15.598000000000001</v>
      </c>
      <c r="C11" s="14">
        <f t="shared" si="2"/>
        <v>15.250999999999999</v>
      </c>
      <c r="D11">
        <f t="shared" si="2"/>
        <v>0.86499999999999999</v>
      </c>
      <c r="E11">
        <f t="shared" si="2"/>
        <v>0.17699999999999999</v>
      </c>
      <c r="F11">
        <f t="shared" si="2"/>
        <v>31.890999999999998</v>
      </c>
      <c r="G11" s="106"/>
      <c r="H11">
        <f t="shared" si="3"/>
        <v>30.849</v>
      </c>
      <c r="I11">
        <f t="shared" si="3"/>
        <v>0.86499999999999999</v>
      </c>
      <c r="J11">
        <f t="shared" si="3"/>
        <v>0.17699999999999999</v>
      </c>
      <c r="K11">
        <f t="shared" si="3"/>
        <v>31.890999999999998</v>
      </c>
      <c r="M11">
        <v>16.11</v>
      </c>
      <c r="N11" s="14">
        <v>16.18</v>
      </c>
      <c r="O11">
        <v>32.29</v>
      </c>
    </row>
    <row r="12" spans="1:15">
      <c r="A12">
        <v>2015</v>
      </c>
      <c r="B12">
        <f t="shared" si="0"/>
        <v>9.6920000000000002</v>
      </c>
      <c r="C12" s="14">
        <f t="shared" si="2"/>
        <v>12.34</v>
      </c>
      <c r="D12">
        <f t="shared" si="2"/>
        <v>0.501</v>
      </c>
      <c r="E12">
        <f t="shared" si="2"/>
        <v>0.161</v>
      </c>
      <c r="F12">
        <f t="shared" si="2"/>
        <v>22.693999999999999</v>
      </c>
      <c r="G12" s="106"/>
      <c r="H12">
        <f t="shared" si="3"/>
        <v>22.032</v>
      </c>
      <c r="I12">
        <f t="shared" si="3"/>
        <v>0.501</v>
      </c>
      <c r="J12">
        <f t="shared" si="3"/>
        <v>0.161</v>
      </c>
      <c r="K12">
        <f t="shared" si="3"/>
        <v>22.693999999999999</v>
      </c>
      <c r="M12">
        <v>10.47</v>
      </c>
      <c r="N12" s="14">
        <v>14.179999999999998</v>
      </c>
      <c r="O12">
        <v>24.65</v>
      </c>
    </row>
    <row r="13" spans="1:15">
      <c r="A13">
        <v>2016</v>
      </c>
      <c r="M13">
        <v>15.46</v>
      </c>
      <c r="N13">
        <v>9.39</v>
      </c>
      <c r="O13">
        <v>24.85</v>
      </c>
    </row>
    <row r="14" spans="1:15">
      <c r="A14">
        <v>2017</v>
      </c>
      <c r="M14">
        <v>21.84</v>
      </c>
      <c r="N14">
        <v>34.159999999999997</v>
      </c>
      <c r="O14" s="13">
        <v>56</v>
      </c>
    </row>
    <row r="18" spans="1:11">
      <c r="B18" t="s">
        <v>356</v>
      </c>
      <c r="C18" t="s">
        <v>357</v>
      </c>
      <c r="D18" t="s">
        <v>358</v>
      </c>
      <c r="E18" t="s">
        <v>359</v>
      </c>
      <c r="F18" t="s">
        <v>158</v>
      </c>
      <c r="H18" t="s">
        <v>349</v>
      </c>
      <c r="I18" t="s">
        <v>350</v>
      </c>
      <c r="J18" t="s">
        <v>360</v>
      </c>
      <c r="K18" t="s">
        <v>158</v>
      </c>
    </row>
    <row r="19" spans="1:11">
      <c r="A19">
        <v>2009</v>
      </c>
      <c r="B19">
        <v>986</v>
      </c>
      <c r="C19">
        <v>0</v>
      </c>
      <c r="D19">
        <v>0</v>
      </c>
      <c r="E19">
        <v>0</v>
      </c>
      <c r="F19">
        <v>986</v>
      </c>
      <c r="H19">
        <f>B19+C19</f>
        <v>986</v>
      </c>
      <c r="I19">
        <f>D19</f>
        <v>0</v>
      </c>
      <c r="J19">
        <f>E19</f>
        <v>0</v>
      </c>
      <c r="K19">
        <f>H19+I19+J19</f>
        <v>986</v>
      </c>
    </row>
    <row r="20" spans="1:11">
      <c r="A20">
        <v>2010</v>
      </c>
      <c r="B20">
        <v>2359</v>
      </c>
      <c r="C20">
        <v>0</v>
      </c>
      <c r="D20">
        <v>0</v>
      </c>
      <c r="E20">
        <v>0</v>
      </c>
      <c r="F20">
        <v>2359</v>
      </c>
      <c r="H20">
        <f t="shared" ref="H20:H25" si="4">B20+C20</f>
        <v>2359</v>
      </c>
      <c r="I20">
        <f t="shared" ref="I20:I25" si="5">D20</f>
        <v>0</v>
      </c>
      <c r="J20">
        <f t="shared" ref="J20:J25" si="6">E20</f>
        <v>0</v>
      </c>
      <c r="K20">
        <f t="shared" ref="K20:K25" si="7">H20+I20+J20</f>
        <v>2359</v>
      </c>
    </row>
    <row r="21" spans="1:11">
      <c r="A21">
        <v>2011</v>
      </c>
      <c r="B21">
        <v>12600</v>
      </c>
      <c r="C21">
        <v>0</v>
      </c>
      <c r="D21" s="107">
        <v>747</v>
      </c>
      <c r="E21">
        <v>0</v>
      </c>
      <c r="F21">
        <v>13347</v>
      </c>
      <c r="H21">
        <f t="shared" si="4"/>
        <v>12600</v>
      </c>
      <c r="I21">
        <f t="shared" si="5"/>
        <v>747</v>
      </c>
      <c r="J21">
        <f t="shared" si="6"/>
        <v>0</v>
      </c>
      <c r="K21">
        <f t="shared" si="7"/>
        <v>13347</v>
      </c>
    </row>
    <row r="22" spans="1:11">
      <c r="A22">
        <v>2012</v>
      </c>
      <c r="B22">
        <v>13410</v>
      </c>
      <c r="C22">
        <v>10970</v>
      </c>
      <c r="D22" s="106">
        <v>2487</v>
      </c>
      <c r="E22">
        <v>0</v>
      </c>
      <c r="F22">
        <v>26867</v>
      </c>
      <c r="H22">
        <f t="shared" si="4"/>
        <v>24380</v>
      </c>
      <c r="I22">
        <f t="shared" si="5"/>
        <v>2487</v>
      </c>
      <c r="J22">
        <f t="shared" si="6"/>
        <v>0</v>
      </c>
      <c r="K22">
        <f t="shared" si="7"/>
        <v>26867</v>
      </c>
    </row>
    <row r="23" spans="1:11">
      <c r="A23">
        <v>2013</v>
      </c>
      <c r="B23">
        <v>14512</v>
      </c>
      <c r="C23">
        <v>14060</v>
      </c>
      <c r="D23" s="106">
        <v>1461</v>
      </c>
      <c r="E23" s="107">
        <v>554</v>
      </c>
      <c r="F23">
        <v>30587</v>
      </c>
      <c r="H23">
        <f t="shared" si="4"/>
        <v>28572</v>
      </c>
      <c r="I23">
        <f t="shared" si="5"/>
        <v>1461</v>
      </c>
      <c r="J23">
        <f t="shared" si="6"/>
        <v>554</v>
      </c>
      <c r="K23">
        <f t="shared" si="7"/>
        <v>30587</v>
      </c>
    </row>
    <row r="24" spans="1:11">
      <c r="A24">
        <v>2014</v>
      </c>
      <c r="B24">
        <v>15598</v>
      </c>
      <c r="C24">
        <v>15251</v>
      </c>
      <c r="D24" s="107">
        <v>865</v>
      </c>
      <c r="E24" s="107">
        <v>177</v>
      </c>
      <c r="F24">
        <v>31891</v>
      </c>
      <c r="H24">
        <f t="shared" si="4"/>
        <v>30849</v>
      </c>
      <c r="I24">
        <f t="shared" si="5"/>
        <v>865</v>
      </c>
      <c r="J24">
        <f t="shared" si="6"/>
        <v>177</v>
      </c>
      <c r="K24">
        <f t="shared" si="7"/>
        <v>31891</v>
      </c>
    </row>
    <row r="25" spans="1:11">
      <c r="A25">
        <v>2015</v>
      </c>
      <c r="B25">
        <v>9692</v>
      </c>
      <c r="C25">
        <v>12340</v>
      </c>
      <c r="D25" s="107">
        <v>501</v>
      </c>
      <c r="E25" s="107">
        <v>161</v>
      </c>
      <c r="F25">
        <v>22694</v>
      </c>
      <c r="H25">
        <f t="shared" si="4"/>
        <v>22032</v>
      </c>
      <c r="I25">
        <f t="shared" si="5"/>
        <v>501</v>
      </c>
      <c r="J25">
        <f t="shared" si="6"/>
        <v>161</v>
      </c>
      <c r="K25">
        <f t="shared" si="7"/>
        <v>22694</v>
      </c>
    </row>
    <row r="26" spans="1:11">
      <c r="A26">
        <v>2016</v>
      </c>
    </row>
    <row r="27" spans="1:11">
      <c r="A27">
        <v>2017</v>
      </c>
    </row>
    <row r="30" spans="1:11">
      <c r="D30" t="s">
        <v>779</v>
      </c>
      <c r="E30" t="s">
        <v>789</v>
      </c>
    </row>
    <row r="31" spans="1:11">
      <c r="C31">
        <v>2009</v>
      </c>
      <c r="D31">
        <v>93.570099999999996</v>
      </c>
      <c r="E31" s="156">
        <v>0.64191900000000002</v>
      </c>
    </row>
    <row r="32" spans="1:11">
      <c r="C32">
        <v>2010</v>
      </c>
      <c r="D32">
        <v>87.092478689771994</v>
      </c>
      <c r="E32" s="156">
        <v>0.64823856585109563</v>
      </c>
    </row>
    <row r="33" spans="1:23">
      <c r="C33">
        <v>2011</v>
      </c>
      <c r="D33">
        <v>79.602181276575308</v>
      </c>
      <c r="E33" s="156">
        <v>0.62300910466764359</v>
      </c>
    </row>
    <row r="34" spans="1:23">
      <c r="C34">
        <v>2012</v>
      </c>
      <c r="D34">
        <v>79.938256755673166</v>
      </c>
      <c r="E34" s="156">
        <v>0.62810520407345038</v>
      </c>
    </row>
    <row r="35" spans="1:23">
      <c r="C35">
        <v>2013</v>
      </c>
      <c r="D35">
        <v>97.685864328805181</v>
      </c>
      <c r="E35" s="156">
        <v>0.63984202074562735</v>
      </c>
    </row>
    <row r="36" spans="1:23">
      <c r="C36">
        <v>2014</v>
      </c>
      <c r="D36">
        <v>106.1123470522803</v>
      </c>
      <c r="E36" s="156">
        <v>0.60778642936596206</v>
      </c>
    </row>
    <row r="37" spans="1:23">
      <c r="C37">
        <v>2015</v>
      </c>
      <c r="D37">
        <v>120.93817678447832</v>
      </c>
      <c r="E37" s="156">
        <v>0.65543995177387293</v>
      </c>
    </row>
    <row r="38" spans="1:23">
      <c r="C38">
        <v>2016</v>
      </c>
      <c r="D38">
        <v>108.94752771581341</v>
      </c>
      <c r="E38" s="156">
        <v>0.74648297817484766</v>
      </c>
    </row>
    <row r="39" spans="1:23">
      <c r="C39">
        <v>2017</v>
      </c>
      <c r="D39">
        <v>111.98725866215955</v>
      </c>
      <c r="E39" s="156">
        <v>0.77105679429673468</v>
      </c>
    </row>
    <row r="40" spans="1:23">
      <c r="C40">
        <v>2018</v>
      </c>
      <c r="D40" s="14">
        <v>110</v>
      </c>
      <c r="E40" s="14">
        <v>0.8</v>
      </c>
      <c r="G40" t="s">
        <v>781</v>
      </c>
    </row>
    <row r="43" spans="1:23">
      <c r="A43" t="s">
        <v>5</v>
      </c>
      <c r="B43" t="s">
        <v>782</v>
      </c>
      <c r="I43" t="s">
        <v>5</v>
      </c>
      <c r="J43" t="s">
        <v>787</v>
      </c>
      <c r="O43" t="s">
        <v>5</v>
      </c>
      <c r="P43" t="s">
        <v>790</v>
      </c>
      <c r="V43" t="s">
        <v>5</v>
      </c>
    </row>
    <row r="44" spans="1:23">
      <c r="B44" t="s">
        <v>783</v>
      </c>
      <c r="C44" t="s">
        <v>784</v>
      </c>
      <c r="D44" t="s">
        <v>785</v>
      </c>
      <c r="F44" t="s">
        <v>786</v>
      </c>
      <c r="J44" t="s">
        <v>783</v>
      </c>
      <c r="K44" t="s">
        <v>784</v>
      </c>
      <c r="L44" t="s">
        <v>785</v>
      </c>
      <c r="M44" t="s">
        <v>788</v>
      </c>
      <c r="P44" t="s">
        <v>783</v>
      </c>
      <c r="Q44" t="s">
        <v>713</v>
      </c>
      <c r="R44" t="s">
        <v>785</v>
      </c>
      <c r="S44" t="s">
        <v>788</v>
      </c>
      <c r="W44" t="s">
        <v>792</v>
      </c>
    </row>
    <row r="45" spans="1:23">
      <c r="A45">
        <v>2009</v>
      </c>
      <c r="I45">
        <v>2009</v>
      </c>
      <c r="J45">
        <v>0</v>
      </c>
      <c r="K45">
        <f t="shared" ref="K45:K51" si="8">C45-B45</f>
        <v>0</v>
      </c>
      <c r="L45">
        <f>L46</f>
        <v>1.5</v>
      </c>
      <c r="M45">
        <f t="shared" ref="M45:M51" si="9">J45+K45+L45</f>
        <v>1.5</v>
      </c>
      <c r="O45">
        <v>2009</v>
      </c>
      <c r="P45" s="3">
        <f t="shared" ref="P45:P51" si="10">J45/$E31*$D31*1000</f>
        <v>0</v>
      </c>
      <c r="Q45" s="3">
        <f t="shared" ref="Q45:R51" si="11">K45/$E31*$D31*1000</f>
        <v>0</v>
      </c>
      <c r="R45" s="3">
        <f t="shared" si="11"/>
        <v>218649.315567852</v>
      </c>
      <c r="S45" s="3">
        <f t="shared" ref="S45:S51" si="12">P45+Q45+R45</f>
        <v>218649.315567852</v>
      </c>
      <c r="V45">
        <v>2009</v>
      </c>
    </row>
    <row r="46" spans="1:23">
      <c r="A46">
        <v>2010</v>
      </c>
      <c r="I46">
        <v>2010</v>
      </c>
      <c r="J46">
        <v>0</v>
      </c>
      <c r="K46">
        <f t="shared" si="8"/>
        <v>0</v>
      </c>
      <c r="L46">
        <f>L47</f>
        <v>1.5</v>
      </c>
      <c r="M46">
        <f t="shared" si="9"/>
        <v>1.5</v>
      </c>
      <c r="O46">
        <v>2010</v>
      </c>
      <c r="P46" s="3">
        <f t="shared" si="10"/>
        <v>0</v>
      </c>
      <c r="Q46" s="3">
        <f t="shared" si="11"/>
        <v>0</v>
      </c>
      <c r="R46" s="3">
        <f t="shared" si="11"/>
        <v>201528.76566845068</v>
      </c>
      <c r="S46" s="3">
        <f t="shared" si="12"/>
        <v>201528.76566845068</v>
      </c>
      <c r="V46">
        <v>2010</v>
      </c>
    </row>
    <row r="47" spans="1:23">
      <c r="A47">
        <v>2011</v>
      </c>
      <c r="B47">
        <v>0.1</v>
      </c>
      <c r="C47">
        <v>0.1</v>
      </c>
      <c r="D47">
        <v>1.6</v>
      </c>
      <c r="F47">
        <v>1.8</v>
      </c>
      <c r="I47">
        <v>2011</v>
      </c>
      <c r="J47">
        <f>B47</f>
        <v>0.1</v>
      </c>
      <c r="K47">
        <f t="shared" si="8"/>
        <v>0</v>
      </c>
      <c r="L47">
        <f>D47-C47</f>
        <v>1.5</v>
      </c>
      <c r="M47">
        <f t="shared" si="9"/>
        <v>1.6</v>
      </c>
      <c r="O47">
        <v>2011</v>
      </c>
      <c r="P47" s="3">
        <f t="shared" si="10"/>
        <v>12777.049433176528</v>
      </c>
      <c r="Q47" s="3">
        <f t="shared" si="11"/>
        <v>0</v>
      </c>
      <c r="R47" s="3">
        <f t="shared" si="11"/>
        <v>191655.74149764789</v>
      </c>
      <c r="S47" s="3">
        <f t="shared" si="12"/>
        <v>204432.79093082441</v>
      </c>
      <c r="V47">
        <v>2011</v>
      </c>
      <c r="W47" s="3">
        <f>(F47-D47)/E33*D33*1000</f>
        <v>25554.098866353048</v>
      </c>
    </row>
    <row r="48" spans="1:23">
      <c r="A48">
        <v>2012</v>
      </c>
      <c r="B48">
        <v>0.1</v>
      </c>
      <c r="C48">
        <v>0.1</v>
      </c>
      <c r="D48">
        <v>1.4</v>
      </c>
      <c r="F48">
        <v>1.6</v>
      </c>
      <c r="I48">
        <v>2012</v>
      </c>
      <c r="J48">
        <f>B48</f>
        <v>0.1</v>
      </c>
      <c r="K48">
        <f t="shared" si="8"/>
        <v>0</v>
      </c>
      <c r="L48">
        <f>D48-C48</f>
        <v>1.2999999999999998</v>
      </c>
      <c r="M48">
        <f t="shared" si="9"/>
        <v>1.4</v>
      </c>
      <c r="O48">
        <v>2012</v>
      </c>
      <c r="P48" s="3">
        <f t="shared" si="10"/>
        <v>12726.889737141108</v>
      </c>
      <c r="Q48" s="3">
        <f t="shared" si="11"/>
        <v>0</v>
      </c>
      <c r="R48" s="3">
        <f t="shared" si="11"/>
        <v>165449.56658283441</v>
      </c>
      <c r="S48">
        <f t="shared" si="12"/>
        <v>178176.45631997552</v>
      </c>
      <c r="V48">
        <v>2012</v>
      </c>
      <c r="W48" s="3">
        <f>(F48-D48)/E34*D34*1000</f>
        <v>25453.779474282237</v>
      </c>
    </row>
    <row r="49" spans="1:23">
      <c r="A49">
        <v>2013</v>
      </c>
      <c r="B49">
        <v>1.6</v>
      </c>
      <c r="C49">
        <v>6.6</v>
      </c>
      <c r="D49">
        <v>7.7</v>
      </c>
      <c r="F49">
        <v>7.8</v>
      </c>
      <c r="I49">
        <v>2013</v>
      </c>
      <c r="J49">
        <f>B49</f>
        <v>1.6</v>
      </c>
      <c r="K49">
        <f t="shared" si="8"/>
        <v>5</v>
      </c>
      <c r="L49">
        <f>D49-C49</f>
        <v>1.1000000000000005</v>
      </c>
      <c r="M49">
        <f t="shared" si="9"/>
        <v>7.7</v>
      </c>
      <c r="O49">
        <v>2013</v>
      </c>
      <c r="P49" s="3">
        <f t="shared" si="10"/>
        <v>244274.95828415616</v>
      </c>
      <c r="Q49" s="3">
        <f t="shared" si="11"/>
        <v>763359.24463798793</v>
      </c>
      <c r="R49" s="3">
        <f t="shared" si="11"/>
        <v>167939.03382035744</v>
      </c>
      <c r="S49">
        <f t="shared" si="12"/>
        <v>1175573.2367425016</v>
      </c>
      <c r="V49">
        <v>2013</v>
      </c>
      <c r="W49" s="3">
        <f>(F49-D49)/E35*D35*1000</f>
        <v>15267.184892759706</v>
      </c>
    </row>
    <row r="50" spans="1:23">
      <c r="A50">
        <v>2014</v>
      </c>
      <c r="B50">
        <v>0</v>
      </c>
      <c r="C50">
        <v>4.9000000000000004</v>
      </c>
      <c r="D50">
        <v>5.7</v>
      </c>
      <c r="F50">
        <v>5.8</v>
      </c>
      <c r="I50">
        <v>2014</v>
      </c>
      <c r="J50">
        <f>B50</f>
        <v>0</v>
      </c>
      <c r="K50">
        <f t="shared" si="8"/>
        <v>4.9000000000000004</v>
      </c>
      <c r="L50">
        <f>D50-C50</f>
        <v>0.79999999999999982</v>
      </c>
      <c r="M50">
        <f t="shared" si="9"/>
        <v>5.7</v>
      </c>
      <c r="O50">
        <v>2014</v>
      </c>
      <c r="P50" s="3">
        <f t="shared" si="10"/>
        <v>0</v>
      </c>
      <c r="Q50" s="3">
        <f t="shared" si="11"/>
        <v>855482.24743777467</v>
      </c>
      <c r="R50" s="3">
        <f t="shared" si="11"/>
        <v>139670.57101024888</v>
      </c>
      <c r="S50">
        <f t="shared" si="12"/>
        <v>995152.81844802352</v>
      </c>
      <c r="V50">
        <v>2014</v>
      </c>
      <c r="W50" s="3">
        <f>(F50-D50)/E36*D36*1000</f>
        <v>17458.821376281052</v>
      </c>
    </row>
    <row r="51" spans="1:23">
      <c r="A51">
        <v>2015</v>
      </c>
      <c r="B51">
        <v>0</v>
      </c>
      <c r="C51">
        <v>4.9000000000000004</v>
      </c>
      <c r="D51">
        <v>5.7</v>
      </c>
      <c r="F51">
        <v>5.8</v>
      </c>
      <c r="I51">
        <v>2015</v>
      </c>
      <c r="J51">
        <f>B51</f>
        <v>0</v>
      </c>
      <c r="K51">
        <f t="shared" si="8"/>
        <v>4.9000000000000004</v>
      </c>
      <c r="L51">
        <f>D51-C51</f>
        <v>0.79999999999999982</v>
      </c>
      <c r="M51">
        <f t="shared" si="9"/>
        <v>5.7</v>
      </c>
      <c r="O51">
        <v>2015</v>
      </c>
      <c r="P51" s="3">
        <f t="shared" si="10"/>
        <v>0</v>
      </c>
      <c r="Q51" s="3">
        <f t="shared" si="11"/>
        <v>904121.06347827578</v>
      </c>
      <c r="R51" s="3">
        <f t="shared" si="11"/>
        <v>147611.60220053478</v>
      </c>
      <c r="S51">
        <f t="shared" si="12"/>
        <v>1051732.6656788106</v>
      </c>
      <c r="V51">
        <v>2015</v>
      </c>
      <c r="W51" s="3">
        <f>(F51-D51)/E37*D37*1000</f>
        <v>18451.450275066785</v>
      </c>
    </row>
    <row r="52" spans="1:23">
      <c r="A52">
        <v>2016</v>
      </c>
      <c r="I52">
        <v>2016</v>
      </c>
      <c r="O52">
        <v>2016</v>
      </c>
      <c r="V52">
        <v>2016</v>
      </c>
      <c r="W52" s="3">
        <f>W51</f>
        <v>18451.450275066785</v>
      </c>
    </row>
    <row r="53" spans="1:23">
      <c r="A53">
        <v>2017</v>
      </c>
      <c r="I53">
        <v>2017</v>
      </c>
      <c r="O53">
        <v>2017</v>
      </c>
      <c r="V53">
        <v>2017</v>
      </c>
      <c r="W53" s="3">
        <f>W52</f>
        <v>18451.450275066785</v>
      </c>
    </row>
    <row r="54" spans="1:23">
      <c r="A54">
        <v>2018</v>
      </c>
      <c r="I54">
        <v>2018</v>
      </c>
      <c r="O54">
        <v>2018</v>
      </c>
      <c r="V54">
        <v>2018</v>
      </c>
      <c r="W54" s="3">
        <f>W53</f>
        <v>18451.450275066785</v>
      </c>
    </row>
    <row r="56" spans="1:23">
      <c r="A56" t="s">
        <v>324</v>
      </c>
      <c r="B56" t="s">
        <v>782</v>
      </c>
      <c r="I56" t="s">
        <v>324</v>
      </c>
      <c r="J56" t="s">
        <v>782</v>
      </c>
      <c r="O56" t="s">
        <v>324</v>
      </c>
      <c r="P56" t="s">
        <v>782</v>
      </c>
      <c r="V56" t="s">
        <v>324</v>
      </c>
    </row>
    <row r="57" spans="1:23">
      <c r="B57" t="s">
        <v>783</v>
      </c>
      <c r="C57" t="s">
        <v>784</v>
      </c>
      <c r="D57" t="s">
        <v>785</v>
      </c>
      <c r="F57" t="s">
        <v>786</v>
      </c>
      <c r="J57" t="s">
        <v>783</v>
      </c>
      <c r="K57" t="s">
        <v>784</v>
      </c>
      <c r="L57" t="s">
        <v>785</v>
      </c>
      <c r="M57" t="s">
        <v>788</v>
      </c>
      <c r="P57" t="s">
        <v>783</v>
      </c>
      <c r="Q57" t="s">
        <v>713</v>
      </c>
      <c r="R57" t="s">
        <v>785</v>
      </c>
      <c r="W57" t="s">
        <v>792</v>
      </c>
    </row>
    <row r="58" spans="1:23">
      <c r="A58">
        <v>2009</v>
      </c>
      <c r="I58">
        <v>2009</v>
      </c>
      <c r="J58">
        <f t="shared" ref="J58:J64" si="13">B58</f>
        <v>0</v>
      </c>
      <c r="K58">
        <f>C58-B58</f>
        <v>0</v>
      </c>
      <c r="L58">
        <f>L59</f>
        <v>1.3</v>
      </c>
      <c r="M58">
        <f t="shared" ref="M58:M64" si="14">J58+K58+L58</f>
        <v>1.3</v>
      </c>
      <c r="O58">
        <v>2009</v>
      </c>
      <c r="P58">
        <f t="shared" ref="P58:P64" si="15">J58/$E31*$D31*1000</f>
        <v>0</v>
      </c>
      <c r="Q58">
        <f t="shared" ref="Q58:R60" si="16">K58/$E31*$D31*1000</f>
        <v>0</v>
      </c>
      <c r="R58">
        <f t="shared" si="16"/>
        <v>189496.07349213841</v>
      </c>
      <c r="S58">
        <f t="shared" ref="S58:S64" si="17">P58+Q58+R58</f>
        <v>189496.07349213841</v>
      </c>
      <c r="V58">
        <v>2009</v>
      </c>
    </row>
    <row r="59" spans="1:23">
      <c r="A59">
        <v>2010</v>
      </c>
      <c r="I59">
        <v>2010</v>
      </c>
      <c r="J59">
        <f t="shared" si="13"/>
        <v>0</v>
      </c>
      <c r="K59">
        <f>C59-B59</f>
        <v>0</v>
      </c>
      <c r="L59">
        <f>L60</f>
        <v>1.3</v>
      </c>
      <c r="M59">
        <f t="shared" si="14"/>
        <v>1.3</v>
      </c>
      <c r="O59">
        <v>2010</v>
      </c>
      <c r="P59">
        <f t="shared" si="15"/>
        <v>0</v>
      </c>
      <c r="Q59">
        <f t="shared" si="16"/>
        <v>0</v>
      </c>
      <c r="R59">
        <f t="shared" si="16"/>
        <v>174658.26357932395</v>
      </c>
      <c r="S59">
        <f t="shared" si="17"/>
        <v>174658.26357932395</v>
      </c>
      <c r="V59">
        <v>2010</v>
      </c>
    </row>
    <row r="60" spans="1:23">
      <c r="A60">
        <v>2011</v>
      </c>
      <c r="I60">
        <v>2011</v>
      </c>
      <c r="J60">
        <f t="shared" si="13"/>
        <v>0</v>
      </c>
      <c r="K60">
        <f>C60-B60</f>
        <v>0</v>
      </c>
      <c r="L60">
        <f>L61</f>
        <v>1.3</v>
      </c>
      <c r="M60">
        <f t="shared" si="14"/>
        <v>1.3</v>
      </c>
      <c r="O60">
        <v>2011</v>
      </c>
      <c r="P60">
        <f t="shared" si="15"/>
        <v>0</v>
      </c>
      <c r="Q60">
        <f t="shared" si="16"/>
        <v>0</v>
      </c>
      <c r="R60">
        <f t="shared" si="16"/>
        <v>166101.64263129485</v>
      </c>
      <c r="S60">
        <f t="shared" si="17"/>
        <v>166101.64263129485</v>
      </c>
      <c r="V60">
        <v>2011</v>
      </c>
      <c r="W60" s="3"/>
    </row>
    <row r="61" spans="1:23">
      <c r="A61">
        <v>2012</v>
      </c>
      <c r="B61">
        <v>0</v>
      </c>
      <c r="C61">
        <v>0</v>
      </c>
      <c r="D61">
        <v>1.3</v>
      </c>
      <c r="F61">
        <v>1.5</v>
      </c>
      <c r="I61">
        <v>2012</v>
      </c>
      <c r="J61">
        <f t="shared" si="13"/>
        <v>0</v>
      </c>
      <c r="K61">
        <f t="shared" ref="K61:L64" si="18">C61-B61</f>
        <v>0</v>
      </c>
      <c r="L61">
        <f t="shared" si="18"/>
        <v>1.3</v>
      </c>
      <c r="M61">
        <f t="shared" si="14"/>
        <v>1.3</v>
      </c>
      <c r="O61">
        <v>2012</v>
      </c>
      <c r="P61">
        <f t="shared" si="15"/>
        <v>0</v>
      </c>
      <c r="Q61">
        <f t="shared" ref="Q61:R64" si="19">K61/$E34*$D34*1000</f>
        <v>0</v>
      </c>
      <c r="R61">
        <f t="shared" si="19"/>
        <v>165449.56658283441</v>
      </c>
      <c r="S61">
        <f t="shared" si="17"/>
        <v>165449.56658283441</v>
      </c>
      <c r="V61">
        <v>2012</v>
      </c>
      <c r="W61" s="3">
        <f>(F61-D61)/E34*D34*1000</f>
        <v>25453.779474282212</v>
      </c>
    </row>
    <row r="62" spans="1:23">
      <c r="A62">
        <v>2013</v>
      </c>
      <c r="B62">
        <v>1.6</v>
      </c>
      <c r="C62">
        <v>5.7</v>
      </c>
      <c r="D62">
        <v>6.7</v>
      </c>
      <c r="F62">
        <v>6.8</v>
      </c>
      <c r="I62">
        <v>2013</v>
      </c>
      <c r="J62">
        <f t="shared" si="13"/>
        <v>1.6</v>
      </c>
      <c r="K62">
        <f t="shared" si="18"/>
        <v>4.0999999999999996</v>
      </c>
      <c r="L62">
        <f t="shared" si="18"/>
        <v>1</v>
      </c>
      <c r="M62">
        <f t="shared" si="14"/>
        <v>6.6999999999999993</v>
      </c>
      <c r="O62">
        <v>2013</v>
      </c>
      <c r="P62">
        <f t="shared" si="15"/>
        <v>244274.95828415616</v>
      </c>
      <c r="Q62">
        <f t="shared" si="19"/>
        <v>625954.58060315007</v>
      </c>
      <c r="R62">
        <f t="shared" si="19"/>
        <v>152671.84892759757</v>
      </c>
      <c r="S62">
        <f t="shared" si="17"/>
        <v>1022901.3878149039</v>
      </c>
      <c r="V62">
        <v>2013</v>
      </c>
      <c r="W62" s="3">
        <f>(F62-D62)/E35*D35*1000</f>
        <v>15267.184892759706</v>
      </c>
    </row>
    <row r="63" spans="1:23">
      <c r="A63">
        <v>2014</v>
      </c>
      <c r="B63">
        <v>0</v>
      </c>
      <c r="C63">
        <v>4.9000000000000004</v>
      </c>
      <c r="D63">
        <v>5.7</v>
      </c>
      <c r="F63">
        <v>5.8</v>
      </c>
      <c r="I63">
        <v>2014</v>
      </c>
      <c r="J63">
        <f t="shared" si="13"/>
        <v>0</v>
      </c>
      <c r="K63">
        <f t="shared" si="18"/>
        <v>4.9000000000000004</v>
      </c>
      <c r="L63">
        <f t="shared" si="18"/>
        <v>0.79999999999999982</v>
      </c>
      <c r="M63">
        <f t="shared" si="14"/>
        <v>5.7</v>
      </c>
      <c r="O63">
        <v>2014</v>
      </c>
      <c r="P63">
        <f t="shared" si="15"/>
        <v>0</v>
      </c>
      <c r="Q63">
        <f t="shared" si="19"/>
        <v>855482.24743777467</v>
      </c>
      <c r="R63">
        <f t="shared" si="19"/>
        <v>139670.57101024888</v>
      </c>
      <c r="S63">
        <f t="shared" si="17"/>
        <v>995152.81844802352</v>
      </c>
      <c r="V63">
        <v>2014</v>
      </c>
      <c r="W63" s="3">
        <f>(F63-D63)/E36*D36*1000</f>
        <v>17458.821376281052</v>
      </c>
    </row>
    <row r="64" spans="1:23">
      <c r="A64">
        <v>2015</v>
      </c>
      <c r="B64">
        <v>0</v>
      </c>
      <c r="C64">
        <v>4.9000000000000004</v>
      </c>
      <c r="D64">
        <v>5.7</v>
      </c>
      <c r="F64">
        <v>5.8</v>
      </c>
      <c r="I64">
        <v>2015</v>
      </c>
      <c r="J64">
        <f t="shared" si="13"/>
        <v>0</v>
      </c>
      <c r="K64">
        <f t="shared" si="18"/>
        <v>4.9000000000000004</v>
      </c>
      <c r="L64">
        <f t="shared" si="18"/>
        <v>0.79999999999999982</v>
      </c>
      <c r="M64">
        <f t="shared" si="14"/>
        <v>5.7</v>
      </c>
      <c r="O64">
        <v>2015</v>
      </c>
      <c r="P64">
        <f t="shared" si="15"/>
        <v>0</v>
      </c>
      <c r="Q64">
        <f t="shared" si="19"/>
        <v>904121.06347827578</v>
      </c>
      <c r="R64">
        <f t="shared" si="19"/>
        <v>147611.60220053478</v>
      </c>
      <c r="S64">
        <f t="shared" si="17"/>
        <v>1051732.6656788106</v>
      </c>
      <c r="V64">
        <v>2015</v>
      </c>
      <c r="W64" s="3">
        <f>(F64-D64)/E37*D37*1000</f>
        <v>18451.450275066785</v>
      </c>
    </row>
    <row r="65" spans="1:23">
      <c r="A65">
        <v>2016</v>
      </c>
      <c r="I65">
        <v>2016</v>
      </c>
      <c r="O65">
        <v>2016</v>
      </c>
      <c r="V65">
        <v>2016</v>
      </c>
      <c r="W65" s="3">
        <f>W64</f>
        <v>18451.450275066785</v>
      </c>
    </row>
    <row r="66" spans="1:23">
      <c r="A66">
        <v>2017</v>
      </c>
      <c r="I66">
        <v>2017</v>
      </c>
      <c r="O66">
        <v>2017</v>
      </c>
      <c r="V66">
        <v>2017</v>
      </c>
      <c r="W66" s="3">
        <f>W65</f>
        <v>18451.450275066785</v>
      </c>
    </row>
    <row r="67" spans="1:23">
      <c r="A67">
        <v>2018</v>
      </c>
      <c r="I67">
        <v>2018</v>
      </c>
      <c r="O67">
        <v>2018</v>
      </c>
      <c r="V67">
        <v>2018</v>
      </c>
      <c r="W67" s="3">
        <f>W66</f>
        <v>18451.450275066785</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 customWidth="1"/>
    <col min="2" max="7" width="13.85546875" customWidth="1"/>
  </cols>
  <sheetData>
    <row r="1" spans="1:7">
      <c r="A1" t="s">
        <v>148</v>
      </c>
    </row>
    <row r="2" spans="1:7" ht="15.75" thickBot="1"/>
    <row r="3" spans="1:7">
      <c r="A3" s="44" t="s">
        <v>149</v>
      </c>
      <c r="B3" s="44"/>
    </row>
    <row r="4" spans="1:7">
      <c r="A4" s="41" t="s">
        <v>150</v>
      </c>
      <c r="B4" s="41">
        <v>0.99878812226905189</v>
      </c>
    </row>
    <row r="5" spans="1:7">
      <c r="A5" s="41" t="s">
        <v>151</v>
      </c>
      <c r="B5" s="41">
        <v>0.99757771318573851</v>
      </c>
    </row>
    <row r="6" spans="1:7">
      <c r="A6" s="41" t="s">
        <v>152</v>
      </c>
      <c r="B6" s="41">
        <v>0.99636656977860771</v>
      </c>
    </row>
    <row r="7" spans="1:7">
      <c r="A7" s="41" t="s">
        <v>153</v>
      </c>
      <c r="B7" s="41">
        <v>8.0128521555390395E-2</v>
      </c>
    </row>
    <row r="8" spans="1:7" ht="15.75" thickBot="1">
      <c r="A8" s="42" t="s">
        <v>154</v>
      </c>
      <c r="B8" s="42">
        <v>7</v>
      </c>
    </row>
    <row r="10" spans="1:7" ht="15.75" thickBot="1">
      <c r="A10" t="s">
        <v>155</v>
      </c>
    </row>
    <row r="11" spans="1:7">
      <c r="A11" s="43"/>
      <c r="B11" s="43" t="s">
        <v>160</v>
      </c>
      <c r="C11" s="43" t="s">
        <v>161</v>
      </c>
      <c r="D11" s="43" t="s">
        <v>162</v>
      </c>
      <c r="E11" s="43" t="s">
        <v>163</v>
      </c>
      <c r="F11" s="43" t="s">
        <v>164</v>
      </c>
    </row>
    <row r="12" spans="1:7">
      <c r="A12" s="41" t="s">
        <v>156</v>
      </c>
      <c r="B12" s="41">
        <v>2</v>
      </c>
      <c r="C12" s="41">
        <v>10.576827554440666</v>
      </c>
      <c r="D12" s="41">
        <v>5.2884137772203328</v>
      </c>
      <c r="E12" s="41">
        <v>823.66605582165516</v>
      </c>
      <c r="F12" s="41">
        <v>5.8674734105445711E-6</v>
      </c>
    </row>
    <row r="13" spans="1:7">
      <c r="A13" s="41" t="s">
        <v>157</v>
      </c>
      <c r="B13" s="41">
        <v>4</v>
      </c>
      <c r="C13" s="41">
        <v>2.568231986661065E-2</v>
      </c>
      <c r="D13" s="41">
        <v>6.4205799666526625E-3</v>
      </c>
      <c r="E13" s="41"/>
      <c r="F13" s="41"/>
    </row>
    <row r="14" spans="1:7" ht="15.75" thickBot="1">
      <c r="A14" s="42" t="s">
        <v>158</v>
      </c>
      <c r="B14" s="42">
        <v>6</v>
      </c>
      <c r="C14" s="42">
        <v>10.602509874307277</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-9.8390837465184511</v>
      </c>
      <c r="C17" s="41">
        <v>0.15263529415523117</v>
      </c>
      <c r="D17" s="41">
        <v>-64.461393421314696</v>
      </c>
      <c r="E17" s="41">
        <v>3.4694132934192265E-7</v>
      </c>
      <c r="F17" s="41">
        <v>-10.262867261856169</v>
      </c>
      <c r="G17" s="41">
        <v>-9.4153002311807334</v>
      </c>
    </row>
    <row r="18" spans="1:7">
      <c r="A18" s="41" t="s">
        <v>329</v>
      </c>
      <c r="B18" s="41">
        <v>0.69355065750816813</v>
      </c>
      <c r="C18" s="41">
        <v>2.472819860701286E-2</v>
      </c>
      <c r="D18" s="41">
        <v>28.046954350790386</v>
      </c>
      <c r="E18" s="41">
        <v>9.614722022051542E-6</v>
      </c>
      <c r="F18" s="41">
        <v>0.62489417152536841</v>
      </c>
      <c r="G18" s="41">
        <v>0.76220714349096785</v>
      </c>
    </row>
    <row r="19" spans="1:7" ht="15.75" thickBot="1">
      <c r="A19" s="42" t="s">
        <v>1334</v>
      </c>
      <c r="B19" s="42">
        <v>0.46061838673887762</v>
      </c>
      <c r="C19" s="42">
        <v>0.10947640204362905</v>
      </c>
      <c r="D19" s="42">
        <v>4.2074673458423471</v>
      </c>
      <c r="E19" s="42">
        <v>1.3613838906401434E-2</v>
      </c>
      <c r="F19" s="42">
        <v>0.15666316615017806</v>
      </c>
      <c r="G19" s="42">
        <v>0.76457360732757718</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5" max="25" width="10.7109375" customWidth="1"/>
  </cols>
  <sheetData>
    <row r="1" spans="1:38">
      <c r="P1" s="14"/>
      <c r="R1" s="236" t="s">
        <v>1318</v>
      </c>
      <c r="S1" s="236"/>
      <c r="T1" s="236"/>
      <c r="U1" s="236"/>
      <c r="W1" s="236" t="s">
        <v>1318</v>
      </c>
      <c r="X1" s="236"/>
      <c r="Y1" s="236"/>
      <c r="Z1" s="236"/>
    </row>
    <row r="2" spans="1:38">
      <c r="B2" t="s">
        <v>244</v>
      </c>
      <c r="C2" t="s">
        <v>282</v>
      </c>
      <c r="L2" t="s">
        <v>282</v>
      </c>
      <c r="S2" t="s">
        <v>1172</v>
      </c>
      <c r="X2" t="s">
        <v>1184</v>
      </c>
      <c r="AB2" t="s">
        <v>960</v>
      </c>
    </row>
    <row r="3" spans="1:38">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1333</v>
      </c>
      <c r="AD3" t="s">
        <v>1310</v>
      </c>
      <c r="AF3" t="s">
        <v>1332</v>
      </c>
      <c r="AG3" t="s">
        <v>960</v>
      </c>
      <c r="AK3" t="s">
        <v>329</v>
      </c>
      <c r="AL3" t="s">
        <v>1334</v>
      </c>
    </row>
    <row r="4" spans="1:38">
      <c r="A4">
        <v>2009</v>
      </c>
      <c r="B4" s="13">
        <f>'EV %sales'!O67</f>
        <v>0</v>
      </c>
      <c r="C4" s="20"/>
      <c r="D4" s="13"/>
      <c r="E4" s="13"/>
      <c r="F4" s="84"/>
      <c r="G4" s="84"/>
      <c r="H4" s="84"/>
      <c r="I4" s="13"/>
      <c r="J4" s="13"/>
      <c r="K4" s="13"/>
      <c r="L4" s="13"/>
      <c r="M4" s="13"/>
      <c r="N4" s="13"/>
      <c r="O4" s="13"/>
      <c r="P4" s="13"/>
      <c r="Q4" s="13"/>
      <c r="R4">
        <v>2009</v>
      </c>
      <c r="W4">
        <v>2009</v>
      </c>
      <c r="AA4" s="13"/>
      <c r="AB4" s="13"/>
      <c r="AC4" s="13"/>
    </row>
    <row r="5" spans="1:38">
      <c r="A5">
        <v>2010</v>
      </c>
      <c r="B5" s="13">
        <f>'EV %sales'!O68</f>
        <v>4.9261083743842356E-3</v>
      </c>
      <c r="C5" s="20"/>
      <c r="D5" s="13"/>
      <c r="E5" s="13"/>
      <c r="F5" s="230"/>
      <c r="G5" s="230"/>
      <c r="H5" s="230"/>
      <c r="I5" s="13"/>
      <c r="J5" s="13"/>
      <c r="K5" s="13"/>
      <c r="L5" s="13"/>
      <c r="M5" s="13"/>
      <c r="N5" s="13"/>
      <c r="O5" s="13"/>
      <c r="P5" s="13"/>
      <c r="Q5" s="13"/>
      <c r="R5">
        <v>2010</v>
      </c>
      <c r="W5">
        <v>2010</v>
      </c>
      <c r="AA5" s="13"/>
      <c r="AB5" s="13">
        <f>65*EXP(AF5)/(1+EXP(AF5))</f>
        <v>6.9344571248564201E-3</v>
      </c>
      <c r="AC5" s="13"/>
      <c r="AD5">
        <f t="shared" ref="AD5:AD13" si="0">LN(B5/(65-B5))</f>
        <v>-9.4875174597828167</v>
      </c>
      <c r="AF5">
        <f t="shared" ref="AF5:AF50" si="1">AD$56+AD$57*AK5+AD$58*AL5</f>
        <v>-9.1455330890102822</v>
      </c>
      <c r="AG5">
        <f t="shared" ref="AG5:AG50" si="2">AD$56+AD$57*AK5</f>
        <v>-9.1455330890102822</v>
      </c>
      <c r="AH5" s="33"/>
      <c r="AI5" s="33"/>
      <c r="AK5">
        <v>1</v>
      </c>
      <c r="AL5">
        <v>0</v>
      </c>
    </row>
    <row r="6" spans="1:38">
      <c r="A6">
        <v>2011</v>
      </c>
      <c r="B6" s="13">
        <f>'EV %sales'!O69</f>
        <v>2.2295623451692819E-2</v>
      </c>
      <c r="C6" s="20"/>
      <c r="D6" s="13"/>
      <c r="E6" s="13"/>
      <c r="F6" s="230"/>
      <c r="G6" s="230"/>
      <c r="H6" s="230"/>
      <c r="I6" s="13"/>
      <c r="J6" s="13"/>
      <c r="K6" s="13"/>
      <c r="L6" s="13"/>
      <c r="M6" s="13"/>
      <c r="N6" s="13"/>
      <c r="O6" s="13"/>
      <c r="P6" s="13"/>
      <c r="Q6" s="13"/>
      <c r="R6">
        <v>2011</v>
      </c>
      <c r="W6">
        <v>2011</v>
      </c>
      <c r="AA6" s="13"/>
      <c r="AB6" s="13">
        <f>65*EXP(AF6)/(1+EXP(AF6))</f>
        <v>2.1986754176250543E-2</v>
      </c>
      <c r="AC6" s="13"/>
      <c r="AD6">
        <f t="shared" si="0"/>
        <v>-7.9774090790115899</v>
      </c>
      <c r="AF6">
        <f t="shared" si="1"/>
        <v>-7.9913640447632375</v>
      </c>
      <c r="AG6">
        <f t="shared" si="2"/>
        <v>-8.451982431502115</v>
      </c>
      <c r="AH6" s="33"/>
      <c r="AK6">
        <v>2</v>
      </c>
      <c r="AL6">
        <v>1</v>
      </c>
    </row>
    <row r="7" spans="1:38">
      <c r="A7">
        <v>2012</v>
      </c>
      <c r="B7" s="13">
        <f>'EV %sales'!O70</f>
        <v>4.336734693877551E-2</v>
      </c>
      <c r="C7" s="13">
        <f>D7</f>
        <v>4.3976366875896858E-2</v>
      </c>
      <c r="D7" s="84">
        <f>65*EXP(E7)/(1+EXP(E7))</f>
        <v>4.3976366875896858E-2</v>
      </c>
      <c r="E7" s="84">
        <f>J7-SUM(F7:F$7)</f>
        <v>-7.2978133872550686</v>
      </c>
      <c r="F7" s="13">
        <f>I7*G7</f>
        <v>0</v>
      </c>
      <c r="G7" s="13">
        <f>IF(H7&lt;0,0,H7)</f>
        <v>1</v>
      </c>
      <c r="H7" s="13">
        <v>1</v>
      </c>
      <c r="I7" s="13">
        <v>0</v>
      </c>
      <c r="J7" s="13">
        <f>LN(L7/(65-L7))</f>
        <v>-7.2978133872550686</v>
      </c>
      <c r="K7" s="13"/>
      <c r="L7" s="84">
        <f t="shared" ref="L7:L12" si="3">M7</f>
        <v>4.3976366875896858E-2</v>
      </c>
      <c r="M7" s="13">
        <f t="shared" ref="M7:M50" si="4">LOOKUP(ROUND(N7,0),A$4:A$50,AB$4:AB$50)</f>
        <v>4.3976366875896858E-2</v>
      </c>
      <c r="N7" s="13">
        <f t="shared" ref="N7:N50" si="5">A7-(O7-O$11)</f>
        <v>2011.6314713824941</v>
      </c>
      <c r="O7" s="13">
        <f t="shared" ref="O7:O50" si="6">M$56+M$57*P7+M$58*1</f>
        <v>2018.5468486005857</v>
      </c>
      <c r="P7" s="13">
        <f>1/Korea!R87</f>
        <v>0.85094445241995254</v>
      </c>
      <c r="Q7" s="72"/>
      <c r="R7">
        <v>2012</v>
      </c>
      <c r="S7" s="13">
        <v>4.3976366875896858E-2</v>
      </c>
      <c r="T7" s="13">
        <v>4.3976366875896858E-2</v>
      </c>
      <c r="U7" s="13">
        <v>4.3976366875896858E-2</v>
      </c>
      <c r="W7">
        <v>2012</v>
      </c>
      <c r="X7" s="13">
        <v>4.3976366875896858E-2</v>
      </c>
      <c r="Y7" s="13">
        <f>T7</f>
        <v>4.3976366875896858E-2</v>
      </c>
      <c r="Z7" s="13">
        <v>4.3976366875896858E-2</v>
      </c>
      <c r="AA7" s="72"/>
      <c r="AB7" s="13">
        <f t="shared" ref="AB7:AB50" si="7">65*EXP(AF7)/(1+EXP(AF7))</f>
        <v>4.3976366875896858E-2</v>
      </c>
      <c r="AC7" s="13"/>
      <c r="AD7">
        <f t="shared" si="0"/>
        <v>-7.3117683530067152</v>
      </c>
      <c r="AF7">
        <f t="shared" si="1"/>
        <v>-7.2978133872550686</v>
      </c>
      <c r="AG7">
        <f t="shared" si="2"/>
        <v>-7.7584317739939461</v>
      </c>
      <c r="AH7" s="72"/>
      <c r="AK7">
        <v>3</v>
      </c>
      <c r="AL7">
        <v>1</v>
      </c>
    </row>
    <row r="8" spans="1:38">
      <c r="A8">
        <v>2013</v>
      </c>
      <c r="B8" s="13">
        <f>'EV %sales'!O71</f>
        <v>5.277044854881266E-2</v>
      </c>
      <c r="C8" s="13">
        <f>D8</f>
        <v>5.5501342011082921E-2</v>
      </c>
      <c r="D8" s="84">
        <f t="shared" ref="D8:D49" si="8">65*EXP(E8)/(1+EXP(E8))</f>
        <v>5.5501342011082921E-2</v>
      </c>
      <c r="E8" s="84">
        <f>J8-SUM(F$7:F8)</f>
        <v>-7.064881116485779</v>
      </c>
      <c r="F8" s="13">
        <f t="shared" ref="F8:F50" si="9">I8*G8</f>
        <v>0</v>
      </c>
      <c r="G8" s="13">
        <f t="shared" ref="G8:G50" si="10">IF(H8&lt;0,0,H8)</f>
        <v>1</v>
      </c>
      <c r="H8" s="13">
        <v>1</v>
      </c>
      <c r="I8" s="13">
        <v>0</v>
      </c>
      <c r="J8" s="13">
        <f t="shared" ref="J8:J47" si="11">LN(L8/(65-L8))</f>
        <v>-7.064881116485779</v>
      </c>
      <c r="K8" s="13"/>
      <c r="L8" s="84">
        <f t="shared" si="3"/>
        <v>5.5501342011082921E-2</v>
      </c>
      <c r="M8" s="13">
        <f t="shared" si="4"/>
        <v>5.5501342011082921E-2</v>
      </c>
      <c r="N8" s="13">
        <f t="shared" si="5"/>
        <v>2012.5044115570095</v>
      </c>
      <c r="O8" s="13">
        <f t="shared" si="6"/>
        <v>2018.6739084260703</v>
      </c>
      <c r="P8" s="13">
        <f>1/Korea!R88</f>
        <v>0.86272681103151871</v>
      </c>
      <c r="Q8" s="72"/>
      <c r="R8">
        <v>2013</v>
      </c>
      <c r="S8" s="13">
        <v>5.5501342011082921E-2</v>
      </c>
      <c r="T8" s="13">
        <v>5.5501342011082921E-2</v>
      </c>
      <c r="U8" s="13">
        <v>5.5501342011082921E-2</v>
      </c>
      <c r="W8">
        <v>2013</v>
      </c>
      <c r="X8" s="13">
        <v>5.5501342011082921E-2</v>
      </c>
      <c r="Y8" s="13">
        <f t="shared" ref="Y8:Y45" si="12">T8</f>
        <v>5.5501342011082921E-2</v>
      </c>
      <c r="Z8" s="13">
        <v>5.5501342011082921E-2</v>
      </c>
      <c r="AA8" s="72"/>
      <c r="AB8" s="13">
        <f t="shared" si="7"/>
        <v>5.5501342011082921E-2</v>
      </c>
      <c r="AC8" s="13"/>
      <c r="AD8" s="33">
        <f t="shared" si="0"/>
        <v>-7.1153790186383103</v>
      </c>
      <c r="AF8">
        <f t="shared" si="1"/>
        <v>-7.064881116485779</v>
      </c>
      <c r="AG8">
        <f t="shared" si="2"/>
        <v>-7.064881116485779</v>
      </c>
      <c r="AH8" s="72"/>
      <c r="AK8">
        <v>4</v>
      </c>
      <c r="AL8">
        <v>0</v>
      </c>
    </row>
    <row r="9" spans="1:38">
      <c r="A9">
        <v>2014</v>
      </c>
      <c r="B9" s="13">
        <f>'EV %sales'!O72</f>
        <v>0.11490898107942263</v>
      </c>
      <c r="C9" s="13">
        <f>D9</f>
        <v>5.5501342011082921E-2</v>
      </c>
      <c r="D9" s="84">
        <f t="shared" si="8"/>
        <v>5.5501342011082921E-2</v>
      </c>
      <c r="E9" s="84">
        <f>J9-SUM(F$7:F9)</f>
        <v>-7.064881116485779</v>
      </c>
      <c r="F9" s="13">
        <f t="shared" si="9"/>
        <v>0</v>
      </c>
      <c r="G9" s="13">
        <f t="shared" si="10"/>
        <v>1</v>
      </c>
      <c r="H9" s="13">
        <v>1</v>
      </c>
      <c r="I9" s="13">
        <v>0</v>
      </c>
      <c r="J9" s="13">
        <f t="shared" si="11"/>
        <v>-7.064881116485779</v>
      </c>
      <c r="K9" s="13"/>
      <c r="L9" s="84">
        <f t="shared" si="3"/>
        <v>5.5501342011082921E-2</v>
      </c>
      <c r="M9" s="13">
        <f t="shared" si="4"/>
        <v>5.5501342011082921E-2</v>
      </c>
      <c r="N9" s="13">
        <f t="shared" si="5"/>
        <v>2012.6462625449506</v>
      </c>
      <c r="O9" s="13">
        <f t="shared" si="6"/>
        <v>2019.5320574381292</v>
      </c>
      <c r="P9" s="13">
        <f>1/Korea!R89</f>
        <v>0.94230365102546576</v>
      </c>
      <c r="Q9" s="72"/>
      <c r="R9">
        <v>2014</v>
      </c>
      <c r="S9" s="13">
        <v>5.5501342011082921E-2</v>
      </c>
      <c r="T9" s="13">
        <v>5.5501342011082921E-2</v>
      </c>
      <c r="U9" s="13">
        <v>5.5501342011082921E-2</v>
      </c>
      <c r="W9">
        <v>2014</v>
      </c>
      <c r="X9" s="13">
        <v>5.5501342011082921E-2</v>
      </c>
      <c r="Y9" s="13">
        <f t="shared" si="12"/>
        <v>5.5501342011082921E-2</v>
      </c>
      <c r="Z9" s="13">
        <v>5.5501342011082921E-2</v>
      </c>
      <c r="AA9" s="72"/>
      <c r="AB9" s="13">
        <f t="shared" si="7"/>
        <v>0.11095266482069387</v>
      </c>
      <c r="AC9" s="13"/>
      <c r="AD9" s="33">
        <f t="shared" si="0"/>
        <v>-6.3362328078314505</v>
      </c>
      <c r="AF9">
        <f t="shared" si="1"/>
        <v>-6.3713304589776101</v>
      </c>
      <c r="AG9">
        <f t="shared" si="2"/>
        <v>-6.3713304589776101</v>
      </c>
      <c r="AK9">
        <v>5</v>
      </c>
      <c r="AL9">
        <v>0</v>
      </c>
    </row>
    <row r="10" spans="1:38">
      <c r="A10">
        <v>2015</v>
      </c>
      <c r="B10" s="13">
        <f>'EV %sales'!O73</f>
        <v>0.24369747899159661</v>
      </c>
      <c r="C10" s="13">
        <f>D10</f>
        <v>0.22161628502959124</v>
      </c>
      <c r="D10" s="84">
        <f t="shared" si="8"/>
        <v>0.22161628502959124</v>
      </c>
      <c r="E10" s="84">
        <f>J10-SUM(F$7:F10)</f>
        <v>-5.6777798014694421</v>
      </c>
      <c r="F10" s="13">
        <f t="shared" si="9"/>
        <v>0</v>
      </c>
      <c r="G10" s="13">
        <f t="shared" si="10"/>
        <v>1</v>
      </c>
      <c r="H10" s="13">
        <v>1</v>
      </c>
      <c r="I10" s="13">
        <v>0</v>
      </c>
      <c r="J10" s="13">
        <f t="shared" si="11"/>
        <v>-5.6777798014694421</v>
      </c>
      <c r="K10" s="13"/>
      <c r="L10" s="84">
        <f t="shared" si="3"/>
        <v>0.22161628502959124</v>
      </c>
      <c r="M10" s="13">
        <f t="shared" si="4"/>
        <v>0.22161628502959124</v>
      </c>
      <c r="N10" s="13">
        <f t="shared" si="5"/>
        <v>2014.6912642110988</v>
      </c>
      <c r="O10" s="13">
        <f t="shared" si="6"/>
        <v>2018.487055771981</v>
      </c>
      <c r="P10" s="13">
        <f>1/Korea!R90</f>
        <v>0.845399815896691</v>
      </c>
      <c r="Q10" s="72"/>
      <c r="R10">
        <v>2015</v>
      </c>
      <c r="S10" s="13">
        <v>0.22161628502959124</v>
      </c>
      <c r="T10" s="13">
        <v>0.22161628502959124</v>
      </c>
      <c r="U10" s="13">
        <v>0.22161628502959124</v>
      </c>
      <c r="W10">
        <v>2015</v>
      </c>
      <c r="X10" s="13">
        <v>0.22161628502959124</v>
      </c>
      <c r="Y10" s="13">
        <f t="shared" si="12"/>
        <v>0.22161628502959124</v>
      </c>
      <c r="Z10" s="13">
        <v>0.22161628502959124</v>
      </c>
      <c r="AA10" s="72"/>
      <c r="AB10" s="13">
        <f t="shared" si="7"/>
        <v>0.22161628502959124</v>
      </c>
      <c r="AC10" s="13"/>
      <c r="AD10" s="33">
        <f t="shared" si="0"/>
        <v>-5.5824586951996293</v>
      </c>
      <c r="AF10">
        <f t="shared" si="1"/>
        <v>-5.6777798014694421</v>
      </c>
      <c r="AG10">
        <f t="shared" si="2"/>
        <v>-5.6777798014694421</v>
      </c>
      <c r="AH10" s="13"/>
      <c r="AK10">
        <v>6</v>
      </c>
      <c r="AL10">
        <v>0</v>
      </c>
    </row>
    <row r="11" spans="1:38">
      <c r="A11">
        <v>2016</v>
      </c>
      <c r="B11" s="13">
        <f>'EV %sales'!O74</f>
        <v>0.3969811320754717</v>
      </c>
      <c r="C11" s="13">
        <f>D11</f>
        <v>0.44190356227885791</v>
      </c>
      <c r="D11" s="84">
        <f t="shared" si="8"/>
        <v>0.44190356227885791</v>
      </c>
      <c r="E11" s="84">
        <f>J11-SUM(F$7:F11)</f>
        <v>-4.984229143961274</v>
      </c>
      <c r="F11" s="13">
        <f t="shared" si="9"/>
        <v>0</v>
      </c>
      <c r="G11" s="13">
        <f t="shared" si="10"/>
        <v>1</v>
      </c>
      <c r="H11" s="13">
        <v>1</v>
      </c>
      <c r="I11" s="13">
        <v>0</v>
      </c>
      <c r="J11" s="13">
        <f t="shared" si="11"/>
        <v>-4.984229143961274</v>
      </c>
      <c r="K11" s="13"/>
      <c r="L11" s="84">
        <f t="shared" si="3"/>
        <v>0.44190356227885791</v>
      </c>
      <c r="M11" s="13">
        <f t="shared" si="4"/>
        <v>0.44190356227885791</v>
      </c>
      <c r="N11" s="13">
        <f t="shared" si="5"/>
        <v>2016</v>
      </c>
      <c r="O11" s="13">
        <f t="shared" si="6"/>
        <v>2018.1783199830797</v>
      </c>
      <c r="P11" s="13">
        <f>1/Korea!R91</f>
        <v>0.81677050079109603</v>
      </c>
      <c r="Q11" s="72"/>
      <c r="R11">
        <v>2016</v>
      </c>
      <c r="S11" s="13">
        <v>0.44190356227885791</v>
      </c>
      <c r="T11" s="13">
        <v>0.44190356227885791</v>
      </c>
      <c r="U11" s="13">
        <v>0.44190356227885791</v>
      </c>
      <c r="W11">
        <v>2016</v>
      </c>
      <c r="X11" s="13">
        <v>0.44190356227885791</v>
      </c>
      <c r="Y11" s="13">
        <f t="shared" si="12"/>
        <v>0.44190356227885791</v>
      </c>
      <c r="Z11" s="13">
        <v>0.44190356227885791</v>
      </c>
      <c r="AA11" s="72"/>
      <c r="AB11" s="13">
        <f t="shared" si="7"/>
        <v>0.44190356227885791</v>
      </c>
      <c r="AC11" s="13"/>
      <c r="AD11" s="33">
        <f t="shared" si="0"/>
        <v>-5.092127667080895</v>
      </c>
      <c r="AF11">
        <f t="shared" si="1"/>
        <v>-4.984229143961274</v>
      </c>
      <c r="AG11">
        <f t="shared" si="2"/>
        <v>-4.984229143961274</v>
      </c>
      <c r="AH11" s="13"/>
      <c r="AK11">
        <v>7</v>
      </c>
      <c r="AL11">
        <v>0</v>
      </c>
    </row>
    <row r="12" spans="1:38">
      <c r="A12">
        <v>2017</v>
      </c>
      <c r="B12" s="13">
        <f>'EV %sales'!O75</f>
        <v>0.91065980531408097</v>
      </c>
      <c r="C12" s="253">
        <f t="shared" ref="C12" si="13">D12</f>
        <v>0.87818859400646965</v>
      </c>
      <c r="D12" s="84">
        <f>65*EXP(E12)/(1+EXP(E12))</f>
        <v>0.87818859400646965</v>
      </c>
      <c r="E12" s="84">
        <f>J12-SUM(F$7:F12)</f>
        <v>-4.290678486453106</v>
      </c>
      <c r="F12" s="13">
        <f t="shared" si="9"/>
        <v>0</v>
      </c>
      <c r="G12" s="13">
        <f t="shared" si="10"/>
        <v>1</v>
      </c>
      <c r="H12" s="13">
        <v>1</v>
      </c>
      <c r="I12" s="13">
        <v>0</v>
      </c>
      <c r="J12" s="13">
        <f>LN(L12/(65-L12))</f>
        <v>-4.290678486453106</v>
      </c>
      <c r="K12" s="13"/>
      <c r="L12" s="84">
        <f t="shared" si="3"/>
        <v>0.87818859400646965</v>
      </c>
      <c r="M12" s="13">
        <f t="shared" si="4"/>
        <v>0.87818859400646965</v>
      </c>
      <c r="N12" s="13">
        <f t="shared" si="5"/>
        <v>2017.1501162349448</v>
      </c>
      <c r="O12" s="13">
        <f t="shared" si="6"/>
        <v>2018.028203748135</v>
      </c>
      <c r="P12" s="13">
        <f>1/Korea!R92</f>
        <v>0.80285010300371562</v>
      </c>
      <c r="Q12" s="72"/>
      <c r="R12">
        <v>2017</v>
      </c>
      <c r="S12" s="13">
        <v>0.87818859400646965</v>
      </c>
      <c r="T12" s="13">
        <v>0.87818859400646965</v>
      </c>
      <c r="U12" s="13">
        <v>0.87818859400646965</v>
      </c>
      <c r="W12">
        <v>2017</v>
      </c>
      <c r="X12" s="13">
        <v>0.87818859400646965</v>
      </c>
      <c r="Y12" s="13">
        <f t="shared" si="12"/>
        <v>0.87818859400646965</v>
      </c>
      <c r="Z12" s="13">
        <v>0.87818859400646965</v>
      </c>
      <c r="AA12" s="72"/>
      <c r="AB12" s="13">
        <f t="shared" si="7"/>
        <v>0.87818859400646965</v>
      </c>
      <c r="AC12" s="13"/>
      <c r="AD12" s="33">
        <f t="shared" si="0"/>
        <v>-4.2538639318985449</v>
      </c>
      <c r="AF12">
        <f t="shared" si="1"/>
        <v>-4.290678486453106</v>
      </c>
      <c r="AG12">
        <f t="shared" si="2"/>
        <v>-4.290678486453106</v>
      </c>
      <c r="AH12" s="13"/>
      <c r="AK12">
        <v>8</v>
      </c>
      <c r="AL12">
        <v>0</v>
      </c>
    </row>
    <row r="13" spans="1:38">
      <c r="A13">
        <v>2018</v>
      </c>
      <c r="B13" s="13">
        <f>'EV %sales'!O76</f>
        <v>1.7936823248242677</v>
      </c>
      <c r="C13" s="253">
        <f>AVERAGE(D12:D14)</f>
        <v>1.7804203205284468</v>
      </c>
      <c r="D13" s="84">
        <f t="shared" si="8"/>
        <v>1.6331774169026745</v>
      </c>
      <c r="E13" s="84">
        <f>J13-SUM(F$7:F13)</f>
        <v>-3.6584129685138143</v>
      </c>
      <c r="F13" s="13">
        <f t="shared" si="9"/>
        <v>0</v>
      </c>
      <c r="G13" s="13">
        <v>1</v>
      </c>
      <c r="H13" s="13">
        <v>1</v>
      </c>
      <c r="I13" s="13">
        <v>0</v>
      </c>
      <c r="J13" s="13">
        <f>LN(L13/(65-L13))</f>
        <v>-3.6584129685138143</v>
      </c>
      <c r="K13" s="13"/>
      <c r="L13" s="84">
        <f t="shared" ref="L13:L48" si="14">AVERAGE(M11:M15)</f>
        <v>1.6331774169026745</v>
      </c>
      <c r="M13" s="13">
        <f t="shared" si="4"/>
        <v>1.7336445171730701</v>
      </c>
      <c r="N13" s="13">
        <f t="shared" si="5"/>
        <v>2017.9175356398634</v>
      </c>
      <c r="O13" s="13">
        <f t="shared" si="6"/>
        <v>2018.2607843432163</v>
      </c>
      <c r="P13" s="13">
        <f>1/Korea!R93</f>
        <v>0.82441748645391222</v>
      </c>
      <c r="Q13" s="13"/>
      <c r="R13">
        <v>2018</v>
      </c>
      <c r="S13" s="13">
        <v>2.131972138257916</v>
      </c>
      <c r="T13" s="13">
        <v>1.7804203205284468</v>
      </c>
      <c r="U13" s="13">
        <v>1.7804203205284468</v>
      </c>
      <c r="W13">
        <v>2018</v>
      </c>
      <c r="X13" s="13">
        <v>1.3579731144829648</v>
      </c>
      <c r="Y13" s="13">
        <f t="shared" si="12"/>
        <v>1.7804203205284468</v>
      </c>
      <c r="Z13" s="13">
        <v>2.5382368498931904</v>
      </c>
      <c r="AA13" s="13"/>
      <c r="AB13" s="13">
        <f t="shared" si="7"/>
        <v>1.7336445171730701</v>
      </c>
      <c r="AC13" s="13"/>
      <c r="AD13" s="33">
        <f t="shared" si="0"/>
        <v>-3.562133587878531</v>
      </c>
      <c r="AF13">
        <f t="shared" si="1"/>
        <v>-3.597127828944938</v>
      </c>
      <c r="AG13">
        <f t="shared" si="2"/>
        <v>-3.597127828944938</v>
      </c>
      <c r="AK13">
        <v>9</v>
      </c>
      <c r="AL13">
        <v>0</v>
      </c>
    </row>
    <row r="14" spans="1:38">
      <c r="A14">
        <v>2019</v>
      </c>
      <c r="B14" s="13"/>
      <c r="C14" s="13">
        <f>AVERAGE(D13:D15)</f>
        <v>2.8065512897951961</v>
      </c>
      <c r="D14" s="84">
        <f>65*EXP(E14)/(1+EXP(E14))</f>
        <v>2.8298949506761963</v>
      </c>
      <c r="E14" s="84">
        <f>J14-SUM(F$7:F14)</f>
        <v>-3.0896346669268913</v>
      </c>
      <c r="F14" s="13">
        <f>I14*G14</f>
        <v>0</v>
      </c>
      <c r="G14" s="13">
        <f t="shared" si="10"/>
        <v>1</v>
      </c>
      <c r="H14" s="13">
        <v>1</v>
      </c>
      <c r="I14" s="13">
        <v>0</v>
      </c>
      <c r="J14" s="13">
        <f t="shared" si="11"/>
        <v>-3.0896346669268913</v>
      </c>
      <c r="K14" s="13"/>
      <c r="L14" s="84">
        <f t="shared" si="14"/>
        <v>2.8298949506761959</v>
      </c>
      <c r="M14" s="13">
        <f t="shared" si="4"/>
        <v>1.7336445171730701</v>
      </c>
      <c r="N14" s="13">
        <f t="shared" si="5"/>
        <v>2017.9359874005902</v>
      </c>
      <c r="O14" s="13">
        <f t="shared" si="6"/>
        <v>2019.2423325824896</v>
      </c>
      <c r="P14" s="13">
        <f>1/Korea!R94</f>
        <v>0.91543723487218998</v>
      </c>
      <c r="Q14" s="13"/>
      <c r="R14">
        <v>2019</v>
      </c>
      <c r="S14" s="13">
        <v>3.4574252917896495</v>
      </c>
      <c r="T14" s="13">
        <v>2.8065512897951961</v>
      </c>
      <c r="U14" s="13">
        <v>2.8065512897951961</v>
      </c>
      <c r="W14">
        <v>2019</v>
      </c>
      <c r="X14" s="13">
        <v>1.8523386149712326</v>
      </c>
      <c r="Y14" s="13">
        <f t="shared" si="12"/>
        <v>2.8065512897951961</v>
      </c>
      <c r="Z14" s="13">
        <v>4.54001964520321</v>
      </c>
      <c r="AA14" s="13"/>
      <c r="AB14" s="13">
        <f t="shared" si="7"/>
        <v>3.3785058938819041</v>
      </c>
      <c r="AC14" s="13"/>
      <c r="AF14">
        <f t="shared" si="1"/>
        <v>-2.90357717143677</v>
      </c>
      <c r="AG14">
        <f t="shared" si="2"/>
        <v>-2.90357717143677</v>
      </c>
      <c r="AK14">
        <v>10</v>
      </c>
      <c r="AL14">
        <v>0</v>
      </c>
    </row>
    <row r="15" spans="1:38">
      <c r="A15">
        <v>2020</v>
      </c>
      <c r="B15" s="13"/>
      <c r="C15" s="13">
        <f>AVERAGE(D12:D18)</f>
        <v>5.2403013381056427</v>
      </c>
      <c r="D15" s="84">
        <f>65*EXP(E15)/(1+EXP(E15))</f>
        <v>3.9565815018067174</v>
      </c>
      <c r="E15" s="84">
        <f>J15-SUM(F$7:F15)</f>
        <v>-2.7362049943120557</v>
      </c>
      <c r="F15" s="13">
        <f t="shared" si="9"/>
        <v>0.25</v>
      </c>
      <c r="G15" s="13">
        <f t="shared" si="10"/>
        <v>1</v>
      </c>
      <c r="H15" s="13">
        <f t="shared" ref="H15:H50" si="15">IF((P15-0.6)/0.3&gt;1,1,(P15-0.6)/0.3)</f>
        <v>1</v>
      </c>
      <c r="I15" s="231">
        <v>0.25</v>
      </c>
      <c r="J15" s="13">
        <f t="shared" si="11"/>
        <v>-2.4862049943120557</v>
      </c>
      <c r="K15" s="13"/>
      <c r="L15" s="84">
        <f t="shared" si="14"/>
        <v>4.9940109312926024</v>
      </c>
      <c r="M15" s="13">
        <f t="shared" si="4"/>
        <v>3.3785058938819041</v>
      </c>
      <c r="N15" s="13">
        <f t="shared" si="5"/>
        <v>2019.0033737514793</v>
      </c>
      <c r="O15" s="13">
        <f t="shared" si="6"/>
        <v>2019.1749462316004</v>
      </c>
      <c r="P15" s="13">
        <f>1/Korea!R95</f>
        <v>0.90918844499172002</v>
      </c>
      <c r="Q15" s="13"/>
      <c r="R15">
        <v>2020</v>
      </c>
      <c r="S15" s="13">
        <v>6.6644556825316306</v>
      </c>
      <c r="T15" s="13">
        <v>5.2403013381056427</v>
      </c>
      <c r="U15" s="13">
        <v>5.1594255569722041</v>
      </c>
      <c r="W15">
        <v>2020</v>
      </c>
      <c r="X15" s="13">
        <v>2.8155753870690026</v>
      </c>
      <c r="Y15" s="13">
        <f t="shared" si="12"/>
        <v>5.2403013381056427</v>
      </c>
      <c r="Z15" s="13">
        <v>10.14241442082503</v>
      </c>
      <c r="AA15" s="13"/>
      <c r="AB15" s="13">
        <f t="shared" si="7"/>
        <v>6.4254912311464647</v>
      </c>
      <c r="AC15" s="13"/>
      <c r="AF15">
        <f t="shared" si="1"/>
        <v>-2.2100265139286019</v>
      </c>
      <c r="AG15">
        <f t="shared" si="2"/>
        <v>-2.2100265139286019</v>
      </c>
      <c r="AK15">
        <v>11</v>
      </c>
      <c r="AL15">
        <v>0</v>
      </c>
    </row>
    <row r="16" spans="1:38">
      <c r="A16">
        <v>2021</v>
      </c>
      <c r="B16" s="13"/>
      <c r="C16" s="13">
        <f>AVERAGE(D13:D19)</f>
        <v>7.5973475012623597</v>
      </c>
      <c r="D16" s="84">
        <f t="shared" si="8"/>
        <v>5.5692660140212329</v>
      </c>
      <c r="E16" s="84">
        <f>J16-SUM(F$7:F16)</f>
        <v>-2.3675482293364376</v>
      </c>
      <c r="F16" s="13">
        <f t="shared" si="9"/>
        <v>0.2387351175834781</v>
      </c>
      <c r="G16" s="13">
        <f t="shared" si="10"/>
        <v>0.92712667022709938</v>
      </c>
      <c r="H16" s="13">
        <f t="shared" si="15"/>
        <v>0.92712667022709938</v>
      </c>
      <c r="I16" s="20">
        <f>I15+(I35-I15)/20</f>
        <v>0.25750000000000001</v>
      </c>
      <c r="J16" s="13">
        <f t="shared" si="11"/>
        <v>-1.8788131117529594</v>
      </c>
      <c r="K16" s="13"/>
      <c r="L16" s="84">
        <f t="shared" si="14"/>
        <v>8.6141419950700175</v>
      </c>
      <c r="M16" s="13">
        <f t="shared" si="4"/>
        <v>6.4254912311464647</v>
      </c>
      <c r="N16" s="13">
        <f t="shared" si="5"/>
        <v>2020.3382187613975</v>
      </c>
      <c r="O16" s="13">
        <f t="shared" si="6"/>
        <v>2018.8401012216823</v>
      </c>
      <c r="P16" s="13">
        <f>1/Korea!R96</f>
        <v>0.87813800106812978</v>
      </c>
      <c r="Q16" s="13"/>
      <c r="R16">
        <v>2021</v>
      </c>
      <c r="S16" s="13">
        <v>9.5615644194134575</v>
      </c>
      <c r="T16" s="13">
        <v>7.5973475012623597</v>
      </c>
      <c r="U16" s="13">
        <v>7.4256438992113241</v>
      </c>
      <c r="W16">
        <v>2021</v>
      </c>
      <c r="X16" s="13">
        <v>3.7989296943801856</v>
      </c>
      <c r="Y16" s="13">
        <f t="shared" si="12"/>
        <v>7.5973475012623597</v>
      </c>
      <c r="Z16" s="13">
        <v>15.220480756143164</v>
      </c>
      <c r="AA16" s="13"/>
      <c r="AB16" s="13">
        <f t="shared" si="7"/>
        <v>11.698768497088503</v>
      </c>
      <c r="AC16" s="13"/>
      <c r="AF16">
        <f t="shared" si="1"/>
        <v>-1.516475856420433</v>
      </c>
      <c r="AG16">
        <f t="shared" si="2"/>
        <v>-1.516475856420433</v>
      </c>
      <c r="AK16">
        <v>12</v>
      </c>
      <c r="AL16">
        <v>0</v>
      </c>
    </row>
    <row r="17" spans="1:38">
      <c r="A17">
        <v>2022</v>
      </c>
      <c r="B17" s="13"/>
      <c r="C17" s="13">
        <f>AVERAGE(D14:D20)</f>
        <v>10.821903618953856</v>
      </c>
      <c r="D17" s="84">
        <f t="shared" si="8"/>
        <v>9.0531233119675978</v>
      </c>
      <c r="E17" s="84">
        <f>J17-SUM(F$7:F17)</f>
        <v>-1.8212927944125306</v>
      </c>
      <c r="F17" s="13">
        <f t="shared" si="9"/>
        <v>0.25872354773081718</v>
      </c>
      <c r="G17" s="13">
        <f t="shared" si="10"/>
        <v>0.97631527445591382</v>
      </c>
      <c r="H17" s="13">
        <f t="shared" si="15"/>
        <v>0.97631527445591382</v>
      </c>
      <c r="I17" s="20">
        <f>I16+(I35-I15)/20</f>
        <v>0.26500000000000001</v>
      </c>
      <c r="J17" s="13">
        <f t="shared" si="11"/>
        <v>-1.0738341290982354</v>
      </c>
      <c r="K17" s="13"/>
      <c r="L17" s="84">
        <f>AVERAGE(M15:M19)</f>
        <v>16.553850487953202</v>
      </c>
      <c r="M17" s="13">
        <f t="shared" si="4"/>
        <v>11.698768497088503</v>
      </c>
      <c r="N17" s="13">
        <f t="shared" si="5"/>
        <v>2021.1790852039701</v>
      </c>
      <c r="O17" s="13">
        <f t="shared" si="6"/>
        <v>2018.9992347791097</v>
      </c>
      <c r="P17" s="13">
        <f>1/Korea!R97</f>
        <v>0.8928945823367741</v>
      </c>
      <c r="Q17" s="13"/>
      <c r="R17">
        <v>2022</v>
      </c>
      <c r="S17" s="13">
        <v>13.569558575117654</v>
      </c>
      <c r="T17" s="13">
        <v>10.821903618953856</v>
      </c>
      <c r="U17" s="13">
        <v>10.440905065505719</v>
      </c>
      <c r="W17">
        <v>2022</v>
      </c>
      <c r="X17" s="13">
        <v>5.0258472271542161</v>
      </c>
      <c r="Y17" s="13">
        <f t="shared" si="12"/>
        <v>10.821903618953856</v>
      </c>
      <c r="Z17" s="13">
        <v>21.853306045599769</v>
      </c>
      <c r="AA17" s="13"/>
      <c r="AB17" s="13">
        <f t="shared" si="7"/>
        <v>19.83429983606014</v>
      </c>
      <c r="AC17" s="13"/>
      <c r="AF17">
        <f t="shared" si="1"/>
        <v>-0.8229251989122659</v>
      </c>
      <c r="AG17">
        <f t="shared" si="2"/>
        <v>-0.8229251989122659</v>
      </c>
      <c r="AK17">
        <v>13</v>
      </c>
      <c r="AL17">
        <v>0</v>
      </c>
    </row>
    <row r="18" spans="1:38">
      <c r="A18">
        <v>2023</v>
      </c>
      <c r="B18" s="13"/>
      <c r="C18" s="13">
        <f>AVERAGE(D15:D21)</f>
        <v>15.305519087429673</v>
      </c>
      <c r="D18" s="84">
        <f t="shared" si="8"/>
        <v>12.761877577358604</v>
      </c>
      <c r="E18" s="84">
        <f>J18-SUM(F$7:F18)</f>
        <v>-1.4093501302958189</v>
      </c>
      <c r="F18" s="13">
        <f t="shared" si="9"/>
        <v>0.25645188765918886</v>
      </c>
      <c r="G18" s="13">
        <f t="shared" si="10"/>
        <v>0.94110784462087649</v>
      </c>
      <c r="H18" s="13">
        <f t="shared" si="15"/>
        <v>0.94110784462087649</v>
      </c>
      <c r="I18" s="20">
        <f>I17+(I35-I15)/20</f>
        <v>0.27250000000000002</v>
      </c>
      <c r="J18" s="13">
        <f t="shared" si="11"/>
        <v>-0.40543957732233465</v>
      </c>
      <c r="K18" s="13"/>
      <c r="L18" s="84">
        <f t="shared" si="14"/>
        <v>26.000398281275768</v>
      </c>
      <c r="M18" s="13">
        <f t="shared" si="4"/>
        <v>19.83429983606014</v>
      </c>
      <c r="N18" s="13">
        <f t="shared" si="5"/>
        <v>2022.2929872681852</v>
      </c>
      <c r="O18" s="13">
        <f t="shared" si="6"/>
        <v>2018.8853327148945</v>
      </c>
      <c r="P18" s="13">
        <f>1/Korea!R98</f>
        <v>0.88233235338626292</v>
      </c>
      <c r="Q18" s="13"/>
      <c r="R18">
        <v>2023</v>
      </c>
      <c r="S18" s="13">
        <v>18.446416199513198</v>
      </c>
      <c r="T18" s="13">
        <v>15.305519087429673</v>
      </c>
      <c r="U18" s="13">
        <v>14.615523991943149</v>
      </c>
      <c r="W18">
        <v>2023</v>
      </c>
      <c r="X18" s="13">
        <v>6.5227959405745102</v>
      </c>
      <c r="Y18" s="13">
        <f t="shared" si="12"/>
        <v>15.305519087429673</v>
      </c>
      <c r="Z18" s="13">
        <v>29.3156576073415</v>
      </c>
      <c r="AA18" s="13"/>
      <c r="AB18" s="13">
        <f t="shared" si="7"/>
        <v>30.400591171145539</v>
      </c>
      <c r="AC18" s="13"/>
      <c r="AF18">
        <f t="shared" si="1"/>
        <v>-0.12937454140409699</v>
      </c>
      <c r="AG18">
        <f t="shared" si="2"/>
        <v>-0.12937454140409699</v>
      </c>
      <c r="AK18">
        <v>14</v>
      </c>
      <c r="AL18">
        <v>0</v>
      </c>
    </row>
    <row r="19" spans="1:38">
      <c r="A19">
        <v>2024</v>
      </c>
      <c r="B19" s="13"/>
      <c r="C19" s="13">
        <f t="shared" ref="C19:C50" si="16">AVERAGE(D16:D22)</f>
        <v>20.828298895684373</v>
      </c>
      <c r="D19" s="84">
        <f t="shared" si="8"/>
        <v>17.377511736103493</v>
      </c>
      <c r="E19" s="84">
        <f>J19-SUM(F$7:F19)</f>
        <v>-1.0081281508360842</v>
      </c>
      <c r="F19" s="13">
        <f t="shared" si="9"/>
        <v>0.22653904791753687</v>
      </c>
      <c r="G19" s="13">
        <f t="shared" si="10"/>
        <v>0.80906802827691737</v>
      </c>
      <c r="H19" s="13">
        <f t="shared" si="15"/>
        <v>0.80906802827691737</v>
      </c>
      <c r="I19" s="20">
        <f>I18+(I35-I15)/20</f>
        <v>0.28000000000000003</v>
      </c>
      <c r="J19" s="13">
        <f t="shared" si="11"/>
        <v>0.22232145005493689</v>
      </c>
      <c r="K19" s="13"/>
      <c r="L19" s="84">
        <f t="shared" si="14"/>
        <v>36.09791629147518</v>
      </c>
      <c r="M19" s="13">
        <f t="shared" si="4"/>
        <v>41.432186981588991</v>
      </c>
      <c r="N19" s="13">
        <f t="shared" si="5"/>
        <v>2023.720158683725</v>
      </c>
      <c r="O19" s="13">
        <f t="shared" si="6"/>
        <v>2018.4581612993547</v>
      </c>
      <c r="P19" s="13">
        <f>1/Korea!R99</f>
        <v>0.84272040848307517</v>
      </c>
      <c r="Q19" s="13"/>
      <c r="R19">
        <v>2024</v>
      </c>
      <c r="S19" s="13">
        <v>24.500863568717673</v>
      </c>
      <c r="T19" s="13">
        <v>20.828298895684373</v>
      </c>
      <c r="U19" s="13">
        <v>19.739051852675523</v>
      </c>
      <c r="W19">
        <v>2024</v>
      </c>
      <c r="X19" s="13">
        <v>8.3827187312943146</v>
      </c>
      <c r="Y19" s="13">
        <f t="shared" si="12"/>
        <v>20.828298895684373</v>
      </c>
      <c r="Z19" s="13">
        <v>37.236183391710085</v>
      </c>
      <c r="AA19" s="13"/>
      <c r="AB19" s="13">
        <f t="shared" si="7"/>
        <v>41.432186981588991</v>
      </c>
      <c r="AC19" s="13"/>
      <c r="AF19">
        <f t="shared" si="1"/>
        <v>0.56417611610407015</v>
      </c>
      <c r="AG19">
        <f t="shared" si="2"/>
        <v>0.56417611610407015</v>
      </c>
      <c r="AK19">
        <v>15</v>
      </c>
      <c r="AL19">
        <v>0</v>
      </c>
    </row>
    <row r="20" spans="1:38">
      <c r="A20" s="14">
        <v>2025</v>
      </c>
      <c r="B20" s="13"/>
      <c r="C20" s="20">
        <f t="shared" si="16"/>
        <v>27.335747293277198</v>
      </c>
      <c r="D20" s="84">
        <f t="shared" si="8"/>
        <v>24.205070240743151</v>
      </c>
      <c r="E20" s="84">
        <f>J20-SUM(F$7:F20)</f>
        <v>-0.52199567778350819</v>
      </c>
      <c r="F20" s="13">
        <f t="shared" si="9"/>
        <v>0.19910698792678341</v>
      </c>
      <c r="G20" s="13">
        <f t="shared" si="10"/>
        <v>0.69254604496272487</v>
      </c>
      <c r="H20" s="13">
        <f t="shared" si="15"/>
        <v>0.69254604496272487</v>
      </c>
      <c r="I20" s="20">
        <f>I19+(I35-I15)/20</f>
        <v>0.28750000000000003</v>
      </c>
      <c r="J20" s="13">
        <f t="shared" si="11"/>
        <v>0.90756091103429637</v>
      </c>
      <c r="K20" s="13"/>
      <c r="L20" s="84">
        <f t="shared" si="14"/>
        <v>46.312551383656121</v>
      </c>
      <c r="M20" s="13">
        <f t="shared" si="4"/>
        <v>50.611244860494736</v>
      </c>
      <c r="N20" s="13">
        <f t="shared" si="5"/>
        <v>2025.0971272522377</v>
      </c>
      <c r="O20" s="13">
        <f t="shared" si="6"/>
        <v>2018.0811927308421</v>
      </c>
      <c r="P20" s="13">
        <f>1/Korea!R100</f>
        <v>0.80776381348881743</v>
      </c>
      <c r="Q20" s="13"/>
      <c r="R20" s="87">
        <v>2025</v>
      </c>
      <c r="S20" s="13">
        <v>31.40901352237125</v>
      </c>
      <c r="T20" s="13">
        <v>27.335747293277198</v>
      </c>
      <c r="U20" s="13">
        <v>25.776715094562331</v>
      </c>
      <c r="W20" s="87">
        <v>2025</v>
      </c>
      <c r="X20" s="13">
        <v>10.671631425811215</v>
      </c>
      <c r="Y20" s="13">
        <f t="shared" si="12"/>
        <v>27.335747293277198</v>
      </c>
      <c r="Z20" s="13">
        <v>44.668477425535244</v>
      </c>
      <c r="AA20" s="13"/>
      <c r="AB20" s="13">
        <f t="shared" si="7"/>
        <v>50.611244860494736</v>
      </c>
      <c r="AC20" s="13"/>
      <c r="AF20">
        <f t="shared" si="1"/>
        <v>1.2577267736122391</v>
      </c>
      <c r="AG20">
        <f t="shared" si="2"/>
        <v>1.2577267736122391</v>
      </c>
      <c r="AK20">
        <v>16</v>
      </c>
      <c r="AL20">
        <v>0</v>
      </c>
    </row>
    <row r="21" spans="1:38">
      <c r="A21">
        <v>2026</v>
      </c>
      <c r="B21" s="13"/>
      <c r="C21" s="13">
        <f t="shared" si="16"/>
        <v>34.429408480020584</v>
      </c>
      <c r="D21" s="84">
        <f t="shared" si="8"/>
        <v>34.2152032300069</v>
      </c>
      <c r="E21" s="84">
        <f>J21-SUM(F$7:F21)</f>
        <v>0.1056491274300364</v>
      </c>
      <c r="F21" s="13">
        <f t="shared" si="9"/>
        <v>0.18368583995909585</v>
      </c>
      <c r="G21" s="13">
        <f>IF(H21&lt;0,0,H21)</f>
        <v>0.62266386426812148</v>
      </c>
      <c r="H21" s="13">
        <f t="shared" si="15"/>
        <v>0.62266386426812148</v>
      </c>
      <c r="I21" s="20">
        <f>I20+(I35-I15)/20</f>
        <v>0.29500000000000004</v>
      </c>
      <c r="J21" s="13">
        <f t="shared" si="11"/>
        <v>1.7188915562069369</v>
      </c>
      <c r="K21" s="13"/>
      <c r="L21" s="84">
        <f t="shared" si="14"/>
        <v>55.119090434472085</v>
      </c>
      <c r="M21" s="13">
        <f t="shared" si="4"/>
        <v>56.913081282143523</v>
      </c>
      <c r="N21" s="13">
        <f t="shared" si="5"/>
        <v>2026.3232080729695</v>
      </c>
      <c r="O21" s="13">
        <f t="shared" si="6"/>
        <v>2017.8551119101103</v>
      </c>
      <c r="P21" s="13">
        <f>1/Korea!R101</f>
        <v>0.78679915928043642</v>
      </c>
      <c r="Q21" s="13"/>
      <c r="R21">
        <v>2026</v>
      </c>
      <c r="S21" s="13">
        <v>38.297252784728876</v>
      </c>
      <c r="T21" s="13">
        <v>34.429408480020584</v>
      </c>
      <c r="U21" s="13">
        <v>32.35121948202957</v>
      </c>
      <c r="W21">
        <v>2026</v>
      </c>
      <c r="X21" s="13">
        <v>13.441656983791386</v>
      </c>
      <c r="Y21" s="13">
        <f>T21</f>
        <v>34.429408480020584</v>
      </c>
      <c r="Z21" s="13">
        <v>51.286933361452121</v>
      </c>
      <c r="AA21" s="13"/>
      <c r="AB21" s="13">
        <f t="shared" si="7"/>
        <v>56.913081282143523</v>
      </c>
      <c r="AC21" s="13"/>
      <c r="AF21">
        <f t="shared" si="1"/>
        <v>1.951277431120408</v>
      </c>
      <c r="AG21">
        <f t="shared" si="2"/>
        <v>1.951277431120408</v>
      </c>
      <c r="AK21">
        <v>17</v>
      </c>
      <c r="AL21">
        <v>0</v>
      </c>
    </row>
    <row r="22" spans="1:38">
      <c r="A22">
        <v>2027</v>
      </c>
      <c r="B22" s="13"/>
      <c r="C22" s="13">
        <f t="shared" si="16"/>
        <v>41.364685885968512</v>
      </c>
      <c r="D22" s="84">
        <f t="shared" si="8"/>
        <v>42.61604015958963</v>
      </c>
      <c r="E22" s="84">
        <f>J22-SUM(F$7:F22)</f>
        <v>0.64388608817250881</v>
      </c>
      <c r="F22" s="13">
        <f t="shared" si="9"/>
        <v>0.16828301540856036</v>
      </c>
      <c r="G22" s="13">
        <f t="shared" si="10"/>
        <v>0.55630748895391846</v>
      </c>
      <c r="H22" s="13">
        <f t="shared" si="15"/>
        <v>0.55630748895391846</v>
      </c>
      <c r="I22" s="20">
        <f>I21+(I35-I15)/20</f>
        <v>0.30250000000000005</v>
      </c>
      <c r="J22" s="13">
        <f t="shared" si="11"/>
        <v>2.4254115323579697</v>
      </c>
      <c r="K22" s="13"/>
      <c r="L22" s="84">
        <f t="shared" si="14"/>
        <v>59.71840210526657</v>
      </c>
      <c r="M22" s="13">
        <f t="shared" si="4"/>
        <v>62.771943957993223</v>
      </c>
      <c r="N22" s="13">
        <f t="shared" si="5"/>
        <v>2027.5378823095591</v>
      </c>
      <c r="O22" s="13">
        <f t="shared" si="6"/>
        <v>2017.6404376735206</v>
      </c>
      <c r="P22" s="13">
        <f>1/Korea!R102</f>
        <v>0.7668922466861755</v>
      </c>
      <c r="Q22" s="13"/>
      <c r="R22">
        <v>2027</v>
      </c>
      <c r="S22" s="13">
        <v>44.90238927975178</v>
      </c>
      <c r="T22" s="13">
        <v>41.364685885968512</v>
      </c>
      <c r="U22" s="13">
        <v>39.251669631731311</v>
      </c>
      <c r="W22">
        <v>2027</v>
      </c>
      <c r="X22" s="13">
        <v>16.727320641126816</v>
      </c>
      <c r="Y22" s="13">
        <f t="shared" si="12"/>
        <v>41.364685885968512</v>
      </c>
      <c r="Z22" s="13">
        <v>56.808620725856485</v>
      </c>
      <c r="AA22" s="13"/>
      <c r="AB22" s="13">
        <f t="shared" si="7"/>
        <v>60.689947897794141</v>
      </c>
      <c r="AC22" s="13"/>
      <c r="AF22">
        <f t="shared" si="1"/>
        <v>2.6448280886285751</v>
      </c>
      <c r="AG22">
        <f t="shared" si="2"/>
        <v>2.6448280886285751</v>
      </c>
      <c r="AK22">
        <v>18</v>
      </c>
      <c r="AL22">
        <v>0</v>
      </c>
    </row>
    <row r="23" spans="1:38">
      <c r="A23">
        <v>2028</v>
      </c>
      <c r="B23" s="13"/>
      <c r="C23" s="13">
        <f t="shared" si="16"/>
        <v>47.86406928319709</v>
      </c>
      <c r="D23" s="84">
        <f t="shared" si="8"/>
        <v>51.121404797171024</v>
      </c>
      <c r="E23" s="84">
        <f>J23-SUM(F$7:F23)</f>
        <v>1.3038555502888047</v>
      </c>
      <c r="F23" s="13">
        <f t="shared" si="9"/>
        <v>0.14975653326524074</v>
      </c>
      <c r="G23" s="13">
        <f t="shared" si="10"/>
        <v>0.48308559117819583</v>
      </c>
      <c r="H23" s="13">
        <f t="shared" si="15"/>
        <v>0.48308559117819583</v>
      </c>
      <c r="I23" s="20">
        <f>I22+(I35-I15)/20</f>
        <v>0.31000000000000005</v>
      </c>
      <c r="J23" s="13">
        <f t="shared" si="11"/>
        <v>3.2351375277395062</v>
      </c>
      <c r="K23" s="13"/>
      <c r="L23" s="84">
        <f t="shared" si="14"/>
        <v>62.538798578006194</v>
      </c>
      <c r="M23" s="13">
        <f t="shared" si="4"/>
        <v>63.866995090139973</v>
      </c>
      <c r="N23" s="13">
        <f t="shared" si="5"/>
        <v>2028.7747676869205</v>
      </c>
      <c r="O23" s="13">
        <f t="shared" si="6"/>
        <v>2017.4035522961592</v>
      </c>
      <c r="P23" s="13">
        <f>1/Korea!R103</f>
        <v>0.74492567735345872</v>
      </c>
      <c r="Q23" s="13"/>
      <c r="R23">
        <v>2028</v>
      </c>
      <c r="S23" s="13">
        <v>50.929515518930948</v>
      </c>
      <c r="T23" s="13">
        <v>47.86406928319709</v>
      </c>
      <c r="U23" s="13">
        <v>45.784392159496711</v>
      </c>
      <c r="W23">
        <v>2028</v>
      </c>
      <c r="X23" s="13">
        <v>20.536696932838115</v>
      </c>
      <c r="Y23" s="13">
        <f t="shared" si="12"/>
        <v>47.86406928319709</v>
      </c>
      <c r="Z23" s="13">
        <v>60.882286898119148</v>
      </c>
      <c r="AA23" s="13"/>
      <c r="AB23" s="13">
        <f t="shared" si="7"/>
        <v>62.771943957993223</v>
      </c>
      <c r="AC23" s="13"/>
      <c r="AF23">
        <f t="shared" si="1"/>
        <v>3.338378746136744</v>
      </c>
      <c r="AG23">
        <f t="shared" si="2"/>
        <v>3.338378746136744</v>
      </c>
      <c r="AK23">
        <v>19</v>
      </c>
      <c r="AL23">
        <v>0</v>
      </c>
    </row>
    <row r="24" spans="1:38">
      <c r="A24">
        <v>2029</v>
      </c>
      <c r="B24" s="13"/>
      <c r="C24" s="13">
        <f t="shared" si="16"/>
        <v>53.518510254323168</v>
      </c>
      <c r="D24" s="84">
        <f t="shared" si="8"/>
        <v>58.708751619171281</v>
      </c>
      <c r="E24" s="84">
        <f>J24-SUM(F$7:F24)</f>
        <v>2.2334292845977259</v>
      </c>
      <c r="F24" s="13">
        <f t="shared" si="9"/>
        <v>0.13250029843887337</v>
      </c>
      <c r="G24" s="13">
        <f t="shared" si="10"/>
        <v>0.41732377461062475</v>
      </c>
      <c r="H24" s="13">
        <f t="shared" si="15"/>
        <v>0.41732377461062475</v>
      </c>
      <c r="I24" s="20">
        <f>I23+(I35-I15)/20</f>
        <v>0.31750000000000006</v>
      </c>
      <c r="J24" s="13">
        <f t="shared" si="11"/>
        <v>4.2972115604873009</v>
      </c>
      <c r="K24" s="13"/>
      <c r="L24" s="84">
        <f t="shared" si="14"/>
        <v>64.127453211898725</v>
      </c>
      <c r="M24" s="13">
        <f t="shared" si="4"/>
        <v>64.428745335561374</v>
      </c>
      <c r="N24" s="13">
        <f t="shared" si="5"/>
        <v>2029.9875184241562</v>
      </c>
      <c r="O24" s="13">
        <f t="shared" si="6"/>
        <v>2017.1908015589236</v>
      </c>
      <c r="P24" s="13">
        <f>1/Korea!R104</f>
        <v>0.72519713238318739</v>
      </c>
      <c r="Q24" s="13"/>
      <c r="R24">
        <v>2029</v>
      </c>
      <c r="S24" s="13">
        <v>55.842809067085817</v>
      </c>
      <c r="T24" s="13">
        <v>53.518510254323168</v>
      </c>
      <c r="U24" s="13">
        <v>51.61061706251224</v>
      </c>
      <c r="W24">
        <v>2029</v>
      </c>
      <c r="X24" s="13">
        <v>24.820609344022124</v>
      </c>
      <c r="Y24" s="13">
        <f t="shared" si="12"/>
        <v>53.518510254323168</v>
      </c>
      <c r="Z24" s="13">
        <v>63.210544032419548</v>
      </c>
      <c r="AA24" s="13"/>
      <c r="AB24" s="13">
        <f t="shared" si="7"/>
        <v>63.866995090139973</v>
      </c>
      <c r="AC24" s="13"/>
      <c r="AF24">
        <f t="shared" si="1"/>
        <v>4.0319294036449111</v>
      </c>
      <c r="AG24">
        <f t="shared" si="2"/>
        <v>4.0319294036449111</v>
      </c>
      <c r="AK24">
        <v>20</v>
      </c>
      <c r="AL24">
        <v>0</v>
      </c>
    </row>
    <row r="25" spans="1:38">
      <c r="A25" s="14">
        <v>2030</v>
      </c>
      <c r="B25" s="13"/>
      <c r="C25" s="20">
        <f t="shared" si="16"/>
        <v>57.817795202045488</v>
      </c>
      <c r="D25" s="84">
        <f t="shared" si="8"/>
        <v>61.308819418994133</v>
      </c>
      <c r="E25" s="84">
        <f>J25-SUM(F$7:F25)</f>
        <v>2.809977358125884</v>
      </c>
      <c r="F25" s="13">
        <f t="shared" si="9"/>
        <v>0.1118222767952103</v>
      </c>
      <c r="G25" s="13">
        <f t="shared" si="10"/>
        <v>0.34406854398526238</v>
      </c>
      <c r="H25" s="13">
        <f t="shared" si="15"/>
        <v>0.34406854398526238</v>
      </c>
      <c r="I25" s="20">
        <f>I24+(I35-I15)/20</f>
        <v>0.32500000000000007</v>
      </c>
      <c r="J25" s="13">
        <f t="shared" si="11"/>
        <v>4.9855819108106694</v>
      </c>
      <c r="K25" s="13"/>
      <c r="L25" s="84">
        <f t="shared" si="14"/>
        <v>64.558689770154871</v>
      </c>
      <c r="M25" s="13">
        <f t="shared" si="4"/>
        <v>64.713227224192906</v>
      </c>
      <c r="N25" s="13">
        <f t="shared" si="5"/>
        <v>2031.2245116389938</v>
      </c>
      <c r="O25" s="13">
        <f t="shared" si="6"/>
        <v>2016.9538083440859</v>
      </c>
      <c r="P25" s="13">
        <f>1/Korea!R105</f>
        <v>0.70322056319557869</v>
      </c>
      <c r="Q25" s="13"/>
      <c r="R25" s="87">
        <v>2030</v>
      </c>
      <c r="S25" s="13">
        <v>59.624166312963254</v>
      </c>
      <c r="T25" s="13">
        <v>57.817795202045488</v>
      </c>
      <c r="U25" s="13">
        <v>56.194891717600747</v>
      </c>
      <c r="W25" s="87">
        <v>2030</v>
      </c>
      <c r="X25" s="13">
        <v>29.466466608724414</v>
      </c>
      <c r="Y25" s="13">
        <f t="shared" si="12"/>
        <v>57.817795202045488</v>
      </c>
      <c r="Z25" s="13">
        <v>64.389782414697407</v>
      </c>
      <c r="AA25" s="13"/>
      <c r="AB25" s="13">
        <f t="shared" si="7"/>
        <v>64.428745335561374</v>
      </c>
      <c r="AC25" s="13"/>
      <c r="AF25">
        <f t="shared" si="1"/>
        <v>4.7254800611530801</v>
      </c>
      <c r="AG25">
        <f t="shared" si="2"/>
        <v>4.7254800611530801</v>
      </c>
      <c r="AK25">
        <v>21</v>
      </c>
      <c r="AL25">
        <v>0</v>
      </c>
    </row>
    <row r="26" spans="1:38">
      <c r="A26">
        <v>2031</v>
      </c>
      <c r="C26" s="13">
        <f t="shared" si="16"/>
        <v>60.959576697754969</v>
      </c>
      <c r="D26" s="84">
        <f>65*EXP(E26)/(1+EXP(E26))</f>
        <v>62.873195516703561</v>
      </c>
      <c r="E26" s="84">
        <f>J26-SUM(F$7:F26)</f>
        <v>3.3864993178257481</v>
      </c>
      <c r="F26" s="13">
        <f t="shared" si="9"/>
        <v>0.11440279087509976</v>
      </c>
      <c r="G26" s="13">
        <f t="shared" si="10"/>
        <v>0.34406854398526238</v>
      </c>
      <c r="H26" s="13">
        <f t="shared" si="15"/>
        <v>0.34406854398526238</v>
      </c>
      <c r="I26" s="20">
        <f>I25+(I35-I15)/20</f>
        <v>0.33250000000000007</v>
      </c>
      <c r="J26" s="13">
        <f t="shared" si="11"/>
        <v>5.6765066613856332</v>
      </c>
      <c r="K26" s="13"/>
      <c r="L26" s="84">
        <f t="shared" si="14"/>
        <v>64.778102350526169</v>
      </c>
      <c r="M26" s="13">
        <f t="shared" si="4"/>
        <v>64.856354451606165</v>
      </c>
      <c r="N26" s="13">
        <f t="shared" si="5"/>
        <v>2032.2245116389938</v>
      </c>
      <c r="O26" s="13">
        <f t="shared" si="6"/>
        <v>2016.9538083440859</v>
      </c>
      <c r="P26" s="13">
        <f>P25</f>
        <v>0.70322056319557869</v>
      </c>
      <c r="R26">
        <v>2031</v>
      </c>
      <c r="S26" s="13">
        <v>62.121813110008127</v>
      </c>
      <c r="T26" s="13">
        <v>60.959576697754969</v>
      </c>
      <c r="U26" s="13">
        <v>59.720745864925334</v>
      </c>
      <c r="W26">
        <v>2031</v>
      </c>
      <c r="X26" s="13">
        <v>34.303120078703579</v>
      </c>
      <c r="Y26" s="13">
        <f t="shared" si="12"/>
        <v>60.959576697754969</v>
      </c>
      <c r="Z26" s="13">
        <v>64.770542830827409</v>
      </c>
      <c r="AB26" s="13">
        <f t="shared" si="7"/>
        <v>64.713227224192906</v>
      </c>
      <c r="AC26" s="13"/>
      <c r="AF26">
        <f t="shared" si="1"/>
        <v>5.4190307186612472</v>
      </c>
      <c r="AG26">
        <f t="shared" si="2"/>
        <v>5.4190307186612472</v>
      </c>
      <c r="AK26">
        <v>22</v>
      </c>
      <c r="AL26">
        <v>0</v>
      </c>
    </row>
    <row r="27" spans="1:38">
      <c r="A27">
        <v>2032</v>
      </c>
      <c r="C27" s="13">
        <f t="shared" si="16"/>
        <v>62.910479618304272</v>
      </c>
      <c r="D27" s="84">
        <f t="shared" si="8"/>
        <v>63.786157038625639</v>
      </c>
      <c r="E27" s="84">
        <f>J27-SUM(F$7:F27)</f>
        <v>3.9617448645859374</v>
      </c>
      <c r="F27" s="13">
        <f t="shared" si="9"/>
        <v>0.11698330495498924</v>
      </c>
      <c r="G27" s="13">
        <f t="shared" si="10"/>
        <v>0.34406854398526238</v>
      </c>
      <c r="H27" s="13">
        <f t="shared" si="15"/>
        <v>0.34406854398526238</v>
      </c>
      <c r="I27" s="20">
        <f>I26+(I35-I15)/20</f>
        <v>0.34000000000000008</v>
      </c>
      <c r="J27" s="13">
        <f t="shared" si="11"/>
        <v>6.3687355131008117</v>
      </c>
      <c r="K27" s="13"/>
      <c r="L27" s="84">
        <f t="shared" si="14"/>
        <v>64.888759538509646</v>
      </c>
      <c r="M27" s="13">
        <f t="shared" si="4"/>
        <v>64.928126749273915</v>
      </c>
      <c r="N27" s="13">
        <f t="shared" si="5"/>
        <v>2033.2245116389938</v>
      </c>
      <c r="O27" s="13">
        <f t="shared" si="6"/>
        <v>2016.9538083440859</v>
      </c>
      <c r="P27" s="13">
        <f t="shared" ref="P27:P50" si="17">P26</f>
        <v>0.70322056319557869</v>
      </c>
      <c r="R27">
        <v>2032</v>
      </c>
      <c r="S27" s="13">
        <v>63.336880847463384</v>
      </c>
      <c r="T27" s="13">
        <v>62.910479618304272</v>
      </c>
      <c r="U27" s="13">
        <v>62.141148119006004</v>
      </c>
      <c r="W27">
        <v>2032</v>
      </c>
      <c r="X27" s="13">
        <v>39.119209203517002</v>
      </c>
      <c r="Y27" s="13">
        <f t="shared" si="12"/>
        <v>62.910479618304272</v>
      </c>
      <c r="Z27" s="13">
        <v>64.897637467348247</v>
      </c>
      <c r="AB27" s="13">
        <f t="shared" si="7"/>
        <v>64.856354451606165</v>
      </c>
      <c r="AC27" s="13"/>
      <c r="AF27">
        <f t="shared" si="1"/>
        <v>6.1125813761694161</v>
      </c>
      <c r="AG27">
        <f t="shared" si="2"/>
        <v>6.1125813761694161</v>
      </c>
      <c r="AK27">
        <v>23</v>
      </c>
      <c r="AL27">
        <v>0</v>
      </c>
    </row>
    <row r="28" spans="1:38">
      <c r="A28">
        <v>2033</v>
      </c>
      <c r="C28" s="13">
        <f t="shared" si="16"/>
        <v>63.791176217728925</v>
      </c>
      <c r="D28" s="84">
        <f t="shared" si="8"/>
        <v>64.310197864063198</v>
      </c>
      <c r="E28" s="84">
        <f>J28-SUM(F$7:F28)</f>
        <v>4.5350686988912337</v>
      </c>
      <c r="F28" s="13">
        <f t="shared" si="9"/>
        <v>0.1195638190348787</v>
      </c>
      <c r="G28" s="13">
        <f t="shared" si="10"/>
        <v>0.34406854398526238</v>
      </c>
      <c r="H28" s="13">
        <f t="shared" si="15"/>
        <v>0.34406854398526238</v>
      </c>
      <c r="I28" s="20">
        <f>I27+(I35-I15)/20</f>
        <v>0.34750000000000009</v>
      </c>
      <c r="J28" s="13">
        <f t="shared" si="11"/>
        <v>7.0616231664409872</v>
      </c>
      <c r="K28" s="13"/>
      <c r="L28" s="84">
        <f t="shared" si="14"/>
        <v>64.944317697669561</v>
      </c>
      <c r="M28" s="13">
        <f t="shared" si="4"/>
        <v>64.964057991996526</v>
      </c>
      <c r="N28" s="13">
        <f t="shared" si="5"/>
        <v>2034.2245116389938</v>
      </c>
      <c r="O28" s="13">
        <f t="shared" si="6"/>
        <v>2016.9538083440859</v>
      </c>
      <c r="P28" s="13">
        <f t="shared" si="17"/>
        <v>0.70322056319557869</v>
      </c>
      <c r="R28">
        <v>2033</v>
      </c>
      <c r="S28" s="13">
        <v>64.064413090706665</v>
      </c>
      <c r="T28" s="13">
        <v>63.791176217728925</v>
      </c>
      <c r="U28" s="13">
        <v>63.556108485515551</v>
      </c>
      <c r="W28">
        <v>2033</v>
      </c>
      <c r="X28" s="13">
        <v>43.696208335425844</v>
      </c>
      <c r="Y28" s="13">
        <f t="shared" si="12"/>
        <v>63.791176217728925</v>
      </c>
      <c r="Z28" s="13">
        <v>64.957429103983856</v>
      </c>
      <c r="AB28" s="13">
        <f t="shared" si="7"/>
        <v>64.928126749273915</v>
      </c>
      <c r="AC28" s="13"/>
      <c r="AF28">
        <f t="shared" si="1"/>
        <v>6.806132033677585</v>
      </c>
      <c r="AG28">
        <f t="shared" si="2"/>
        <v>6.806132033677585</v>
      </c>
      <c r="AK28">
        <v>24</v>
      </c>
      <c r="AL28">
        <v>0</v>
      </c>
    </row>
    <row r="29" spans="1:38">
      <c r="A29">
        <v>2034</v>
      </c>
      <c r="C29" s="13">
        <f t="shared" si="16"/>
        <v>64.308204277339939</v>
      </c>
      <c r="D29" s="84">
        <f t="shared" si="8"/>
        <v>64.608510629555923</v>
      </c>
      <c r="E29" s="84">
        <f>J29-SUM(F$7:F29)</f>
        <v>5.1061430603678399</v>
      </c>
      <c r="F29" s="13">
        <f t="shared" si="9"/>
        <v>0.12214433311476817</v>
      </c>
      <c r="G29" s="13">
        <f t="shared" si="10"/>
        <v>0.34406854398526238</v>
      </c>
      <c r="H29" s="13">
        <f t="shared" si="15"/>
        <v>0.34406854398526238</v>
      </c>
      <c r="I29" s="20">
        <f>I28+(I35-I15)/20</f>
        <v>0.35500000000000009</v>
      </c>
      <c r="J29" s="13">
        <f t="shared" si="11"/>
        <v>7.7548418610323608</v>
      </c>
      <c r="K29" s="13"/>
      <c r="L29" s="84">
        <f t="shared" si="14"/>
        <v>64.972148909613963</v>
      </c>
      <c r="M29" s="13">
        <f t="shared" si="4"/>
        <v>64.982031275478718</v>
      </c>
      <c r="N29" s="13">
        <f t="shared" si="5"/>
        <v>2035.2245116389938</v>
      </c>
      <c r="O29" s="13">
        <f t="shared" si="6"/>
        <v>2016.9538083440859</v>
      </c>
      <c r="P29" s="13">
        <f t="shared" si="17"/>
        <v>0.70322056319557869</v>
      </c>
      <c r="R29">
        <v>2034</v>
      </c>
      <c r="S29" s="13">
        <v>64.47891554483175</v>
      </c>
      <c r="T29" s="13">
        <v>64.308204277339939</v>
      </c>
      <c r="U29" s="13">
        <v>64.154845419058631</v>
      </c>
      <c r="W29">
        <v>2034</v>
      </c>
      <c r="X29" s="13">
        <v>47.848599166259852</v>
      </c>
      <c r="Y29" s="13">
        <f t="shared" si="12"/>
        <v>64.308204277339939</v>
      </c>
      <c r="Z29" s="13">
        <v>64.9830801993959</v>
      </c>
      <c r="AB29" s="13">
        <f t="shared" si="7"/>
        <v>64.964057991996526</v>
      </c>
      <c r="AC29" s="13"/>
      <c r="AF29">
        <f t="shared" si="1"/>
        <v>7.4996826911857539</v>
      </c>
      <c r="AG29">
        <f t="shared" si="2"/>
        <v>7.4996826911857539</v>
      </c>
      <c r="AK29">
        <v>25</v>
      </c>
      <c r="AL29">
        <v>0</v>
      </c>
    </row>
    <row r="30" spans="1:38">
      <c r="A30">
        <v>2035</v>
      </c>
      <c r="C30" s="13">
        <f t="shared" si="16"/>
        <v>64.606162940402797</v>
      </c>
      <c r="D30" s="84">
        <f t="shared" si="8"/>
        <v>64.777725241016171</v>
      </c>
      <c r="E30" s="84">
        <f>J30-SUM(F$7:F30)</f>
        <v>5.6748028072741032</v>
      </c>
      <c r="F30" s="13">
        <f t="shared" si="9"/>
        <v>0.12472484719465765</v>
      </c>
      <c r="G30" s="13">
        <f t="shared" si="10"/>
        <v>0.34406854398526238</v>
      </c>
      <c r="H30" s="13">
        <f t="shared" si="15"/>
        <v>0.34406854398526238</v>
      </c>
      <c r="I30" s="20">
        <f>I29+(I35-I15)/20</f>
        <v>0.3625000000000001</v>
      </c>
      <c r="J30" s="13">
        <f t="shared" si="11"/>
        <v>8.4482264551332822</v>
      </c>
      <c r="K30" s="13"/>
      <c r="L30" s="84">
        <f t="shared" si="14"/>
        <v>64.986074776491208</v>
      </c>
      <c r="M30" s="13">
        <f t="shared" si="4"/>
        <v>64.991018019992524</v>
      </c>
      <c r="N30" s="13">
        <f t="shared" si="5"/>
        <v>2036.2245116389938</v>
      </c>
      <c r="O30" s="13">
        <f t="shared" si="6"/>
        <v>2016.9538083440859</v>
      </c>
      <c r="P30" s="13">
        <f t="shared" si="17"/>
        <v>0.70322056319557869</v>
      </c>
      <c r="R30">
        <v>2035</v>
      </c>
      <c r="S30" s="13">
        <v>64.711158294026177</v>
      </c>
      <c r="T30" s="13">
        <v>64.606162940402797</v>
      </c>
      <c r="U30" s="13">
        <v>64.507993286475596</v>
      </c>
      <c r="W30">
        <v>2035</v>
      </c>
      <c r="X30" s="13">
        <v>51.454872317882973</v>
      </c>
      <c r="Y30" s="13">
        <f t="shared" si="12"/>
        <v>64.606162940402797</v>
      </c>
      <c r="Z30" s="13">
        <v>64.991539958043489</v>
      </c>
      <c r="AB30" s="13">
        <f t="shared" si="7"/>
        <v>64.982031275478718</v>
      </c>
      <c r="AC30" s="13"/>
      <c r="AF30">
        <f t="shared" si="1"/>
        <v>8.1932333486939193</v>
      </c>
      <c r="AG30">
        <f t="shared" si="2"/>
        <v>8.1932333486939193</v>
      </c>
      <c r="AK30">
        <v>26</v>
      </c>
      <c r="AL30">
        <v>0</v>
      </c>
    </row>
    <row r="31" spans="1:38">
      <c r="A31">
        <v>2036</v>
      </c>
      <c r="C31" s="13">
        <f t="shared" si="16"/>
        <v>64.776209802246811</v>
      </c>
      <c r="D31" s="84">
        <f t="shared" si="8"/>
        <v>64.873627815143806</v>
      </c>
      <c r="E31" s="84">
        <f>J31-SUM(F$7:F31)</f>
        <v>6.2409650680535238</v>
      </c>
      <c r="F31" s="13">
        <f t="shared" si="9"/>
        <v>0.12730536127454711</v>
      </c>
      <c r="G31" s="13">
        <f t="shared" si="10"/>
        <v>0.34406854398526238</v>
      </c>
      <c r="H31" s="13">
        <f t="shared" si="15"/>
        <v>0.34406854398526238</v>
      </c>
      <c r="I31" s="20">
        <f>I30+(I35-I15)/20</f>
        <v>0.37000000000000011</v>
      </c>
      <c r="J31" s="13">
        <f t="shared" si="11"/>
        <v>9.1416940771872497</v>
      </c>
      <c r="K31" s="13"/>
      <c r="L31" s="84">
        <f t="shared" si="14"/>
        <v>64.993038873103231</v>
      </c>
      <c r="M31" s="13">
        <f t="shared" si="4"/>
        <v>64.995510511328135</v>
      </c>
      <c r="N31" s="13">
        <f t="shared" si="5"/>
        <v>2037.2245116389938</v>
      </c>
      <c r="O31" s="13">
        <f t="shared" si="6"/>
        <v>2016.9538083440859</v>
      </c>
      <c r="P31" s="13">
        <f t="shared" si="17"/>
        <v>0.70322056319557869</v>
      </c>
      <c r="R31">
        <v>2036</v>
      </c>
      <c r="S31" s="13">
        <v>64.840169843109763</v>
      </c>
      <c r="T31" s="13">
        <v>64.776209802246811</v>
      </c>
      <c r="U31" s="13">
        <v>64.714124370031044</v>
      </c>
      <c r="W31">
        <v>2036</v>
      </c>
      <c r="X31" s="13">
        <v>54.467769750956315</v>
      </c>
      <c r="Y31" s="13">
        <f t="shared" si="12"/>
        <v>64.776209802246811</v>
      </c>
      <c r="Z31" s="13">
        <v>64.995770796745191</v>
      </c>
      <c r="AB31" s="13">
        <f t="shared" si="7"/>
        <v>64.991018019992524</v>
      </c>
      <c r="AC31" s="13"/>
      <c r="AF31">
        <f t="shared" si="1"/>
        <v>8.8867840062020882</v>
      </c>
      <c r="AG31">
        <f t="shared" si="2"/>
        <v>8.8867840062020882</v>
      </c>
      <c r="AK31">
        <v>27</v>
      </c>
      <c r="AL31">
        <v>0</v>
      </c>
    </row>
    <row r="32" spans="1:38">
      <c r="A32">
        <v>2037</v>
      </c>
      <c r="C32" s="13">
        <f t="shared" si="16"/>
        <v>64.872825969980639</v>
      </c>
      <c r="D32" s="84">
        <f t="shared" si="8"/>
        <v>64.928015836271314</v>
      </c>
      <c r="E32" s="84">
        <f>J32-SUM(F$7:F32)</f>
        <v>6.8045883399193787</v>
      </c>
      <c r="F32" s="13">
        <f t="shared" si="9"/>
        <v>0.12988587535443658</v>
      </c>
      <c r="G32" s="13">
        <f t="shared" si="10"/>
        <v>0.34406854398526238</v>
      </c>
      <c r="H32" s="13">
        <f t="shared" si="15"/>
        <v>0.34406854398526238</v>
      </c>
      <c r="I32" s="20">
        <f>I31+(I35-I15)/20</f>
        <v>0.37750000000000011</v>
      </c>
      <c r="J32" s="13">
        <f t="shared" si="11"/>
        <v>9.8352032244075414</v>
      </c>
      <c r="K32" s="13"/>
      <c r="L32" s="84">
        <f t="shared" si="14"/>
        <v>64.996520509787416</v>
      </c>
      <c r="M32" s="13">
        <f t="shared" si="4"/>
        <v>64.997756083660121</v>
      </c>
      <c r="N32" s="13">
        <f t="shared" si="5"/>
        <v>2038.2245116389938</v>
      </c>
      <c r="O32" s="13">
        <f t="shared" si="6"/>
        <v>2016.9538083440859</v>
      </c>
      <c r="P32" s="13">
        <f t="shared" si="17"/>
        <v>0.70322056319557869</v>
      </c>
      <c r="R32">
        <v>2037</v>
      </c>
      <c r="S32" s="13">
        <v>64.911560425389339</v>
      </c>
      <c r="T32" s="13">
        <v>64.872825969980639</v>
      </c>
      <c r="U32" s="13">
        <v>64.833862588315213</v>
      </c>
      <c r="W32">
        <v>2037</v>
      </c>
      <c r="X32" s="13">
        <v>56.904337523359722</v>
      </c>
      <c r="Y32" s="13">
        <f t="shared" si="12"/>
        <v>64.872825969980639</v>
      </c>
      <c r="Z32" s="13">
        <v>64.997886029313165</v>
      </c>
      <c r="AB32" s="13">
        <f t="shared" si="7"/>
        <v>64.995510511328135</v>
      </c>
      <c r="AC32" s="13"/>
      <c r="AF32">
        <f t="shared" si="1"/>
        <v>9.5803346637102571</v>
      </c>
      <c r="AG32">
        <f t="shared" si="2"/>
        <v>9.5803346637102571</v>
      </c>
      <c r="AK32">
        <v>28</v>
      </c>
      <c r="AL32">
        <v>0</v>
      </c>
    </row>
    <row r="33" spans="1:38">
      <c r="A33">
        <v>2038</v>
      </c>
      <c r="C33" s="13">
        <f t="shared" si="16"/>
        <v>64.927647708952094</v>
      </c>
      <c r="D33" s="84">
        <f t="shared" si="8"/>
        <v>64.958906158143492</v>
      </c>
      <c r="E33" s="84">
        <f>J33-SUM(F$7:F33)</f>
        <v>7.3656518588940916</v>
      </c>
      <c r="F33" s="13">
        <f t="shared" si="9"/>
        <v>0.13246638943432607</v>
      </c>
      <c r="G33" s="13">
        <f t="shared" si="10"/>
        <v>0.34406854398526238</v>
      </c>
      <c r="H33" s="13">
        <f t="shared" si="15"/>
        <v>0.34406854398526238</v>
      </c>
      <c r="I33" s="20">
        <f>I32+(I35-I15)/20</f>
        <v>0.38500000000000012</v>
      </c>
      <c r="J33" s="13">
        <f t="shared" si="11"/>
        <v>10.52873313281658</v>
      </c>
      <c r="K33" s="13"/>
      <c r="L33" s="84">
        <f t="shared" si="14"/>
        <v>64.998260874049151</v>
      </c>
      <c r="M33" s="13">
        <f t="shared" si="4"/>
        <v>64.998878475056671</v>
      </c>
      <c r="N33" s="13">
        <f t="shared" si="5"/>
        <v>2039.2245116389938</v>
      </c>
      <c r="O33" s="13">
        <f t="shared" si="6"/>
        <v>2016.9538083440859</v>
      </c>
      <c r="P33" s="13">
        <f t="shared" si="17"/>
        <v>0.70322056319557869</v>
      </c>
      <c r="R33">
        <v>2038</v>
      </c>
      <c r="S33" s="13">
        <v>64.951019675426522</v>
      </c>
      <c r="T33" s="13">
        <v>64.927647708952094</v>
      </c>
      <c r="U33" s="13">
        <v>64.903317189546257</v>
      </c>
      <c r="W33">
        <v>2038</v>
      </c>
      <c r="X33" s="13">
        <v>58.827032352775305</v>
      </c>
      <c r="Y33" s="13">
        <f t="shared" si="12"/>
        <v>64.927647708952094</v>
      </c>
      <c r="Z33" s="13">
        <v>64.998943385552295</v>
      </c>
      <c r="AB33" s="13">
        <f t="shared" si="7"/>
        <v>64.997756083660121</v>
      </c>
      <c r="AC33" s="13"/>
      <c r="AF33">
        <f t="shared" si="1"/>
        <v>10.273885321218426</v>
      </c>
      <c r="AG33">
        <f t="shared" si="2"/>
        <v>10.273885321218426</v>
      </c>
      <c r="AK33">
        <v>29</v>
      </c>
      <c r="AL33">
        <v>0</v>
      </c>
    </row>
    <row r="34" spans="1:38">
      <c r="A34">
        <v>2039</v>
      </c>
      <c r="C34" s="13">
        <f t="shared" si="16"/>
        <v>64.958767268421511</v>
      </c>
      <c r="D34" s="84">
        <f t="shared" si="8"/>
        <v>64.976485071533716</v>
      </c>
      <c r="E34" s="84">
        <f>J34-SUM(F$7:F34)</f>
        <v>7.9241452419476364</v>
      </c>
      <c r="F34" s="13">
        <f t="shared" si="9"/>
        <v>0.13504690351421553</v>
      </c>
      <c r="G34" s="13">
        <f t="shared" si="10"/>
        <v>0.34406854398526238</v>
      </c>
      <c r="H34" s="13">
        <f t="shared" si="15"/>
        <v>0.34406854398526238</v>
      </c>
      <c r="I34" s="20">
        <f>I33+(I35-I15)/20</f>
        <v>0.39250000000000013</v>
      </c>
      <c r="J34" s="13">
        <f t="shared" si="11"/>
        <v>11.22227341938434</v>
      </c>
      <c r="K34" s="13"/>
      <c r="L34" s="84">
        <f t="shared" si="14"/>
        <v>64.999130767154753</v>
      </c>
      <c r="M34" s="13">
        <f t="shared" si="4"/>
        <v>64.99943945889963</v>
      </c>
      <c r="N34" s="13">
        <f t="shared" si="5"/>
        <v>2040.2245116389938</v>
      </c>
      <c r="O34" s="13">
        <f t="shared" si="6"/>
        <v>2016.9538083440859</v>
      </c>
      <c r="P34" s="13">
        <f t="shared" si="17"/>
        <v>0.70322056319557869</v>
      </c>
      <c r="R34">
        <v>2039</v>
      </c>
      <c r="S34" s="13">
        <v>64.972836451162451</v>
      </c>
      <c r="T34" s="13">
        <v>64.958767268421511</v>
      </c>
      <c r="U34" s="13">
        <v>64.943624897610434</v>
      </c>
      <c r="W34">
        <v>2039</v>
      </c>
      <c r="X34" s="13">
        <v>60.317085026374279</v>
      </c>
      <c r="Y34" s="13">
        <f t="shared" si="12"/>
        <v>64.958767268421511</v>
      </c>
      <c r="Z34" s="13">
        <v>64.999471892030741</v>
      </c>
      <c r="AB34" s="13">
        <f t="shared" si="7"/>
        <v>64.998878475056671</v>
      </c>
      <c r="AC34" s="13"/>
      <c r="AF34">
        <f t="shared" si="1"/>
        <v>10.967435978726591</v>
      </c>
      <c r="AG34">
        <f t="shared" si="2"/>
        <v>10.967435978726591</v>
      </c>
      <c r="AK34">
        <v>30</v>
      </c>
      <c r="AL34">
        <v>0</v>
      </c>
    </row>
    <row r="35" spans="1:38">
      <c r="A35">
        <v>2040</v>
      </c>
      <c r="C35" s="13">
        <f t="shared" si="16"/>
        <v>64.976456813807914</v>
      </c>
      <c r="D35" s="84">
        <f>65*EXP(E35)/(1+EXP(E35))</f>
        <v>64.986511038200049</v>
      </c>
      <c r="E35" s="84">
        <f>J35-SUM(F$7:F35)</f>
        <v>8.4800632983096964</v>
      </c>
      <c r="F35" s="13">
        <f t="shared" si="9"/>
        <v>0.13762741759410496</v>
      </c>
      <c r="G35" s="13">
        <f t="shared" si="10"/>
        <v>0.34406854398526238</v>
      </c>
      <c r="H35" s="13">
        <f t="shared" si="15"/>
        <v>0.34406854398526238</v>
      </c>
      <c r="I35" s="89">
        <v>0.4</v>
      </c>
      <c r="J35" s="13">
        <f t="shared" si="11"/>
        <v>11.915818893340505</v>
      </c>
      <c r="K35" s="13"/>
      <c r="L35" s="84">
        <f t="shared" si="14"/>
        <v>64.999565553741718</v>
      </c>
      <c r="M35" s="13">
        <f t="shared" si="4"/>
        <v>64.999719841301214</v>
      </c>
      <c r="N35" s="13">
        <f t="shared" si="5"/>
        <v>2041.2245116389938</v>
      </c>
      <c r="O35" s="13">
        <f t="shared" si="6"/>
        <v>2016.9538083440859</v>
      </c>
      <c r="P35" s="13">
        <f t="shared" si="17"/>
        <v>0.70322056319557869</v>
      </c>
      <c r="R35" s="87">
        <v>2040</v>
      </c>
      <c r="S35" s="13">
        <v>64.984912250025019</v>
      </c>
      <c r="T35" s="13">
        <v>64.976456813807914</v>
      </c>
      <c r="U35" s="13">
        <v>64.967055131791795</v>
      </c>
      <c r="W35" s="87">
        <v>2040</v>
      </c>
      <c r="X35" s="13">
        <v>61.45787399699406</v>
      </c>
      <c r="Y35" s="13">
        <f t="shared" si="12"/>
        <v>64.976456813807914</v>
      </c>
      <c r="Z35" s="13">
        <v>64.99973604907062</v>
      </c>
      <c r="AB35" s="13">
        <f t="shared" si="7"/>
        <v>64.99943945889963</v>
      </c>
      <c r="AC35" s="13"/>
      <c r="AF35">
        <f t="shared" si="1"/>
        <v>11.66098663623476</v>
      </c>
      <c r="AG35">
        <f t="shared" si="2"/>
        <v>11.66098663623476</v>
      </c>
      <c r="AK35">
        <v>31</v>
      </c>
      <c r="AL35">
        <v>0</v>
      </c>
    </row>
    <row r="36" spans="1:38">
      <c r="A36">
        <v>2041</v>
      </c>
      <c r="C36" s="13">
        <f t="shared" si="16"/>
        <v>64.986531708470665</v>
      </c>
      <c r="D36" s="84">
        <f t="shared" si="8"/>
        <v>64.99226280235618</v>
      </c>
      <c r="E36" s="84">
        <f>J36-SUM(F$7:F36)</f>
        <v>9.0359839474631869</v>
      </c>
      <c r="F36" s="13">
        <f t="shared" si="9"/>
        <v>0.13762741759410496</v>
      </c>
      <c r="G36" s="13">
        <f t="shared" si="10"/>
        <v>0.34406854398526238</v>
      </c>
      <c r="H36" s="13">
        <f t="shared" si="15"/>
        <v>0.34406854398526238</v>
      </c>
      <c r="I36" s="89">
        <f>I35</f>
        <v>0.4</v>
      </c>
      <c r="J36" s="13">
        <f t="shared" si="11"/>
        <v>12.609366960088101</v>
      </c>
      <c r="K36" s="13"/>
      <c r="L36" s="84">
        <f t="shared" si="14"/>
        <v>64.999782863209219</v>
      </c>
      <c r="M36" s="13">
        <f t="shared" si="4"/>
        <v>64.999859976856115</v>
      </c>
      <c r="N36" s="13">
        <f t="shared" si="5"/>
        <v>2042.2245116389938</v>
      </c>
      <c r="O36" s="13">
        <f t="shared" si="6"/>
        <v>2016.9538083440859</v>
      </c>
      <c r="P36" s="13">
        <f t="shared" si="17"/>
        <v>0.70322056319557869</v>
      </c>
      <c r="R36">
        <v>2041</v>
      </c>
      <c r="S36" s="13">
        <v>64.991606712794308</v>
      </c>
      <c r="T36" s="13">
        <v>64.986531708470665</v>
      </c>
      <c r="U36" s="13">
        <v>64.980705446723022</v>
      </c>
      <c r="W36">
        <v>2041</v>
      </c>
      <c r="X36" s="13">
        <v>62.324992191662531</v>
      </c>
      <c r="Y36" s="13">
        <f t="shared" si="12"/>
        <v>64.986531708470665</v>
      </c>
      <c r="Z36" s="13">
        <v>64.999868076908569</v>
      </c>
      <c r="AB36" s="13">
        <f t="shared" si="7"/>
        <v>64.999719841301214</v>
      </c>
      <c r="AF36">
        <f t="shared" si="1"/>
        <v>12.354537293742929</v>
      </c>
      <c r="AG36">
        <f t="shared" si="2"/>
        <v>12.354537293742929</v>
      </c>
      <c r="AK36">
        <v>32</v>
      </c>
      <c r="AL36">
        <v>0</v>
      </c>
    </row>
    <row r="37" spans="1:38">
      <c r="A37">
        <v>2042</v>
      </c>
      <c r="C37" s="13">
        <f t="shared" si="16"/>
        <v>64.992282639667906</v>
      </c>
      <c r="D37" s="84">
        <f t="shared" si="8"/>
        <v>64.995562157302075</v>
      </c>
      <c r="E37" s="84">
        <f>J37-SUM(F$7:F37)</f>
        <v>9.5919058925240179</v>
      </c>
      <c r="F37" s="13">
        <f t="shared" si="9"/>
        <v>0.13762741759410496</v>
      </c>
      <c r="G37" s="13">
        <f t="shared" si="10"/>
        <v>0.34406854398526238</v>
      </c>
      <c r="H37" s="13">
        <f t="shared" si="15"/>
        <v>0.34406854398526238</v>
      </c>
      <c r="I37" s="89">
        <f t="shared" ref="I37:I50" si="18">I36</f>
        <v>0.4</v>
      </c>
      <c r="J37" s="13">
        <f t="shared" si="11"/>
        <v>13.302916322743037</v>
      </c>
      <c r="K37" s="13"/>
      <c r="L37" s="84">
        <f t="shared" si="14"/>
        <v>64.999891475078755</v>
      </c>
      <c r="M37" s="13">
        <f t="shared" si="4"/>
        <v>64.999930016595002</v>
      </c>
      <c r="N37" s="13">
        <f t="shared" si="5"/>
        <v>2043.2245116389938</v>
      </c>
      <c r="O37" s="13">
        <f t="shared" si="6"/>
        <v>2016.9538083440859</v>
      </c>
      <c r="P37" s="13">
        <f t="shared" si="17"/>
        <v>0.70322056319557869</v>
      </c>
      <c r="R37">
        <v>2042</v>
      </c>
      <c r="S37" s="13">
        <v>64.995324584416267</v>
      </c>
      <c r="T37" s="13">
        <v>64.992282639667906</v>
      </c>
      <c r="U37" s="13">
        <v>64.988678855362778</v>
      </c>
      <c r="W37">
        <v>2042</v>
      </c>
      <c r="X37" s="13">
        <v>62.981973110979816</v>
      </c>
      <c r="Y37" s="13">
        <f t="shared" si="12"/>
        <v>64.992282639667906</v>
      </c>
      <c r="Z37" s="13">
        <v>64.999934064846784</v>
      </c>
      <c r="AB37" s="13">
        <f t="shared" si="7"/>
        <v>64.999859976856115</v>
      </c>
      <c r="AF37">
        <f t="shared" si="1"/>
        <v>13.048087951251098</v>
      </c>
      <c r="AG37">
        <f t="shared" si="2"/>
        <v>13.048087951251098</v>
      </c>
      <c r="AK37">
        <v>33</v>
      </c>
      <c r="AL37">
        <v>0</v>
      </c>
    </row>
    <row r="38" spans="1:38">
      <c r="A38">
        <v>2043</v>
      </c>
      <c r="C38" s="13">
        <f t="shared" si="16"/>
        <v>64.995573308980838</v>
      </c>
      <c r="D38" s="84">
        <f t="shared" si="8"/>
        <v>64.997454632848573</v>
      </c>
      <c r="E38" s="84">
        <f>J38-SUM(F$7:F38)</f>
        <v>10.147828485195799</v>
      </c>
      <c r="F38" s="13">
        <f t="shared" si="9"/>
        <v>0.13762741759410496</v>
      </c>
      <c r="G38" s="13">
        <f t="shared" si="10"/>
        <v>0.34406854398526238</v>
      </c>
      <c r="H38" s="13">
        <f t="shared" si="15"/>
        <v>0.34406854398526238</v>
      </c>
      <c r="I38" s="89">
        <f t="shared" si="18"/>
        <v>0.4</v>
      </c>
      <c r="J38" s="13">
        <f t="shared" si="11"/>
        <v>13.996466333008922</v>
      </c>
      <c r="K38" s="13"/>
      <c r="L38" s="84">
        <f t="shared" si="14"/>
        <v>64.999945759348208</v>
      </c>
      <c r="M38" s="13">
        <f t="shared" si="4"/>
        <v>64.999965022394164</v>
      </c>
      <c r="N38" s="13">
        <f t="shared" si="5"/>
        <v>2044.2245116389938</v>
      </c>
      <c r="O38" s="13">
        <f t="shared" si="6"/>
        <v>2016.9538083440859</v>
      </c>
      <c r="P38" s="13">
        <f t="shared" si="17"/>
        <v>0.70322056319557869</v>
      </c>
      <c r="R38">
        <v>2043</v>
      </c>
      <c r="S38" s="13">
        <v>64.997393338060107</v>
      </c>
      <c r="T38" s="13">
        <v>64.995573308980838</v>
      </c>
      <c r="U38" s="13">
        <v>64.993349436514649</v>
      </c>
      <c r="W38">
        <v>2043</v>
      </c>
      <c r="X38" s="13">
        <v>63.479674248797096</v>
      </c>
      <c r="Y38" s="13">
        <f t="shared" si="12"/>
        <v>64.995573308980838</v>
      </c>
      <c r="Z38" s="13">
        <v>64.999967045668384</v>
      </c>
      <c r="AB38" s="13">
        <f t="shared" si="7"/>
        <v>64.999930016595002</v>
      </c>
      <c r="AF38">
        <f t="shared" si="1"/>
        <v>13.741638608759267</v>
      </c>
      <c r="AG38">
        <f t="shared" si="2"/>
        <v>13.741638608759267</v>
      </c>
      <c r="AK38">
        <v>34</v>
      </c>
      <c r="AL38">
        <v>0</v>
      </c>
    </row>
    <row r="39" spans="1:38">
      <c r="A39">
        <v>2044</v>
      </c>
      <c r="C39" s="13">
        <f t="shared" si="16"/>
        <v>64.997460954836896</v>
      </c>
      <c r="D39" s="84">
        <f t="shared" si="8"/>
        <v>64.998540098910482</v>
      </c>
      <c r="E39" s="84">
        <f>J39-SUM(F$7:F39)</f>
        <v>10.703751402086077</v>
      </c>
      <c r="F39" s="13">
        <f t="shared" si="9"/>
        <v>0.13762741759410496</v>
      </c>
      <c r="G39" s="13">
        <f t="shared" si="10"/>
        <v>0.34406854398526238</v>
      </c>
      <c r="H39" s="13">
        <f t="shared" si="15"/>
        <v>0.34406854398526238</v>
      </c>
      <c r="I39" s="89">
        <f t="shared" si="18"/>
        <v>0.4</v>
      </c>
      <c r="J39" s="13">
        <f t="shared" si="11"/>
        <v>14.690016667493305</v>
      </c>
      <c r="K39" s="13"/>
      <c r="L39" s="84">
        <f t="shared" si="14"/>
        <v>64.99997289059425</v>
      </c>
      <c r="M39" s="13">
        <f t="shared" si="4"/>
        <v>64.999982518247279</v>
      </c>
      <c r="N39" s="13">
        <f t="shared" si="5"/>
        <v>2045.2245116389938</v>
      </c>
      <c r="O39" s="13">
        <f t="shared" si="6"/>
        <v>2016.9538083440859</v>
      </c>
      <c r="P39" s="13">
        <f t="shared" si="17"/>
        <v>0.70322056319557869</v>
      </c>
      <c r="R39">
        <v>2044</v>
      </c>
      <c r="S39" s="13">
        <v>64.998546764758757</v>
      </c>
      <c r="T39" s="13">
        <v>64.997460954836896</v>
      </c>
      <c r="U39" s="13">
        <v>64.996093378929331</v>
      </c>
      <c r="W39">
        <v>2044</v>
      </c>
      <c r="X39" s="13">
        <v>63.857536489060521</v>
      </c>
      <c r="Y39" s="13">
        <f t="shared" si="12"/>
        <v>64.997460954836896</v>
      </c>
      <c r="Z39" s="13">
        <v>64.999983529467514</v>
      </c>
      <c r="AB39" s="13">
        <f t="shared" si="7"/>
        <v>64.999965022394164</v>
      </c>
      <c r="AF39">
        <f t="shared" si="1"/>
        <v>14.435189266267432</v>
      </c>
      <c r="AG39">
        <f t="shared" si="2"/>
        <v>14.435189266267432</v>
      </c>
      <c r="AK39">
        <v>35</v>
      </c>
      <c r="AL39">
        <v>0</v>
      </c>
    </row>
    <row r="40" spans="1:38">
      <c r="A40">
        <v>2045</v>
      </c>
      <c r="C40" s="13">
        <f t="shared" si="16"/>
        <v>64.998543700600507</v>
      </c>
      <c r="D40" s="84">
        <f t="shared" si="8"/>
        <v>64.999162676524222</v>
      </c>
      <c r="E40" s="84">
        <f>J40-SUM(F$7:F40)</f>
        <v>11.259674479596345</v>
      </c>
      <c r="F40" s="13">
        <f t="shared" si="9"/>
        <v>0.13762741759410496</v>
      </c>
      <c r="G40" s="13">
        <f t="shared" si="10"/>
        <v>0.34406854398526238</v>
      </c>
      <c r="H40" s="13">
        <f t="shared" si="15"/>
        <v>0.34406854398526238</v>
      </c>
      <c r="I40" s="89">
        <f t="shared" si="18"/>
        <v>0.4</v>
      </c>
      <c r="J40" s="13">
        <f t="shared" si="11"/>
        <v>15.383567162597679</v>
      </c>
      <c r="K40" s="13"/>
      <c r="L40" s="84">
        <f t="shared" si="14"/>
        <v>64.999986450760005</v>
      </c>
      <c r="M40" s="13">
        <f t="shared" si="4"/>
        <v>64.999991262648493</v>
      </c>
      <c r="N40" s="13">
        <f t="shared" si="5"/>
        <v>2046.2245116389938</v>
      </c>
      <c r="O40" s="13">
        <f t="shared" si="6"/>
        <v>2016.9538083440859</v>
      </c>
      <c r="P40" s="13">
        <f t="shared" si="17"/>
        <v>0.70322056319557869</v>
      </c>
      <c r="R40">
        <v>2045</v>
      </c>
      <c r="S40" s="13">
        <v>64.999189823266306</v>
      </c>
      <c r="T40" s="13">
        <v>64.998543700600507</v>
      </c>
      <c r="U40" s="13">
        <v>64.997705281849008</v>
      </c>
      <c r="W40">
        <v>2045</v>
      </c>
      <c r="X40" s="13">
        <v>64.1431442066107</v>
      </c>
      <c r="Y40" s="13">
        <f t="shared" si="12"/>
        <v>64.998543700600507</v>
      </c>
      <c r="Z40" s="13">
        <v>64.999991768052467</v>
      </c>
      <c r="AB40" s="13">
        <f t="shared" si="7"/>
        <v>64.999982518247279</v>
      </c>
      <c r="AF40">
        <f t="shared" si="1"/>
        <v>15.128739923775601</v>
      </c>
      <c r="AG40">
        <f t="shared" si="2"/>
        <v>15.128739923775601</v>
      </c>
      <c r="AK40">
        <v>36</v>
      </c>
      <c r="AL40">
        <v>0</v>
      </c>
    </row>
    <row r="41" spans="1:38">
      <c r="A41">
        <v>2046</v>
      </c>
      <c r="C41" s="13">
        <f t="shared" si="16"/>
        <v>64.999164734301701</v>
      </c>
      <c r="D41" s="84">
        <f t="shared" si="8"/>
        <v>64.99951975672424</v>
      </c>
      <c r="E41" s="84">
        <f>J41-SUM(F$7:F41)</f>
        <v>11.815597639448326</v>
      </c>
      <c r="F41" s="13">
        <f t="shared" si="9"/>
        <v>0.13762741759410496</v>
      </c>
      <c r="G41" s="13">
        <f t="shared" si="10"/>
        <v>0.34406854398526238</v>
      </c>
      <c r="H41" s="13">
        <f t="shared" si="15"/>
        <v>0.34406854398526238</v>
      </c>
      <c r="I41" s="89">
        <f t="shared" si="18"/>
        <v>0.4</v>
      </c>
      <c r="J41" s="13">
        <f t="shared" si="11"/>
        <v>16.077117740043764</v>
      </c>
      <c r="K41" s="13"/>
      <c r="L41" s="84">
        <f t="shared" si="14"/>
        <v>64.999993228111606</v>
      </c>
      <c r="M41" s="13">
        <f t="shared" si="4"/>
        <v>64.999995633086257</v>
      </c>
      <c r="N41" s="13">
        <f t="shared" si="5"/>
        <v>2047.2245116389938</v>
      </c>
      <c r="O41" s="13">
        <f t="shared" si="6"/>
        <v>2016.9538083440859</v>
      </c>
      <c r="P41" s="13">
        <f t="shared" si="17"/>
        <v>0.70322056319557869</v>
      </c>
      <c r="R41">
        <v>2046</v>
      </c>
      <c r="S41" s="13">
        <v>64.999548331786542</v>
      </c>
      <c r="T41" s="13">
        <v>64.999164734301701</v>
      </c>
      <c r="U41" s="13">
        <v>64.998652127665466</v>
      </c>
      <c r="W41">
        <v>2046</v>
      </c>
      <c r="X41" s="13">
        <v>64.35829306348387</v>
      </c>
      <c r="Y41" s="13">
        <f t="shared" si="12"/>
        <v>64.999164734301701</v>
      </c>
      <c r="Z41" s="13">
        <v>64.999995885685749</v>
      </c>
      <c r="AB41" s="13">
        <f t="shared" si="7"/>
        <v>64.999991262648493</v>
      </c>
      <c r="AF41">
        <f t="shared" si="1"/>
        <v>15.82229058128377</v>
      </c>
      <c r="AG41">
        <f t="shared" si="2"/>
        <v>15.82229058128377</v>
      </c>
      <c r="AK41">
        <v>37</v>
      </c>
      <c r="AL41">
        <v>0</v>
      </c>
    </row>
    <row r="42" spans="1:38">
      <c r="A42">
        <v>2047</v>
      </c>
      <c r="C42" s="13">
        <f t="shared" si="16"/>
        <v>64.99952093434085</v>
      </c>
      <c r="D42" s="84">
        <f t="shared" si="8"/>
        <v>64.999724559192487</v>
      </c>
      <c r="E42" s="84">
        <f>J42-SUM(F$7:F42)</f>
        <v>12.371520839528017</v>
      </c>
      <c r="F42" s="13">
        <f t="shared" si="9"/>
        <v>0.13762741759410496</v>
      </c>
      <c r="G42" s="13">
        <f t="shared" si="10"/>
        <v>0.34406854398526238</v>
      </c>
      <c r="H42" s="13">
        <f t="shared" si="15"/>
        <v>0.34406854398526238</v>
      </c>
      <c r="I42" s="89">
        <f t="shared" si="18"/>
        <v>0.4</v>
      </c>
      <c r="J42" s="13">
        <f t="shared" si="11"/>
        <v>16.770668357717561</v>
      </c>
      <c r="K42" s="13"/>
      <c r="L42" s="84">
        <f t="shared" si="14"/>
        <v>64.999996615421367</v>
      </c>
      <c r="M42" s="13">
        <f t="shared" si="4"/>
        <v>64.999997817423861</v>
      </c>
      <c r="N42" s="13">
        <f t="shared" si="5"/>
        <v>2048.224511638994</v>
      </c>
      <c r="O42" s="13">
        <f t="shared" si="6"/>
        <v>2016.9538083440859</v>
      </c>
      <c r="P42" s="13">
        <f t="shared" si="17"/>
        <v>0.70322056319557869</v>
      </c>
      <c r="R42">
        <v>2047</v>
      </c>
      <c r="S42" s="13">
        <v>64.999748199249012</v>
      </c>
      <c r="T42" s="13">
        <v>64.99952093434085</v>
      </c>
      <c r="U42" s="13">
        <v>64.999208295525975</v>
      </c>
      <c r="W42">
        <v>2047</v>
      </c>
      <c r="X42" s="13">
        <v>64.519950997857606</v>
      </c>
      <c r="Y42" s="13">
        <f t="shared" si="12"/>
        <v>64.99952093434085</v>
      </c>
      <c r="Z42" s="13">
        <v>64.999997943151513</v>
      </c>
      <c r="AB42" s="13">
        <f t="shared" si="7"/>
        <v>64.999995633086257</v>
      </c>
      <c r="AF42">
        <f t="shared" si="1"/>
        <v>16.515841238791939</v>
      </c>
      <c r="AG42">
        <f t="shared" si="2"/>
        <v>16.515841238791939</v>
      </c>
      <c r="AK42">
        <v>38</v>
      </c>
      <c r="AL42">
        <v>0</v>
      </c>
    </row>
    <row r="43" spans="1:38">
      <c r="A43">
        <v>2048</v>
      </c>
      <c r="C43" s="13">
        <f t="shared" si="16"/>
        <v>64.999725233750539</v>
      </c>
      <c r="D43" s="84">
        <f t="shared" si="8"/>
        <v>64.999842022701415</v>
      </c>
      <c r="E43" s="84">
        <f>J43-SUM(F$7:F43)</f>
        <v>12.927444054514444</v>
      </c>
      <c r="F43" s="13">
        <f t="shared" si="9"/>
        <v>0.13762741759410496</v>
      </c>
      <c r="G43" s="13">
        <f t="shared" si="10"/>
        <v>0.34406854398526238</v>
      </c>
      <c r="H43" s="13">
        <f t="shared" si="15"/>
        <v>0.34406854398526238</v>
      </c>
      <c r="I43" s="89">
        <f t="shared" si="18"/>
        <v>0.4</v>
      </c>
      <c r="J43" s="13">
        <f t="shared" si="11"/>
        <v>17.464218990298093</v>
      </c>
      <c r="K43" s="13"/>
      <c r="L43" s="84">
        <f t="shared" si="14"/>
        <v>64.999998308393259</v>
      </c>
      <c r="M43" s="13">
        <f t="shared" si="4"/>
        <v>64.999998909152126</v>
      </c>
      <c r="N43" s="13">
        <f t="shared" si="5"/>
        <v>2049.224511638994</v>
      </c>
      <c r="O43" s="13">
        <f t="shared" si="6"/>
        <v>2016.9538083440859</v>
      </c>
      <c r="P43" s="13">
        <f t="shared" si="17"/>
        <v>0.70322056319557869</v>
      </c>
      <c r="R43">
        <v>2048</v>
      </c>
      <c r="S43" s="13">
        <v>64.99985962387322</v>
      </c>
      <c r="T43" s="13">
        <v>64.999725233750539</v>
      </c>
      <c r="U43" s="13">
        <v>64.999534976962153</v>
      </c>
      <c r="W43">
        <v>2048</v>
      </c>
      <c r="X43" s="13">
        <v>64.64118285575546</v>
      </c>
      <c r="Y43" s="13">
        <f t="shared" si="12"/>
        <v>64.999725233750539</v>
      </c>
      <c r="Z43" s="13">
        <v>64.999998970427569</v>
      </c>
      <c r="AB43" s="13">
        <f t="shared" si="7"/>
        <v>64.999997817423861</v>
      </c>
      <c r="AF43">
        <f t="shared" si="1"/>
        <v>17.209391896300104</v>
      </c>
      <c r="AG43">
        <f t="shared" si="2"/>
        <v>17.209391896300104</v>
      </c>
      <c r="AK43">
        <v>39</v>
      </c>
      <c r="AL43">
        <v>0</v>
      </c>
    </row>
    <row r="44" spans="1:38">
      <c r="A44">
        <v>2049</v>
      </c>
      <c r="C44" s="13">
        <f t="shared" si="16"/>
        <v>64.999842409309252</v>
      </c>
      <c r="D44" s="84">
        <f t="shared" si="8"/>
        <v>64.999909393210544</v>
      </c>
      <c r="E44" s="84">
        <f>J44-SUM(F$7:F44)</f>
        <v>13.483367284823871</v>
      </c>
      <c r="F44" s="13">
        <f t="shared" si="9"/>
        <v>0.13762741759410496</v>
      </c>
      <c r="G44" s="13">
        <f t="shared" si="10"/>
        <v>0.34406854398526238</v>
      </c>
      <c r="H44" s="13">
        <f t="shared" si="15"/>
        <v>0.34406854398526238</v>
      </c>
      <c r="I44" s="89">
        <f t="shared" si="18"/>
        <v>0.4</v>
      </c>
      <c r="J44" s="13">
        <f t="shared" si="11"/>
        <v>18.157769638201625</v>
      </c>
      <c r="K44" s="13"/>
      <c r="L44" s="84">
        <f t="shared" si="14"/>
        <v>64.999999154537804</v>
      </c>
      <c r="M44" s="13">
        <f t="shared" si="4"/>
        <v>64.999999454796082</v>
      </c>
      <c r="N44" s="13">
        <f t="shared" si="5"/>
        <v>2050.224511638994</v>
      </c>
      <c r="O44" s="13">
        <f t="shared" si="6"/>
        <v>2016.9538083440859</v>
      </c>
      <c r="P44" s="13">
        <f t="shared" si="17"/>
        <v>0.70322056319557869</v>
      </c>
      <c r="R44">
        <v>2049</v>
      </c>
      <c r="S44" s="13">
        <v>64.999921741991812</v>
      </c>
      <c r="T44" s="13">
        <v>64.999842409309252</v>
      </c>
      <c r="U44" s="13">
        <v>64.999726860759296</v>
      </c>
      <c r="W44">
        <v>2049</v>
      </c>
      <c r="X44" s="13">
        <v>64.731966146247345</v>
      </c>
      <c r="Y44" s="13">
        <f t="shared" si="12"/>
        <v>64.999842409309252</v>
      </c>
      <c r="Z44" s="13">
        <v>64.999999482295422</v>
      </c>
      <c r="AB44" s="13">
        <f t="shared" si="7"/>
        <v>64.999998909152126</v>
      </c>
      <c r="AF44">
        <f t="shared" si="1"/>
        <v>17.902942553808273</v>
      </c>
      <c r="AG44">
        <f t="shared" si="2"/>
        <v>17.902942553808273</v>
      </c>
      <c r="AK44">
        <v>40</v>
      </c>
      <c r="AL44">
        <v>0</v>
      </c>
    </row>
    <row r="45" spans="1:38">
      <c r="A45">
        <v>2050</v>
      </c>
      <c r="C45" s="13">
        <f t="shared" si="16"/>
        <v>64.999909569693656</v>
      </c>
      <c r="D45" s="84">
        <f t="shared" si="8"/>
        <v>64.999948033122635</v>
      </c>
      <c r="E45" s="84">
        <f>J45-SUM(F$7:F45)</f>
        <v>14.039290486496091</v>
      </c>
      <c r="F45" s="13">
        <f t="shared" si="9"/>
        <v>0.13762741759410496</v>
      </c>
      <c r="G45" s="13">
        <f t="shared" si="10"/>
        <v>0.34406854398526238</v>
      </c>
      <c r="H45" s="13">
        <f t="shared" si="15"/>
        <v>0.34406854398526238</v>
      </c>
      <c r="I45" s="89">
        <f t="shared" si="18"/>
        <v>0.4</v>
      </c>
      <c r="J45" s="13">
        <f t="shared" si="11"/>
        <v>18.85132025746795</v>
      </c>
      <c r="K45" s="13"/>
      <c r="L45" s="84">
        <f t="shared" si="14"/>
        <v>64.999999577439411</v>
      </c>
      <c r="M45" s="13">
        <f t="shared" si="4"/>
        <v>64.999999727507998</v>
      </c>
      <c r="N45" s="13">
        <f t="shared" si="5"/>
        <v>2051.224511638994</v>
      </c>
      <c r="O45" s="13">
        <f t="shared" si="6"/>
        <v>2016.9538083440859</v>
      </c>
      <c r="P45" s="13">
        <f t="shared" si="17"/>
        <v>0.70322056319557869</v>
      </c>
      <c r="R45">
        <v>2050</v>
      </c>
      <c r="S45" s="13">
        <v>64.999956353132617</v>
      </c>
      <c r="T45" s="13">
        <v>64.999909569693656</v>
      </c>
      <c r="U45" s="13">
        <v>64.99983947755517</v>
      </c>
      <c r="W45">
        <v>2050</v>
      </c>
      <c r="X45" s="13">
        <v>64.799874273674902</v>
      </c>
      <c r="Y45" s="13">
        <f t="shared" si="12"/>
        <v>64.999909569693656</v>
      </c>
      <c r="Z45" s="13">
        <v>64.999999736042142</v>
      </c>
      <c r="AB45" s="13">
        <f t="shared" si="7"/>
        <v>64.999999454796082</v>
      </c>
      <c r="AF45">
        <f t="shared" si="1"/>
        <v>18.596493211316442</v>
      </c>
      <c r="AG45">
        <f t="shared" si="2"/>
        <v>18.596493211316442</v>
      </c>
      <c r="AK45">
        <v>41</v>
      </c>
      <c r="AL45">
        <v>0</v>
      </c>
    </row>
    <row r="46" spans="1:38">
      <c r="A46">
        <v>2051</v>
      </c>
      <c r="C46" s="20">
        <f t="shared" si="16"/>
        <v>64.999937823032397</v>
      </c>
      <c r="D46" s="84">
        <f t="shared" si="8"/>
        <v>64.999970194778214</v>
      </c>
      <c r="E46" s="84">
        <f>J46-SUM(F$7:F46)</f>
        <v>14.595213763627367</v>
      </c>
      <c r="F46" s="13">
        <f t="shared" si="9"/>
        <v>0.13762741759410496</v>
      </c>
      <c r="G46" s="13">
        <f t="shared" si="10"/>
        <v>0.34406854398526238</v>
      </c>
      <c r="H46" s="13">
        <f t="shared" si="15"/>
        <v>0.34406854398526238</v>
      </c>
      <c r="I46" s="89">
        <f t="shared" si="18"/>
        <v>0.4</v>
      </c>
      <c r="J46" s="13">
        <f t="shared" si="11"/>
        <v>19.544870952193332</v>
      </c>
      <c r="K46" s="13"/>
      <c r="L46" s="84">
        <f t="shared" si="14"/>
        <v>64.999999788804942</v>
      </c>
      <c r="M46" s="13">
        <f t="shared" si="4"/>
        <v>64.999999863808966</v>
      </c>
      <c r="N46" s="13">
        <f t="shared" si="5"/>
        <v>2052.224511638994</v>
      </c>
      <c r="O46" s="13">
        <f t="shared" si="6"/>
        <v>2016.9538083440859</v>
      </c>
      <c r="P46" s="13">
        <f t="shared" si="17"/>
        <v>0.70322056319557869</v>
      </c>
      <c r="AB46" s="13">
        <f t="shared" si="7"/>
        <v>64.999999727507998</v>
      </c>
      <c r="AF46">
        <f t="shared" si="1"/>
        <v>19.290043868824611</v>
      </c>
      <c r="AG46">
        <f t="shared" si="2"/>
        <v>19.290043868824611</v>
      </c>
      <c r="AK46">
        <v>42</v>
      </c>
      <c r="AL46">
        <v>0</v>
      </c>
    </row>
    <row r="47" spans="1:38">
      <c r="A47">
        <v>2052</v>
      </c>
      <c r="C47" s="20">
        <f t="shared" si="16"/>
        <v>64.999952668597743</v>
      </c>
      <c r="D47" s="84">
        <f t="shared" si="8"/>
        <v>64.999982905435203</v>
      </c>
      <c r="E47" s="84">
        <f>J47-SUM(F$7:F47)</f>
        <v>15.151137000073943</v>
      </c>
      <c r="F47" s="13">
        <f t="shared" si="9"/>
        <v>0.13762741759410496</v>
      </c>
      <c r="G47" s="13">
        <f t="shared" si="10"/>
        <v>0.34406854398526238</v>
      </c>
      <c r="H47" s="13">
        <f t="shared" si="15"/>
        <v>0.34406854398526238</v>
      </c>
      <c r="I47" s="89">
        <f t="shared" si="18"/>
        <v>0.4</v>
      </c>
      <c r="J47" s="13">
        <f t="shared" si="11"/>
        <v>20.238421606234013</v>
      </c>
      <c r="K47" s="13"/>
      <c r="L47" s="84">
        <f t="shared" si="14"/>
        <v>64.999999894445068</v>
      </c>
      <c r="M47" s="13">
        <f t="shared" si="4"/>
        <v>64.999999931931953</v>
      </c>
      <c r="N47" s="13">
        <f t="shared" si="5"/>
        <v>2053.224511638994</v>
      </c>
      <c r="O47" s="13">
        <f t="shared" si="6"/>
        <v>2016.9538083440859</v>
      </c>
      <c r="P47" s="13">
        <f t="shared" si="17"/>
        <v>0.70322056319557869</v>
      </c>
      <c r="AB47" s="13">
        <f t="shared" si="7"/>
        <v>64.999999863808966</v>
      </c>
      <c r="AF47">
        <f t="shared" si="1"/>
        <v>19.98359452633278</v>
      </c>
      <c r="AG47">
        <f t="shared" si="2"/>
        <v>19.98359452633278</v>
      </c>
      <c r="AK47">
        <v>43</v>
      </c>
      <c r="AL47">
        <v>0</v>
      </c>
    </row>
    <row r="48" spans="1:38">
      <c r="A48">
        <v>2053</v>
      </c>
      <c r="C48" s="20">
        <f t="shared" si="16"/>
        <v>64.999959881162269</v>
      </c>
      <c r="D48" s="84">
        <f t="shared" si="8"/>
        <v>64.999989879415082</v>
      </c>
      <c r="E48" s="84">
        <f>J48-SUM(F$7:F48)</f>
        <v>15.675326212560449</v>
      </c>
      <c r="F48" s="13">
        <f t="shared" si="9"/>
        <v>0.13762741759410496</v>
      </c>
      <c r="G48" s="13">
        <f t="shared" si="10"/>
        <v>0.34406854398526238</v>
      </c>
      <c r="H48" s="13">
        <f t="shared" si="15"/>
        <v>0.34406854398526238</v>
      </c>
      <c r="I48" s="89">
        <f t="shared" si="18"/>
        <v>0.4</v>
      </c>
      <c r="J48" s="13">
        <f>LN(L48/(65-L48))</f>
        <v>20.900238236314625</v>
      </c>
      <c r="K48" s="13"/>
      <c r="L48" s="84">
        <f t="shared" si="14"/>
        <v>64.999999945542811</v>
      </c>
      <c r="M48" s="13">
        <f t="shared" si="4"/>
        <v>64.999999965979711</v>
      </c>
      <c r="N48" s="13">
        <f t="shared" si="5"/>
        <v>2054.224511638994</v>
      </c>
      <c r="O48" s="13">
        <f t="shared" si="6"/>
        <v>2016.9538083440859</v>
      </c>
      <c r="P48" s="13">
        <f t="shared" si="17"/>
        <v>0.70322056319557869</v>
      </c>
      <c r="AB48" s="13">
        <f t="shared" si="7"/>
        <v>64.999999931931953</v>
      </c>
      <c r="AF48">
        <f t="shared" si="1"/>
        <v>20.677145183840945</v>
      </c>
      <c r="AG48">
        <f t="shared" si="2"/>
        <v>20.677145183840945</v>
      </c>
      <c r="AK48">
        <v>44</v>
      </c>
      <c r="AL48">
        <v>0</v>
      </c>
    </row>
    <row r="49" spans="1:38">
      <c r="A49">
        <v>2054</v>
      </c>
      <c r="C49" s="20">
        <f t="shared" si="16"/>
        <v>64.99996225077021</v>
      </c>
      <c r="D49" s="84">
        <f t="shared" si="8"/>
        <v>64.999922332563699</v>
      </c>
      <c r="E49" s="84">
        <f>J49-SUM(F$7:F49)</f>
        <v>13.637460558651719</v>
      </c>
      <c r="F49" s="13">
        <f t="shared" si="9"/>
        <v>0.13762741759410496</v>
      </c>
      <c r="G49" s="13">
        <f t="shared" si="10"/>
        <v>0.34406854398526238</v>
      </c>
      <c r="H49" s="13">
        <f t="shared" si="15"/>
        <v>0.34406854398526238</v>
      </c>
      <c r="I49" s="89">
        <f t="shared" si="18"/>
        <v>0.4</v>
      </c>
      <c r="J49" s="13">
        <v>19</v>
      </c>
      <c r="K49" s="13"/>
      <c r="L49" s="84">
        <f>AVERAGE(M45:M50)</f>
        <v>64.99999990920368</v>
      </c>
      <c r="M49" s="13">
        <f t="shared" si="4"/>
        <v>64.999999982996712</v>
      </c>
      <c r="N49" s="13">
        <f t="shared" si="5"/>
        <v>2055.224511638994</v>
      </c>
      <c r="O49" s="13">
        <f t="shared" si="6"/>
        <v>2016.9538083440859</v>
      </c>
      <c r="P49" s="13">
        <f t="shared" si="17"/>
        <v>0.70322056319557869</v>
      </c>
      <c r="AB49" s="13">
        <f t="shared" si="7"/>
        <v>64.999999965979711</v>
      </c>
      <c r="AF49">
        <f t="shared" si="1"/>
        <v>21.370695841349114</v>
      </c>
      <c r="AG49">
        <f t="shared" si="2"/>
        <v>21.370695841349114</v>
      </c>
      <c r="AK49">
        <v>45</v>
      </c>
      <c r="AL49">
        <v>0</v>
      </c>
    </row>
    <row r="50" spans="1:38">
      <c r="A50">
        <v>2055</v>
      </c>
      <c r="C50" s="20">
        <f t="shared" si="16"/>
        <v>64.999960264768205</v>
      </c>
      <c r="D50" s="84">
        <f>65*EXP(E50)/(1+EXP(E50))</f>
        <v>64.999945941658851</v>
      </c>
      <c r="E50" s="84">
        <f>J50-SUM(F$7:F50)</f>
        <v>13.999833141057614</v>
      </c>
      <c r="F50" s="13">
        <f t="shared" si="9"/>
        <v>0.13762741759410496</v>
      </c>
      <c r="G50" s="13">
        <f t="shared" si="10"/>
        <v>0.34406854398526238</v>
      </c>
      <c r="H50" s="13">
        <f t="shared" si="15"/>
        <v>0.34406854398526238</v>
      </c>
      <c r="I50" s="89">
        <f t="shared" si="18"/>
        <v>0.4</v>
      </c>
      <c r="J50" s="13">
        <v>19.5</v>
      </c>
      <c r="K50" s="13"/>
      <c r="L50" s="84">
        <f>AVERAGE(M45:M50)</f>
        <v>64.99999990920368</v>
      </c>
      <c r="M50" s="13">
        <f t="shared" si="4"/>
        <v>64.999999982996712</v>
      </c>
      <c r="N50" s="13">
        <f t="shared" si="5"/>
        <v>2056.224511638994</v>
      </c>
      <c r="O50" s="13">
        <f t="shared" si="6"/>
        <v>2016.9538083440859</v>
      </c>
      <c r="P50" s="13">
        <f t="shared" si="17"/>
        <v>0.70322056319557869</v>
      </c>
      <c r="AB50" s="13">
        <f t="shared" si="7"/>
        <v>64.999999982996712</v>
      </c>
      <c r="AF50">
        <f t="shared" si="1"/>
        <v>22.064246498857283</v>
      </c>
      <c r="AG50">
        <f t="shared" si="2"/>
        <v>22.064246498857283</v>
      </c>
      <c r="AK50">
        <v>46</v>
      </c>
      <c r="AL50">
        <v>0</v>
      </c>
    </row>
    <row r="56" spans="1:38" ht="15.75" thickBot="1">
      <c r="L56" s="41" t="str">
        <f>' All EV uptake'!D46</f>
        <v>Intercept</v>
      </c>
      <c r="M56" s="41">
        <f>' All EV uptake'!E46</f>
        <v>2006.0956444042549</v>
      </c>
      <c r="AC56" s="41" t="s">
        <v>159</v>
      </c>
      <c r="AD56" s="41">
        <v>-9.8390837465184511</v>
      </c>
      <c r="AE56" s="42"/>
    </row>
    <row r="57" spans="1:38">
      <c r="C57" s="33"/>
      <c r="D57" s="33"/>
      <c r="E57" s="33"/>
      <c r="F57" s="33"/>
      <c r="L57" s="41" t="str">
        <f>' All EV uptake'!D47</f>
        <v>EV/FFV cost ratio</v>
      </c>
      <c r="M57" s="41">
        <f>' All EV uptake'!E47</f>
        <v>10.783904112355547</v>
      </c>
      <c r="AC57" t="s">
        <v>329</v>
      </c>
      <c r="AD57" s="41">
        <v>0.69355065750816813</v>
      </c>
    </row>
    <row r="58" spans="1:38" ht="15.75" thickBot="1">
      <c r="L58" s="41" t="str">
        <f>' All EV uptake'!D48</f>
        <v>dumKorea</v>
      </c>
      <c r="M58" s="41">
        <f>' All EV uptake'!E48</f>
        <v>3.2747008164932261</v>
      </c>
      <c r="AC58" t="s">
        <v>1334</v>
      </c>
      <c r="AD58" s="42">
        <v>0.46061838673887762</v>
      </c>
    </row>
    <row r="59" spans="1:38">
      <c r="L59" s="41" t="str">
        <f>' All EV uptake'!D49</f>
        <v>dumUK</v>
      </c>
      <c r="M59" s="41">
        <f>' All EV uptake'!E49</f>
        <v>2.7276845521810786</v>
      </c>
    </row>
    <row r="60" spans="1:38">
      <c r="L60" s="41" t="str">
        <f>' All EV uptake'!D50</f>
        <v>dumNeth</v>
      </c>
      <c r="M60" s="41">
        <f>' All EV uptake'!E50</f>
        <v>-1.2544269368470402</v>
      </c>
    </row>
    <row r="61" spans="1:38">
      <c r="L61" s="41" t="str">
        <f>' All EV uptake'!D51</f>
        <v>dumChina</v>
      </c>
      <c r="M61" s="41">
        <f>' All EV uptake'!E51</f>
        <v>1.6840641661301363</v>
      </c>
    </row>
    <row r="62" spans="1:38">
      <c r="L62" s="41" t="str">
        <f>' All EV uptake'!D52</f>
        <v>dumDenmark</v>
      </c>
      <c r="M62" s="41">
        <f>' All EV uptake'!E52</f>
        <v>3.2654872236791634</v>
      </c>
    </row>
    <row r="63" spans="1:38">
      <c r="L63" s="41" t="str">
        <f>' All EV uptake'!D53</f>
        <v>dumIreland</v>
      </c>
      <c r="M63" s="41">
        <f>' All EV uptake'!E53</f>
        <v>3.5582490934682056</v>
      </c>
    </row>
    <row r="64" spans="1:38">
      <c r="L64" s="41" t="str">
        <f>' All EV uptake'!D54</f>
        <v>dumNZ</v>
      </c>
      <c r="M64" s="41">
        <f>' All EV uptake'!E54</f>
        <v>1.900474768762227</v>
      </c>
    </row>
    <row r="65" spans="12:13">
      <c r="L65" s="41" t="str">
        <f>' All EV uptake'!D55</f>
        <v>dumSwitzerland</v>
      </c>
      <c r="M65" s="41">
        <f>' All EV uptake'!E55</f>
        <v>-2.1041729879229703</v>
      </c>
    </row>
    <row r="66" spans="12:13">
      <c r="L66" s="41" t="str">
        <f>' All EV uptake'!D56</f>
        <v>dumSpain</v>
      </c>
      <c r="M66" s="41">
        <f>' All EV uptake'!E56</f>
        <v>4.4168133039283006</v>
      </c>
    </row>
    <row r="67" spans="12:13">
      <c r="L67" s="41" t="str">
        <f>' All EV uptake'!D57</f>
        <v>dumIndia</v>
      </c>
      <c r="M67" s="41">
        <f>' All EV uptake'!E57</f>
        <v>8.3918907463589623</v>
      </c>
    </row>
    <row r="68" spans="12:13">
      <c r="L68" s="41" t="str">
        <f>' All EV uptake'!D58</f>
        <v>dumUSA</v>
      </c>
      <c r="M68" s="41">
        <f>' All EV uptake'!E58</f>
        <v>2.1386885311349126</v>
      </c>
    </row>
    <row r="69" spans="12:13">
      <c r="L69" s="41" t="str">
        <f>' All EV uptake'!D59</f>
        <v>dumAustria</v>
      </c>
      <c r="M69" s="41">
        <f>' All EV uptake'!E59</f>
        <v>-0.86657486911619475</v>
      </c>
    </row>
    <row r="70" spans="12:13">
      <c r="L70" s="41" t="str">
        <f>' All EV uptake'!D60</f>
        <v>dumItaly</v>
      </c>
      <c r="M70" s="41">
        <f>' All EV uptake'!E60</f>
        <v>2.0513905871244105</v>
      </c>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143"/>
  <sheetViews>
    <sheetView topLeftCell="A91" zoomScale="75" zoomScaleNormal="75" workbookViewId="0">
      <selection activeCell="P123" sqref="P123:AC143"/>
    </sheetView>
  </sheetViews>
  <sheetFormatPr defaultRowHeight="15"/>
  <cols>
    <col min="2" max="2" width="12" customWidth="1"/>
    <col min="3" max="3" width="10.42578125" customWidth="1"/>
    <col min="5" max="5" width="9.85546875" customWidth="1"/>
    <col min="8" max="8" width="10.7109375" customWidth="1"/>
    <col min="9" max="9" width="10.42578125" customWidth="1"/>
    <col min="10" max="10" width="10.85546875" customWidth="1"/>
    <col min="11" max="11" width="14" customWidth="1"/>
    <col min="12" max="12" width="11.42578125" customWidth="1"/>
    <col min="20" max="20" width="11.85546875" customWidth="1"/>
    <col min="21" max="21" width="11" customWidth="1"/>
    <col min="27" max="27" width="11.5703125" customWidth="1"/>
  </cols>
  <sheetData>
    <row r="1" spans="1:35">
      <c r="A1" t="s">
        <v>5</v>
      </c>
      <c r="B1" t="s">
        <v>1395</v>
      </c>
      <c r="C1" t="s">
        <v>796</v>
      </c>
      <c r="D1" t="s">
        <v>796</v>
      </c>
      <c r="E1" t="s">
        <v>796</v>
      </c>
      <c r="G1" t="s">
        <v>796</v>
      </c>
      <c r="H1" t="s">
        <v>796</v>
      </c>
      <c r="I1" t="s">
        <v>796</v>
      </c>
      <c r="J1" t="s">
        <v>796</v>
      </c>
      <c r="K1" t="s">
        <v>796</v>
      </c>
      <c r="L1" t="s">
        <v>796</v>
      </c>
      <c r="U1" t="s">
        <v>730</v>
      </c>
      <c r="V1" s="33" t="s">
        <v>715</v>
      </c>
      <c r="W1" s="87" t="s">
        <v>1181</v>
      </c>
      <c r="X1" s="87" t="s">
        <v>1181</v>
      </c>
      <c r="Y1" s="87" t="s">
        <v>1181</v>
      </c>
    </row>
    <row r="2" spans="1:35">
      <c r="B2" t="s">
        <v>710</v>
      </c>
      <c r="C2" t="s">
        <v>710</v>
      </c>
      <c r="D2" t="s">
        <v>797</v>
      </c>
      <c r="E2" t="s">
        <v>798</v>
      </c>
      <c r="F2" t="s">
        <v>714</v>
      </c>
      <c r="G2" t="s">
        <v>728</v>
      </c>
      <c r="H2" t="s">
        <v>799</v>
      </c>
      <c r="I2" t="s">
        <v>800</v>
      </c>
      <c r="J2" t="s">
        <v>269</v>
      </c>
      <c r="K2" t="s">
        <v>755</v>
      </c>
      <c r="L2" t="s">
        <v>269</v>
      </c>
      <c r="P2" t="s">
        <v>269</v>
      </c>
      <c r="Q2" t="s">
        <v>717</v>
      </c>
      <c r="R2" t="s">
        <v>725</v>
      </c>
      <c r="V2" s="33"/>
      <c r="W2" s="87" t="s">
        <v>338</v>
      </c>
      <c r="X2" s="87" t="s">
        <v>1182</v>
      </c>
      <c r="Y2" s="87" t="s">
        <v>1183</v>
      </c>
      <c r="AE2" t="s">
        <v>795</v>
      </c>
      <c r="AF2" t="s">
        <v>665</v>
      </c>
      <c r="AI2" t="s">
        <v>850</v>
      </c>
    </row>
    <row r="3" spans="1:35">
      <c r="A3">
        <v>2009</v>
      </c>
      <c r="B3" s="3">
        <f>X3</f>
        <v>29.592572886961211</v>
      </c>
      <c r="C3" s="3">
        <f t="shared" ref="C3:C24" si="0">B3*AE3*1000/1000000</f>
        <v>37.787644096547382</v>
      </c>
      <c r="D3" s="12">
        <v>0</v>
      </c>
      <c r="E3" s="12">
        <f t="shared" ref="E3:E8" si="1">0.3*C3-0.6</f>
        <v>10.736293228964215</v>
      </c>
      <c r="F3" s="12">
        <v>10</v>
      </c>
      <c r="G3" s="12">
        <f t="shared" ref="G3:G8" si="2">F3/100*(C3+D3)</f>
        <v>3.7787644096547384</v>
      </c>
      <c r="H3" s="12">
        <f t="shared" ref="H3:H8" si="3">0.07*(C3+D3)*1/2.4</f>
        <v>1.1021396194826321</v>
      </c>
      <c r="I3" s="12">
        <v>0</v>
      </c>
      <c r="J3" s="3">
        <f>C3+D3+E3+G3+H3+I3</f>
        <v>53.404841354648973</v>
      </c>
      <c r="K3" s="3">
        <f>Austria!I3/AF3*AE3/1000000-(800+525)/2*AE3/1000000</f>
        <v>1.7261857180493636</v>
      </c>
      <c r="L3" s="3">
        <f t="shared" ref="L3:L24" si="4">J3+K3</f>
        <v>55.131027072698338</v>
      </c>
      <c r="O3">
        <v>2009</v>
      </c>
      <c r="P3" s="3">
        <f t="shared" ref="P3:P24" si="5">L3</f>
        <v>55.131027072698338</v>
      </c>
      <c r="Q3" s="3">
        <f t="shared" ref="Q3:Q24" si="6">L28</f>
        <v>55.131027072698338</v>
      </c>
      <c r="R3" s="3">
        <f t="shared" ref="R3:R24" si="7">I53</f>
        <v>44.891112615000004</v>
      </c>
      <c r="T3">
        <v>2009</v>
      </c>
      <c r="U3" s="3">
        <f>'Vehicle price'!X5</f>
        <v>23</v>
      </c>
      <c r="V3">
        <v>1</v>
      </c>
      <c r="W3" s="3">
        <f t="shared" ref="W3:W24" si="8">X3*V3</f>
        <v>29.592572886961211</v>
      </c>
      <c r="X3" s="3">
        <f>'Vehicle price'!T5</f>
        <v>29.592572886961211</v>
      </c>
      <c r="Y3" s="3">
        <f>X3*Z3</f>
        <v>29.592572886961211</v>
      </c>
      <c r="Z3">
        <v>1</v>
      </c>
      <c r="AD3">
        <v>2009</v>
      </c>
      <c r="AE3">
        <v>1276.93</v>
      </c>
      <c r="AF3">
        <v>0.71984416666666673</v>
      </c>
      <c r="AH3">
        <v>2009</v>
      </c>
      <c r="AI3" s="13">
        <f>CPIs!O48</f>
        <v>97.157622658681021</v>
      </c>
    </row>
    <row r="4" spans="1:35">
      <c r="A4">
        <v>2010</v>
      </c>
      <c r="B4" s="3">
        <f t="shared" ref="B4:B24" si="9">X4</f>
        <v>30</v>
      </c>
      <c r="C4" s="3">
        <f t="shared" si="0"/>
        <v>34.732908789506581</v>
      </c>
      <c r="D4" s="12">
        <v>0</v>
      </c>
      <c r="E4" s="12">
        <f t="shared" si="1"/>
        <v>9.819872636851974</v>
      </c>
      <c r="F4" s="12">
        <v>10</v>
      </c>
      <c r="G4" s="12">
        <f t="shared" si="2"/>
        <v>3.4732908789506585</v>
      </c>
      <c r="H4" s="12">
        <f t="shared" si="3"/>
        <v>1.0130431730272755</v>
      </c>
      <c r="I4" s="12">
        <v>0</v>
      </c>
      <c r="J4" s="3">
        <f t="shared" ref="J4:J12" si="10">C4+D4+E4+G4+H4+I4</f>
        <v>49.039115478336491</v>
      </c>
      <c r="K4" s="3">
        <f>Austria!I4/AF4*AE4/1000000-(800+525)/2*AE4/1000000</f>
        <v>1.4457412928559217</v>
      </c>
      <c r="L4" s="3">
        <f t="shared" si="4"/>
        <v>50.484856771192412</v>
      </c>
      <c r="O4">
        <v>2010</v>
      </c>
      <c r="P4" s="3">
        <f t="shared" si="5"/>
        <v>50.484856771192412</v>
      </c>
      <c r="Q4" s="3">
        <f t="shared" si="6"/>
        <v>50.484856771192412</v>
      </c>
      <c r="R4" s="3">
        <f t="shared" si="7"/>
        <v>40.701759164983287</v>
      </c>
      <c r="T4">
        <v>2010</v>
      </c>
      <c r="U4" s="3">
        <f>'Vehicle price'!X6</f>
        <v>23</v>
      </c>
      <c r="V4">
        <v>1</v>
      </c>
      <c r="W4" s="3">
        <f t="shared" si="8"/>
        <v>30</v>
      </c>
      <c r="X4" s="3">
        <f>'Vehicle price'!T6</f>
        <v>30</v>
      </c>
      <c r="Y4" s="3">
        <f t="shared" ref="Y4:Y24" si="11">X4*Z4</f>
        <v>30</v>
      </c>
      <c r="Z4">
        <v>1</v>
      </c>
      <c r="AD4">
        <v>2010</v>
      </c>
      <c r="AE4">
        <v>1157.7636263168861</v>
      </c>
      <c r="AF4">
        <v>0.75867129256384003</v>
      </c>
      <c r="AG4" s="3"/>
      <c r="AH4">
        <v>2010</v>
      </c>
      <c r="AI4" s="13">
        <f>CPIs!O49</f>
        <v>100</v>
      </c>
    </row>
    <row r="5" spans="1:35">
      <c r="A5">
        <v>2011</v>
      </c>
      <c r="B5" s="3">
        <f t="shared" si="9"/>
        <v>30</v>
      </c>
      <c r="C5" s="3">
        <f t="shared" si="0"/>
        <v>33.134576116462867</v>
      </c>
      <c r="D5" s="12">
        <v>0</v>
      </c>
      <c r="E5" s="12">
        <f t="shared" si="1"/>
        <v>9.3403728349388597</v>
      </c>
      <c r="F5" s="12">
        <v>10</v>
      </c>
      <c r="G5" s="12">
        <f t="shared" si="2"/>
        <v>3.313457611646287</v>
      </c>
      <c r="H5" s="12">
        <f t="shared" si="3"/>
        <v>0.96642513673016706</v>
      </c>
      <c r="I5" s="12">
        <f>I6</f>
        <v>-12</v>
      </c>
      <c r="J5" s="3">
        <f t="shared" si="10"/>
        <v>34.75483169977818</v>
      </c>
      <c r="K5" s="3">
        <f>Austria!I5/AF5*AE5/1000000-(800+525)/2*AE5/1000000</f>
        <v>1.50676358840429</v>
      </c>
      <c r="L5" s="3">
        <f t="shared" si="4"/>
        <v>36.26159528818247</v>
      </c>
      <c r="O5">
        <v>2011</v>
      </c>
      <c r="P5" s="3">
        <f t="shared" si="5"/>
        <v>36.26159528818247</v>
      </c>
      <c r="Q5" s="3">
        <f t="shared" si="6"/>
        <v>36.26159528818247</v>
      </c>
      <c r="R5" s="3">
        <f t="shared" si="7"/>
        <v>38.828753022077009</v>
      </c>
      <c r="T5">
        <v>2011</v>
      </c>
      <c r="U5" s="3">
        <f>'Vehicle price'!X7</f>
        <v>23</v>
      </c>
      <c r="V5">
        <v>1</v>
      </c>
      <c r="W5" s="3">
        <f t="shared" si="8"/>
        <v>30</v>
      </c>
      <c r="X5" s="3">
        <f>'Vehicle price'!T7</f>
        <v>30</v>
      </c>
      <c r="Y5" s="3">
        <f t="shared" si="11"/>
        <v>30</v>
      </c>
      <c r="Z5">
        <v>1</v>
      </c>
      <c r="AD5">
        <v>2011</v>
      </c>
      <c r="AE5">
        <v>1104.4858705487623</v>
      </c>
      <c r="AF5">
        <v>0.71544109992713056</v>
      </c>
      <c r="AG5" s="3"/>
      <c r="AH5">
        <v>2011</v>
      </c>
      <c r="AI5" s="13">
        <f>CPIs!O50</f>
        <v>104.02584838867188</v>
      </c>
    </row>
    <row r="6" spans="1:35">
      <c r="A6">
        <v>2012</v>
      </c>
      <c r="B6" s="3">
        <f t="shared" si="9"/>
        <v>30.842462459493706</v>
      </c>
      <c r="C6" s="3">
        <f t="shared" si="0"/>
        <v>34.553846194856796</v>
      </c>
      <c r="D6" s="12">
        <v>0</v>
      </c>
      <c r="E6" s="12">
        <f t="shared" si="1"/>
        <v>9.766153858457038</v>
      </c>
      <c r="F6" s="12">
        <v>10</v>
      </c>
      <c r="G6" s="12">
        <f t="shared" si="2"/>
        <v>3.4553846194856797</v>
      </c>
      <c r="H6" s="12">
        <f t="shared" si="3"/>
        <v>1.0078205140166567</v>
      </c>
      <c r="I6" s="12">
        <f>I7</f>
        <v>-12</v>
      </c>
      <c r="J6" s="3">
        <f t="shared" si="10"/>
        <v>36.783205186816168</v>
      </c>
      <c r="K6" s="3">
        <f>Austria!I6/AF6*AE6/1000000-(800+525)/2*AE6/1000000</f>
        <v>1.3568678347087804</v>
      </c>
      <c r="L6" s="3">
        <f t="shared" si="4"/>
        <v>38.140073021524948</v>
      </c>
      <c r="O6">
        <v>2012</v>
      </c>
      <c r="P6" s="3">
        <f t="shared" si="5"/>
        <v>38.140073021524948</v>
      </c>
      <c r="Q6" s="3">
        <f t="shared" si="6"/>
        <v>38.140073021524948</v>
      </c>
      <c r="R6" s="3">
        <f t="shared" si="7"/>
        <v>39.385886956940098</v>
      </c>
      <c r="T6">
        <v>2012</v>
      </c>
      <c r="U6" s="3">
        <f>'Vehicle price'!X8</f>
        <v>23</v>
      </c>
      <c r="V6">
        <v>1</v>
      </c>
      <c r="W6" s="3">
        <f t="shared" si="8"/>
        <v>30.842462459493706</v>
      </c>
      <c r="X6" s="3">
        <f>'Vehicle price'!T8</f>
        <v>30.842462459493706</v>
      </c>
      <c r="Y6" s="3">
        <f t="shared" si="11"/>
        <v>30.842462459493706</v>
      </c>
      <c r="Z6">
        <v>1</v>
      </c>
      <c r="AD6">
        <v>2012</v>
      </c>
      <c r="AE6">
        <v>1120.3335738914282</v>
      </c>
      <c r="AF6">
        <v>0.773899446716382</v>
      </c>
      <c r="AG6" s="3"/>
      <c r="AH6">
        <v>2012</v>
      </c>
      <c r="AI6" s="13">
        <f>CPIs!O51</f>
        <v>106.30112457275391</v>
      </c>
    </row>
    <row r="7" spans="1:35">
      <c r="A7">
        <v>2013</v>
      </c>
      <c r="B7" s="3">
        <f t="shared" si="9"/>
        <v>31.143929334439989</v>
      </c>
      <c r="C7" s="3">
        <f t="shared" si="0"/>
        <v>34.100771102430137</v>
      </c>
      <c r="D7" s="12">
        <v>0</v>
      </c>
      <c r="E7" s="12">
        <f t="shared" si="1"/>
        <v>9.6302313307290408</v>
      </c>
      <c r="F7" s="12">
        <v>10</v>
      </c>
      <c r="G7" s="12">
        <f t="shared" si="2"/>
        <v>3.4100771102430141</v>
      </c>
      <c r="H7" s="12">
        <f t="shared" si="3"/>
        <v>0.99460582382087925</v>
      </c>
      <c r="I7" s="12">
        <f>I8</f>
        <v>-12</v>
      </c>
      <c r="J7" s="3">
        <f t="shared" si="10"/>
        <v>36.135685367223068</v>
      </c>
      <c r="K7" s="3">
        <f>Austria!I7/AF7*AE7/1000000-(800+525)/2*AE7/1000000</f>
        <v>1.3867881087841194</v>
      </c>
      <c r="L7" s="3">
        <f t="shared" si="4"/>
        <v>37.522473476007185</v>
      </c>
      <c r="O7">
        <v>2013</v>
      </c>
      <c r="P7" s="3">
        <f t="shared" si="5"/>
        <v>37.522473476007185</v>
      </c>
      <c r="Q7" s="3">
        <f t="shared" si="6"/>
        <v>37.522473476007185</v>
      </c>
      <c r="R7" s="3">
        <f t="shared" si="7"/>
        <v>38.493205067922396</v>
      </c>
      <c r="T7">
        <v>2013</v>
      </c>
      <c r="U7" s="3">
        <f>'Vehicle price'!X9</f>
        <v>23</v>
      </c>
      <c r="V7">
        <v>1</v>
      </c>
      <c r="W7" s="3">
        <f t="shared" si="8"/>
        <v>31.143929334439989</v>
      </c>
      <c r="X7" s="3">
        <f>'Vehicle price'!T9</f>
        <v>31.143929334439989</v>
      </c>
      <c r="Y7" s="3">
        <f t="shared" si="11"/>
        <v>31.143929334439989</v>
      </c>
      <c r="Z7">
        <v>1</v>
      </c>
      <c r="AD7">
        <v>2013</v>
      </c>
      <c r="AE7">
        <v>1094.9411917885509</v>
      </c>
      <c r="AF7">
        <v>0.75166876437654617</v>
      </c>
      <c r="AG7" s="3"/>
      <c r="AH7">
        <v>2013</v>
      </c>
      <c r="AI7" s="13">
        <f>CPIs!O52</f>
        <v>107.68450164794922</v>
      </c>
    </row>
    <row r="8" spans="1:35">
      <c r="A8">
        <v>2014</v>
      </c>
      <c r="B8" s="3">
        <f t="shared" si="9"/>
        <v>33.541755956678692</v>
      </c>
      <c r="C8" s="3">
        <f t="shared" si="0"/>
        <v>35.290852196110393</v>
      </c>
      <c r="D8" s="12">
        <v>0</v>
      </c>
      <c r="E8" s="12">
        <f t="shared" si="1"/>
        <v>9.9872556588331172</v>
      </c>
      <c r="F8" s="12">
        <v>10</v>
      </c>
      <c r="G8" s="12">
        <f t="shared" si="2"/>
        <v>3.5290852196110394</v>
      </c>
      <c r="H8" s="12">
        <f t="shared" si="3"/>
        <v>1.0293165223865532</v>
      </c>
      <c r="I8" s="12">
        <f>I9</f>
        <v>-12</v>
      </c>
      <c r="J8" s="3">
        <f t="shared" si="10"/>
        <v>37.836509596941106</v>
      </c>
      <c r="K8" s="3">
        <f>Austria!I8/AF8*AE8/1000000-(800+525)/2*AE8/1000000</f>
        <v>1.3172614136123524</v>
      </c>
      <c r="L8" s="3">
        <f t="shared" si="4"/>
        <v>39.153771010553456</v>
      </c>
      <c r="O8">
        <v>2014</v>
      </c>
      <c r="P8" s="3">
        <f t="shared" si="5"/>
        <v>39.153771010553456</v>
      </c>
      <c r="Q8" s="3">
        <f t="shared" si="6"/>
        <v>39.153771010553456</v>
      </c>
      <c r="R8" s="3">
        <f t="shared" si="7"/>
        <v>36.988747875417133</v>
      </c>
      <c r="T8">
        <v>2014</v>
      </c>
      <c r="U8" s="3">
        <f>'Vehicle price'!X10</f>
        <v>23</v>
      </c>
      <c r="V8">
        <v>1</v>
      </c>
      <c r="W8" s="3">
        <f t="shared" si="8"/>
        <v>33.541755956678692</v>
      </c>
      <c r="X8" s="3">
        <f>'Vehicle price'!T10</f>
        <v>33.541755956678692</v>
      </c>
      <c r="Y8" s="3">
        <f t="shared" si="11"/>
        <v>33.541755956678692</v>
      </c>
      <c r="Z8">
        <v>1</v>
      </c>
      <c r="AD8">
        <v>2014</v>
      </c>
      <c r="AE8">
        <v>1052.146829810901</v>
      </c>
      <c r="AF8">
        <v>0.757387838338895</v>
      </c>
      <c r="AG8" s="3"/>
      <c r="AH8">
        <v>2014</v>
      </c>
      <c r="AI8" s="13">
        <f>CPIs!O53</f>
        <v>109.05716705322266</v>
      </c>
    </row>
    <row r="9" spans="1:35">
      <c r="A9">
        <v>2015</v>
      </c>
      <c r="B9" s="3">
        <f t="shared" si="9"/>
        <v>30</v>
      </c>
      <c r="C9" s="3">
        <f t="shared" si="0"/>
        <v>33.981569135278754</v>
      </c>
      <c r="D9" s="12">
        <v>0</v>
      </c>
      <c r="E9" s="12">
        <f>0.3*C9-0.6</f>
        <v>9.5944707405836258</v>
      </c>
      <c r="F9" s="12">
        <v>10</v>
      </c>
      <c r="G9" s="12">
        <f>F9/100*(C9+D9)</f>
        <v>3.3981569135278757</v>
      </c>
      <c r="H9" s="12">
        <f>0.07*(C9+D9)*1/2.4</f>
        <v>0.99112909977896391</v>
      </c>
      <c r="I9" s="12">
        <v>-12</v>
      </c>
      <c r="J9" s="3">
        <f t="shared" si="10"/>
        <v>35.965325889169222</v>
      </c>
      <c r="K9" s="3">
        <f>Austria!I9/AF9*AE9/1000000-(800+525)/2*AE9/1000000</f>
        <v>1.0625730901059893</v>
      </c>
      <c r="L9" s="3">
        <f t="shared" si="4"/>
        <v>37.027898979275214</v>
      </c>
      <c r="O9">
        <v>2015</v>
      </c>
      <c r="P9" s="3">
        <f t="shared" si="5"/>
        <v>37.027898979275214</v>
      </c>
      <c r="Q9" s="3">
        <f t="shared" si="6"/>
        <v>37.027898979275214</v>
      </c>
      <c r="R9" s="3">
        <f t="shared" si="7"/>
        <v>39.821301791176417</v>
      </c>
      <c r="T9">
        <v>2015</v>
      </c>
      <c r="U9" s="3">
        <f>'Vehicle price'!X11</f>
        <v>23</v>
      </c>
      <c r="V9">
        <v>1</v>
      </c>
      <c r="W9" s="3">
        <f t="shared" si="8"/>
        <v>30</v>
      </c>
      <c r="X9" s="3">
        <f>'Vehicle price'!T11</f>
        <v>30</v>
      </c>
      <c r="Y9" s="3">
        <f t="shared" si="11"/>
        <v>30</v>
      </c>
      <c r="Z9">
        <v>1</v>
      </c>
      <c r="AD9">
        <v>2015</v>
      </c>
      <c r="AE9">
        <v>1132.7189711759586</v>
      </c>
      <c r="AF9">
        <v>0.90592556207997499</v>
      </c>
      <c r="AG9" s="3"/>
      <c r="AH9">
        <v>2015</v>
      </c>
      <c r="AI9" s="13">
        <f>CPIs!O54</f>
        <v>109.82733917236328</v>
      </c>
    </row>
    <row r="10" spans="1:35">
      <c r="A10">
        <v>2016</v>
      </c>
      <c r="B10" s="3">
        <f t="shared" si="9"/>
        <v>30</v>
      </c>
      <c r="C10" s="3">
        <f t="shared" si="0"/>
        <v>34.790099653622384</v>
      </c>
      <c r="D10" s="12">
        <v>0</v>
      </c>
      <c r="E10" s="12">
        <f t="shared" ref="E10:E24" si="12">0.3*C10-0.6</f>
        <v>9.8370298960867153</v>
      </c>
      <c r="F10" s="12">
        <v>10</v>
      </c>
      <c r="G10" s="12">
        <f>F10/100*(C10+D10)</f>
        <v>3.4790099653622386</v>
      </c>
      <c r="H10" s="12">
        <f t="shared" ref="H10:H24" si="13">0.07*(C10+D10)*1/2.4</f>
        <v>1.0147112398973197</v>
      </c>
      <c r="I10" s="12">
        <v>-14</v>
      </c>
      <c r="J10" s="3">
        <f t="shared" si="10"/>
        <v>35.12085075496865</v>
      </c>
      <c r="K10" s="3">
        <f>Austria!I10/AF10*AE10/1000000-(800+525)/2*AE10/1000000</f>
        <v>1.0861734478302818</v>
      </c>
      <c r="L10" s="3">
        <f t="shared" si="4"/>
        <v>36.207024202798934</v>
      </c>
      <c r="O10">
        <v>2016</v>
      </c>
      <c r="P10" s="3">
        <f t="shared" si="5"/>
        <v>36.207024202798934</v>
      </c>
      <c r="Q10" s="3">
        <f t="shared" si="6"/>
        <v>36.207024202798934</v>
      </c>
      <c r="R10" s="3">
        <f t="shared" si="7"/>
        <v>40.76877827909739</v>
      </c>
      <c r="T10">
        <v>2016</v>
      </c>
      <c r="U10" s="3">
        <f>'Vehicle price'!X12</f>
        <v>23</v>
      </c>
      <c r="V10">
        <v>1</v>
      </c>
      <c r="W10" s="3">
        <f t="shared" si="8"/>
        <v>30</v>
      </c>
      <c r="X10" s="3">
        <f>'Vehicle price'!T12</f>
        <v>30</v>
      </c>
      <c r="Y10" s="3">
        <f t="shared" si="11"/>
        <v>30</v>
      </c>
      <c r="Z10">
        <v>1</v>
      </c>
      <c r="AD10">
        <v>2016</v>
      </c>
      <c r="AE10">
        <v>1159.6699884540794</v>
      </c>
      <c r="AF10">
        <v>0.90674707708863456</v>
      </c>
      <c r="AG10" s="3"/>
      <c r="AH10">
        <v>2016</v>
      </c>
      <c r="AI10" s="13">
        <f>CPIs!O55</f>
        <v>110.89450836181641</v>
      </c>
    </row>
    <row r="11" spans="1:35">
      <c r="A11">
        <v>2017</v>
      </c>
      <c r="B11" s="3">
        <f t="shared" si="9"/>
        <v>30</v>
      </c>
      <c r="C11" s="3">
        <f t="shared" si="0"/>
        <v>33.715205096535136</v>
      </c>
      <c r="D11" s="12">
        <v>0</v>
      </c>
      <c r="E11" s="12">
        <f t="shared" si="12"/>
        <v>9.5145615289605416</v>
      </c>
      <c r="F11" s="12">
        <v>10</v>
      </c>
      <c r="G11" s="12">
        <f>F11/100*(C11+D11)</f>
        <v>3.3715205096535139</v>
      </c>
      <c r="H11" s="12">
        <f t="shared" si="13"/>
        <v>0.98336014864894172</v>
      </c>
      <c r="I11" s="12">
        <v>-14</v>
      </c>
      <c r="J11" s="3">
        <f t="shared" si="10"/>
        <v>33.584647283798134</v>
      </c>
      <c r="K11" s="3">
        <f>Austria!I11/AF11*AE11/1000000-(800+525)/2*AE11/1000000</f>
        <v>1.1028990476347786</v>
      </c>
      <c r="L11" s="3">
        <f t="shared" si="4"/>
        <v>34.687546331432912</v>
      </c>
      <c r="O11">
        <v>2017</v>
      </c>
      <c r="P11" s="3">
        <f t="shared" si="5"/>
        <v>34.687546331432912</v>
      </c>
      <c r="Q11" s="3">
        <f t="shared" si="6"/>
        <v>34.687546331432912</v>
      </c>
      <c r="R11" s="3">
        <f t="shared" si="7"/>
        <v>39.509163092374699</v>
      </c>
      <c r="T11">
        <v>2017</v>
      </c>
      <c r="U11" s="3">
        <f>'Vehicle price'!X13</f>
        <v>23</v>
      </c>
      <c r="V11">
        <v>1</v>
      </c>
      <c r="W11" s="3">
        <f t="shared" si="8"/>
        <v>30</v>
      </c>
      <c r="X11" s="3">
        <f>'Vehicle price'!T13</f>
        <v>30</v>
      </c>
      <c r="Y11" s="3">
        <f t="shared" si="11"/>
        <v>30</v>
      </c>
      <c r="Z11">
        <v>1</v>
      </c>
      <c r="AD11">
        <v>2017</v>
      </c>
      <c r="AE11">
        <v>1123.8401698845046</v>
      </c>
      <c r="AF11">
        <v>0.88206678367895308</v>
      </c>
      <c r="AG11" s="3"/>
      <c r="AH11">
        <v>2017</v>
      </c>
      <c r="AI11" s="13">
        <f>CPIs!O56</f>
        <v>113.05695127487184</v>
      </c>
    </row>
    <row r="12" spans="1:35">
      <c r="A12">
        <v>2018</v>
      </c>
      <c r="B12" s="3">
        <f t="shared" si="9"/>
        <v>30.592100851060948</v>
      </c>
      <c r="C12" s="3">
        <f t="shared" si="0"/>
        <v>34.416113457443565</v>
      </c>
      <c r="D12" s="12">
        <v>0</v>
      </c>
      <c r="E12" s="12">
        <f t="shared" si="12"/>
        <v>9.7248340372330695</v>
      </c>
      <c r="F12" s="12">
        <v>10</v>
      </c>
      <c r="G12" s="12">
        <f>F12/100*(C12+D12)</f>
        <v>3.4416113457443567</v>
      </c>
      <c r="H12" s="12">
        <f t="shared" si="13"/>
        <v>1.0038033091754375</v>
      </c>
      <c r="I12" s="12">
        <v>-14</v>
      </c>
      <c r="J12" s="3">
        <f t="shared" si="10"/>
        <v>34.586362149596432</v>
      </c>
      <c r="K12" s="3">
        <f>Austria!I12/AF12*AE12/1000000-(800+525)/2*AE12/1000000</f>
        <v>1.1738051470588236</v>
      </c>
      <c r="L12" s="3">
        <f t="shared" si="4"/>
        <v>35.760167296655254</v>
      </c>
      <c r="O12">
        <v>2018</v>
      </c>
      <c r="P12" s="3">
        <f t="shared" si="5"/>
        <v>35.760167296655254</v>
      </c>
      <c r="Q12" s="3">
        <f t="shared" si="6"/>
        <v>35.760167296655254</v>
      </c>
      <c r="R12" s="3">
        <f t="shared" si="7"/>
        <v>39.549937499999999</v>
      </c>
      <c r="T12">
        <v>2018</v>
      </c>
      <c r="U12" s="3">
        <f>'Vehicle price'!X14</f>
        <v>23</v>
      </c>
      <c r="V12">
        <v>1</v>
      </c>
      <c r="W12" s="3">
        <f t="shared" si="8"/>
        <v>30.592100851060948</v>
      </c>
      <c r="X12" s="3">
        <f>'Vehicle price'!T14</f>
        <v>30.592100851060948</v>
      </c>
      <c r="Y12" s="3">
        <f t="shared" si="11"/>
        <v>30.592100851060948</v>
      </c>
      <c r="Z12">
        <v>1</v>
      </c>
      <c r="AD12">
        <v>2018</v>
      </c>
      <c r="AE12" s="14">
        <v>1125</v>
      </c>
      <c r="AF12" s="14">
        <v>0.85</v>
      </c>
      <c r="AG12" s="3"/>
      <c r="AH12">
        <v>2018</v>
      </c>
      <c r="AI12" s="20">
        <f>AI11*AI11/AI10</f>
        <v>115.26156182473186</v>
      </c>
    </row>
    <row r="13" spans="1:35">
      <c r="A13">
        <v>2019</v>
      </c>
      <c r="B13" s="3">
        <f t="shared" si="9"/>
        <v>31.172994053473918</v>
      </c>
      <c r="C13" s="3">
        <f t="shared" si="0"/>
        <v>35.069618310158155</v>
      </c>
      <c r="D13" s="12">
        <v>0</v>
      </c>
      <c r="E13" s="12">
        <f t="shared" si="12"/>
        <v>9.9208854930474466</v>
      </c>
      <c r="F13" s="12">
        <v>10</v>
      </c>
      <c r="G13" s="12">
        <f t="shared" ref="G13:G24" si="14">F13/100*(C13+D13)</f>
        <v>3.5069618310158157</v>
      </c>
      <c r="H13" s="12">
        <f t="shared" si="13"/>
        <v>1.0228638673796129</v>
      </c>
      <c r="I13" s="12">
        <v>-11</v>
      </c>
      <c r="J13" s="3">
        <f>C13+D13+E13+G13+H13+I13</f>
        <v>38.520329501601026</v>
      </c>
      <c r="K13" s="3">
        <f>Austria!I13/AF13*AE13/1000000-(800+525)/2*AE13/1000000</f>
        <v>1.1738051470588236</v>
      </c>
      <c r="L13" s="3">
        <f t="shared" si="4"/>
        <v>39.694134648659848</v>
      </c>
      <c r="O13">
        <v>2019</v>
      </c>
      <c r="P13" s="3">
        <f t="shared" si="5"/>
        <v>39.694134648659848</v>
      </c>
      <c r="Q13" s="3">
        <f t="shared" si="6"/>
        <v>39.694134648659848</v>
      </c>
      <c r="R13" s="3">
        <f t="shared" si="7"/>
        <v>39.549937499999999</v>
      </c>
      <c r="T13">
        <v>2019</v>
      </c>
      <c r="U13" s="3">
        <f>'Vehicle price'!X15</f>
        <v>23</v>
      </c>
      <c r="V13" s="20">
        <f>V12+(V24-V12)/12</f>
        <v>1.0249999999999999</v>
      </c>
      <c r="W13" s="3">
        <f t="shared" si="8"/>
        <v>31.952318904810763</v>
      </c>
      <c r="X13" s="3">
        <f>'Vehicle price'!T15</f>
        <v>31.172994053473918</v>
      </c>
      <c r="Y13" s="3">
        <f t="shared" si="11"/>
        <v>30.393669202137069</v>
      </c>
      <c r="Z13" s="20">
        <f>Z12+(Z24-Z12)/12</f>
        <v>0.97499999999999998</v>
      </c>
      <c r="AD13">
        <v>2019</v>
      </c>
      <c r="AE13" s="14">
        <v>1125</v>
      </c>
      <c r="AF13" s="14">
        <v>0.85</v>
      </c>
      <c r="AG13" s="3"/>
      <c r="AH13">
        <v>2019</v>
      </c>
      <c r="AI13" s="20">
        <f t="shared" ref="AI13:AI24" si="15">AI12*AI12/AI11</f>
        <v>117.50916228031414</v>
      </c>
    </row>
    <row r="14" spans="1:35">
      <c r="A14">
        <v>2020</v>
      </c>
      <c r="B14" s="3">
        <f t="shared" si="9"/>
        <v>30.985903123425071</v>
      </c>
      <c r="C14" s="3">
        <f t="shared" si="0"/>
        <v>34.859141013853204</v>
      </c>
      <c r="D14" s="12">
        <v>0</v>
      </c>
      <c r="E14" s="12">
        <f t="shared" si="12"/>
        <v>9.8577423041559609</v>
      </c>
      <c r="F14" s="12">
        <v>10</v>
      </c>
      <c r="G14" s="12">
        <f t="shared" si="14"/>
        <v>3.4859141013853208</v>
      </c>
      <c r="H14" s="12">
        <f t="shared" si="13"/>
        <v>1.0167249462373853</v>
      </c>
      <c r="I14" s="12">
        <v>-11</v>
      </c>
      <c r="J14" s="3">
        <f t="shared" ref="J14:J24" si="16">C14+D14+E14+G14+H14+I14</f>
        <v>38.219522365631875</v>
      </c>
      <c r="K14" s="3">
        <f>Austria!I14/AF14*AE14/1000000-(800+525)/2*AE14/1000000</f>
        <v>1.1738051470588236</v>
      </c>
      <c r="L14" s="3">
        <f t="shared" si="4"/>
        <v>39.393327512690696</v>
      </c>
      <c r="O14">
        <v>2020</v>
      </c>
      <c r="P14" s="3">
        <f t="shared" si="5"/>
        <v>39.393327512690696</v>
      </c>
      <c r="Q14" s="3">
        <f t="shared" si="6"/>
        <v>39.393327512690696</v>
      </c>
      <c r="R14" s="3">
        <f t="shared" si="7"/>
        <v>39.549937499999999</v>
      </c>
      <c r="T14">
        <v>2020</v>
      </c>
      <c r="U14" s="3">
        <f>'Vehicle price'!X16</f>
        <v>23</v>
      </c>
      <c r="V14" s="20">
        <f>V13+(V24-V12)/12</f>
        <v>1.0499999999999998</v>
      </c>
      <c r="W14" s="3">
        <f t="shared" si="8"/>
        <v>32.535198279596322</v>
      </c>
      <c r="X14" s="3">
        <f>'Vehicle price'!T16</f>
        <v>30.985903123425071</v>
      </c>
      <c r="Y14" s="3">
        <f t="shared" si="11"/>
        <v>29.436607967253817</v>
      </c>
      <c r="Z14" s="20">
        <f>Z13+(Z24-Z12)/12</f>
        <v>0.95</v>
      </c>
      <c r="AD14">
        <v>2020</v>
      </c>
      <c r="AE14" s="14">
        <v>1125</v>
      </c>
      <c r="AF14" s="14">
        <v>0.85</v>
      </c>
      <c r="AG14" s="3"/>
      <c r="AH14">
        <v>2020</v>
      </c>
      <c r="AI14" s="20">
        <f t="shared" si="15"/>
        <v>119.80059094478028</v>
      </c>
    </row>
    <row r="15" spans="1:35">
      <c r="A15">
        <v>2021</v>
      </c>
      <c r="B15" s="3">
        <f t="shared" si="9"/>
        <v>30.206708843097807</v>
      </c>
      <c r="C15" s="3">
        <f t="shared" si="0"/>
        <v>33.982547448485029</v>
      </c>
      <c r="D15" s="12">
        <v>0</v>
      </c>
      <c r="E15" s="12">
        <f t="shared" si="12"/>
        <v>9.594764234545508</v>
      </c>
      <c r="F15" s="12">
        <v>10</v>
      </c>
      <c r="G15" s="12">
        <f t="shared" si="14"/>
        <v>3.398254744848503</v>
      </c>
      <c r="H15" s="12">
        <f t="shared" si="13"/>
        <v>0.99115763391414691</v>
      </c>
      <c r="I15" s="12">
        <v>-11</v>
      </c>
      <c r="J15" s="3">
        <f t="shared" si="16"/>
        <v>36.966724061793187</v>
      </c>
      <c r="K15" s="3">
        <f>Austria!I15/AF15*AE15/1000000-(800+525)/2*AE15/1000000</f>
        <v>1.1738051470588236</v>
      </c>
      <c r="L15" s="3">
        <f t="shared" si="4"/>
        <v>38.140529208852008</v>
      </c>
      <c r="O15">
        <v>2021</v>
      </c>
      <c r="P15" s="3">
        <f t="shared" si="5"/>
        <v>38.140529208852008</v>
      </c>
      <c r="Q15" s="3">
        <f t="shared" si="6"/>
        <v>38.140529208852008</v>
      </c>
      <c r="R15" s="3">
        <f t="shared" si="7"/>
        <v>39.549937499999999</v>
      </c>
      <c r="T15">
        <v>2021</v>
      </c>
      <c r="U15" s="3">
        <f>'Vehicle price'!X17</f>
        <v>23</v>
      </c>
      <c r="V15" s="20">
        <f>V14+(V24-V12)/12</f>
        <v>1.0749999999999997</v>
      </c>
      <c r="W15" s="3">
        <f t="shared" si="8"/>
        <v>32.472212006330132</v>
      </c>
      <c r="X15" s="3">
        <f>'Vehicle price'!T17</f>
        <v>30.206708843097807</v>
      </c>
      <c r="Y15" s="3">
        <f t="shared" si="11"/>
        <v>27.941205679865469</v>
      </c>
      <c r="Z15" s="20">
        <f>Z14+(Z24-Z12)/12</f>
        <v>0.92499999999999993</v>
      </c>
      <c r="AD15">
        <v>2021</v>
      </c>
      <c r="AE15" s="14">
        <v>1125</v>
      </c>
      <c r="AF15" s="14">
        <v>0.85</v>
      </c>
      <c r="AG15" s="3"/>
      <c r="AH15">
        <v>2021</v>
      </c>
      <c r="AI15" s="20">
        <f t="shared" si="15"/>
        <v>122.13670246820351</v>
      </c>
    </row>
    <row r="16" spans="1:35">
      <c r="A16">
        <v>2022</v>
      </c>
      <c r="B16" s="3">
        <f t="shared" si="9"/>
        <v>30.642454642697771</v>
      </c>
      <c r="C16" s="3">
        <f t="shared" si="0"/>
        <v>34.472761473034993</v>
      </c>
      <c r="D16" s="12">
        <v>0</v>
      </c>
      <c r="E16" s="12">
        <f t="shared" si="12"/>
        <v>9.7418284419104975</v>
      </c>
      <c r="F16" s="12">
        <v>10</v>
      </c>
      <c r="G16" s="12">
        <f t="shared" si="14"/>
        <v>3.4472761473034996</v>
      </c>
      <c r="H16" s="12">
        <f t="shared" si="13"/>
        <v>1.0054555429635208</v>
      </c>
      <c r="I16" s="12">
        <v>-11</v>
      </c>
      <c r="J16" s="3">
        <f t="shared" si="16"/>
        <v>37.667321605212507</v>
      </c>
      <c r="K16" s="3">
        <f>Austria!I16/AF16*AE16/1000000-(800+525)/2*AE16/1000000</f>
        <v>1.1738051470588236</v>
      </c>
      <c r="L16" s="3">
        <f t="shared" si="4"/>
        <v>38.841126752271329</v>
      </c>
      <c r="O16">
        <v>2022</v>
      </c>
      <c r="P16" s="3">
        <f t="shared" si="5"/>
        <v>38.841126752271329</v>
      </c>
      <c r="Q16" s="3">
        <f t="shared" si="6"/>
        <v>38.841126752271329</v>
      </c>
      <c r="R16" s="3">
        <f t="shared" si="7"/>
        <v>39.549937499999999</v>
      </c>
      <c r="T16">
        <v>2022</v>
      </c>
      <c r="U16" s="3">
        <f>'Vehicle price'!X18</f>
        <v>23</v>
      </c>
      <c r="V16" s="20">
        <f>V15+(V24-V12)/12</f>
        <v>1.0999999999999996</v>
      </c>
      <c r="W16" s="3">
        <f t="shared" si="8"/>
        <v>33.706700106967538</v>
      </c>
      <c r="X16" s="3">
        <f>'Vehicle price'!T18</f>
        <v>30.642454642697771</v>
      </c>
      <c r="Y16" s="3">
        <f t="shared" si="11"/>
        <v>27.57820917842799</v>
      </c>
      <c r="Z16" s="20">
        <f>Z15+(Z24-Z12)/12</f>
        <v>0.89999999999999991</v>
      </c>
      <c r="AD16">
        <v>2022</v>
      </c>
      <c r="AE16" s="14">
        <v>1125</v>
      </c>
      <c r="AF16" s="14">
        <v>0.85</v>
      </c>
      <c r="AG16" s="3"/>
      <c r="AH16">
        <v>2022</v>
      </c>
      <c r="AI16" s="20">
        <f t="shared" si="15"/>
        <v>124.51836816633349</v>
      </c>
    </row>
    <row r="17" spans="1:35">
      <c r="A17">
        <v>2023</v>
      </c>
      <c r="B17" s="3">
        <f t="shared" si="9"/>
        <v>30.361546257811007</v>
      </c>
      <c r="C17" s="3">
        <f t="shared" si="0"/>
        <v>34.156739540037385</v>
      </c>
      <c r="D17" s="12">
        <v>0</v>
      </c>
      <c r="E17" s="12">
        <f t="shared" si="12"/>
        <v>9.6470218620112149</v>
      </c>
      <c r="F17" s="12">
        <v>10</v>
      </c>
      <c r="G17" s="12">
        <f t="shared" si="14"/>
        <v>3.4156739540037386</v>
      </c>
      <c r="H17" s="12">
        <f t="shared" si="13"/>
        <v>0.99623823658442379</v>
      </c>
      <c r="I17" s="12">
        <v>-11</v>
      </c>
      <c r="J17" s="3">
        <f t="shared" si="16"/>
        <v>37.215673592636762</v>
      </c>
      <c r="K17" s="3">
        <f>Austria!I17/AF17*AE17/1000000-(800+525)/2*AE17/1000000</f>
        <v>1.1738051470588236</v>
      </c>
      <c r="L17" s="3">
        <f t="shared" si="4"/>
        <v>38.389478739695583</v>
      </c>
      <c r="O17">
        <v>2023</v>
      </c>
      <c r="P17" s="3">
        <f t="shared" si="5"/>
        <v>38.389478739695583</v>
      </c>
      <c r="Q17" s="3">
        <f t="shared" si="6"/>
        <v>38.389478739695583</v>
      </c>
      <c r="R17" s="3">
        <f t="shared" si="7"/>
        <v>39.549937499999999</v>
      </c>
      <c r="T17">
        <v>2023</v>
      </c>
      <c r="U17" s="3">
        <f>'Vehicle price'!X19</f>
        <v>23</v>
      </c>
      <c r="V17" s="20">
        <f>V16+(V24-V12)/12</f>
        <v>1.1249999999999996</v>
      </c>
      <c r="W17" s="3">
        <f t="shared" si="8"/>
        <v>34.156739540037371</v>
      </c>
      <c r="X17" s="3">
        <f>'Vehicle price'!T19</f>
        <v>30.361546257811007</v>
      </c>
      <c r="Y17" s="3">
        <f t="shared" si="11"/>
        <v>26.566352975584628</v>
      </c>
      <c r="Z17" s="20">
        <f>Z16+(Z24-Z12)/12</f>
        <v>0.87499999999999989</v>
      </c>
      <c r="AD17">
        <v>2023</v>
      </c>
      <c r="AE17" s="14">
        <v>1125</v>
      </c>
      <c r="AF17" s="14">
        <v>0.85</v>
      </c>
      <c r="AG17" s="3"/>
      <c r="AH17">
        <v>2023</v>
      </c>
      <c r="AI17" s="20">
        <f t="shared" si="15"/>
        <v>126.946476345577</v>
      </c>
    </row>
    <row r="18" spans="1:35">
      <c r="A18">
        <v>2024</v>
      </c>
      <c r="B18" s="3">
        <f t="shared" si="9"/>
        <v>29.275640447464834</v>
      </c>
      <c r="C18" s="3">
        <f t="shared" si="0"/>
        <v>32.935095503397939</v>
      </c>
      <c r="D18" s="12">
        <v>0</v>
      </c>
      <c r="E18" s="12">
        <f t="shared" si="12"/>
        <v>9.280528651019381</v>
      </c>
      <c r="F18" s="12">
        <v>10</v>
      </c>
      <c r="G18" s="12">
        <f t="shared" si="14"/>
        <v>3.293509550339794</v>
      </c>
      <c r="H18" s="12">
        <f t="shared" si="13"/>
        <v>0.96060695218243997</v>
      </c>
      <c r="I18" s="12">
        <v>-11</v>
      </c>
      <c r="J18" s="3">
        <f t="shared" si="16"/>
        <v>35.46974065693955</v>
      </c>
      <c r="K18" s="3">
        <f>Austria!I18/AF18*AE18/1000000-(800+525)/2*AE18/1000000</f>
        <v>1.1738051470588236</v>
      </c>
      <c r="L18" s="3">
        <f t="shared" si="4"/>
        <v>36.643545803998371</v>
      </c>
      <c r="O18">
        <v>2024</v>
      </c>
      <c r="P18" s="3">
        <f t="shared" si="5"/>
        <v>36.643545803998371</v>
      </c>
      <c r="Q18" s="3">
        <f t="shared" si="6"/>
        <v>36.643545803998371</v>
      </c>
      <c r="R18" s="3">
        <f t="shared" si="7"/>
        <v>39.549937499999999</v>
      </c>
      <c r="T18">
        <v>2024</v>
      </c>
      <c r="U18" s="3">
        <f>'Vehicle price'!X20</f>
        <v>23</v>
      </c>
      <c r="V18" s="20">
        <f>V17+(V24-V12)/12</f>
        <v>1.1499999999999995</v>
      </c>
      <c r="W18" s="3">
        <f t="shared" si="8"/>
        <v>33.666986514584543</v>
      </c>
      <c r="X18" s="3">
        <f>'Vehicle price'!T20</f>
        <v>29.275640447464834</v>
      </c>
      <c r="Y18" s="3">
        <f t="shared" si="11"/>
        <v>24.884294380345104</v>
      </c>
      <c r="Z18" s="20">
        <f>Z17+(Z24-Z12)/12</f>
        <v>0.84999999999999987</v>
      </c>
      <c r="AD18">
        <v>2024</v>
      </c>
      <c r="AE18" s="14">
        <v>1125</v>
      </c>
      <c r="AF18" s="14">
        <v>0.85</v>
      </c>
      <c r="AG18" s="3"/>
      <c r="AH18">
        <v>2024</v>
      </c>
      <c r="AI18" s="20">
        <f t="shared" si="15"/>
        <v>129.42193263431577</v>
      </c>
    </row>
    <row r="19" spans="1:35">
      <c r="A19">
        <v>2025</v>
      </c>
      <c r="B19" s="3">
        <f t="shared" si="9"/>
        <v>28.343375828936317</v>
      </c>
      <c r="C19" s="3">
        <f t="shared" si="0"/>
        <v>31.886297807553358</v>
      </c>
      <c r="D19" s="12">
        <v>0</v>
      </c>
      <c r="E19" s="12">
        <f t="shared" si="12"/>
        <v>8.9658893422660082</v>
      </c>
      <c r="F19" s="12">
        <v>10</v>
      </c>
      <c r="G19" s="12">
        <f t="shared" si="14"/>
        <v>3.1886297807553361</v>
      </c>
      <c r="H19" s="12">
        <f t="shared" si="13"/>
        <v>0.93001701938697301</v>
      </c>
      <c r="I19" s="12">
        <v>-11</v>
      </c>
      <c r="J19" s="3">
        <f t="shared" si="16"/>
        <v>33.970833949961673</v>
      </c>
      <c r="K19" s="3">
        <f>Austria!I19/AF19*AE19/1000000-(800+525)/2*AE19/1000000</f>
        <v>1.1738051470588236</v>
      </c>
      <c r="L19" s="3">
        <f t="shared" si="4"/>
        <v>35.144639097020494</v>
      </c>
      <c r="O19">
        <v>2025</v>
      </c>
      <c r="P19" s="3">
        <f t="shared" si="5"/>
        <v>35.144639097020494</v>
      </c>
      <c r="Q19" s="3">
        <f t="shared" si="6"/>
        <v>35.144639097020494</v>
      </c>
      <c r="R19" s="3">
        <f t="shared" si="7"/>
        <v>39.549937499999999</v>
      </c>
      <c r="T19">
        <v>2025</v>
      </c>
      <c r="U19" s="3">
        <f>'Vehicle price'!X21</f>
        <v>23</v>
      </c>
      <c r="V19" s="20">
        <f>V18+(V24-V12)/12</f>
        <v>1.1749999999999994</v>
      </c>
      <c r="W19" s="3">
        <f t="shared" si="8"/>
        <v>33.303466599000153</v>
      </c>
      <c r="X19" s="3">
        <f>'Vehicle price'!T21</f>
        <v>28.343375828936317</v>
      </c>
      <c r="Y19" s="3">
        <f t="shared" si="11"/>
        <v>23.383285058872456</v>
      </c>
      <c r="Z19" s="20">
        <f>Z18+(Z24-Z12)/12</f>
        <v>0.82499999999999984</v>
      </c>
      <c r="AD19">
        <v>2025</v>
      </c>
      <c r="AE19" s="14">
        <v>1125</v>
      </c>
      <c r="AF19" s="14">
        <v>0.85</v>
      </c>
      <c r="AG19" s="3"/>
      <c r="AH19">
        <v>2025</v>
      </c>
      <c r="AI19" s="20">
        <f t="shared" si="15"/>
        <v>131.94566032068494</v>
      </c>
    </row>
    <row r="20" spans="1:35">
      <c r="A20">
        <v>2026</v>
      </c>
      <c r="B20" s="3">
        <f t="shared" si="9"/>
        <v>27.812270474504896</v>
      </c>
      <c r="C20" s="3">
        <f t="shared" si="0"/>
        <v>31.288804283818006</v>
      </c>
      <c r="D20" s="12">
        <v>0</v>
      </c>
      <c r="E20" s="12">
        <f t="shared" si="12"/>
        <v>8.7866412851454019</v>
      </c>
      <c r="F20" s="12">
        <v>10</v>
      </c>
      <c r="G20" s="12">
        <f t="shared" si="14"/>
        <v>3.1288804283818008</v>
      </c>
      <c r="H20" s="12">
        <f t="shared" si="13"/>
        <v>0.91259012494469205</v>
      </c>
      <c r="I20" s="12">
        <v>-11</v>
      </c>
      <c r="J20" s="3">
        <f t="shared" si="16"/>
        <v>33.116916122289901</v>
      </c>
      <c r="K20" s="3">
        <f>Austria!I20/AF20*AE20/1000000-(800+525)/2*AE20/1000000</f>
        <v>1.1738051470588236</v>
      </c>
      <c r="L20" s="3">
        <f t="shared" si="4"/>
        <v>34.290721269348722</v>
      </c>
      <c r="O20">
        <v>2026</v>
      </c>
      <c r="P20" s="3">
        <f t="shared" si="5"/>
        <v>34.290721269348722</v>
      </c>
      <c r="Q20" s="3">
        <f t="shared" si="6"/>
        <v>34.290721269348722</v>
      </c>
      <c r="R20" s="3">
        <f t="shared" si="7"/>
        <v>39.549937499999999</v>
      </c>
      <c r="T20">
        <v>2026</v>
      </c>
      <c r="U20" s="3">
        <f>'Vehicle price'!X22</f>
        <v>23</v>
      </c>
      <c r="V20" s="20">
        <f>V19+(V24-V12)/12</f>
        <v>1.1999999999999993</v>
      </c>
      <c r="W20" s="3">
        <f t="shared" si="8"/>
        <v>33.374724569405856</v>
      </c>
      <c r="X20" s="3">
        <f>'Vehicle price'!T22</f>
        <v>27.812270474504896</v>
      </c>
      <c r="Y20" s="3">
        <f t="shared" si="11"/>
        <v>22.24981637960391</v>
      </c>
      <c r="Z20" s="20">
        <f>Z19+(Z24-Z12)/12</f>
        <v>0.79999999999999982</v>
      </c>
      <c r="AD20">
        <v>2026</v>
      </c>
      <c r="AE20" s="14">
        <v>1125</v>
      </c>
      <c r="AF20" s="14">
        <v>0.85</v>
      </c>
      <c r="AG20" s="3"/>
      <c r="AH20">
        <v>2026</v>
      </c>
      <c r="AI20" s="20">
        <f t="shared" si="15"/>
        <v>134.51860069693831</v>
      </c>
    </row>
    <row r="21" spans="1:35">
      <c r="A21">
        <v>2027</v>
      </c>
      <c r="B21" s="3">
        <f t="shared" si="9"/>
        <v>27.281165120073478</v>
      </c>
      <c r="C21" s="3">
        <f t="shared" si="0"/>
        <v>30.691310760082661</v>
      </c>
      <c r="D21" s="12">
        <v>0</v>
      </c>
      <c r="E21" s="12">
        <f t="shared" si="12"/>
        <v>8.6073932280247991</v>
      </c>
      <c r="F21" s="12">
        <v>10</v>
      </c>
      <c r="G21" s="12">
        <f t="shared" si="14"/>
        <v>3.0691310760082664</v>
      </c>
      <c r="H21" s="12">
        <f t="shared" si="13"/>
        <v>0.89516323050241098</v>
      </c>
      <c r="I21" s="12">
        <v>-11</v>
      </c>
      <c r="J21" s="3">
        <f t="shared" si="16"/>
        <v>32.262998294618143</v>
      </c>
      <c r="K21" s="3">
        <f>Austria!I21/AF21*AE21/1000000-(800+525)/2*AE21/1000000</f>
        <v>1.1738051470588236</v>
      </c>
      <c r="L21" s="3">
        <f t="shared" si="4"/>
        <v>33.436803441676965</v>
      </c>
      <c r="O21">
        <v>2027</v>
      </c>
      <c r="P21" s="3">
        <f t="shared" si="5"/>
        <v>33.436803441676965</v>
      </c>
      <c r="Q21" s="3">
        <f t="shared" si="6"/>
        <v>33.436803441676965</v>
      </c>
      <c r="R21" s="3">
        <f t="shared" si="7"/>
        <v>39.549937499999999</v>
      </c>
      <c r="T21">
        <v>2027</v>
      </c>
      <c r="U21" s="3">
        <f>'Vehicle price'!X23</f>
        <v>23</v>
      </c>
      <c r="V21" s="20">
        <f>V20+(V24-V12)/12</f>
        <v>1.2249999999999992</v>
      </c>
      <c r="W21" s="3">
        <f t="shared" si="8"/>
        <v>33.41942727208999</v>
      </c>
      <c r="X21" s="3">
        <f>'Vehicle price'!T23</f>
        <v>27.281165120073478</v>
      </c>
      <c r="Y21" s="3">
        <f t="shared" si="11"/>
        <v>21.142902968056941</v>
      </c>
      <c r="Z21" s="20">
        <f>Z20+(Z24-Z12)/12</f>
        <v>0.7749999999999998</v>
      </c>
      <c r="AD21">
        <v>2027</v>
      </c>
      <c r="AE21" s="14">
        <v>1125</v>
      </c>
      <c r="AF21" s="14">
        <v>0.85</v>
      </c>
      <c r="AG21" s="3"/>
      <c r="AH21">
        <v>2027</v>
      </c>
      <c r="AI21" s="20">
        <f t="shared" si="15"/>
        <v>137.14171341052864</v>
      </c>
    </row>
    <row r="22" spans="1:35">
      <c r="A22">
        <v>2028</v>
      </c>
      <c r="B22" s="3">
        <f t="shared" si="9"/>
        <v>26.683671596338133</v>
      </c>
      <c r="C22" s="3">
        <f t="shared" si="0"/>
        <v>30.019130545880401</v>
      </c>
      <c r="D22" s="12">
        <v>0</v>
      </c>
      <c r="E22" s="12">
        <f t="shared" si="12"/>
        <v>8.405739163764121</v>
      </c>
      <c r="F22" s="12">
        <v>10</v>
      </c>
      <c r="G22" s="12">
        <f t="shared" si="14"/>
        <v>3.0019130545880404</v>
      </c>
      <c r="H22" s="12">
        <f t="shared" si="13"/>
        <v>0.87555797425484516</v>
      </c>
      <c r="I22" s="12">
        <v>-11</v>
      </c>
      <c r="J22" s="3">
        <f t="shared" si="16"/>
        <v>31.302340738487409</v>
      </c>
      <c r="K22" s="3">
        <f>Austria!I22/AF22*AE22/1000000-(800+525)/2*AE22/1000000</f>
        <v>1.1738051470588236</v>
      </c>
      <c r="L22" s="3">
        <f t="shared" si="4"/>
        <v>32.476145885546231</v>
      </c>
      <c r="O22">
        <v>2028</v>
      </c>
      <c r="P22" s="3">
        <f t="shared" si="5"/>
        <v>32.476145885546231</v>
      </c>
      <c r="Q22" s="3">
        <f t="shared" si="6"/>
        <v>32.476145885546231</v>
      </c>
      <c r="R22" s="3">
        <f t="shared" si="7"/>
        <v>39.549937499999999</v>
      </c>
      <c r="T22">
        <v>2028</v>
      </c>
      <c r="U22" s="3">
        <f>'Vehicle price'!X24</f>
        <v>23</v>
      </c>
      <c r="V22" s="20">
        <f>V21+(V24-V12)/12</f>
        <v>1.2499999999999991</v>
      </c>
      <c r="W22" s="3">
        <f t="shared" si="8"/>
        <v>33.354589495422644</v>
      </c>
      <c r="X22" s="3">
        <f>'Vehicle price'!T24</f>
        <v>26.683671596338133</v>
      </c>
      <c r="Y22" s="3">
        <f t="shared" si="11"/>
        <v>20.012753697253594</v>
      </c>
      <c r="Z22" s="20">
        <f>Z21+(Z24-Z12)/12</f>
        <v>0.74999999999999978</v>
      </c>
      <c r="AD22">
        <v>2028</v>
      </c>
      <c r="AE22" s="14">
        <v>1125</v>
      </c>
      <c r="AF22" s="14">
        <v>0.85</v>
      </c>
      <c r="AG22" s="3"/>
      <c r="AH22">
        <v>2028</v>
      </c>
      <c r="AI22" s="20">
        <f t="shared" si="15"/>
        <v>139.81597682203397</v>
      </c>
    </row>
    <row r="23" spans="1:35">
      <c r="A23">
        <v>2029</v>
      </c>
      <c r="B23" s="3">
        <f t="shared" si="9"/>
        <v>26.152566241906715</v>
      </c>
      <c r="C23" s="3">
        <f t="shared" si="0"/>
        <v>29.421637022145056</v>
      </c>
      <c r="D23" s="12">
        <v>0</v>
      </c>
      <c r="E23" s="12">
        <f t="shared" si="12"/>
        <v>8.2264911066435165</v>
      </c>
      <c r="F23" s="12">
        <v>10</v>
      </c>
      <c r="G23" s="12">
        <f t="shared" si="14"/>
        <v>2.942163702214506</v>
      </c>
      <c r="H23" s="12">
        <f t="shared" si="13"/>
        <v>0.85813107981256431</v>
      </c>
      <c r="I23" s="12">
        <v>-11</v>
      </c>
      <c r="J23" s="3">
        <f t="shared" si="16"/>
        <v>30.448422910815644</v>
      </c>
      <c r="K23" s="3">
        <f>Austria!I23/AF23*AE23/1000000-(800+525)/2*AE23/1000000</f>
        <v>1.1738051470588236</v>
      </c>
      <c r="L23" s="3">
        <f t="shared" si="4"/>
        <v>31.622228057874466</v>
      </c>
      <c r="O23">
        <v>2029</v>
      </c>
      <c r="P23" s="3">
        <f t="shared" si="5"/>
        <v>31.622228057874466</v>
      </c>
      <c r="Q23" s="3">
        <f t="shared" si="6"/>
        <v>31.622228057874466</v>
      </c>
      <c r="R23" s="3">
        <f t="shared" si="7"/>
        <v>39.549937499999999</v>
      </c>
      <c r="T23">
        <v>2029</v>
      </c>
      <c r="U23" s="3">
        <f>'Vehicle price'!X25</f>
        <v>23</v>
      </c>
      <c r="V23" s="20">
        <f>V22+(V24-V12)/12</f>
        <v>1.274999999999999</v>
      </c>
      <c r="W23" s="3">
        <f t="shared" si="8"/>
        <v>33.344521958431038</v>
      </c>
      <c r="X23" s="3">
        <f>'Vehicle price'!T25</f>
        <v>26.152566241906715</v>
      </c>
      <c r="Y23" s="3">
        <f t="shared" si="11"/>
        <v>18.960610525382361</v>
      </c>
      <c r="Z23" s="20">
        <f>Z22+(Z24-Z12)/12</f>
        <v>0.72499999999999976</v>
      </c>
      <c r="AD23">
        <v>2029</v>
      </c>
      <c r="AE23" s="14">
        <v>1125</v>
      </c>
      <c r="AF23" s="14">
        <v>0.85</v>
      </c>
      <c r="AG23" s="3"/>
      <c r="AH23">
        <v>2029</v>
      </c>
      <c r="AI23" s="20">
        <f t="shared" si="15"/>
        <v>142.54238837006366</v>
      </c>
    </row>
    <row r="24" spans="1:35">
      <c r="A24">
        <v>2030</v>
      </c>
      <c r="B24" s="3">
        <f t="shared" si="9"/>
        <v>25.55507271817137</v>
      </c>
      <c r="C24" s="3">
        <f t="shared" si="0"/>
        <v>28.749456807942792</v>
      </c>
      <c r="D24" s="12">
        <v>0</v>
      </c>
      <c r="E24" s="12">
        <f t="shared" si="12"/>
        <v>8.0248370423828383</v>
      </c>
      <c r="F24" s="12">
        <v>10</v>
      </c>
      <c r="G24" s="12">
        <f t="shared" si="14"/>
        <v>2.8749456807942795</v>
      </c>
      <c r="H24" s="12">
        <f t="shared" si="13"/>
        <v>0.83852582356499827</v>
      </c>
      <c r="I24" s="12">
        <v>-11</v>
      </c>
      <c r="J24" s="3">
        <f t="shared" si="16"/>
        <v>29.48776535468491</v>
      </c>
      <c r="K24" s="3">
        <f>Austria!I24/AF24*AE24/1000000-(800+525)/2*AE24/1000000</f>
        <v>1.1738051470588236</v>
      </c>
      <c r="L24" s="3">
        <f t="shared" si="4"/>
        <v>30.661570501743732</v>
      </c>
      <c r="O24">
        <v>2030</v>
      </c>
      <c r="P24" s="3">
        <f t="shared" si="5"/>
        <v>30.661570501743732</v>
      </c>
      <c r="Q24" s="3">
        <f t="shared" si="6"/>
        <v>30.661570501743732</v>
      </c>
      <c r="R24" s="3">
        <f t="shared" si="7"/>
        <v>39.549937499999999</v>
      </c>
      <c r="T24">
        <v>2030</v>
      </c>
      <c r="U24" s="3">
        <f>'Vehicle price'!X26</f>
        <v>23</v>
      </c>
      <c r="V24">
        <v>1.3</v>
      </c>
      <c r="W24" s="3">
        <f t="shared" si="8"/>
        <v>33.221594533622785</v>
      </c>
      <c r="X24" s="3">
        <f>'Vehicle price'!T26</f>
        <v>25.55507271817137</v>
      </c>
      <c r="Y24" s="3">
        <f t="shared" si="11"/>
        <v>17.88855090271996</v>
      </c>
      <c r="Z24">
        <v>0.7</v>
      </c>
      <c r="AD24">
        <v>2030</v>
      </c>
      <c r="AE24" s="14">
        <v>1125</v>
      </c>
      <c r="AF24" s="14">
        <v>0.85</v>
      </c>
      <c r="AG24" s="3"/>
      <c r="AH24">
        <v>2030</v>
      </c>
      <c r="AI24" s="20">
        <f t="shared" si="15"/>
        <v>145.32196494327994</v>
      </c>
    </row>
    <row r="25" spans="1:35">
      <c r="O25" s="179" t="s">
        <v>913</v>
      </c>
      <c r="P25" s="179"/>
      <c r="Q25" s="179"/>
      <c r="R25" s="179"/>
      <c r="S25" s="179"/>
    </row>
    <row r="26" spans="1:35">
      <c r="A26" t="s">
        <v>324</v>
      </c>
      <c r="B26" t="s">
        <v>1395</v>
      </c>
      <c r="C26" t="s">
        <v>796</v>
      </c>
      <c r="D26" t="s">
        <v>796</v>
      </c>
      <c r="E26" t="s">
        <v>796</v>
      </c>
      <c r="G26" t="s">
        <v>796</v>
      </c>
      <c r="H26" t="s">
        <v>796</v>
      </c>
      <c r="I26" t="s">
        <v>796</v>
      </c>
      <c r="J26" t="s">
        <v>796</v>
      </c>
      <c r="K26" t="s">
        <v>796</v>
      </c>
      <c r="L26" t="s">
        <v>796</v>
      </c>
    </row>
    <row r="27" spans="1:35">
      <c r="B27" t="s">
        <v>711</v>
      </c>
      <c r="C27" t="s">
        <v>711</v>
      </c>
      <c r="D27" t="s">
        <v>797</v>
      </c>
      <c r="E27" t="s">
        <v>798</v>
      </c>
      <c r="F27" t="s">
        <v>714</v>
      </c>
      <c r="G27" t="s">
        <v>728</v>
      </c>
      <c r="H27" t="s">
        <v>799</v>
      </c>
      <c r="I27" t="s">
        <v>800</v>
      </c>
      <c r="J27" t="s">
        <v>717</v>
      </c>
      <c r="K27" t="s">
        <v>755</v>
      </c>
      <c r="L27" t="s">
        <v>717</v>
      </c>
    </row>
    <row r="28" spans="1:35">
      <c r="A28">
        <v>2009</v>
      </c>
      <c r="B28" s="3">
        <f t="shared" ref="B28:B49" si="17">B3</f>
        <v>29.592572886961211</v>
      </c>
      <c r="C28" s="3">
        <f t="shared" ref="C28:C49" si="18">B28*AE3*1000/1000000</f>
        <v>37.787644096547382</v>
      </c>
      <c r="D28" s="12">
        <v>0</v>
      </c>
      <c r="E28" s="12">
        <f t="shared" ref="E28:E33" si="19">0.3*C28-0.6</f>
        <v>10.736293228964215</v>
      </c>
      <c r="F28" s="12">
        <v>10</v>
      </c>
      <c r="G28" s="12">
        <f t="shared" ref="G28:G33" si="20">F28/100*(C28+D28)</f>
        <v>3.7787644096547384</v>
      </c>
      <c r="H28" s="12">
        <f t="shared" ref="H28:H33" si="21">0.07*(C28+D28)*1/2.4</f>
        <v>1.1021396194826321</v>
      </c>
      <c r="I28" s="12">
        <v>0</v>
      </c>
      <c r="J28" s="3">
        <f>C28+D28+E28+G28+H28+I28</f>
        <v>53.404841354648973</v>
      </c>
      <c r="K28" s="3">
        <f>Austria!I28/AF3*AE3/1000000-(800+525)/2*AE3/1000000</f>
        <v>1.7261857180493636</v>
      </c>
      <c r="L28" s="3">
        <f t="shared" ref="L28:L49" si="22">J28+K28</f>
        <v>55.131027072698338</v>
      </c>
    </row>
    <row r="29" spans="1:35">
      <c r="A29">
        <v>2010</v>
      </c>
      <c r="B29" s="3">
        <f t="shared" si="17"/>
        <v>30</v>
      </c>
      <c r="C29" s="3">
        <f t="shared" si="18"/>
        <v>34.732908789506581</v>
      </c>
      <c r="D29" s="12">
        <v>0</v>
      </c>
      <c r="E29" s="12">
        <f t="shared" si="19"/>
        <v>9.819872636851974</v>
      </c>
      <c r="F29" s="12">
        <v>10</v>
      </c>
      <c r="G29" s="12">
        <f t="shared" si="20"/>
        <v>3.4732908789506585</v>
      </c>
      <c r="H29" s="12">
        <f t="shared" si="21"/>
        <v>1.0130431730272755</v>
      </c>
      <c r="I29" s="12">
        <v>0</v>
      </c>
      <c r="J29" s="3">
        <f t="shared" ref="J29:J36" si="23">C29+D29+E29+G29+H29+I29</f>
        <v>49.039115478336491</v>
      </c>
      <c r="K29" s="3">
        <f>Austria!I29/AF4*AE4/1000000-(800+525)/2*AE4/1000000</f>
        <v>1.4457412928559217</v>
      </c>
      <c r="L29" s="3">
        <f t="shared" si="22"/>
        <v>50.484856771192412</v>
      </c>
    </row>
    <row r="30" spans="1:35">
      <c r="A30">
        <v>2011</v>
      </c>
      <c r="B30" s="3">
        <f t="shared" si="17"/>
        <v>30</v>
      </c>
      <c r="C30" s="3">
        <f t="shared" si="18"/>
        <v>33.134576116462867</v>
      </c>
      <c r="D30" s="12">
        <v>0</v>
      </c>
      <c r="E30" s="12">
        <f t="shared" si="19"/>
        <v>9.3403728349388597</v>
      </c>
      <c r="F30" s="12">
        <v>10</v>
      </c>
      <c r="G30" s="12">
        <f t="shared" si="20"/>
        <v>3.313457611646287</v>
      </c>
      <c r="H30" s="12">
        <f t="shared" si="21"/>
        <v>0.96642513673016706</v>
      </c>
      <c r="I30" s="12">
        <f t="shared" ref="I30:I49" si="24">I5</f>
        <v>-12</v>
      </c>
      <c r="J30" s="3">
        <f t="shared" si="23"/>
        <v>34.75483169977818</v>
      </c>
      <c r="K30" s="3">
        <f>Austria!I30/AF5*AE5/1000000-(800+525)/2*AE5/1000000</f>
        <v>1.50676358840429</v>
      </c>
      <c r="L30" s="3">
        <f t="shared" si="22"/>
        <v>36.26159528818247</v>
      </c>
    </row>
    <row r="31" spans="1:35">
      <c r="A31">
        <v>2012</v>
      </c>
      <c r="B31" s="3">
        <f t="shared" si="17"/>
        <v>30.842462459493706</v>
      </c>
      <c r="C31" s="3">
        <f t="shared" si="18"/>
        <v>34.553846194856796</v>
      </c>
      <c r="D31" s="12">
        <v>0</v>
      </c>
      <c r="E31" s="12">
        <f t="shared" si="19"/>
        <v>9.766153858457038</v>
      </c>
      <c r="F31" s="12">
        <v>10</v>
      </c>
      <c r="G31" s="12">
        <f t="shared" si="20"/>
        <v>3.4553846194856797</v>
      </c>
      <c r="H31" s="12">
        <f t="shared" si="21"/>
        <v>1.0078205140166567</v>
      </c>
      <c r="I31" s="12">
        <f t="shared" si="24"/>
        <v>-12</v>
      </c>
      <c r="J31" s="3">
        <f t="shared" si="23"/>
        <v>36.783205186816168</v>
      </c>
      <c r="K31" s="3">
        <f>Austria!I31/AF6*AE6/1000000-(800+525)/2*AE6/1000000</f>
        <v>1.3568678347087804</v>
      </c>
      <c r="L31" s="3">
        <f t="shared" si="22"/>
        <v>38.140073021524948</v>
      </c>
    </row>
    <row r="32" spans="1:35">
      <c r="A32">
        <v>2013</v>
      </c>
      <c r="B32" s="3">
        <f t="shared" si="17"/>
        <v>31.143929334439989</v>
      </c>
      <c r="C32" s="3">
        <f t="shared" si="18"/>
        <v>34.100771102430137</v>
      </c>
      <c r="D32" s="12">
        <v>0</v>
      </c>
      <c r="E32" s="12">
        <f t="shared" si="19"/>
        <v>9.6302313307290408</v>
      </c>
      <c r="F32" s="12">
        <v>10</v>
      </c>
      <c r="G32" s="12">
        <f t="shared" si="20"/>
        <v>3.4100771102430141</v>
      </c>
      <c r="H32" s="12">
        <f t="shared" si="21"/>
        <v>0.99460582382087925</v>
      </c>
      <c r="I32" s="12">
        <f t="shared" si="24"/>
        <v>-12</v>
      </c>
      <c r="J32" s="3">
        <f t="shared" si="23"/>
        <v>36.135685367223068</v>
      </c>
      <c r="K32" s="3">
        <f>Austria!I32/AF7*AE7/1000000-(800+525)/2*AE7/1000000</f>
        <v>1.3867881087841194</v>
      </c>
      <c r="L32" s="3">
        <f t="shared" si="22"/>
        <v>37.522473476007185</v>
      </c>
    </row>
    <row r="33" spans="1:12">
      <c r="A33">
        <v>2014</v>
      </c>
      <c r="B33" s="3">
        <f t="shared" si="17"/>
        <v>33.541755956678692</v>
      </c>
      <c r="C33" s="3">
        <f t="shared" si="18"/>
        <v>35.290852196110393</v>
      </c>
      <c r="D33" s="12">
        <v>0</v>
      </c>
      <c r="E33" s="12">
        <f t="shared" si="19"/>
        <v>9.9872556588331172</v>
      </c>
      <c r="F33" s="12">
        <v>10</v>
      </c>
      <c r="G33" s="12">
        <f t="shared" si="20"/>
        <v>3.5290852196110394</v>
      </c>
      <c r="H33" s="12">
        <f t="shared" si="21"/>
        <v>1.0293165223865532</v>
      </c>
      <c r="I33" s="12">
        <f t="shared" si="24"/>
        <v>-12</v>
      </c>
      <c r="J33" s="3">
        <f t="shared" si="23"/>
        <v>37.836509596941106</v>
      </c>
      <c r="K33" s="3">
        <f>Austria!I33/AF8*AE8/1000000-(800+525)/2*AE8/1000000</f>
        <v>1.3172614136123524</v>
      </c>
      <c r="L33" s="3">
        <f t="shared" si="22"/>
        <v>39.153771010553456</v>
      </c>
    </row>
    <row r="34" spans="1:12">
      <c r="A34">
        <v>2015</v>
      </c>
      <c r="B34" s="3">
        <f t="shared" si="17"/>
        <v>30</v>
      </c>
      <c r="C34" s="3">
        <f t="shared" si="18"/>
        <v>33.981569135278754</v>
      </c>
      <c r="D34" s="12">
        <v>0</v>
      </c>
      <c r="E34" s="12">
        <f>0.3*C34-0.6</f>
        <v>9.5944707405836258</v>
      </c>
      <c r="F34" s="12">
        <v>10</v>
      </c>
      <c r="G34" s="12">
        <f>F34/100*(C34+D34)</f>
        <v>3.3981569135278757</v>
      </c>
      <c r="H34" s="12">
        <f>0.07*(C34+D34)*1/2.4</f>
        <v>0.99112909977896391</v>
      </c>
      <c r="I34" s="12">
        <f t="shared" si="24"/>
        <v>-12</v>
      </c>
      <c r="J34" s="3">
        <f t="shared" si="23"/>
        <v>35.965325889169222</v>
      </c>
      <c r="K34" s="3">
        <f>Austria!I34/AF9*AE9/1000000-(800+525)/2*AE9/1000000</f>
        <v>1.0625730901059893</v>
      </c>
      <c r="L34" s="3">
        <f t="shared" si="22"/>
        <v>37.027898979275214</v>
      </c>
    </row>
    <row r="35" spans="1:12">
      <c r="A35">
        <v>2016</v>
      </c>
      <c r="B35" s="3">
        <f t="shared" si="17"/>
        <v>30</v>
      </c>
      <c r="C35" s="3">
        <f t="shared" si="18"/>
        <v>34.790099653622384</v>
      </c>
      <c r="D35" s="12">
        <v>0</v>
      </c>
      <c r="E35" s="12">
        <f>0.3*C35-0.6</f>
        <v>9.8370298960867153</v>
      </c>
      <c r="F35" s="12">
        <v>10</v>
      </c>
      <c r="G35" s="12">
        <f>F35/100*(C35+D35)</f>
        <v>3.4790099653622386</v>
      </c>
      <c r="H35" s="12">
        <f>0.07*(C35+D35)*1/2.4</f>
        <v>1.0147112398973197</v>
      </c>
      <c r="I35" s="12">
        <f t="shared" si="24"/>
        <v>-14</v>
      </c>
      <c r="J35" s="3">
        <f t="shared" si="23"/>
        <v>35.12085075496865</v>
      </c>
      <c r="K35" s="3">
        <f>Austria!I35/AF10*AE10/1000000-(800+525)/2*AE10/1000000</f>
        <v>1.0861734478302818</v>
      </c>
      <c r="L35" s="3">
        <f t="shared" si="22"/>
        <v>36.207024202798934</v>
      </c>
    </row>
    <row r="36" spans="1:12">
      <c r="A36">
        <v>2017</v>
      </c>
      <c r="B36" s="3">
        <f t="shared" si="17"/>
        <v>30</v>
      </c>
      <c r="C36" s="3">
        <f t="shared" si="18"/>
        <v>33.715205096535136</v>
      </c>
      <c r="D36" s="12">
        <v>0</v>
      </c>
      <c r="E36" s="12">
        <f>0.3*C36-0.6</f>
        <v>9.5145615289605416</v>
      </c>
      <c r="F36" s="12">
        <v>10</v>
      </c>
      <c r="G36" s="12">
        <f>F36/100*(C36+D36)</f>
        <v>3.3715205096535139</v>
      </c>
      <c r="H36" s="12">
        <f>0.07*(C36+D36)*1/2.4</f>
        <v>0.98336014864894172</v>
      </c>
      <c r="I36" s="12">
        <f t="shared" si="24"/>
        <v>-14</v>
      </c>
      <c r="J36" s="3">
        <f t="shared" si="23"/>
        <v>33.584647283798134</v>
      </c>
      <c r="K36" s="3">
        <f>Austria!I36/AF11*AE11/1000000-(800+525)/2*AE11/1000000</f>
        <v>1.1028990476347786</v>
      </c>
      <c r="L36" s="3">
        <f t="shared" si="22"/>
        <v>34.687546331432912</v>
      </c>
    </row>
    <row r="37" spans="1:12">
      <c r="A37">
        <v>2018</v>
      </c>
      <c r="B37" s="3">
        <f t="shared" si="17"/>
        <v>30.592100851060948</v>
      </c>
      <c r="C37" s="3">
        <f t="shared" si="18"/>
        <v>34.416113457443565</v>
      </c>
      <c r="D37" s="12">
        <v>0</v>
      </c>
      <c r="E37" s="12">
        <f>0.3*C37-0.6</f>
        <v>9.7248340372330695</v>
      </c>
      <c r="F37" s="12">
        <v>10</v>
      </c>
      <c r="G37" s="12">
        <f>F37/100*(C37+D37)</f>
        <v>3.4416113457443567</v>
      </c>
      <c r="H37" s="12">
        <f>0.07*(C37+D37)*1/2.4</f>
        <v>1.0038033091754375</v>
      </c>
      <c r="I37" s="12">
        <f t="shared" si="24"/>
        <v>-14</v>
      </c>
      <c r="J37" s="3">
        <f>C37+D37+E37+G37+H37+I37</f>
        <v>34.586362149596432</v>
      </c>
      <c r="K37" s="3">
        <f>Austria!I37/AF12*AE12/1000000-(800+525)/2*AE12/1000000</f>
        <v>1.1738051470588236</v>
      </c>
      <c r="L37" s="3">
        <f t="shared" si="22"/>
        <v>35.760167296655254</v>
      </c>
    </row>
    <row r="38" spans="1:12">
      <c r="A38">
        <v>2019</v>
      </c>
      <c r="B38" s="3">
        <f t="shared" si="17"/>
        <v>31.172994053473918</v>
      </c>
      <c r="C38" s="3">
        <f t="shared" si="18"/>
        <v>35.069618310158155</v>
      </c>
      <c r="D38" s="12">
        <v>0</v>
      </c>
      <c r="E38" s="12">
        <f t="shared" ref="E38:E49" si="25">0.3*C38-0.6</f>
        <v>9.9208854930474466</v>
      </c>
      <c r="F38" s="12">
        <v>10</v>
      </c>
      <c r="G38" s="12">
        <f t="shared" ref="G38:G49" si="26">F38/100*(C38+D38)</f>
        <v>3.5069618310158157</v>
      </c>
      <c r="H38" s="12">
        <f t="shared" ref="H38:H49" si="27">0.07*(C38+D38)*1/2.4</f>
        <v>1.0228638673796129</v>
      </c>
      <c r="I38" s="12">
        <f t="shared" si="24"/>
        <v>-11</v>
      </c>
      <c r="J38" s="3">
        <f t="shared" ref="J38:J49" si="28">C38+D38+E38+G38+H38+I38</f>
        <v>38.520329501601026</v>
      </c>
      <c r="K38" s="3">
        <f>Austria!I38/AF13*AE13/1000000-(800+525)/2*AE13/1000000</f>
        <v>1.1738051470588236</v>
      </c>
      <c r="L38" s="3">
        <f t="shared" si="22"/>
        <v>39.694134648659848</v>
      </c>
    </row>
    <row r="39" spans="1:12">
      <c r="A39">
        <v>2020</v>
      </c>
      <c r="B39" s="3">
        <f t="shared" si="17"/>
        <v>30.985903123425071</v>
      </c>
      <c r="C39" s="3">
        <f t="shared" si="18"/>
        <v>34.859141013853204</v>
      </c>
      <c r="D39" s="12">
        <v>0</v>
      </c>
      <c r="E39" s="12">
        <f t="shared" si="25"/>
        <v>9.8577423041559609</v>
      </c>
      <c r="F39" s="12">
        <v>10</v>
      </c>
      <c r="G39" s="12">
        <f t="shared" si="26"/>
        <v>3.4859141013853208</v>
      </c>
      <c r="H39" s="12">
        <f t="shared" si="27"/>
        <v>1.0167249462373853</v>
      </c>
      <c r="I39" s="12">
        <f t="shared" si="24"/>
        <v>-11</v>
      </c>
      <c r="J39" s="3">
        <f t="shared" si="28"/>
        <v>38.219522365631875</v>
      </c>
      <c r="K39" s="3">
        <f>Austria!I39/AF14*AE14/1000000-(800+525)/2*AE14/1000000</f>
        <v>1.1738051470588236</v>
      </c>
      <c r="L39" s="3">
        <f t="shared" si="22"/>
        <v>39.393327512690696</v>
      </c>
    </row>
    <row r="40" spans="1:12">
      <c r="A40">
        <v>2021</v>
      </c>
      <c r="B40" s="3">
        <f t="shared" si="17"/>
        <v>30.206708843097807</v>
      </c>
      <c r="C40" s="3">
        <f t="shared" si="18"/>
        <v>33.982547448485029</v>
      </c>
      <c r="D40" s="12">
        <v>0</v>
      </c>
      <c r="E40" s="12">
        <f t="shared" si="25"/>
        <v>9.594764234545508</v>
      </c>
      <c r="F40" s="12">
        <v>10</v>
      </c>
      <c r="G40" s="12">
        <f t="shared" si="26"/>
        <v>3.398254744848503</v>
      </c>
      <c r="H40" s="12">
        <f t="shared" si="27"/>
        <v>0.99115763391414691</v>
      </c>
      <c r="I40" s="12">
        <f t="shared" si="24"/>
        <v>-11</v>
      </c>
      <c r="J40" s="3">
        <f t="shared" si="28"/>
        <v>36.966724061793187</v>
      </c>
      <c r="K40" s="3">
        <f>Austria!I40/AF15*AE15/1000000-(800+525)/2*AE15/1000000</f>
        <v>1.1738051470588236</v>
      </c>
      <c r="L40" s="3">
        <f t="shared" si="22"/>
        <v>38.140529208852008</v>
      </c>
    </row>
    <row r="41" spans="1:12">
      <c r="A41">
        <v>2022</v>
      </c>
      <c r="B41" s="3">
        <f t="shared" si="17"/>
        <v>30.642454642697771</v>
      </c>
      <c r="C41" s="3">
        <f t="shared" si="18"/>
        <v>34.472761473034993</v>
      </c>
      <c r="D41" s="12">
        <v>0</v>
      </c>
      <c r="E41" s="12">
        <f t="shared" si="25"/>
        <v>9.7418284419104975</v>
      </c>
      <c r="F41" s="12">
        <v>10</v>
      </c>
      <c r="G41" s="12">
        <f t="shared" si="26"/>
        <v>3.4472761473034996</v>
      </c>
      <c r="H41" s="12">
        <f t="shared" si="27"/>
        <v>1.0054555429635208</v>
      </c>
      <c r="I41" s="12">
        <f t="shared" si="24"/>
        <v>-11</v>
      </c>
      <c r="J41" s="3">
        <f t="shared" si="28"/>
        <v>37.667321605212507</v>
      </c>
      <c r="K41" s="3">
        <f>Austria!I41/AF16*AE16/1000000-(800+525)/2*AE16/1000000</f>
        <v>1.1738051470588236</v>
      </c>
      <c r="L41" s="3">
        <f t="shared" si="22"/>
        <v>38.841126752271329</v>
      </c>
    </row>
    <row r="42" spans="1:12">
      <c r="A42">
        <v>2023</v>
      </c>
      <c r="B42" s="3">
        <f t="shared" si="17"/>
        <v>30.361546257811007</v>
      </c>
      <c r="C42" s="3">
        <f t="shared" si="18"/>
        <v>34.156739540037385</v>
      </c>
      <c r="D42" s="12">
        <v>0</v>
      </c>
      <c r="E42" s="12">
        <f t="shared" si="25"/>
        <v>9.6470218620112149</v>
      </c>
      <c r="F42" s="12">
        <v>10</v>
      </c>
      <c r="G42" s="12">
        <f t="shared" si="26"/>
        <v>3.4156739540037386</v>
      </c>
      <c r="H42" s="12">
        <f t="shared" si="27"/>
        <v>0.99623823658442379</v>
      </c>
      <c r="I42" s="12">
        <f t="shared" si="24"/>
        <v>-11</v>
      </c>
      <c r="J42" s="3">
        <f t="shared" si="28"/>
        <v>37.215673592636762</v>
      </c>
      <c r="K42" s="3">
        <f>Austria!I42/AF17*AE17/1000000-(800+525)/2*AE17/1000000</f>
        <v>1.1738051470588236</v>
      </c>
      <c r="L42" s="3">
        <f t="shared" si="22"/>
        <v>38.389478739695583</v>
      </c>
    </row>
    <row r="43" spans="1:12">
      <c r="A43">
        <v>2024</v>
      </c>
      <c r="B43" s="3">
        <f t="shared" si="17"/>
        <v>29.275640447464834</v>
      </c>
      <c r="C43" s="3">
        <f t="shared" si="18"/>
        <v>32.935095503397939</v>
      </c>
      <c r="D43" s="12">
        <v>0</v>
      </c>
      <c r="E43" s="12">
        <f t="shared" si="25"/>
        <v>9.280528651019381</v>
      </c>
      <c r="F43" s="12">
        <v>10</v>
      </c>
      <c r="G43" s="12">
        <f t="shared" si="26"/>
        <v>3.293509550339794</v>
      </c>
      <c r="H43" s="12">
        <f t="shared" si="27"/>
        <v>0.96060695218243997</v>
      </c>
      <c r="I43" s="12">
        <f t="shared" si="24"/>
        <v>-11</v>
      </c>
      <c r="J43" s="3">
        <f t="shared" si="28"/>
        <v>35.46974065693955</v>
      </c>
      <c r="K43" s="3">
        <f>Austria!I43/AF18*AE18/1000000-(800+525)/2*AE18/1000000</f>
        <v>1.1738051470588236</v>
      </c>
      <c r="L43" s="3">
        <f t="shared" si="22"/>
        <v>36.643545803998371</v>
      </c>
    </row>
    <row r="44" spans="1:12">
      <c r="A44">
        <v>2025</v>
      </c>
      <c r="B44" s="3">
        <f t="shared" si="17"/>
        <v>28.343375828936317</v>
      </c>
      <c r="C44" s="3">
        <f t="shared" si="18"/>
        <v>31.886297807553358</v>
      </c>
      <c r="D44" s="12">
        <v>0</v>
      </c>
      <c r="E44" s="12">
        <f t="shared" si="25"/>
        <v>8.9658893422660082</v>
      </c>
      <c r="F44" s="12">
        <v>10</v>
      </c>
      <c r="G44" s="12">
        <f t="shared" si="26"/>
        <v>3.1886297807553361</v>
      </c>
      <c r="H44" s="12">
        <f t="shared" si="27"/>
        <v>0.93001701938697301</v>
      </c>
      <c r="I44" s="12">
        <f t="shared" si="24"/>
        <v>-11</v>
      </c>
      <c r="J44" s="3">
        <f t="shared" si="28"/>
        <v>33.970833949961673</v>
      </c>
      <c r="K44" s="3">
        <f>Austria!I44/AF19*AE19/1000000-(800+525)/2*AE19/1000000</f>
        <v>1.1738051470588236</v>
      </c>
      <c r="L44" s="3">
        <f t="shared" si="22"/>
        <v>35.144639097020494</v>
      </c>
    </row>
    <row r="45" spans="1:12">
      <c r="A45">
        <v>2026</v>
      </c>
      <c r="B45" s="3">
        <f t="shared" si="17"/>
        <v>27.812270474504896</v>
      </c>
      <c r="C45" s="3">
        <f t="shared" si="18"/>
        <v>31.288804283818006</v>
      </c>
      <c r="D45" s="12">
        <v>0</v>
      </c>
      <c r="E45" s="12">
        <f t="shared" si="25"/>
        <v>8.7866412851454019</v>
      </c>
      <c r="F45" s="12">
        <v>10</v>
      </c>
      <c r="G45" s="12">
        <f t="shared" si="26"/>
        <v>3.1288804283818008</v>
      </c>
      <c r="H45" s="12">
        <f t="shared" si="27"/>
        <v>0.91259012494469205</v>
      </c>
      <c r="I45" s="12">
        <f t="shared" si="24"/>
        <v>-11</v>
      </c>
      <c r="J45" s="3">
        <f t="shared" si="28"/>
        <v>33.116916122289901</v>
      </c>
      <c r="K45" s="3">
        <f>Austria!I45/AF20*AE20/1000000-(800+525)/2*AE20/1000000</f>
        <v>1.1738051470588236</v>
      </c>
      <c r="L45" s="3">
        <f t="shared" si="22"/>
        <v>34.290721269348722</v>
      </c>
    </row>
    <row r="46" spans="1:12">
      <c r="A46">
        <v>2027</v>
      </c>
      <c r="B46" s="3">
        <f t="shared" si="17"/>
        <v>27.281165120073478</v>
      </c>
      <c r="C46" s="3">
        <f t="shared" si="18"/>
        <v>30.691310760082661</v>
      </c>
      <c r="D46" s="12">
        <v>0</v>
      </c>
      <c r="E46" s="12">
        <f t="shared" si="25"/>
        <v>8.6073932280247991</v>
      </c>
      <c r="F46" s="12">
        <v>10</v>
      </c>
      <c r="G46" s="12">
        <f t="shared" si="26"/>
        <v>3.0691310760082664</v>
      </c>
      <c r="H46" s="12">
        <f t="shared" si="27"/>
        <v>0.89516323050241098</v>
      </c>
      <c r="I46" s="12">
        <f t="shared" si="24"/>
        <v>-11</v>
      </c>
      <c r="J46" s="3">
        <f t="shared" si="28"/>
        <v>32.262998294618143</v>
      </c>
      <c r="K46" s="3">
        <f>Austria!I46/AF21*AE21/1000000-(800+525)/2*AE21/1000000</f>
        <v>1.1738051470588236</v>
      </c>
      <c r="L46" s="3">
        <f t="shared" si="22"/>
        <v>33.436803441676965</v>
      </c>
    </row>
    <row r="47" spans="1:12">
      <c r="A47">
        <v>2028</v>
      </c>
      <c r="B47" s="3">
        <f t="shared" si="17"/>
        <v>26.683671596338133</v>
      </c>
      <c r="C47" s="3">
        <f t="shared" si="18"/>
        <v>30.019130545880401</v>
      </c>
      <c r="D47" s="12">
        <v>0</v>
      </c>
      <c r="E47" s="12">
        <f t="shared" si="25"/>
        <v>8.405739163764121</v>
      </c>
      <c r="F47" s="12">
        <v>10</v>
      </c>
      <c r="G47" s="12">
        <f t="shared" si="26"/>
        <v>3.0019130545880404</v>
      </c>
      <c r="H47" s="12">
        <f t="shared" si="27"/>
        <v>0.87555797425484516</v>
      </c>
      <c r="I47" s="12">
        <f t="shared" si="24"/>
        <v>-11</v>
      </c>
      <c r="J47" s="3">
        <f t="shared" si="28"/>
        <v>31.302340738487409</v>
      </c>
      <c r="K47" s="3">
        <f>Austria!I47/AF22*AE22/1000000-(800+525)/2*AE22/1000000</f>
        <v>1.1738051470588236</v>
      </c>
      <c r="L47" s="3">
        <f t="shared" si="22"/>
        <v>32.476145885546231</v>
      </c>
    </row>
    <row r="48" spans="1:12">
      <c r="A48">
        <v>2029</v>
      </c>
      <c r="B48" s="3">
        <f t="shared" si="17"/>
        <v>26.152566241906715</v>
      </c>
      <c r="C48" s="3">
        <f t="shared" si="18"/>
        <v>29.421637022145056</v>
      </c>
      <c r="D48" s="12">
        <v>0</v>
      </c>
      <c r="E48" s="12">
        <f t="shared" si="25"/>
        <v>8.2264911066435165</v>
      </c>
      <c r="F48" s="12">
        <v>10</v>
      </c>
      <c r="G48" s="12">
        <f t="shared" si="26"/>
        <v>2.942163702214506</v>
      </c>
      <c r="H48" s="12">
        <f t="shared" si="27"/>
        <v>0.85813107981256431</v>
      </c>
      <c r="I48" s="12">
        <f t="shared" si="24"/>
        <v>-11</v>
      </c>
      <c r="J48" s="3">
        <f t="shared" si="28"/>
        <v>30.448422910815644</v>
      </c>
      <c r="K48" s="3">
        <f>Austria!I48/AF23*AE23/1000000-(800+525)/2*AE23/1000000</f>
        <v>1.1738051470588236</v>
      </c>
      <c r="L48" s="3">
        <f t="shared" si="22"/>
        <v>31.622228057874466</v>
      </c>
    </row>
    <row r="49" spans="1:12">
      <c r="A49">
        <v>2030</v>
      </c>
      <c r="B49" s="3">
        <f t="shared" si="17"/>
        <v>25.55507271817137</v>
      </c>
      <c r="C49" s="3">
        <f t="shared" si="18"/>
        <v>28.749456807942792</v>
      </c>
      <c r="D49" s="12">
        <v>0</v>
      </c>
      <c r="E49" s="12">
        <f t="shared" si="25"/>
        <v>8.0248370423828383</v>
      </c>
      <c r="F49" s="12">
        <v>10</v>
      </c>
      <c r="G49" s="12">
        <f t="shared" si="26"/>
        <v>2.8749456807942795</v>
      </c>
      <c r="H49" s="12">
        <f t="shared" si="27"/>
        <v>0.83852582356499827</v>
      </c>
      <c r="I49" s="12">
        <f t="shared" si="24"/>
        <v>-11</v>
      </c>
      <c r="J49" s="3">
        <f t="shared" si="28"/>
        <v>29.48776535468491</v>
      </c>
      <c r="K49" s="3">
        <f>Austria!I49/AF24*AE24/1000000-(800+525)/2*AE24/1000000</f>
        <v>1.1738051470588236</v>
      </c>
      <c r="L49" s="3">
        <f t="shared" si="22"/>
        <v>30.661570501743732</v>
      </c>
    </row>
    <row r="51" spans="1:12">
      <c r="A51" t="s">
        <v>716</v>
      </c>
      <c r="B51" t="s">
        <v>1395</v>
      </c>
      <c r="C51" t="s">
        <v>796</v>
      </c>
      <c r="D51" t="s">
        <v>796</v>
      </c>
      <c r="E51" t="s">
        <v>796</v>
      </c>
      <c r="G51" t="s">
        <v>796</v>
      </c>
      <c r="H51" t="s">
        <v>796</v>
      </c>
      <c r="I51" t="s">
        <v>796</v>
      </c>
    </row>
    <row r="52" spans="1:12">
      <c r="B52" t="s">
        <v>724</v>
      </c>
      <c r="C52" t="s">
        <v>724</v>
      </c>
      <c r="D52" t="s">
        <v>797</v>
      </c>
      <c r="E52" t="s">
        <v>798</v>
      </c>
      <c r="F52" t="s">
        <v>714</v>
      </c>
      <c r="G52" t="s">
        <v>728</v>
      </c>
      <c r="H52" t="s">
        <v>799</v>
      </c>
      <c r="I52" t="s">
        <v>725</v>
      </c>
    </row>
    <row r="53" spans="1:12">
      <c r="A53">
        <v>2009</v>
      </c>
      <c r="B53" s="3">
        <f t="shared" ref="B53:B74" si="29">U3</f>
        <v>23</v>
      </c>
      <c r="C53" s="3">
        <f t="shared" ref="C53:C74" si="30">B53*AE3*1000/1000000</f>
        <v>29.369390000000003</v>
      </c>
      <c r="D53" s="12">
        <f t="shared" ref="D53:D58" si="31">0.05*C53</f>
        <v>1.4684695000000003</v>
      </c>
      <c r="E53" s="12">
        <f t="shared" ref="E53:E58" si="32">0.3*C53</f>
        <v>8.8108170000000001</v>
      </c>
      <c r="F53" s="12">
        <v>10</v>
      </c>
      <c r="G53" s="12">
        <f t="shared" ref="G53:G58" si="33">F53/100*(C53+D53)</f>
        <v>3.0837859500000007</v>
      </c>
      <c r="H53" s="12">
        <f t="shared" ref="H53:H58" si="34">0.07*(C53+D53)</f>
        <v>2.1586501650000005</v>
      </c>
      <c r="I53" s="3">
        <f>C53+D53+E53+G53+H53</f>
        <v>44.891112615000004</v>
      </c>
    </row>
    <row r="54" spans="1:12">
      <c r="A54">
        <v>2010</v>
      </c>
      <c r="B54" s="3">
        <f t="shared" si="29"/>
        <v>23</v>
      </c>
      <c r="C54" s="3">
        <f t="shared" si="30"/>
        <v>26.628563405288379</v>
      </c>
      <c r="D54" s="12">
        <f t="shared" si="31"/>
        <v>1.3314281702644191</v>
      </c>
      <c r="E54" s="12">
        <f t="shared" si="32"/>
        <v>7.9885690215865131</v>
      </c>
      <c r="F54" s="12">
        <v>10</v>
      </c>
      <c r="G54" s="12">
        <f t="shared" si="33"/>
        <v>2.7959991575552801</v>
      </c>
      <c r="H54" s="12">
        <f t="shared" si="34"/>
        <v>1.957199410288696</v>
      </c>
      <c r="I54" s="3">
        <f t="shared" ref="I54:I74" si="35">C54+D54+E54+G54+H54</f>
        <v>40.701759164983287</v>
      </c>
    </row>
    <row r="55" spans="1:12">
      <c r="A55">
        <v>2011</v>
      </c>
      <c r="B55" s="3">
        <f t="shared" si="29"/>
        <v>23</v>
      </c>
      <c r="C55" s="3">
        <f t="shared" si="30"/>
        <v>25.403175022621532</v>
      </c>
      <c r="D55" s="12">
        <f t="shared" si="31"/>
        <v>1.2701587511310768</v>
      </c>
      <c r="E55" s="12">
        <f t="shared" si="32"/>
        <v>7.620952506786459</v>
      </c>
      <c r="F55" s="12">
        <v>10</v>
      </c>
      <c r="G55" s="12">
        <f t="shared" si="33"/>
        <v>2.667333377375261</v>
      </c>
      <c r="H55" s="12">
        <f t="shared" si="34"/>
        <v>1.8671333641626828</v>
      </c>
      <c r="I55" s="3">
        <f t="shared" si="35"/>
        <v>38.828753022077009</v>
      </c>
    </row>
    <row r="56" spans="1:12">
      <c r="A56">
        <v>2012</v>
      </c>
      <c r="B56" s="3">
        <f t="shared" si="29"/>
        <v>23</v>
      </c>
      <c r="C56" s="3">
        <f t="shared" si="30"/>
        <v>25.767672199502847</v>
      </c>
      <c r="D56" s="12">
        <f t="shared" si="31"/>
        <v>1.2883836099751425</v>
      </c>
      <c r="E56" s="12">
        <f t="shared" si="32"/>
        <v>7.7303016598508538</v>
      </c>
      <c r="F56" s="12">
        <v>10</v>
      </c>
      <c r="G56" s="12">
        <f t="shared" si="33"/>
        <v>2.705605580947799</v>
      </c>
      <c r="H56" s="12">
        <f t="shared" si="34"/>
        <v>1.8939239066634594</v>
      </c>
      <c r="I56" s="3">
        <f t="shared" si="35"/>
        <v>39.385886956940098</v>
      </c>
    </row>
    <row r="57" spans="1:12">
      <c r="A57">
        <v>2013</v>
      </c>
      <c r="B57" s="3">
        <f t="shared" si="29"/>
        <v>23</v>
      </c>
      <c r="C57" s="3">
        <f t="shared" si="30"/>
        <v>25.183647411136668</v>
      </c>
      <c r="D57" s="12">
        <f t="shared" si="31"/>
        <v>1.2591823705568335</v>
      </c>
      <c r="E57" s="12">
        <f t="shared" si="32"/>
        <v>7.5550942233410003</v>
      </c>
      <c r="F57" s="12">
        <v>10</v>
      </c>
      <c r="G57" s="12">
        <f t="shared" si="33"/>
        <v>2.6442829781693504</v>
      </c>
      <c r="H57" s="12">
        <f t="shared" si="34"/>
        <v>1.8509980847185452</v>
      </c>
      <c r="I57" s="3">
        <f t="shared" si="35"/>
        <v>38.493205067922396</v>
      </c>
    </row>
    <row r="58" spans="1:12">
      <c r="A58">
        <v>2014</v>
      </c>
      <c r="B58" s="3">
        <f t="shared" si="29"/>
        <v>23</v>
      </c>
      <c r="C58" s="3">
        <f t="shared" si="30"/>
        <v>24.199377085650724</v>
      </c>
      <c r="D58" s="12">
        <f t="shared" si="31"/>
        <v>1.2099688542825362</v>
      </c>
      <c r="E58" s="12">
        <f t="shared" si="32"/>
        <v>7.2598131256952172</v>
      </c>
      <c r="F58" s="12">
        <v>10</v>
      </c>
      <c r="G58" s="12">
        <f t="shared" si="33"/>
        <v>2.5409345939933261</v>
      </c>
      <c r="H58" s="12">
        <f t="shared" si="34"/>
        <v>1.7786542157953285</v>
      </c>
      <c r="I58" s="3">
        <f t="shared" si="35"/>
        <v>36.988747875417133</v>
      </c>
    </row>
    <row r="59" spans="1:12">
      <c r="A59">
        <v>2015</v>
      </c>
      <c r="B59" s="3">
        <f t="shared" si="29"/>
        <v>23</v>
      </c>
      <c r="C59" s="3">
        <f t="shared" si="30"/>
        <v>26.052536337047048</v>
      </c>
      <c r="D59" s="12">
        <f>0.05*C59</f>
        <v>1.3026268168523525</v>
      </c>
      <c r="E59" s="12">
        <f>0.3*C59</f>
        <v>7.815760901114114</v>
      </c>
      <c r="F59" s="12">
        <v>10</v>
      </c>
      <c r="G59" s="12">
        <f>F59/100*(C59+D59)</f>
        <v>2.7355163153899404</v>
      </c>
      <c r="H59" s="12">
        <f>0.07*(C59+D59)</f>
        <v>1.9148614207729582</v>
      </c>
      <c r="I59" s="3">
        <f t="shared" si="35"/>
        <v>39.821301791176417</v>
      </c>
    </row>
    <row r="60" spans="1:12">
      <c r="A60">
        <v>2016</v>
      </c>
      <c r="B60" s="3">
        <f t="shared" si="29"/>
        <v>23</v>
      </c>
      <c r="C60" s="3">
        <f t="shared" si="30"/>
        <v>26.672409734443828</v>
      </c>
      <c r="D60" s="12">
        <f t="shared" ref="D60:D74" si="36">0.05*C60</f>
        <v>1.3336204867221915</v>
      </c>
      <c r="E60" s="12">
        <f t="shared" ref="E60:E74" si="37">0.3*C60</f>
        <v>8.0017229203331475</v>
      </c>
      <c r="F60" s="12">
        <v>10</v>
      </c>
      <c r="G60" s="12">
        <f t="shared" ref="G60:G74" si="38">F60/100*(C60+D60)</f>
        <v>2.8006030221166025</v>
      </c>
      <c r="H60" s="12">
        <f t="shared" ref="H60:H74" si="39">0.07*(C60+D60)</f>
        <v>1.9604221154816217</v>
      </c>
      <c r="I60" s="3">
        <f t="shared" si="35"/>
        <v>40.76877827909739</v>
      </c>
    </row>
    <row r="61" spans="1:12">
      <c r="A61">
        <v>2017</v>
      </c>
      <c r="B61" s="3">
        <f t="shared" si="29"/>
        <v>23</v>
      </c>
      <c r="C61" s="3">
        <f t="shared" si="30"/>
        <v>25.848323907343605</v>
      </c>
      <c r="D61" s="12">
        <f t="shared" si="36"/>
        <v>1.2924161953671804</v>
      </c>
      <c r="E61" s="12">
        <f t="shared" si="37"/>
        <v>7.7544971722030809</v>
      </c>
      <c r="F61" s="12">
        <v>10</v>
      </c>
      <c r="G61" s="12">
        <f t="shared" si="38"/>
        <v>2.7140740102710788</v>
      </c>
      <c r="H61" s="12">
        <f t="shared" si="39"/>
        <v>1.8998518071897552</v>
      </c>
      <c r="I61" s="3">
        <f t="shared" si="35"/>
        <v>39.509163092374699</v>
      </c>
    </row>
    <row r="62" spans="1:12">
      <c r="A62">
        <v>2018</v>
      </c>
      <c r="B62" s="3">
        <f t="shared" si="29"/>
        <v>23</v>
      </c>
      <c r="C62" s="3">
        <f t="shared" si="30"/>
        <v>25.875</v>
      </c>
      <c r="D62" s="12">
        <f t="shared" si="36"/>
        <v>1.2937500000000002</v>
      </c>
      <c r="E62" s="12">
        <f t="shared" si="37"/>
        <v>7.7624999999999993</v>
      </c>
      <c r="F62" s="12">
        <v>10</v>
      </c>
      <c r="G62" s="12">
        <f t="shared" si="38"/>
        <v>2.7168749999999999</v>
      </c>
      <c r="H62" s="12">
        <f t="shared" si="39"/>
        <v>1.9018125000000001</v>
      </c>
      <c r="I62" s="3">
        <f t="shared" si="35"/>
        <v>39.549937499999999</v>
      </c>
    </row>
    <row r="63" spans="1:12">
      <c r="A63">
        <v>2019</v>
      </c>
      <c r="B63" s="3">
        <f t="shared" si="29"/>
        <v>23</v>
      </c>
      <c r="C63" s="3">
        <f t="shared" si="30"/>
        <v>25.875</v>
      </c>
      <c r="D63" s="12">
        <f t="shared" si="36"/>
        <v>1.2937500000000002</v>
      </c>
      <c r="E63" s="12">
        <f t="shared" si="37"/>
        <v>7.7624999999999993</v>
      </c>
      <c r="F63" s="12">
        <v>10</v>
      </c>
      <c r="G63" s="12">
        <f t="shared" si="38"/>
        <v>2.7168749999999999</v>
      </c>
      <c r="H63" s="12">
        <f t="shared" si="39"/>
        <v>1.9018125000000001</v>
      </c>
      <c r="I63" s="3">
        <f t="shared" si="35"/>
        <v>39.549937499999999</v>
      </c>
    </row>
    <row r="64" spans="1:12">
      <c r="A64">
        <v>2020</v>
      </c>
      <c r="B64" s="3">
        <f t="shared" si="29"/>
        <v>23</v>
      </c>
      <c r="C64" s="3">
        <f t="shared" si="30"/>
        <v>25.875</v>
      </c>
      <c r="D64" s="12">
        <f t="shared" si="36"/>
        <v>1.2937500000000002</v>
      </c>
      <c r="E64" s="12">
        <f t="shared" si="37"/>
        <v>7.7624999999999993</v>
      </c>
      <c r="F64" s="12">
        <v>10</v>
      </c>
      <c r="G64" s="12">
        <f t="shared" si="38"/>
        <v>2.7168749999999999</v>
      </c>
      <c r="H64" s="12">
        <f t="shared" si="39"/>
        <v>1.9018125000000001</v>
      </c>
      <c r="I64" s="3">
        <f t="shared" si="35"/>
        <v>39.549937499999999</v>
      </c>
    </row>
    <row r="65" spans="1:9">
      <c r="A65">
        <v>2021</v>
      </c>
      <c r="B65" s="3">
        <f t="shared" si="29"/>
        <v>23</v>
      </c>
      <c r="C65" s="3">
        <f t="shared" si="30"/>
        <v>25.875</v>
      </c>
      <c r="D65" s="12">
        <f t="shared" si="36"/>
        <v>1.2937500000000002</v>
      </c>
      <c r="E65" s="12">
        <f t="shared" si="37"/>
        <v>7.7624999999999993</v>
      </c>
      <c r="F65" s="12">
        <v>10</v>
      </c>
      <c r="G65" s="12">
        <f t="shared" si="38"/>
        <v>2.7168749999999999</v>
      </c>
      <c r="H65" s="12">
        <f t="shared" si="39"/>
        <v>1.9018125000000001</v>
      </c>
      <c r="I65" s="3">
        <f t="shared" si="35"/>
        <v>39.549937499999999</v>
      </c>
    </row>
    <row r="66" spans="1:9">
      <c r="A66">
        <v>2022</v>
      </c>
      <c r="B66" s="3">
        <f t="shared" si="29"/>
        <v>23</v>
      </c>
      <c r="C66" s="3">
        <f t="shared" si="30"/>
        <v>25.875</v>
      </c>
      <c r="D66" s="12">
        <f t="shared" si="36"/>
        <v>1.2937500000000002</v>
      </c>
      <c r="E66" s="12">
        <f t="shared" si="37"/>
        <v>7.7624999999999993</v>
      </c>
      <c r="F66" s="12">
        <v>10</v>
      </c>
      <c r="G66" s="12">
        <f t="shared" si="38"/>
        <v>2.7168749999999999</v>
      </c>
      <c r="H66" s="12">
        <f t="shared" si="39"/>
        <v>1.9018125000000001</v>
      </c>
      <c r="I66" s="3">
        <f t="shared" si="35"/>
        <v>39.549937499999999</v>
      </c>
    </row>
    <row r="67" spans="1:9">
      <c r="A67">
        <v>2023</v>
      </c>
      <c r="B67" s="3">
        <f t="shared" si="29"/>
        <v>23</v>
      </c>
      <c r="C67" s="3">
        <f t="shared" si="30"/>
        <v>25.875</v>
      </c>
      <c r="D67" s="12">
        <f t="shared" si="36"/>
        <v>1.2937500000000002</v>
      </c>
      <c r="E67" s="12">
        <f t="shared" si="37"/>
        <v>7.7624999999999993</v>
      </c>
      <c r="F67" s="12">
        <v>10</v>
      </c>
      <c r="G67" s="12">
        <f t="shared" si="38"/>
        <v>2.7168749999999999</v>
      </c>
      <c r="H67" s="12">
        <f t="shared" si="39"/>
        <v>1.9018125000000001</v>
      </c>
      <c r="I67" s="3">
        <f t="shared" si="35"/>
        <v>39.549937499999999</v>
      </c>
    </row>
    <row r="68" spans="1:9">
      <c r="A68">
        <v>2024</v>
      </c>
      <c r="B68" s="3">
        <f t="shared" si="29"/>
        <v>23</v>
      </c>
      <c r="C68" s="3">
        <f t="shared" si="30"/>
        <v>25.875</v>
      </c>
      <c r="D68" s="12">
        <f t="shared" si="36"/>
        <v>1.2937500000000002</v>
      </c>
      <c r="E68" s="12">
        <f t="shared" si="37"/>
        <v>7.7624999999999993</v>
      </c>
      <c r="F68" s="12">
        <v>10</v>
      </c>
      <c r="G68" s="12">
        <f t="shared" si="38"/>
        <v>2.7168749999999999</v>
      </c>
      <c r="H68" s="12">
        <f t="shared" si="39"/>
        <v>1.9018125000000001</v>
      </c>
      <c r="I68" s="3">
        <f t="shared" si="35"/>
        <v>39.549937499999999</v>
      </c>
    </row>
    <row r="69" spans="1:9">
      <c r="A69">
        <v>2025</v>
      </c>
      <c r="B69" s="3">
        <f t="shared" si="29"/>
        <v>23</v>
      </c>
      <c r="C69" s="3">
        <f t="shared" si="30"/>
        <v>25.875</v>
      </c>
      <c r="D69" s="12">
        <f t="shared" si="36"/>
        <v>1.2937500000000002</v>
      </c>
      <c r="E69" s="12">
        <f t="shared" si="37"/>
        <v>7.7624999999999993</v>
      </c>
      <c r="F69" s="12">
        <v>10</v>
      </c>
      <c r="G69" s="12">
        <f t="shared" si="38"/>
        <v>2.7168749999999999</v>
      </c>
      <c r="H69" s="12">
        <f t="shared" si="39"/>
        <v>1.9018125000000001</v>
      </c>
      <c r="I69" s="3">
        <f t="shared" si="35"/>
        <v>39.549937499999999</v>
      </c>
    </row>
    <row r="70" spans="1:9">
      <c r="A70">
        <v>2026</v>
      </c>
      <c r="B70" s="3">
        <f t="shared" si="29"/>
        <v>23</v>
      </c>
      <c r="C70" s="3">
        <f t="shared" si="30"/>
        <v>25.875</v>
      </c>
      <c r="D70" s="12">
        <f t="shared" si="36"/>
        <v>1.2937500000000002</v>
      </c>
      <c r="E70" s="12">
        <f t="shared" si="37"/>
        <v>7.7624999999999993</v>
      </c>
      <c r="F70" s="12">
        <v>10</v>
      </c>
      <c r="G70" s="12">
        <f t="shared" si="38"/>
        <v>2.7168749999999999</v>
      </c>
      <c r="H70" s="12">
        <f t="shared" si="39"/>
        <v>1.9018125000000001</v>
      </c>
      <c r="I70" s="3">
        <f t="shared" si="35"/>
        <v>39.549937499999999</v>
      </c>
    </row>
    <row r="71" spans="1:9">
      <c r="A71">
        <v>2027</v>
      </c>
      <c r="B71" s="3">
        <f t="shared" si="29"/>
        <v>23</v>
      </c>
      <c r="C71" s="3">
        <f t="shared" si="30"/>
        <v>25.875</v>
      </c>
      <c r="D71" s="12">
        <f t="shared" si="36"/>
        <v>1.2937500000000002</v>
      </c>
      <c r="E71" s="12">
        <f t="shared" si="37"/>
        <v>7.7624999999999993</v>
      </c>
      <c r="F71" s="12">
        <v>10</v>
      </c>
      <c r="G71" s="12">
        <f t="shared" si="38"/>
        <v>2.7168749999999999</v>
      </c>
      <c r="H71" s="12">
        <f t="shared" si="39"/>
        <v>1.9018125000000001</v>
      </c>
      <c r="I71" s="3">
        <f t="shared" si="35"/>
        <v>39.549937499999999</v>
      </c>
    </row>
    <row r="72" spans="1:9">
      <c r="A72">
        <v>2028</v>
      </c>
      <c r="B72" s="3">
        <f t="shared" si="29"/>
        <v>23</v>
      </c>
      <c r="C72" s="3">
        <f t="shared" si="30"/>
        <v>25.875</v>
      </c>
      <c r="D72" s="12">
        <f t="shared" si="36"/>
        <v>1.2937500000000002</v>
      </c>
      <c r="E72" s="12">
        <f t="shared" si="37"/>
        <v>7.7624999999999993</v>
      </c>
      <c r="F72" s="12">
        <v>10</v>
      </c>
      <c r="G72" s="12">
        <f t="shared" si="38"/>
        <v>2.7168749999999999</v>
      </c>
      <c r="H72" s="12">
        <f t="shared" si="39"/>
        <v>1.9018125000000001</v>
      </c>
      <c r="I72" s="3">
        <f t="shared" si="35"/>
        <v>39.549937499999999</v>
      </c>
    </row>
    <row r="73" spans="1:9">
      <c r="A73">
        <v>2029</v>
      </c>
      <c r="B73" s="3">
        <f t="shared" si="29"/>
        <v>23</v>
      </c>
      <c r="C73" s="3">
        <f t="shared" si="30"/>
        <v>25.875</v>
      </c>
      <c r="D73" s="12">
        <f t="shared" si="36"/>
        <v>1.2937500000000002</v>
      </c>
      <c r="E73" s="12">
        <f t="shared" si="37"/>
        <v>7.7624999999999993</v>
      </c>
      <c r="F73" s="12">
        <v>10</v>
      </c>
      <c r="G73" s="12">
        <f t="shared" si="38"/>
        <v>2.7168749999999999</v>
      </c>
      <c r="H73" s="12">
        <f t="shared" si="39"/>
        <v>1.9018125000000001</v>
      </c>
      <c r="I73" s="3">
        <f t="shared" si="35"/>
        <v>39.549937499999999</v>
      </c>
    </row>
    <row r="74" spans="1:9">
      <c r="A74">
        <v>2030</v>
      </c>
      <c r="B74" s="3">
        <f t="shared" si="29"/>
        <v>23</v>
      </c>
      <c r="C74" s="3">
        <f t="shared" si="30"/>
        <v>25.875</v>
      </c>
      <c r="D74" s="12">
        <f t="shared" si="36"/>
        <v>1.2937500000000002</v>
      </c>
      <c r="E74" s="12">
        <f t="shared" si="37"/>
        <v>7.7624999999999993</v>
      </c>
      <c r="F74" s="12">
        <v>10</v>
      </c>
      <c r="G74" s="12">
        <f t="shared" si="38"/>
        <v>2.7168749999999999</v>
      </c>
      <c r="H74" s="12">
        <f t="shared" si="39"/>
        <v>1.9018125000000001</v>
      </c>
      <c r="I74" s="3">
        <f t="shared" si="35"/>
        <v>39.549937499999999</v>
      </c>
    </row>
    <row r="75" spans="1:9">
      <c r="C75" s="3"/>
    </row>
    <row r="83" spans="1:29">
      <c r="Z83" s="87" t="s">
        <v>1226</v>
      </c>
      <c r="AA83" s="87"/>
      <c r="AB83" s="87"/>
      <c r="AC83" s="234"/>
    </row>
    <row r="84" spans="1:29">
      <c r="Z84" s="235" t="s">
        <v>1167</v>
      </c>
      <c r="AA84" s="235" t="s">
        <v>1168</v>
      </c>
      <c r="AB84" s="235" t="s">
        <v>1169</v>
      </c>
      <c r="AC84" s="235" t="s">
        <v>1170</v>
      </c>
    </row>
    <row r="85" spans="1:29">
      <c r="B85" t="s">
        <v>980</v>
      </c>
      <c r="C85" t="s">
        <v>980</v>
      </c>
      <c r="D85" t="s">
        <v>980</v>
      </c>
      <c r="E85" t="s">
        <v>980</v>
      </c>
      <c r="F85" t="s">
        <v>980</v>
      </c>
      <c r="J85" t="s">
        <v>812</v>
      </c>
      <c r="K85" t="s">
        <v>812</v>
      </c>
      <c r="L85" t="s">
        <v>812</v>
      </c>
      <c r="M85" t="s">
        <v>812</v>
      </c>
      <c r="N85" t="s">
        <v>812</v>
      </c>
      <c r="T85" t="s">
        <v>1385</v>
      </c>
      <c r="U85" t="s">
        <v>988</v>
      </c>
      <c r="Y85" s="3">
        <v>2010</v>
      </c>
      <c r="Z85" s="3">
        <v>1932.1432972875596</v>
      </c>
      <c r="AA85" s="3">
        <f t="shared" ref="AA85:AC85" si="40">Z85</f>
        <v>1932.1432972875596</v>
      </c>
      <c r="AB85" s="3">
        <f t="shared" si="40"/>
        <v>1932.1432972875596</v>
      </c>
      <c r="AC85" s="3">
        <f t="shared" si="40"/>
        <v>1932.1432972875596</v>
      </c>
    </row>
    <row r="86" spans="1:29">
      <c r="B86" t="s">
        <v>978</v>
      </c>
      <c r="C86" t="s">
        <v>979</v>
      </c>
      <c r="D86" t="s">
        <v>916</v>
      </c>
      <c r="E86" t="s">
        <v>981</v>
      </c>
      <c r="F86" t="s">
        <v>983</v>
      </c>
      <c r="J86" t="s">
        <v>725</v>
      </c>
      <c r="K86" t="s">
        <v>979</v>
      </c>
      <c r="L86" t="s">
        <v>916</v>
      </c>
      <c r="M86" t="s">
        <v>985</v>
      </c>
      <c r="N86" t="s">
        <v>983</v>
      </c>
      <c r="R86" t="s">
        <v>997</v>
      </c>
      <c r="T86" t="s">
        <v>934</v>
      </c>
      <c r="U86" t="s">
        <v>934</v>
      </c>
      <c r="V86" t="s">
        <v>986</v>
      </c>
      <c r="W86" t="s">
        <v>987</v>
      </c>
      <c r="Y86" s="3">
        <v>2011</v>
      </c>
      <c r="Z86" s="3">
        <v>1992.1336369452501</v>
      </c>
      <c r="AA86" s="3">
        <f t="shared" ref="AA86:AC86" si="41">Z86</f>
        <v>1992.1336369452501</v>
      </c>
      <c r="AB86" s="3">
        <f t="shared" si="41"/>
        <v>1992.1336369452501</v>
      </c>
      <c r="AC86" s="3">
        <f t="shared" si="41"/>
        <v>1992.1336369452501</v>
      </c>
    </row>
    <row r="87" spans="1:29">
      <c r="A87" s="3">
        <v>2012</v>
      </c>
      <c r="B87" s="12">
        <f>MIN(L6,L31)</f>
        <v>38.140073021524948</v>
      </c>
      <c r="C87" s="12">
        <f>B87/5</f>
        <v>7.6280146043049895</v>
      </c>
      <c r="D87" s="12">
        <f>B87*0.13</f>
        <v>4.9582094927982432</v>
      </c>
      <c r="E87" s="12">
        <v>0</v>
      </c>
      <c r="F87" s="12">
        <f>C87+D87-E87</f>
        <v>12.586224097103234</v>
      </c>
      <c r="G87" s="3"/>
      <c r="H87" s="3"/>
      <c r="I87" s="3">
        <v>2012</v>
      </c>
      <c r="J87" s="12">
        <f>I56</f>
        <v>39.385886956940098</v>
      </c>
      <c r="K87" s="12">
        <f>J87/5</f>
        <v>7.8771773913880194</v>
      </c>
      <c r="L87" s="12">
        <f>J87*0.13</f>
        <v>5.1201653044022128</v>
      </c>
      <c r="M87" s="12">
        <f>W87/100*V87*T87/1000000</f>
        <v>1.7935453125985492</v>
      </c>
      <c r="N87" s="12">
        <f t="shared" ref="N87:N105" si="42">SUM(K87:M87)</f>
        <v>14.790888008388782</v>
      </c>
      <c r="O87" s="3"/>
      <c r="P87" s="3"/>
      <c r="Q87" s="3">
        <v>2012</v>
      </c>
      <c r="R87" s="13">
        <f>N87/F87</f>
        <v>1.1751648384993367</v>
      </c>
      <c r="T87" s="3">
        <f>AB87</f>
        <v>2081.3745342223174</v>
      </c>
      <c r="U87" s="13">
        <f>'Country Petrol Prices'!J84</f>
        <v>2.269255344647505</v>
      </c>
      <c r="V87" s="12">
        <f>'Country L per 100 km'!O7</f>
        <v>5.7447463462526622</v>
      </c>
      <c r="W87" s="3">
        <f>'Country distance travelled'!O7</f>
        <v>15000</v>
      </c>
      <c r="Y87" s="3">
        <v>2012</v>
      </c>
      <c r="Z87" s="3">
        <v>2081.3745342223174</v>
      </c>
      <c r="AA87" s="3">
        <f t="shared" ref="AA87:AC87" si="43">Z87</f>
        <v>2081.3745342223174</v>
      </c>
      <c r="AB87" s="3">
        <f t="shared" si="43"/>
        <v>2081.3745342223174</v>
      </c>
      <c r="AC87" s="3">
        <f t="shared" si="43"/>
        <v>2081.3745342223174</v>
      </c>
    </row>
    <row r="88" spans="1:29">
      <c r="A88" s="3">
        <v>2013</v>
      </c>
      <c r="B88" s="12">
        <f t="shared" ref="B88:B105" si="44">MIN(L7,L32)</f>
        <v>37.522473476007185</v>
      </c>
      <c r="C88" s="12">
        <f t="shared" ref="C88:C105" si="45">B88/5</f>
        <v>7.5044946952014371</v>
      </c>
      <c r="D88" s="12">
        <f t="shared" ref="D88:D105" si="46">B88*0.13</f>
        <v>4.8779215518809345</v>
      </c>
      <c r="E88" s="12">
        <v>0</v>
      </c>
      <c r="F88" s="12">
        <f t="shared" ref="F88:F105" si="47">C88+D88-E88</f>
        <v>12.382416247082372</v>
      </c>
      <c r="G88" s="3"/>
      <c r="H88" s="3"/>
      <c r="I88" s="3">
        <v>2013</v>
      </c>
      <c r="J88" s="12">
        <f t="shared" ref="J88:J105" si="48">I57</f>
        <v>38.493205067922396</v>
      </c>
      <c r="K88" s="12">
        <f t="shared" ref="K88:K105" si="49">J88/5</f>
        <v>7.6986410135844796</v>
      </c>
      <c r="L88" s="12">
        <f t="shared" ref="L88:L105" si="50">J88*0.13</f>
        <v>5.0041166588299113</v>
      </c>
      <c r="M88" s="12">
        <f>W88/100*V88*T88/1000000</f>
        <v>1.6498926553033073</v>
      </c>
      <c r="N88" s="12">
        <f t="shared" si="42"/>
        <v>14.352650327717699</v>
      </c>
      <c r="O88" s="3"/>
      <c r="P88" s="3"/>
      <c r="Q88" s="3">
        <v>2013</v>
      </c>
      <c r="R88" s="13">
        <f t="shared" ref="R88:R105" si="51">N88/F88</f>
        <v>1.1591154780553889</v>
      </c>
      <c r="T88" s="3">
        <f t="shared" ref="T88:T105" si="52">AB88</f>
        <v>1929.6990120506518</v>
      </c>
      <c r="U88" s="13">
        <f>'Country Petrol Prices'!J85</f>
        <v>2.2326894695824211</v>
      </c>
      <c r="V88" s="12">
        <f>'Country L per 100 km'!O8</f>
        <v>5.7</v>
      </c>
      <c r="W88" s="3">
        <f>'Country distance travelled'!O8</f>
        <v>15000</v>
      </c>
      <c r="Y88" s="3">
        <v>2013</v>
      </c>
      <c r="Z88" s="3">
        <v>1929.6990120506518</v>
      </c>
      <c r="AA88" s="3">
        <f t="shared" ref="AA88:AC88" si="53">Z88</f>
        <v>1929.6990120506518</v>
      </c>
      <c r="AB88" s="3">
        <f t="shared" si="53"/>
        <v>1929.6990120506518</v>
      </c>
      <c r="AC88" s="3">
        <f t="shared" si="53"/>
        <v>1929.6990120506518</v>
      </c>
    </row>
    <row r="89" spans="1:29">
      <c r="A89" s="3">
        <v>2014</v>
      </c>
      <c r="B89" s="12">
        <f t="shared" si="44"/>
        <v>39.153771010553456</v>
      </c>
      <c r="C89" s="12">
        <f t="shared" si="45"/>
        <v>7.8307542021106915</v>
      </c>
      <c r="D89" s="12">
        <f t="shared" si="46"/>
        <v>5.0899902313719494</v>
      </c>
      <c r="E89" s="12">
        <v>0</v>
      </c>
      <c r="F89" s="12">
        <f t="shared" si="47"/>
        <v>12.920744433482641</v>
      </c>
      <c r="G89" s="3"/>
      <c r="H89" s="3"/>
      <c r="I89" s="3">
        <v>2014</v>
      </c>
      <c r="J89" s="12">
        <f t="shared" si="48"/>
        <v>36.988747875417133</v>
      </c>
      <c r="K89" s="12">
        <f t="shared" si="49"/>
        <v>7.3977495750834263</v>
      </c>
      <c r="L89" s="12">
        <f t="shared" si="50"/>
        <v>4.808537223804227</v>
      </c>
      <c r="M89" s="12">
        <f t="shared" ref="M89:M105" si="54">W89/100*V89*T89/1000000</f>
        <v>1.5055824265171176</v>
      </c>
      <c r="N89" s="12">
        <f t="shared" si="42"/>
        <v>13.71186922540477</v>
      </c>
      <c r="O89" s="3"/>
      <c r="P89" s="3"/>
      <c r="Q89" s="3">
        <v>2014</v>
      </c>
      <c r="R89" s="13">
        <f t="shared" si="51"/>
        <v>1.0612290410970455</v>
      </c>
      <c r="T89" s="3">
        <f t="shared" si="52"/>
        <v>1782.0461001582726</v>
      </c>
      <c r="U89" s="13">
        <f>'Country Petrol Prices'!J86</f>
        <v>2.1015553136543872</v>
      </c>
      <c r="V89" s="12">
        <f>'Country L per 100 km'!O9</f>
        <v>5.6324110671936758</v>
      </c>
      <c r="W89" s="3">
        <f>'Country distance travelled'!O9</f>
        <v>15000</v>
      </c>
      <c r="Y89" s="3">
        <v>2014</v>
      </c>
      <c r="Z89" s="3">
        <v>1782.0461001582726</v>
      </c>
      <c r="AA89" s="3">
        <f t="shared" ref="AA89:AC89" si="55">Z89</f>
        <v>1782.0461001582726</v>
      </c>
      <c r="AB89" s="3">
        <f t="shared" si="55"/>
        <v>1782.0461001582726</v>
      </c>
      <c r="AC89" s="3">
        <f t="shared" si="55"/>
        <v>1782.0461001582726</v>
      </c>
    </row>
    <row r="90" spans="1:29">
      <c r="A90" s="3">
        <v>2015</v>
      </c>
      <c r="B90" s="12">
        <f t="shared" si="44"/>
        <v>37.027898979275214</v>
      </c>
      <c r="C90" s="12">
        <f t="shared" si="45"/>
        <v>7.4055797958550427</v>
      </c>
      <c r="D90" s="12">
        <f t="shared" si="46"/>
        <v>4.8136268673057776</v>
      </c>
      <c r="E90" s="12">
        <v>0</v>
      </c>
      <c r="F90" s="12">
        <f t="shared" si="47"/>
        <v>12.21920666316082</v>
      </c>
      <c r="G90" s="3"/>
      <c r="H90" s="3"/>
      <c r="I90" s="3">
        <v>2015</v>
      </c>
      <c r="J90" s="12">
        <f t="shared" si="48"/>
        <v>39.821301791176417</v>
      </c>
      <c r="K90" s="12">
        <f t="shared" si="49"/>
        <v>7.9642603582352836</v>
      </c>
      <c r="L90" s="12">
        <f t="shared" si="50"/>
        <v>5.1767692328529344</v>
      </c>
      <c r="M90" s="12">
        <f t="shared" si="54"/>
        <v>1.3127311424651282</v>
      </c>
      <c r="N90" s="12">
        <f t="shared" si="42"/>
        <v>14.453760733553347</v>
      </c>
      <c r="O90" s="3"/>
      <c r="P90" s="3"/>
      <c r="Q90" s="3">
        <v>2015</v>
      </c>
      <c r="R90" s="13">
        <f t="shared" si="51"/>
        <v>1.1828722708430319</v>
      </c>
      <c r="T90" s="3">
        <f t="shared" si="52"/>
        <v>1570.8739640381655</v>
      </c>
      <c r="U90" s="13">
        <f>'Country Petrol Prices'!J87</f>
        <v>1.5887247642019198</v>
      </c>
      <c r="V90" s="12">
        <f>'Country L per 100 km'!O10</f>
        <v>5.5711286520214403</v>
      </c>
      <c r="W90" s="3">
        <f>'Country distance travelled'!O10</f>
        <v>15000</v>
      </c>
      <c r="Y90" s="3">
        <v>2015</v>
      </c>
      <c r="Z90" s="3">
        <v>1570.8739640381655</v>
      </c>
      <c r="AA90" s="3">
        <f t="shared" ref="AA90:AC90" si="56">Z90</f>
        <v>1570.8739640381655</v>
      </c>
      <c r="AB90" s="3">
        <f t="shared" si="56"/>
        <v>1570.8739640381655</v>
      </c>
      <c r="AC90" s="3">
        <f t="shared" si="56"/>
        <v>1570.8739640381655</v>
      </c>
    </row>
    <row r="91" spans="1:29">
      <c r="A91" s="3">
        <v>2016</v>
      </c>
      <c r="B91" s="12">
        <f t="shared" si="44"/>
        <v>36.207024202798934</v>
      </c>
      <c r="C91" s="12">
        <f t="shared" si="45"/>
        <v>7.2414048405597864</v>
      </c>
      <c r="D91" s="12">
        <f t="shared" si="46"/>
        <v>4.7069131463638616</v>
      </c>
      <c r="E91" s="12">
        <v>0</v>
      </c>
      <c r="F91" s="12">
        <f t="shared" si="47"/>
        <v>11.948317986923648</v>
      </c>
      <c r="G91" s="3"/>
      <c r="H91" s="3"/>
      <c r="I91" s="3">
        <v>2016</v>
      </c>
      <c r="J91" s="12">
        <f t="shared" si="48"/>
        <v>40.76877827909739</v>
      </c>
      <c r="K91" s="12">
        <f t="shared" si="49"/>
        <v>8.1537556558194773</v>
      </c>
      <c r="L91" s="12">
        <f t="shared" si="50"/>
        <v>5.2999411762826609</v>
      </c>
      <c r="M91" s="12">
        <f t="shared" si="54"/>
        <v>1.1750366681294628</v>
      </c>
      <c r="N91" s="12">
        <f t="shared" si="42"/>
        <v>14.628733500231602</v>
      </c>
      <c r="O91" s="3"/>
      <c r="P91" s="3"/>
      <c r="Q91" s="3">
        <v>2016</v>
      </c>
      <c r="R91" s="13">
        <f t="shared" si="51"/>
        <v>1.2243341293930599</v>
      </c>
      <c r="T91" s="3">
        <f t="shared" si="52"/>
        <v>1420.1634999999997</v>
      </c>
      <c r="U91" s="13">
        <f>'Country Petrol Prices'!J88</f>
        <v>1.4612688956817899</v>
      </c>
      <c r="V91" s="12">
        <f>'Country L per 100 km'!O11</f>
        <v>5.5159689623974657</v>
      </c>
      <c r="W91" s="3">
        <f>'Country distance travelled'!O11</f>
        <v>15000</v>
      </c>
      <c r="Y91" s="3">
        <v>2016</v>
      </c>
      <c r="Z91" s="3">
        <v>1420.1634999999997</v>
      </c>
      <c r="AA91" s="3">
        <f t="shared" ref="AA91:AC91" si="57">Z91</f>
        <v>1420.1634999999997</v>
      </c>
      <c r="AB91" s="3">
        <f t="shared" si="57"/>
        <v>1420.1634999999997</v>
      </c>
      <c r="AC91" s="3">
        <f t="shared" si="57"/>
        <v>1420.1634999999997</v>
      </c>
    </row>
    <row r="92" spans="1:29">
      <c r="A92" s="3">
        <v>2017</v>
      </c>
      <c r="B92" s="12">
        <f t="shared" si="44"/>
        <v>34.687546331432912</v>
      </c>
      <c r="C92" s="12">
        <f t="shared" si="45"/>
        <v>6.9375092662865825</v>
      </c>
      <c r="D92" s="12">
        <f t="shared" si="46"/>
        <v>4.509381023086279</v>
      </c>
      <c r="E92" s="12">
        <v>0</v>
      </c>
      <c r="F92" s="12">
        <f t="shared" si="47"/>
        <v>11.446890289372861</v>
      </c>
      <c r="G92" s="3"/>
      <c r="H92" s="3"/>
      <c r="I92" s="3">
        <v>2017</v>
      </c>
      <c r="J92" s="12">
        <f t="shared" si="48"/>
        <v>39.509163092374699</v>
      </c>
      <c r="K92" s="12">
        <f t="shared" si="49"/>
        <v>7.9018326184749395</v>
      </c>
      <c r="L92" s="12">
        <f t="shared" si="50"/>
        <v>5.1361912020087113</v>
      </c>
      <c r="M92" s="12">
        <f t="shared" si="54"/>
        <v>1.2197937304470039</v>
      </c>
      <c r="N92" s="12">
        <f t="shared" si="42"/>
        <v>14.257817550930655</v>
      </c>
      <c r="O92" s="3"/>
      <c r="P92" s="3"/>
      <c r="Q92" s="3">
        <v>2017</v>
      </c>
      <c r="R92" s="13">
        <f>N92/F92</f>
        <v>1.2455625231393561</v>
      </c>
      <c r="T92" s="3">
        <f t="shared" si="52"/>
        <v>1489</v>
      </c>
      <c r="U92" s="13">
        <f>'Country Petrol Prices'!J89</f>
        <v>1.5575691380983383</v>
      </c>
      <c r="V92" s="12">
        <f>'Country L per 100 km'!O12</f>
        <v>5.4613554083143221</v>
      </c>
      <c r="W92" s="3">
        <f>'Country distance travelled'!O12</f>
        <v>15000</v>
      </c>
      <c r="Y92" s="3">
        <v>2017</v>
      </c>
      <c r="Z92" s="3">
        <v>1489</v>
      </c>
      <c r="AA92" s="3">
        <f t="shared" ref="AA92:AC92" si="58">Z92</f>
        <v>1489</v>
      </c>
      <c r="AB92" s="3">
        <f t="shared" si="58"/>
        <v>1489</v>
      </c>
      <c r="AC92" s="3">
        <f t="shared" si="58"/>
        <v>1489</v>
      </c>
    </row>
    <row r="93" spans="1:29">
      <c r="A93" s="3">
        <v>2018</v>
      </c>
      <c r="B93" s="12">
        <f t="shared" si="44"/>
        <v>35.760167296655254</v>
      </c>
      <c r="C93" s="12">
        <f t="shared" si="45"/>
        <v>7.1520334593310508</v>
      </c>
      <c r="D93" s="12">
        <f t="shared" si="46"/>
        <v>4.648821748565183</v>
      </c>
      <c r="E93" s="12">
        <v>0</v>
      </c>
      <c r="F93" s="12">
        <f t="shared" si="47"/>
        <v>11.800855207896234</v>
      </c>
      <c r="G93" s="3"/>
      <c r="H93" s="3"/>
      <c r="I93" s="3">
        <v>2018</v>
      </c>
      <c r="J93" s="12">
        <f t="shared" si="48"/>
        <v>39.549937499999999</v>
      </c>
      <c r="K93" s="12">
        <f t="shared" si="49"/>
        <v>7.9099874999999997</v>
      </c>
      <c r="L93" s="12">
        <f t="shared" si="50"/>
        <v>5.1414918749999998</v>
      </c>
      <c r="M93" s="12">
        <f t="shared" si="54"/>
        <v>1.2626944529418971</v>
      </c>
      <c r="N93" s="12">
        <f t="shared" si="42"/>
        <v>14.314173827941897</v>
      </c>
      <c r="O93" s="3"/>
      <c r="P93" s="3"/>
      <c r="Q93" s="3">
        <v>2018</v>
      </c>
      <c r="R93" s="13">
        <f t="shared" si="51"/>
        <v>1.2129776677849535</v>
      </c>
      <c r="S93" s="3"/>
      <c r="T93" s="3">
        <f t="shared" si="52"/>
        <v>1556.7825226802088</v>
      </c>
      <c r="U93" s="13">
        <f>U89</f>
        <v>2.1015553136543872</v>
      </c>
      <c r="V93" s="12">
        <f>'Country L per 100 km'!O13</f>
        <v>5.4072825824894286</v>
      </c>
      <c r="W93" s="3">
        <f>'Country distance travelled'!O13</f>
        <v>15000</v>
      </c>
      <c r="Y93" s="3">
        <v>2018</v>
      </c>
      <c r="Z93" s="3">
        <v>1556.7825226802088</v>
      </c>
      <c r="AA93" s="3">
        <f>Z93</f>
        <v>1556.7825226802088</v>
      </c>
      <c r="AB93" s="3">
        <f t="shared" ref="AB93:AC93" si="59">AA93</f>
        <v>1556.7825226802088</v>
      </c>
      <c r="AC93" s="3">
        <f t="shared" si="59"/>
        <v>1556.7825226802088</v>
      </c>
    </row>
    <row r="94" spans="1:29">
      <c r="A94" s="3">
        <v>2019</v>
      </c>
      <c r="B94" s="12">
        <f t="shared" si="44"/>
        <v>39.694134648659848</v>
      </c>
      <c r="C94" s="12">
        <f t="shared" si="45"/>
        <v>7.9388269297319694</v>
      </c>
      <c r="D94" s="12">
        <f t="shared" si="46"/>
        <v>5.1602375043257807</v>
      </c>
      <c r="E94" s="12">
        <v>0</v>
      </c>
      <c r="F94" s="12">
        <f t="shared" si="47"/>
        <v>13.09906443405775</v>
      </c>
      <c r="G94" s="3"/>
      <c r="H94" s="3"/>
      <c r="I94" s="3">
        <v>2019</v>
      </c>
      <c r="J94" s="12">
        <f t="shared" si="48"/>
        <v>39.549937499999999</v>
      </c>
      <c r="K94" s="12">
        <f t="shared" si="49"/>
        <v>7.9099874999999997</v>
      </c>
      <c r="L94" s="12">
        <f t="shared" si="50"/>
        <v>5.1414918749999998</v>
      </c>
      <c r="M94" s="12">
        <f t="shared" si="54"/>
        <v>1.2576004123068742</v>
      </c>
      <c r="N94" s="12">
        <f t="shared" si="42"/>
        <v>14.309079787306874</v>
      </c>
      <c r="O94" s="3"/>
      <c r="P94" s="3"/>
      <c r="Q94" s="3">
        <v>2019</v>
      </c>
      <c r="R94" s="13">
        <f t="shared" si="51"/>
        <v>1.0923741813272609</v>
      </c>
      <c r="S94" s="3"/>
      <c r="T94" s="3">
        <f t="shared" si="52"/>
        <v>1566.0070741672164</v>
      </c>
      <c r="U94" s="13">
        <f>U93</f>
        <v>2.1015553136543872</v>
      </c>
      <c r="V94" s="12">
        <f>'Country L per 100 km'!O14</f>
        <v>5.3537451311776518</v>
      </c>
      <c r="W94" s="3">
        <f>'Country distance travelled'!O14</f>
        <v>15000</v>
      </c>
      <c r="Y94" s="3">
        <v>2019</v>
      </c>
      <c r="Z94" s="3"/>
      <c r="AA94" s="3">
        <v>1869.164908426478</v>
      </c>
      <c r="AB94" s="3">
        <v>1566.0070741672164</v>
      </c>
      <c r="AC94" s="3">
        <v>1301.9469434602206</v>
      </c>
    </row>
    <row r="95" spans="1:29">
      <c r="A95" s="3">
        <v>2020</v>
      </c>
      <c r="B95" s="12">
        <f t="shared" si="44"/>
        <v>39.393327512690696</v>
      </c>
      <c r="C95" s="12">
        <f t="shared" si="45"/>
        <v>7.8786655025381389</v>
      </c>
      <c r="D95" s="12">
        <f t="shared" si="46"/>
        <v>5.1211325766497904</v>
      </c>
      <c r="E95" s="12">
        <v>0</v>
      </c>
      <c r="F95" s="12">
        <f t="shared" si="47"/>
        <v>12.999798079187929</v>
      </c>
      <c r="G95" s="3"/>
      <c r="H95" s="3"/>
      <c r="I95" s="3">
        <v>2020</v>
      </c>
      <c r="J95" s="12">
        <f t="shared" si="48"/>
        <v>39.549937499999999</v>
      </c>
      <c r="K95" s="12">
        <f t="shared" si="49"/>
        <v>7.9099874999999997</v>
      </c>
      <c r="L95" s="12">
        <f t="shared" si="50"/>
        <v>5.1414918749999998</v>
      </c>
      <c r="M95" s="12">
        <f t="shared" si="54"/>
        <v>1.2467644608049286</v>
      </c>
      <c r="N95" s="12">
        <f t="shared" si="42"/>
        <v>14.298243835804929</v>
      </c>
      <c r="O95" s="3"/>
      <c r="P95" s="3"/>
      <c r="Q95" s="3">
        <v>2020</v>
      </c>
      <c r="R95" s="13">
        <f t="shared" si="51"/>
        <v>1.0998819942207987</v>
      </c>
      <c r="S95" s="3"/>
      <c r="T95" s="3">
        <f t="shared" si="52"/>
        <v>1568.03891426684</v>
      </c>
      <c r="U95" s="13">
        <f t="shared" ref="U95:U115" si="60">U94</f>
        <v>2.1015553136543872</v>
      </c>
      <c r="V95" s="12">
        <f>'Country L per 100 km'!O15</f>
        <v>5.300737753641239</v>
      </c>
      <c r="W95" s="3">
        <f>'Country distance travelled'!O15</f>
        <v>15000</v>
      </c>
      <c r="Y95" s="3">
        <v>2020</v>
      </c>
      <c r="Z95" s="3"/>
      <c r="AA95" s="3">
        <v>1997.7343138188298</v>
      </c>
      <c r="AB95" s="3">
        <v>1568.03891426684</v>
      </c>
      <c r="AC95" s="3">
        <v>1309.5098496597707</v>
      </c>
    </row>
    <row r="96" spans="1:29">
      <c r="A96" s="3">
        <v>2021</v>
      </c>
      <c r="B96" s="12">
        <f t="shared" si="44"/>
        <v>38.140529208852008</v>
      </c>
      <c r="C96" s="12">
        <f t="shared" si="45"/>
        <v>7.6281058417704015</v>
      </c>
      <c r="D96" s="12">
        <f t="shared" si="46"/>
        <v>4.9582687971507609</v>
      </c>
      <c r="E96" s="12">
        <v>0</v>
      </c>
      <c r="F96" s="12">
        <f t="shared" si="47"/>
        <v>12.586374638921162</v>
      </c>
      <c r="G96" s="3"/>
      <c r="H96" s="3"/>
      <c r="I96" s="3">
        <v>2021</v>
      </c>
      <c r="J96" s="12">
        <f t="shared" si="48"/>
        <v>39.549937499999999</v>
      </c>
      <c r="K96" s="12">
        <f t="shared" si="49"/>
        <v>7.9099874999999997</v>
      </c>
      <c r="L96" s="12">
        <f t="shared" si="50"/>
        <v>5.1414918749999998</v>
      </c>
      <c r="M96" s="12">
        <f t="shared" si="54"/>
        <v>1.2815464405456558</v>
      </c>
      <c r="N96" s="12">
        <f t="shared" si="42"/>
        <v>14.333025815545655</v>
      </c>
      <c r="O96" s="3"/>
      <c r="P96" s="3"/>
      <c r="Q96" s="3">
        <v>2021</v>
      </c>
      <c r="R96" s="13">
        <f t="shared" si="51"/>
        <v>1.1387731754959272</v>
      </c>
      <c r="S96" s="3"/>
      <c r="T96" s="3">
        <f t="shared" si="52"/>
        <v>1627.9015803815555</v>
      </c>
      <c r="U96" s="13">
        <f t="shared" si="60"/>
        <v>2.1015553136543872</v>
      </c>
      <c r="V96" s="12">
        <f>'Country L per 100 km'!O16</f>
        <v>5.248255201624989</v>
      </c>
      <c r="W96" s="3">
        <f>'Country distance travelled'!O16</f>
        <v>15000</v>
      </c>
      <c r="Y96" s="3">
        <v>2021</v>
      </c>
      <c r="Z96" s="3"/>
      <c r="AA96" s="3">
        <v>2133.8666254107311</v>
      </c>
      <c r="AB96" s="3">
        <v>1627.9015803815555</v>
      </c>
      <c r="AC96" s="3">
        <v>1324.635662058871</v>
      </c>
    </row>
    <row r="97" spans="1:29">
      <c r="A97" s="3">
        <v>2022</v>
      </c>
      <c r="B97" s="12">
        <f t="shared" si="44"/>
        <v>38.841126752271329</v>
      </c>
      <c r="C97" s="12">
        <f t="shared" si="45"/>
        <v>7.7682253504542658</v>
      </c>
      <c r="D97" s="12">
        <f t="shared" si="46"/>
        <v>5.0493464777952726</v>
      </c>
      <c r="E97" s="12">
        <v>0</v>
      </c>
      <c r="F97" s="12">
        <f t="shared" si="47"/>
        <v>12.817571828249537</v>
      </c>
      <c r="G97" s="3"/>
      <c r="H97" s="3"/>
      <c r="I97" s="3">
        <v>2022</v>
      </c>
      <c r="J97" s="12">
        <f t="shared" si="48"/>
        <v>39.549937499999999</v>
      </c>
      <c r="K97" s="12">
        <f t="shared" si="49"/>
        <v>7.9099874999999997</v>
      </c>
      <c r="L97" s="12">
        <f t="shared" si="50"/>
        <v>5.1414918749999998</v>
      </c>
      <c r="M97" s="12">
        <f t="shared" si="54"/>
        <v>1.3035991323697755</v>
      </c>
      <c r="N97" s="12">
        <f t="shared" si="42"/>
        <v>14.355078507369775</v>
      </c>
      <c r="O97" s="3"/>
      <c r="P97" s="3"/>
      <c r="Q97" s="3">
        <v>2022</v>
      </c>
      <c r="R97" s="13">
        <f t="shared" si="51"/>
        <v>1.1199530378859761</v>
      </c>
      <c r="S97" s="3"/>
      <c r="T97" s="3">
        <f t="shared" si="52"/>
        <v>1672.4734514762299</v>
      </c>
      <c r="U97" s="13">
        <f t="shared" si="60"/>
        <v>2.1015553136543872</v>
      </c>
      <c r="V97" s="12">
        <f>'Country L per 100 km'!O17</f>
        <v>5.1962922788366219</v>
      </c>
      <c r="W97" s="3">
        <f>'Country distance travelled'!O17</f>
        <v>15000</v>
      </c>
      <c r="Y97" s="3">
        <v>2022</v>
      </c>
      <c r="Z97" s="3"/>
      <c r="AA97" s="3">
        <v>2194.3698750071321</v>
      </c>
      <c r="AB97" s="3">
        <v>1672.4734514762299</v>
      </c>
      <c r="AC97" s="3">
        <v>1332.1985682584211</v>
      </c>
    </row>
    <row r="98" spans="1:29">
      <c r="A98" s="3">
        <v>2023</v>
      </c>
      <c r="B98" s="12">
        <f t="shared" si="44"/>
        <v>38.389478739695583</v>
      </c>
      <c r="C98" s="12">
        <f t="shared" si="45"/>
        <v>7.6778957479391163</v>
      </c>
      <c r="D98" s="12">
        <f t="shared" si="46"/>
        <v>4.9906322361604261</v>
      </c>
      <c r="E98" s="12">
        <v>0</v>
      </c>
      <c r="F98" s="12">
        <f t="shared" si="47"/>
        <v>12.668527984099542</v>
      </c>
      <c r="G98" s="3"/>
      <c r="H98" s="3"/>
      <c r="I98" s="3">
        <v>2023</v>
      </c>
      <c r="J98" s="12">
        <f t="shared" si="48"/>
        <v>39.549937499999999</v>
      </c>
      <c r="K98" s="12">
        <f t="shared" si="49"/>
        <v>7.9099874999999997</v>
      </c>
      <c r="L98" s="12">
        <f t="shared" si="50"/>
        <v>5.1414918749999998</v>
      </c>
      <c r="M98" s="12">
        <f t="shared" si="54"/>
        <v>1.3065206864049568</v>
      </c>
      <c r="N98" s="12">
        <f t="shared" si="42"/>
        <v>14.358000061404956</v>
      </c>
      <c r="O98" s="3"/>
      <c r="P98" s="3"/>
      <c r="Q98" s="3">
        <v>2023</v>
      </c>
      <c r="R98" s="13">
        <f t="shared" si="51"/>
        <v>1.1333597778231137</v>
      </c>
      <c r="S98" s="3"/>
      <c r="T98" s="3">
        <f t="shared" si="52"/>
        <v>1692.9839232272018</v>
      </c>
      <c r="U98" s="13">
        <f t="shared" si="60"/>
        <v>2.1015553136543872</v>
      </c>
      <c r="V98" s="12">
        <f>'Country L per 100 km'!O18</f>
        <v>5.1448438404322996</v>
      </c>
      <c r="W98" s="3">
        <f>'Country distance travelled'!O18</f>
        <v>15000</v>
      </c>
      <c r="Y98" s="3">
        <v>2023</v>
      </c>
      <c r="Z98" s="3"/>
      <c r="AA98" s="3">
        <v>2239.7473122044325</v>
      </c>
      <c r="AB98" s="3">
        <v>1692.9839232272018</v>
      </c>
      <c r="AC98" s="3">
        <v>1332.1985682584211</v>
      </c>
    </row>
    <row r="99" spans="1:29">
      <c r="A99" s="3">
        <v>2024</v>
      </c>
      <c r="B99" s="12">
        <f t="shared" si="44"/>
        <v>36.643545803998371</v>
      </c>
      <c r="C99" s="12">
        <f t="shared" si="45"/>
        <v>7.3287091607996739</v>
      </c>
      <c r="D99" s="12">
        <f t="shared" si="46"/>
        <v>4.7636609545197883</v>
      </c>
      <c r="E99" s="12">
        <v>0</v>
      </c>
      <c r="F99" s="12">
        <f t="shared" si="47"/>
        <v>12.092370115319461</v>
      </c>
      <c r="G99" s="3"/>
      <c r="H99" s="3"/>
      <c r="I99" s="3">
        <v>2024</v>
      </c>
      <c r="J99" s="12">
        <f t="shared" si="48"/>
        <v>39.549937499999999</v>
      </c>
      <c r="K99" s="12">
        <f t="shared" si="49"/>
        <v>7.9099874999999997</v>
      </c>
      <c r="L99" s="12">
        <f t="shared" si="50"/>
        <v>5.1414918749999998</v>
      </c>
      <c r="M99" s="12">
        <f t="shared" si="54"/>
        <v>1.2977282549494522</v>
      </c>
      <c r="N99" s="12">
        <f t="shared" si="42"/>
        <v>14.349207629949452</v>
      </c>
      <c r="O99" s="3"/>
      <c r="P99" s="3"/>
      <c r="Q99" s="3">
        <v>2024</v>
      </c>
      <c r="R99" s="13">
        <f t="shared" si="51"/>
        <v>1.1866331821725231</v>
      </c>
      <c r="S99" s="3"/>
      <c r="T99" s="3">
        <f t="shared" si="52"/>
        <v>1698.4066353946757</v>
      </c>
      <c r="U99" s="13">
        <f t="shared" si="60"/>
        <v>2.1015553136543872</v>
      </c>
      <c r="V99" s="12">
        <f>'Country L per 100 km'!O19</f>
        <v>5.0939047925072272</v>
      </c>
      <c r="W99" s="3">
        <f>'Country distance travelled'!O19</f>
        <v>15000</v>
      </c>
      <c r="Y99" s="3">
        <v>2024</v>
      </c>
      <c r="Z99" s="3"/>
      <c r="AA99" s="3">
        <v>2277.5618432021838</v>
      </c>
      <c r="AB99" s="3">
        <v>1698.4066353946757</v>
      </c>
      <c r="AC99" s="3">
        <v>1332.1985682584211</v>
      </c>
    </row>
    <row r="100" spans="1:29">
      <c r="A100" s="3">
        <v>2025</v>
      </c>
      <c r="B100" s="12">
        <f t="shared" si="44"/>
        <v>35.144639097020494</v>
      </c>
      <c r="C100" s="12">
        <f t="shared" si="45"/>
        <v>7.0289278194040987</v>
      </c>
      <c r="D100" s="12">
        <f t="shared" si="46"/>
        <v>4.5688030826126642</v>
      </c>
      <c r="E100" s="12">
        <v>0</v>
      </c>
      <c r="F100" s="12">
        <f t="shared" si="47"/>
        <v>11.597730902016764</v>
      </c>
      <c r="G100" s="3"/>
      <c r="H100" s="3"/>
      <c r="I100" s="3">
        <v>2025</v>
      </c>
      <c r="J100" s="12">
        <f t="shared" si="48"/>
        <v>39.549937499999999</v>
      </c>
      <c r="K100" s="12">
        <f t="shared" si="49"/>
        <v>7.9099874999999997</v>
      </c>
      <c r="L100" s="12">
        <f t="shared" si="50"/>
        <v>5.1414918749999998</v>
      </c>
      <c r="M100" s="12">
        <f t="shared" si="54"/>
        <v>1.3063449151535007</v>
      </c>
      <c r="N100" s="12">
        <f t="shared" si="42"/>
        <v>14.3578242901535</v>
      </c>
      <c r="O100" s="3"/>
      <c r="P100" s="3"/>
      <c r="Q100" s="3">
        <v>2025</v>
      </c>
      <c r="R100" s="13">
        <f t="shared" si="51"/>
        <v>1.2379856380058598</v>
      </c>
      <c r="S100" s="3"/>
      <c r="T100" s="3">
        <f t="shared" si="52"/>
        <v>1726.7805583983322</v>
      </c>
      <c r="U100" s="13">
        <f t="shared" si="60"/>
        <v>2.1015553136543872</v>
      </c>
      <c r="V100" s="12">
        <f>'Country L per 100 km'!O20</f>
        <v>5.0434700915913142</v>
      </c>
      <c r="W100" s="3">
        <f>'Country distance travelled'!O20</f>
        <v>15000</v>
      </c>
      <c r="Y100" s="3">
        <v>2025</v>
      </c>
      <c r="Z100" s="3"/>
      <c r="AA100" s="3">
        <v>2315.3763741999337</v>
      </c>
      <c r="AB100" s="3">
        <v>1726.7805583983322</v>
      </c>
      <c r="AC100" s="3">
        <v>1339.761474457971</v>
      </c>
    </row>
    <row r="101" spans="1:29">
      <c r="A101" s="3">
        <v>2026</v>
      </c>
      <c r="B101" s="12">
        <f t="shared" si="44"/>
        <v>34.290721269348722</v>
      </c>
      <c r="C101" s="12">
        <f t="shared" si="45"/>
        <v>6.8581442538697441</v>
      </c>
      <c r="D101" s="12">
        <f t="shared" si="46"/>
        <v>4.4577937650153343</v>
      </c>
      <c r="E101" s="12">
        <v>0</v>
      </c>
      <c r="F101" s="12">
        <f t="shared" si="47"/>
        <v>11.315938018885078</v>
      </c>
      <c r="G101" s="3"/>
      <c r="H101" s="3"/>
      <c r="I101" s="3">
        <v>2026</v>
      </c>
      <c r="J101" s="12">
        <f t="shared" si="48"/>
        <v>39.549937499999999</v>
      </c>
      <c r="K101" s="12">
        <f t="shared" si="49"/>
        <v>7.9099874999999997</v>
      </c>
      <c r="L101" s="12">
        <f t="shared" si="50"/>
        <v>5.1414918749999998</v>
      </c>
      <c r="M101" s="12">
        <f t="shared" si="54"/>
        <v>1.3307653000375508</v>
      </c>
      <c r="N101" s="12">
        <f t="shared" si="42"/>
        <v>14.382244675037551</v>
      </c>
      <c r="O101" s="3"/>
      <c r="P101" s="3"/>
      <c r="Q101" s="3">
        <v>2026</v>
      </c>
      <c r="R101" s="13">
        <f t="shared" si="51"/>
        <v>1.2709723799330765</v>
      </c>
      <c r="S101" s="3"/>
      <c r="T101" s="3">
        <f t="shared" si="52"/>
        <v>1776.6510340817672</v>
      </c>
      <c r="U101" s="13">
        <f t="shared" si="60"/>
        <v>2.1015553136543872</v>
      </c>
      <c r="V101" s="12">
        <f>'Country L per 100 km'!O21</f>
        <v>4.9935347441498168</v>
      </c>
      <c r="W101" s="3">
        <f>'Country distance travelled'!O21</f>
        <v>15000</v>
      </c>
      <c r="Y101" s="3">
        <v>2026</v>
      </c>
      <c r="Z101" s="3"/>
      <c r="AA101" s="3">
        <v>2353.1909051976841</v>
      </c>
      <c r="AB101" s="3">
        <v>1776.6510340817672</v>
      </c>
      <c r="AC101" s="3">
        <v>1347.3243806575213</v>
      </c>
    </row>
    <row r="102" spans="1:29">
      <c r="A102" s="3">
        <v>2027</v>
      </c>
      <c r="B102" s="12">
        <f t="shared" si="44"/>
        <v>33.436803441676965</v>
      </c>
      <c r="C102" s="12">
        <f t="shared" si="45"/>
        <v>6.6873606883353931</v>
      </c>
      <c r="D102" s="12">
        <f t="shared" si="46"/>
        <v>4.3467844474180053</v>
      </c>
      <c r="E102" s="12">
        <v>0</v>
      </c>
      <c r="F102" s="12">
        <f t="shared" si="47"/>
        <v>11.034145135753398</v>
      </c>
      <c r="G102" s="3"/>
      <c r="H102" s="3"/>
      <c r="I102" s="3">
        <v>2027</v>
      </c>
      <c r="J102" s="12">
        <f t="shared" si="48"/>
        <v>39.549937499999999</v>
      </c>
      <c r="K102" s="12">
        <f t="shared" si="49"/>
        <v>7.9099874999999997</v>
      </c>
      <c r="L102" s="12">
        <f t="shared" si="50"/>
        <v>5.1414918749999998</v>
      </c>
      <c r="M102" s="12">
        <f t="shared" si="54"/>
        <v>1.3366503569579589</v>
      </c>
      <c r="N102" s="12">
        <f t="shared" si="42"/>
        <v>14.388129731957958</v>
      </c>
      <c r="O102" s="3"/>
      <c r="P102" s="3"/>
      <c r="Q102" s="3">
        <v>2027</v>
      </c>
      <c r="R102" s="13">
        <f t="shared" si="51"/>
        <v>1.3039641544442631</v>
      </c>
      <c r="S102" s="3"/>
      <c r="T102" s="3">
        <f t="shared" si="52"/>
        <v>1802.3530153787392</v>
      </c>
      <c r="U102" s="13">
        <f t="shared" si="60"/>
        <v>2.1015553136543872</v>
      </c>
      <c r="V102" s="12">
        <f>'Country L per 100 km'!O22</f>
        <v>4.9440938060889277</v>
      </c>
      <c r="W102" s="3">
        <f>'Country distance travelled'!O22</f>
        <v>15000</v>
      </c>
      <c r="Y102" s="3">
        <v>2027</v>
      </c>
      <c r="Z102" s="3"/>
      <c r="AA102" s="3">
        <v>2391.0054361954344</v>
      </c>
      <c r="AB102" s="3">
        <v>1802.3530153787392</v>
      </c>
      <c r="AC102" s="3">
        <v>1354.8872868570716</v>
      </c>
    </row>
    <row r="103" spans="1:29">
      <c r="A103" s="3">
        <v>2028</v>
      </c>
      <c r="B103" s="12">
        <f t="shared" si="44"/>
        <v>32.476145885546231</v>
      </c>
      <c r="C103" s="12">
        <f t="shared" si="45"/>
        <v>6.4952291771092465</v>
      </c>
      <c r="D103" s="12">
        <f t="shared" si="46"/>
        <v>4.2218989651210101</v>
      </c>
      <c r="E103" s="12">
        <v>0</v>
      </c>
      <c r="F103" s="12">
        <f t="shared" si="47"/>
        <v>10.717128142230257</v>
      </c>
      <c r="G103" s="3"/>
      <c r="H103" s="3"/>
      <c r="I103" s="3">
        <v>2028</v>
      </c>
      <c r="J103" s="12">
        <f t="shared" si="48"/>
        <v>39.549937499999999</v>
      </c>
      <c r="K103" s="12">
        <f t="shared" si="49"/>
        <v>7.9099874999999997</v>
      </c>
      <c r="L103" s="12">
        <f t="shared" si="50"/>
        <v>5.1414918749999998</v>
      </c>
      <c r="M103" s="12">
        <f t="shared" si="54"/>
        <v>1.3353627866309805</v>
      </c>
      <c r="N103" s="12">
        <f t="shared" si="42"/>
        <v>14.38684216163098</v>
      </c>
      <c r="O103" s="3"/>
      <c r="P103" s="3"/>
      <c r="Q103" s="3">
        <v>2028</v>
      </c>
      <c r="R103" s="13">
        <f t="shared" si="51"/>
        <v>1.342415801201482</v>
      </c>
      <c r="S103" s="3"/>
      <c r="T103" s="3">
        <f t="shared" si="52"/>
        <v>1818.6230108016568</v>
      </c>
      <c r="U103" s="13">
        <f t="shared" si="60"/>
        <v>2.1015553136543872</v>
      </c>
      <c r="V103" s="12">
        <f>'Country L per 100 km'!O23</f>
        <v>4.8951423822662647</v>
      </c>
      <c r="W103" s="3">
        <f>'Country distance travelled'!O23</f>
        <v>15000</v>
      </c>
      <c r="Y103" s="3">
        <v>2028</v>
      </c>
      <c r="Z103" s="3"/>
      <c r="AA103" s="3">
        <v>2421.2570609936347</v>
      </c>
      <c r="AB103" s="3">
        <v>1818.6230108016568</v>
      </c>
      <c r="AC103" s="3">
        <v>1354.8872868570716</v>
      </c>
    </row>
    <row r="104" spans="1:29">
      <c r="A104" s="3">
        <v>2029</v>
      </c>
      <c r="B104" s="12">
        <f t="shared" si="44"/>
        <v>31.622228057874466</v>
      </c>
      <c r="C104" s="12">
        <f t="shared" si="45"/>
        <v>6.3244456115748928</v>
      </c>
      <c r="D104" s="12">
        <f t="shared" si="46"/>
        <v>4.1108896475236811</v>
      </c>
      <c r="E104" s="12">
        <v>0</v>
      </c>
      <c r="F104" s="12">
        <f t="shared" si="47"/>
        <v>10.435335259098574</v>
      </c>
      <c r="G104" s="3"/>
      <c r="H104" s="3"/>
      <c r="I104" s="3">
        <v>2029</v>
      </c>
      <c r="J104" s="12">
        <f t="shared" si="48"/>
        <v>39.549937499999999</v>
      </c>
      <c r="K104" s="12">
        <f t="shared" si="49"/>
        <v>7.9099874999999997</v>
      </c>
      <c r="L104" s="12">
        <f t="shared" si="50"/>
        <v>5.1414918749999998</v>
      </c>
      <c r="M104" s="12">
        <f t="shared" si="54"/>
        <v>1.3381738559847054</v>
      </c>
      <c r="N104" s="12">
        <f t="shared" si="42"/>
        <v>14.389653230984704</v>
      </c>
      <c r="O104" s="3"/>
      <c r="P104" s="3"/>
      <c r="Q104" s="3">
        <v>2029</v>
      </c>
      <c r="R104" s="13">
        <f t="shared" si="51"/>
        <v>1.3789354030037855</v>
      </c>
      <c r="S104" s="3"/>
      <c r="T104" s="3">
        <f t="shared" si="52"/>
        <v>1840.6759041246844</v>
      </c>
      <c r="U104" s="13">
        <f t="shared" si="60"/>
        <v>2.1015553136543872</v>
      </c>
      <c r="V104" s="12">
        <f>'Country L per 100 km'!O24</f>
        <v>4.8466756260062027</v>
      </c>
      <c r="W104" s="3">
        <f>'Country distance travelled'!O24</f>
        <v>15000</v>
      </c>
      <c r="Y104" s="3">
        <v>2029</v>
      </c>
      <c r="Z104" s="3"/>
      <c r="AA104" s="3">
        <v>2459.071591991386</v>
      </c>
      <c r="AB104" s="3">
        <v>1840.6759041246844</v>
      </c>
      <c r="AC104" s="3">
        <v>1354.8872868570716</v>
      </c>
    </row>
    <row r="105" spans="1:29">
      <c r="A105" s="3">
        <v>2030</v>
      </c>
      <c r="B105" s="12">
        <f t="shared" si="44"/>
        <v>30.661570501743732</v>
      </c>
      <c r="C105" s="12">
        <f t="shared" si="45"/>
        <v>6.1323141003487462</v>
      </c>
      <c r="D105" s="12">
        <f t="shared" si="46"/>
        <v>3.9860041652266851</v>
      </c>
      <c r="E105" s="12">
        <v>0</v>
      </c>
      <c r="F105" s="12">
        <f t="shared" si="47"/>
        <v>10.118318265575432</v>
      </c>
      <c r="G105" s="3"/>
      <c r="H105" s="3"/>
      <c r="I105" s="3">
        <v>2030</v>
      </c>
      <c r="J105" s="12">
        <f t="shared" si="48"/>
        <v>39.549937499999999</v>
      </c>
      <c r="K105" s="12">
        <f t="shared" si="49"/>
        <v>7.9099874999999997</v>
      </c>
      <c r="L105" s="12">
        <f t="shared" si="50"/>
        <v>5.1414918749999998</v>
      </c>
      <c r="M105" s="12">
        <f t="shared" si="54"/>
        <v>1.3370621369201254</v>
      </c>
      <c r="N105" s="12">
        <f t="shared" si="42"/>
        <v>14.388541511920124</v>
      </c>
      <c r="O105" s="3"/>
      <c r="P105" s="3"/>
      <c r="Q105" s="3">
        <v>2030</v>
      </c>
      <c r="R105" s="13">
        <f t="shared" si="51"/>
        <v>1.4220289512806545</v>
      </c>
      <c r="S105" s="3"/>
      <c r="T105" s="3">
        <f t="shared" si="52"/>
        <v>1857.5381869904113</v>
      </c>
      <c r="U105" s="13">
        <f t="shared" si="60"/>
        <v>2.1015553136543872</v>
      </c>
      <c r="V105" s="12">
        <f>'Country L per 100 km'!O25</f>
        <v>4.7986887386200028</v>
      </c>
      <c r="W105" s="3">
        <f>'Country distance travelled'!O25</f>
        <v>15000</v>
      </c>
      <c r="Y105" s="3">
        <v>2030</v>
      </c>
      <c r="Z105" s="3"/>
      <c r="AA105" s="3">
        <v>2481.7603105900357</v>
      </c>
      <c r="AB105" s="3">
        <v>1857.5381869904113</v>
      </c>
      <c r="AC105" s="3">
        <v>1362.4501930566216</v>
      </c>
    </row>
    <row r="106" spans="1:29">
      <c r="A106" s="3">
        <v>2031</v>
      </c>
      <c r="B106" s="3"/>
      <c r="C106" s="3"/>
      <c r="D106" s="3"/>
      <c r="E106" s="3"/>
      <c r="F106" s="3"/>
      <c r="G106" s="3"/>
      <c r="H106" s="3"/>
      <c r="I106" s="3">
        <v>2031</v>
      </c>
      <c r="J106" s="3"/>
      <c r="K106" s="3"/>
      <c r="L106" s="3"/>
      <c r="M106" s="3"/>
      <c r="N106" s="3"/>
      <c r="O106" s="3"/>
      <c r="P106" s="3"/>
      <c r="Q106" s="3">
        <v>2031</v>
      </c>
      <c r="R106" s="3"/>
      <c r="S106" s="3"/>
      <c r="T106" s="3">
        <f>T105</f>
        <v>1857.5381869904113</v>
      </c>
      <c r="U106" s="13">
        <f t="shared" si="60"/>
        <v>2.1015553136543872</v>
      </c>
      <c r="V106" s="12">
        <f>'Country L per 100 km'!O26</f>
        <v>4.7511769689306957</v>
      </c>
      <c r="W106" s="3">
        <f>'Country distance travelled'!O26</f>
        <v>15000</v>
      </c>
      <c r="Y106" s="3">
        <v>2031</v>
      </c>
    </row>
    <row r="107" spans="1:29">
      <c r="A107" s="3">
        <v>2032</v>
      </c>
      <c r="B107" s="3"/>
      <c r="C107" s="3"/>
      <c r="D107" s="3"/>
      <c r="E107" s="3"/>
      <c r="F107" s="3"/>
      <c r="G107" s="3"/>
      <c r="H107" s="3"/>
      <c r="I107" s="3">
        <v>2032</v>
      </c>
      <c r="J107" s="3"/>
      <c r="K107" s="3"/>
      <c r="L107" s="3"/>
      <c r="M107" s="3"/>
      <c r="N107" s="3"/>
      <c r="O107" s="3"/>
      <c r="P107" s="3"/>
      <c r="Q107" s="3">
        <v>2032</v>
      </c>
      <c r="R107" s="3"/>
      <c r="S107" s="3"/>
      <c r="T107" s="3">
        <f t="shared" ref="T107:T115" si="61">T106</f>
        <v>1857.5381869904113</v>
      </c>
      <c r="U107" s="13">
        <f t="shared" si="60"/>
        <v>2.1015553136543872</v>
      </c>
      <c r="V107" s="12">
        <f>'Country L per 100 km'!O27</f>
        <v>4.7041356128026681</v>
      </c>
      <c r="W107" s="3">
        <f>'Country distance travelled'!O27</f>
        <v>15000</v>
      </c>
      <c r="Y107" s="3">
        <v>2032</v>
      </c>
    </row>
    <row r="108" spans="1:29">
      <c r="A108" s="3">
        <v>2033</v>
      </c>
      <c r="B108" s="3"/>
      <c r="C108" s="3"/>
      <c r="D108" s="3"/>
      <c r="E108" s="3"/>
      <c r="F108" s="3"/>
      <c r="G108" s="3"/>
      <c r="H108" s="3"/>
      <c r="I108" s="3">
        <v>2033</v>
      </c>
      <c r="J108" s="3"/>
      <c r="K108" s="3"/>
      <c r="L108" s="3"/>
      <c r="M108" s="3"/>
      <c r="N108" s="3"/>
      <c r="O108" s="3"/>
      <c r="P108" s="3"/>
      <c r="Q108" s="3">
        <v>2033</v>
      </c>
      <c r="R108" s="3"/>
      <c r="S108" s="3"/>
      <c r="T108" s="3">
        <f t="shared" si="61"/>
        <v>1857.5381869904113</v>
      </c>
      <c r="U108" s="13">
        <f t="shared" si="60"/>
        <v>2.1015553136543872</v>
      </c>
      <c r="V108" s="12">
        <f>'Country L per 100 km'!O28</f>
        <v>4.6575600126759094</v>
      </c>
      <c r="W108" s="3">
        <f>'Country distance travelled'!O28</f>
        <v>15000</v>
      </c>
      <c r="Y108" s="3">
        <v>2033</v>
      </c>
    </row>
    <row r="109" spans="1:29">
      <c r="A109" s="3">
        <v>2034</v>
      </c>
      <c r="B109" s="3"/>
      <c r="C109" s="3"/>
      <c r="D109" s="3"/>
      <c r="E109" s="3"/>
      <c r="F109" s="3"/>
      <c r="G109" s="3"/>
      <c r="H109" s="3"/>
      <c r="I109" s="3">
        <v>2034</v>
      </c>
      <c r="J109" s="3"/>
      <c r="K109" s="3"/>
      <c r="L109" s="3"/>
      <c r="M109" s="3"/>
      <c r="N109" s="3"/>
      <c r="O109" s="3"/>
      <c r="P109" s="3"/>
      <c r="Q109" s="3">
        <v>2034</v>
      </c>
      <c r="R109" s="3"/>
      <c r="S109" s="3"/>
      <c r="T109" s="3">
        <f t="shared" si="61"/>
        <v>1857.5381869904113</v>
      </c>
      <c r="U109" s="13">
        <f t="shared" si="60"/>
        <v>2.1015553136543872</v>
      </c>
      <c r="V109" s="12">
        <f>'Country L per 100 km'!O29</f>
        <v>4.6114455571048607</v>
      </c>
      <c r="W109" s="3">
        <f>'Country distance travelled'!O29</f>
        <v>15000</v>
      </c>
      <c r="Y109" s="3">
        <v>2034</v>
      </c>
    </row>
    <row r="110" spans="1:29">
      <c r="A110" s="3">
        <v>2035</v>
      </c>
      <c r="B110" s="3"/>
      <c r="C110" s="3"/>
      <c r="D110" s="3"/>
      <c r="E110" s="3"/>
      <c r="F110" s="3"/>
      <c r="G110" s="3"/>
      <c r="H110" s="3"/>
      <c r="I110" s="3">
        <v>2035</v>
      </c>
      <c r="J110" s="3"/>
      <c r="K110" s="3"/>
      <c r="L110" s="3"/>
      <c r="M110" s="3"/>
      <c r="N110" s="3"/>
      <c r="O110" s="3"/>
      <c r="P110" s="3"/>
      <c r="Q110" s="3">
        <v>2035</v>
      </c>
      <c r="R110" s="3"/>
      <c r="S110" s="3"/>
      <c r="T110" s="3">
        <f t="shared" si="61"/>
        <v>1857.5381869904113</v>
      </c>
      <c r="U110" s="13">
        <f t="shared" si="60"/>
        <v>2.1015553136543872</v>
      </c>
      <c r="V110" s="12">
        <f>'Country L per 100 km'!O30</f>
        <v>4.5657876803018418</v>
      </c>
      <c r="W110" s="3">
        <f>'Country distance travelled'!O30</f>
        <v>15000</v>
      </c>
      <c r="Y110" s="3">
        <v>2035</v>
      </c>
    </row>
    <row r="111" spans="1:29">
      <c r="A111" s="3">
        <v>2036</v>
      </c>
      <c r="B111" s="3"/>
      <c r="C111" s="3"/>
      <c r="D111" s="3"/>
      <c r="E111" s="3"/>
      <c r="F111" s="3"/>
      <c r="G111" s="3"/>
      <c r="H111" s="3"/>
      <c r="I111" s="3">
        <v>2036</v>
      </c>
      <c r="J111" s="3"/>
      <c r="K111" s="3"/>
      <c r="L111" s="3"/>
      <c r="M111" s="3"/>
      <c r="N111" s="3"/>
      <c r="O111" s="3"/>
      <c r="P111" s="3"/>
      <c r="Q111" s="3">
        <v>2036</v>
      </c>
      <c r="R111" s="3"/>
      <c r="S111" s="3"/>
      <c r="T111" s="3">
        <f t="shared" si="61"/>
        <v>1857.5381869904113</v>
      </c>
      <c r="U111" s="13">
        <f t="shared" si="60"/>
        <v>2.1015553136543872</v>
      </c>
      <c r="V111" s="12">
        <f>'Country L per 100 km'!O31</f>
        <v>4.5205818616849918</v>
      </c>
      <c r="W111" s="3">
        <f>'Country distance travelled'!O31</f>
        <v>15000</v>
      </c>
      <c r="Y111" s="3">
        <v>2036</v>
      </c>
    </row>
    <row r="112" spans="1:29">
      <c r="A112" s="3">
        <v>2037</v>
      </c>
      <c r="B112" s="3"/>
      <c r="C112" s="3"/>
      <c r="D112" s="3"/>
      <c r="E112" s="3"/>
      <c r="F112" s="3"/>
      <c r="G112" s="3"/>
      <c r="H112" s="3"/>
      <c r="I112" s="3">
        <v>2037</v>
      </c>
      <c r="J112" s="3"/>
      <c r="K112" s="3"/>
      <c r="L112" s="3"/>
      <c r="M112" s="3"/>
      <c r="N112" s="3"/>
      <c r="O112" s="3"/>
      <c r="P112" s="3"/>
      <c r="Q112" s="3">
        <v>2037</v>
      </c>
      <c r="R112" s="3"/>
      <c r="S112" s="3"/>
      <c r="T112" s="3">
        <f t="shared" si="61"/>
        <v>1857.5381869904113</v>
      </c>
      <c r="U112" s="13">
        <f t="shared" si="60"/>
        <v>2.1015553136543872</v>
      </c>
      <c r="V112" s="12">
        <f>'Country L per 100 km'!O32</f>
        <v>4.475823625430686</v>
      </c>
      <c r="W112" s="3">
        <f>'Country distance travelled'!O32</f>
        <v>15000</v>
      </c>
      <c r="Y112" s="3">
        <v>2037</v>
      </c>
    </row>
    <row r="113" spans="1:29">
      <c r="A113" s="3">
        <v>2038</v>
      </c>
      <c r="B113" s="3"/>
      <c r="C113" s="3"/>
      <c r="D113" s="3"/>
      <c r="E113" s="3"/>
      <c r="F113" s="3"/>
      <c r="G113" s="3"/>
      <c r="H113" s="3"/>
      <c r="I113" s="3">
        <v>2038</v>
      </c>
      <c r="J113" s="3"/>
      <c r="K113" s="3"/>
      <c r="L113" s="3"/>
      <c r="M113" s="3"/>
      <c r="N113" s="3"/>
      <c r="O113" s="3"/>
      <c r="P113" s="3"/>
      <c r="Q113" s="3">
        <v>2038</v>
      </c>
      <c r="R113" s="3"/>
      <c r="S113" s="3"/>
      <c r="T113" s="3">
        <f t="shared" si="61"/>
        <v>1857.5381869904113</v>
      </c>
      <c r="U113" s="13">
        <f t="shared" si="60"/>
        <v>2.1015553136543872</v>
      </c>
      <c r="V113" s="12">
        <f>'Country L per 100 km'!O33</f>
        <v>4.4315085400303813</v>
      </c>
      <c r="W113" s="3">
        <f>'Country distance travelled'!O33</f>
        <v>15000</v>
      </c>
      <c r="Y113" s="3">
        <v>2038</v>
      </c>
    </row>
    <row r="114" spans="1:29">
      <c r="A114" s="3">
        <v>2039</v>
      </c>
      <c r="B114" s="3"/>
      <c r="C114" s="3"/>
      <c r="D114" s="3"/>
      <c r="E114" s="3"/>
      <c r="F114" s="3"/>
      <c r="G114" s="3"/>
      <c r="H114" s="3"/>
      <c r="I114" s="3">
        <v>2039</v>
      </c>
      <c r="J114" s="3"/>
      <c r="K114" s="3"/>
      <c r="L114" s="3"/>
      <c r="M114" s="3"/>
      <c r="N114" s="3"/>
      <c r="O114" s="3"/>
      <c r="P114" s="3"/>
      <c r="Q114" s="3">
        <v>2039</v>
      </c>
      <c r="R114" s="3"/>
      <c r="S114" s="3"/>
      <c r="T114" s="3">
        <f t="shared" si="61"/>
        <v>1857.5381869904113</v>
      </c>
      <c r="U114" s="13">
        <f t="shared" si="60"/>
        <v>2.1015553136543872</v>
      </c>
      <c r="V114" s="12">
        <f>'Country L per 100 km'!O34</f>
        <v>4.3876322178518627</v>
      </c>
      <c r="W114" s="3">
        <f>'Country distance travelled'!O34</f>
        <v>15000</v>
      </c>
      <c r="Y114" s="3">
        <v>2039</v>
      </c>
    </row>
    <row r="115" spans="1:29">
      <c r="A115" s="3">
        <v>2040</v>
      </c>
      <c r="B115" s="3"/>
      <c r="C115" s="3"/>
      <c r="D115" s="3"/>
      <c r="E115" s="3"/>
      <c r="F115" s="3"/>
      <c r="G115" s="3"/>
      <c r="H115" s="3"/>
      <c r="I115" s="3">
        <v>2040</v>
      </c>
      <c r="J115" s="3"/>
      <c r="K115" s="3"/>
      <c r="L115" s="3"/>
      <c r="M115" s="3"/>
      <c r="N115" s="3"/>
      <c r="O115" s="3"/>
      <c r="P115" s="3"/>
      <c r="Q115" s="3">
        <v>2040</v>
      </c>
      <c r="R115" s="3"/>
      <c r="S115" s="3"/>
      <c r="T115" s="3">
        <f t="shared" si="61"/>
        <v>1857.5381869904113</v>
      </c>
      <c r="U115" s="13">
        <f t="shared" si="60"/>
        <v>2.1015553136543872</v>
      </c>
      <c r="V115" s="12">
        <f>'Country L per 100 km'!O35</f>
        <v>4.3441903147048153</v>
      </c>
      <c r="W115" s="3">
        <f>'Country distance travelled'!O35</f>
        <v>15000</v>
      </c>
      <c r="Y115" s="3">
        <v>2040</v>
      </c>
    </row>
    <row r="123" spans="1:29">
      <c r="P123" t="s">
        <v>1335</v>
      </c>
      <c r="Q123" s="87" t="s">
        <v>980</v>
      </c>
      <c r="R123" s="87" t="s">
        <v>980</v>
      </c>
      <c r="S123" s="87" t="s">
        <v>980</v>
      </c>
      <c r="T123" s="87" t="s">
        <v>980</v>
      </c>
      <c r="U123" s="87" t="s">
        <v>980</v>
      </c>
      <c r="W123" s="14" t="s">
        <v>812</v>
      </c>
      <c r="X123" s="14" t="s">
        <v>812</v>
      </c>
      <c r="Y123" s="14" t="s">
        <v>812</v>
      </c>
      <c r="Z123" s="14" t="s">
        <v>812</v>
      </c>
      <c r="AA123" s="14" t="s">
        <v>812</v>
      </c>
      <c r="AC123" s="248" t="s">
        <v>952</v>
      </c>
    </row>
    <row r="124" spans="1:29">
      <c r="Q124" s="87" t="s">
        <v>978</v>
      </c>
      <c r="R124" s="87" t="s">
        <v>979</v>
      </c>
      <c r="S124" s="87" t="s">
        <v>916</v>
      </c>
      <c r="T124" s="87" t="s">
        <v>981</v>
      </c>
      <c r="U124" s="87" t="s">
        <v>983</v>
      </c>
      <c r="W124" s="14" t="s">
        <v>725</v>
      </c>
      <c r="X124" s="14" t="s">
        <v>979</v>
      </c>
      <c r="Y124" s="14" t="s">
        <v>916</v>
      </c>
      <c r="Z124" s="14" t="s">
        <v>985</v>
      </c>
      <c r="AA124" s="14" t="s">
        <v>983</v>
      </c>
      <c r="AC124" s="248" t="s">
        <v>1204</v>
      </c>
    </row>
    <row r="125" spans="1:29">
      <c r="P125">
        <v>2012</v>
      </c>
      <c r="Q125" s="12">
        <f>B87</f>
        <v>38.140073021524948</v>
      </c>
      <c r="R125" s="12">
        <f t="shared" ref="R125:U140" si="62">C87</f>
        <v>7.6280146043049895</v>
      </c>
      <c r="S125" s="12">
        <f t="shared" si="62"/>
        <v>4.9582094927982432</v>
      </c>
      <c r="T125" s="12">
        <f t="shared" si="62"/>
        <v>0</v>
      </c>
      <c r="U125" s="12">
        <f t="shared" si="62"/>
        <v>12.586224097103234</v>
      </c>
      <c r="V125" s="12"/>
      <c r="W125" s="12">
        <f>J87</f>
        <v>39.385886956940098</v>
      </c>
      <c r="X125" s="12">
        <f t="shared" ref="X125:AA140" si="63">K87</f>
        <v>7.8771773913880194</v>
      </c>
      <c r="Y125" s="12">
        <f t="shared" si="63"/>
        <v>5.1201653044022128</v>
      </c>
      <c r="Z125" s="12">
        <f t="shared" si="63"/>
        <v>1.7935453125985492</v>
      </c>
      <c r="AA125" s="12">
        <f t="shared" si="63"/>
        <v>14.790888008388782</v>
      </c>
      <c r="AC125" s="13">
        <f>U125/AA125</f>
        <v>0.85094445241995242</v>
      </c>
    </row>
    <row r="126" spans="1:29">
      <c r="P126">
        <v>2013</v>
      </c>
      <c r="Q126" s="12">
        <f t="shared" ref="Q126:U141" si="64">B88</f>
        <v>37.522473476007185</v>
      </c>
      <c r="R126" s="12">
        <f t="shared" si="62"/>
        <v>7.5044946952014371</v>
      </c>
      <c r="S126" s="12">
        <f t="shared" si="62"/>
        <v>4.8779215518809345</v>
      </c>
      <c r="T126" s="12">
        <f t="shared" si="62"/>
        <v>0</v>
      </c>
      <c r="U126" s="12">
        <f t="shared" si="62"/>
        <v>12.382416247082372</v>
      </c>
      <c r="V126" s="12"/>
      <c r="W126" s="12">
        <f t="shared" ref="W126:AA141" si="65">J88</f>
        <v>38.493205067922396</v>
      </c>
      <c r="X126" s="12">
        <f t="shared" si="63"/>
        <v>7.6986410135844796</v>
      </c>
      <c r="Y126" s="12">
        <f t="shared" si="63"/>
        <v>5.0041166588299113</v>
      </c>
      <c r="Z126" s="12">
        <f t="shared" si="63"/>
        <v>1.6498926553033073</v>
      </c>
      <c r="AA126" s="12">
        <f t="shared" si="63"/>
        <v>14.352650327717699</v>
      </c>
      <c r="AC126" s="13">
        <f t="shared" ref="AC126:AC143" si="66">U126/AA126</f>
        <v>0.8627268110315186</v>
      </c>
    </row>
    <row r="127" spans="1:29">
      <c r="P127">
        <v>2014</v>
      </c>
      <c r="Q127" s="12">
        <f t="shared" si="64"/>
        <v>39.153771010553456</v>
      </c>
      <c r="R127" s="12">
        <f t="shared" si="62"/>
        <v>7.8307542021106915</v>
      </c>
      <c r="S127" s="12">
        <f t="shared" si="62"/>
        <v>5.0899902313719494</v>
      </c>
      <c r="T127" s="12">
        <f t="shared" si="62"/>
        <v>0</v>
      </c>
      <c r="U127" s="12">
        <f t="shared" si="62"/>
        <v>12.920744433482641</v>
      </c>
      <c r="V127" s="12"/>
      <c r="W127" s="12">
        <f t="shared" si="65"/>
        <v>36.988747875417133</v>
      </c>
      <c r="X127" s="12">
        <f t="shared" si="63"/>
        <v>7.3977495750834263</v>
      </c>
      <c r="Y127" s="12">
        <f t="shared" si="63"/>
        <v>4.808537223804227</v>
      </c>
      <c r="Z127" s="12">
        <f t="shared" si="63"/>
        <v>1.5055824265171176</v>
      </c>
      <c r="AA127" s="12">
        <f t="shared" si="63"/>
        <v>13.71186922540477</v>
      </c>
      <c r="AC127" s="13">
        <f t="shared" si="66"/>
        <v>0.94230365102546576</v>
      </c>
    </row>
    <row r="128" spans="1:29">
      <c r="P128">
        <v>2015</v>
      </c>
      <c r="Q128" s="12">
        <f t="shared" si="64"/>
        <v>37.027898979275214</v>
      </c>
      <c r="R128" s="12">
        <f t="shared" si="62"/>
        <v>7.4055797958550427</v>
      </c>
      <c r="S128" s="12">
        <f t="shared" si="62"/>
        <v>4.8136268673057776</v>
      </c>
      <c r="T128" s="12">
        <f t="shared" si="62"/>
        <v>0</v>
      </c>
      <c r="U128" s="12">
        <f t="shared" si="62"/>
        <v>12.21920666316082</v>
      </c>
      <c r="V128" s="12"/>
      <c r="W128" s="12">
        <f t="shared" si="65"/>
        <v>39.821301791176417</v>
      </c>
      <c r="X128" s="12">
        <f t="shared" si="63"/>
        <v>7.9642603582352836</v>
      </c>
      <c r="Y128" s="12">
        <f t="shared" si="63"/>
        <v>5.1767692328529344</v>
      </c>
      <c r="Z128" s="12">
        <f t="shared" si="63"/>
        <v>1.3127311424651282</v>
      </c>
      <c r="AA128" s="12">
        <f t="shared" si="63"/>
        <v>14.453760733553347</v>
      </c>
      <c r="AC128" s="13">
        <f t="shared" si="66"/>
        <v>0.845399815896691</v>
      </c>
    </row>
    <row r="129" spans="16:29">
      <c r="P129">
        <v>2016</v>
      </c>
      <c r="Q129" s="12">
        <f t="shared" si="64"/>
        <v>36.207024202798934</v>
      </c>
      <c r="R129" s="12">
        <f t="shared" si="62"/>
        <v>7.2414048405597864</v>
      </c>
      <c r="S129" s="12">
        <f t="shared" si="62"/>
        <v>4.7069131463638616</v>
      </c>
      <c r="T129" s="12">
        <f t="shared" si="62"/>
        <v>0</v>
      </c>
      <c r="U129" s="12">
        <f t="shared" si="62"/>
        <v>11.948317986923648</v>
      </c>
      <c r="V129" s="12"/>
      <c r="W129" s="12">
        <f t="shared" si="65"/>
        <v>40.76877827909739</v>
      </c>
      <c r="X129" s="12">
        <f t="shared" si="63"/>
        <v>8.1537556558194773</v>
      </c>
      <c r="Y129" s="12">
        <f t="shared" si="63"/>
        <v>5.2999411762826609</v>
      </c>
      <c r="Z129" s="12">
        <f t="shared" si="63"/>
        <v>1.1750366681294628</v>
      </c>
      <c r="AA129" s="12">
        <f t="shared" si="63"/>
        <v>14.628733500231602</v>
      </c>
      <c r="AC129" s="13">
        <f t="shared" si="66"/>
        <v>0.81677050079109592</v>
      </c>
    </row>
    <row r="130" spans="16:29">
      <c r="P130">
        <v>2017</v>
      </c>
      <c r="Q130" s="12">
        <f t="shared" si="64"/>
        <v>34.687546331432912</v>
      </c>
      <c r="R130" s="12">
        <f t="shared" si="62"/>
        <v>6.9375092662865825</v>
      </c>
      <c r="S130" s="12">
        <f t="shared" si="62"/>
        <v>4.509381023086279</v>
      </c>
      <c r="T130" s="12">
        <f t="shared" si="62"/>
        <v>0</v>
      </c>
      <c r="U130" s="12">
        <f t="shared" si="62"/>
        <v>11.446890289372861</v>
      </c>
      <c r="V130" s="12"/>
      <c r="W130" s="12">
        <f t="shared" si="65"/>
        <v>39.509163092374699</v>
      </c>
      <c r="X130" s="12">
        <f t="shared" si="63"/>
        <v>7.9018326184749395</v>
      </c>
      <c r="Y130" s="12">
        <f t="shared" si="63"/>
        <v>5.1361912020087113</v>
      </c>
      <c r="Z130" s="12">
        <f t="shared" si="63"/>
        <v>1.2197937304470039</v>
      </c>
      <c r="AA130" s="12">
        <f t="shared" si="63"/>
        <v>14.257817550930655</v>
      </c>
      <c r="AC130" s="13">
        <f t="shared" si="66"/>
        <v>0.80285010300371562</v>
      </c>
    </row>
    <row r="131" spans="16:29">
      <c r="P131">
        <v>2018</v>
      </c>
      <c r="Q131" s="12">
        <f t="shared" si="64"/>
        <v>35.760167296655254</v>
      </c>
      <c r="R131" s="12">
        <f t="shared" si="62"/>
        <v>7.1520334593310508</v>
      </c>
      <c r="S131" s="12">
        <f t="shared" si="62"/>
        <v>4.648821748565183</v>
      </c>
      <c r="T131" s="12">
        <f t="shared" si="62"/>
        <v>0</v>
      </c>
      <c r="U131" s="12">
        <f t="shared" si="62"/>
        <v>11.800855207896234</v>
      </c>
      <c r="V131" s="12"/>
      <c r="W131" s="12">
        <f t="shared" si="65"/>
        <v>39.549937499999999</v>
      </c>
      <c r="X131" s="12">
        <f t="shared" si="63"/>
        <v>7.9099874999999997</v>
      </c>
      <c r="Y131" s="12">
        <f t="shared" si="63"/>
        <v>5.1414918749999998</v>
      </c>
      <c r="Z131" s="12">
        <f t="shared" si="63"/>
        <v>1.2626944529418971</v>
      </c>
      <c r="AA131" s="12">
        <f t="shared" si="63"/>
        <v>14.314173827941897</v>
      </c>
      <c r="AC131" s="13">
        <f t="shared" si="66"/>
        <v>0.82441748645391222</v>
      </c>
    </row>
    <row r="132" spans="16:29">
      <c r="P132">
        <v>2019</v>
      </c>
      <c r="Q132" s="12">
        <f t="shared" si="64"/>
        <v>39.694134648659848</v>
      </c>
      <c r="R132" s="12">
        <f t="shared" si="62"/>
        <v>7.9388269297319694</v>
      </c>
      <c r="S132" s="12">
        <f t="shared" si="62"/>
        <v>5.1602375043257807</v>
      </c>
      <c r="T132" s="12">
        <f t="shared" si="62"/>
        <v>0</v>
      </c>
      <c r="U132" s="12">
        <f t="shared" si="62"/>
        <v>13.09906443405775</v>
      </c>
      <c r="V132" s="12"/>
      <c r="W132" s="12">
        <f t="shared" si="65"/>
        <v>39.549937499999999</v>
      </c>
      <c r="X132" s="12">
        <f t="shared" si="63"/>
        <v>7.9099874999999997</v>
      </c>
      <c r="Y132" s="12">
        <f t="shared" si="63"/>
        <v>5.1414918749999998</v>
      </c>
      <c r="Z132" s="12">
        <f t="shared" si="63"/>
        <v>1.2576004123068742</v>
      </c>
      <c r="AA132" s="12">
        <f t="shared" si="63"/>
        <v>14.309079787306874</v>
      </c>
      <c r="AC132" s="13">
        <f t="shared" si="66"/>
        <v>0.91543723487218998</v>
      </c>
    </row>
    <row r="133" spans="16:29">
      <c r="P133">
        <v>2020</v>
      </c>
      <c r="Q133" s="12">
        <f t="shared" si="64"/>
        <v>39.393327512690696</v>
      </c>
      <c r="R133" s="12">
        <f t="shared" si="62"/>
        <v>7.8786655025381389</v>
      </c>
      <c r="S133" s="12">
        <f t="shared" si="62"/>
        <v>5.1211325766497904</v>
      </c>
      <c r="T133" s="12">
        <f t="shared" si="62"/>
        <v>0</v>
      </c>
      <c r="U133" s="12">
        <f t="shared" si="62"/>
        <v>12.999798079187929</v>
      </c>
      <c r="V133" s="12"/>
      <c r="W133" s="12">
        <f t="shared" si="65"/>
        <v>39.549937499999999</v>
      </c>
      <c r="X133" s="12">
        <f t="shared" si="63"/>
        <v>7.9099874999999997</v>
      </c>
      <c r="Y133" s="12">
        <f t="shared" si="63"/>
        <v>5.1414918749999998</v>
      </c>
      <c r="Z133" s="12">
        <f t="shared" si="63"/>
        <v>1.2467644608049286</v>
      </c>
      <c r="AA133" s="12">
        <f t="shared" si="63"/>
        <v>14.298243835804929</v>
      </c>
      <c r="AC133" s="13">
        <f t="shared" si="66"/>
        <v>0.90918844499172002</v>
      </c>
    </row>
    <row r="134" spans="16:29">
      <c r="P134">
        <v>2021</v>
      </c>
      <c r="Q134" s="12">
        <f t="shared" si="64"/>
        <v>38.140529208852008</v>
      </c>
      <c r="R134" s="12">
        <f t="shared" si="62"/>
        <v>7.6281058417704015</v>
      </c>
      <c r="S134" s="12">
        <f t="shared" si="62"/>
        <v>4.9582687971507609</v>
      </c>
      <c r="T134" s="12">
        <f t="shared" si="62"/>
        <v>0</v>
      </c>
      <c r="U134" s="12">
        <f t="shared" si="62"/>
        <v>12.586374638921162</v>
      </c>
      <c r="V134" s="12"/>
      <c r="W134" s="12">
        <f t="shared" si="65"/>
        <v>39.549937499999999</v>
      </c>
      <c r="X134" s="12">
        <f t="shared" si="63"/>
        <v>7.9099874999999997</v>
      </c>
      <c r="Y134" s="12">
        <f t="shared" si="63"/>
        <v>5.1414918749999998</v>
      </c>
      <c r="Z134" s="12">
        <f t="shared" si="63"/>
        <v>1.2815464405456558</v>
      </c>
      <c r="AA134" s="12">
        <f t="shared" si="63"/>
        <v>14.333025815545655</v>
      </c>
      <c r="AC134" s="13">
        <f t="shared" si="66"/>
        <v>0.87813800106812978</v>
      </c>
    </row>
    <row r="135" spans="16:29">
      <c r="P135">
        <v>2022</v>
      </c>
      <c r="Q135" s="12">
        <f t="shared" si="64"/>
        <v>38.841126752271329</v>
      </c>
      <c r="R135" s="12">
        <f t="shared" si="62"/>
        <v>7.7682253504542658</v>
      </c>
      <c r="S135" s="12">
        <f t="shared" si="62"/>
        <v>5.0493464777952726</v>
      </c>
      <c r="T135" s="12">
        <f t="shared" si="62"/>
        <v>0</v>
      </c>
      <c r="U135" s="12">
        <f t="shared" si="62"/>
        <v>12.817571828249537</v>
      </c>
      <c r="V135" s="12"/>
      <c r="W135" s="12">
        <f t="shared" si="65"/>
        <v>39.549937499999999</v>
      </c>
      <c r="X135" s="12">
        <f t="shared" si="63"/>
        <v>7.9099874999999997</v>
      </c>
      <c r="Y135" s="12">
        <f t="shared" si="63"/>
        <v>5.1414918749999998</v>
      </c>
      <c r="Z135" s="12">
        <f t="shared" si="63"/>
        <v>1.3035991323697755</v>
      </c>
      <c r="AA135" s="12">
        <f t="shared" si="63"/>
        <v>14.355078507369775</v>
      </c>
      <c r="AC135" s="13">
        <f t="shared" si="66"/>
        <v>0.8928945823367741</v>
      </c>
    </row>
    <row r="136" spans="16:29">
      <c r="P136">
        <v>2023</v>
      </c>
      <c r="Q136" s="12">
        <f t="shared" si="64"/>
        <v>38.389478739695583</v>
      </c>
      <c r="R136" s="12">
        <f t="shared" si="62"/>
        <v>7.6778957479391163</v>
      </c>
      <c r="S136" s="12">
        <f t="shared" si="62"/>
        <v>4.9906322361604261</v>
      </c>
      <c r="T136" s="12">
        <f t="shared" si="62"/>
        <v>0</v>
      </c>
      <c r="U136" s="12">
        <f t="shared" si="62"/>
        <v>12.668527984099542</v>
      </c>
      <c r="V136" s="12"/>
      <c r="W136" s="12">
        <f t="shared" si="65"/>
        <v>39.549937499999999</v>
      </c>
      <c r="X136" s="12">
        <f t="shared" si="63"/>
        <v>7.9099874999999997</v>
      </c>
      <c r="Y136" s="12">
        <f t="shared" si="63"/>
        <v>5.1414918749999998</v>
      </c>
      <c r="Z136" s="12">
        <f t="shared" si="63"/>
        <v>1.3065206864049568</v>
      </c>
      <c r="AA136" s="12">
        <f t="shared" si="63"/>
        <v>14.358000061404956</v>
      </c>
      <c r="AC136" s="13">
        <f t="shared" si="66"/>
        <v>0.88233235338626292</v>
      </c>
    </row>
    <row r="137" spans="16:29">
      <c r="P137">
        <v>2024</v>
      </c>
      <c r="Q137" s="12">
        <f t="shared" si="64"/>
        <v>36.643545803998371</v>
      </c>
      <c r="R137" s="12">
        <f t="shared" si="62"/>
        <v>7.3287091607996739</v>
      </c>
      <c r="S137" s="12">
        <f t="shared" si="62"/>
        <v>4.7636609545197883</v>
      </c>
      <c r="T137" s="12">
        <f t="shared" si="62"/>
        <v>0</v>
      </c>
      <c r="U137" s="12">
        <f t="shared" si="62"/>
        <v>12.092370115319461</v>
      </c>
      <c r="V137" s="12"/>
      <c r="W137" s="12">
        <f t="shared" si="65"/>
        <v>39.549937499999999</v>
      </c>
      <c r="X137" s="12">
        <f t="shared" si="63"/>
        <v>7.9099874999999997</v>
      </c>
      <c r="Y137" s="12">
        <f t="shared" si="63"/>
        <v>5.1414918749999998</v>
      </c>
      <c r="Z137" s="12">
        <f t="shared" si="63"/>
        <v>1.2977282549494522</v>
      </c>
      <c r="AA137" s="12">
        <f t="shared" si="63"/>
        <v>14.349207629949452</v>
      </c>
      <c r="AC137" s="13">
        <f t="shared" si="66"/>
        <v>0.84272040848307517</v>
      </c>
    </row>
    <row r="138" spans="16:29">
      <c r="P138">
        <v>2025</v>
      </c>
      <c r="Q138" s="12">
        <f t="shared" si="64"/>
        <v>35.144639097020494</v>
      </c>
      <c r="R138" s="12">
        <f t="shared" si="62"/>
        <v>7.0289278194040987</v>
      </c>
      <c r="S138" s="12">
        <f t="shared" si="62"/>
        <v>4.5688030826126642</v>
      </c>
      <c r="T138" s="12">
        <f t="shared" si="62"/>
        <v>0</v>
      </c>
      <c r="U138" s="12">
        <f t="shared" si="62"/>
        <v>11.597730902016764</v>
      </c>
      <c r="V138" s="12"/>
      <c r="W138" s="12">
        <f t="shared" si="65"/>
        <v>39.549937499999999</v>
      </c>
      <c r="X138" s="12">
        <f t="shared" si="63"/>
        <v>7.9099874999999997</v>
      </c>
      <c r="Y138" s="12">
        <f t="shared" si="63"/>
        <v>5.1414918749999998</v>
      </c>
      <c r="Z138" s="12">
        <f t="shared" si="63"/>
        <v>1.3063449151535007</v>
      </c>
      <c r="AA138" s="12">
        <f t="shared" si="63"/>
        <v>14.3578242901535</v>
      </c>
      <c r="AC138" s="13">
        <f t="shared" si="66"/>
        <v>0.80776381348881743</v>
      </c>
    </row>
    <row r="139" spans="16:29">
      <c r="P139">
        <v>2026</v>
      </c>
      <c r="Q139" s="12">
        <f t="shared" si="64"/>
        <v>34.290721269348722</v>
      </c>
      <c r="R139" s="12">
        <f t="shared" si="62"/>
        <v>6.8581442538697441</v>
      </c>
      <c r="S139" s="12">
        <f t="shared" si="62"/>
        <v>4.4577937650153343</v>
      </c>
      <c r="T139" s="12">
        <f t="shared" si="62"/>
        <v>0</v>
      </c>
      <c r="U139" s="12">
        <f t="shared" si="62"/>
        <v>11.315938018885078</v>
      </c>
      <c r="V139" s="12"/>
      <c r="W139" s="12">
        <f t="shared" si="65"/>
        <v>39.549937499999999</v>
      </c>
      <c r="X139" s="12">
        <f t="shared" si="63"/>
        <v>7.9099874999999997</v>
      </c>
      <c r="Y139" s="12">
        <f t="shared" si="63"/>
        <v>5.1414918749999998</v>
      </c>
      <c r="Z139" s="12">
        <f t="shared" si="63"/>
        <v>1.3307653000375508</v>
      </c>
      <c r="AA139" s="12">
        <f t="shared" si="63"/>
        <v>14.382244675037551</v>
      </c>
      <c r="AC139" s="13">
        <f t="shared" si="66"/>
        <v>0.78679915928043631</v>
      </c>
    </row>
    <row r="140" spans="16:29">
      <c r="P140">
        <v>2027</v>
      </c>
      <c r="Q140" s="12">
        <f t="shared" si="64"/>
        <v>33.436803441676965</v>
      </c>
      <c r="R140" s="12">
        <f t="shared" si="62"/>
        <v>6.6873606883353931</v>
      </c>
      <c r="S140" s="12">
        <f t="shared" si="62"/>
        <v>4.3467844474180053</v>
      </c>
      <c r="T140" s="12">
        <f t="shared" si="62"/>
        <v>0</v>
      </c>
      <c r="U140" s="12">
        <f t="shared" si="62"/>
        <v>11.034145135753398</v>
      </c>
      <c r="V140" s="12"/>
      <c r="W140" s="12">
        <f t="shared" si="65"/>
        <v>39.549937499999999</v>
      </c>
      <c r="X140" s="12">
        <f t="shared" si="63"/>
        <v>7.9099874999999997</v>
      </c>
      <c r="Y140" s="12">
        <f t="shared" si="63"/>
        <v>5.1414918749999998</v>
      </c>
      <c r="Z140" s="12">
        <f t="shared" si="63"/>
        <v>1.3366503569579589</v>
      </c>
      <c r="AA140" s="12">
        <f t="shared" si="63"/>
        <v>14.388129731957958</v>
      </c>
      <c r="AC140" s="13">
        <f t="shared" si="66"/>
        <v>0.7668922466861755</v>
      </c>
    </row>
    <row r="141" spans="16:29">
      <c r="P141">
        <v>2028</v>
      </c>
      <c r="Q141" s="12">
        <f t="shared" si="64"/>
        <v>32.476145885546231</v>
      </c>
      <c r="R141" s="12">
        <f t="shared" si="64"/>
        <v>6.4952291771092465</v>
      </c>
      <c r="S141" s="12">
        <f t="shared" si="64"/>
        <v>4.2218989651210101</v>
      </c>
      <c r="T141" s="12">
        <f t="shared" si="64"/>
        <v>0</v>
      </c>
      <c r="U141" s="12">
        <f t="shared" si="64"/>
        <v>10.717128142230257</v>
      </c>
      <c r="V141" s="12"/>
      <c r="W141" s="12">
        <f t="shared" si="65"/>
        <v>39.549937499999999</v>
      </c>
      <c r="X141" s="12">
        <f t="shared" si="65"/>
        <v>7.9099874999999997</v>
      </c>
      <c r="Y141" s="12">
        <f t="shared" si="65"/>
        <v>5.1414918749999998</v>
      </c>
      <c r="Z141" s="12">
        <f t="shared" si="65"/>
        <v>1.3353627866309805</v>
      </c>
      <c r="AA141" s="12">
        <f t="shared" si="65"/>
        <v>14.38684216163098</v>
      </c>
      <c r="AC141" s="13">
        <f t="shared" si="66"/>
        <v>0.74492567735345872</v>
      </c>
    </row>
    <row r="142" spans="16:29">
      <c r="P142">
        <v>2029</v>
      </c>
      <c r="Q142" s="12">
        <f t="shared" ref="Q142:U143" si="67">B104</f>
        <v>31.622228057874466</v>
      </c>
      <c r="R142" s="12">
        <f t="shared" si="67"/>
        <v>6.3244456115748928</v>
      </c>
      <c r="S142" s="12">
        <f t="shared" si="67"/>
        <v>4.1108896475236811</v>
      </c>
      <c r="T142" s="12">
        <f t="shared" si="67"/>
        <v>0</v>
      </c>
      <c r="U142" s="12">
        <f t="shared" si="67"/>
        <v>10.435335259098574</v>
      </c>
      <c r="V142" s="12"/>
      <c r="W142" s="12">
        <f t="shared" ref="W142:AA143" si="68">J104</f>
        <v>39.549937499999999</v>
      </c>
      <c r="X142" s="12">
        <f t="shared" si="68"/>
        <v>7.9099874999999997</v>
      </c>
      <c r="Y142" s="12">
        <f t="shared" si="68"/>
        <v>5.1414918749999998</v>
      </c>
      <c r="Z142" s="12">
        <f t="shared" si="68"/>
        <v>1.3381738559847054</v>
      </c>
      <c r="AA142" s="12">
        <f t="shared" si="68"/>
        <v>14.389653230984704</v>
      </c>
      <c r="AC142" s="13">
        <f t="shared" si="66"/>
        <v>0.72519713238318728</v>
      </c>
    </row>
    <row r="143" spans="16:29">
      <c r="P143">
        <v>2030</v>
      </c>
      <c r="Q143" s="12">
        <f t="shared" si="67"/>
        <v>30.661570501743732</v>
      </c>
      <c r="R143" s="12">
        <f t="shared" si="67"/>
        <v>6.1323141003487462</v>
      </c>
      <c r="S143" s="12">
        <f t="shared" si="67"/>
        <v>3.9860041652266851</v>
      </c>
      <c r="T143" s="12">
        <f t="shared" si="67"/>
        <v>0</v>
      </c>
      <c r="U143" s="12">
        <f t="shared" si="67"/>
        <v>10.118318265575432</v>
      </c>
      <c r="V143" s="12"/>
      <c r="W143" s="12">
        <f t="shared" si="68"/>
        <v>39.549937499999999</v>
      </c>
      <c r="X143" s="12">
        <f t="shared" si="68"/>
        <v>7.9099874999999997</v>
      </c>
      <c r="Y143" s="12">
        <f t="shared" si="68"/>
        <v>5.1414918749999998</v>
      </c>
      <c r="Z143" s="12">
        <f t="shared" si="68"/>
        <v>1.3370621369201254</v>
      </c>
      <c r="AA143" s="12">
        <f t="shared" si="68"/>
        <v>14.388541511920124</v>
      </c>
      <c r="AC143" s="13">
        <f t="shared" si="66"/>
        <v>0.70322056319557869</v>
      </c>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E2" sqref="E2"/>
    </sheetView>
  </sheetViews>
  <sheetFormatPr defaultRowHeight="15"/>
  <cols>
    <col min="2" max="4" width="13.140625" customWidth="1"/>
    <col min="6" max="6" width="18.5703125" customWidth="1"/>
    <col min="7" max="9" width="15.85546875" customWidth="1"/>
    <col min="10" max="10" width="17.140625" customWidth="1"/>
  </cols>
  <sheetData>
    <row r="1" spans="1:11">
      <c r="A1" t="s">
        <v>245</v>
      </c>
    </row>
    <row r="2" spans="1:11">
      <c r="G2" t="s">
        <v>819</v>
      </c>
    </row>
    <row r="3" spans="1:11">
      <c r="B3" t="s">
        <v>772</v>
      </c>
      <c r="C3" t="s">
        <v>170</v>
      </c>
      <c r="E3" t="s">
        <v>818</v>
      </c>
      <c r="F3" t="s">
        <v>829</v>
      </c>
      <c r="G3" t="s">
        <v>825</v>
      </c>
      <c r="H3" t="s">
        <v>1084</v>
      </c>
      <c r="I3" t="s">
        <v>1085</v>
      </c>
    </row>
    <row r="4" spans="1:11">
      <c r="A4">
        <v>2009</v>
      </c>
      <c r="B4" s="13">
        <v>7.7463534041350025E-3</v>
      </c>
      <c r="C4" s="13">
        <f t="shared" ref="C4:C11" si="0">MAX(0,K$8+K$9*F4+K$10*G4+K$11*H4+K$12*I4)</f>
        <v>4.8992746165655521E-2</v>
      </c>
      <c r="D4" s="13"/>
      <c r="E4">
        <v>1.1628908837364871</v>
      </c>
      <c r="F4" s="13">
        <f>'Country Vehicle Prices'!P81</f>
        <v>1.1426074541039533</v>
      </c>
      <c r="G4" s="13">
        <f>'Country Petrol Prices'!P11/CPIs!P47*100</f>
        <v>1.5751273733053719</v>
      </c>
      <c r="H4" s="13">
        <f>'EV %sales'!Y93</f>
        <v>1.4321322001514472E-2</v>
      </c>
      <c r="I4">
        <v>1</v>
      </c>
    </row>
    <row r="5" spans="1:11">
      <c r="A5">
        <v>2010</v>
      </c>
      <c r="B5" s="13">
        <v>2.4841583154094411E-2</v>
      </c>
      <c r="C5" s="13">
        <f t="shared" si="0"/>
        <v>6.6716319800883384E-2</v>
      </c>
      <c r="D5" s="13"/>
      <c r="E5">
        <v>1.1775841094522819</v>
      </c>
      <c r="F5" s="13">
        <f>'Country Vehicle Prices'!P81</f>
        <v>1.1426074541039533</v>
      </c>
      <c r="G5" s="13">
        <f>'Country Petrol Prices'!P12/CPIs!P48*100</f>
        <v>1.3601306767899999</v>
      </c>
      <c r="H5" s="13">
        <f>'EV %sales'!Y94</f>
        <v>8.0906679848661303E-2</v>
      </c>
      <c r="I5">
        <v>1</v>
      </c>
    </row>
    <row r="6" spans="1:11">
      <c r="A6">
        <v>2011</v>
      </c>
      <c r="B6" s="13">
        <v>0.15469935260119766</v>
      </c>
      <c r="C6" s="13">
        <f t="shared" si="0"/>
        <v>6.9235824754531106E-2</v>
      </c>
      <c r="D6" s="13"/>
      <c r="E6">
        <v>1.1787470018026136</v>
      </c>
      <c r="F6" s="13">
        <f>'Country Vehicle Prices'!P82</f>
        <v>1.1583387410772226</v>
      </c>
      <c r="G6" s="13">
        <f>'Country Petrol Prices'!P13/CPIs!P49*100</f>
        <v>1.5029999999999999</v>
      </c>
      <c r="H6" s="13">
        <f>'EV %sales'!Y95</f>
        <v>0.11235312601225401</v>
      </c>
      <c r="I6">
        <v>1</v>
      </c>
    </row>
    <row r="7" spans="1:11">
      <c r="A7">
        <v>2012</v>
      </c>
      <c r="B7" s="13">
        <v>0.15720110398952525</v>
      </c>
      <c r="C7" s="13">
        <f t="shared" si="0"/>
        <v>0.15961811778228402</v>
      </c>
      <c r="D7" s="13"/>
      <c r="E7">
        <v>1.2097339784792158</v>
      </c>
      <c r="F7" s="13">
        <f>'Country Vehicle Prices'!P83</f>
        <v>1.1583387410772226</v>
      </c>
      <c r="G7" s="13">
        <f>'Country Petrol Prices'!P14/CPIs!P50*100</f>
        <v>1.6014614092780999</v>
      </c>
      <c r="H7" s="13">
        <f>'EV %sales'!Y96</f>
        <v>0.20861573121263374</v>
      </c>
      <c r="I7">
        <v>1</v>
      </c>
    </row>
    <row r="8" spans="1:11">
      <c r="A8">
        <v>2013</v>
      </c>
      <c r="B8" s="13">
        <v>0.53953729281767959</v>
      </c>
      <c r="C8" s="13">
        <f t="shared" si="0"/>
        <v>0.55821935102095455</v>
      </c>
      <c r="D8" s="13"/>
      <c r="E8">
        <v>1.2238753979220827</v>
      </c>
      <c r="F8" s="13">
        <f>'Country Vehicle Prices'!P84</f>
        <v>1.1908673045683811</v>
      </c>
      <c r="G8" s="13">
        <f>'Country Petrol Prices'!P15/CPIs!P51*100</f>
        <v>1.678911919823193</v>
      </c>
      <c r="H8" s="13">
        <f>'EV %sales'!Y97</f>
        <v>0.33143325566703208</v>
      </c>
      <c r="I8">
        <v>0</v>
      </c>
      <c r="J8" s="41" t="s">
        <v>159</v>
      </c>
      <c r="K8" s="41">
        <v>3.4053924523588792</v>
      </c>
    </row>
    <row r="9" spans="1:11">
      <c r="A9">
        <v>2014</v>
      </c>
      <c r="B9" s="13">
        <v>0.68587636176110367</v>
      </c>
      <c r="C9" s="13">
        <f t="shared" si="0"/>
        <v>0.66475580364260423</v>
      </c>
      <c r="D9" s="13"/>
      <c r="E9">
        <v>1.2777686792494223</v>
      </c>
      <c r="F9" s="13">
        <f>'Country Vehicle Prices'!P85</f>
        <v>1.2047363968885034</v>
      </c>
      <c r="G9" s="13">
        <f>'Country Petrol Prices'!P16/CPIs!P52*100</f>
        <v>1.6166820216655529</v>
      </c>
      <c r="H9" s="13">
        <f>'EV %sales'!Y98</f>
        <v>0.53171664809873675</v>
      </c>
      <c r="I9">
        <v>0</v>
      </c>
      <c r="J9" t="s">
        <v>829</v>
      </c>
      <c r="K9" s="41">
        <v>-2.8301802314177236</v>
      </c>
    </row>
    <row r="10" spans="1:11">
      <c r="A10">
        <v>2015</v>
      </c>
      <c r="B10" s="13">
        <v>0.56146493717782087</v>
      </c>
      <c r="C10" s="13">
        <f t="shared" si="0"/>
        <v>0.40437361112862247</v>
      </c>
      <c r="D10" s="13"/>
      <c r="E10">
        <v>1.2276214833759591</v>
      </c>
      <c r="F10" s="13">
        <f>'Country Vehicle Prices'!P86</f>
        <v>1.3403834701358177</v>
      </c>
      <c r="G10" s="13">
        <f>'Country Petrol Prices'!P17/CPIs!P53*100</f>
        <v>1.5681157348607064</v>
      </c>
      <c r="H10" s="13">
        <f>'EV %sales'!Y99</f>
        <v>0.70056548793611539</v>
      </c>
      <c r="I10">
        <v>0</v>
      </c>
      <c r="J10" t="s">
        <v>825</v>
      </c>
      <c r="K10" s="41">
        <v>0.1582263142247774</v>
      </c>
    </row>
    <row r="11" spans="1:11">
      <c r="A11">
        <v>2016</v>
      </c>
      <c r="B11" s="13">
        <v>1.1094416919245746</v>
      </c>
      <c r="C11" s="13">
        <f t="shared" si="0"/>
        <v>1.0818021407920264</v>
      </c>
      <c r="D11" s="13"/>
      <c r="E11">
        <v>1.3043478260869565</v>
      </c>
      <c r="F11" s="13">
        <f>'Country Vehicle Prices'!P87</f>
        <v>1.1988491048593348</v>
      </c>
      <c r="G11" s="13">
        <f>'Country Petrol Prices'!P18/CPIs!P54*100</f>
        <v>1.4318566154697727</v>
      </c>
      <c r="H11" s="13">
        <f>'EV %sales'!Y100</f>
        <v>1.0845968500822225</v>
      </c>
      <c r="I11">
        <v>0</v>
      </c>
      <c r="J11" t="s">
        <v>1084</v>
      </c>
      <c r="K11" s="41">
        <v>0.77707337120777231</v>
      </c>
    </row>
    <row r="12" spans="1:11" ht="15.75" thickBot="1">
      <c r="A12">
        <v>2017</v>
      </c>
      <c r="B12" s="13">
        <v>2.3848192771084338</v>
      </c>
      <c r="C12" s="13">
        <f>MAX(0,K$8+K$9*F12+K$10*G12+K$11*H12+K$12*I12)</f>
        <v>2.4258261215495951</v>
      </c>
      <c r="D12" s="13"/>
      <c r="E12">
        <v>1.3043478260869563</v>
      </c>
      <c r="F12" s="13">
        <f>'Country Vehicle Prices'!P88</f>
        <v>1.1988491048593348</v>
      </c>
      <c r="G12" s="13">
        <f>'Country Petrol Prices'!P19/CPIs!P55*100</f>
        <v>1.348501694148325</v>
      </c>
      <c r="H12" s="13">
        <f>'Global EV uptake'!C69</f>
        <v>2.8311667018084488</v>
      </c>
      <c r="I12">
        <v>0</v>
      </c>
      <c r="J12" t="s">
        <v>1085</v>
      </c>
      <c r="K12" s="42">
        <v>-0.38296999399821413</v>
      </c>
    </row>
    <row r="13" spans="1:11">
      <c r="B13" s="13"/>
      <c r="C13" s="13"/>
      <c r="D13" s="13"/>
      <c r="F13" s="13"/>
      <c r="G13" s="13"/>
      <c r="H13" s="13"/>
    </row>
    <row r="14" spans="1:11">
      <c r="B14" s="13"/>
      <c r="C14" s="13"/>
      <c r="D14" s="13"/>
      <c r="F14" s="13"/>
      <c r="G14" s="13"/>
      <c r="H14" s="13"/>
    </row>
    <row r="15" spans="1:11">
      <c r="B15" s="13"/>
      <c r="C15" s="13"/>
      <c r="D15" s="13"/>
      <c r="G15" t="s">
        <v>819</v>
      </c>
    </row>
    <row r="16" spans="1:11">
      <c r="B16" s="13" t="s">
        <v>773</v>
      </c>
      <c r="C16" t="s">
        <v>170</v>
      </c>
      <c r="D16" s="13"/>
      <c r="F16" t="s">
        <v>818</v>
      </c>
      <c r="G16" t="s">
        <v>825</v>
      </c>
      <c r="H16" t="s">
        <v>826</v>
      </c>
    </row>
    <row r="17" spans="1:11">
      <c r="A17">
        <v>2009</v>
      </c>
      <c r="B17" s="13">
        <v>0</v>
      </c>
      <c r="C17" s="13"/>
      <c r="D17" s="13"/>
      <c r="F17" s="13">
        <f>'Country Vehicle Prices'!P107</f>
        <v>1.1628908837364871</v>
      </c>
      <c r="G17" s="13">
        <f t="shared" ref="G17:G25" si="1">G4</f>
        <v>1.5751273733053719</v>
      </c>
      <c r="H17" s="13">
        <f>'EV %sales'!Y105</f>
        <v>1.0151473904868031E-3</v>
      </c>
    </row>
    <row r="18" spans="1:11">
      <c r="A18">
        <v>2010</v>
      </c>
      <c r="B18" s="13">
        <v>0</v>
      </c>
      <c r="C18" s="13"/>
      <c r="D18" s="13"/>
      <c r="F18" s="13">
        <f>'Country Vehicle Prices'!P108</f>
        <v>1.1775841094522819</v>
      </c>
      <c r="G18" s="13">
        <f t="shared" si="1"/>
        <v>1.3601306767899999</v>
      </c>
      <c r="H18" s="13">
        <f>'EV %sales'!Y106</f>
        <v>2.6821460370472336E-3</v>
      </c>
    </row>
    <row r="19" spans="1:11">
      <c r="A19">
        <v>2011</v>
      </c>
      <c r="B19" s="13">
        <v>3.597659362818553E-3</v>
      </c>
      <c r="C19" s="13"/>
      <c r="D19" s="13"/>
      <c r="F19" s="13">
        <f>'Country Vehicle Prices'!P109</f>
        <v>1.1787470018026136</v>
      </c>
      <c r="G19" s="13">
        <f t="shared" si="1"/>
        <v>1.5029999999999999</v>
      </c>
      <c r="H19" s="13">
        <f>'EV %sales'!Y107</f>
        <v>2.1436839068631974E-2</v>
      </c>
    </row>
    <row r="20" spans="1:11">
      <c r="A20">
        <v>2012</v>
      </c>
      <c r="B20" s="13">
        <v>0.86162124085398006</v>
      </c>
      <c r="C20" s="13">
        <f t="shared" ref="C20:C25" si="2">K$23+K$24*F20+K$25*G20+K$26*H20+K$27*I20</f>
        <v>1.0248848796745316</v>
      </c>
      <c r="D20" s="13"/>
      <c r="F20" s="13">
        <f>'Country Vehicle Prices'!P110</f>
        <v>1.2097339784792158</v>
      </c>
      <c r="G20" s="13">
        <f t="shared" si="1"/>
        <v>1.6014614092780999</v>
      </c>
      <c r="H20" s="13">
        <f>'EV %sales'!Y108</f>
        <v>0.12287122991695917</v>
      </c>
    </row>
    <row r="21" spans="1:11">
      <c r="A21">
        <v>2013</v>
      </c>
      <c r="B21" s="13">
        <v>4.8366520871700427</v>
      </c>
      <c r="C21" s="13">
        <f t="shared" si="2"/>
        <v>5.8948560090173023</v>
      </c>
      <c r="D21" s="13"/>
      <c r="F21" s="13">
        <f>'Country Vehicle Prices'!P111</f>
        <v>1.2238753979220827</v>
      </c>
      <c r="G21" s="13">
        <f t="shared" si="1"/>
        <v>1.678911919823193</v>
      </c>
      <c r="H21" s="13">
        <f>'EV %sales'!Y109</f>
        <v>0.17542413521461303</v>
      </c>
    </row>
    <row r="22" spans="1:11">
      <c r="A22">
        <v>2014</v>
      </c>
      <c r="B22" s="13">
        <v>3.2050538258235028</v>
      </c>
      <c r="C22" s="13">
        <f t="shared" si="2"/>
        <v>2.4577633235647767</v>
      </c>
      <c r="D22" s="13"/>
      <c r="F22" s="13">
        <f>'Country Vehicle Prices'!P112</f>
        <v>1.3403834701358177</v>
      </c>
      <c r="G22" s="13">
        <f t="shared" si="1"/>
        <v>1.6166820216655529</v>
      </c>
      <c r="H22" s="13">
        <f>'EV %sales'!Y110</f>
        <v>0.24103968139051182</v>
      </c>
    </row>
    <row r="23" spans="1:11">
      <c r="A23">
        <v>2015</v>
      </c>
      <c r="B23" s="13">
        <v>9.1138580156856506</v>
      </c>
      <c r="C23" s="13">
        <f t="shared" si="2"/>
        <v>7.5271623215153962</v>
      </c>
      <c r="D23" s="13"/>
      <c r="F23" s="13">
        <f>'Country Vehicle Prices'!P113</f>
        <v>1.2276214833759591</v>
      </c>
      <c r="G23" s="13">
        <f t="shared" si="1"/>
        <v>1.5681157348607064</v>
      </c>
      <c r="H23" s="13">
        <f>'EV %sales'!Y111</f>
        <v>0.37076131341217766</v>
      </c>
      <c r="J23" s="41" t="s">
        <v>159</v>
      </c>
      <c r="K23" s="41">
        <v>-44.015964468442782</v>
      </c>
    </row>
    <row r="24" spans="1:11">
      <c r="A24">
        <v>2016</v>
      </c>
      <c r="B24" s="13">
        <v>4.8422398868723002</v>
      </c>
      <c r="C24" s="13">
        <f t="shared" si="2"/>
        <v>1.7744784503015829</v>
      </c>
      <c r="D24" s="13"/>
      <c r="F24" s="13">
        <f>'Country Vehicle Prices'!P114</f>
        <v>1.3043478260869565</v>
      </c>
      <c r="G24" s="13">
        <f t="shared" si="1"/>
        <v>1.4318566154697727</v>
      </c>
      <c r="H24" s="13">
        <f>'EV %sales'!Y112</f>
        <v>0.43567314315375177</v>
      </c>
      <c r="J24" t="s">
        <v>818</v>
      </c>
      <c r="K24" s="41">
        <v>-24.952103793910805</v>
      </c>
    </row>
    <row r="25" spans="1:11">
      <c r="A25">
        <v>2017</v>
      </c>
      <c r="B25" s="13">
        <v>0.27903614457831327</v>
      </c>
      <c r="C25" s="13">
        <f t="shared" si="2"/>
        <v>2.9082849654126832</v>
      </c>
      <c r="D25" s="13"/>
      <c r="F25" s="13">
        <f>'Country Vehicle Prices'!P115</f>
        <v>1.3043478260869563</v>
      </c>
      <c r="G25" s="13">
        <f t="shared" si="1"/>
        <v>1.348501694148325</v>
      </c>
      <c r="H25" s="13">
        <f>'EV %sales'!Y113</f>
        <v>0.57779084727047836</v>
      </c>
      <c r="J25" t="s">
        <v>825</v>
      </c>
      <c r="K25" s="41">
        <v>44.364960168593441</v>
      </c>
    </row>
    <row r="26" spans="1:11" ht="15.75" thickBot="1">
      <c r="D26" s="13"/>
      <c r="H26" s="13"/>
      <c r="I26" s="13"/>
      <c r="J26" t="s">
        <v>826</v>
      </c>
      <c r="K26" s="42">
        <v>33.998890633814312</v>
      </c>
    </row>
    <row r="27" spans="1:11">
      <c r="H27" s="13"/>
      <c r="I27" s="13"/>
      <c r="J27" s="13"/>
      <c r="K27" s="13"/>
    </row>
    <row r="28" spans="1:11">
      <c r="H28" s="13"/>
    </row>
    <row r="29" spans="1:11">
      <c r="H29" s="13"/>
    </row>
    <row r="30" spans="1:11">
      <c r="B30" s="13" t="s">
        <v>938</v>
      </c>
      <c r="C30" t="str">
        <f>B3</f>
        <v>BEV %sales</v>
      </c>
      <c r="D30" s="13" t="str">
        <f>B16</f>
        <v>PHEV %sales</v>
      </c>
      <c r="H30" s="13"/>
    </row>
    <row r="31" spans="1:11">
      <c r="A31">
        <v>2009</v>
      </c>
      <c r="B31" s="13">
        <f>B4+B17</f>
        <v>7.7463534041350025E-3</v>
      </c>
      <c r="C31">
        <f t="shared" ref="C31:C39" si="3">B4</f>
        <v>7.7463534041350025E-3</v>
      </c>
      <c r="D31" s="13">
        <f t="shared" ref="D31:D39" si="4">B17</f>
        <v>0</v>
      </c>
      <c r="H31" s="13"/>
    </row>
    <row r="32" spans="1:11">
      <c r="A32">
        <v>2010</v>
      </c>
      <c r="B32" s="13">
        <f t="shared" ref="B32:B39" si="5">B5+B18</f>
        <v>2.4841583154094411E-2</v>
      </c>
      <c r="C32">
        <f t="shared" si="3"/>
        <v>2.4841583154094411E-2</v>
      </c>
      <c r="D32" s="13">
        <f t="shared" si="4"/>
        <v>0</v>
      </c>
    </row>
    <row r="33" spans="1:4">
      <c r="A33">
        <v>2011</v>
      </c>
      <c r="B33" s="13">
        <f t="shared" si="5"/>
        <v>0.15829701196401622</v>
      </c>
      <c r="C33">
        <f t="shared" si="3"/>
        <v>0.15469935260119766</v>
      </c>
      <c r="D33" s="13">
        <f t="shared" si="4"/>
        <v>3.597659362818553E-3</v>
      </c>
    </row>
    <row r="34" spans="1:4">
      <c r="A34">
        <v>2012</v>
      </c>
      <c r="B34" s="13">
        <f t="shared" si="5"/>
        <v>1.0188223448435054</v>
      </c>
      <c r="C34">
        <f t="shared" si="3"/>
        <v>0.15720110398952525</v>
      </c>
      <c r="D34" s="13">
        <f t="shared" si="4"/>
        <v>0.86162124085398006</v>
      </c>
    </row>
    <row r="35" spans="1:4">
      <c r="A35">
        <v>2013</v>
      </c>
      <c r="B35" s="13">
        <f t="shared" si="5"/>
        <v>5.3761893799877223</v>
      </c>
      <c r="C35">
        <f t="shared" si="3"/>
        <v>0.53953729281767959</v>
      </c>
      <c r="D35" s="13">
        <f t="shared" si="4"/>
        <v>4.8366520871700427</v>
      </c>
    </row>
    <row r="36" spans="1:4">
      <c r="A36">
        <v>2014</v>
      </c>
      <c r="B36" s="13">
        <f t="shared" si="5"/>
        <v>3.8909301875846065</v>
      </c>
      <c r="C36">
        <f t="shared" si="3"/>
        <v>0.68587636176110367</v>
      </c>
      <c r="D36" s="13">
        <f t="shared" si="4"/>
        <v>3.2050538258235028</v>
      </c>
    </row>
    <row r="37" spans="1:4">
      <c r="A37">
        <v>2015</v>
      </c>
      <c r="B37" s="13">
        <f t="shared" si="5"/>
        <v>9.6753229528634712</v>
      </c>
      <c r="C37">
        <f t="shared" si="3"/>
        <v>0.56146493717782087</v>
      </c>
      <c r="D37" s="13">
        <f t="shared" si="4"/>
        <v>9.1138580156856506</v>
      </c>
    </row>
    <row r="38" spans="1:4">
      <c r="A38">
        <v>2016</v>
      </c>
      <c r="B38" s="13">
        <f t="shared" si="5"/>
        <v>5.9516815787968751</v>
      </c>
      <c r="C38">
        <f t="shared" si="3"/>
        <v>1.1094416919245746</v>
      </c>
      <c r="D38" s="13">
        <f t="shared" si="4"/>
        <v>4.8422398868723002</v>
      </c>
    </row>
    <row r="39" spans="1:4">
      <c r="A39">
        <v>2017</v>
      </c>
      <c r="B39" s="13">
        <f t="shared" si="5"/>
        <v>2.6638554216867472</v>
      </c>
      <c r="C39">
        <f t="shared" si="3"/>
        <v>2.3848192771084338</v>
      </c>
      <c r="D39" s="13">
        <f t="shared" si="4"/>
        <v>0.27903614457831327</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140625" customWidth="1"/>
    <col min="2" max="7" width="13.5703125" customWidth="1"/>
  </cols>
  <sheetData>
    <row r="1" spans="1:7">
      <c r="A1" t="s">
        <v>148</v>
      </c>
    </row>
    <row r="2" spans="1:7" ht="15.75" thickBot="1"/>
    <row r="3" spans="1:7">
      <c r="A3" s="44" t="s">
        <v>149</v>
      </c>
      <c r="B3" s="44"/>
    </row>
    <row r="4" spans="1:7">
      <c r="A4" s="41" t="s">
        <v>150</v>
      </c>
      <c r="B4" s="41">
        <v>0.99887901559245929</v>
      </c>
    </row>
    <row r="5" spans="1:7">
      <c r="A5" s="41" t="s">
        <v>151</v>
      </c>
      <c r="B5" s="41">
        <v>0.99775928779096046</v>
      </c>
    </row>
    <row r="6" spans="1:7">
      <c r="A6" s="41" t="s">
        <v>152</v>
      </c>
      <c r="B6" s="41">
        <v>0.99626547965160073</v>
      </c>
    </row>
    <row r="7" spans="1:7">
      <c r="A7" s="41" t="s">
        <v>153</v>
      </c>
      <c r="B7" s="41">
        <v>0.12777115136003231</v>
      </c>
    </row>
    <row r="8" spans="1:7" ht="15.75" thickBot="1">
      <c r="A8" s="42" t="s">
        <v>154</v>
      </c>
      <c r="B8" s="42">
        <v>6</v>
      </c>
    </row>
    <row r="10" spans="1:7" ht="15.75" thickBot="1">
      <c r="A10" t="s">
        <v>155</v>
      </c>
    </row>
    <row r="11" spans="1:7">
      <c r="A11" s="43"/>
      <c r="B11" s="43" t="s">
        <v>160</v>
      </c>
      <c r="C11" s="43" t="s">
        <v>161</v>
      </c>
      <c r="D11" s="43" t="s">
        <v>162</v>
      </c>
      <c r="E11" s="43" t="s">
        <v>163</v>
      </c>
      <c r="F11" s="43" t="s">
        <v>164</v>
      </c>
    </row>
    <row r="12" spans="1:7">
      <c r="A12" s="41" t="s">
        <v>156</v>
      </c>
      <c r="B12" s="41">
        <v>2</v>
      </c>
      <c r="C12" s="41">
        <v>21.808538884192881</v>
      </c>
      <c r="D12" s="41">
        <v>10.904269442096441</v>
      </c>
      <c r="E12" s="41">
        <v>667.93001156002538</v>
      </c>
      <c r="F12" s="41">
        <v>1.0606671555797009E-4</v>
      </c>
    </row>
    <row r="13" spans="1:7">
      <c r="A13" s="41" t="s">
        <v>157</v>
      </c>
      <c r="B13" s="41">
        <v>3</v>
      </c>
      <c r="C13" s="41">
        <v>4.8976401359604863E-2</v>
      </c>
      <c r="D13" s="41">
        <v>1.6325467119868289E-2</v>
      </c>
      <c r="E13" s="41"/>
      <c r="F13" s="41"/>
    </row>
    <row r="14" spans="1:7" ht="15.75" thickBot="1">
      <c r="A14" s="42" t="s">
        <v>158</v>
      </c>
      <c r="B14" s="42">
        <v>5</v>
      </c>
      <c r="C14" s="42">
        <v>21.857515285552488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-5.9163522587934807</v>
      </c>
      <c r="C17" s="41">
        <v>0.25073366147505155</v>
      </c>
      <c r="D17" s="41">
        <v>-23.596162653183161</v>
      </c>
      <c r="E17" s="41">
        <v>1.6678065130447942E-4</v>
      </c>
      <c r="F17" s="41">
        <v>-6.7142986733650147</v>
      </c>
      <c r="G17" s="41">
        <v>-5.1184058442219467</v>
      </c>
    </row>
    <row r="18" spans="1:7">
      <c r="A18" s="41" t="s">
        <v>329</v>
      </c>
      <c r="B18" s="41">
        <v>0.59557302193179829</v>
      </c>
      <c r="C18" s="41">
        <v>5.4839063545086657E-2</v>
      </c>
      <c r="D18" s="41">
        <v>10.860379142728068</v>
      </c>
      <c r="E18" s="41">
        <v>1.6704621359528772E-3</v>
      </c>
      <c r="F18" s="41">
        <v>0.42105064676751869</v>
      </c>
      <c r="G18" s="41">
        <v>0.77009539709607788</v>
      </c>
    </row>
    <row r="19" spans="1:7" ht="15.75" thickBot="1">
      <c r="A19" s="42" t="s">
        <v>1336</v>
      </c>
      <c r="B19" s="42">
        <v>-1.2773898154901597</v>
      </c>
      <c r="C19" s="42">
        <v>0.12262387390924441</v>
      </c>
      <c r="D19" s="42">
        <v>-10.417137990890527</v>
      </c>
      <c r="E19" s="42">
        <v>1.888001895388467E-3</v>
      </c>
      <c r="F19" s="42">
        <v>-1.6676337099522101</v>
      </c>
      <c r="G19" s="42">
        <v>-0.88714592102810941</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143"/>
  <sheetViews>
    <sheetView topLeftCell="I69" zoomScale="75" zoomScaleNormal="75" workbookViewId="0">
      <selection activeCell="AB81" sqref="AB81:AE103"/>
    </sheetView>
  </sheetViews>
  <sheetFormatPr defaultRowHeight="15"/>
  <cols>
    <col min="2" max="2" width="13.140625" customWidth="1"/>
    <col min="3" max="3" width="15.42578125" customWidth="1"/>
    <col min="4" max="4" width="13.140625" customWidth="1"/>
    <col min="5" max="5" width="13.42578125" customWidth="1"/>
    <col min="6" max="6" width="19.85546875" customWidth="1"/>
    <col min="7" max="7" width="18.7109375" customWidth="1"/>
    <col min="8" max="11" width="10.42578125" customWidth="1"/>
    <col min="12" max="12" width="14.42578125" customWidth="1"/>
    <col min="13" max="14" width="10.42578125" customWidth="1"/>
    <col min="15" max="15" width="14.85546875" customWidth="1"/>
    <col min="22" max="22" width="14.140625" customWidth="1"/>
    <col min="25" max="25" width="10.85546875" customWidth="1"/>
    <col min="26" max="26" width="10.7109375" customWidth="1"/>
    <col min="27" max="27" width="17.28515625" customWidth="1"/>
    <col min="28" max="28" width="17.7109375" customWidth="1"/>
    <col min="45" max="45" width="13.85546875" customWidth="1"/>
    <col min="47" max="47" width="12.42578125" customWidth="1"/>
  </cols>
  <sheetData>
    <row r="1" spans="1:47">
      <c r="A1" t="s">
        <v>245</v>
      </c>
      <c r="AR1" t="s">
        <v>324</v>
      </c>
      <c r="AS1" t="s">
        <v>1127</v>
      </c>
      <c r="AT1" t="s">
        <v>5</v>
      </c>
      <c r="AU1" t="s">
        <v>1128</v>
      </c>
    </row>
    <row r="2" spans="1:47">
      <c r="AQ2" s="126">
        <v>41334</v>
      </c>
      <c r="AR2">
        <v>1</v>
      </c>
      <c r="AS2">
        <v>1</v>
      </c>
      <c r="AT2">
        <v>0.1</v>
      </c>
      <c r="AU2">
        <v>0.1</v>
      </c>
    </row>
    <row r="3" spans="1:47">
      <c r="B3" t="s">
        <v>772</v>
      </c>
      <c r="C3" t="s">
        <v>170</v>
      </c>
      <c r="D3" t="s">
        <v>943</v>
      </c>
      <c r="P3" t="s">
        <v>323</v>
      </c>
      <c r="Q3" t="s">
        <v>170</v>
      </c>
      <c r="R3" t="s">
        <v>943</v>
      </c>
      <c r="U3" t="s">
        <v>329</v>
      </c>
      <c r="V3" t="s">
        <v>1075</v>
      </c>
      <c r="X3" t="s">
        <v>1095</v>
      </c>
      <c r="AQ3" s="126">
        <v>41426</v>
      </c>
      <c r="AR3">
        <v>0.5</v>
      </c>
      <c r="AS3">
        <v>0.5</v>
      </c>
      <c r="AT3">
        <v>0.1</v>
      </c>
      <c r="AU3">
        <v>0.1</v>
      </c>
    </row>
    <row r="4" spans="1:47">
      <c r="A4">
        <v>2009</v>
      </c>
      <c r="B4" s="13">
        <v>7.7463534041350025E-3</v>
      </c>
      <c r="C4" s="13">
        <f>58.5*EXP(Q4)/(1+EXP(Q4))</f>
        <v>7.9446512425175829E-3</v>
      </c>
      <c r="D4" s="13">
        <f>58.5*EXP(R4)/(1+EXP(R4))</f>
        <v>7.9446512425175829E-3</v>
      </c>
      <c r="P4">
        <f>LN(B4/(58.5-B4))</f>
        <v>-8.9294274040213537</v>
      </c>
      <c r="Q4">
        <f>Z$22+Z$23*U4+Z$24*V4</f>
        <v>-8.9041473154416888</v>
      </c>
      <c r="R4">
        <f>Z$22+Z$23*U4</f>
        <v>-8.9041473154416888</v>
      </c>
      <c r="U4">
        <v>1</v>
      </c>
      <c r="V4">
        <v>0</v>
      </c>
      <c r="X4">
        <f t="shared" ref="X4:X12" si="0">B4/(B4+B40)*100</f>
        <v>100</v>
      </c>
      <c r="AQ4" s="126">
        <v>41518</v>
      </c>
      <c r="AR4">
        <v>2.5</v>
      </c>
      <c r="AS4">
        <v>2.5</v>
      </c>
      <c r="AT4">
        <v>0.5</v>
      </c>
      <c r="AU4">
        <v>0.5</v>
      </c>
    </row>
    <row r="5" spans="1:47">
      <c r="A5">
        <v>2010</v>
      </c>
      <c r="B5" s="13">
        <v>2.4841583154094411E-2</v>
      </c>
      <c r="C5" s="13">
        <f t="shared" ref="C5:C35" si="1">58.5*EXP(Q5)/(1+EXP(Q5))</f>
        <v>2.5515937260344089E-2</v>
      </c>
      <c r="D5" s="13">
        <f t="shared" ref="D5:D35" si="2">58.5*EXP(R5)/(1+EXP(R5))</f>
        <v>1.6257345466927944E-2</v>
      </c>
      <c r="P5">
        <f t="shared" ref="P5:P12" si="3">LN(B5/(58.5-B5))</f>
        <v>-7.7638383114906127</v>
      </c>
      <c r="Q5">
        <f t="shared" ref="Q5:Q12" si="4">Z$22+Z$23*U5+Z$24*V5</f>
        <v>-7.7370425206616824</v>
      </c>
      <c r="R5">
        <f t="shared" ref="R5:R35" si="5">Z$22+Z$23*U5</f>
        <v>-8.1879592558807808</v>
      </c>
      <c r="U5">
        <v>2</v>
      </c>
      <c r="V5">
        <v>0.3</v>
      </c>
      <c r="X5">
        <f t="shared" si="0"/>
        <v>100</v>
      </c>
      <c r="AQ5" s="126">
        <v>41609</v>
      </c>
      <c r="AR5" s="14">
        <v>13.5</v>
      </c>
      <c r="AS5">
        <v>2.5</v>
      </c>
      <c r="AT5" s="14">
        <v>2.5</v>
      </c>
      <c r="AU5">
        <v>1</v>
      </c>
    </row>
    <row r="6" spans="1:47">
      <c r="A6">
        <v>2011</v>
      </c>
      <c r="B6" s="13">
        <v>0.15469935260119766</v>
      </c>
      <c r="C6" s="13">
        <f t="shared" si="1"/>
        <v>0.14923352504024581</v>
      </c>
      <c r="D6" s="13">
        <f t="shared" si="2"/>
        <v>3.3262880612801818E-2</v>
      </c>
      <c r="P6">
        <f t="shared" si="3"/>
        <v>-5.9326505244476984</v>
      </c>
      <c r="Q6">
        <f t="shared" si="4"/>
        <v>-5.9687154122562136</v>
      </c>
      <c r="R6">
        <f t="shared" si="5"/>
        <v>-7.4717711963198745</v>
      </c>
      <c r="U6">
        <v>3</v>
      </c>
      <c r="V6">
        <v>1</v>
      </c>
      <c r="X6">
        <f t="shared" si="0"/>
        <v>97.72727272727272</v>
      </c>
      <c r="AQ6" s="126">
        <v>41699</v>
      </c>
      <c r="AR6">
        <v>2.5</v>
      </c>
      <c r="AS6">
        <v>2.5</v>
      </c>
      <c r="AT6">
        <v>1</v>
      </c>
      <c r="AU6">
        <v>1</v>
      </c>
    </row>
    <row r="7" spans="1:47">
      <c r="A7">
        <v>2012</v>
      </c>
      <c r="B7" s="13">
        <v>0.15720110398952525</v>
      </c>
      <c r="C7" s="13">
        <f t="shared" si="1"/>
        <v>0.14406449916954353</v>
      </c>
      <c r="D7" s="13">
        <f t="shared" si="2"/>
        <v>6.8035880004771773E-2</v>
      </c>
      <c r="P7">
        <f t="shared" si="3"/>
        <v>-5.916565315057885</v>
      </c>
      <c r="Q7">
        <f t="shared" si="4"/>
        <v>-6.0040552447271374</v>
      </c>
      <c r="R7">
        <f t="shared" si="5"/>
        <v>-6.7555831367589674</v>
      </c>
      <c r="U7">
        <v>4</v>
      </c>
      <c r="V7">
        <v>0.5</v>
      </c>
      <c r="X7">
        <f t="shared" si="0"/>
        <v>15.4296875</v>
      </c>
      <c r="AQ7" s="126">
        <v>41791</v>
      </c>
      <c r="AR7">
        <v>4.5</v>
      </c>
      <c r="AS7">
        <v>4.5</v>
      </c>
      <c r="AT7">
        <v>1.5</v>
      </c>
      <c r="AU7">
        <v>1.5</v>
      </c>
    </row>
    <row r="8" spans="1:47">
      <c r="A8">
        <v>2013</v>
      </c>
      <c r="B8" s="13">
        <v>0.53953729281767959</v>
      </c>
      <c r="C8" s="13">
        <f t="shared" si="1"/>
        <v>0.62004196582435323</v>
      </c>
      <c r="D8" s="13">
        <f t="shared" si="2"/>
        <v>0.13907408696082266</v>
      </c>
      <c r="P8">
        <f t="shared" si="3"/>
        <v>-4.676804472531372</v>
      </c>
      <c r="Q8">
        <f t="shared" si="4"/>
        <v>-4.5363392931343993</v>
      </c>
      <c r="R8">
        <f t="shared" si="5"/>
        <v>-6.0393950771980602</v>
      </c>
      <c r="U8">
        <v>5</v>
      </c>
      <c r="V8">
        <v>1</v>
      </c>
      <c r="X8">
        <f t="shared" si="0"/>
        <v>10.035682426404996</v>
      </c>
      <c r="AQ8" s="126">
        <v>41883</v>
      </c>
      <c r="AR8">
        <v>2</v>
      </c>
      <c r="AS8">
        <v>2</v>
      </c>
      <c r="AT8">
        <v>1.5</v>
      </c>
      <c r="AU8">
        <v>1.5</v>
      </c>
    </row>
    <row r="9" spans="1:47">
      <c r="A9">
        <v>2014</v>
      </c>
      <c r="B9" s="13">
        <v>0.68587636176110367</v>
      </c>
      <c r="C9" s="13">
        <f t="shared" si="1"/>
        <v>0.59873280114235872</v>
      </c>
      <c r="D9" s="13">
        <f t="shared" si="2"/>
        <v>0.28392490447563828</v>
      </c>
      <c r="P9">
        <f t="shared" si="3"/>
        <v>-4.4342909976002973</v>
      </c>
      <c r="Q9">
        <f t="shared" si="4"/>
        <v>-4.5716791256053231</v>
      </c>
      <c r="R9">
        <f t="shared" si="5"/>
        <v>-5.323207017637154</v>
      </c>
      <c r="U9">
        <v>6</v>
      </c>
      <c r="V9">
        <v>0.5</v>
      </c>
      <c r="X9">
        <f t="shared" si="0"/>
        <v>17.627567925778663</v>
      </c>
      <c r="AQ9" s="126">
        <v>41974</v>
      </c>
      <c r="AR9">
        <v>2.5</v>
      </c>
      <c r="AS9">
        <v>2.5</v>
      </c>
      <c r="AT9">
        <v>2</v>
      </c>
      <c r="AU9">
        <v>2</v>
      </c>
    </row>
    <row r="10" spans="1:47">
      <c r="A10">
        <v>2015</v>
      </c>
      <c r="B10" s="13">
        <v>0.56146493717782087</v>
      </c>
      <c r="C10" s="13">
        <f t="shared" si="1"/>
        <v>0.57814865964562967</v>
      </c>
      <c r="D10" s="13">
        <f t="shared" si="2"/>
        <v>0.57814865964562967</v>
      </c>
      <c r="P10">
        <f t="shared" si="3"/>
        <v>-4.6365886600011637</v>
      </c>
      <c r="Q10">
        <f t="shared" si="4"/>
        <v>-4.6070189580762468</v>
      </c>
      <c r="R10">
        <f t="shared" si="5"/>
        <v>-4.6070189580762468</v>
      </c>
      <c r="U10">
        <v>7</v>
      </c>
      <c r="V10">
        <v>0</v>
      </c>
      <c r="X10">
        <f t="shared" si="0"/>
        <v>5.8030614576193749</v>
      </c>
      <c r="AQ10" s="126">
        <v>42064</v>
      </c>
      <c r="AR10">
        <v>4.5</v>
      </c>
      <c r="AS10">
        <v>4.5</v>
      </c>
      <c r="AT10">
        <v>1.5</v>
      </c>
      <c r="AU10">
        <v>1.5</v>
      </c>
    </row>
    <row r="11" spans="1:47">
      <c r="A11">
        <v>2016</v>
      </c>
      <c r="B11" s="13">
        <v>1.1094416919245746</v>
      </c>
      <c r="C11" s="13">
        <f t="shared" si="1"/>
        <v>1.1711349845009074</v>
      </c>
      <c r="D11" s="13">
        <f>58.5*EXP(R11)/(1+EXP(R11))</f>
        <v>1.1711349845009074</v>
      </c>
      <c r="P11">
        <f t="shared" si="3"/>
        <v>-3.9460228918501885</v>
      </c>
      <c r="Q11">
        <f t="shared" si="4"/>
        <v>-3.8908308985153397</v>
      </c>
      <c r="R11">
        <f t="shared" si="5"/>
        <v>-3.8908308985153397</v>
      </c>
      <c r="U11">
        <v>8</v>
      </c>
      <c r="V11">
        <v>0</v>
      </c>
      <c r="X11">
        <f t="shared" si="0"/>
        <v>18.640810621942698</v>
      </c>
      <c r="AQ11" s="126">
        <v>42156</v>
      </c>
      <c r="AR11">
        <v>5.5</v>
      </c>
      <c r="AS11">
        <f>AR11</f>
        <v>5.5</v>
      </c>
      <c r="AT11">
        <v>1</v>
      </c>
      <c r="AU11">
        <v>1</v>
      </c>
    </row>
    <row r="12" spans="1:47">
      <c r="A12">
        <v>2017</v>
      </c>
      <c r="B12" s="13">
        <v>2.3848192771084338</v>
      </c>
      <c r="C12" s="13">
        <f t="shared" si="1"/>
        <v>2.3476744853229823</v>
      </c>
      <c r="D12" s="13">
        <f t="shared" si="2"/>
        <v>2.3476744853229823</v>
      </c>
      <c r="P12">
        <f t="shared" si="3"/>
        <v>-3.1582830303718854</v>
      </c>
      <c r="Q12">
        <f t="shared" si="4"/>
        <v>-3.1746428389544326</v>
      </c>
      <c r="R12">
        <f t="shared" si="5"/>
        <v>-3.1746428389544326</v>
      </c>
      <c r="U12">
        <v>9</v>
      </c>
      <c r="V12">
        <v>0</v>
      </c>
      <c r="X12">
        <f t="shared" si="0"/>
        <v>89.525101763907728</v>
      </c>
      <c r="AQ12" s="126">
        <v>42248</v>
      </c>
      <c r="AR12">
        <v>5.5</v>
      </c>
      <c r="AS12">
        <v>5.5</v>
      </c>
      <c r="AT12">
        <v>1</v>
      </c>
      <c r="AU12">
        <v>1</v>
      </c>
    </row>
    <row r="13" spans="1:47">
      <c r="A13">
        <v>2018</v>
      </c>
      <c r="B13" s="13"/>
      <c r="C13" s="13">
        <f t="shared" si="1"/>
        <v>4.6111140178113859</v>
      </c>
      <c r="D13" s="13">
        <f t="shared" si="2"/>
        <v>4.6111140178113859</v>
      </c>
      <c r="Q13">
        <f t="shared" ref="Q13:Q35" si="6">Z$22+Z$23*U13+Z$24*V13</f>
        <v>-2.4584547793935254</v>
      </c>
      <c r="R13">
        <f t="shared" si="5"/>
        <v>-2.4584547793935254</v>
      </c>
      <c r="U13">
        <v>10</v>
      </c>
      <c r="V13">
        <v>0</v>
      </c>
      <c r="AQ13" s="126">
        <v>42339</v>
      </c>
      <c r="AR13" s="14">
        <v>24</v>
      </c>
      <c r="AS13">
        <v>3</v>
      </c>
      <c r="AT13">
        <v>1.5</v>
      </c>
      <c r="AU13">
        <v>1.5</v>
      </c>
    </row>
    <row r="14" spans="1:47">
      <c r="A14">
        <v>2019</v>
      </c>
      <c r="B14" s="13"/>
      <c r="C14" s="13">
        <f t="shared" si="1"/>
        <v>8.7179769962825588</v>
      </c>
      <c r="D14" s="13">
        <f t="shared" si="2"/>
        <v>8.7179769962825588</v>
      </c>
      <c r="Q14">
        <f t="shared" si="6"/>
        <v>-1.7422667198326192</v>
      </c>
      <c r="R14">
        <f t="shared" si="5"/>
        <v>-1.7422667198326192</v>
      </c>
      <c r="U14">
        <v>11</v>
      </c>
      <c r="V14">
        <v>0</v>
      </c>
      <c r="AQ14" s="126">
        <v>42430</v>
      </c>
      <c r="AR14">
        <v>1.5</v>
      </c>
      <c r="AS14">
        <v>1.5</v>
      </c>
      <c r="AT14">
        <v>1.5</v>
      </c>
      <c r="AU14">
        <v>1.5</v>
      </c>
    </row>
    <row r="15" spans="1:47">
      <c r="A15">
        <v>2020</v>
      </c>
      <c r="B15" s="13"/>
      <c r="C15" s="13">
        <f t="shared" si="1"/>
        <v>15.434935052013675</v>
      </c>
      <c r="D15" s="13">
        <f t="shared" si="2"/>
        <v>15.434935052013675</v>
      </c>
      <c r="Q15">
        <f t="shared" si="6"/>
        <v>-1.0260786602717129</v>
      </c>
      <c r="R15">
        <f t="shared" si="5"/>
        <v>-1.0260786602717129</v>
      </c>
      <c r="U15">
        <v>12</v>
      </c>
      <c r="V15">
        <v>0</v>
      </c>
      <c r="AQ15" s="126">
        <v>42522</v>
      </c>
      <c r="AR15">
        <v>2</v>
      </c>
      <c r="AS15">
        <v>2</v>
      </c>
      <c r="AT15">
        <v>1</v>
      </c>
      <c r="AU15">
        <v>1</v>
      </c>
    </row>
    <row r="16" spans="1:47">
      <c r="A16">
        <v>2021</v>
      </c>
      <c r="B16" s="13"/>
      <c r="C16" s="13">
        <f t="shared" si="1"/>
        <v>24.753774369757032</v>
      </c>
      <c r="D16" s="13">
        <f t="shared" si="2"/>
        <v>24.753774369757032</v>
      </c>
      <c r="Q16">
        <f t="shared" si="6"/>
        <v>-0.30989060071080488</v>
      </c>
      <c r="R16">
        <f t="shared" si="5"/>
        <v>-0.30989060071080488</v>
      </c>
      <c r="U16">
        <v>13</v>
      </c>
      <c r="V16">
        <v>0</v>
      </c>
      <c r="AQ16" s="126">
        <v>42614</v>
      </c>
      <c r="AR16">
        <v>2.5</v>
      </c>
      <c r="AS16">
        <v>2.5</v>
      </c>
      <c r="AT16">
        <v>1</v>
      </c>
      <c r="AU16">
        <v>1</v>
      </c>
    </row>
    <row r="17" spans="1:47">
      <c r="A17">
        <v>2022</v>
      </c>
      <c r="B17" s="13"/>
      <c r="C17" s="13">
        <f t="shared" si="1"/>
        <v>35.111685231121079</v>
      </c>
      <c r="D17" s="13">
        <f t="shared" si="2"/>
        <v>35.111685231121079</v>
      </c>
      <c r="Q17">
        <f t="shared" si="6"/>
        <v>0.40629745885010138</v>
      </c>
      <c r="R17">
        <f t="shared" si="5"/>
        <v>0.40629745885010138</v>
      </c>
      <c r="U17">
        <v>14</v>
      </c>
      <c r="V17">
        <v>0</v>
      </c>
      <c r="AQ17" s="126">
        <v>42705</v>
      </c>
      <c r="AR17" s="14">
        <v>13.5</v>
      </c>
      <c r="AS17">
        <v>1.5</v>
      </c>
      <c r="AT17">
        <v>1.5</v>
      </c>
      <c r="AU17">
        <v>1.5</v>
      </c>
    </row>
    <row r="18" spans="1:47">
      <c r="A18">
        <v>2023</v>
      </c>
      <c r="B18" s="13"/>
      <c r="C18" s="13">
        <f t="shared" si="1"/>
        <v>44.135293614095268</v>
      </c>
      <c r="D18" s="13">
        <f t="shared" si="2"/>
        <v>44.135293614095268</v>
      </c>
      <c r="Q18">
        <f t="shared" si="6"/>
        <v>1.1224855184110094</v>
      </c>
      <c r="R18">
        <f t="shared" si="5"/>
        <v>1.1224855184110094</v>
      </c>
      <c r="U18">
        <v>15</v>
      </c>
      <c r="V18">
        <v>0</v>
      </c>
      <c r="AQ18" s="126">
        <v>42795</v>
      </c>
      <c r="AR18">
        <v>0.5</v>
      </c>
      <c r="AS18">
        <v>0.5</v>
      </c>
      <c r="AT18">
        <v>2</v>
      </c>
      <c r="AU18">
        <v>2</v>
      </c>
    </row>
    <row r="19" spans="1:47">
      <c r="A19">
        <v>2024</v>
      </c>
      <c r="B19" s="13"/>
      <c r="C19" s="13">
        <f t="shared" si="1"/>
        <v>50.473317860283601</v>
      </c>
      <c r="D19" s="13">
        <f t="shared" si="2"/>
        <v>50.473317860283601</v>
      </c>
      <c r="Q19">
        <f t="shared" si="6"/>
        <v>1.8386735779719157</v>
      </c>
      <c r="R19">
        <f t="shared" si="5"/>
        <v>1.8386735779719157</v>
      </c>
      <c r="U19">
        <v>16</v>
      </c>
      <c r="V19">
        <v>0</v>
      </c>
      <c r="AQ19" s="126">
        <v>42887</v>
      </c>
      <c r="AR19">
        <v>0.5</v>
      </c>
      <c r="AS19">
        <v>0.5</v>
      </c>
      <c r="AT19">
        <v>2</v>
      </c>
      <c r="AU19">
        <v>2</v>
      </c>
    </row>
    <row r="20" spans="1:47">
      <c r="A20">
        <v>2025</v>
      </c>
      <c r="B20" s="13"/>
      <c r="C20" s="13">
        <f t="shared" si="1"/>
        <v>54.282117568514927</v>
      </c>
      <c r="D20" s="13">
        <f t="shared" si="2"/>
        <v>54.282117568514927</v>
      </c>
      <c r="Q20">
        <f t="shared" si="6"/>
        <v>2.5548616375328219</v>
      </c>
      <c r="R20">
        <f t="shared" si="5"/>
        <v>2.5548616375328219</v>
      </c>
      <c r="U20">
        <v>17</v>
      </c>
      <c r="V20">
        <v>0</v>
      </c>
      <c r="AQ20" s="126">
        <v>42979</v>
      </c>
      <c r="AR20">
        <v>0.5</v>
      </c>
      <c r="AS20">
        <v>0.5</v>
      </c>
      <c r="AT20">
        <v>2</v>
      </c>
      <c r="AU20">
        <v>2</v>
      </c>
    </row>
    <row r="21" spans="1:47">
      <c r="A21">
        <v>2026</v>
      </c>
      <c r="B21" s="13"/>
      <c r="C21" s="13">
        <f t="shared" si="1"/>
        <v>56.360197584247082</v>
      </c>
      <c r="D21" s="13">
        <f t="shared" si="2"/>
        <v>56.360197584247082</v>
      </c>
      <c r="Q21">
        <f t="shared" si="6"/>
        <v>3.2710496970937299</v>
      </c>
      <c r="R21">
        <f t="shared" si="5"/>
        <v>3.2710496970937299</v>
      </c>
      <c r="U21">
        <v>18</v>
      </c>
      <c r="V21">
        <v>0</v>
      </c>
      <c r="AQ21" s="126">
        <v>43070</v>
      </c>
      <c r="AR21">
        <v>0.5</v>
      </c>
      <c r="AS21">
        <v>0.5</v>
      </c>
      <c r="AT21">
        <v>2</v>
      </c>
      <c r="AU21">
        <v>2</v>
      </c>
    </row>
    <row r="22" spans="1:47">
      <c r="A22">
        <v>2027</v>
      </c>
      <c r="B22" s="13"/>
      <c r="C22" s="13">
        <f t="shared" si="1"/>
        <v>57.434538454907326</v>
      </c>
      <c r="D22" s="13">
        <f t="shared" si="2"/>
        <v>57.434538454907326</v>
      </c>
      <c r="Q22">
        <f t="shared" si="6"/>
        <v>3.9872377566546362</v>
      </c>
      <c r="R22">
        <f t="shared" si="5"/>
        <v>3.9872377566546362</v>
      </c>
      <c r="U22">
        <v>19</v>
      </c>
      <c r="V22">
        <v>0</v>
      </c>
      <c r="Y22" s="41" t="s">
        <v>159</v>
      </c>
      <c r="Z22" s="41">
        <v>-9.6203353750025951</v>
      </c>
    </row>
    <row r="23" spans="1:47">
      <c r="A23">
        <v>2028</v>
      </c>
      <c r="B23" s="13"/>
      <c r="C23" s="13">
        <f t="shared" si="1"/>
        <v>57.974509097342235</v>
      </c>
      <c r="D23" s="13">
        <f t="shared" si="2"/>
        <v>57.974509097342235</v>
      </c>
      <c r="Q23">
        <f t="shared" si="6"/>
        <v>4.7034258162155442</v>
      </c>
      <c r="R23">
        <f t="shared" si="5"/>
        <v>4.7034258162155442</v>
      </c>
      <c r="U23">
        <v>20</v>
      </c>
      <c r="V23">
        <v>0</v>
      </c>
      <c r="Y23" s="41" t="s">
        <v>233</v>
      </c>
      <c r="Z23" s="41">
        <v>0.71618805956090692</v>
      </c>
    </row>
    <row r="24" spans="1:47" ht="15.75" thickBot="1">
      <c r="A24">
        <v>2029</v>
      </c>
      <c r="B24" s="13"/>
      <c r="C24" s="13">
        <f t="shared" si="1"/>
        <v>58.242054304667278</v>
      </c>
      <c r="D24" s="13">
        <f t="shared" si="2"/>
        <v>58.242054304667278</v>
      </c>
      <c r="Q24">
        <f t="shared" si="6"/>
        <v>5.4196138757764505</v>
      </c>
      <c r="R24">
        <f t="shared" si="5"/>
        <v>5.4196138757764505</v>
      </c>
      <c r="U24">
        <v>21</v>
      </c>
      <c r="V24">
        <v>0</v>
      </c>
      <c r="Y24" s="42" t="s">
        <v>234</v>
      </c>
      <c r="Z24" s="42">
        <v>1.5030557840636609</v>
      </c>
    </row>
    <row r="25" spans="1:47">
      <c r="A25">
        <v>2030</v>
      </c>
      <c r="B25" s="13"/>
      <c r="C25" s="13">
        <f t="shared" si="1"/>
        <v>58.37367999029297</v>
      </c>
      <c r="D25" s="13">
        <f t="shared" si="2"/>
        <v>58.37367999029297</v>
      </c>
      <c r="Q25">
        <f t="shared" si="6"/>
        <v>6.1358019353373567</v>
      </c>
      <c r="R25">
        <f t="shared" si="5"/>
        <v>6.1358019353373567</v>
      </c>
      <c r="U25">
        <v>22</v>
      </c>
      <c r="V25">
        <v>0</v>
      </c>
    </row>
    <row r="26" spans="1:47">
      <c r="A26">
        <v>2031</v>
      </c>
      <c r="B26" s="13"/>
      <c r="C26" s="13">
        <f t="shared" si="1"/>
        <v>58.43821038875852</v>
      </c>
      <c r="D26" s="13">
        <f t="shared" si="2"/>
        <v>58.43821038875852</v>
      </c>
      <c r="Q26">
        <f t="shared" si="6"/>
        <v>6.851989994898263</v>
      </c>
      <c r="R26">
        <f t="shared" si="5"/>
        <v>6.851989994898263</v>
      </c>
      <c r="U26">
        <v>23</v>
      </c>
      <c r="V26">
        <v>0</v>
      </c>
    </row>
    <row r="27" spans="1:47">
      <c r="A27">
        <v>2032</v>
      </c>
      <c r="B27" s="13"/>
      <c r="C27" s="13">
        <f t="shared" si="1"/>
        <v>58.46979258333085</v>
      </c>
      <c r="D27" s="13">
        <f t="shared" si="2"/>
        <v>58.46979258333085</v>
      </c>
      <c r="Q27">
        <f t="shared" si="6"/>
        <v>7.5681780544591692</v>
      </c>
      <c r="R27">
        <f t="shared" si="5"/>
        <v>7.5681780544591692</v>
      </c>
      <c r="U27">
        <v>24</v>
      </c>
      <c r="V27">
        <v>0</v>
      </c>
    </row>
    <row r="28" spans="1:47">
      <c r="A28">
        <v>2033</v>
      </c>
      <c r="B28" s="13"/>
      <c r="C28" s="13">
        <f t="shared" si="1"/>
        <v>58.485236417324444</v>
      </c>
      <c r="D28" s="13">
        <f t="shared" si="2"/>
        <v>58.485236417324444</v>
      </c>
      <c r="Q28">
        <f t="shared" si="6"/>
        <v>8.2843661140200791</v>
      </c>
      <c r="R28">
        <f t="shared" si="5"/>
        <v>8.2843661140200791</v>
      </c>
      <c r="U28">
        <v>25</v>
      </c>
      <c r="V28">
        <v>0</v>
      </c>
    </row>
    <row r="29" spans="1:47">
      <c r="A29">
        <v>2034</v>
      </c>
      <c r="B29" s="13"/>
      <c r="C29" s="13">
        <f t="shared" si="1"/>
        <v>58.492785416051177</v>
      </c>
      <c r="D29" s="13">
        <f t="shared" si="2"/>
        <v>58.492785416051177</v>
      </c>
      <c r="Q29">
        <f t="shared" si="6"/>
        <v>9.0005541735809853</v>
      </c>
      <c r="R29">
        <f t="shared" si="5"/>
        <v>9.0005541735809853</v>
      </c>
      <c r="U29">
        <v>26</v>
      </c>
      <c r="V29">
        <v>0</v>
      </c>
    </row>
    <row r="30" spans="1:47">
      <c r="A30">
        <v>2035</v>
      </c>
      <c r="B30" s="13"/>
      <c r="C30" s="13">
        <f t="shared" si="1"/>
        <v>58.496474650656545</v>
      </c>
      <c r="D30" s="13">
        <f t="shared" si="2"/>
        <v>58.496474650656545</v>
      </c>
      <c r="Q30">
        <f t="shared" si="6"/>
        <v>9.7167422331418916</v>
      </c>
      <c r="R30">
        <f t="shared" si="5"/>
        <v>9.7167422331418916</v>
      </c>
      <c r="U30">
        <v>27</v>
      </c>
      <c r="V30">
        <v>0</v>
      </c>
    </row>
    <row r="31" spans="1:47">
      <c r="A31">
        <v>2036</v>
      </c>
      <c r="B31" s="13"/>
      <c r="C31" s="13">
        <f t="shared" si="1"/>
        <v>58.498277421503211</v>
      </c>
      <c r="D31" s="13">
        <f t="shared" si="2"/>
        <v>58.498277421503211</v>
      </c>
      <c r="Q31">
        <f t="shared" si="6"/>
        <v>10.432930292702798</v>
      </c>
      <c r="R31">
        <f t="shared" si="5"/>
        <v>10.432930292702798</v>
      </c>
      <c r="U31">
        <v>28</v>
      </c>
      <c r="V31">
        <v>0</v>
      </c>
    </row>
    <row r="32" spans="1:47">
      <c r="A32">
        <v>2037</v>
      </c>
      <c r="B32" s="13"/>
      <c r="C32" s="13">
        <f t="shared" si="1"/>
        <v>58.499158316062967</v>
      </c>
      <c r="D32" s="13">
        <f t="shared" si="2"/>
        <v>58.499158316062967</v>
      </c>
      <c r="Q32">
        <f t="shared" si="6"/>
        <v>11.149118352263704</v>
      </c>
      <c r="R32">
        <f t="shared" si="5"/>
        <v>11.149118352263704</v>
      </c>
      <c r="U32">
        <v>29</v>
      </c>
      <c r="V32">
        <v>0</v>
      </c>
    </row>
    <row r="33" spans="1:23">
      <c r="A33">
        <v>2038</v>
      </c>
      <c r="B33" s="13"/>
      <c r="C33" s="13">
        <f t="shared" si="1"/>
        <v>58.499588740718721</v>
      </c>
      <c r="D33" s="13">
        <f t="shared" si="2"/>
        <v>58.499588740718721</v>
      </c>
      <c r="Q33">
        <f t="shared" si="6"/>
        <v>11.865306411824614</v>
      </c>
      <c r="R33">
        <f t="shared" si="5"/>
        <v>11.865306411824614</v>
      </c>
      <c r="U33">
        <v>30</v>
      </c>
      <c r="V33">
        <v>0</v>
      </c>
    </row>
    <row r="34" spans="1:23">
      <c r="A34">
        <v>2039</v>
      </c>
      <c r="B34" s="13"/>
      <c r="C34" s="13">
        <f t="shared" si="1"/>
        <v>58.499799053358871</v>
      </c>
      <c r="D34" s="13">
        <f t="shared" si="2"/>
        <v>58.499799053358871</v>
      </c>
      <c r="Q34">
        <f t="shared" si="6"/>
        <v>12.58149447138552</v>
      </c>
      <c r="R34">
        <f t="shared" si="5"/>
        <v>12.58149447138552</v>
      </c>
      <c r="U34">
        <v>31</v>
      </c>
      <c r="V34">
        <v>0</v>
      </c>
    </row>
    <row r="35" spans="1:23">
      <c r="A35">
        <v>2040</v>
      </c>
      <c r="B35" s="13"/>
      <c r="C35" s="13">
        <f t="shared" si="1"/>
        <v>58.499901815034498</v>
      </c>
      <c r="D35" s="13">
        <f t="shared" si="2"/>
        <v>58.499901815034498</v>
      </c>
      <c r="Q35">
        <f t="shared" si="6"/>
        <v>13.297682530946426</v>
      </c>
      <c r="R35">
        <f t="shared" si="5"/>
        <v>13.297682530946426</v>
      </c>
      <c r="U35">
        <v>32</v>
      </c>
      <c r="V35">
        <v>0</v>
      </c>
    </row>
    <row r="36" spans="1:23">
      <c r="B36" s="13"/>
      <c r="C36" s="13"/>
      <c r="D36" s="13"/>
    </row>
    <row r="37" spans="1:23">
      <c r="B37" s="13"/>
      <c r="C37" s="13"/>
      <c r="D37" s="13"/>
    </row>
    <row r="38" spans="1:23">
      <c r="B38" s="13"/>
      <c r="C38" s="13"/>
      <c r="D38" s="13"/>
    </row>
    <row r="39" spans="1:23">
      <c r="B39" s="13" t="s">
        <v>773</v>
      </c>
      <c r="C39" t="s">
        <v>170</v>
      </c>
      <c r="P39" t="s">
        <v>323</v>
      </c>
      <c r="Q39" t="s">
        <v>170</v>
      </c>
      <c r="U39" t="s">
        <v>329</v>
      </c>
      <c r="V39" t="s">
        <v>818</v>
      </c>
      <c r="W39" t="s">
        <v>1094</v>
      </c>
    </row>
    <row r="40" spans="1:23">
      <c r="A40">
        <v>2009</v>
      </c>
      <c r="B40" s="13">
        <v>0</v>
      </c>
      <c r="C40" s="13"/>
      <c r="D40" s="13"/>
      <c r="V40" s="13">
        <f>'Country Vehicle Prices'!P107</f>
        <v>1.1628908837364871</v>
      </c>
    </row>
    <row r="41" spans="1:23">
      <c r="A41">
        <v>2010</v>
      </c>
      <c r="B41" s="13">
        <v>0</v>
      </c>
      <c r="C41" s="13"/>
      <c r="D41" s="13"/>
      <c r="V41" s="13">
        <f>'Country Vehicle Prices'!P108</f>
        <v>1.1775841094522819</v>
      </c>
    </row>
    <row r="42" spans="1:23">
      <c r="A42">
        <v>2011</v>
      </c>
      <c r="B42" s="13">
        <v>3.597659362818553E-3</v>
      </c>
      <c r="C42" s="13"/>
      <c r="D42" s="13"/>
      <c r="V42" s="13">
        <f>'Country Vehicle Prices'!P109</f>
        <v>1.1787470018026136</v>
      </c>
    </row>
    <row r="43" spans="1:23">
      <c r="A43">
        <v>2012</v>
      </c>
      <c r="B43" s="13">
        <v>0.86162124085398006</v>
      </c>
      <c r="C43" s="13"/>
      <c r="D43" s="13"/>
      <c r="P43">
        <f t="shared" ref="P43:P48" si="7">LN(B43/(65-B43))</f>
        <v>-4.3099824179918524</v>
      </c>
      <c r="Q43">
        <f t="shared" ref="Q43:Q49" si="8">Q$73+Q$74*U43+Q$75*V43+Q$76*W43</f>
        <v>-2.7280418752736164</v>
      </c>
      <c r="U43">
        <v>4</v>
      </c>
      <c r="V43" s="13">
        <f>'Country Vehicle Prices'!P110</f>
        <v>1.2097339784792158</v>
      </c>
      <c r="W43">
        <v>0</v>
      </c>
    </row>
    <row r="44" spans="1:23">
      <c r="A44">
        <v>2013</v>
      </c>
      <c r="B44" s="20">
        <v>4.8366520871700427</v>
      </c>
      <c r="C44" s="13">
        <f t="shared" ref="C44:C71" si="9">65*EXP(Q44)/(1+EXP(Q44))</f>
        <v>4.7530394318611382</v>
      </c>
      <c r="D44" s="13"/>
      <c r="P44">
        <f t="shared" si="7"/>
        <v>-2.5208405643852059</v>
      </c>
      <c r="Q44">
        <f t="shared" si="8"/>
        <v>-2.5396678302942259</v>
      </c>
      <c r="U44">
        <v>5</v>
      </c>
      <c r="V44" s="13">
        <f>'Country Vehicle Prices'!P111</f>
        <v>1.2238753979220827</v>
      </c>
      <c r="W44">
        <v>0</v>
      </c>
    </row>
    <row r="45" spans="1:23">
      <c r="A45">
        <v>2014</v>
      </c>
      <c r="B45" s="13">
        <v>3.2050538258235028</v>
      </c>
      <c r="C45" s="13">
        <f t="shared" si="9"/>
        <v>1.3421451203488222</v>
      </c>
      <c r="D45" s="13"/>
      <c r="P45">
        <f t="shared" si="7"/>
        <v>-2.9590926994425129</v>
      </c>
      <c r="Q45">
        <f t="shared" si="8"/>
        <v>-3.8592535546962168</v>
      </c>
      <c r="U45">
        <v>6</v>
      </c>
      <c r="V45" s="13">
        <f>'Country Vehicle Prices'!P112</f>
        <v>1.3403834701358177</v>
      </c>
      <c r="W45">
        <v>0</v>
      </c>
    </row>
    <row r="46" spans="1:23">
      <c r="A46">
        <v>2015</v>
      </c>
      <c r="B46" s="20">
        <v>9.1138580156856506</v>
      </c>
      <c r="C46" s="13">
        <f t="shared" si="9"/>
        <v>9.2086969581565477</v>
      </c>
      <c r="D46" s="13"/>
      <c r="P46">
        <f t="shared" si="7"/>
        <v>-1.8135203281539507</v>
      </c>
      <c r="Q46">
        <f t="shared" si="8"/>
        <v>-1.8014696387160107</v>
      </c>
      <c r="U46">
        <v>7</v>
      </c>
      <c r="V46" s="13">
        <f>'Country Vehicle Prices'!P113</f>
        <v>1.2276214833759591</v>
      </c>
      <c r="W46">
        <v>0</v>
      </c>
    </row>
    <row r="47" spans="1:23">
      <c r="A47">
        <v>2016</v>
      </c>
      <c r="B47" s="13">
        <v>4.8422398868723002</v>
      </c>
      <c r="C47" s="13">
        <f t="shared" si="9"/>
        <v>4.7735028399493338</v>
      </c>
      <c r="D47" s="13"/>
      <c r="P47">
        <f>LN(B47/(65-B47))</f>
        <v>-2.5195930465666057</v>
      </c>
      <c r="Q47">
        <f t="shared" si="8"/>
        <v>-2.5350320242400848</v>
      </c>
      <c r="U47">
        <v>8</v>
      </c>
      <c r="V47" s="13">
        <f>'Country Vehicle Prices'!P114</f>
        <v>1.3043478260869565</v>
      </c>
      <c r="W47">
        <v>0</v>
      </c>
    </row>
    <row r="48" spans="1:23">
      <c r="A48">
        <v>2017</v>
      </c>
      <c r="B48" s="13">
        <v>0.27903614457831327</v>
      </c>
      <c r="C48" s="13">
        <f t="shared" si="9"/>
        <v>0.27903614457831366</v>
      </c>
      <c r="D48" s="13"/>
      <c r="P48">
        <f t="shared" si="7"/>
        <v>-5.4464991204292543</v>
      </c>
      <c r="Q48">
        <f t="shared" si="8"/>
        <v>-5.4464991204292534</v>
      </c>
      <c r="U48">
        <v>9</v>
      </c>
      <c r="V48" s="13">
        <f>'Country Vehicle Prices'!P115</f>
        <v>1.3043478260869563</v>
      </c>
      <c r="W48">
        <v>1</v>
      </c>
    </row>
    <row r="49" spans="1:23">
      <c r="A49">
        <v>2018</v>
      </c>
      <c r="C49" s="13">
        <f t="shared" si="9"/>
        <v>9.6917228149917172</v>
      </c>
      <c r="D49" s="13"/>
      <c r="Q49">
        <f t="shared" si="8"/>
        <v>-1.7416503719917706</v>
      </c>
      <c r="U49">
        <v>10</v>
      </c>
      <c r="V49" s="13">
        <f>V48</f>
        <v>1.3043478260869563</v>
      </c>
      <c r="W49">
        <v>0</v>
      </c>
    </row>
    <row r="50" spans="1:23">
      <c r="A50">
        <v>2019</v>
      </c>
      <c r="C50" s="13">
        <f t="shared" si="9"/>
        <v>13.435216998204426</v>
      </c>
      <c r="D50" s="13"/>
      <c r="Q50">
        <f t="shared" ref="Q50:Q71" si="10">Q$73+Q$74*U50+Q$75*V50+Q$76*W50</f>
        <v>-1.3449595458676171</v>
      </c>
      <c r="U50">
        <v>11</v>
      </c>
      <c r="V50" s="13">
        <f t="shared" ref="V50:V71" si="11">V49</f>
        <v>1.3043478260869563</v>
      </c>
      <c r="W50">
        <v>0</v>
      </c>
    </row>
    <row r="51" spans="1:23">
      <c r="A51">
        <v>2020</v>
      </c>
      <c r="C51" s="13">
        <f t="shared" si="9"/>
        <v>18.150153428652445</v>
      </c>
      <c r="D51" s="13"/>
      <c r="Q51">
        <f t="shared" si="10"/>
        <v>-0.94826871974346361</v>
      </c>
      <c r="U51">
        <v>12</v>
      </c>
      <c r="V51" s="13">
        <f t="shared" si="11"/>
        <v>1.3043478260869563</v>
      </c>
      <c r="W51">
        <v>0</v>
      </c>
    </row>
    <row r="52" spans="1:23">
      <c r="A52">
        <v>2021</v>
      </c>
      <c r="C52" s="13">
        <f t="shared" si="9"/>
        <v>23.757396204816207</v>
      </c>
      <c r="D52" s="13"/>
      <c r="Q52">
        <f t="shared" si="10"/>
        <v>-0.55157789361931009</v>
      </c>
      <c r="U52">
        <v>13</v>
      </c>
      <c r="V52" s="13">
        <f t="shared" si="11"/>
        <v>1.3043478260869563</v>
      </c>
      <c r="W52">
        <v>0</v>
      </c>
    </row>
    <row r="53" spans="1:23">
      <c r="A53">
        <v>2022</v>
      </c>
      <c r="C53" s="13">
        <f t="shared" si="9"/>
        <v>29.988104844342477</v>
      </c>
      <c r="D53" s="13"/>
      <c r="Q53">
        <f t="shared" si="10"/>
        <v>-0.15488706749515657</v>
      </c>
      <c r="U53">
        <v>14</v>
      </c>
      <c r="V53" s="13">
        <f t="shared" si="11"/>
        <v>1.3043478260869563</v>
      </c>
      <c r="W53">
        <v>0</v>
      </c>
    </row>
    <row r="54" spans="1:23">
      <c r="A54">
        <v>2023</v>
      </c>
      <c r="C54" s="13">
        <f t="shared" si="9"/>
        <v>36.410277100180103</v>
      </c>
      <c r="D54" s="13"/>
      <c r="Q54">
        <f t="shared" si="10"/>
        <v>0.2418037586290005</v>
      </c>
      <c r="U54">
        <v>15</v>
      </c>
      <c r="V54" s="13">
        <f t="shared" si="11"/>
        <v>1.3043478260869563</v>
      </c>
      <c r="W54">
        <v>0</v>
      </c>
    </row>
    <row r="55" spans="1:23">
      <c r="A55">
        <v>2024</v>
      </c>
      <c r="C55" s="13">
        <f t="shared" si="9"/>
        <v>42.536850212947371</v>
      </c>
      <c r="D55" s="13"/>
      <c r="Q55">
        <f t="shared" si="10"/>
        <v>0.63849458475315402</v>
      </c>
      <c r="U55">
        <v>16</v>
      </c>
      <c r="V55" s="13">
        <f t="shared" si="11"/>
        <v>1.3043478260869563</v>
      </c>
      <c r="W55">
        <v>0</v>
      </c>
    </row>
    <row r="56" spans="1:23">
      <c r="A56">
        <v>2025</v>
      </c>
      <c r="C56" s="13">
        <f t="shared" si="9"/>
        <v>47.964797409213425</v>
      </c>
      <c r="D56" s="13"/>
      <c r="Q56">
        <f t="shared" si="10"/>
        <v>1.0351854108773075</v>
      </c>
      <c r="U56">
        <v>17</v>
      </c>
      <c r="V56" s="13">
        <f t="shared" si="11"/>
        <v>1.3043478260869563</v>
      </c>
      <c r="W56">
        <v>0</v>
      </c>
    </row>
    <row r="57" spans="1:23">
      <c r="A57">
        <v>2026</v>
      </c>
      <c r="C57" s="13">
        <f t="shared" si="9"/>
        <v>52.467576648456252</v>
      </c>
      <c r="D57" s="13"/>
      <c r="Q57">
        <f t="shared" si="10"/>
        <v>1.4318762370014646</v>
      </c>
      <c r="U57">
        <v>18</v>
      </c>
      <c r="V57" s="13">
        <f t="shared" si="11"/>
        <v>1.3043478260869563</v>
      </c>
      <c r="W57">
        <v>0</v>
      </c>
    </row>
    <row r="58" spans="1:23">
      <c r="A58">
        <v>2027</v>
      </c>
      <c r="C58" s="13">
        <f t="shared" si="9"/>
        <v>56.003410759929956</v>
      </c>
      <c r="D58" s="13"/>
      <c r="Q58">
        <f t="shared" si="10"/>
        <v>1.8285670631256181</v>
      </c>
      <c r="U58">
        <v>19</v>
      </c>
      <c r="V58" s="13">
        <f t="shared" si="11"/>
        <v>1.3043478260869563</v>
      </c>
      <c r="W58">
        <v>0</v>
      </c>
    </row>
    <row r="59" spans="1:23">
      <c r="A59">
        <v>2028</v>
      </c>
      <c r="C59" s="13">
        <f t="shared" si="9"/>
        <v>58.66216583658268</v>
      </c>
      <c r="D59" s="13"/>
      <c r="Q59">
        <f t="shared" si="10"/>
        <v>2.2252578892497716</v>
      </c>
      <c r="U59">
        <v>20</v>
      </c>
      <c r="V59" s="13">
        <f t="shared" si="11"/>
        <v>1.3043478260869563</v>
      </c>
      <c r="W59">
        <v>0</v>
      </c>
    </row>
    <row r="60" spans="1:23">
      <c r="A60">
        <v>2029</v>
      </c>
      <c r="C60" s="13">
        <f t="shared" si="9"/>
        <v>60.596956716258468</v>
      </c>
      <c r="D60" s="13"/>
      <c r="Q60">
        <f t="shared" si="10"/>
        <v>2.6219487153739252</v>
      </c>
      <c r="U60">
        <v>21</v>
      </c>
      <c r="V60" s="13">
        <f t="shared" si="11"/>
        <v>1.3043478260869563</v>
      </c>
      <c r="W60">
        <v>0</v>
      </c>
    </row>
    <row r="61" spans="1:23">
      <c r="A61">
        <v>2030</v>
      </c>
      <c r="C61" s="13">
        <f t="shared" si="9"/>
        <v>61.971593512681331</v>
      </c>
      <c r="D61" s="13"/>
      <c r="Q61">
        <f t="shared" si="10"/>
        <v>3.0186395414980787</v>
      </c>
      <c r="U61">
        <v>22</v>
      </c>
      <c r="V61" s="13">
        <f t="shared" si="11"/>
        <v>1.3043478260869563</v>
      </c>
      <c r="W61">
        <v>0</v>
      </c>
    </row>
    <row r="62" spans="1:23">
      <c r="A62">
        <v>2031</v>
      </c>
      <c r="C62" s="13">
        <f t="shared" si="9"/>
        <v>62.931714758533751</v>
      </c>
      <c r="D62" s="13"/>
      <c r="Q62">
        <f t="shared" si="10"/>
        <v>3.4153303676222357</v>
      </c>
      <c r="U62">
        <v>23</v>
      </c>
      <c r="V62" s="13">
        <f t="shared" si="11"/>
        <v>1.3043478260869563</v>
      </c>
      <c r="W62">
        <v>0</v>
      </c>
    </row>
    <row r="63" spans="1:23">
      <c r="A63">
        <v>2032</v>
      </c>
      <c r="C63" s="13">
        <f t="shared" si="9"/>
        <v>63.594345039566903</v>
      </c>
      <c r="D63" s="13"/>
      <c r="Q63">
        <f t="shared" si="10"/>
        <v>3.8120211937463857</v>
      </c>
      <c r="U63">
        <v>24</v>
      </c>
      <c r="V63" s="13">
        <f t="shared" si="11"/>
        <v>1.3043478260869563</v>
      </c>
      <c r="W63">
        <v>0</v>
      </c>
    </row>
    <row r="64" spans="1:23">
      <c r="A64">
        <v>2033</v>
      </c>
      <c r="C64" s="13">
        <f t="shared" si="9"/>
        <v>64.047895845151274</v>
      </c>
      <c r="D64" s="13"/>
      <c r="Q64">
        <f t="shared" si="10"/>
        <v>4.2087120198705428</v>
      </c>
      <c r="U64">
        <v>25</v>
      </c>
      <c r="V64" s="13">
        <f t="shared" si="11"/>
        <v>1.3043478260869563</v>
      </c>
      <c r="W64">
        <v>0</v>
      </c>
    </row>
    <row r="65" spans="1:41">
      <c r="A65">
        <v>2034</v>
      </c>
      <c r="C65" s="13">
        <f t="shared" si="9"/>
        <v>64.356583875856742</v>
      </c>
      <c r="D65" s="13"/>
      <c r="Q65">
        <f t="shared" si="10"/>
        <v>4.6054028459946963</v>
      </c>
      <c r="U65">
        <v>26</v>
      </c>
      <c r="V65" s="13">
        <f t="shared" si="11"/>
        <v>1.3043478260869563</v>
      </c>
      <c r="W65">
        <v>0</v>
      </c>
    </row>
    <row r="66" spans="1:41">
      <c r="A66">
        <v>2035</v>
      </c>
      <c r="C66" s="13">
        <f t="shared" si="9"/>
        <v>64.565868481442536</v>
      </c>
      <c r="D66" s="13"/>
      <c r="Q66">
        <f t="shared" si="10"/>
        <v>5.0020936721188498</v>
      </c>
      <c r="U66">
        <v>27</v>
      </c>
      <c r="V66" s="13">
        <f t="shared" si="11"/>
        <v>1.3043478260869563</v>
      </c>
      <c r="W66">
        <v>0</v>
      </c>
    </row>
    <row r="67" spans="1:41">
      <c r="A67">
        <v>2036</v>
      </c>
      <c r="C67" s="13">
        <f t="shared" si="9"/>
        <v>64.707388388900213</v>
      </c>
      <c r="D67" s="13"/>
      <c r="Q67">
        <f t="shared" si="10"/>
        <v>5.3987844982430069</v>
      </c>
      <c r="U67">
        <v>28</v>
      </c>
      <c r="V67" s="13">
        <f t="shared" si="11"/>
        <v>1.3043478260869563</v>
      </c>
      <c r="W67">
        <v>0</v>
      </c>
    </row>
    <row r="68" spans="1:41">
      <c r="A68">
        <v>2037</v>
      </c>
      <c r="C68" s="13">
        <f t="shared" si="9"/>
        <v>64.802915897205239</v>
      </c>
      <c r="D68" s="13"/>
      <c r="Q68">
        <f t="shared" si="10"/>
        <v>5.7954753243671604</v>
      </c>
      <c r="U68">
        <v>29</v>
      </c>
      <c r="V68" s="13">
        <f t="shared" si="11"/>
        <v>1.3043478260869563</v>
      </c>
      <c r="W68">
        <v>0</v>
      </c>
    </row>
    <row r="69" spans="1:41">
      <c r="A69">
        <v>2038</v>
      </c>
      <c r="C69" s="13">
        <f t="shared" si="9"/>
        <v>64.867320944419944</v>
      </c>
      <c r="D69" s="13"/>
      <c r="Q69">
        <f t="shared" si="10"/>
        <v>6.1921661504913139</v>
      </c>
      <c r="U69">
        <v>30</v>
      </c>
      <c r="V69" s="13">
        <f t="shared" si="11"/>
        <v>1.3043478260869563</v>
      </c>
      <c r="W69">
        <v>0</v>
      </c>
    </row>
    <row r="70" spans="1:41">
      <c r="A70">
        <v>2039</v>
      </c>
      <c r="C70" s="13">
        <f t="shared" si="9"/>
        <v>64.910708088584371</v>
      </c>
      <c r="D70" s="13"/>
      <c r="Q70">
        <f t="shared" si="10"/>
        <v>6.588856976615471</v>
      </c>
      <c r="U70">
        <v>31</v>
      </c>
      <c r="V70" s="13">
        <f t="shared" si="11"/>
        <v>1.3043478260869563</v>
      </c>
      <c r="W70">
        <v>0</v>
      </c>
      <c r="AA70" t="s">
        <v>1131</v>
      </c>
    </row>
    <row r="71" spans="1:41">
      <c r="A71">
        <v>2040</v>
      </c>
      <c r="C71" s="13">
        <f t="shared" si="9"/>
        <v>64.939920419956465</v>
      </c>
      <c r="D71" s="13"/>
      <c r="Q71">
        <f t="shared" si="10"/>
        <v>6.9855478027396209</v>
      </c>
      <c r="U71">
        <v>32</v>
      </c>
      <c r="V71" s="13">
        <f t="shared" si="11"/>
        <v>1.3043478260869563</v>
      </c>
      <c r="W71">
        <v>0</v>
      </c>
      <c r="AA71" t="s">
        <v>324</v>
      </c>
      <c r="AB71" t="s">
        <v>1127</v>
      </c>
      <c r="AC71" t="s">
        <v>5</v>
      </c>
      <c r="AD71" t="s">
        <v>1128</v>
      </c>
      <c r="AE71" t="s">
        <v>1129</v>
      </c>
      <c r="AF71" t="s">
        <v>1130</v>
      </c>
    </row>
    <row r="72" spans="1:41">
      <c r="Z72">
        <v>2013</v>
      </c>
      <c r="AA72">
        <f>SUM(AR2:AR5)</f>
        <v>17.5</v>
      </c>
      <c r="AB72" s="14">
        <f>SUM(AS2:AS5)</f>
        <v>6.5</v>
      </c>
      <c r="AC72">
        <f>SUM(AT2:AT5)</f>
        <v>3.2</v>
      </c>
      <c r="AD72" s="14">
        <f>SUM(AU2:AU5)</f>
        <v>1.7</v>
      </c>
      <c r="AE72">
        <f>AA72+AC72</f>
        <v>20.7</v>
      </c>
      <c r="AF72" s="14">
        <f>AB72+AD72</f>
        <v>8.1999999999999993</v>
      </c>
    </row>
    <row r="73" spans="1:41">
      <c r="P73" s="41" t="s">
        <v>159</v>
      </c>
      <c r="Q73" s="41">
        <v>13.505745964786561</v>
      </c>
      <c r="Z73">
        <v>2014</v>
      </c>
      <c r="AA73">
        <f>SUM(AR6:AR9)</f>
        <v>11.5</v>
      </c>
      <c r="AB73">
        <f>SUM(AS6:AS9)</f>
        <v>11.5</v>
      </c>
      <c r="AC73">
        <f>SUM(AT6:AT9)</f>
        <v>6</v>
      </c>
      <c r="AD73">
        <f>SUM(AU6:AU9)</f>
        <v>6</v>
      </c>
      <c r="AE73">
        <f t="shared" ref="AE73:AF76" si="12">AA73+AC73</f>
        <v>17.5</v>
      </c>
      <c r="AF73">
        <f t="shared" si="12"/>
        <v>17.5</v>
      </c>
    </row>
    <row r="74" spans="1:41">
      <c r="P74" t="s">
        <v>329</v>
      </c>
      <c r="Q74" s="41">
        <v>0.39669082612415429</v>
      </c>
      <c r="Z74">
        <v>2015</v>
      </c>
      <c r="AA74">
        <f>SUM(AR10:AR13)</f>
        <v>39.5</v>
      </c>
      <c r="AB74" s="14">
        <f>SUM(AS10:AS13)</f>
        <v>18.5</v>
      </c>
      <c r="AC74">
        <f>SUM(AT10:AT13)</f>
        <v>5</v>
      </c>
      <c r="AD74">
        <f>SUM(AU10:AU13)</f>
        <v>5</v>
      </c>
      <c r="AE74">
        <f t="shared" si="12"/>
        <v>44.5</v>
      </c>
      <c r="AF74" s="14">
        <f t="shared" si="12"/>
        <v>23.5</v>
      </c>
    </row>
    <row r="75" spans="1:41">
      <c r="P75" t="s">
        <v>818</v>
      </c>
      <c r="Q75" s="41">
        <v>-14.730966858481908</v>
      </c>
      <c r="Z75">
        <v>2016</v>
      </c>
      <c r="AA75">
        <f>SUM(AR14:AR17)</f>
        <v>19.5</v>
      </c>
      <c r="AB75" s="14">
        <f>SUM(AS14:AS17)</f>
        <v>7.5</v>
      </c>
      <c r="AC75">
        <f>SUM(AT14:AT17)</f>
        <v>5</v>
      </c>
      <c r="AD75">
        <f>SUM(AU14:AU17)</f>
        <v>5</v>
      </c>
      <c r="AE75">
        <f t="shared" si="12"/>
        <v>24.5</v>
      </c>
      <c r="AF75" s="14">
        <f t="shared" si="12"/>
        <v>12.5</v>
      </c>
    </row>
    <row r="76" spans="1:41" ht="15.75" thickBot="1">
      <c r="P76" t="s">
        <v>1094</v>
      </c>
      <c r="Q76" s="42">
        <v>-3.3081579223133257</v>
      </c>
      <c r="Z76">
        <v>2017</v>
      </c>
      <c r="AA76">
        <f>SUM(AR18:AR21)</f>
        <v>2</v>
      </c>
      <c r="AB76">
        <f>SUM(AS18:AS21)</f>
        <v>2</v>
      </c>
      <c r="AC76">
        <f>SUM(AT18:AT21)</f>
        <v>8</v>
      </c>
      <c r="AD76">
        <f>SUM(AU18:AU21)</f>
        <v>8</v>
      </c>
      <c r="AE76">
        <f t="shared" si="12"/>
        <v>10</v>
      </c>
      <c r="AF76">
        <f t="shared" si="12"/>
        <v>10</v>
      </c>
    </row>
    <row r="79" spans="1:41">
      <c r="A79" t="s">
        <v>245</v>
      </c>
      <c r="W79" s="236" t="s">
        <v>1318</v>
      </c>
      <c r="X79" s="236"/>
      <c r="Y79" s="236"/>
      <c r="Z79" s="236"/>
      <c r="AB79" s="236" t="s">
        <v>1318</v>
      </c>
      <c r="AC79" s="236"/>
      <c r="AD79" s="236"/>
      <c r="AE79" s="236"/>
    </row>
    <row r="80" spans="1:41">
      <c r="F80" s="14" t="s">
        <v>282</v>
      </c>
      <c r="L80" t="s">
        <v>282</v>
      </c>
      <c r="X80" t="s">
        <v>1172</v>
      </c>
      <c r="AC80" t="s">
        <v>1184</v>
      </c>
      <c r="AO80" t="s">
        <v>1126</v>
      </c>
    </row>
    <row r="81" spans="1:44">
      <c r="B81" t="s">
        <v>1098</v>
      </c>
      <c r="C81" s="14" t="s">
        <v>1337</v>
      </c>
      <c r="D81" s="14" t="s">
        <v>1124</v>
      </c>
      <c r="E81" s="14" t="s">
        <v>1298</v>
      </c>
      <c r="F81" s="14" t="s">
        <v>1321</v>
      </c>
      <c r="G81" t="s">
        <v>1321</v>
      </c>
      <c r="H81" s="87" t="s">
        <v>1137</v>
      </c>
      <c r="I81" s="87" t="s">
        <v>1384</v>
      </c>
      <c r="J81" s="87" t="s">
        <v>1383</v>
      </c>
      <c r="K81" s="87" t="s">
        <v>1382</v>
      </c>
      <c r="L81" s="87" t="s">
        <v>1136</v>
      </c>
      <c r="M81" t="s">
        <v>1163</v>
      </c>
      <c r="O81" s="14" t="s">
        <v>1328</v>
      </c>
      <c r="P81" s="14" t="s">
        <v>1160</v>
      </c>
      <c r="Q81" s="14" t="s">
        <v>944</v>
      </c>
      <c r="R81" s="14" t="s">
        <v>1153</v>
      </c>
      <c r="S81" s="14" t="s">
        <v>1152</v>
      </c>
      <c r="U81" s="14" t="s">
        <v>1298</v>
      </c>
      <c r="X81" s="236" t="s">
        <v>1173</v>
      </c>
      <c r="Y81" s="236" t="s">
        <v>1147</v>
      </c>
      <c r="Z81" s="236" t="s">
        <v>1174</v>
      </c>
      <c r="AC81" s="236" t="s">
        <v>1173</v>
      </c>
      <c r="AD81" s="236" t="s">
        <v>1147</v>
      </c>
      <c r="AE81" s="236" t="s">
        <v>1174</v>
      </c>
      <c r="AG81" t="s">
        <v>1310</v>
      </c>
      <c r="AH81" t="s">
        <v>1296</v>
      </c>
      <c r="AI81" t="s">
        <v>960</v>
      </c>
      <c r="AL81" t="s">
        <v>329</v>
      </c>
      <c r="AM81" t="s">
        <v>1336</v>
      </c>
      <c r="AQ81" t="s">
        <v>1122</v>
      </c>
      <c r="AR81" t="s">
        <v>1123</v>
      </c>
    </row>
    <row r="82" spans="1:44">
      <c r="A82">
        <v>2009</v>
      </c>
      <c r="B82" s="13">
        <f>B4+B40</f>
        <v>7.7463534041350025E-3</v>
      </c>
      <c r="C82" s="13">
        <f>B82</f>
        <v>7.7463534041350025E-3</v>
      </c>
      <c r="D82" s="13"/>
      <c r="E82" s="13"/>
      <c r="F82" s="20"/>
      <c r="G82" s="13"/>
      <c r="H82" s="13"/>
      <c r="I82" s="84"/>
      <c r="J82" s="84"/>
      <c r="K82" s="84"/>
      <c r="L82" s="13"/>
      <c r="M82" s="13"/>
      <c r="N82" s="13"/>
      <c r="O82" s="13"/>
      <c r="P82" s="13"/>
      <c r="Q82" s="13"/>
      <c r="R82" s="13"/>
      <c r="S82" s="13"/>
      <c r="T82" s="13"/>
      <c r="U82" s="13"/>
      <c r="V82" s="13"/>
      <c r="W82">
        <v>2009</v>
      </c>
      <c r="AB82">
        <v>2009</v>
      </c>
      <c r="AQ82" s="3">
        <f>'EV %sales'!AS50</f>
        <v>387.279</v>
      </c>
      <c r="AR82">
        <f>'EV %sales'!P7</f>
        <v>0.03</v>
      </c>
    </row>
    <row r="83" spans="1:44">
      <c r="A83">
        <v>2010</v>
      </c>
      <c r="B83" s="13">
        <f t="shared" ref="B83:B90" si="13">B5+B41</f>
        <v>2.4841583154094411E-2</v>
      </c>
      <c r="C83" s="13">
        <f>B83</f>
        <v>2.4841583154094411E-2</v>
      </c>
      <c r="D83" s="13">
        <f>D5/0.9</f>
        <v>1.8063717185475493E-2</v>
      </c>
      <c r="E83" s="13">
        <f>65*EXP(AH83)/(1+EXP(AH83))</f>
        <v>2.4685199082849503E-2</v>
      </c>
      <c r="F83" s="20"/>
      <c r="G83" s="13"/>
      <c r="H83" s="13"/>
      <c r="I83" s="230"/>
      <c r="J83" s="230"/>
      <c r="K83" s="230"/>
      <c r="L83" s="13"/>
      <c r="M83" s="13"/>
      <c r="N83" s="13"/>
      <c r="O83" s="13"/>
      <c r="P83" s="13"/>
      <c r="Q83" s="13"/>
      <c r="R83" s="13"/>
      <c r="S83" s="13"/>
      <c r="T83" s="13"/>
      <c r="U83" s="13">
        <f>65*EXP(AH83)/(1+EXP(AH83))</f>
        <v>2.4685199082849503E-2</v>
      </c>
      <c r="V83" s="13"/>
      <c r="W83">
        <v>2010</v>
      </c>
      <c r="AB83">
        <v>2010</v>
      </c>
      <c r="AG83">
        <f t="shared" ref="AG83:AG88" si="14">LN(C83/(65-C83))</f>
        <v>-7.8692413085305812</v>
      </c>
      <c r="AH83">
        <f t="shared" ref="AH83:AH128" si="15">AE$134+AE$135*AL83+AE$136*AM83</f>
        <v>-7.8755588678420017</v>
      </c>
      <c r="AI83">
        <f t="shared" ref="AI83:AI128" si="16">AE$134+AE$135*AL83</f>
        <v>-5.3207792368616822</v>
      </c>
      <c r="AL83">
        <v>1</v>
      </c>
      <c r="AM83">
        <v>2</v>
      </c>
      <c r="AQ83" s="3">
        <f>'EV %sales'!AS51</f>
        <v>483.06099999999998</v>
      </c>
      <c r="AR83">
        <f>'EV %sales'!P8</f>
        <v>0.12</v>
      </c>
    </row>
    <row r="84" spans="1:44">
      <c r="A84">
        <v>2011</v>
      </c>
      <c r="B84" s="13">
        <f t="shared" si="13"/>
        <v>0.15829701196401622</v>
      </c>
      <c r="C84" s="13">
        <f>B84</f>
        <v>0.15829701196401622</v>
      </c>
      <c r="D84" s="13">
        <f t="shared" ref="D84:D89" si="17">D6/0.9</f>
        <v>3.6958756236446462E-2</v>
      </c>
      <c r="E84" s="13">
        <f t="shared" ref="E84:E128" si="18">65*EXP(AH84)/(1+EXP(AH84))</f>
        <v>0.16030483863318079</v>
      </c>
      <c r="F84" s="20"/>
      <c r="G84" s="13"/>
      <c r="H84" s="13"/>
      <c r="I84" s="230"/>
      <c r="J84" s="230"/>
      <c r="K84" s="230"/>
      <c r="L84" s="13"/>
      <c r="M84" s="13"/>
      <c r="N84" s="13"/>
      <c r="O84" s="13"/>
      <c r="P84" s="13"/>
      <c r="Q84" s="13"/>
      <c r="R84" s="13"/>
      <c r="S84" s="13"/>
      <c r="T84" s="13"/>
      <c r="U84" s="13">
        <f t="shared" ref="U84:U128" si="19">65*EXP(AH84)/(1+EXP(AH84))</f>
        <v>0.16030483863318079</v>
      </c>
      <c r="V84" s="13"/>
      <c r="W84">
        <v>2011</v>
      </c>
      <c r="AB84">
        <v>2011</v>
      </c>
      <c r="AG84">
        <f t="shared" si="14"/>
        <v>-6.0152311490428865</v>
      </c>
      <c r="AH84">
        <f t="shared" si="15"/>
        <v>-6.0025960304200439</v>
      </c>
      <c r="AI84">
        <f t="shared" si="16"/>
        <v>-4.7252062149298837</v>
      </c>
      <c r="AL84">
        <v>2</v>
      </c>
      <c r="AM84">
        <v>1</v>
      </c>
      <c r="AQ84" s="3">
        <f>'EV %sales'!AS52</f>
        <v>555.91700000000003</v>
      </c>
      <c r="AR84">
        <f>'EV %sales'!P9</f>
        <v>0.88</v>
      </c>
    </row>
    <row r="85" spans="1:44">
      <c r="A85">
        <v>2012</v>
      </c>
      <c r="B85" s="13">
        <f t="shared" si="13"/>
        <v>1.0188223448435054</v>
      </c>
      <c r="C85" s="13">
        <f>B85</f>
        <v>1.0188223448435054</v>
      </c>
      <c r="D85" s="13">
        <f t="shared" si="17"/>
        <v>7.5595422227524189E-2</v>
      </c>
      <c r="E85" s="13">
        <f>65*EXP(AH85)/(1+EXP(AH85))</f>
        <v>1.0292118863138331</v>
      </c>
      <c r="F85" s="13">
        <f>G85</f>
        <v>1.8433023734304723</v>
      </c>
      <c r="G85" s="84">
        <f>65*EXP(H85)/(1+EXP(H85))</f>
        <v>1.8433023734304723</v>
      </c>
      <c r="H85" s="84">
        <f>M85-SUM(I$85:I85)</f>
        <v>-3.5340601710662876</v>
      </c>
      <c r="I85" s="13">
        <f>L85*J85</f>
        <v>0</v>
      </c>
      <c r="J85" s="13">
        <f>IF(K85&lt;0,0,K85)</f>
        <v>1</v>
      </c>
      <c r="K85" s="13">
        <v>1</v>
      </c>
      <c r="L85" s="13">
        <v>0</v>
      </c>
      <c r="M85" s="13">
        <f>LN(P85/(65-P85))</f>
        <v>-3.5340601710662876</v>
      </c>
      <c r="N85" s="13"/>
      <c r="O85" s="84">
        <f t="shared" ref="O85:O92" si="20">P85</f>
        <v>1.8433023734304723</v>
      </c>
      <c r="P85" s="13">
        <f t="shared" ref="P85:P112" si="21">LOOKUP(ROUND(Q85,0),A$82:A$113,E$82:E$113)</f>
        <v>1.8433023734304723</v>
      </c>
      <c r="Q85" s="13">
        <f t="shared" ref="Q85:Q128" si="22">A85-(R85-R$88)</f>
        <v>2012.5991770975211</v>
      </c>
      <c r="R85" s="13">
        <f>AQ$94+AQ$95*S85+AQ$98*1</f>
        <v>2012.7883426289907</v>
      </c>
      <c r="S85" s="13">
        <f>'Netherlands '!T87</f>
        <v>0.73694323306133458</v>
      </c>
      <c r="T85" s="13"/>
      <c r="U85" s="13">
        <f t="shared" si="19"/>
        <v>1.0292118863138331</v>
      </c>
      <c r="V85" s="13"/>
      <c r="W85">
        <v>2012</v>
      </c>
      <c r="X85" s="13">
        <v>1.8433023734304723</v>
      </c>
      <c r="Y85" s="13">
        <v>1.8433023734304723</v>
      </c>
      <c r="Z85" s="13">
        <v>1.8433023734304723</v>
      </c>
      <c r="AB85">
        <v>2012</v>
      </c>
      <c r="AC85" s="13">
        <v>1.8433023734304723</v>
      </c>
      <c r="AD85" s="13">
        <f>Y85</f>
        <v>1.8433023734304723</v>
      </c>
      <c r="AE85" s="13">
        <v>1.8433023734304723</v>
      </c>
      <c r="AG85">
        <f t="shared" si="14"/>
        <v>-4.1399415445709336</v>
      </c>
      <c r="AH85">
        <f t="shared" si="15"/>
        <v>-4.1296331929980861</v>
      </c>
      <c r="AI85">
        <f t="shared" si="16"/>
        <v>-4.1296331929980861</v>
      </c>
      <c r="AL85">
        <v>3</v>
      </c>
      <c r="AM85">
        <v>0</v>
      </c>
      <c r="AQ85" s="3">
        <f>'EV %sales'!AS53</f>
        <v>502.541</v>
      </c>
      <c r="AR85">
        <f>'EV %sales'!P10</f>
        <v>5.12</v>
      </c>
    </row>
    <row r="86" spans="1:44">
      <c r="A86">
        <v>2013</v>
      </c>
      <c r="B86" s="72">
        <f t="shared" si="13"/>
        <v>5.3761893799877223</v>
      </c>
      <c r="C86" s="13">
        <f>AR86/AQ86*100</f>
        <v>1.9663136893799875</v>
      </c>
      <c r="D86" s="13">
        <f t="shared" si="17"/>
        <v>0.15452676328980294</v>
      </c>
      <c r="E86" s="13">
        <f t="shared" si="18"/>
        <v>1.8433023734304723</v>
      </c>
      <c r="F86" s="13">
        <f t="shared" ref="F86:F91" si="23">G86</f>
        <v>1.8433023734304723</v>
      </c>
      <c r="G86" s="84">
        <f t="shared" ref="G86:G128" si="24">65*EXP(H86)/(1+EXP(H86))</f>
        <v>1.8433023734304723</v>
      </c>
      <c r="H86" s="84">
        <f>M86-SUM(I$85:I86)</f>
        <v>-3.5340601710662876</v>
      </c>
      <c r="I86" s="13">
        <f t="shared" ref="I86:I128" si="25">L86*J86</f>
        <v>0</v>
      </c>
      <c r="J86" s="13">
        <f t="shared" ref="J86:J128" si="26">IF(K86&lt;0,0,K86)</f>
        <v>1</v>
      </c>
      <c r="K86" s="13">
        <v>1</v>
      </c>
      <c r="L86" s="13">
        <v>0</v>
      </c>
      <c r="M86" s="13">
        <f t="shared" ref="M86:M88" si="27">LN(P86/(65-P86))</f>
        <v>-3.5340601710662876</v>
      </c>
      <c r="N86" s="13"/>
      <c r="O86" s="84">
        <f t="shared" si="20"/>
        <v>1.8433023734304723</v>
      </c>
      <c r="P86" s="13">
        <f t="shared" si="21"/>
        <v>1.8433023734304723</v>
      </c>
      <c r="Q86" s="13">
        <f t="shared" si="22"/>
        <v>2013.3841953042024</v>
      </c>
      <c r="R86" s="13">
        <f>AQ$94+AQ$95*S86+AQ$98*1</f>
        <v>2013.0033244223093</v>
      </c>
      <c r="S86" s="13">
        <f>'Netherlands '!T88</f>
        <v>0.7568786656355585</v>
      </c>
      <c r="T86" s="13"/>
      <c r="U86" s="13">
        <f t="shared" si="19"/>
        <v>1.8433023734304723</v>
      </c>
      <c r="V86" s="13"/>
      <c r="W86">
        <v>2013</v>
      </c>
      <c r="X86" s="13">
        <v>1.8433023734304723</v>
      </c>
      <c r="Y86" s="13">
        <v>1.8433023734304723</v>
      </c>
      <c r="Z86" s="13">
        <v>1.8433023734304723</v>
      </c>
      <c r="AB86">
        <v>2013</v>
      </c>
      <c r="AC86" s="13">
        <v>1.8433023734304723</v>
      </c>
      <c r="AD86" s="13">
        <f t="shared" ref="AD86:AD123" si="28">Y86</f>
        <v>1.8433023734304723</v>
      </c>
      <c r="AE86" s="13">
        <v>1.8433023734304723</v>
      </c>
      <c r="AG86">
        <f t="shared" si="14"/>
        <v>-3.4675087206729849</v>
      </c>
      <c r="AH86">
        <f t="shared" si="15"/>
        <v>-3.5340601710662876</v>
      </c>
      <c r="AI86">
        <f t="shared" si="16"/>
        <v>-3.5340601710662876</v>
      </c>
      <c r="AL86">
        <v>4</v>
      </c>
      <c r="AM86">
        <v>0</v>
      </c>
      <c r="AQ86" s="3">
        <f>'EV %sales'!AS54</f>
        <v>417.024</v>
      </c>
      <c r="AR86" s="14">
        <f>AF72</f>
        <v>8.1999999999999993</v>
      </c>
    </row>
    <row r="87" spans="1:44">
      <c r="A87">
        <v>2014</v>
      </c>
      <c r="B87" s="72">
        <f t="shared" si="13"/>
        <v>3.8909301875846065</v>
      </c>
      <c r="C87" s="13">
        <f>AR87/AQ87*100</f>
        <v>3.8909301875846061</v>
      </c>
      <c r="D87" s="13">
        <f t="shared" si="17"/>
        <v>0.31547211608404252</v>
      </c>
      <c r="E87" s="13">
        <f t="shared" si="18"/>
        <v>3.2684255704696215</v>
      </c>
      <c r="F87" s="13">
        <f t="shared" si="23"/>
        <v>3.2684255704696215</v>
      </c>
      <c r="G87" s="84">
        <f t="shared" si="24"/>
        <v>3.2684255704696215</v>
      </c>
      <c r="H87" s="84">
        <f>M87-SUM(I$85:I87)</f>
        <v>-2.9384871491344891</v>
      </c>
      <c r="I87" s="13">
        <f t="shared" si="25"/>
        <v>0</v>
      </c>
      <c r="J87" s="13">
        <f t="shared" si="26"/>
        <v>1</v>
      </c>
      <c r="K87" s="13">
        <v>1</v>
      </c>
      <c r="L87" s="13">
        <v>0</v>
      </c>
      <c r="M87" s="13">
        <f t="shared" si="27"/>
        <v>-2.9384871491344891</v>
      </c>
      <c r="N87" s="13"/>
      <c r="O87" s="84">
        <f t="shared" si="20"/>
        <v>3.2684255704696215</v>
      </c>
      <c r="P87" s="13">
        <f t="shared" si="21"/>
        <v>3.2684255704696215</v>
      </c>
      <c r="Q87" s="13">
        <f t="shared" si="22"/>
        <v>2014.1920976521012</v>
      </c>
      <c r="R87" s="13">
        <f t="shared" ref="R87:R127" si="29">AQ$94+AQ$95*S87+AQ$98*1</f>
        <v>2013.1954220744105</v>
      </c>
      <c r="S87" s="20">
        <f>(S86+S88)/2</f>
        <v>0.77469203360505423</v>
      </c>
      <c r="T87" s="13"/>
      <c r="U87" s="13">
        <f t="shared" si="19"/>
        <v>3.2684255704696215</v>
      </c>
      <c r="V87" s="13"/>
      <c r="W87">
        <v>2014</v>
      </c>
      <c r="X87" s="13">
        <v>3.2684255704696215</v>
      </c>
      <c r="Y87" s="13">
        <v>3.2684255704696215</v>
      </c>
      <c r="Z87" s="13">
        <v>3.2684255704696215</v>
      </c>
      <c r="AB87">
        <v>2014</v>
      </c>
      <c r="AC87" s="13">
        <v>3.2684255704696215</v>
      </c>
      <c r="AD87" s="13">
        <f t="shared" si="28"/>
        <v>3.2684255704696215</v>
      </c>
      <c r="AE87" s="13">
        <v>3.2684255704696215</v>
      </c>
      <c r="AG87">
        <f t="shared" si="14"/>
        <v>-2.754012045445382</v>
      </c>
      <c r="AH87">
        <f t="shared" si="15"/>
        <v>-2.9384871491344891</v>
      </c>
      <c r="AI87">
        <f t="shared" si="16"/>
        <v>-2.9384871491344891</v>
      </c>
      <c r="AL87">
        <v>5</v>
      </c>
      <c r="AM87">
        <v>0</v>
      </c>
      <c r="AQ87" s="3">
        <f>'EV %sales'!AS55</f>
        <v>387.82499999999999</v>
      </c>
      <c r="AR87">
        <f>'EV %sales'!P12</f>
        <v>15.09</v>
      </c>
    </row>
    <row r="88" spans="1:44">
      <c r="A88">
        <v>2015</v>
      </c>
      <c r="B88" s="72">
        <f>B10+B46</f>
        <v>9.6753229528634712</v>
      </c>
      <c r="C88" s="13">
        <f>AR88/AQ88*100</f>
        <v>5.1946559148341693</v>
      </c>
      <c r="D88" s="13">
        <f t="shared" si="17"/>
        <v>0.64238739960625513</v>
      </c>
      <c r="E88" s="13">
        <f>65*EXP(AH88)/(1+EXP(AH88))</f>
        <v>5.6959919762793181</v>
      </c>
      <c r="F88" s="13">
        <f t="shared" si="23"/>
        <v>5.6959919762793181</v>
      </c>
      <c r="G88" s="84">
        <f t="shared" si="24"/>
        <v>5.6959919762793181</v>
      </c>
      <c r="H88" s="84">
        <f>M88-SUM(I$85:I88)</f>
        <v>-2.342914127202691</v>
      </c>
      <c r="I88" s="13">
        <f t="shared" si="25"/>
        <v>0</v>
      </c>
      <c r="J88" s="13">
        <f t="shared" si="26"/>
        <v>1</v>
      </c>
      <c r="K88" s="13">
        <v>1</v>
      </c>
      <c r="L88" s="13">
        <v>0</v>
      </c>
      <c r="M88" s="13">
        <f t="shared" si="27"/>
        <v>-2.342914127202691</v>
      </c>
      <c r="N88" s="13"/>
      <c r="O88" s="84">
        <f t="shared" si="20"/>
        <v>5.6959919762793181</v>
      </c>
      <c r="P88" s="13">
        <f t="shared" si="21"/>
        <v>5.6959919762793181</v>
      </c>
      <c r="Q88" s="13">
        <f t="shared" si="22"/>
        <v>2015</v>
      </c>
      <c r="R88" s="13">
        <f t="shared" si="29"/>
        <v>2013.3875197265118</v>
      </c>
      <c r="S88" s="13">
        <f>'Netherlands '!T90</f>
        <v>0.79250540157455007</v>
      </c>
      <c r="T88" s="13"/>
      <c r="U88" s="13">
        <f t="shared" si="19"/>
        <v>5.6959919762793181</v>
      </c>
      <c r="V88" s="13"/>
      <c r="W88">
        <v>2015</v>
      </c>
      <c r="X88" s="13">
        <v>5.6959919762793181</v>
      </c>
      <c r="Y88" s="13">
        <v>5.6959919762793181</v>
      </c>
      <c r="Z88" s="13">
        <v>5.6959919762793181</v>
      </c>
      <c r="AB88">
        <v>2015</v>
      </c>
      <c r="AC88" s="13">
        <v>5.6959919762793181</v>
      </c>
      <c r="AD88" s="13">
        <f t="shared" si="28"/>
        <v>5.6959919762793181</v>
      </c>
      <c r="AE88" s="13">
        <v>5.6959919762793181</v>
      </c>
      <c r="AG88">
        <f t="shared" si="14"/>
        <v>-2.4434646344893807</v>
      </c>
      <c r="AH88">
        <f t="shared" si="15"/>
        <v>-2.342914127202691</v>
      </c>
      <c r="AI88">
        <f t="shared" si="16"/>
        <v>-2.342914127202691</v>
      </c>
      <c r="AL88">
        <v>6</v>
      </c>
      <c r="AM88">
        <v>0</v>
      </c>
      <c r="AQ88" s="3">
        <f>'EV %sales'!AS56</f>
        <v>452.38799999999998</v>
      </c>
      <c r="AR88" s="14">
        <f>AF74</f>
        <v>23.5</v>
      </c>
    </row>
    <row r="89" spans="1:44">
      <c r="A89">
        <v>2016</v>
      </c>
      <c r="B89" s="13">
        <f t="shared" si="13"/>
        <v>5.9516815787968751</v>
      </c>
      <c r="C89" s="13">
        <f>AR89/AQ89*100</f>
        <v>3.249302049919677</v>
      </c>
      <c r="D89" s="13">
        <f t="shared" si="17"/>
        <v>1.301261093889897</v>
      </c>
      <c r="E89" s="13">
        <f>65*EXP(AH89)/(1+EXP(AH89))</f>
        <v>9.6448869592081987</v>
      </c>
      <c r="F89" s="13">
        <f t="shared" si="23"/>
        <v>3.2684255704696215</v>
      </c>
      <c r="G89" s="84">
        <f t="shared" si="24"/>
        <v>3.2684255704696215</v>
      </c>
      <c r="H89" s="84">
        <f>M89-SUM(L$85:L89)</f>
        <v>-2.9384871491344891</v>
      </c>
      <c r="I89" s="13">
        <f t="shared" si="25"/>
        <v>0</v>
      </c>
      <c r="J89" s="13">
        <f t="shared" si="26"/>
        <v>1</v>
      </c>
      <c r="K89" s="13">
        <v>1</v>
      </c>
      <c r="L89" s="13">
        <v>0</v>
      </c>
      <c r="M89" s="13">
        <f>LN(P89/(65-P89))</f>
        <v>-2.9384871491344891</v>
      </c>
      <c r="N89" s="13"/>
      <c r="O89" s="84">
        <f t="shared" si="20"/>
        <v>3.2684255704696215</v>
      </c>
      <c r="P89" s="13">
        <f t="shared" si="21"/>
        <v>3.2684255704696215</v>
      </c>
      <c r="Q89" s="13">
        <f t="shared" si="22"/>
        <v>2013.9875542498887</v>
      </c>
      <c r="R89" s="13">
        <f t="shared" si="29"/>
        <v>2015.399965476623</v>
      </c>
      <c r="S89" s="20">
        <f>(S88+S90)/2</f>
        <v>0.97912109558888927</v>
      </c>
      <c r="T89" s="13"/>
      <c r="U89" s="13">
        <f t="shared" si="19"/>
        <v>9.6448869592081987</v>
      </c>
      <c r="V89" s="13"/>
      <c r="W89">
        <v>2016</v>
      </c>
      <c r="X89" s="13">
        <v>3.2684255704696215</v>
      </c>
      <c r="Y89" s="13">
        <v>3.2684255704696215</v>
      </c>
      <c r="Z89" s="13">
        <v>3.2684255704696215</v>
      </c>
      <c r="AB89">
        <v>2016</v>
      </c>
      <c r="AC89" s="13">
        <v>3.2684255704696215</v>
      </c>
      <c r="AD89" s="13">
        <f t="shared" si="28"/>
        <v>3.2684255704696215</v>
      </c>
      <c r="AE89" s="13">
        <v>3.2684255704696215</v>
      </c>
      <c r="AH89">
        <f t="shared" si="15"/>
        <v>-1.7473411052708929</v>
      </c>
      <c r="AI89">
        <f t="shared" si="16"/>
        <v>-1.7473411052708929</v>
      </c>
      <c r="AL89">
        <v>7</v>
      </c>
      <c r="AM89">
        <v>0</v>
      </c>
      <c r="AQ89" s="3">
        <f>'EV %sales'!AS57</f>
        <v>384.69799999999998</v>
      </c>
      <c r="AR89" s="14">
        <f>AF75</f>
        <v>12.5</v>
      </c>
    </row>
    <row r="90" spans="1:44">
      <c r="A90">
        <v>2017</v>
      </c>
      <c r="B90" s="13">
        <f t="shared" si="13"/>
        <v>2.6638554216867472</v>
      </c>
      <c r="C90" s="13">
        <f>AR90/AQ90*100</f>
        <v>2.6418232523460965</v>
      </c>
      <c r="D90" s="13">
        <f>D12/0.9</f>
        <v>2.6085272059144247</v>
      </c>
      <c r="E90" s="13">
        <f>65*EXP(AH90)/(1+EXP(AH90))</f>
        <v>15.610808434297555</v>
      </c>
      <c r="F90" s="13">
        <f t="shared" si="23"/>
        <v>1.8433023734304723</v>
      </c>
      <c r="G90" s="84">
        <f t="shared" si="24"/>
        <v>1.8433023734304723</v>
      </c>
      <c r="H90" s="84">
        <f>M90-SUM(L$85:L90)</f>
        <v>-3.5340601710662876</v>
      </c>
      <c r="I90" s="13">
        <f t="shared" si="25"/>
        <v>0</v>
      </c>
      <c r="J90" s="13">
        <f t="shared" si="26"/>
        <v>1</v>
      </c>
      <c r="K90" s="13">
        <v>1</v>
      </c>
      <c r="L90" s="13">
        <v>0</v>
      </c>
      <c r="M90" s="13">
        <f>LN(O90/(65-O90))</f>
        <v>-3.5340601710662876</v>
      </c>
      <c r="N90" s="13"/>
      <c r="O90" s="84">
        <f t="shared" si="20"/>
        <v>1.8433023734304723</v>
      </c>
      <c r="P90" s="13">
        <f t="shared" si="21"/>
        <v>1.8433023734304723</v>
      </c>
      <c r="Q90" s="13">
        <f t="shared" si="22"/>
        <v>2012.9751084997774</v>
      </c>
      <c r="R90" s="13">
        <f t="shared" si="29"/>
        <v>2017.4124112267343</v>
      </c>
      <c r="S90" s="13">
        <f>'Netherlands '!T92</f>
        <v>1.1657367896032285</v>
      </c>
      <c r="T90" s="13"/>
      <c r="U90" s="13">
        <f t="shared" si="19"/>
        <v>15.610808434297555</v>
      </c>
      <c r="V90" s="13"/>
      <c r="W90">
        <v>2017</v>
      </c>
      <c r="X90" s="13">
        <v>1.8433023734304723</v>
      </c>
      <c r="Y90" s="13">
        <v>1.8433023734304723</v>
      </c>
      <c r="Z90" s="13">
        <v>1.8433023734304723</v>
      </c>
      <c r="AB90">
        <v>2017</v>
      </c>
      <c r="AC90" s="13">
        <v>1.8433023734304723</v>
      </c>
      <c r="AD90" s="13">
        <f t="shared" si="28"/>
        <v>1.8433023734304723</v>
      </c>
      <c r="AE90" s="13">
        <v>1.8433023734304723</v>
      </c>
      <c r="AH90">
        <f t="shared" si="15"/>
        <v>-1.1517680833390944</v>
      </c>
      <c r="AI90">
        <f t="shared" si="16"/>
        <v>-1.1517680833390944</v>
      </c>
      <c r="AL90">
        <v>8</v>
      </c>
      <c r="AM90">
        <v>0</v>
      </c>
      <c r="AQ90" s="3">
        <f>'EV %sales'!AS58</f>
        <v>418.46100000000001</v>
      </c>
      <c r="AR90">
        <f>'EV %sales'!P15</f>
        <v>11.055</v>
      </c>
    </row>
    <row r="91" spans="1:44">
      <c r="A91">
        <v>2018</v>
      </c>
      <c r="B91" s="13">
        <f>C132</f>
        <v>5.7220294751956517</v>
      </c>
      <c r="C91" s="13">
        <f>C132</f>
        <v>5.7220294751956517</v>
      </c>
      <c r="D91" s="13">
        <f>AVERAGE(G90:G92)</f>
        <v>4.4117621086630363</v>
      </c>
      <c r="E91" s="13">
        <f>65*EXP(AH91)/(1+EXP(AH91))</f>
        <v>23.687839848159406</v>
      </c>
      <c r="F91" s="13">
        <f t="shared" si="23"/>
        <v>5.6959919762793181</v>
      </c>
      <c r="G91" s="84">
        <f>65*EXP(H91)/(1+EXP(H91))</f>
        <v>5.6959919762793181</v>
      </c>
      <c r="H91" s="84">
        <f>M91-SUM(L$85:L91)</f>
        <v>-2.342914127202691</v>
      </c>
      <c r="I91" s="13">
        <f t="shared" si="25"/>
        <v>0</v>
      </c>
      <c r="J91" s="13">
        <v>1</v>
      </c>
      <c r="K91" s="13">
        <v>1</v>
      </c>
      <c r="L91" s="13">
        <v>0</v>
      </c>
      <c r="M91" s="13">
        <f t="shared" ref="M91:M128" si="30">LN(O91/(65-O91))</f>
        <v>-2.342914127202691</v>
      </c>
      <c r="N91" s="13"/>
      <c r="O91" s="84">
        <f t="shared" si="20"/>
        <v>5.6959919762793181</v>
      </c>
      <c r="P91" s="13">
        <f t="shared" si="21"/>
        <v>5.6959919762793181</v>
      </c>
      <c r="Q91" s="13">
        <f t="shared" si="22"/>
        <v>2015.2706584574282</v>
      </c>
      <c r="R91" s="13">
        <f t="shared" si="29"/>
        <v>2016.1168612690835</v>
      </c>
      <c r="S91" s="13">
        <f>AVERAGE('Netherlands '!T91:U91)</f>
        <v>1.045599412253376</v>
      </c>
      <c r="T91" s="13"/>
      <c r="U91" s="13">
        <f t="shared" si="19"/>
        <v>23.687839848159406</v>
      </c>
      <c r="V91" s="13"/>
      <c r="W91">
        <v>2018</v>
      </c>
      <c r="X91" s="13">
        <v>5.6959919762793181</v>
      </c>
      <c r="Y91" s="13">
        <v>5.6959919762793181</v>
      </c>
      <c r="Z91" s="13">
        <v>5.6959919762793181</v>
      </c>
      <c r="AB91">
        <v>2018</v>
      </c>
      <c r="AC91" s="13">
        <v>5.6959919762793181</v>
      </c>
      <c r="AD91" s="13">
        <f t="shared" si="28"/>
        <v>5.6959919762793181</v>
      </c>
      <c r="AE91" s="13">
        <v>5.6959919762793181</v>
      </c>
      <c r="AH91">
        <f t="shared" si="15"/>
        <v>-0.55619506140729591</v>
      </c>
      <c r="AI91">
        <f t="shared" si="16"/>
        <v>-0.55619506140729591</v>
      </c>
      <c r="AL91">
        <v>9</v>
      </c>
      <c r="AM91">
        <v>0</v>
      </c>
    </row>
    <row r="92" spans="1:44">
      <c r="A92">
        <v>2019</v>
      </c>
      <c r="B92" s="13"/>
      <c r="D92" s="13">
        <f>AVERAGE(G90:G94)</f>
        <v>6.5472336108152431</v>
      </c>
      <c r="E92" s="13">
        <f t="shared" si="18"/>
        <v>33.139809185381857</v>
      </c>
      <c r="F92" s="13">
        <f t="shared" ref="F92:F122" si="31">AVERAGE(G90:G94)</f>
        <v>6.5472336108152431</v>
      </c>
      <c r="G92" s="84">
        <f>65*EXP(H92)/(1+EXP(H92))</f>
        <v>5.6959919762793181</v>
      </c>
      <c r="H92" s="84">
        <f>M92-SUM(L$85:L92)</f>
        <v>-2.342914127202691</v>
      </c>
      <c r="I92" s="13">
        <f>L92*J92</f>
        <v>0</v>
      </c>
      <c r="J92" s="13">
        <f t="shared" si="26"/>
        <v>1</v>
      </c>
      <c r="K92" s="13">
        <v>1</v>
      </c>
      <c r="L92" s="13">
        <v>0</v>
      </c>
      <c r="M92" s="13">
        <f t="shared" si="30"/>
        <v>-2.342914127202691</v>
      </c>
      <c r="N92" s="13"/>
      <c r="O92" s="84">
        <f t="shared" si="20"/>
        <v>5.6959919762793181</v>
      </c>
      <c r="P92" s="13">
        <f t="shared" si="21"/>
        <v>5.6959919762793181</v>
      </c>
      <c r="Q92" s="13">
        <f t="shared" si="22"/>
        <v>2015.4835023650444</v>
      </c>
      <c r="R92" s="13">
        <f t="shared" si="29"/>
        <v>2016.9040173614674</v>
      </c>
      <c r="S92" s="13">
        <f>AVERAGE('Netherlands '!T92:U92)</f>
        <v>1.1185930223766274</v>
      </c>
      <c r="T92" s="13"/>
      <c r="U92" s="13">
        <f t="shared" si="19"/>
        <v>33.139809185381857</v>
      </c>
      <c r="V92" s="13"/>
      <c r="W92">
        <v>2019</v>
      </c>
      <c r="X92" s="13">
        <v>6.8244264419380185</v>
      </c>
      <c r="Y92" s="13">
        <v>6.5472336108152431</v>
      </c>
      <c r="Z92" s="13">
        <v>6.5472336108152431</v>
      </c>
      <c r="AB92">
        <v>2019</v>
      </c>
      <c r="AC92" s="13">
        <v>6.5472336108152431</v>
      </c>
      <c r="AD92" s="13">
        <f t="shared" si="28"/>
        <v>6.5472336108152431</v>
      </c>
      <c r="AE92" s="13">
        <v>7.1128696315846103</v>
      </c>
      <c r="AH92">
        <f t="shared" si="15"/>
        <v>3.9377960524502598E-2</v>
      </c>
      <c r="AI92">
        <f t="shared" si="16"/>
        <v>3.9377960524502598E-2</v>
      </c>
      <c r="AL92">
        <v>10</v>
      </c>
      <c r="AM92">
        <v>0</v>
      </c>
    </row>
    <row r="93" spans="1:44">
      <c r="A93">
        <v>2020</v>
      </c>
      <c r="B93" s="13"/>
      <c r="D93" s="13">
        <f t="shared" ref="D93:D128" si="32">AVERAGE(G91:G95)</f>
        <v>9.0292647735608416</v>
      </c>
      <c r="E93" s="13">
        <f t="shared" si="18"/>
        <v>42.484730160291178</v>
      </c>
      <c r="F93" s="13">
        <f t="shared" si="31"/>
        <v>9.0292647735608416</v>
      </c>
      <c r="G93" s="84">
        <f>65*EXP(H93)/(1+EXP(H93))</f>
        <v>8.1476112133992054</v>
      </c>
      <c r="H93" s="84">
        <f>M93-SUM(L$85:L93)</f>
        <v>-1.9427334567878471</v>
      </c>
      <c r="I93" s="13">
        <f t="shared" si="25"/>
        <v>0.27500000000000002</v>
      </c>
      <c r="J93" s="13">
        <f t="shared" si="26"/>
        <v>1</v>
      </c>
      <c r="K93" s="13">
        <f t="shared" ref="K93:K128" si="33">IF((S93-0.6)/0.3&gt;1,1,(S93-0.6)/0.3)</f>
        <v>1</v>
      </c>
      <c r="L93" s="231">
        <v>0.27500000000000002</v>
      </c>
      <c r="M93" s="13">
        <f t="shared" si="30"/>
        <v>-1.667733456787847</v>
      </c>
      <c r="N93" s="13"/>
      <c r="O93" s="84">
        <f>AVERAGE(P92:P94)</f>
        <v>10.31722912326169</v>
      </c>
      <c r="P93" s="13">
        <f t="shared" si="21"/>
        <v>9.6448869592081987</v>
      </c>
      <c r="Q93" s="13">
        <f t="shared" si="22"/>
        <v>2016.3245118236994</v>
      </c>
      <c r="R93" s="13">
        <f t="shared" si="29"/>
        <v>2017.0630079028124</v>
      </c>
      <c r="S93" s="13">
        <f>AVERAGE('Netherlands '!T93:U93)</f>
        <v>1.1333363416502913</v>
      </c>
      <c r="T93" s="13"/>
      <c r="U93" s="13">
        <f t="shared" si="19"/>
        <v>42.484730160291178</v>
      </c>
      <c r="V93" s="13"/>
      <c r="W93">
        <v>2020</v>
      </c>
      <c r="X93" s="13">
        <v>9.7913488281928576</v>
      </c>
      <c r="Y93" s="13">
        <v>9.0292647735608416</v>
      </c>
      <c r="Z93" s="13">
        <v>9.0292647735608416</v>
      </c>
      <c r="AB93">
        <v>2020</v>
      </c>
      <c r="AC93" s="13">
        <v>8.6880564261336239</v>
      </c>
      <c r="AD93" s="13">
        <f t="shared" si="28"/>
        <v>9.0292647735608416</v>
      </c>
      <c r="AE93" s="13">
        <v>10.509034669876851</v>
      </c>
      <c r="AH93">
        <f t="shared" si="15"/>
        <v>0.63495098245630022</v>
      </c>
      <c r="AI93">
        <f t="shared" si="16"/>
        <v>0.63495098245630022</v>
      </c>
      <c r="AL93">
        <v>11</v>
      </c>
      <c r="AM93">
        <v>0</v>
      </c>
      <c r="AP93" t="s">
        <v>1151</v>
      </c>
    </row>
    <row r="94" spans="1:44">
      <c r="A94">
        <v>2021</v>
      </c>
      <c r="B94" s="13"/>
      <c r="D94" s="13">
        <f t="shared" si="32"/>
        <v>11.1603586919554</v>
      </c>
      <c r="E94" s="13">
        <f t="shared" si="18"/>
        <v>50.304167818683801</v>
      </c>
      <c r="F94" s="13">
        <f t="shared" si="31"/>
        <v>11.1603586919554</v>
      </c>
      <c r="G94" s="84">
        <f t="shared" si="24"/>
        <v>11.353270514687907</v>
      </c>
      <c r="H94" s="84">
        <f>M94-SUM(L$85:L94)</f>
        <v>-1.5529146535256548</v>
      </c>
      <c r="I94" s="13">
        <f t="shared" si="25"/>
        <v>0.28375</v>
      </c>
      <c r="J94" s="13">
        <f t="shared" si="26"/>
        <v>1</v>
      </c>
      <c r="K94" s="13">
        <f t="shared" si="33"/>
        <v>1</v>
      </c>
      <c r="L94" s="20">
        <f>L93+(L113-L93)/20</f>
        <v>0.28375</v>
      </c>
      <c r="M94" s="13">
        <f t="shared" si="30"/>
        <v>-0.99416465352565486</v>
      </c>
      <c r="N94" s="13"/>
      <c r="O94" s="84">
        <f>AVERAGE(P92:P96)</f>
        <v>17.555867280665268</v>
      </c>
      <c r="P94" s="13">
        <f t="shared" si="21"/>
        <v>15.610808434297555</v>
      </c>
      <c r="Q94" s="13">
        <f t="shared" si="22"/>
        <v>2017.0776809434149</v>
      </c>
      <c r="R94" s="13">
        <f t="shared" si="29"/>
        <v>2017.3098387830969</v>
      </c>
      <c r="S94" s="13">
        <f>AVERAGE('Netherlands '!T94:U94)</f>
        <v>1.1562251653743121</v>
      </c>
      <c r="T94" s="13"/>
      <c r="U94" s="13">
        <f t="shared" si="19"/>
        <v>50.304167818683801</v>
      </c>
      <c r="V94" s="13"/>
      <c r="W94">
        <v>2021</v>
      </c>
      <c r="X94" s="13">
        <v>12.442047102615827</v>
      </c>
      <c r="Y94" s="13">
        <v>11.1603586919554</v>
      </c>
      <c r="Z94" s="13">
        <v>11.1603586919554</v>
      </c>
      <c r="AB94">
        <v>2021</v>
      </c>
      <c r="AC94" s="13">
        <v>10.280328952863826</v>
      </c>
      <c r="AD94" s="13">
        <f t="shared" si="28"/>
        <v>11.1603586919554</v>
      </c>
      <c r="AE94" s="13">
        <v>13.730153842059597</v>
      </c>
      <c r="AH94">
        <f t="shared" si="15"/>
        <v>1.2305240043880987</v>
      </c>
      <c r="AI94">
        <f t="shared" si="16"/>
        <v>1.2305240043880987</v>
      </c>
      <c r="AL94">
        <v>12</v>
      </c>
      <c r="AM94">
        <v>0</v>
      </c>
      <c r="AP94" s="41" t="str">
        <f>' All EV uptake'!D46</f>
        <v>Intercept</v>
      </c>
      <c r="AQ94" s="41">
        <f>' All EV uptake'!E46</f>
        <v>2006.0956444042549</v>
      </c>
    </row>
    <row r="95" spans="1:44">
      <c r="A95">
        <v>2022</v>
      </c>
      <c r="B95" s="13"/>
      <c r="D95" s="13">
        <f t="shared" si="32"/>
        <v>13.704534636337453</v>
      </c>
      <c r="E95" s="13">
        <f t="shared" si="18"/>
        <v>55.984247460872368</v>
      </c>
      <c r="F95" s="13">
        <f t="shared" si="31"/>
        <v>13.704534636337453</v>
      </c>
      <c r="G95" s="84">
        <f t="shared" si="24"/>
        <v>14.25345818715846</v>
      </c>
      <c r="H95" s="84">
        <f>M95-SUM(L$85:L95)</f>
        <v>-1.2698439169079916</v>
      </c>
      <c r="I95" s="13">
        <f t="shared" si="25"/>
        <v>0.29249999999999998</v>
      </c>
      <c r="J95" s="13">
        <f t="shared" si="26"/>
        <v>1</v>
      </c>
      <c r="K95" s="13">
        <f t="shared" si="33"/>
        <v>1</v>
      </c>
      <c r="L95" s="20">
        <f>L94+(L113-L93)/20</f>
        <v>0.29249999999999998</v>
      </c>
      <c r="M95" s="13">
        <f t="shared" si="30"/>
        <v>-0.41859391690799147</v>
      </c>
      <c r="N95" s="13"/>
      <c r="O95" s="84">
        <f>AVERAGE(P92:P98)</f>
        <v>25.795462054614472</v>
      </c>
      <c r="P95" s="13">
        <f t="shared" si="21"/>
        <v>23.687839848159406</v>
      </c>
      <c r="Q95" s="13">
        <f t="shared" si="22"/>
        <v>2018.1402399298881</v>
      </c>
      <c r="R95" s="13">
        <f t="shared" si="29"/>
        <v>2017.2472797966236</v>
      </c>
      <c r="S95" s="13">
        <f>AVERAGE('Netherlands '!T95:U95)</f>
        <v>1.1504240208332055</v>
      </c>
      <c r="T95" s="13"/>
      <c r="U95" s="13">
        <f t="shared" si="19"/>
        <v>55.984247460872368</v>
      </c>
      <c r="V95" s="13"/>
      <c r="W95">
        <v>2022</v>
      </c>
      <c r="X95" s="13">
        <v>15.639891158188888</v>
      </c>
      <c r="Y95" s="13">
        <v>13.704534636337453</v>
      </c>
      <c r="Z95" s="13">
        <v>13.704534636337453</v>
      </c>
      <c r="AB95">
        <v>2022</v>
      </c>
      <c r="AC95" s="13">
        <v>12.09210956000525</v>
      </c>
      <c r="AD95" s="13">
        <f t="shared" si="28"/>
        <v>13.704534636337453</v>
      </c>
      <c r="AE95" s="13">
        <v>17.670522293550739</v>
      </c>
      <c r="AH95">
        <f t="shared" si="15"/>
        <v>1.8260970263198972</v>
      </c>
      <c r="AI95">
        <f t="shared" si="16"/>
        <v>1.8260970263198972</v>
      </c>
      <c r="AL95">
        <v>13</v>
      </c>
      <c r="AM95">
        <v>0</v>
      </c>
      <c r="AP95" s="41" t="str">
        <f>' All EV uptake'!D47</f>
        <v>EV/FFV cost ratio</v>
      </c>
      <c r="AQ95" s="41">
        <f>' All EV uptake'!E47</f>
        <v>10.783904112355547</v>
      </c>
    </row>
    <row r="96" spans="1:44">
      <c r="A96">
        <v>2023</v>
      </c>
      <c r="B96" s="13"/>
      <c r="D96" s="13">
        <f t="shared" si="32"/>
        <v>16.219124474894382</v>
      </c>
      <c r="E96" s="13">
        <f t="shared" si="18"/>
        <v>59.700218311068888</v>
      </c>
      <c r="F96" s="13">
        <f t="shared" si="31"/>
        <v>16.219124474894382</v>
      </c>
      <c r="G96" s="84">
        <f t="shared" si="24"/>
        <v>16.351461568252109</v>
      </c>
      <c r="H96" s="84">
        <f>M96-SUM(L$85:L96)</f>
        <v>-1.0903044797662067</v>
      </c>
      <c r="I96" s="13">
        <f t="shared" si="25"/>
        <v>0.30124999999999996</v>
      </c>
      <c r="J96" s="13">
        <f t="shared" si="26"/>
        <v>1</v>
      </c>
      <c r="K96" s="13">
        <f t="shared" si="33"/>
        <v>1</v>
      </c>
      <c r="L96" s="20">
        <f>L95+(L113-L93)/20</f>
        <v>0.30124999999999996</v>
      </c>
      <c r="M96" s="13">
        <f t="shared" si="30"/>
        <v>6.2195520233793399E-2</v>
      </c>
      <c r="N96" s="13"/>
      <c r="O96" s="84">
        <f>AVERAGE(P93:P99)</f>
        <v>33.510351531012979</v>
      </c>
      <c r="P96" s="13">
        <f t="shared" si="21"/>
        <v>33.139809185381857</v>
      </c>
      <c r="Q96" s="13">
        <f t="shared" si="22"/>
        <v>2019.4775712355038</v>
      </c>
      <c r="R96" s="13">
        <f t="shared" si="29"/>
        <v>2016.909948491008</v>
      </c>
      <c r="S96" s="13">
        <f>AVERAGE('Netherlands '!T96:U96)</f>
        <v>1.1191430207333217</v>
      </c>
      <c r="T96" s="13"/>
      <c r="U96" s="13">
        <f t="shared" si="19"/>
        <v>59.700218311068888</v>
      </c>
      <c r="V96" s="13"/>
      <c r="W96">
        <v>2023</v>
      </c>
      <c r="X96" s="13">
        <v>19.054627625972266</v>
      </c>
      <c r="Y96" s="13">
        <v>16.219124474894382</v>
      </c>
      <c r="Z96" s="13">
        <v>16.219124474894382</v>
      </c>
      <c r="AB96">
        <v>2023</v>
      </c>
      <c r="AC96" s="13">
        <v>13.622040261214432</v>
      </c>
      <c r="AD96" s="13">
        <f t="shared" si="28"/>
        <v>16.219124474894382</v>
      </c>
      <c r="AE96" s="13">
        <v>22.203364403418167</v>
      </c>
      <c r="AH96">
        <f t="shared" si="15"/>
        <v>2.4216700482516949</v>
      </c>
      <c r="AI96">
        <f t="shared" si="16"/>
        <v>2.4216700482516949</v>
      </c>
      <c r="AL96">
        <v>14</v>
      </c>
      <c r="AM96">
        <v>0</v>
      </c>
      <c r="AP96" s="41" t="str">
        <f>' All EV uptake'!D48</f>
        <v>dumKorea</v>
      </c>
      <c r="AQ96" s="41">
        <f>' All EV uptake'!E48</f>
        <v>3.2747008164932261</v>
      </c>
    </row>
    <row r="97" spans="1:43">
      <c r="A97">
        <v>2024</v>
      </c>
      <c r="B97" s="13"/>
      <c r="D97" s="13">
        <f t="shared" si="32"/>
        <v>18.679487431988754</v>
      </c>
      <c r="E97" s="13">
        <f>65*EXP(AH97)/(1+EXP(AH97))</f>
        <v>61.96755891259167</v>
      </c>
      <c r="F97" s="13">
        <f t="shared" si="31"/>
        <v>18.679487431988754</v>
      </c>
      <c r="G97" s="84">
        <f>65*EXP(H97)/(1+EXP(H97))</f>
        <v>18.416871698189581</v>
      </c>
      <c r="H97" s="84">
        <f>M97-SUM(L$85:L97)</f>
        <v>-0.927971237363997</v>
      </c>
      <c r="I97" s="13">
        <f t="shared" si="25"/>
        <v>0.30999999999999994</v>
      </c>
      <c r="J97" s="13">
        <f t="shared" si="26"/>
        <v>1</v>
      </c>
      <c r="K97" s="13">
        <f t="shared" si="33"/>
        <v>1</v>
      </c>
      <c r="L97" s="20">
        <f>L96+(L113-L93)/20</f>
        <v>0.30999999999999994</v>
      </c>
      <c r="M97" s="13">
        <f t="shared" si="30"/>
        <v>0.53452876263600291</v>
      </c>
      <c r="N97" s="13"/>
      <c r="O97" s="84">
        <f>AVERAGE(P94:P100)</f>
        <v>40.985018952924911</v>
      </c>
      <c r="P97" s="13">
        <f t="shared" si="21"/>
        <v>42.484730160291178</v>
      </c>
      <c r="Q97" s="13">
        <f t="shared" si="22"/>
        <v>2020.3186265713161</v>
      </c>
      <c r="R97" s="13">
        <f t="shared" si="29"/>
        <v>2017.0688931551956</v>
      </c>
      <c r="S97" s="13">
        <f>AVERAGE('Netherlands '!T97:U97)</f>
        <v>1.1338820857817133</v>
      </c>
      <c r="T97" s="13"/>
      <c r="U97" s="13">
        <f t="shared" si="19"/>
        <v>61.96755891259167</v>
      </c>
      <c r="V97" s="13"/>
      <c r="W97">
        <v>2024</v>
      </c>
      <c r="X97" s="13">
        <v>22.621428967820474</v>
      </c>
      <c r="Y97" s="13">
        <v>18.679487431988754</v>
      </c>
      <c r="Z97" s="13">
        <v>18.660127982948008</v>
      </c>
      <c r="AB97">
        <v>2024</v>
      </c>
      <c r="AC97" s="13">
        <v>14.690085948664574</v>
      </c>
      <c r="AD97" s="13">
        <f t="shared" si="28"/>
        <v>18.679487431988754</v>
      </c>
      <c r="AE97" s="13">
        <v>26.618261474976133</v>
      </c>
      <c r="AH97">
        <f t="shared" si="15"/>
        <v>3.0172430701834934</v>
      </c>
      <c r="AI97">
        <f t="shared" si="16"/>
        <v>3.0172430701834934</v>
      </c>
      <c r="AL97">
        <v>15</v>
      </c>
      <c r="AM97">
        <v>0</v>
      </c>
      <c r="AP97" s="41" t="str">
        <f>' All EV uptake'!D49</f>
        <v>dumUK</v>
      </c>
      <c r="AQ97" s="41">
        <f>' All EV uptake'!E49</f>
        <v>2.7276845521810786</v>
      </c>
    </row>
    <row r="98" spans="1:43">
      <c r="A98" s="14">
        <v>2025</v>
      </c>
      <c r="B98" s="13"/>
      <c r="D98" s="13">
        <f t="shared" si="32"/>
        <v>21.332290501130679</v>
      </c>
      <c r="E98" s="13">
        <f t="shared" si="18"/>
        <v>63.292632284816008</v>
      </c>
      <c r="F98" s="20">
        <f t="shared" si="31"/>
        <v>21.332290501130679</v>
      </c>
      <c r="G98" s="84">
        <f t="shared" si="24"/>
        <v>20.720560406183868</v>
      </c>
      <c r="H98" s="84">
        <f>M98-SUM(L$85:L98)</f>
        <v>-0.75939398813811221</v>
      </c>
      <c r="I98" s="13">
        <f t="shared" si="25"/>
        <v>0.31874999999999992</v>
      </c>
      <c r="J98" s="13">
        <f t="shared" si="26"/>
        <v>1</v>
      </c>
      <c r="K98" s="13">
        <f t="shared" si="33"/>
        <v>1</v>
      </c>
      <c r="L98" s="20">
        <f>L97+(L113-L93)/20</f>
        <v>0.31874999999999992</v>
      </c>
      <c r="M98" s="13">
        <f t="shared" si="30"/>
        <v>1.0218560118618876</v>
      </c>
      <c r="N98" s="13"/>
      <c r="O98" s="84">
        <f t="shared" ref="O98:O128" si="34">AVERAGE(P95:P101)</f>
        <v>47.796708074427542</v>
      </c>
      <c r="P98" s="13">
        <f t="shared" si="21"/>
        <v>50.304167818683801</v>
      </c>
      <c r="Q98" s="13">
        <f t="shared" si="22"/>
        <v>2021.4301031127241</v>
      </c>
      <c r="R98" s="13">
        <f t="shared" si="29"/>
        <v>2016.9574166137877</v>
      </c>
      <c r="S98" s="13">
        <f>AVERAGE('Netherlands '!T98:U98)</f>
        <v>1.1235447774890459</v>
      </c>
      <c r="T98" s="13"/>
      <c r="U98" s="13">
        <f t="shared" si="19"/>
        <v>63.292632284816008</v>
      </c>
      <c r="V98" s="13"/>
      <c r="W98" s="87">
        <v>2025</v>
      </c>
      <c r="X98" s="13">
        <v>26.1760711245797</v>
      </c>
      <c r="Y98" s="13">
        <v>21.332290501130679</v>
      </c>
      <c r="Z98" s="13">
        <v>21.281782941235495</v>
      </c>
      <c r="AB98" s="87">
        <v>2025</v>
      </c>
      <c r="AC98" s="13">
        <v>15.629104594428924</v>
      </c>
      <c r="AD98" s="13">
        <f t="shared" si="28"/>
        <v>21.332290501130679</v>
      </c>
      <c r="AE98" s="13">
        <v>31.753710042124318</v>
      </c>
      <c r="AH98">
        <f t="shared" si="15"/>
        <v>3.6128160921152919</v>
      </c>
      <c r="AI98">
        <f t="shared" si="16"/>
        <v>3.6128160921152919</v>
      </c>
      <c r="AL98">
        <v>16</v>
      </c>
      <c r="AM98">
        <v>0</v>
      </c>
      <c r="AP98" s="41" t="str">
        <f>' All EV uptake'!D50</f>
        <v>dumNeth</v>
      </c>
      <c r="AQ98" s="41">
        <f>' All EV uptake'!E50</f>
        <v>-1.2544269368470402</v>
      </c>
    </row>
    <row r="99" spans="1:43">
      <c r="A99">
        <v>2026</v>
      </c>
      <c r="B99" s="13"/>
      <c r="D99" s="13">
        <f t="shared" si="32"/>
        <v>24.643019090423234</v>
      </c>
      <c r="E99" s="13">
        <f t="shared" si="18"/>
        <v>64.047592860998989</v>
      </c>
      <c r="F99" s="13">
        <f t="shared" si="31"/>
        <v>24.643019090423234</v>
      </c>
      <c r="G99" s="84">
        <f t="shared" si="24"/>
        <v>23.65508530015974</v>
      </c>
      <c r="H99" s="84">
        <f>M99-SUM(L$85:L99)</f>
        <v>-0.55837131695447306</v>
      </c>
      <c r="I99" s="13">
        <f t="shared" si="25"/>
        <v>0.3274999999999999</v>
      </c>
      <c r="J99" s="13">
        <f>IF(K99&lt;0,0,K99)</f>
        <v>1</v>
      </c>
      <c r="K99" s="13">
        <f t="shared" si="33"/>
        <v>1</v>
      </c>
      <c r="L99" s="20">
        <f>L98+(L113-L93)/20</f>
        <v>0.3274999999999999</v>
      </c>
      <c r="M99" s="13">
        <f t="shared" si="30"/>
        <v>1.5503786830455266</v>
      </c>
      <c r="N99" s="13"/>
      <c r="O99" s="84">
        <f t="shared" si="34"/>
        <v>53.622947215691134</v>
      </c>
      <c r="P99" s="13">
        <f t="shared" si="21"/>
        <v>59.700218311068888</v>
      </c>
      <c r="Q99" s="13">
        <f t="shared" si="22"/>
        <v>2022.8536367720317</v>
      </c>
      <c r="R99" s="13">
        <f t="shared" si="29"/>
        <v>2016.5338829544801</v>
      </c>
      <c r="S99" s="13">
        <f>AVERAGE('Netherlands '!T99:U99)</f>
        <v>1.0842701646127826</v>
      </c>
      <c r="T99" s="13"/>
      <c r="U99" s="13">
        <f t="shared" si="19"/>
        <v>64.047592860998989</v>
      </c>
      <c r="V99" s="13"/>
      <c r="W99">
        <v>2026</v>
      </c>
      <c r="X99" s="13">
        <v>30.175394818863946</v>
      </c>
      <c r="Y99" s="13">
        <v>24.643019090423234</v>
      </c>
      <c r="Z99" s="13">
        <v>24.536169781627734</v>
      </c>
      <c r="AB99">
        <v>2026</v>
      </c>
      <c r="AC99" s="13">
        <v>16.787584877280779</v>
      </c>
      <c r="AD99" s="13">
        <f>Y99</f>
        <v>24.643019090423234</v>
      </c>
      <c r="AE99" s="13">
        <v>37.320395593588081</v>
      </c>
      <c r="AH99">
        <f t="shared" si="15"/>
        <v>4.2083891140470904</v>
      </c>
      <c r="AI99">
        <f t="shared" si="16"/>
        <v>4.2083891140470904</v>
      </c>
      <c r="AL99">
        <v>17</v>
      </c>
      <c r="AM99">
        <v>0</v>
      </c>
      <c r="AP99" s="41" t="str">
        <f>' All EV uptake'!D51</f>
        <v>dumChina</v>
      </c>
      <c r="AQ99" s="41">
        <f>' All EV uptake'!E51</f>
        <v>1.6840641661301363</v>
      </c>
    </row>
    <row r="100" spans="1:43">
      <c r="A100">
        <v>2027</v>
      </c>
      <c r="B100" s="13"/>
      <c r="D100" s="13">
        <f t="shared" si="32"/>
        <v>29.184931276318629</v>
      </c>
      <c r="E100" s="13">
        <f t="shared" si="18"/>
        <v>64.471513837004551</v>
      </c>
      <c r="F100" s="13">
        <f t="shared" si="31"/>
        <v>29.184931276318629</v>
      </c>
      <c r="G100" s="84">
        <f t="shared" si="24"/>
        <v>27.517473532868113</v>
      </c>
      <c r="H100" s="84">
        <f>M100-SUM(L$85:L100)</f>
        <v>-0.30905365942051732</v>
      </c>
      <c r="I100" s="13">
        <f t="shared" si="25"/>
        <v>0.33624999999999988</v>
      </c>
      <c r="J100" s="13">
        <f t="shared" si="26"/>
        <v>1</v>
      </c>
      <c r="K100" s="13">
        <f t="shared" si="33"/>
        <v>1</v>
      </c>
      <c r="L100" s="20">
        <f>L99+(L113-L93)/20</f>
        <v>0.33624999999999988</v>
      </c>
      <c r="M100" s="13">
        <f t="shared" si="30"/>
        <v>2.1359463405794821</v>
      </c>
      <c r="N100" s="13"/>
      <c r="O100" s="84">
        <f>AVERAGE(P97:P103)</f>
        <v>58.132632613567033</v>
      </c>
      <c r="P100" s="13">
        <f t="shared" si="21"/>
        <v>61.96755891259167</v>
      </c>
      <c r="Q100" s="13">
        <f t="shared" si="22"/>
        <v>2024.2298134698658</v>
      </c>
      <c r="R100" s="13">
        <f t="shared" si="29"/>
        <v>2016.157706256646</v>
      </c>
      <c r="S100" s="13">
        <f>AVERAGE('Netherlands '!T100:U100)</f>
        <v>1.0493870004159473</v>
      </c>
      <c r="T100" s="13"/>
      <c r="U100" s="13">
        <f t="shared" si="19"/>
        <v>64.471513837004551</v>
      </c>
      <c r="V100" s="13"/>
      <c r="W100">
        <v>2027</v>
      </c>
      <c r="X100" s="13">
        <v>34.684167424968393</v>
      </c>
      <c r="Y100" s="13">
        <v>29.184931276318629</v>
      </c>
      <c r="Z100" s="13">
        <v>28.961499005577537</v>
      </c>
      <c r="AB100">
        <v>2027</v>
      </c>
      <c r="AC100" s="13">
        <v>18.24870231461745</v>
      </c>
      <c r="AD100" s="13">
        <f t="shared" si="28"/>
        <v>29.184931276318629</v>
      </c>
      <c r="AE100" s="13">
        <v>43.404347376408921</v>
      </c>
      <c r="AH100">
        <f t="shared" si="15"/>
        <v>4.8039621359788889</v>
      </c>
      <c r="AI100">
        <f t="shared" si="16"/>
        <v>4.8039621359788889</v>
      </c>
      <c r="AL100">
        <v>18</v>
      </c>
      <c r="AM100">
        <v>0</v>
      </c>
      <c r="AP100" s="41" t="str">
        <f>' All EV uptake'!D52</f>
        <v>dumDenmark</v>
      </c>
      <c r="AQ100" s="41">
        <f>' All EV uptake'!E52</f>
        <v>3.2654872236791634</v>
      </c>
    </row>
    <row r="101" spans="1:43">
      <c r="A101">
        <v>2028</v>
      </c>
      <c r="B101" s="13"/>
      <c r="D101" s="13">
        <f t="shared" si="32"/>
        <v>34.101265452622528</v>
      </c>
      <c r="E101" s="13">
        <f t="shared" si="18"/>
        <v>64.707606970513154</v>
      </c>
      <c r="F101" s="13">
        <f t="shared" si="31"/>
        <v>34.101265452622528</v>
      </c>
      <c r="G101" s="84">
        <f t="shared" si="24"/>
        <v>32.905104514714871</v>
      </c>
      <c r="H101" s="84">
        <f>M101-SUM(L$85:L101)</f>
        <v>2.4930799818289717E-2</v>
      </c>
      <c r="I101" s="13">
        <f t="shared" si="25"/>
        <v>0.34499999999999986</v>
      </c>
      <c r="J101" s="13">
        <f t="shared" si="26"/>
        <v>1</v>
      </c>
      <c r="K101" s="13">
        <f t="shared" si="33"/>
        <v>1</v>
      </c>
      <c r="L101" s="20">
        <f>L100+(L113-L93)/20</f>
        <v>0.34499999999999986</v>
      </c>
      <c r="M101" s="13">
        <f t="shared" si="30"/>
        <v>2.8149307998182889</v>
      </c>
      <c r="N101" s="13"/>
      <c r="O101" s="84">
        <f t="shared" si="34"/>
        <v>61.326027349406843</v>
      </c>
      <c r="P101" s="13">
        <f t="shared" si="21"/>
        <v>63.292632284816008</v>
      </c>
      <c r="Q101" s="13">
        <f t="shared" si="22"/>
        <v>2025.4574778472745</v>
      </c>
      <c r="R101" s="13">
        <f t="shared" si="29"/>
        <v>2015.9300418792373</v>
      </c>
      <c r="S101" s="13">
        <f>AVERAGE('Netherlands '!T101:U101)</f>
        <v>1.028275501738229</v>
      </c>
      <c r="T101" s="13"/>
      <c r="U101" s="13">
        <f t="shared" si="19"/>
        <v>64.707606970513154</v>
      </c>
      <c r="V101" s="13"/>
      <c r="W101">
        <v>2028</v>
      </c>
      <c r="X101" s="13">
        <v>39.802584338211844</v>
      </c>
      <c r="Y101" s="13">
        <v>34.101265452622528</v>
      </c>
      <c r="Z101" s="13">
        <v>33.680819189646456</v>
      </c>
      <c r="AB101">
        <v>2028</v>
      </c>
      <c r="AC101" s="13">
        <v>20.091909625666492</v>
      </c>
      <c r="AD101" s="13">
        <f t="shared" si="28"/>
        <v>34.101265452622528</v>
      </c>
      <c r="AE101" s="13">
        <v>48.946895557025407</v>
      </c>
      <c r="AH101">
        <f t="shared" si="15"/>
        <v>5.3995351579106874</v>
      </c>
      <c r="AI101">
        <f t="shared" si="16"/>
        <v>5.3995351579106874</v>
      </c>
      <c r="AL101">
        <v>19</v>
      </c>
      <c r="AM101">
        <v>0</v>
      </c>
      <c r="AP101" s="41" t="str">
        <f>' All EV uptake'!D53</f>
        <v>dumIreland</v>
      </c>
      <c r="AQ101" s="41">
        <f>' All EV uptake'!E53</f>
        <v>3.5582490934682056</v>
      </c>
    </row>
    <row r="102" spans="1:43">
      <c r="A102">
        <v>2029</v>
      </c>
      <c r="B102" s="13"/>
      <c r="D102" s="13">
        <f t="shared" si="32"/>
        <v>39.331777776119338</v>
      </c>
      <c r="E102" s="13">
        <f t="shared" si="18"/>
        <v>64.838493311169827</v>
      </c>
      <c r="F102" s="13">
        <f t="shared" si="31"/>
        <v>39.331777776119338</v>
      </c>
      <c r="G102" s="84">
        <f t="shared" si="24"/>
        <v>41.126432627666553</v>
      </c>
      <c r="H102" s="84">
        <f>M102-SUM(L$85:L102)</f>
        <v>0.54387916519076951</v>
      </c>
      <c r="I102" s="13">
        <f t="shared" si="25"/>
        <v>0.35374999999999984</v>
      </c>
      <c r="J102" s="13">
        <f t="shared" si="26"/>
        <v>1</v>
      </c>
      <c r="K102" s="13">
        <f t="shared" si="33"/>
        <v>1</v>
      </c>
      <c r="L102" s="20">
        <f>L101+(L113-L93)/20</f>
        <v>0.35374999999999984</v>
      </c>
      <c r="M102" s="13">
        <f t="shared" si="30"/>
        <v>3.6876291651907684</v>
      </c>
      <c r="N102" s="13"/>
      <c r="O102" s="84">
        <f t="shared" si="34"/>
        <v>63.412699176094961</v>
      </c>
      <c r="P102" s="13">
        <f t="shared" si="21"/>
        <v>64.471513837004551</v>
      </c>
      <c r="Q102" s="13">
        <f t="shared" si="22"/>
        <v>2026.6709550634382</v>
      </c>
      <c r="R102" s="13">
        <f t="shared" si="29"/>
        <v>2015.7165646630735</v>
      </c>
      <c r="S102" s="13">
        <f>AVERAGE('Netherlands '!T102:U102)</f>
        <v>1.0084795897995116</v>
      </c>
      <c r="T102" s="13"/>
      <c r="U102" s="13">
        <f t="shared" si="19"/>
        <v>64.838493311169827</v>
      </c>
      <c r="V102" s="13"/>
      <c r="W102">
        <v>2029</v>
      </c>
      <c r="X102" s="13">
        <v>44.308912479554863</v>
      </c>
      <c r="Y102" s="13">
        <v>39.331777776119338</v>
      </c>
      <c r="Z102" s="13">
        <v>38.59424708421826</v>
      </c>
      <c r="AB102">
        <v>2029</v>
      </c>
      <c r="AC102" s="13">
        <v>22.391721254179902</v>
      </c>
      <c r="AD102" s="13">
        <f t="shared" si="28"/>
        <v>39.331777776119338</v>
      </c>
      <c r="AE102" s="13">
        <v>53.967960948652731</v>
      </c>
      <c r="AH102">
        <f t="shared" si="15"/>
        <v>5.9951081798424859</v>
      </c>
      <c r="AI102">
        <f t="shared" si="16"/>
        <v>5.9951081798424859</v>
      </c>
      <c r="AL102">
        <v>20</v>
      </c>
      <c r="AM102">
        <v>0</v>
      </c>
      <c r="AP102" s="41" t="str">
        <f>' All EV uptake'!D54</f>
        <v>dumNZ</v>
      </c>
      <c r="AQ102" s="41">
        <f>' All EV uptake'!E54</f>
        <v>1.900474768762227</v>
      </c>
    </row>
    <row r="103" spans="1:43">
      <c r="A103" s="14">
        <v>2030</v>
      </c>
      <c r="B103" s="13"/>
      <c r="D103" s="13">
        <f t="shared" si="32"/>
        <v>44.836250733647944</v>
      </c>
      <c r="E103" s="13">
        <f t="shared" si="18"/>
        <v>64.910870605500591</v>
      </c>
      <c r="F103" s="20">
        <f t="shared" si="31"/>
        <v>44.836250733647944</v>
      </c>
      <c r="G103" s="84">
        <f t="shared" si="24"/>
        <v>45.302231287703364</v>
      </c>
      <c r="H103" s="84">
        <f>M103-SUM(L$85:L103)</f>
        <v>0.83285092108118164</v>
      </c>
      <c r="I103" s="13">
        <f t="shared" si="25"/>
        <v>0.36249999999999982</v>
      </c>
      <c r="J103" s="13">
        <f t="shared" si="26"/>
        <v>1</v>
      </c>
      <c r="K103" s="13">
        <f t="shared" si="33"/>
        <v>1</v>
      </c>
      <c r="L103" s="20">
        <f>L102+(L113-L93)/20</f>
        <v>0.36249999999999982</v>
      </c>
      <c r="M103" s="13">
        <f t="shared" si="30"/>
        <v>4.3391009210811804</v>
      </c>
      <c r="N103" s="13"/>
      <c r="O103" s="84">
        <f t="shared" si="34"/>
        <v>64.162787627761006</v>
      </c>
      <c r="P103" s="13">
        <f t="shared" si="21"/>
        <v>64.707606970513154</v>
      </c>
      <c r="Q103" s="13">
        <f t="shared" si="22"/>
        <v>2027.9057056066886</v>
      </c>
      <c r="R103" s="13">
        <f t="shared" si="29"/>
        <v>2015.4818141198232</v>
      </c>
      <c r="S103" s="13">
        <f>AVERAGE('Netherlands '!T103:U103)</f>
        <v>0.98671098533080892</v>
      </c>
      <c r="T103" s="13"/>
      <c r="U103" s="13">
        <f t="shared" si="19"/>
        <v>64.910870605500591</v>
      </c>
      <c r="V103" s="13"/>
      <c r="W103" s="87">
        <v>2030</v>
      </c>
      <c r="X103" s="13">
        <v>48.426655125956941</v>
      </c>
      <c r="Y103" s="13">
        <v>44.836250733647944</v>
      </c>
      <c r="Z103" s="13">
        <v>43.545492891763274</v>
      </c>
      <c r="AB103" s="87">
        <v>2030</v>
      </c>
      <c r="AC103" s="13">
        <v>25.236088277054961</v>
      </c>
      <c r="AD103" s="13">
        <f t="shared" si="28"/>
        <v>44.836250733647944</v>
      </c>
      <c r="AE103" s="13">
        <v>57.548122283899886</v>
      </c>
      <c r="AH103">
        <f t="shared" si="15"/>
        <v>6.5906812017742826</v>
      </c>
      <c r="AI103">
        <f t="shared" si="16"/>
        <v>6.5906812017742826</v>
      </c>
      <c r="AL103">
        <v>21</v>
      </c>
      <c r="AM103">
        <v>0</v>
      </c>
      <c r="AP103" s="41" t="str">
        <f>' All EV uptake'!D55</f>
        <v>dumSwitzerland</v>
      </c>
      <c r="AQ103" s="41">
        <f>' All EV uptake'!E55</f>
        <v>-2.1041729879229703</v>
      </c>
    </row>
    <row r="104" spans="1:43">
      <c r="A104">
        <v>2031</v>
      </c>
      <c r="B104" s="13"/>
      <c r="D104" s="13">
        <f t="shared" si="32"/>
        <v>49.585825992214367</v>
      </c>
      <c r="E104" s="13">
        <f t="shared" si="18"/>
        <v>64.950837472731223</v>
      </c>
      <c r="F104" s="13">
        <f t="shared" si="31"/>
        <v>49.585825992214367</v>
      </c>
      <c r="G104" s="84">
        <f>65*EXP(H104)/(1+EXP(H104))</f>
        <v>49.807646917643766</v>
      </c>
      <c r="H104" s="84">
        <f>M104-SUM(L$85:L104)</f>
        <v>1.1873763102311727</v>
      </c>
      <c r="I104" s="13">
        <f t="shared" si="25"/>
        <v>0.3712499999999998</v>
      </c>
      <c r="J104" s="13">
        <f t="shared" si="26"/>
        <v>1</v>
      </c>
      <c r="K104" s="13">
        <f t="shared" si="33"/>
        <v>1</v>
      </c>
      <c r="L104" s="20">
        <f>L103+(L113-L93)/20</f>
        <v>0.3712499999999998</v>
      </c>
      <c r="M104" s="13">
        <f t="shared" si="30"/>
        <v>5.0648763102311714</v>
      </c>
      <c r="N104" s="13"/>
      <c r="O104" s="84">
        <f t="shared" si="34"/>
        <v>64.592120657762123</v>
      </c>
      <c r="P104" s="13">
        <f t="shared" si="21"/>
        <v>64.838493311169827</v>
      </c>
      <c r="Q104" s="13">
        <f t="shared" si="22"/>
        <v>2028.9057056066886</v>
      </c>
      <c r="R104" s="13">
        <f t="shared" si="29"/>
        <v>2015.4818141198232</v>
      </c>
      <c r="S104" s="13">
        <f>S103</f>
        <v>0.98671098533080892</v>
      </c>
      <c r="T104" s="13"/>
      <c r="U104" s="13">
        <f t="shared" si="19"/>
        <v>64.950837472731223</v>
      </c>
      <c r="V104" s="13"/>
      <c r="W104">
        <v>2031</v>
      </c>
      <c r="X104" s="13">
        <v>51.96803092350325</v>
      </c>
      <c r="Y104" s="13">
        <v>49.585825992214367</v>
      </c>
      <c r="Z104" s="13">
        <v>48.351409899229999</v>
      </c>
      <c r="AB104">
        <v>2031</v>
      </c>
      <c r="AC104" s="13">
        <v>28.287005026765478</v>
      </c>
      <c r="AD104" s="13">
        <f t="shared" si="28"/>
        <v>49.585825992214367</v>
      </c>
      <c r="AE104" s="13">
        <v>60.307614524388569</v>
      </c>
      <c r="AH104">
        <f t="shared" si="15"/>
        <v>7.1862542237060811</v>
      </c>
      <c r="AI104">
        <f t="shared" si="16"/>
        <v>7.1862542237060811</v>
      </c>
      <c r="AL104">
        <v>22</v>
      </c>
      <c r="AM104">
        <v>0</v>
      </c>
      <c r="AP104" s="41" t="str">
        <f>' All EV uptake'!D56</f>
        <v>dumSpain</v>
      </c>
      <c r="AQ104" s="41">
        <f>' All EV uptake'!E56</f>
        <v>4.4168133039283006</v>
      </c>
    </row>
    <row r="105" spans="1:43">
      <c r="A105">
        <v>2032</v>
      </c>
      <c r="B105" s="13"/>
      <c r="D105" s="13">
        <f t="shared" si="32"/>
        <v>52.957902551228656</v>
      </c>
      <c r="E105" s="13">
        <f>65*EXP(AH105)/(1+EXP(AH105))</f>
        <v>64.97289012259948</v>
      </c>
      <c r="F105" s="13">
        <f t="shared" si="31"/>
        <v>52.957902551228656</v>
      </c>
      <c r="G105" s="84">
        <f t="shared" si="24"/>
        <v>55.039838320511166</v>
      </c>
      <c r="H105" s="84">
        <f>M105-SUM(L$85:L105)</f>
        <v>1.7094639517849011</v>
      </c>
      <c r="I105" s="13">
        <f t="shared" si="25"/>
        <v>0.37999999999999978</v>
      </c>
      <c r="J105" s="13">
        <f t="shared" si="26"/>
        <v>1</v>
      </c>
      <c r="K105" s="13">
        <f t="shared" si="33"/>
        <v>1</v>
      </c>
      <c r="L105" s="20">
        <f>L104+(L113-L93)/20</f>
        <v>0.37999999999999978</v>
      </c>
      <c r="M105" s="13">
        <f t="shared" si="30"/>
        <v>5.9669639517848996</v>
      </c>
      <c r="N105" s="13"/>
      <c r="O105" s="84">
        <f t="shared" si="34"/>
        <v>64.833895042037284</v>
      </c>
      <c r="P105" s="13">
        <f t="shared" si="21"/>
        <v>64.910870605500591</v>
      </c>
      <c r="Q105" s="13">
        <f t="shared" si="22"/>
        <v>2029.9057056066886</v>
      </c>
      <c r="R105" s="13">
        <f t="shared" si="29"/>
        <v>2015.4818141198232</v>
      </c>
      <c r="S105" s="13">
        <f t="shared" ref="S105:S128" si="35">S104</f>
        <v>0.98671098533080892</v>
      </c>
      <c r="T105" s="13"/>
      <c r="U105" s="13">
        <f t="shared" si="19"/>
        <v>64.97289012259948</v>
      </c>
      <c r="V105" s="13"/>
      <c r="W105">
        <v>2032</v>
      </c>
      <c r="X105" s="13">
        <v>54.71957895111747</v>
      </c>
      <c r="Y105" s="13">
        <v>52.957902551228656</v>
      </c>
      <c r="Z105" s="13">
        <v>51.840069420189892</v>
      </c>
      <c r="AB105">
        <v>2032</v>
      </c>
      <c r="AC105" s="13">
        <v>31.437435100159586</v>
      </c>
      <c r="AD105" s="13">
        <f t="shared" si="28"/>
        <v>52.957902551228656</v>
      </c>
      <c r="AE105" s="13">
        <v>61.885776331093645</v>
      </c>
      <c r="AH105">
        <f t="shared" si="15"/>
        <v>7.7818272456378796</v>
      </c>
      <c r="AI105">
        <f t="shared" si="16"/>
        <v>7.7818272456378796</v>
      </c>
      <c r="AL105">
        <v>23</v>
      </c>
      <c r="AM105">
        <v>0</v>
      </c>
      <c r="AP105" s="41" t="str">
        <f>' All EV uptake'!D57</f>
        <v>dumIndia</v>
      </c>
      <c r="AQ105" s="41">
        <f>' All EV uptake'!E57</f>
        <v>8.3918907463589623</v>
      </c>
    </row>
    <row r="106" spans="1:43">
      <c r="A106">
        <v>2033</v>
      </c>
      <c r="B106" s="13"/>
      <c r="D106" s="13">
        <f t="shared" si="32"/>
        <v>55.714327874223841</v>
      </c>
      <c r="E106" s="13">
        <f t="shared" si="18"/>
        <v>64.985052974742146</v>
      </c>
      <c r="F106" s="13">
        <f t="shared" si="31"/>
        <v>55.714327874223841</v>
      </c>
      <c r="G106" s="84">
        <f t="shared" si="24"/>
        <v>56.65298080754696</v>
      </c>
      <c r="H106" s="84">
        <f>M106-SUM(L$85:L106)</f>
        <v>1.9150401118623019</v>
      </c>
      <c r="I106" s="13">
        <f t="shared" si="25"/>
        <v>0.38874999999999976</v>
      </c>
      <c r="J106" s="13">
        <f t="shared" si="26"/>
        <v>1</v>
      </c>
      <c r="K106" s="13">
        <f t="shared" si="33"/>
        <v>1</v>
      </c>
      <c r="L106" s="20">
        <f>L105+(L113-L93)/20</f>
        <v>0.38874999999999976</v>
      </c>
      <c r="M106" s="13">
        <f t="shared" si="30"/>
        <v>6.5612901118623004</v>
      </c>
      <c r="N106" s="13"/>
      <c r="O106" s="84">
        <f t="shared" si="34"/>
        <v>64.908215872867771</v>
      </c>
      <c r="P106" s="13">
        <f t="shared" si="21"/>
        <v>64.950837472731223</v>
      </c>
      <c r="Q106" s="13">
        <f t="shared" si="22"/>
        <v>2030.9057056066886</v>
      </c>
      <c r="R106" s="13">
        <f t="shared" si="29"/>
        <v>2015.4818141198232</v>
      </c>
      <c r="S106" s="13">
        <f t="shared" si="35"/>
        <v>0.98671098533080892</v>
      </c>
      <c r="T106" s="13"/>
      <c r="U106" s="13">
        <f t="shared" si="19"/>
        <v>64.985052974742146</v>
      </c>
      <c r="V106" s="13"/>
      <c r="W106">
        <v>2033</v>
      </c>
      <c r="X106" s="13">
        <v>56.373774907946668</v>
      </c>
      <c r="Y106" s="13">
        <v>55.714327874223841</v>
      </c>
      <c r="Z106" s="13">
        <v>54.793508735420048</v>
      </c>
      <c r="AB106">
        <v>2033</v>
      </c>
      <c r="AC106" s="13">
        <v>34.578463165344417</v>
      </c>
      <c r="AD106" s="13">
        <f t="shared" si="28"/>
        <v>55.714327874223841</v>
      </c>
      <c r="AE106" s="13">
        <v>62.96635077822252</v>
      </c>
      <c r="AH106">
        <f t="shared" si="15"/>
        <v>8.3774002675696781</v>
      </c>
      <c r="AI106">
        <f t="shared" si="16"/>
        <v>8.3774002675696781</v>
      </c>
      <c r="AL106">
        <v>24</v>
      </c>
      <c r="AM106">
        <v>0</v>
      </c>
      <c r="AP106" s="41" t="str">
        <f>' All EV uptake'!D58</f>
        <v>dumUSA</v>
      </c>
      <c r="AQ106" s="41">
        <f>' All EV uptake'!E58</f>
        <v>2.1386885311349126</v>
      </c>
    </row>
    <row r="107" spans="1:43">
      <c r="A107">
        <v>2034</v>
      </c>
      <c r="B107" s="13"/>
      <c r="D107" s="13">
        <f t="shared" si="32"/>
        <v>57.749861502004379</v>
      </c>
      <c r="E107" s="13">
        <f t="shared" si="18"/>
        <v>64.991759652818033</v>
      </c>
      <c r="F107" s="13">
        <f t="shared" si="31"/>
        <v>57.749861502004379</v>
      </c>
      <c r="G107" s="84">
        <f t="shared" si="24"/>
        <v>57.986815422737976</v>
      </c>
      <c r="H107" s="84">
        <f>M107-SUM(L$85:L107)</f>
        <v>2.1124237758976117</v>
      </c>
      <c r="I107" s="13">
        <f t="shared" si="25"/>
        <v>0.39749999999999974</v>
      </c>
      <c r="J107" s="13">
        <f t="shared" si="26"/>
        <v>1</v>
      </c>
      <c r="K107" s="13">
        <f t="shared" si="33"/>
        <v>1</v>
      </c>
      <c r="L107" s="20">
        <f>L106+(L113-L93)/20</f>
        <v>0.39749999999999974</v>
      </c>
      <c r="M107" s="13">
        <f t="shared" si="30"/>
        <v>7.1561737758976101</v>
      </c>
      <c r="N107" s="13"/>
      <c r="O107" s="84">
        <f t="shared" si="34"/>
        <v>64.949337345395023</v>
      </c>
      <c r="P107" s="13">
        <f t="shared" si="21"/>
        <v>64.97289012259948</v>
      </c>
      <c r="Q107" s="13">
        <f t="shared" si="22"/>
        <v>2031.9057056066886</v>
      </c>
      <c r="R107" s="13">
        <f t="shared" si="29"/>
        <v>2015.4818141198232</v>
      </c>
      <c r="S107" s="13">
        <f t="shared" si="35"/>
        <v>0.98671098533080892</v>
      </c>
      <c r="T107" s="13"/>
      <c r="U107" s="13">
        <f t="shared" si="19"/>
        <v>64.991759652818033</v>
      </c>
      <c r="V107" s="13"/>
      <c r="W107">
        <v>2034</v>
      </c>
      <c r="X107" s="13">
        <v>57.749861502004379</v>
      </c>
      <c r="Y107" s="13">
        <v>57.749861502004379</v>
      </c>
      <c r="Z107" s="13">
        <v>57.165486241166334</v>
      </c>
      <c r="AB107">
        <v>2034</v>
      </c>
      <c r="AC107" s="13">
        <v>37.615693231369377</v>
      </c>
      <c r="AD107" s="13">
        <f t="shared" si="28"/>
        <v>57.749861502004379</v>
      </c>
      <c r="AE107" s="13">
        <v>63.514528755670199</v>
      </c>
      <c r="AH107">
        <f t="shared" si="15"/>
        <v>8.9729732895014767</v>
      </c>
      <c r="AI107">
        <f t="shared" si="16"/>
        <v>8.9729732895014767</v>
      </c>
      <c r="AL107">
        <v>25</v>
      </c>
      <c r="AM107">
        <v>0</v>
      </c>
      <c r="AP107" s="41" t="str">
        <f>' All EV uptake'!D59</f>
        <v>dumAustria</v>
      </c>
      <c r="AQ107" s="41">
        <f>' All EV uptake'!E59</f>
        <v>-0.86657486911619475</v>
      </c>
    </row>
    <row r="108" spans="1:43">
      <c r="A108">
        <v>2035</v>
      </c>
      <c r="B108" s="13"/>
      <c r="D108" s="13">
        <f t="shared" si="32"/>
        <v>58.886786008172749</v>
      </c>
      <c r="E108" s="13">
        <f t="shared" si="18"/>
        <v>64.995457278203901</v>
      </c>
      <c r="F108" s="13">
        <f t="shared" si="31"/>
        <v>58.886786008172749</v>
      </c>
      <c r="G108" s="84">
        <f t="shared" si="24"/>
        <v>59.084357902679308</v>
      </c>
      <c r="H108" s="84">
        <f>M108-SUM(L$85:L108)</f>
        <v>2.3013661720746272</v>
      </c>
      <c r="I108" s="13">
        <f t="shared" si="25"/>
        <v>0.40624999999999972</v>
      </c>
      <c r="J108" s="13">
        <f t="shared" si="26"/>
        <v>1</v>
      </c>
      <c r="K108" s="13">
        <f t="shared" si="33"/>
        <v>1</v>
      </c>
      <c r="L108" s="20">
        <f>L107+(L113-L93)/20</f>
        <v>0.40624999999999972</v>
      </c>
      <c r="M108" s="13">
        <f t="shared" si="30"/>
        <v>7.7513661720746256</v>
      </c>
      <c r="N108" s="13"/>
      <c r="O108" s="84">
        <f t="shared" si="34"/>
        <v>64.972051981159439</v>
      </c>
      <c r="P108" s="13">
        <f t="shared" si="21"/>
        <v>64.985052974742146</v>
      </c>
      <c r="Q108" s="13">
        <f t="shared" si="22"/>
        <v>2032.9057056066886</v>
      </c>
      <c r="R108" s="13">
        <f t="shared" si="29"/>
        <v>2015.4818141198232</v>
      </c>
      <c r="S108" s="13">
        <f t="shared" si="35"/>
        <v>0.98671098533080892</v>
      </c>
      <c r="T108" s="13"/>
      <c r="U108" s="13">
        <f t="shared" si="19"/>
        <v>64.995457278203901</v>
      </c>
      <c r="V108" s="13"/>
      <c r="W108">
        <v>2035</v>
      </c>
      <c r="X108" s="13">
        <v>58.886786008172749</v>
      </c>
      <c r="Y108" s="13">
        <v>58.886786008172749</v>
      </c>
      <c r="Z108" s="13">
        <v>58.886786008172749</v>
      </c>
      <c r="AB108">
        <v>2035</v>
      </c>
      <c r="AC108" s="13">
        <v>40.477545910375618</v>
      </c>
      <c r="AD108" s="13">
        <f t="shared" si="28"/>
        <v>58.886786008172749</v>
      </c>
      <c r="AE108" s="13">
        <v>63.882539462003159</v>
      </c>
      <c r="AH108">
        <f t="shared" si="15"/>
        <v>9.5685463114332752</v>
      </c>
      <c r="AI108">
        <f t="shared" si="16"/>
        <v>9.5685463114332752</v>
      </c>
      <c r="AL108">
        <v>26</v>
      </c>
      <c r="AM108">
        <v>0</v>
      </c>
      <c r="AP108" s="41" t="str">
        <f>' All EV uptake'!D60</f>
        <v>dumItaly</v>
      </c>
      <c r="AQ108" s="41">
        <f>' All EV uptake'!E60</f>
        <v>2.0513905871244105</v>
      </c>
    </row>
    <row r="109" spans="1:43">
      <c r="A109">
        <v>2036</v>
      </c>
      <c r="B109" s="13"/>
      <c r="D109" s="13">
        <f t="shared" si="32"/>
        <v>59.822444724934442</v>
      </c>
      <c r="E109" s="13">
        <f t="shared" si="18"/>
        <v>64.997495761520739</v>
      </c>
      <c r="F109" s="13">
        <f t="shared" si="31"/>
        <v>59.822444724934442</v>
      </c>
      <c r="G109" s="84">
        <f t="shared" si="24"/>
        <v>59.985315056546497</v>
      </c>
      <c r="H109" s="84">
        <f>M109-SUM(L$85:L109)</f>
        <v>2.4817291866089182</v>
      </c>
      <c r="I109" s="13">
        <f t="shared" si="25"/>
        <v>0.4149999999999997</v>
      </c>
      <c r="J109" s="13">
        <f t="shared" si="26"/>
        <v>1</v>
      </c>
      <c r="K109" s="13">
        <f t="shared" si="33"/>
        <v>1</v>
      </c>
      <c r="L109" s="20">
        <f>L108+(L113-L93)/20</f>
        <v>0.4149999999999997</v>
      </c>
      <c r="M109" s="13">
        <f t="shared" si="30"/>
        <v>8.3467291866089166</v>
      </c>
      <c r="N109" s="13"/>
      <c r="O109" s="84">
        <f t="shared" si="34"/>
        <v>64.984587540829111</v>
      </c>
      <c r="P109" s="13">
        <f t="shared" si="21"/>
        <v>64.991759652818033</v>
      </c>
      <c r="Q109" s="13">
        <f t="shared" si="22"/>
        <v>2033.9057056066886</v>
      </c>
      <c r="R109" s="13">
        <f t="shared" si="29"/>
        <v>2015.4818141198232</v>
      </c>
      <c r="S109" s="13">
        <f t="shared" si="35"/>
        <v>0.98671098533080892</v>
      </c>
      <c r="T109" s="13"/>
      <c r="U109" s="13">
        <f t="shared" si="19"/>
        <v>64.997495761520739</v>
      </c>
      <c r="V109" s="13"/>
      <c r="W109">
        <v>2036</v>
      </c>
      <c r="X109" s="13">
        <v>59.822444724934442</v>
      </c>
      <c r="Y109" s="13">
        <v>59.822444724934442</v>
      </c>
      <c r="Z109" s="13">
        <v>59.822444724934442</v>
      </c>
      <c r="AB109">
        <v>2036</v>
      </c>
      <c r="AC109" s="13">
        <v>43.116877384540693</v>
      </c>
      <c r="AD109" s="13">
        <f t="shared" si="28"/>
        <v>59.822444724934442</v>
      </c>
      <c r="AE109" s="13">
        <v>64.067067050882486</v>
      </c>
      <c r="AH109">
        <f t="shared" si="15"/>
        <v>10.164119333365072</v>
      </c>
      <c r="AI109">
        <f t="shared" si="16"/>
        <v>10.164119333365072</v>
      </c>
      <c r="AL109">
        <v>27</v>
      </c>
      <c r="AM109">
        <v>0</v>
      </c>
    </row>
    <row r="110" spans="1:43">
      <c r="A110">
        <v>2037</v>
      </c>
      <c r="B110" s="13"/>
      <c r="D110" s="13">
        <f t="shared" si="32"/>
        <v>60.59112762866647</v>
      </c>
      <c r="E110" s="13">
        <f t="shared" si="18"/>
        <v>64.998619523188253</v>
      </c>
      <c r="F110" s="13">
        <f t="shared" si="31"/>
        <v>60.59112762866647</v>
      </c>
      <c r="G110" s="84">
        <f t="shared" si="24"/>
        <v>60.72446085135298</v>
      </c>
      <c r="H110" s="84">
        <f>M110-SUM(L$85:L110)</f>
        <v>2.6534363852409921</v>
      </c>
      <c r="I110" s="13">
        <f t="shared" si="25"/>
        <v>0.42374999999999968</v>
      </c>
      <c r="J110" s="13">
        <f t="shared" si="26"/>
        <v>1</v>
      </c>
      <c r="K110" s="13">
        <f t="shared" si="33"/>
        <v>1</v>
      </c>
      <c r="L110" s="20">
        <f>L109+(L113-L93)/20</f>
        <v>0.42374999999999968</v>
      </c>
      <c r="M110" s="13">
        <f t="shared" si="30"/>
        <v>8.9421863852409906</v>
      </c>
      <c r="N110" s="13"/>
      <c r="O110" s="84">
        <f t="shared" si="34"/>
        <v>64.991502046096045</v>
      </c>
      <c r="P110" s="13">
        <f t="shared" si="21"/>
        <v>64.995457278203901</v>
      </c>
      <c r="Q110" s="13">
        <f t="shared" si="22"/>
        <v>2034.9057056066886</v>
      </c>
      <c r="R110" s="13">
        <f t="shared" si="29"/>
        <v>2015.4818141198232</v>
      </c>
      <c r="S110" s="13">
        <f t="shared" si="35"/>
        <v>0.98671098533080892</v>
      </c>
      <c r="T110" s="13"/>
      <c r="U110" s="13">
        <f t="shared" si="19"/>
        <v>64.998619523188253</v>
      </c>
      <c r="V110" s="13"/>
      <c r="W110">
        <v>2037</v>
      </c>
      <c r="X110" s="13">
        <v>60.59112762866647</v>
      </c>
      <c r="Y110" s="13">
        <v>60.59112762866647</v>
      </c>
      <c r="Z110" s="13">
        <v>60.59112762866647</v>
      </c>
      <c r="AB110">
        <v>2037</v>
      </c>
      <c r="AC110" s="13">
        <v>45.508546688354514</v>
      </c>
      <c r="AD110" s="13">
        <f t="shared" si="28"/>
        <v>60.59112762866647</v>
      </c>
      <c r="AE110" s="13">
        <v>64.214696213523325</v>
      </c>
      <c r="AH110">
        <f t="shared" si="15"/>
        <v>10.75969235529687</v>
      </c>
      <c r="AI110">
        <f t="shared" si="16"/>
        <v>10.75969235529687</v>
      </c>
      <c r="AL110">
        <v>28</v>
      </c>
      <c r="AM110">
        <v>0</v>
      </c>
    </row>
    <row r="111" spans="1:43">
      <c r="A111">
        <v>2038</v>
      </c>
      <c r="B111" s="13"/>
      <c r="D111" s="13">
        <f t="shared" si="32"/>
        <v>61.222530710150558</v>
      </c>
      <c r="E111" s="13">
        <f t="shared" si="18"/>
        <v>64.999239009599833</v>
      </c>
      <c r="F111" s="13">
        <f t="shared" si="31"/>
        <v>61.222530710150558</v>
      </c>
      <c r="G111" s="84">
        <f t="shared" si="24"/>
        <v>61.331274391355457</v>
      </c>
      <c r="H111" s="84">
        <f>M111-SUM(L$85:L111)</f>
        <v>2.8164455425094186</v>
      </c>
      <c r="I111" s="13">
        <f t="shared" si="25"/>
        <v>0.43249999999999966</v>
      </c>
      <c r="J111" s="13">
        <f t="shared" si="26"/>
        <v>1</v>
      </c>
      <c r="K111" s="13">
        <f t="shared" si="33"/>
        <v>1</v>
      </c>
      <c r="L111" s="20">
        <f>L110+(L113-L93)/20</f>
        <v>0.43249999999999966</v>
      </c>
      <c r="M111" s="13">
        <f t="shared" si="30"/>
        <v>9.5376955425094163</v>
      </c>
      <c r="N111" s="13"/>
      <c r="O111" s="84">
        <f t="shared" si="34"/>
        <v>64.995314957785581</v>
      </c>
      <c r="P111" s="13">
        <f t="shared" si="21"/>
        <v>64.997495761520739</v>
      </c>
      <c r="Q111" s="13">
        <f t="shared" si="22"/>
        <v>2035.9057056066886</v>
      </c>
      <c r="R111" s="13">
        <f t="shared" si="29"/>
        <v>2015.4818141198232</v>
      </c>
      <c r="S111" s="13">
        <f t="shared" si="35"/>
        <v>0.98671098533080892</v>
      </c>
      <c r="T111" s="13"/>
      <c r="U111" s="13">
        <f t="shared" si="19"/>
        <v>64.999239009599833</v>
      </c>
      <c r="V111" s="13"/>
      <c r="W111">
        <v>2038</v>
      </c>
      <c r="X111" s="13">
        <v>61.222530710150558</v>
      </c>
      <c r="Y111" s="13">
        <v>61.222530710150558</v>
      </c>
      <c r="Z111" s="13">
        <v>61.222530710150558</v>
      </c>
      <c r="AB111">
        <v>2038</v>
      </c>
      <c r="AC111" s="13">
        <v>47.645112176691825</v>
      </c>
      <c r="AD111" s="13">
        <f t="shared" si="28"/>
        <v>61.222530710150558</v>
      </c>
      <c r="AE111" s="13">
        <v>64.333403598263459</v>
      </c>
      <c r="AH111">
        <f t="shared" si="15"/>
        <v>11.355265377228669</v>
      </c>
      <c r="AI111">
        <f t="shared" si="16"/>
        <v>11.355265377228669</v>
      </c>
      <c r="AL111">
        <v>29</v>
      </c>
      <c r="AM111">
        <v>0</v>
      </c>
    </row>
    <row r="112" spans="1:43">
      <c r="A112">
        <v>2039</v>
      </c>
      <c r="B112" s="13"/>
      <c r="D112" s="13">
        <f t="shared" si="32"/>
        <v>61.745723154645944</v>
      </c>
      <c r="E112" s="13">
        <f t="shared" si="18"/>
        <v>64.99958050442612</v>
      </c>
      <c r="F112" s="13">
        <f t="shared" si="31"/>
        <v>61.745723154645944</v>
      </c>
      <c r="G112" s="84">
        <f t="shared" si="24"/>
        <v>61.830229941398088</v>
      </c>
      <c r="H112" s="84">
        <f>M112-SUM(L$85:L112)</f>
        <v>2.9707333539532188</v>
      </c>
      <c r="I112" s="13">
        <f t="shared" si="25"/>
        <v>0.44124999999999964</v>
      </c>
      <c r="J112" s="13">
        <f t="shared" si="26"/>
        <v>1</v>
      </c>
      <c r="K112" s="13">
        <f t="shared" si="33"/>
        <v>1</v>
      </c>
      <c r="L112" s="20">
        <f>L111+(L113-L93)/20</f>
        <v>0.44124999999999964</v>
      </c>
      <c r="M112" s="13">
        <f t="shared" si="30"/>
        <v>10.133233353953216</v>
      </c>
      <c r="N112" s="13"/>
      <c r="O112" s="84">
        <f t="shared" si="34"/>
        <v>64.997417211939833</v>
      </c>
      <c r="P112" s="13">
        <f t="shared" si="21"/>
        <v>64.998619523188253</v>
      </c>
      <c r="Q112" s="13">
        <f t="shared" si="22"/>
        <v>2036.9057056066886</v>
      </c>
      <c r="R112" s="13">
        <f t="shared" si="29"/>
        <v>2015.4818141198232</v>
      </c>
      <c r="S112" s="13">
        <f t="shared" si="35"/>
        <v>0.98671098533080892</v>
      </c>
      <c r="T112" s="13"/>
      <c r="U112" s="13">
        <f t="shared" si="19"/>
        <v>64.99958050442612</v>
      </c>
      <c r="V112" s="13"/>
      <c r="W112">
        <v>2039</v>
      </c>
      <c r="X112" s="13">
        <v>61.745723154645944</v>
      </c>
      <c r="Y112" s="13">
        <v>61.745723154645944</v>
      </c>
      <c r="Z112" s="13">
        <v>61.745723154645944</v>
      </c>
      <c r="AB112">
        <v>2039</v>
      </c>
      <c r="AC112" s="13">
        <v>49.549366075724478</v>
      </c>
      <c r="AD112" s="13">
        <f t="shared" si="28"/>
        <v>61.745723154645944</v>
      </c>
      <c r="AE112" s="13">
        <v>64.430063575201956</v>
      </c>
      <c r="AH112">
        <f t="shared" si="15"/>
        <v>11.950838399160467</v>
      </c>
      <c r="AI112">
        <f t="shared" si="16"/>
        <v>11.950838399160467</v>
      </c>
      <c r="AL112">
        <v>30</v>
      </c>
      <c r="AM112">
        <v>0</v>
      </c>
    </row>
    <row r="113" spans="1:39">
      <c r="A113">
        <v>2040</v>
      </c>
      <c r="B113" s="13"/>
      <c r="D113" s="13">
        <f t="shared" si="32"/>
        <v>62.183992667932174</v>
      </c>
      <c r="E113" s="13">
        <f t="shared" si="18"/>
        <v>64.999768753821897</v>
      </c>
      <c r="F113" s="13">
        <f t="shared" si="31"/>
        <v>62.183992667932174</v>
      </c>
      <c r="G113" s="84">
        <f t="shared" si="24"/>
        <v>62.241373310099746</v>
      </c>
      <c r="H113" s="84">
        <f>M113-SUM(L$85:L113)</f>
        <v>3.1162869646037894</v>
      </c>
      <c r="I113" s="13">
        <f t="shared" si="25"/>
        <v>0.45</v>
      </c>
      <c r="J113" s="13">
        <f t="shared" si="26"/>
        <v>1</v>
      </c>
      <c r="K113" s="13">
        <f t="shared" si="33"/>
        <v>1</v>
      </c>
      <c r="L113" s="89">
        <v>0.45</v>
      </c>
      <c r="M113" s="13">
        <f t="shared" si="30"/>
        <v>10.728786964603787</v>
      </c>
      <c r="N113" s="13"/>
      <c r="O113" s="84">
        <f t="shared" si="34"/>
        <v>64.998576193841146</v>
      </c>
      <c r="P113" s="13">
        <f t="shared" ref="P113:P128" si="36">LOOKUP(ROUND(Q113,0),A$82:A$128,E$82:E$128)</f>
        <v>64.999239009599833</v>
      </c>
      <c r="Q113" s="13">
        <f t="shared" si="22"/>
        <v>2037.9057056066886</v>
      </c>
      <c r="R113" s="13">
        <f t="shared" si="29"/>
        <v>2015.4818141198232</v>
      </c>
      <c r="S113" s="13">
        <f t="shared" si="35"/>
        <v>0.98671098533080892</v>
      </c>
      <c r="T113" s="13"/>
      <c r="U113" s="13">
        <f t="shared" si="19"/>
        <v>64.999768753821897</v>
      </c>
      <c r="V113" s="13"/>
      <c r="W113" s="87">
        <v>2040</v>
      </c>
      <c r="X113" s="13">
        <v>62.183992667932174</v>
      </c>
      <c r="Y113" s="13">
        <v>62.183992667932174</v>
      </c>
      <c r="Z113" s="13">
        <v>62.183992667932174</v>
      </c>
      <c r="AB113" s="87">
        <v>2040</v>
      </c>
      <c r="AC113" s="13">
        <v>51.248295602945198</v>
      </c>
      <c r="AD113" s="13">
        <f t="shared" si="28"/>
        <v>62.183992667932174</v>
      </c>
      <c r="AE113" s="13">
        <v>64.509877954483528</v>
      </c>
      <c r="AH113">
        <f t="shared" si="15"/>
        <v>12.546411421092266</v>
      </c>
      <c r="AI113">
        <f t="shared" si="16"/>
        <v>12.546411421092266</v>
      </c>
      <c r="AL113">
        <v>31</v>
      </c>
      <c r="AM113">
        <v>0</v>
      </c>
    </row>
    <row r="114" spans="1:39">
      <c r="A114">
        <v>2041</v>
      </c>
      <c r="D114" s="13">
        <f t="shared" si="32"/>
        <v>62.55579654266937</v>
      </c>
      <c r="E114" s="13">
        <f t="shared" si="18"/>
        <v>64.999872526127291</v>
      </c>
      <c r="F114" s="13">
        <f t="shared" si="31"/>
        <v>62.55579654266937</v>
      </c>
      <c r="G114" s="84">
        <f t="shared" si="24"/>
        <v>62.601277279023456</v>
      </c>
      <c r="H114" s="84">
        <f>M114-SUM(L$85:L114)</f>
        <v>3.2618492856238426</v>
      </c>
      <c r="I114" s="13">
        <f t="shared" si="25"/>
        <v>0.45</v>
      </c>
      <c r="J114" s="13">
        <f t="shared" si="26"/>
        <v>1</v>
      </c>
      <c r="K114" s="13">
        <f t="shared" si="33"/>
        <v>1</v>
      </c>
      <c r="L114" s="89">
        <f>L113</f>
        <v>0.45</v>
      </c>
      <c r="M114" s="13">
        <f t="shared" si="30"/>
        <v>11.324349285623839</v>
      </c>
      <c r="N114" s="13"/>
      <c r="O114" s="84">
        <f t="shared" si="34"/>
        <v>64.99921511558334</v>
      </c>
      <c r="P114" s="13">
        <f t="shared" si="36"/>
        <v>64.99958050442612</v>
      </c>
      <c r="Q114" s="13">
        <f t="shared" si="22"/>
        <v>2038.9057056066886</v>
      </c>
      <c r="R114" s="13">
        <f t="shared" si="29"/>
        <v>2015.4818141198232</v>
      </c>
      <c r="S114" s="13">
        <f t="shared" si="35"/>
        <v>0.98671098533080892</v>
      </c>
      <c r="T114" s="13"/>
      <c r="U114" s="13">
        <f t="shared" si="19"/>
        <v>64.999872526127291</v>
      </c>
      <c r="V114" s="13"/>
      <c r="W114">
        <v>2041</v>
      </c>
      <c r="X114" s="13">
        <v>62.55579654266937</v>
      </c>
      <c r="Y114" s="13">
        <v>62.55579654266937</v>
      </c>
      <c r="Z114" s="13">
        <v>62.55579654266937</v>
      </c>
      <c r="AB114">
        <v>2041</v>
      </c>
      <c r="AC114" s="13">
        <v>52.770035215762448</v>
      </c>
      <c r="AD114" s="13">
        <f t="shared" si="28"/>
        <v>62.55579654266937</v>
      </c>
      <c r="AE114" s="13">
        <v>64.576787854752894</v>
      </c>
      <c r="AH114">
        <f t="shared" si="15"/>
        <v>13.141984443024064</v>
      </c>
      <c r="AI114">
        <f t="shared" si="16"/>
        <v>13.141984443024064</v>
      </c>
      <c r="AL114">
        <v>32</v>
      </c>
      <c r="AM114">
        <v>0</v>
      </c>
    </row>
    <row r="115" spans="1:39">
      <c r="A115">
        <v>2042</v>
      </c>
      <c r="D115" s="13">
        <f t="shared" si="32"/>
        <v>62.875657418676475</v>
      </c>
      <c r="E115" s="13">
        <f t="shared" si="18"/>
        <v>64.999929730399373</v>
      </c>
      <c r="F115" s="13">
        <f t="shared" si="31"/>
        <v>62.875657418676475</v>
      </c>
      <c r="G115" s="84">
        <f t="shared" si="24"/>
        <v>62.915808417784078</v>
      </c>
      <c r="H115" s="84">
        <f>M115-SUM(L$85:L115)</f>
        <v>3.4074164086143028</v>
      </c>
      <c r="I115" s="13">
        <f t="shared" si="25"/>
        <v>0.45</v>
      </c>
      <c r="J115" s="13">
        <f t="shared" si="26"/>
        <v>1</v>
      </c>
      <c r="K115" s="13">
        <f t="shared" si="33"/>
        <v>1</v>
      </c>
      <c r="L115" s="89">
        <f t="shared" ref="L115:L128" si="37">L114</f>
        <v>0.45</v>
      </c>
      <c r="M115" s="13">
        <f t="shared" si="30"/>
        <v>11.919916408614299</v>
      </c>
      <c r="N115" s="13"/>
      <c r="O115" s="84">
        <f t="shared" si="34"/>
        <v>64.999567330237952</v>
      </c>
      <c r="P115" s="13">
        <f t="shared" si="36"/>
        <v>64.999768753821897</v>
      </c>
      <c r="Q115" s="13">
        <f t="shared" si="22"/>
        <v>2039.9057056066886</v>
      </c>
      <c r="R115" s="13">
        <f t="shared" si="29"/>
        <v>2015.4818141198232</v>
      </c>
      <c r="S115" s="13">
        <f t="shared" si="35"/>
        <v>0.98671098533080892</v>
      </c>
      <c r="T115" s="13"/>
      <c r="U115" s="13">
        <f t="shared" si="19"/>
        <v>64.999929730399373</v>
      </c>
      <c r="V115" s="13"/>
      <c r="W115">
        <v>2042</v>
      </c>
      <c r="X115" s="13">
        <v>62.875657418676475</v>
      </c>
      <c r="Y115" s="13">
        <v>62.875657418676475</v>
      </c>
      <c r="Z115" s="13">
        <v>62.875657418676475</v>
      </c>
      <c r="AB115">
        <v>2042</v>
      </c>
      <c r="AC115" s="13">
        <v>54.141787317226047</v>
      </c>
      <c r="AD115" s="13">
        <f t="shared" si="28"/>
        <v>62.875657418676475</v>
      </c>
      <c r="AE115" s="13">
        <v>64.633784797458333</v>
      </c>
      <c r="AH115">
        <f t="shared" si="15"/>
        <v>13.737557464955863</v>
      </c>
      <c r="AI115">
        <f t="shared" si="16"/>
        <v>13.737557464955863</v>
      </c>
      <c r="AL115">
        <v>33</v>
      </c>
      <c r="AM115">
        <v>0</v>
      </c>
    </row>
    <row r="116" spans="1:39">
      <c r="A116">
        <v>2043</v>
      </c>
      <c r="D116" s="13">
        <f t="shared" si="32"/>
        <v>63.154948850957453</v>
      </c>
      <c r="E116" s="13">
        <f t="shared" si="18"/>
        <v>64.999961264102851</v>
      </c>
      <c r="F116" s="13">
        <f t="shared" si="31"/>
        <v>63.154948850957453</v>
      </c>
      <c r="G116" s="84">
        <f t="shared" si="24"/>
        <v>63.190293765041481</v>
      </c>
      <c r="H116" s="84">
        <f>M116-SUM(L$85:L116)</f>
        <v>3.5529861787135903</v>
      </c>
      <c r="I116" s="13">
        <f t="shared" si="25"/>
        <v>0.45</v>
      </c>
      <c r="J116" s="13">
        <f t="shared" si="26"/>
        <v>1</v>
      </c>
      <c r="K116" s="13">
        <f t="shared" si="33"/>
        <v>1</v>
      </c>
      <c r="L116" s="89">
        <f t="shared" si="37"/>
        <v>0.45</v>
      </c>
      <c r="M116" s="13">
        <f t="shared" si="30"/>
        <v>12.515486178713585</v>
      </c>
      <c r="N116" s="13"/>
      <c r="O116" s="84">
        <f t="shared" si="34"/>
        <v>64.999761490777161</v>
      </c>
      <c r="P116" s="13">
        <f t="shared" si="36"/>
        <v>64.999872526127291</v>
      </c>
      <c r="Q116" s="13">
        <f t="shared" si="22"/>
        <v>2040.9057056066886</v>
      </c>
      <c r="R116" s="13">
        <f t="shared" si="29"/>
        <v>2015.4818141198232</v>
      </c>
      <c r="S116" s="13">
        <f t="shared" si="35"/>
        <v>0.98671098533080892</v>
      </c>
      <c r="T116" s="13"/>
      <c r="U116" s="13">
        <f t="shared" si="19"/>
        <v>64.999961264102851</v>
      </c>
      <c r="V116" s="13"/>
      <c r="W116">
        <v>2043</v>
      </c>
      <c r="X116" s="13">
        <v>63.154948850957453</v>
      </c>
      <c r="Y116" s="13">
        <v>63.154948850957453</v>
      </c>
      <c r="Z116" s="13">
        <v>63.154948850957453</v>
      </c>
      <c r="AB116">
        <v>2043</v>
      </c>
      <c r="AC116" s="13">
        <v>55.388566730963518</v>
      </c>
      <c r="AD116" s="13">
        <f t="shared" si="28"/>
        <v>63.154948850957453</v>
      </c>
      <c r="AE116" s="13">
        <v>64.683145005158849</v>
      </c>
      <c r="AH116">
        <f t="shared" si="15"/>
        <v>14.333130486887661</v>
      </c>
      <c r="AI116">
        <f t="shared" si="16"/>
        <v>14.333130486887661</v>
      </c>
      <c r="AL116">
        <v>34</v>
      </c>
      <c r="AM116">
        <v>0</v>
      </c>
    </row>
    <row r="117" spans="1:39">
      <c r="A117">
        <v>2044</v>
      </c>
      <c r="D117" s="13">
        <f t="shared" si="32"/>
        <v>63.39849629512711</v>
      </c>
      <c r="E117" s="13">
        <f t="shared" si="18"/>
        <v>64.999978646962731</v>
      </c>
      <c r="F117" s="13">
        <f t="shared" si="31"/>
        <v>63.39849629512711</v>
      </c>
      <c r="G117" s="84">
        <f t="shared" si="24"/>
        <v>63.429534321433579</v>
      </c>
      <c r="H117" s="84">
        <f>M117-SUM(L$85:L117)</f>
        <v>3.698557408073146</v>
      </c>
      <c r="I117" s="13">
        <f t="shared" si="25"/>
        <v>0.45</v>
      </c>
      <c r="J117" s="13">
        <f t="shared" si="26"/>
        <v>1</v>
      </c>
      <c r="K117" s="13">
        <f t="shared" si="33"/>
        <v>1</v>
      </c>
      <c r="L117" s="89">
        <f t="shared" si="37"/>
        <v>0.45</v>
      </c>
      <c r="M117" s="13">
        <f t="shared" si="30"/>
        <v>13.11105740807314</v>
      </c>
      <c r="N117" s="13"/>
      <c r="O117" s="84">
        <f t="shared" si="34"/>
        <v>64.99986852214991</v>
      </c>
      <c r="P117" s="13">
        <f t="shared" si="36"/>
        <v>64.999929730399373</v>
      </c>
      <c r="Q117" s="13">
        <f t="shared" si="22"/>
        <v>2041.9057056066886</v>
      </c>
      <c r="R117" s="13">
        <f t="shared" si="29"/>
        <v>2015.4818141198232</v>
      </c>
      <c r="S117" s="13">
        <f t="shared" si="35"/>
        <v>0.98671098533080892</v>
      </c>
      <c r="T117" s="13"/>
      <c r="U117" s="13">
        <f t="shared" si="19"/>
        <v>64.999978646962731</v>
      </c>
      <c r="V117" s="13"/>
      <c r="W117">
        <v>2044</v>
      </c>
      <c r="X117" s="13">
        <v>63.39849629512711</v>
      </c>
      <c r="Y117" s="13">
        <v>63.39849629512711</v>
      </c>
      <c r="Z117" s="13">
        <v>63.39849629512711</v>
      </c>
      <c r="AB117">
        <v>2044</v>
      </c>
      <c r="AC117" s="13">
        <v>56.515296902024332</v>
      </c>
      <c r="AD117" s="13">
        <f t="shared" si="28"/>
        <v>63.39849629512711</v>
      </c>
      <c r="AE117" s="13">
        <v>64.725881701578786</v>
      </c>
      <c r="AH117">
        <f t="shared" si="15"/>
        <v>14.92870350881946</v>
      </c>
      <c r="AI117">
        <f t="shared" si="16"/>
        <v>14.92870350881946</v>
      </c>
      <c r="AL117">
        <v>35</v>
      </c>
      <c r="AM117">
        <v>0</v>
      </c>
    </row>
    <row r="118" spans="1:39">
      <c r="A118">
        <v>2045</v>
      </c>
      <c r="D118" s="13">
        <f t="shared" si="32"/>
        <v>63.610631980017992</v>
      </c>
      <c r="E118" s="13">
        <f t="shared" si="18"/>
        <v>64.999988229209094</v>
      </c>
      <c r="F118" s="13">
        <f t="shared" si="31"/>
        <v>63.610631980017992</v>
      </c>
      <c r="G118" s="84">
        <f t="shared" si="24"/>
        <v>63.637830471504678</v>
      </c>
      <c r="H118" s="84">
        <f>M118-SUM(L$85:L118)</f>
        <v>3.8441294420034584</v>
      </c>
      <c r="I118" s="13">
        <f t="shared" si="25"/>
        <v>0.45</v>
      </c>
      <c r="J118" s="13">
        <f t="shared" si="26"/>
        <v>1</v>
      </c>
      <c r="K118" s="13">
        <f t="shared" si="33"/>
        <v>1</v>
      </c>
      <c r="L118" s="89">
        <f t="shared" si="37"/>
        <v>0.45</v>
      </c>
      <c r="M118" s="13">
        <f t="shared" si="30"/>
        <v>13.706629442003452</v>
      </c>
      <c r="N118" s="13"/>
      <c r="O118" s="84">
        <f t="shared" si="34"/>
        <v>64.999927523144905</v>
      </c>
      <c r="P118" s="13">
        <f t="shared" si="36"/>
        <v>64.999961264102851</v>
      </c>
      <c r="Q118" s="13">
        <f t="shared" si="22"/>
        <v>2042.9057056066886</v>
      </c>
      <c r="R118" s="13">
        <f t="shared" si="29"/>
        <v>2015.4818141198232</v>
      </c>
      <c r="S118" s="13">
        <f t="shared" si="35"/>
        <v>0.98671098533080892</v>
      </c>
      <c r="T118" s="13"/>
      <c r="U118" s="13">
        <f t="shared" si="19"/>
        <v>64.999988229209094</v>
      </c>
      <c r="V118" s="13"/>
      <c r="W118">
        <v>2045</v>
      </c>
      <c r="X118" s="13">
        <v>63.610631980017992</v>
      </c>
      <c r="Y118" s="13">
        <v>63.610631980017992</v>
      </c>
      <c r="Z118" s="13">
        <v>63.610631980017992</v>
      </c>
      <c r="AB118">
        <v>2045</v>
      </c>
      <c r="AC118" s="13">
        <v>57.528299163668009</v>
      </c>
      <c r="AD118" s="13">
        <f t="shared" si="28"/>
        <v>63.610631980017992</v>
      </c>
      <c r="AE118" s="13">
        <v>64.762876225105771</v>
      </c>
      <c r="AH118">
        <f t="shared" si="15"/>
        <v>15.524276530751258</v>
      </c>
      <c r="AI118">
        <f t="shared" si="16"/>
        <v>15.524276530751258</v>
      </c>
      <c r="AL118">
        <v>36</v>
      </c>
      <c r="AM118">
        <v>0</v>
      </c>
    </row>
    <row r="119" spans="1:39">
      <c r="A119">
        <v>2046</v>
      </c>
      <c r="D119" s="13">
        <f t="shared" si="32"/>
        <v>63.795223972469785</v>
      </c>
      <c r="E119" s="13">
        <f t="shared" si="18"/>
        <v>64.999993511391025</v>
      </c>
      <c r="F119" s="13">
        <f t="shared" si="31"/>
        <v>63.795223972469785</v>
      </c>
      <c r="G119" s="84">
        <f t="shared" si="24"/>
        <v>63.819014499871699</v>
      </c>
      <c r="H119" s="84">
        <f>M119-SUM(L$85:L119)</f>
        <v>3.9897019193433518</v>
      </c>
      <c r="I119" s="13">
        <f t="shared" si="25"/>
        <v>0.45</v>
      </c>
      <c r="J119" s="13">
        <f t="shared" si="26"/>
        <v>1</v>
      </c>
      <c r="K119" s="13">
        <f t="shared" si="33"/>
        <v>1</v>
      </c>
      <c r="L119" s="89">
        <f t="shared" si="37"/>
        <v>0.45</v>
      </c>
      <c r="M119" s="13">
        <f t="shared" si="30"/>
        <v>14.302201919343345</v>
      </c>
      <c r="N119" s="13"/>
      <c r="O119" s="84">
        <f t="shared" si="34"/>
        <v>64.999960047338377</v>
      </c>
      <c r="P119" s="13">
        <f t="shared" si="36"/>
        <v>64.999978646962731</v>
      </c>
      <c r="Q119" s="13">
        <f t="shared" si="22"/>
        <v>2043.9057056066886</v>
      </c>
      <c r="R119" s="13">
        <f t="shared" si="29"/>
        <v>2015.4818141198232</v>
      </c>
      <c r="S119" s="13">
        <f t="shared" si="35"/>
        <v>0.98671098533080892</v>
      </c>
      <c r="T119" s="13"/>
      <c r="U119" s="13">
        <f t="shared" si="19"/>
        <v>64.999993511391025</v>
      </c>
      <c r="V119" s="13"/>
      <c r="W119">
        <v>2046</v>
      </c>
      <c r="X119" s="13">
        <v>63.795223972469785</v>
      </c>
      <c r="Y119" s="13">
        <v>63.795223972469785</v>
      </c>
      <c r="Z119" s="13">
        <v>63.795223972469785</v>
      </c>
      <c r="AB119">
        <v>2046</v>
      </c>
      <c r="AC119" s="13">
        <v>58.434840319377066</v>
      </c>
      <c r="AD119" s="13">
        <f t="shared" si="28"/>
        <v>63.795223972469785</v>
      </c>
      <c r="AE119" s="13">
        <v>64.794894534631936</v>
      </c>
      <c r="AH119">
        <f t="shared" si="15"/>
        <v>16.119849552683057</v>
      </c>
      <c r="AI119">
        <f t="shared" si="16"/>
        <v>16.119849552683057</v>
      </c>
      <c r="AL119">
        <v>37</v>
      </c>
      <c r="AM119">
        <v>0</v>
      </c>
    </row>
    <row r="120" spans="1:39">
      <c r="A120">
        <v>2047</v>
      </c>
      <c r="D120" s="13">
        <f t="shared" si="32"/>
        <v>63.955710027757462</v>
      </c>
      <c r="E120" s="13">
        <f t="shared" si="18"/>
        <v>64.999996423176214</v>
      </c>
      <c r="F120" s="13">
        <f t="shared" si="31"/>
        <v>63.955710027757462</v>
      </c>
      <c r="G120" s="84">
        <f t="shared" si="24"/>
        <v>63.976486842238515</v>
      </c>
      <c r="H120" s="84">
        <f>M120-SUM(L$85:L120)</f>
        <v>4.1352746410740711</v>
      </c>
      <c r="I120" s="13">
        <f t="shared" si="25"/>
        <v>0.45</v>
      </c>
      <c r="J120" s="13">
        <f t="shared" si="26"/>
        <v>1</v>
      </c>
      <c r="K120" s="13">
        <f t="shared" si="33"/>
        <v>1</v>
      </c>
      <c r="L120" s="89">
        <f t="shared" si="37"/>
        <v>0.45</v>
      </c>
      <c r="M120" s="13">
        <f t="shared" si="30"/>
        <v>14.897774641074063</v>
      </c>
      <c r="N120" s="13"/>
      <c r="O120" s="84">
        <f t="shared" si="34"/>
        <v>64.999977976218474</v>
      </c>
      <c r="P120" s="13">
        <f t="shared" si="36"/>
        <v>64.999988229209094</v>
      </c>
      <c r="Q120" s="13">
        <f t="shared" si="22"/>
        <v>2044.9057056066886</v>
      </c>
      <c r="R120" s="13">
        <f t="shared" si="29"/>
        <v>2015.4818141198232</v>
      </c>
      <c r="S120" s="13">
        <f t="shared" si="35"/>
        <v>0.98671098533080892</v>
      </c>
      <c r="T120" s="13"/>
      <c r="U120" s="13">
        <f t="shared" si="19"/>
        <v>64.999996423176214</v>
      </c>
      <c r="V120" s="13"/>
      <c r="W120">
        <v>2047</v>
      </c>
      <c r="X120" s="13">
        <v>63.955710027757462</v>
      </c>
      <c r="Y120" s="13">
        <v>63.955710027757462</v>
      </c>
      <c r="Z120" s="13">
        <v>63.955710027757462</v>
      </c>
      <c r="AB120">
        <v>2047</v>
      </c>
      <c r="AC120" s="13">
        <v>59.242746990157471</v>
      </c>
      <c r="AD120" s="13">
        <f t="shared" si="28"/>
        <v>63.955710027757462</v>
      </c>
      <c r="AE120" s="13">
        <v>64.822601827183632</v>
      </c>
      <c r="AH120">
        <f t="shared" si="15"/>
        <v>16.715422574614855</v>
      </c>
      <c r="AI120">
        <f t="shared" si="16"/>
        <v>16.715422574614855</v>
      </c>
      <c r="AL120">
        <v>38</v>
      </c>
      <c r="AM120">
        <v>0</v>
      </c>
    </row>
    <row r="121" spans="1:39">
      <c r="A121">
        <v>2048</v>
      </c>
      <c r="D121" s="13">
        <f t="shared" si="32"/>
        <v>64.095133579870136</v>
      </c>
      <c r="E121" s="13">
        <f t="shared" si="18"/>
        <v>64.999998028288005</v>
      </c>
      <c r="F121" s="13">
        <f t="shared" si="31"/>
        <v>64.095133579870136</v>
      </c>
      <c r="G121" s="84">
        <f t="shared" si="24"/>
        <v>64.11325372730046</v>
      </c>
      <c r="H121" s="84">
        <f>M121-SUM(L$85:L121)</f>
        <v>4.2808474976344577</v>
      </c>
      <c r="I121" s="13">
        <f t="shared" si="25"/>
        <v>0.45</v>
      </c>
      <c r="J121" s="13">
        <f t="shared" si="26"/>
        <v>1</v>
      </c>
      <c r="K121" s="13">
        <f t="shared" si="33"/>
        <v>1</v>
      </c>
      <c r="L121" s="89">
        <f t="shared" si="37"/>
        <v>0.45</v>
      </c>
      <c r="M121" s="13">
        <f t="shared" si="30"/>
        <v>15.493347497634449</v>
      </c>
      <c r="N121" s="13"/>
      <c r="O121" s="84">
        <f t="shared" si="34"/>
        <v>64.999987859461484</v>
      </c>
      <c r="P121" s="13">
        <f t="shared" si="36"/>
        <v>64.999993511391025</v>
      </c>
      <c r="Q121" s="13">
        <f t="shared" si="22"/>
        <v>2045.9057056066886</v>
      </c>
      <c r="R121" s="13">
        <f t="shared" si="29"/>
        <v>2015.4818141198232</v>
      </c>
      <c r="S121" s="13">
        <f t="shared" si="35"/>
        <v>0.98671098533080892</v>
      </c>
      <c r="T121" s="13"/>
      <c r="U121" s="13">
        <f t="shared" si="19"/>
        <v>64.999998028288005</v>
      </c>
      <c r="V121" s="13"/>
      <c r="W121">
        <v>2048</v>
      </c>
      <c r="X121" s="13">
        <v>64.095133579870136</v>
      </c>
      <c r="Y121" s="13">
        <v>64.095133579870136</v>
      </c>
      <c r="Z121" s="13">
        <v>64.095133579870136</v>
      </c>
      <c r="AB121">
        <v>2048</v>
      </c>
      <c r="AC121" s="13">
        <v>59.960087298716687</v>
      </c>
      <c r="AD121" s="13">
        <f t="shared" si="28"/>
        <v>64.095133579870136</v>
      </c>
      <c r="AE121" s="13">
        <v>64.846575433100838</v>
      </c>
      <c r="AG121" s="31"/>
      <c r="AH121">
        <f t="shared" si="15"/>
        <v>17.310995596546654</v>
      </c>
      <c r="AI121">
        <f t="shared" si="16"/>
        <v>17.310995596546654</v>
      </c>
      <c r="AL121">
        <v>39</v>
      </c>
      <c r="AM121">
        <v>0</v>
      </c>
    </row>
    <row r="122" spans="1:39">
      <c r="A122">
        <v>2049</v>
      </c>
      <c r="D122" s="13">
        <f t="shared" si="32"/>
        <v>64.216180056054924</v>
      </c>
      <c r="E122" s="13">
        <f t="shared" si="18"/>
        <v>64.999998913100441</v>
      </c>
      <c r="F122" s="13">
        <f t="shared" si="31"/>
        <v>64.216180056054924</v>
      </c>
      <c r="G122" s="84">
        <f t="shared" si="24"/>
        <v>64.231964597871965</v>
      </c>
      <c r="H122" s="84">
        <f>M122-SUM(L$85:L122)</f>
        <v>4.4264204280979307</v>
      </c>
      <c r="I122" s="13">
        <f t="shared" si="25"/>
        <v>0.45</v>
      </c>
      <c r="J122" s="13">
        <f t="shared" si="26"/>
        <v>1</v>
      </c>
      <c r="K122" s="13">
        <f t="shared" si="33"/>
        <v>1</v>
      </c>
      <c r="L122" s="89">
        <f t="shared" si="37"/>
        <v>0.45</v>
      </c>
      <c r="M122" s="13">
        <f t="shared" si="30"/>
        <v>16.088920428097921</v>
      </c>
      <c r="N122" s="13"/>
      <c r="O122" s="84">
        <f t="shared" si="34"/>
        <v>64.999993307568261</v>
      </c>
      <c r="P122" s="13">
        <f t="shared" si="36"/>
        <v>64.999996423176214</v>
      </c>
      <c r="Q122" s="13">
        <f t="shared" si="22"/>
        <v>2046.9057056066886</v>
      </c>
      <c r="R122" s="13">
        <f t="shared" si="29"/>
        <v>2015.4818141198232</v>
      </c>
      <c r="S122" s="13">
        <f t="shared" si="35"/>
        <v>0.98671098533080892</v>
      </c>
      <c r="T122" s="13"/>
      <c r="U122" s="13">
        <f t="shared" si="19"/>
        <v>64.999998913100441</v>
      </c>
      <c r="V122" s="13"/>
      <c r="W122">
        <v>2049</v>
      </c>
      <c r="X122" s="13">
        <v>64.216180056054924</v>
      </c>
      <c r="Y122" s="13">
        <v>64.216180056054924</v>
      </c>
      <c r="Z122" s="13">
        <v>64.216180056054924</v>
      </c>
      <c r="AB122">
        <v>2049</v>
      </c>
      <c r="AC122" s="13">
        <v>60.594917487362565</v>
      </c>
      <c r="AD122" s="13">
        <f t="shared" si="28"/>
        <v>64.216180056054924</v>
      </c>
      <c r="AE122" s="13">
        <v>64.867316155019083</v>
      </c>
      <c r="AH122">
        <f t="shared" si="15"/>
        <v>17.906568618478452</v>
      </c>
      <c r="AI122">
        <f t="shared" si="16"/>
        <v>17.906568618478452</v>
      </c>
      <c r="AL122">
        <v>40</v>
      </c>
      <c r="AM122">
        <v>0</v>
      </c>
    </row>
    <row r="123" spans="1:39">
      <c r="A123">
        <v>2050</v>
      </c>
      <c r="D123" s="13">
        <f t="shared" si="32"/>
        <v>64.321212286515063</v>
      </c>
      <c r="E123" s="13">
        <f t="shared" si="18"/>
        <v>64.999999400850314</v>
      </c>
      <c r="F123" s="13">
        <f>AVERAGE(G121:G125)</f>
        <v>64.321212286515063</v>
      </c>
      <c r="G123" s="84">
        <f t="shared" si="24"/>
        <v>64.334948232068001</v>
      </c>
      <c r="H123" s="84">
        <f>M123-SUM(L$85:L123)</f>
        <v>4.5719933968164845</v>
      </c>
      <c r="I123" s="13">
        <f t="shared" si="25"/>
        <v>0.45</v>
      </c>
      <c r="J123" s="13">
        <f t="shared" si="26"/>
        <v>1</v>
      </c>
      <c r="K123" s="13">
        <f t="shared" si="33"/>
        <v>1</v>
      </c>
      <c r="L123" s="89">
        <f t="shared" si="37"/>
        <v>0.45</v>
      </c>
      <c r="M123" s="13">
        <f t="shared" si="30"/>
        <v>16.684493396816475</v>
      </c>
      <c r="N123" s="13"/>
      <c r="O123" s="84">
        <f t="shared" si="34"/>
        <v>64.999996310819398</v>
      </c>
      <c r="P123" s="13">
        <f t="shared" si="36"/>
        <v>64.999998028288005</v>
      </c>
      <c r="Q123" s="13">
        <f t="shared" si="22"/>
        <v>2047.9057056066886</v>
      </c>
      <c r="R123" s="13">
        <f t="shared" si="29"/>
        <v>2015.4818141198232</v>
      </c>
      <c r="S123" s="13">
        <f t="shared" si="35"/>
        <v>0.98671098533080892</v>
      </c>
      <c r="T123" s="13"/>
      <c r="U123" s="13">
        <f t="shared" si="19"/>
        <v>64.999999400850314</v>
      </c>
      <c r="V123" s="13"/>
      <c r="W123">
        <v>2050</v>
      </c>
      <c r="X123" s="13">
        <v>64.321212286515063</v>
      </c>
      <c r="Y123" s="13">
        <v>64.321212286515063</v>
      </c>
      <c r="Z123" s="13">
        <v>64.321212286515063</v>
      </c>
      <c r="AB123">
        <v>2050</v>
      </c>
      <c r="AC123" s="13">
        <v>61.155088396153133</v>
      </c>
      <c r="AD123" s="13">
        <f t="shared" si="28"/>
        <v>64.321212286515063</v>
      </c>
      <c r="AE123" s="13">
        <v>64.885083492611244</v>
      </c>
      <c r="AH123">
        <f t="shared" si="15"/>
        <v>18.502141640410247</v>
      </c>
      <c r="AI123">
        <f t="shared" si="16"/>
        <v>18.502141640410247</v>
      </c>
      <c r="AL123">
        <v>41</v>
      </c>
      <c r="AM123">
        <v>0</v>
      </c>
    </row>
    <row r="124" spans="1:39">
      <c r="A124">
        <v>2051</v>
      </c>
      <c r="D124" s="13">
        <f t="shared" si="32"/>
        <v>64.399314976609404</v>
      </c>
      <c r="E124" s="13">
        <f t="shared" si="18"/>
        <v>64.999999669720779</v>
      </c>
      <c r="F124" s="20"/>
      <c r="G124" s="84">
        <f t="shared" si="24"/>
        <v>64.424246880795707</v>
      </c>
      <c r="H124" s="84">
        <f>M124-SUM(L$85:L124)</f>
        <v>4.7175663892698836</v>
      </c>
      <c r="I124" s="13">
        <f t="shared" si="25"/>
        <v>0.45</v>
      </c>
      <c r="J124" s="13">
        <f t="shared" si="26"/>
        <v>1</v>
      </c>
      <c r="K124" s="13">
        <f t="shared" si="33"/>
        <v>1</v>
      </c>
      <c r="L124" s="89">
        <f t="shared" si="37"/>
        <v>0.45</v>
      </c>
      <c r="M124" s="13">
        <f t="shared" si="30"/>
        <v>17.280066389269873</v>
      </c>
      <c r="N124" s="13"/>
      <c r="O124" s="84">
        <f t="shared" si="34"/>
        <v>64.999997966351629</v>
      </c>
      <c r="P124" s="13">
        <f t="shared" si="36"/>
        <v>64.999998913100441</v>
      </c>
      <c r="Q124" s="13">
        <f t="shared" si="22"/>
        <v>2048.9057056066886</v>
      </c>
      <c r="R124" s="13">
        <f t="shared" si="29"/>
        <v>2015.4818141198232</v>
      </c>
      <c r="S124" s="13">
        <f t="shared" si="35"/>
        <v>0.98671098533080892</v>
      </c>
      <c r="T124" s="13"/>
      <c r="U124" s="13">
        <f t="shared" si="19"/>
        <v>64.999999669720779</v>
      </c>
      <c r="V124" s="13"/>
      <c r="W124" s="13"/>
      <c r="X124" s="13"/>
      <c r="Y124" s="13"/>
      <c r="Z124" s="13"/>
      <c r="AA124" s="13"/>
      <c r="AB124" s="13"/>
      <c r="AC124" s="13"/>
      <c r="AD124" s="13"/>
      <c r="AE124" s="13"/>
      <c r="AH124">
        <f t="shared" si="15"/>
        <v>19.097714662342046</v>
      </c>
      <c r="AI124">
        <f t="shared" si="16"/>
        <v>19.097714662342046</v>
      </c>
      <c r="AL124">
        <v>42</v>
      </c>
      <c r="AM124">
        <v>0</v>
      </c>
    </row>
    <row r="125" spans="1:39">
      <c r="A125">
        <v>2052</v>
      </c>
      <c r="D125" s="13">
        <f t="shared" si="32"/>
        <v>64.452390266663528</v>
      </c>
      <c r="E125" s="13">
        <f t="shared" si="18"/>
        <v>64.999999817934693</v>
      </c>
      <c r="F125" s="20"/>
      <c r="G125" s="84">
        <f t="shared" si="24"/>
        <v>64.501647994539127</v>
      </c>
      <c r="H125" s="84">
        <f>M125-SUM(L$85:L125)</f>
        <v>4.8631393871533994</v>
      </c>
      <c r="I125" s="13">
        <f t="shared" si="25"/>
        <v>0.45</v>
      </c>
      <c r="J125" s="13">
        <f t="shared" si="26"/>
        <v>1</v>
      </c>
      <c r="K125" s="13">
        <f t="shared" si="33"/>
        <v>1</v>
      </c>
      <c r="L125" s="89">
        <f t="shared" si="37"/>
        <v>0.45</v>
      </c>
      <c r="M125" s="13">
        <f t="shared" si="30"/>
        <v>17.875639387153388</v>
      </c>
      <c r="N125" s="13"/>
      <c r="O125" s="84">
        <f t="shared" si="34"/>
        <v>64.999998878958209</v>
      </c>
      <c r="P125" s="13">
        <f t="shared" si="36"/>
        <v>64.999999400850314</v>
      </c>
      <c r="Q125" s="13">
        <f t="shared" si="22"/>
        <v>2049.9057056066886</v>
      </c>
      <c r="R125" s="13">
        <f t="shared" si="29"/>
        <v>2015.4818141198232</v>
      </c>
      <c r="S125" s="13">
        <f t="shared" si="35"/>
        <v>0.98671098533080892</v>
      </c>
      <c r="T125" s="13"/>
      <c r="U125" s="13">
        <f t="shared" si="19"/>
        <v>64.999999817934693</v>
      </c>
      <c r="V125" s="13"/>
      <c r="W125" s="13"/>
      <c r="X125" s="13"/>
      <c r="Y125" s="13"/>
      <c r="Z125" s="13"/>
      <c r="AA125" s="13"/>
      <c r="AB125" s="13"/>
      <c r="AC125" s="13"/>
      <c r="AD125" s="13"/>
      <c r="AE125" s="13"/>
      <c r="AH125">
        <f t="shared" si="15"/>
        <v>19.693287684273844</v>
      </c>
      <c r="AI125">
        <f t="shared" si="16"/>
        <v>19.693287684273844</v>
      </c>
      <c r="AL125">
        <v>43</v>
      </c>
      <c r="AM125">
        <v>0</v>
      </c>
    </row>
    <row r="126" spans="1:39">
      <c r="A126">
        <v>2053</v>
      </c>
      <c r="D126" s="13">
        <f t="shared" si="32"/>
        <v>64.48153018328577</v>
      </c>
      <c r="E126" s="13">
        <f t="shared" si="18"/>
        <v>64.999999899637118</v>
      </c>
      <c r="F126" s="20"/>
      <c r="G126" s="84">
        <f t="shared" si="24"/>
        <v>64.50376717777219</v>
      </c>
      <c r="H126" s="84">
        <f>M126-SUM(L$85:L126)</f>
        <v>4.8674336906910405</v>
      </c>
      <c r="I126" s="13">
        <f t="shared" si="25"/>
        <v>0.45</v>
      </c>
      <c r="J126" s="13">
        <f t="shared" si="26"/>
        <v>1</v>
      </c>
      <c r="K126" s="13">
        <f t="shared" si="33"/>
        <v>1</v>
      </c>
      <c r="L126" s="89">
        <f t="shared" si="37"/>
        <v>0.45</v>
      </c>
      <c r="M126" s="13">
        <f t="shared" si="30"/>
        <v>18.329933690691028</v>
      </c>
      <c r="N126" s="13"/>
      <c r="O126" s="84">
        <f t="shared" si="34"/>
        <v>64.999999288255211</v>
      </c>
      <c r="P126" s="13">
        <f t="shared" si="36"/>
        <v>64.999999669720779</v>
      </c>
      <c r="Q126" s="13">
        <f t="shared" si="22"/>
        <v>2050.9057056066886</v>
      </c>
      <c r="R126" s="13">
        <f t="shared" si="29"/>
        <v>2015.4818141198232</v>
      </c>
      <c r="S126" s="13">
        <f t="shared" si="35"/>
        <v>0.98671098533080892</v>
      </c>
      <c r="T126" s="13"/>
      <c r="U126" s="13">
        <f t="shared" si="19"/>
        <v>64.999999899637118</v>
      </c>
      <c r="V126" s="13"/>
      <c r="W126" s="13"/>
      <c r="X126" s="13"/>
      <c r="Y126" s="13"/>
      <c r="Z126" s="13"/>
      <c r="AA126" s="13"/>
      <c r="AB126" s="13"/>
      <c r="AC126" s="13"/>
      <c r="AD126" s="13"/>
      <c r="AE126" s="13"/>
      <c r="AH126">
        <f t="shared" si="15"/>
        <v>20.288860706205643</v>
      </c>
      <c r="AI126">
        <f t="shared" si="16"/>
        <v>20.288860706205643</v>
      </c>
      <c r="AL126">
        <v>44</v>
      </c>
      <c r="AM126">
        <v>0</v>
      </c>
    </row>
    <row r="127" spans="1:39">
      <c r="A127">
        <v>2054</v>
      </c>
      <c r="D127" s="13">
        <f t="shared" si="32"/>
        <v>64.495851008908275</v>
      </c>
      <c r="E127" s="13">
        <f t="shared" si="18"/>
        <v>64.999999944675295</v>
      </c>
      <c r="F127" s="20"/>
      <c r="G127" s="84">
        <f t="shared" si="24"/>
        <v>64.497341048142616</v>
      </c>
      <c r="H127" s="84">
        <f>M127-SUM(L$85:L127)</f>
        <v>4.854467365856145</v>
      </c>
      <c r="I127" s="13">
        <f t="shared" si="25"/>
        <v>0.45</v>
      </c>
      <c r="J127" s="13">
        <f t="shared" si="26"/>
        <v>1</v>
      </c>
      <c r="K127" s="13">
        <f t="shared" si="33"/>
        <v>1</v>
      </c>
      <c r="L127" s="89">
        <f t="shared" si="37"/>
        <v>0.45</v>
      </c>
      <c r="M127" s="13">
        <f t="shared" si="30"/>
        <v>18.766967365856132</v>
      </c>
      <c r="N127" s="13"/>
      <c r="O127" s="84">
        <f t="shared" si="34"/>
        <v>64.99999954024868</v>
      </c>
      <c r="P127" s="13">
        <f t="shared" si="36"/>
        <v>64.999999817934693</v>
      </c>
      <c r="Q127" s="13">
        <f t="shared" si="22"/>
        <v>2051.9057056066886</v>
      </c>
      <c r="R127" s="13">
        <f t="shared" si="29"/>
        <v>2015.4818141198232</v>
      </c>
      <c r="S127" s="13">
        <f t="shared" si="35"/>
        <v>0.98671098533080892</v>
      </c>
      <c r="T127" s="13"/>
      <c r="U127" s="13">
        <f t="shared" si="19"/>
        <v>64.999999944675295</v>
      </c>
      <c r="V127" s="13"/>
      <c r="W127" s="13"/>
      <c r="X127" s="13"/>
      <c r="Y127" s="13"/>
      <c r="Z127" s="13"/>
      <c r="AA127" s="13"/>
      <c r="AB127" s="13"/>
      <c r="AC127" s="13"/>
      <c r="AD127" s="13"/>
      <c r="AE127" s="13"/>
      <c r="AH127">
        <f t="shared" si="15"/>
        <v>20.884433728137441</v>
      </c>
      <c r="AI127">
        <f t="shared" si="16"/>
        <v>20.884433728137441</v>
      </c>
      <c r="AL127">
        <v>45</v>
      </c>
      <c r="AM127">
        <v>0</v>
      </c>
    </row>
    <row r="128" spans="1:39">
      <c r="A128">
        <v>2055</v>
      </c>
      <c r="D128" s="13">
        <f t="shared" si="32"/>
        <v>64.493918680364672</v>
      </c>
      <c r="E128" s="13">
        <f t="shared" si="18"/>
        <v>64.999999969502454</v>
      </c>
      <c r="F128" s="20"/>
      <c r="G128" s="84">
        <f t="shared" si="24"/>
        <v>64.480647815179182</v>
      </c>
      <c r="H128" s="84">
        <f>M128-SUM(L$85:L128)</f>
        <v>4.8215381873894856</v>
      </c>
      <c r="I128" s="13">
        <f t="shared" si="25"/>
        <v>0.45</v>
      </c>
      <c r="J128" s="13">
        <f t="shared" si="26"/>
        <v>1</v>
      </c>
      <c r="K128" s="13">
        <f t="shared" si="33"/>
        <v>1</v>
      </c>
      <c r="L128" s="89">
        <f t="shared" si="37"/>
        <v>0.45</v>
      </c>
      <c r="M128" s="13">
        <f t="shared" si="30"/>
        <v>19.184038187389472</v>
      </c>
      <c r="N128" s="13"/>
      <c r="O128" s="84">
        <f t="shared" si="34"/>
        <v>64.999999697035719</v>
      </c>
      <c r="P128" s="13">
        <f t="shared" si="36"/>
        <v>64.999999899637118</v>
      </c>
      <c r="Q128" s="13">
        <f t="shared" si="22"/>
        <v>2052.9057056066886</v>
      </c>
      <c r="R128" s="13">
        <f>AQ$94+AQ$95*S128+AQ$98*1</f>
        <v>2015.4818141198232</v>
      </c>
      <c r="S128" s="13">
        <f t="shared" si="35"/>
        <v>0.98671098533080892</v>
      </c>
      <c r="T128" s="13"/>
      <c r="U128" s="13">
        <f t="shared" si="19"/>
        <v>64.999999969502454</v>
      </c>
      <c r="V128" s="13"/>
      <c r="W128" s="13"/>
      <c r="X128" s="13"/>
      <c r="Y128" s="13"/>
      <c r="Z128" s="13"/>
      <c r="AA128" s="13"/>
      <c r="AB128" s="13"/>
      <c r="AC128" s="13"/>
      <c r="AD128" s="13"/>
      <c r="AE128" s="13"/>
      <c r="AH128">
        <f t="shared" si="15"/>
        <v>21.48000675006924</v>
      </c>
      <c r="AI128">
        <f t="shared" si="16"/>
        <v>21.48000675006924</v>
      </c>
      <c r="AL128">
        <v>46</v>
      </c>
      <c r="AM128">
        <v>0</v>
      </c>
    </row>
    <row r="132" spans="2:31">
      <c r="B132" t="s">
        <v>1233</v>
      </c>
      <c r="C132" s="13">
        <f>K143</f>
        <v>5.7220294751956517</v>
      </c>
    </row>
    <row r="134" spans="2:31">
      <c r="AD134" s="41" t="s">
        <v>159</v>
      </c>
      <c r="AE134" s="41">
        <v>-5.9163522587934807</v>
      </c>
    </row>
    <row r="135" spans="2:31">
      <c r="F135" s="242">
        <v>2016</v>
      </c>
      <c r="G135" s="242"/>
      <c r="H135" s="242">
        <v>2017</v>
      </c>
      <c r="I135" s="242"/>
      <c r="J135" s="242">
        <v>2018</v>
      </c>
      <c r="K135" s="242"/>
      <c r="AD135" t="s">
        <v>329</v>
      </c>
      <c r="AE135" s="41">
        <v>0.59557302193179829</v>
      </c>
    </row>
    <row r="136" spans="2:31" ht="15.75" thickBot="1">
      <c r="E136" t="s">
        <v>1235</v>
      </c>
      <c r="F136">
        <v>2172</v>
      </c>
      <c r="H136">
        <v>2029</v>
      </c>
      <c r="J136">
        <v>4497</v>
      </c>
      <c r="AD136" t="s">
        <v>1336</v>
      </c>
      <c r="AE136" s="42">
        <v>-1.2773898154901597</v>
      </c>
    </row>
    <row r="137" spans="2:31">
      <c r="E137" t="s">
        <v>1236</v>
      </c>
      <c r="F137">
        <v>2411</v>
      </c>
      <c r="G137">
        <f>F136+F137</f>
        <v>4583</v>
      </c>
      <c r="H137" s="14">
        <v>2200</v>
      </c>
      <c r="I137">
        <f>H136+H137</f>
        <v>4229</v>
      </c>
      <c r="J137">
        <v>4587</v>
      </c>
      <c r="K137">
        <f>J136+J137</f>
        <v>9084</v>
      </c>
    </row>
    <row r="138" spans="2:31">
      <c r="E138" t="s">
        <v>1237</v>
      </c>
      <c r="F138">
        <v>3455</v>
      </c>
      <c r="H138">
        <v>2268</v>
      </c>
    </row>
    <row r="139" spans="2:31">
      <c r="E139" t="s">
        <v>1238</v>
      </c>
      <c r="F139" s="18">
        <v>14837</v>
      </c>
      <c r="G139" s="18">
        <f>SUM(F138:F139)</f>
        <v>18292</v>
      </c>
      <c r="H139" s="18">
        <v>2991</v>
      </c>
      <c r="I139" s="18">
        <f>SUM(H138:H139)</f>
        <v>5259</v>
      </c>
      <c r="J139" s="18"/>
      <c r="K139" s="16">
        <f>K137*I139/I137</f>
        <v>11296.466304090802</v>
      </c>
    </row>
    <row r="140" spans="2:31">
      <c r="F140">
        <f>SUM(F136:F139)</f>
        <v>22875</v>
      </c>
      <c r="G140">
        <f>SUM(G136:G139)</f>
        <v>22875</v>
      </c>
      <c r="H140">
        <f>SUM(H136:H139)</f>
        <v>9488</v>
      </c>
      <c r="I140">
        <f>SUM(I136:I139)</f>
        <v>9488</v>
      </c>
      <c r="K140" s="3">
        <f>SUM(K136:K139)</f>
        <v>20380.466304090802</v>
      </c>
    </row>
    <row r="143" spans="2:31">
      <c r="F143" s="13">
        <f>B89</f>
        <v>5.9516815787968751</v>
      </c>
      <c r="H143" s="13">
        <f>B90</f>
        <v>2.6638554216867472</v>
      </c>
      <c r="I143" s="13">
        <f>F143*H140/F140</f>
        <v>2.4686144183442513</v>
      </c>
      <c r="K143" s="13">
        <f>H143*K140/H140</f>
        <v>5.7220294751956517</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147"/>
  <sheetViews>
    <sheetView topLeftCell="A94" zoomScale="75" zoomScaleNormal="75" workbookViewId="0">
      <selection activeCell="P120" sqref="P120:AC140"/>
    </sheetView>
  </sheetViews>
  <sheetFormatPr defaultRowHeight="15"/>
  <cols>
    <col min="2" max="2" width="12.5703125" customWidth="1"/>
    <col min="4" max="4" width="12.28515625" customWidth="1"/>
    <col min="7" max="7" width="10.85546875" customWidth="1"/>
    <col min="9" max="9" width="15.5703125" customWidth="1"/>
    <col min="18" max="18" width="13" customWidth="1"/>
    <col min="19" max="19" width="12.7109375" customWidth="1"/>
    <col min="20" max="20" width="14.42578125" customWidth="1"/>
    <col min="21" max="21" width="11.28515625" customWidth="1"/>
    <col min="22" max="23" width="16.5703125" customWidth="1"/>
    <col min="25" max="26" width="14.7109375" customWidth="1"/>
  </cols>
  <sheetData>
    <row r="1" spans="1:46">
      <c r="U1" t="s">
        <v>730</v>
      </c>
      <c r="V1" s="33" t="s">
        <v>715</v>
      </c>
      <c r="W1" s="87" t="s">
        <v>1181</v>
      </c>
      <c r="X1" s="87" t="s">
        <v>1181</v>
      </c>
      <c r="Y1" s="87" t="s">
        <v>1181</v>
      </c>
      <c r="AG1" t="s">
        <v>863</v>
      </c>
      <c r="AH1" t="s">
        <v>864</v>
      </c>
      <c r="AJ1" t="s">
        <v>879</v>
      </c>
      <c r="AK1" t="s">
        <v>866</v>
      </c>
    </row>
    <row r="2" spans="1:46">
      <c r="A2" t="s">
        <v>5</v>
      </c>
      <c r="B2" t="s">
        <v>1395</v>
      </c>
      <c r="C2" t="s">
        <v>709</v>
      </c>
      <c r="D2" t="s">
        <v>709</v>
      </c>
      <c r="E2" t="s">
        <v>498</v>
      </c>
      <c r="F2" t="s">
        <v>709</v>
      </c>
      <c r="G2" t="s">
        <v>709</v>
      </c>
      <c r="I2" t="s">
        <v>1120</v>
      </c>
      <c r="J2" t="s">
        <v>1121</v>
      </c>
      <c r="L2" t="s">
        <v>904</v>
      </c>
      <c r="P2" t="s">
        <v>709</v>
      </c>
      <c r="Q2" t="s">
        <v>709</v>
      </c>
      <c r="R2" t="s">
        <v>709</v>
      </c>
      <c r="V2" s="33"/>
      <c r="W2" s="87" t="s">
        <v>338</v>
      </c>
      <c r="X2" s="87" t="s">
        <v>1182</v>
      </c>
      <c r="Y2" s="87" t="s">
        <v>1183</v>
      </c>
      <c r="AG2" t="s">
        <v>904</v>
      </c>
      <c r="AH2" t="s">
        <v>904</v>
      </c>
      <c r="AI2" t="s">
        <v>904</v>
      </c>
      <c r="AJ2" t="s">
        <v>904</v>
      </c>
      <c r="AK2" t="s">
        <v>904</v>
      </c>
      <c r="AR2" t="s">
        <v>362</v>
      </c>
      <c r="AS2" t="s">
        <v>251</v>
      </c>
    </row>
    <row r="3" spans="1:46">
      <c r="B3" t="s">
        <v>710</v>
      </c>
      <c r="C3" t="s">
        <v>710</v>
      </c>
      <c r="D3" t="s">
        <v>736</v>
      </c>
      <c r="E3" t="s">
        <v>714</v>
      </c>
      <c r="F3" t="s">
        <v>728</v>
      </c>
      <c r="G3" t="s">
        <v>269</v>
      </c>
      <c r="I3" t="s">
        <v>735</v>
      </c>
      <c r="J3" t="s">
        <v>735</v>
      </c>
      <c r="L3" t="s">
        <v>735</v>
      </c>
      <c r="P3" t="s">
        <v>269</v>
      </c>
      <c r="Q3" t="s">
        <v>717</v>
      </c>
      <c r="R3" t="s">
        <v>725</v>
      </c>
      <c r="T3">
        <v>2009</v>
      </c>
      <c r="U3" s="3">
        <f>'Vehicle price'!X5</f>
        <v>23</v>
      </c>
      <c r="V3">
        <v>1</v>
      </c>
      <c r="W3" s="3">
        <f t="shared" ref="W3:W24" si="0">X3*V3</f>
        <v>29.592572886961211</v>
      </c>
      <c r="X3" s="3">
        <f>'Vehicle price'!T5</f>
        <v>29.592572886961211</v>
      </c>
      <c r="Y3" s="3">
        <f>X3*Z3</f>
        <v>29.592572886961211</v>
      </c>
      <c r="Z3">
        <v>1</v>
      </c>
      <c r="AD3" t="s">
        <v>665</v>
      </c>
      <c r="AG3" t="s">
        <v>735</v>
      </c>
      <c r="AH3" t="s">
        <v>734</v>
      </c>
      <c r="AI3" t="s">
        <v>850</v>
      </c>
      <c r="AJ3" t="s">
        <v>735</v>
      </c>
      <c r="AK3" t="s">
        <v>734</v>
      </c>
      <c r="AR3" t="s">
        <v>361</v>
      </c>
      <c r="AS3" t="s">
        <v>361</v>
      </c>
      <c r="AT3" t="s">
        <v>348</v>
      </c>
    </row>
    <row r="4" spans="1:46">
      <c r="A4">
        <v>2009</v>
      </c>
      <c r="B4" s="3">
        <f>X3</f>
        <v>29.592572886961211</v>
      </c>
      <c r="C4" s="3">
        <f t="shared" ref="C4:C25" si="1">B4*AD4*1000</f>
        <v>21302.040969337188</v>
      </c>
      <c r="D4" s="3">
        <v>0</v>
      </c>
      <c r="E4">
        <v>19</v>
      </c>
      <c r="F4" s="3">
        <f>C4*E4/100</f>
        <v>4047.3877841740655</v>
      </c>
      <c r="G4" s="3">
        <f t="shared" ref="G4:G13" si="2">C4+F4+D4</f>
        <v>25349.428753511253</v>
      </c>
      <c r="I4" s="3">
        <f t="shared" ref="I4:I10" si="3">7000*AD4</f>
        <v>5038.9091666666673</v>
      </c>
      <c r="J4" s="3">
        <v>1100</v>
      </c>
      <c r="K4" s="3"/>
      <c r="L4" s="3">
        <f>MAX(I4:J4)</f>
        <v>5038.9091666666673</v>
      </c>
      <c r="M4" s="3"/>
      <c r="O4">
        <v>2009</v>
      </c>
      <c r="P4" s="3">
        <f t="shared" ref="P4:P25" si="4">G4</f>
        <v>25349.428753511253</v>
      </c>
      <c r="Q4" s="3">
        <f t="shared" ref="Q4:Q25" si="5">G29</f>
        <v>25799.428753511253</v>
      </c>
      <c r="R4" s="3">
        <f t="shared" ref="R4:R25" si="6">G54</f>
        <v>22185.597216666669</v>
      </c>
      <c r="T4">
        <v>2010</v>
      </c>
      <c r="U4" s="3">
        <f>'Vehicle price'!X6</f>
        <v>23</v>
      </c>
      <c r="V4">
        <v>1</v>
      </c>
      <c r="W4" s="3">
        <f t="shared" si="0"/>
        <v>30</v>
      </c>
      <c r="X4" s="3">
        <f>'Vehicle price'!T6</f>
        <v>30</v>
      </c>
      <c r="Y4" s="3">
        <f t="shared" ref="Y4:Y24" si="7">X4*Z4</f>
        <v>30</v>
      </c>
      <c r="Z4">
        <v>1</v>
      </c>
      <c r="AC4">
        <v>2009</v>
      </c>
      <c r="AD4" s="156">
        <v>0.71984416666666673</v>
      </c>
      <c r="AF4">
        <v>2009</v>
      </c>
      <c r="AG4">
        <v>1100</v>
      </c>
      <c r="AH4">
        <v>550</v>
      </c>
      <c r="AI4" s="13">
        <f>CPIs!P48</f>
        <v>98.740512431465078</v>
      </c>
      <c r="AJ4" s="3">
        <f>AG4*AI$12/AI4</f>
        <v>1237.1473533727831</v>
      </c>
      <c r="AK4" s="3">
        <f>AH4*AI$12/AI4</f>
        <v>618.57367668639154</v>
      </c>
      <c r="AQ4">
        <v>2009</v>
      </c>
      <c r="AR4">
        <v>28</v>
      </c>
      <c r="AS4" s="13">
        <f t="shared" ref="AS4:AS10" si="8">AR4/1000</f>
        <v>2.8000000000000001E-2</v>
      </c>
      <c r="AT4" s="13">
        <v>0.03</v>
      </c>
    </row>
    <row r="5" spans="1:46">
      <c r="A5">
        <v>2010</v>
      </c>
      <c r="B5" s="3">
        <f t="shared" ref="B5:B25" si="9">X4</f>
        <v>30</v>
      </c>
      <c r="C5" s="3">
        <f t="shared" si="1"/>
        <v>22760.138776915202</v>
      </c>
      <c r="D5" s="3">
        <v>0</v>
      </c>
      <c r="E5">
        <v>19</v>
      </c>
      <c r="F5" s="3">
        <f t="shared" ref="F5:F12" si="10">C5*E5/100</f>
        <v>4324.4263676138889</v>
      </c>
      <c r="G5" s="3">
        <f t="shared" si="2"/>
        <v>27084.565144529093</v>
      </c>
      <c r="I5" s="3">
        <f t="shared" si="3"/>
        <v>5310.6990479468805</v>
      </c>
      <c r="J5" s="3">
        <v>1100</v>
      </c>
      <c r="K5" s="3"/>
      <c r="L5" s="3">
        <f t="shared" ref="L5:L25" si="11">MAX(I5:J5)</f>
        <v>5310.6990479468805</v>
      </c>
      <c r="M5" s="3"/>
      <c r="O5">
        <v>2010</v>
      </c>
      <c r="P5" s="3">
        <f t="shared" si="4"/>
        <v>27084.565144529093</v>
      </c>
      <c r="Q5" s="3">
        <f t="shared" si="5"/>
        <v>27534.565144529093</v>
      </c>
      <c r="R5" s="3">
        <f t="shared" si="6"/>
        <v>23382.249236817552</v>
      </c>
      <c r="T5">
        <v>2011</v>
      </c>
      <c r="U5" s="3">
        <f>'Vehicle price'!X7</f>
        <v>23</v>
      </c>
      <c r="V5">
        <v>1</v>
      </c>
      <c r="W5" s="3">
        <f t="shared" si="0"/>
        <v>30</v>
      </c>
      <c r="X5" s="3">
        <f>'Vehicle price'!T7</f>
        <v>30</v>
      </c>
      <c r="Y5" s="3">
        <f t="shared" si="7"/>
        <v>30</v>
      </c>
      <c r="Z5">
        <v>1</v>
      </c>
      <c r="AC5">
        <v>2010</v>
      </c>
      <c r="AD5" s="156">
        <v>0.75867129256384003</v>
      </c>
      <c r="AF5">
        <v>2010</v>
      </c>
      <c r="AG5">
        <v>1100</v>
      </c>
      <c r="AH5">
        <v>550</v>
      </c>
      <c r="AI5" s="13">
        <f>CPIs!P49</f>
        <v>100</v>
      </c>
      <c r="AJ5" s="3">
        <f t="shared" ref="AJ5:AJ25" si="12">AG5*AI$12/AI5</f>
        <v>1221.565636252594</v>
      </c>
      <c r="AK5" s="3">
        <f t="shared" ref="AK5:AK25" si="13">AH5*AI$12/AI5</f>
        <v>610.782818126297</v>
      </c>
      <c r="AQ5">
        <v>2010</v>
      </c>
      <c r="AR5">
        <v>81</v>
      </c>
      <c r="AS5" s="13">
        <f t="shared" si="8"/>
        <v>8.1000000000000003E-2</v>
      </c>
      <c r="AT5" s="13">
        <v>0.12</v>
      </c>
    </row>
    <row r="6" spans="1:46">
      <c r="A6">
        <v>2011</v>
      </c>
      <c r="B6" s="3">
        <f t="shared" si="9"/>
        <v>30</v>
      </c>
      <c r="C6" s="3">
        <f t="shared" si="1"/>
        <v>21463.232997813917</v>
      </c>
      <c r="D6" s="3">
        <v>0</v>
      </c>
      <c r="E6">
        <v>19</v>
      </c>
      <c r="F6" s="3">
        <f t="shared" si="10"/>
        <v>4078.0142695846444</v>
      </c>
      <c r="G6" s="3">
        <f t="shared" si="2"/>
        <v>25541.247267398561</v>
      </c>
      <c r="I6" s="3">
        <f t="shared" si="3"/>
        <v>5008.0876994899136</v>
      </c>
      <c r="J6" s="3">
        <v>1100</v>
      </c>
      <c r="K6" s="3"/>
      <c r="L6" s="3">
        <f t="shared" si="11"/>
        <v>5008.0876994899136</v>
      </c>
      <c r="M6" s="3"/>
      <c r="O6">
        <v>2011</v>
      </c>
      <c r="P6" s="3">
        <f t="shared" si="4"/>
        <v>25541.247267398561</v>
      </c>
      <c r="Q6" s="3">
        <f t="shared" si="5"/>
        <v>25991.247267398561</v>
      </c>
      <c r="R6" s="3">
        <f t="shared" si="6"/>
        <v>22049.894699754164</v>
      </c>
      <c r="T6">
        <v>2012</v>
      </c>
      <c r="U6" s="3">
        <f>'Vehicle price'!X8</f>
        <v>23</v>
      </c>
      <c r="V6">
        <v>1</v>
      </c>
      <c r="W6" s="3">
        <f t="shared" si="0"/>
        <v>30.842462459493706</v>
      </c>
      <c r="X6" s="3">
        <f>'Vehicle price'!T8</f>
        <v>30.842462459493706</v>
      </c>
      <c r="Y6" s="3">
        <f t="shared" si="7"/>
        <v>30.842462459493706</v>
      </c>
      <c r="Z6">
        <v>1</v>
      </c>
      <c r="AC6">
        <v>2011</v>
      </c>
      <c r="AD6" s="156">
        <v>0.71544109992713056</v>
      </c>
      <c r="AF6">
        <v>2011</v>
      </c>
      <c r="AG6">
        <v>1100</v>
      </c>
      <c r="AH6">
        <v>550</v>
      </c>
      <c r="AI6" s="13">
        <f>CPIs!P50</f>
        <v>102.341064453125</v>
      </c>
      <c r="AJ6" s="3">
        <f t="shared" si="12"/>
        <v>1193.6221718820448</v>
      </c>
      <c r="AK6" s="3">
        <f t="shared" si="13"/>
        <v>596.81108594102238</v>
      </c>
      <c r="AQ6">
        <v>2011</v>
      </c>
      <c r="AR6">
        <v>819</v>
      </c>
      <c r="AS6" s="13">
        <f t="shared" si="8"/>
        <v>0.81899999999999995</v>
      </c>
      <c r="AT6" s="13">
        <v>0.88</v>
      </c>
    </row>
    <row r="7" spans="1:46">
      <c r="A7">
        <v>2012</v>
      </c>
      <c r="B7" s="3">
        <f t="shared" si="9"/>
        <v>30.842462459493706</v>
      </c>
      <c r="C7" s="3">
        <f t="shared" si="1"/>
        <v>23868.964632772961</v>
      </c>
      <c r="D7" s="3">
        <v>0</v>
      </c>
      <c r="E7">
        <v>19</v>
      </c>
      <c r="F7" s="3">
        <f t="shared" si="10"/>
        <v>4535.1032802268628</v>
      </c>
      <c r="G7" s="3">
        <f t="shared" si="2"/>
        <v>28404.067912999824</v>
      </c>
      <c r="I7" s="3">
        <f t="shared" si="3"/>
        <v>5417.2961270146743</v>
      </c>
      <c r="J7" s="3">
        <v>1100</v>
      </c>
      <c r="K7" s="3"/>
      <c r="L7" s="3">
        <f t="shared" si="11"/>
        <v>5417.2961270146743</v>
      </c>
      <c r="M7" s="3"/>
      <c r="O7">
        <v>2012</v>
      </c>
      <c r="P7" s="3">
        <f t="shared" si="4"/>
        <v>28404.067912999824</v>
      </c>
      <c r="Q7" s="3">
        <f t="shared" si="5"/>
        <v>28854.067912999824</v>
      </c>
      <c r="R7" s="3">
        <f t="shared" si="6"/>
        <v>23851.580947798895</v>
      </c>
      <c r="T7">
        <v>2013</v>
      </c>
      <c r="U7" s="3">
        <f>'Vehicle price'!X9</f>
        <v>23</v>
      </c>
      <c r="V7">
        <v>1</v>
      </c>
      <c r="W7" s="3">
        <f t="shared" si="0"/>
        <v>31.143929334439989</v>
      </c>
      <c r="X7" s="3">
        <f>'Vehicle price'!T9</f>
        <v>31.143929334439989</v>
      </c>
      <c r="Y7" s="3">
        <f t="shared" si="7"/>
        <v>31.143929334439989</v>
      </c>
      <c r="Z7">
        <v>1</v>
      </c>
      <c r="AC7">
        <v>2012</v>
      </c>
      <c r="AD7" s="156">
        <v>0.773899446716382</v>
      </c>
      <c r="AF7">
        <v>2012</v>
      </c>
      <c r="AG7">
        <v>1100</v>
      </c>
      <c r="AH7">
        <v>550</v>
      </c>
      <c r="AI7" s="13">
        <f>CPIs!P51</f>
        <v>104.85411071777344</v>
      </c>
      <c r="AJ7" s="3">
        <f t="shared" si="12"/>
        <v>1165.0145405749274</v>
      </c>
      <c r="AK7" s="3">
        <f t="shared" si="13"/>
        <v>582.50727028746371</v>
      </c>
      <c r="AQ7">
        <v>2012</v>
      </c>
      <c r="AR7">
        <v>5116</v>
      </c>
      <c r="AS7" s="13">
        <f t="shared" si="8"/>
        <v>5.1159999999999997</v>
      </c>
      <c r="AT7" s="13">
        <v>5.12</v>
      </c>
    </row>
    <row r="8" spans="1:46">
      <c r="A8">
        <v>2013</v>
      </c>
      <c r="B8" s="3">
        <f t="shared" si="9"/>
        <v>31.143929334439989</v>
      </c>
      <c r="C8" s="3">
        <f t="shared" si="1"/>
        <v>23409.918880648976</v>
      </c>
      <c r="D8" s="3">
        <v>0</v>
      </c>
      <c r="E8">
        <v>21</v>
      </c>
      <c r="F8" s="3">
        <f t="shared" si="10"/>
        <v>4916.082964936285</v>
      </c>
      <c r="G8" s="3">
        <f t="shared" si="2"/>
        <v>28326.001845585262</v>
      </c>
      <c r="I8" s="3">
        <f t="shared" si="3"/>
        <v>5261.681350635823</v>
      </c>
      <c r="J8" s="3">
        <v>1100</v>
      </c>
      <c r="K8" s="3"/>
      <c r="L8" s="3">
        <f t="shared" si="11"/>
        <v>5261.681350635823</v>
      </c>
      <c r="M8" s="3"/>
      <c r="O8">
        <v>2013</v>
      </c>
      <c r="P8" s="3">
        <f t="shared" si="4"/>
        <v>28326.001845585262</v>
      </c>
      <c r="Q8" s="3">
        <f t="shared" si="5"/>
        <v>28776.001845585262</v>
      </c>
      <c r="R8" s="3">
        <f t="shared" si="6"/>
        <v>23512.198949698366</v>
      </c>
      <c r="T8">
        <v>2014</v>
      </c>
      <c r="U8" s="3">
        <f>'Vehicle price'!X10</f>
        <v>23</v>
      </c>
      <c r="V8">
        <v>1</v>
      </c>
      <c r="W8" s="3">
        <f t="shared" si="0"/>
        <v>33.541755956678692</v>
      </c>
      <c r="X8" s="3">
        <f>'Vehicle price'!T10</f>
        <v>33.541755956678692</v>
      </c>
      <c r="Y8" s="3">
        <f t="shared" si="7"/>
        <v>33.541755956678692</v>
      </c>
      <c r="Z8">
        <v>1</v>
      </c>
      <c r="AC8">
        <v>2013</v>
      </c>
      <c r="AD8" s="156">
        <v>0.75166876437654617</v>
      </c>
      <c r="AF8">
        <v>2013</v>
      </c>
      <c r="AG8">
        <v>1100</v>
      </c>
      <c r="AH8">
        <v>550</v>
      </c>
      <c r="AI8" s="13">
        <f>CPIs!P52</f>
        <v>107.48267364501953</v>
      </c>
      <c r="AJ8" s="3">
        <f t="shared" si="12"/>
        <v>1136.5233063396149</v>
      </c>
      <c r="AK8" s="3">
        <f t="shared" si="13"/>
        <v>568.26165316980746</v>
      </c>
      <c r="AQ8">
        <v>2013</v>
      </c>
      <c r="AR8">
        <v>22542</v>
      </c>
      <c r="AS8" s="13">
        <f t="shared" si="8"/>
        <v>22.542000000000002</v>
      </c>
      <c r="AT8" s="13">
        <v>22.42</v>
      </c>
    </row>
    <row r="9" spans="1:46">
      <c r="A9">
        <v>2014</v>
      </c>
      <c r="B9" s="3">
        <f t="shared" si="9"/>
        <v>33.541755956678692</v>
      </c>
      <c r="C9" s="3">
        <f t="shared" si="1"/>
        <v>25404.118038119632</v>
      </c>
      <c r="D9" s="3">
        <f>0.04*C9</f>
        <v>1016.1647215247853</v>
      </c>
      <c r="E9">
        <v>21</v>
      </c>
      <c r="F9" s="3">
        <f t="shared" si="10"/>
        <v>5334.864788005123</v>
      </c>
      <c r="G9" s="3">
        <f t="shared" si="2"/>
        <v>31755.14754764954</v>
      </c>
      <c r="I9" s="3">
        <f t="shared" si="3"/>
        <v>5301.7148683722653</v>
      </c>
      <c r="J9" s="3">
        <v>1100</v>
      </c>
      <c r="K9" s="3"/>
      <c r="L9" s="3">
        <f t="shared" si="11"/>
        <v>5301.7148683722653</v>
      </c>
      <c r="M9" s="3"/>
      <c r="O9">
        <v>2014</v>
      </c>
      <c r="P9" s="3">
        <f t="shared" si="4"/>
        <v>31755.14754764954</v>
      </c>
      <c r="Q9" s="3">
        <f t="shared" si="5"/>
        <v>31755.14754764954</v>
      </c>
      <c r="R9" s="3">
        <f t="shared" si="6"/>
        <v>23691.091583240632</v>
      </c>
      <c r="T9">
        <v>2015</v>
      </c>
      <c r="U9" s="3">
        <f>'Vehicle price'!X11</f>
        <v>23</v>
      </c>
      <c r="V9">
        <v>1</v>
      </c>
      <c r="W9" s="3">
        <f t="shared" si="0"/>
        <v>30</v>
      </c>
      <c r="X9" s="3">
        <f>'Vehicle price'!T11</f>
        <v>30</v>
      </c>
      <c r="Y9" s="3">
        <f t="shared" si="7"/>
        <v>30</v>
      </c>
      <c r="Z9">
        <v>1</v>
      </c>
      <c r="AC9">
        <v>2014</v>
      </c>
      <c r="AD9" s="156">
        <v>0.757387838338895</v>
      </c>
      <c r="AF9">
        <v>2014</v>
      </c>
      <c r="AG9">
        <v>1100</v>
      </c>
      <c r="AH9">
        <v>550</v>
      </c>
      <c r="AI9" s="13">
        <f>CPIs!P53</f>
        <v>108.53173828125</v>
      </c>
      <c r="AJ9" s="3">
        <f t="shared" si="12"/>
        <v>1125.5377050047971</v>
      </c>
      <c r="AK9" s="3">
        <f t="shared" si="13"/>
        <v>562.76885250239854</v>
      </c>
      <c r="AQ9">
        <v>2014</v>
      </c>
      <c r="AR9">
        <v>15646</v>
      </c>
      <c r="AS9" s="13">
        <f t="shared" si="8"/>
        <v>15.646000000000001</v>
      </c>
      <c r="AT9" s="13">
        <v>15.09</v>
      </c>
    </row>
    <row r="10" spans="1:46">
      <c r="A10">
        <v>2015</v>
      </c>
      <c r="B10" s="3">
        <f t="shared" si="9"/>
        <v>30</v>
      </c>
      <c r="C10" s="3">
        <f t="shared" si="1"/>
        <v>27177.76686239925</v>
      </c>
      <c r="D10" s="3">
        <f t="shared" ref="D10:D25" si="14">0.04*C10</f>
        <v>1087.11067449597</v>
      </c>
      <c r="E10">
        <v>21</v>
      </c>
      <c r="F10" s="3">
        <f t="shared" si="10"/>
        <v>5707.3310411038428</v>
      </c>
      <c r="G10" s="3">
        <f t="shared" si="2"/>
        <v>33972.208577999059</v>
      </c>
      <c r="I10" s="3">
        <f t="shared" si="3"/>
        <v>6341.4789345598247</v>
      </c>
      <c r="J10" s="3">
        <v>1100</v>
      </c>
      <c r="K10" s="3"/>
      <c r="L10" s="3">
        <f t="shared" si="11"/>
        <v>6341.4789345598247</v>
      </c>
      <c r="M10" s="3"/>
      <c r="O10">
        <v>2015</v>
      </c>
      <c r="P10" s="3">
        <f t="shared" si="4"/>
        <v>33972.208577999059</v>
      </c>
      <c r="Q10" s="3">
        <f t="shared" si="5"/>
        <v>34787.54158387104</v>
      </c>
      <c r="R10" s="3">
        <f t="shared" si="6"/>
        <v>28337.351581861618</v>
      </c>
      <c r="T10">
        <v>2016</v>
      </c>
      <c r="U10" s="3">
        <f>'Vehicle price'!X12</f>
        <v>23</v>
      </c>
      <c r="V10">
        <v>1</v>
      </c>
      <c r="W10" s="3">
        <f t="shared" si="0"/>
        <v>30</v>
      </c>
      <c r="X10" s="3">
        <f>'Vehicle price'!T12</f>
        <v>30</v>
      </c>
      <c r="Y10" s="3">
        <f t="shared" si="7"/>
        <v>30</v>
      </c>
      <c r="Z10">
        <v>1</v>
      </c>
      <c r="AC10">
        <v>2015</v>
      </c>
      <c r="AD10" s="156">
        <v>0.90592556207997499</v>
      </c>
      <c r="AF10">
        <v>2015</v>
      </c>
      <c r="AG10">
        <v>1100</v>
      </c>
      <c r="AH10">
        <v>550</v>
      </c>
      <c r="AI10" s="13">
        <f>CPIs!P54</f>
        <v>109.18320465087891</v>
      </c>
      <c r="AJ10" s="3">
        <f t="shared" si="12"/>
        <v>1118.8219288476073</v>
      </c>
      <c r="AK10" s="3">
        <f t="shared" si="13"/>
        <v>559.41096442380365</v>
      </c>
      <c r="AQ10">
        <v>2015</v>
      </c>
      <c r="AR10">
        <v>42367</v>
      </c>
      <c r="AS10" s="13">
        <f t="shared" si="8"/>
        <v>42.366999999999997</v>
      </c>
      <c r="AT10" s="13">
        <v>43.77</v>
      </c>
    </row>
    <row r="11" spans="1:46">
      <c r="A11">
        <v>2016</v>
      </c>
      <c r="B11" s="3">
        <f t="shared" si="9"/>
        <v>30</v>
      </c>
      <c r="C11" s="3">
        <f t="shared" si="1"/>
        <v>27202.412312659035</v>
      </c>
      <c r="D11" s="3">
        <f t="shared" si="14"/>
        <v>1088.0964925063613</v>
      </c>
      <c r="E11">
        <v>21</v>
      </c>
      <c r="F11" s="3">
        <f t="shared" si="10"/>
        <v>5712.5065856583979</v>
      </c>
      <c r="G11" s="3">
        <f t="shared" si="2"/>
        <v>34003.015390823792</v>
      </c>
      <c r="I11" s="3">
        <v>0</v>
      </c>
      <c r="J11" s="3">
        <v>1100</v>
      </c>
      <c r="K11" s="3"/>
      <c r="L11" s="3">
        <f t="shared" si="11"/>
        <v>1100</v>
      </c>
      <c r="M11" s="3"/>
      <c r="O11">
        <v>2016</v>
      </c>
      <c r="P11" s="3">
        <f t="shared" si="4"/>
        <v>34003.015390823792</v>
      </c>
      <c r="Q11" s="3">
        <f t="shared" si="5"/>
        <v>36995.280745216289</v>
      </c>
      <c r="R11" s="3">
        <f t="shared" si="6"/>
        <v>28363.048571332489</v>
      </c>
      <c r="T11">
        <v>2017</v>
      </c>
      <c r="U11" s="3">
        <f>'Vehicle price'!X13</f>
        <v>23</v>
      </c>
      <c r="V11">
        <v>1</v>
      </c>
      <c r="W11" s="3">
        <f t="shared" si="0"/>
        <v>30</v>
      </c>
      <c r="X11" s="3">
        <f>'Vehicle price'!T13</f>
        <v>30</v>
      </c>
      <c r="Y11" s="3">
        <f t="shared" si="7"/>
        <v>30</v>
      </c>
      <c r="Z11">
        <v>1</v>
      </c>
      <c r="AC11">
        <v>2016</v>
      </c>
      <c r="AD11" s="156">
        <v>0.90674707708863456</v>
      </c>
      <c r="AF11">
        <v>2016</v>
      </c>
      <c r="AG11">
        <v>1100</v>
      </c>
      <c r="AH11">
        <v>550</v>
      </c>
      <c r="AI11" s="13">
        <f>CPIs!P55</f>
        <v>109.52896881103516</v>
      </c>
      <c r="AJ11" s="3">
        <f t="shared" si="12"/>
        <v>1115.29</v>
      </c>
      <c r="AK11" s="3">
        <f t="shared" si="13"/>
        <v>557.64499999999998</v>
      </c>
      <c r="AQ11">
        <v>2016</v>
      </c>
      <c r="AT11" s="13">
        <v>24.48</v>
      </c>
    </row>
    <row r="12" spans="1:46">
      <c r="A12">
        <v>2017</v>
      </c>
      <c r="B12" s="3">
        <f t="shared" si="9"/>
        <v>30</v>
      </c>
      <c r="C12" s="3">
        <f t="shared" si="1"/>
        <v>26462.003510368591</v>
      </c>
      <c r="D12" s="3">
        <f t="shared" si="14"/>
        <v>1058.4801404147436</v>
      </c>
      <c r="E12">
        <v>21</v>
      </c>
      <c r="F12" s="3">
        <f t="shared" si="10"/>
        <v>5557.020737177404</v>
      </c>
      <c r="G12" s="3">
        <f t="shared" si="2"/>
        <v>33077.50438796074</v>
      </c>
      <c r="I12" s="3">
        <v>0</v>
      </c>
      <c r="J12" s="3"/>
      <c r="K12" s="3"/>
      <c r="L12" s="3">
        <f t="shared" si="11"/>
        <v>0</v>
      </c>
      <c r="M12" s="3"/>
      <c r="O12">
        <v>2017</v>
      </c>
      <c r="P12" s="3">
        <f t="shared" si="4"/>
        <v>33077.50438796074</v>
      </c>
      <c r="Q12" s="3">
        <f t="shared" si="5"/>
        <v>35988.324774101282</v>
      </c>
      <c r="R12" s="3">
        <f t="shared" si="6"/>
        <v>27591.048993477652</v>
      </c>
      <c r="T12">
        <v>2018</v>
      </c>
      <c r="U12" s="3">
        <f>'Vehicle price'!X14</f>
        <v>23</v>
      </c>
      <c r="V12">
        <v>1</v>
      </c>
      <c r="W12" s="3">
        <f t="shared" si="0"/>
        <v>30.592100851060948</v>
      </c>
      <c r="X12" s="3">
        <f>'Vehicle price'!T14</f>
        <v>30.592100851060948</v>
      </c>
      <c r="Y12" s="3">
        <f t="shared" si="7"/>
        <v>30.592100851060948</v>
      </c>
      <c r="Z12">
        <v>1</v>
      </c>
      <c r="AC12">
        <v>2017</v>
      </c>
      <c r="AD12" s="156">
        <v>0.88206678367895308</v>
      </c>
      <c r="AF12">
        <v>2017</v>
      </c>
      <c r="AG12">
        <v>1100</v>
      </c>
      <c r="AH12">
        <v>550</v>
      </c>
      <c r="AI12" s="13">
        <f>CPIs!P56</f>
        <v>111.05142147750854</v>
      </c>
      <c r="AJ12" s="3">
        <f t="shared" si="12"/>
        <v>1100</v>
      </c>
      <c r="AK12" s="3">
        <f t="shared" si="13"/>
        <v>550</v>
      </c>
      <c r="AQ12">
        <v>2017</v>
      </c>
      <c r="AT12" s="72">
        <f>E61+AF15</f>
        <v>2041</v>
      </c>
    </row>
    <row r="13" spans="1:46">
      <c r="A13">
        <v>2018</v>
      </c>
      <c r="B13" s="3">
        <f t="shared" si="9"/>
        <v>30.592100851060948</v>
      </c>
      <c r="C13" s="3">
        <f t="shared" si="1"/>
        <v>26003.285723401805</v>
      </c>
      <c r="D13" s="3">
        <f t="shared" si="14"/>
        <v>1040.1314289360721</v>
      </c>
      <c r="E13">
        <v>21</v>
      </c>
      <c r="F13" s="3">
        <f>C13*E13/100</f>
        <v>5460.6900019143786</v>
      </c>
      <c r="G13" s="3">
        <f t="shared" si="2"/>
        <v>32504.107154252255</v>
      </c>
      <c r="I13" s="3">
        <v>0</v>
      </c>
      <c r="J13" s="3"/>
      <c r="K13" s="3"/>
      <c r="L13" s="3">
        <f t="shared" si="11"/>
        <v>0</v>
      </c>
      <c r="M13" s="3"/>
      <c r="O13">
        <v>2018</v>
      </c>
      <c r="P13" s="3">
        <f>G13</f>
        <v>32504.107154252255</v>
      </c>
      <c r="Q13" s="3">
        <f t="shared" si="5"/>
        <v>35364.468583826456</v>
      </c>
      <c r="R13" s="3">
        <f t="shared" si="6"/>
        <v>26588</v>
      </c>
      <c r="T13">
        <v>2019</v>
      </c>
      <c r="U13" s="3">
        <f>'Vehicle price'!X15</f>
        <v>23</v>
      </c>
      <c r="V13" s="20">
        <f>V12+(V24-V12)/12</f>
        <v>1.0249999999999999</v>
      </c>
      <c r="W13" s="3">
        <f t="shared" si="0"/>
        <v>31.952318904810763</v>
      </c>
      <c r="X13" s="3">
        <f>'Vehicle price'!T15</f>
        <v>31.172994053473918</v>
      </c>
      <c r="Y13" s="3">
        <f t="shared" si="7"/>
        <v>30.393669202137069</v>
      </c>
      <c r="Z13" s="20">
        <f>Z12+(Z24-Z12)/12</f>
        <v>0.97499999999999998</v>
      </c>
      <c r="AC13">
        <v>2018</v>
      </c>
      <c r="AD13" s="14">
        <v>0.85</v>
      </c>
      <c r="AF13">
        <v>2018</v>
      </c>
      <c r="AG13">
        <v>1100</v>
      </c>
      <c r="AH13">
        <v>550</v>
      </c>
      <c r="AI13">
        <f>AI12*AI12/AI11</f>
        <v>112.59503623604591</v>
      </c>
      <c r="AJ13" s="3">
        <f t="shared" si="12"/>
        <v>1084.9196173192622</v>
      </c>
      <c r="AK13" s="3">
        <f t="shared" si="13"/>
        <v>542.45980865963111</v>
      </c>
    </row>
    <row r="14" spans="1:46">
      <c r="A14">
        <v>2019</v>
      </c>
      <c r="B14" s="3">
        <f t="shared" si="9"/>
        <v>31.172994053473918</v>
      </c>
      <c r="C14" s="3">
        <f t="shared" si="1"/>
        <v>26497.044945452828</v>
      </c>
      <c r="D14" s="3">
        <f t="shared" si="14"/>
        <v>1059.8817978181132</v>
      </c>
      <c r="E14">
        <v>21</v>
      </c>
      <c r="F14" s="3">
        <f t="shared" ref="F14:F25" si="15">C14*E14/100</f>
        <v>5564.3794385450938</v>
      </c>
      <c r="G14" s="3">
        <f t="shared" ref="G14:G24" si="16">C14+F14+D14</f>
        <v>33121.306181816035</v>
      </c>
      <c r="I14" s="3">
        <v>0</v>
      </c>
      <c r="J14" s="3"/>
      <c r="K14" s="3"/>
      <c r="L14" s="3">
        <f t="shared" si="11"/>
        <v>0</v>
      </c>
      <c r="M14" s="3"/>
      <c r="O14">
        <v>2019</v>
      </c>
      <c r="P14" s="3">
        <f t="shared" si="4"/>
        <v>33121.306181816035</v>
      </c>
      <c r="Q14" s="3">
        <f t="shared" si="5"/>
        <v>36035.981125815844</v>
      </c>
      <c r="R14" s="3">
        <f t="shared" si="6"/>
        <v>26588</v>
      </c>
      <c r="T14">
        <v>2020</v>
      </c>
      <c r="U14" s="3">
        <f>'Vehicle price'!X16</f>
        <v>23</v>
      </c>
      <c r="V14" s="20">
        <f>V13+(V24-V12)/12</f>
        <v>1.0499999999999998</v>
      </c>
      <c r="W14" s="3">
        <f t="shared" si="0"/>
        <v>32.535198279596322</v>
      </c>
      <c r="X14" s="3">
        <f>'Vehicle price'!T16</f>
        <v>30.985903123425071</v>
      </c>
      <c r="Y14" s="3">
        <f t="shared" si="7"/>
        <v>29.436607967253817</v>
      </c>
      <c r="Z14" s="20">
        <f>Z13+(Z24-Z12)/12</f>
        <v>0.95</v>
      </c>
      <c r="AC14">
        <v>2019</v>
      </c>
      <c r="AD14" s="14">
        <v>0.85</v>
      </c>
      <c r="AF14">
        <v>2019</v>
      </c>
      <c r="AG14">
        <v>1100</v>
      </c>
      <c r="AH14">
        <v>550</v>
      </c>
      <c r="AI14">
        <f t="shared" ref="AI14:AI25" si="17">AI13*AI13/AI12</f>
        <v>114.16010723972695</v>
      </c>
      <c r="AJ14" s="3">
        <f t="shared" si="12"/>
        <v>1070.0459782219768</v>
      </c>
      <c r="AK14" s="3">
        <f t="shared" si="13"/>
        <v>535.02298911098842</v>
      </c>
    </row>
    <row r="15" spans="1:46">
      <c r="A15">
        <v>2020</v>
      </c>
      <c r="B15" s="3">
        <f t="shared" si="9"/>
        <v>30.985903123425071</v>
      </c>
      <c r="C15" s="3">
        <f t="shared" si="1"/>
        <v>26338.017654911313</v>
      </c>
      <c r="D15" s="3">
        <f t="shared" si="14"/>
        <v>1053.5207061964525</v>
      </c>
      <c r="E15">
        <v>21</v>
      </c>
      <c r="F15" s="3">
        <f t="shared" si="15"/>
        <v>5530.9837075313762</v>
      </c>
      <c r="G15" s="3">
        <f t="shared" si="16"/>
        <v>32922.52206863914</v>
      </c>
      <c r="I15" s="3">
        <v>0</v>
      </c>
      <c r="J15" s="3"/>
      <c r="K15" s="3"/>
      <c r="L15" s="3">
        <f t="shared" si="11"/>
        <v>0</v>
      </c>
      <c r="M15" s="3"/>
      <c r="O15">
        <v>2020</v>
      </c>
      <c r="P15" s="3">
        <f t="shared" si="4"/>
        <v>32922.52206863914</v>
      </c>
      <c r="Q15" s="3">
        <f t="shared" si="5"/>
        <v>35819.704010679387</v>
      </c>
      <c r="R15" s="3">
        <f t="shared" si="6"/>
        <v>26588</v>
      </c>
      <c r="T15">
        <v>2021</v>
      </c>
      <c r="U15" s="3">
        <f>'Vehicle price'!X17</f>
        <v>23</v>
      </c>
      <c r="V15" s="20">
        <f>V14+(V24-V12)/12</f>
        <v>1.0749999999999997</v>
      </c>
      <c r="W15" s="3">
        <f t="shared" si="0"/>
        <v>32.472212006330132</v>
      </c>
      <c r="X15" s="3">
        <f>'Vehicle price'!T17</f>
        <v>30.206708843097807</v>
      </c>
      <c r="Y15" s="3">
        <f t="shared" si="7"/>
        <v>27.941205679865469</v>
      </c>
      <c r="Z15" s="20">
        <f>Z14+(Z24-Z12)/12</f>
        <v>0.92499999999999993</v>
      </c>
      <c r="AC15">
        <v>2020</v>
      </c>
      <c r="AD15" s="14">
        <v>0.85</v>
      </c>
      <c r="AF15">
        <v>2020</v>
      </c>
      <c r="AG15">
        <v>1100</v>
      </c>
      <c r="AH15">
        <v>550</v>
      </c>
      <c r="AI15">
        <f t="shared" si="17"/>
        <v>115.74693273035918</v>
      </c>
      <c r="AJ15" s="3">
        <f t="shared" si="12"/>
        <v>1055.3762483696387</v>
      </c>
      <c r="AK15" s="3">
        <f t="shared" si="13"/>
        <v>527.68812418481934</v>
      </c>
    </row>
    <row r="16" spans="1:46">
      <c r="A16">
        <v>2021</v>
      </c>
      <c r="B16" s="3">
        <f t="shared" si="9"/>
        <v>30.206708843097807</v>
      </c>
      <c r="C16" s="3">
        <f t="shared" si="1"/>
        <v>25675.702516633137</v>
      </c>
      <c r="D16" s="3">
        <f t="shared" si="14"/>
        <v>1027.0281006653254</v>
      </c>
      <c r="E16">
        <v>21</v>
      </c>
      <c r="F16" s="3">
        <f t="shared" si="15"/>
        <v>5391.8975284929584</v>
      </c>
      <c r="G16" s="3">
        <f t="shared" si="16"/>
        <v>32094.628145791419</v>
      </c>
      <c r="I16" s="3">
        <v>0</v>
      </c>
      <c r="J16" s="3"/>
      <c r="K16" s="3"/>
      <c r="L16" s="3">
        <f t="shared" si="11"/>
        <v>0</v>
      </c>
      <c r="M16" s="3"/>
      <c r="O16">
        <v>2021</v>
      </c>
      <c r="P16" s="3">
        <f t="shared" si="4"/>
        <v>32094.628145791419</v>
      </c>
      <c r="Q16" s="3">
        <f t="shared" si="5"/>
        <v>34918.955422621068</v>
      </c>
      <c r="R16" s="3">
        <f t="shared" si="6"/>
        <v>26588</v>
      </c>
      <c r="T16">
        <v>2022</v>
      </c>
      <c r="U16" s="3">
        <f>'Vehicle price'!X18</f>
        <v>23</v>
      </c>
      <c r="V16" s="20">
        <f>V15+(V24-V12)/12</f>
        <v>1.0999999999999996</v>
      </c>
      <c r="W16" s="3">
        <f t="shared" si="0"/>
        <v>33.706700106967538</v>
      </c>
      <c r="X16" s="3">
        <f>'Vehicle price'!T18</f>
        <v>30.642454642697771</v>
      </c>
      <c r="Y16" s="3">
        <f t="shared" si="7"/>
        <v>27.57820917842799</v>
      </c>
      <c r="Z16" s="20">
        <f>Z15+(Z24-Z12)/12</f>
        <v>0.89999999999999991</v>
      </c>
      <c r="AC16">
        <v>2021</v>
      </c>
      <c r="AD16" s="14">
        <v>0.85</v>
      </c>
      <c r="AF16">
        <v>2021</v>
      </c>
      <c r="AG16">
        <v>1100</v>
      </c>
      <c r="AH16">
        <v>550</v>
      </c>
      <c r="AI16">
        <f t="shared" si="17"/>
        <v>117.3558150953112</v>
      </c>
      <c r="AJ16" s="3">
        <f t="shared" si="12"/>
        <v>1040.9076322809333</v>
      </c>
      <c r="AK16" s="3">
        <f t="shared" si="13"/>
        <v>520.45381614046664</v>
      </c>
    </row>
    <row r="17" spans="1:37">
      <c r="A17">
        <v>2022</v>
      </c>
      <c r="B17" s="3">
        <f t="shared" si="9"/>
        <v>30.642454642697771</v>
      </c>
      <c r="C17" s="3">
        <f t="shared" si="1"/>
        <v>26046.086446293106</v>
      </c>
      <c r="D17" s="3">
        <f t="shared" si="14"/>
        <v>1041.8434578517242</v>
      </c>
      <c r="E17">
        <v>21</v>
      </c>
      <c r="F17" s="3">
        <f t="shared" si="15"/>
        <v>5469.6781537215529</v>
      </c>
      <c r="G17" s="3">
        <f t="shared" si="16"/>
        <v>32557.608057866382</v>
      </c>
      <c r="I17" s="3">
        <v>0</v>
      </c>
      <c r="J17" s="3"/>
      <c r="K17" s="3"/>
      <c r="L17" s="3">
        <f t="shared" si="11"/>
        <v>0</v>
      </c>
      <c r="M17" s="3"/>
      <c r="O17">
        <v>2022</v>
      </c>
      <c r="P17" s="3">
        <f t="shared" si="4"/>
        <v>32557.608057866382</v>
      </c>
      <c r="Q17" s="3">
        <f t="shared" si="5"/>
        <v>35422.677566958628</v>
      </c>
      <c r="R17" s="3">
        <f t="shared" si="6"/>
        <v>26588</v>
      </c>
      <c r="T17">
        <v>2023</v>
      </c>
      <c r="U17" s="3">
        <f>'Vehicle price'!X19</f>
        <v>23</v>
      </c>
      <c r="V17" s="20">
        <f>V16+(V24-V12)/12</f>
        <v>1.1249999999999996</v>
      </c>
      <c r="W17" s="3">
        <f t="shared" si="0"/>
        <v>34.156739540037371</v>
      </c>
      <c r="X17" s="3">
        <f>'Vehicle price'!T19</f>
        <v>30.361546257811007</v>
      </c>
      <c r="Y17" s="3">
        <f t="shared" si="7"/>
        <v>26.566352975584628</v>
      </c>
      <c r="Z17" s="20">
        <f>Z16+(Z24-Z12)/12</f>
        <v>0.87499999999999989</v>
      </c>
      <c r="AC17">
        <v>2022</v>
      </c>
      <c r="AD17" s="14">
        <v>0.85</v>
      </c>
      <c r="AF17">
        <v>2022</v>
      </c>
      <c r="AG17">
        <v>1100</v>
      </c>
      <c r="AH17">
        <v>550</v>
      </c>
      <c r="AI17">
        <f t="shared" si="17"/>
        <v>118.98706092513606</v>
      </c>
      <c r="AJ17" s="3">
        <f t="shared" si="12"/>
        <v>1026.6373727990265</v>
      </c>
      <c r="AK17" s="3">
        <f t="shared" si="13"/>
        <v>513.31868639951324</v>
      </c>
    </row>
    <row r="18" spans="1:37">
      <c r="A18">
        <v>2023</v>
      </c>
      <c r="B18" s="3">
        <f t="shared" si="9"/>
        <v>30.361546257811007</v>
      </c>
      <c r="C18" s="3">
        <f t="shared" si="1"/>
        <v>25807.314319139354</v>
      </c>
      <c r="D18" s="3">
        <f t="shared" si="14"/>
        <v>1032.2925727655743</v>
      </c>
      <c r="E18">
        <v>21</v>
      </c>
      <c r="F18" s="3">
        <f t="shared" si="15"/>
        <v>5419.5360070192637</v>
      </c>
      <c r="G18" s="3">
        <f t="shared" si="16"/>
        <v>32259.14289892419</v>
      </c>
      <c r="I18" s="3">
        <v>0</v>
      </c>
      <c r="J18" s="3"/>
      <c r="K18" s="3"/>
      <c r="L18" s="3">
        <f t="shared" si="11"/>
        <v>0</v>
      </c>
      <c r="M18" s="3"/>
      <c r="O18">
        <v>2023</v>
      </c>
      <c r="P18" s="3">
        <f t="shared" si="4"/>
        <v>32259.14289892419</v>
      </c>
      <c r="Q18" s="3">
        <f t="shared" si="5"/>
        <v>35097.947474029519</v>
      </c>
      <c r="R18" s="3">
        <f t="shared" si="6"/>
        <v>26588</v>
      </c>
      <c r="T18">
        <v>2024</v>
      </c>
      <c r="U18" s="3">
        <f>'Vehicle price'!X20</f>
        <v>23</v>
      </c>
      <c r="V18" s="20">
        <f>V17+(V24-V12)/12</f>
        <v>1.1499999999999995</v>
      </c>
      <c r="W18" s="3">
        <f t="shared" si="0"/>
        <v>33.666986514584543</v>
      </c>
      <c r="X18" s="3">
        <f>'Vehicle price'!T20</f>
        <v>29.275640447464834</v>
      </c>
      <c r="Y18" s="3">
        <f t="shared" si="7"/>
        <v>24.884294380345104</v>
      </c>
      <c r="Z18" s="20">
        <f>Z17+(Z24-Z12)/12</f>
        <v>0.84999999999999987</v>
      </c>
      <c r="AC18">
        <v>2023</v>
      </c>
      <c r="AD18" s="14">
        <v>0.85</v>
      </c>
      <c r="AF18">
        <v>2023</v>
      </c>
      <c r="AG18">
        <v>1100</v>
      </c>
      <c r="AH18">
        <v>550</v>
      </c>
      <c r="AI18">
        <f t="shared" si="17"/>
        <v>120.6409810719955</v>
      </c>
      <c r="AJ18" s="3">
        <f t="shared" si="12"/>
        <v>1012.5627505661566</v>
      </c>
      <c r="AK18" s="3">
        <f t="shared" si="13"/>
        <v>506.28137528307832</v>
      </c>
    </row>
    <row r="19" spans="1:37">
      <c r="A19">
        <v>2024</v>
      </c>
      <c r="B19" s="3">
        <f t="shared" si="9"/>
        <v>29.275640447464834</v>
      </c>
      <c r="C19" s="3">
        <f t="shared" si="1"/>
        <v>24884.294380345105</v>
      </c>
      <c r="D19" s="3">
        <f t="shared" si="14"/>
        <v>995.3717752138042</v>
      </c>
      <c r="E19">
        <v>21</v>
      </c>
      <c r="F19" s="3">
        <f t="shared" si="15"/>
        <v>5225.7018198724718</v>
      </c>
      <c r="G19" s="3">
        <f t="shared" si="16"/>
        <v>31105.367975431382</v>
      </c>
      <c r="I19" s="3">
        <v>0</v>
      </c>
      <c r="J19" s="3"/>
      <c r="K19" s="3"/>
      <c r="L19" s="3">
        <f t="shared" si="11"/>
        <v>0</v>
      </c>
      <c r="M19" s="3"/>
      <c r="O19">
        <v>2024</v>
      </c>
      <c r="P19" s="3">
        <f t="shared" si="4"/>
        <v>31105.367975431382</v>
      </c>
      <c r="Q19" s="3">
        <f t="shared" si="5"/>
        <v>33842.640357269345</v>
      </c>
      <c r="R19" s="3">
        <f t="shared" si="6"/>
        <v>26588</v>
      </c>
      <c r="T19">
        <v>2025</v>
      </c>
      <c r="U19" s="3">
        <f>'Vehicle price'!X21</f>
        <v>23</v>
      </c>
      <c r="V19" s="20">
        <f>V18+(V24-V12)/12</f>
        <v>1.1749999999999994</v>
      </c>
      <c r="W19" s="3">
        <f t="shared" si="0"/>
        <v>33.303466599000153</v>
      </c>
      <c r="X19" s="3">
        <f>'Vehicle price'!T21</f>
        <v>28.343375828936317</v>
      </c>
      <c r="Y19" s="3">
        <f t="shared" si="7"/>
        <v>23.383285058872456</v>
      </c>
      <c r="Z19" s="20">
        <f>Z18+(Z24-Z12)/12</f>
        <v>0.82499999999999984</v>
      </c>
      <c r="AC19">
        <v>2024</v>
      </c>
      <c r="AD19" s="14">
        <v>0.85</v>
      </c>
      <c r="AF19">
        <v>2024</v>
      </c>
      <c r="AG19">
        <v>1100</v>
      </c>
      <c r="AH19">
        <v>550</v>
      </c>
      <c r="AI19">
        <f t="shared" si="17"/>
        <v>122.31789070889627</v>
      </c>
      <c r="AJ19" s="3">
        <f t="shared" si="12"/>
        <v>998.68108350543082</v>
      </c>
      <c r="AK19" s="3">
        <f t="shared" si="13"/>
        <v>499.34054175271541</v>
      </c>
    </row>
    <row r="20" spans="1:37">
      <c r="A20">
        <v>2025</v>
      </c>
      <c r="B20" s="3">
        <f t="shared" si="9"/>
        <v>28.343375828936317</v>
      </c>
      <c r="C20" s="3">
        <f t="shared" si="1"/>
        <v>24091.869454595868</v>
      </c>
      <c r="D20" s="3">
        <f t="shared" si="14"/>
        <v>963.67477818383475</v>
      </c>
      <c r="E20">
        <v>21</v>
      </c>
      <c r="F20" s="3">
        <f t="shared" si="15"/>
        <v>5059.2925854651321</v>
      </c>
      <c r="G20" s="3">
        <f t="shared" si="16"/>
        <v>30114.836818244836</v>
      </c>
      <c r="I20" s="3">
        <v>0</v>
      </c>
      <c r="J20" s="3"/>
      <c r="K20" s="3"/>
      <c r="L20" s="3">
        <f t="shared" si="11"/>
        <v>0</v>
      </c>
      <c r="M20" s="3"/>
      <c r="O20">
        <v>2025</v>
      </c>
      <c r="P20" s="3">
        <f t="shared" si="4"/>
        <v>30114.836818244836</v>
      </c>
      <c r="Q20" s="3">
        <f t="shared" si="5"/>
        <v>32764.942458250382</v>
      </c>
      <c r="R20" s="3">
        <f t="shared" si="6"/>
        <v>26588</v>
      </c>
      <c r="T20">
        <v>2026</v>
      </c>
      <c r="U20" s="3">
        <f>'Vehicle price'!X22</f>
        <v>23</v>
      </c>
      <c r="V20" s="20">
        <f>V19+(V24-V12)/12</f>
        <v>1.1999999999999993</v>
      </c>
      <c r="W20" s="3">
        <f t="shared" si="0"/>
        <v>33.374724569405856</v>
      </c>
      <c r="X20" s="3">
        <f>'Vehicle price'!T22</f>
        <v>27.812270474504896</v>
      </c>
      <c r="Y20" s="3">
        <f t="shared" si="7"/>
        <v>22.24981637960391</v>
      </c>
      <c r="Z20" s="20">
        <f>Z19+(Z24-Z12)/12</f>
        <v>0.79999999999999982</v>
      </c>
      <c r="AC20">
        <v>2025</v>
      </c>
      <c r="AD20" s="14">
        <v>0.85</v>
      </c>
      <c r="AF20">
        <v>2025</v>
      </c>
      <c r="AG20">
        <v>1100</v>
      </c>
      <c r="AH20">
        <v>550</v>
      </c>
      <c r="AI20">
        <f t="shared" si="17"/>
        <v>124.01810938974997</v>
      </c>
      <c r="AJ20" s="3">
        <f t="shared" si="12"/>
        <v>984.98972630972537</v>
      </c>
      <c r="AK20" s="3">
        <f t="shared" si="13"/>
        <v>492.49486315486268</v>
      </c>
    </row>
    <row r="21" spans="1:37">
      <c r="A21">
        <v>2026</v>
      </c>
      <c r="B21" s="3">
        <f t="shared" si="9"/>
        <v>27.812270474504896</v>
      </c>
      <c r="C21" s="3">
        <f t="shared" si="1"/>
        <v>23640.429903329161</v>
      </c>
      <c r="D21" s="3">
        <f t="shared" si="14"/>
        <v>945.61719613316643</v>
      </c>
      <c r="E21">
        <v>21</v>
      </c>
      <c r="F21" s="3">
        <f t="shared" si="15"/>
        <v>4964.4902796991237</v>
      </c>
      <c r="G21" s="3">
        <f t="shared" si="16"/>
        <v>29550.537379161451</v>
      </c>
      <c r="I21" s="3">
        <v>0</v>
      </c>
      <c r="J21" s="3"/>
      <c r="K21" s="3"/>
      <c r="L21" s="3">
        <f t="shared" si="11"/>
        <v>0</v>
      </c>
      <c r="M21" s="3"/>
      <c r="O21">
        <v>2026</v>
      </c>
      <c r="P21" s="3">
        <f t="shared" si="4"/>
        <v>29550.537379161451</v>
      </c>
      <c r="Q21" s="3">
        <f t="shared" si="5"/>
        <v>32150.984668527657</v>
      </c>
      <c r="R21" s="3">
        <f t="shared" si="6"/>
        <v>26588</v>
      </c>
      <c r="T21">
        <v>2027</v>
      </c>
      <c r="U21" s="3">
        <f>'Vehicle price'!X23</f>
        <v>23</v>
      </c>
      <c r="V21" s="20">
        <f>V20+(V24-V12)/12</f>
        <v>1.2249999999999992</v>
      </c>
      <c r="W21" s="3">
        <f t="shared" si="0"/>
        <v>33.41942727208999</v>
      </c>
      <c r="X21" s="3">
        <f>'Vehicle price'!T23</f>
        <v>27.281165120073478</v>
      </c>
      <c r="Y21" s="3">
        <f t="shared" si="7"/>
        <v>21.142902968056941</v>
      </c>
      <c r="Z21" s="20">
        <f>Z20+(Z24-Z12)/12</f>
        <v>0.7749999999999998</v>
      </c>
      <c r="AC21">
        <v>2026</v>
      </c>
      <c r="AD21" s="14">
        <v>0.85</v>
      </c>
      <c r="AF21">
        <v>2026</v>
      </c>
      <c r="AG21">
        <v>1100</v>
      </c>
      <c r="AH21">
        <v>550</v>
      </c>
      <c r="AI21">
        <f t="shared" si="17"/>
        <v>125.74196111026754</v>
      </c>
      <c r="AJ21" s="3">
        <f t="shared" si="12"/>
        <v>971.48606993759245</v>
      </c>
      <c r="AK21" s="3">
        <f t="shared" si="13"/>
        <v>485.74303496879622</v>
      </c>
    </row>
    <row r="22" spans="1:37">
      <c r="A22">
        <v>2027</v>
      </c>
      <c r="B22" s="3">
        <f t="shared" si="9"/>
        <v>27.281165120073478</v>
      </c>
      <c r="C22" s="3">
        <f t="shared" si="1"/>
        <v>23188.990352062454</v>
      </c>
      <c r="D22" s="3">
        <f t="shared" si="14"/>
        <v>927.55961408249823</v>
      </c>
      <c r="E22">
        <v>21</v>
      </c>
      <c r="F22" s="3">
        <f t="shared" si="15"/>
        <v>4869.6879739331152</v>
      </c>
      <c r="G22" s="3">
        <f t="shared" si="16"/>
        <v>28986.23794007807</v>
      </c>
      <c r="I22" s="3">
        <v>0</v>
      </c>
      <c r="J22" s="3"/>
      <c r="K22" s="3"/>
      <c r="L22" s="3">
        <f t="shared" si="11"/>
        <v>0</v>
      </c>
      <c r="M22" s="3"/>
      <c r="O22">
        <v>2027</v>
      </c>
      <c r="P22" s="3">
        <f t="shared" si="4"/>
        <v>28986.23794007807</v>
      </c>
      <c r="Q22" s="3">
        <f t="shared" si="5"/>
        <v>31537.026878804936</v>
      </c>
      <c r="R22" s="3">
        <f t="shared" si="6"/>
        <v>26588</v>
      </c>
      <c r="T22">
        <v>2028</v>
      </c>
      <c r="U22" s="3">
        <f>'Vehicle price'!X24</f>
        <v>23</v>
      </c>
      <c r="V22" s="20">
        <f>V21+(V24-V12)/12</f>
        <v>1.2499999999999991</v>
      </c>
      <c r="W22" s="3">
        <f t="shared" si="0"/>
        <v>33.354589495422644</v>
      </c>
      <c r="X22" s="3">
        <f>'Vehicle price'!T24</f>
        <v>26.683671596338133</v>
      </c>
      <c r="Y22" s="3">
        <f t="shared" si="7"/>
        <v>20.012753697253594</v>
      </c>
      <c r="Z22" s="20">
        <f>Z21+(Z24-Z12)/12</f>
        <v>0.74999999999999978</v>
      </c>
      <c r="AC22">
        <v>2027</v>
      </c>
      <c r="AD22" s="14">
        <v>0.85</v>
      </c>
      <c r="AF22">
        <v>2027</v>
      </c>
      <c r="AG22">
        <v>1100</v>
      </c>
      <c r="AH22">
        <v>550</v>
      </c>
      <c r="AI22">
        <f t="shared" si="17"/>
        <v>127.48977436970031</v>
      </c>
      <c r="AJ22" s="3">
        <f t="shared" si="12"/>
        <v>958.1675411160785</v>
      </c>
      <c r="AK22" s="3">
        <f t="shared" si="13"/>
        <v>479.08377055803925</v>
      </c>
    </row>
    <row r="23" spans="1:37">
      <c r="A23">
        <v>2028</v>
      </c>
      <c r="B23" s="3">
        <f t="shared" si="9"/>
        <v>26.683671596338133</v>
      </c>
      <c r="C23" s="3">
        <f t="shared" si="1"/>
        <v>22681.12085688741</v>
      </c>
      <c r="D23" s="3">
        <f t="shared" si="14"/>
        <v>907.24483427549637</v>
      </c>
      <c r="E23">
        <v>21</v>
      </c>
      <c r="F23" s="3">
        <f t="shared" si="15"/>
        <v>4763.0353799463555</v>
      </c>
      <c r="G23" s="3">
        <f t="shared" si="16"/>
        <v>28351.401071109263</v>
      </c>
      <c r="I23" s="3">
        <v>0</v>
      </c>
      <c r="J23" s="3"/>
      <c r="K23" s="3"/>
      <c r="L23" s="3">
        <f t="shared" si="11"/>
        <v>0</v>
      </c>
      <c r="M23" s="3"/>
      <c r="O23">
        <v>2028</v>
      </c>
      <c r="P23" s="3">
        <f t="shared" si="4"/>
        <v>28351.401071109263</v>
      </c>
      <c r="Q23" s="3">
        <f t="shared" si="5"/>
        <v>30846.324365366876</v>
      </c>
      <c r="R23" s="3">
        <f t="shared" si="6"/>
        <v>26588</v>
      </c>
      <c r="T23">
        <v>2029</v>
      </c>
      <c r="U23" s="3">
        <f>'Vehicle price'!X25</f>
        <v>23</v>
      </c>
      <c r="V23" s="20">
        <f>V22+(V24-V12)/12</f>
        <v>1.274999999999999</v>
      </c>
      <c r="W23" s="3">
        <f t="shared" si="0"/>
        <v>33.344521958431038</v>
      </c>
      <c r="X23" s="3">
        <f>'Vehicle price'!T25</f>
        <v>26.152566241906715</v>
      </c>
      <c r="Y23" s="3">
        <f t="shared" si="7"/>
        <v>18.960610525382361</v>
      </c>
      <c r="Z23" s="20">
        <f>Z22+(Z24-Z12)/12</f>
        <v>0.72499999999999976</v>
      </c>
      <c r="AC23">
        <v>2028</v>
      </c>
      <c r="AD23" s="14">
        <v>0.85</v>
      </c>
      <c r="AF23">
        <v>2028</v>
      </c>
      <c r="AG23">
        <v>1100</v>
      </c>
      <c r="AH23">
        <v>550</v>
      </c>
      <c r="AI23">
        <f t="shared" si="17"/>
        <v>129.2618822334392</v>
      </c>
      <c r="AJ23" s="3">
        <f t="shared" si="12"/>
        <v>945.03160185035813</v>
      </c>
      <c r="AK23" s="3">
        <f t="shared" si="13"/>
        <v>472.51580092517906</v>
      </c>
    </row>
    <row r="24" spans="1:37">
      <c r="A24">
        <v>2029</v>
      </c>
      <c r="B24" s="3">
        <f t="shared" si="9"/>
        <v>26.152566241906715</v>
      </c>
      <c r="C24" s="3">
        <f t="shared" si="1"/>
        <v>22229.68130562071</v>
      </c>
      <c r="D24" s="3">
        <f t="shared" si="14"/>
        <v>889.1872522248284</v>
      </c>
      <c r="E24">
        <v>21</v>
      </c>
      <c r="F24" s="3">
        <f t="shared" si="15"/>
        <v>4668.2330741803489</v>
      </c>
      <c r="G24" s="3">
        <f t="shared" si="16"/>
        <v>27787.101632025886</v>
      </c>
      <c r="I24" s="3">
        <v>0</v>
      </c>
      <c r="J24" s="3"/>
      <c r="K24" s="3"/>
      <c r="L24" s="3">
        <f t="shared" si="11"/>
        <v>0</v>
      </c>
      <c r="M24" s="3"/>
      <c r="O24">
        <v>2029</v>
      </c>
      <c r="P24" s="3">
        <f t="shared" si="4"/>
        <v>27787.101632025886</v>
      </c>
      <c r="Q24" s="3">
        <f t="shared" si="5"/>
        <v>30232.366575644166</v>
      </c>
      <c r="R24" s="3">
        <f t="shared" si="6"/>
        <v>26588</v>
      </c>
      <c r="T24">
        <v>2030</v>
      </c>
      <c r="U24" s="3">
        <f>'Vehicle price'!X26</f>
        <v>23</v>
      </c>
      <c r="V24">
        <v>1.3</v>
      </c>
      <c r="W24" s="3">
        <f t="shared" si="0"/>
        <v>33.221594533622785</v>
      </c>
      <c r="X24" s="3">
        <f>'Vehicle price'!T26</f>
        <v>25.55507271817137</v>
      </c>
      <c r="Y24" s="3">
        <f t="shared" si="7"/>
        <v>17.88855090271996</v>
      </c>
      <c r="Z24">
        <v>0.7</v>
      </c>
      <c r="AC24">
        <v>2029</v>
      </c>
      <c r="AD24" s="14">
        <v>0.85</v>
      </c>
      <c r="AF24">
        <v>2029</v>
      </c>
      <c r="AG24">
        <v>1100</v>
      </c>
      <c r="AH24">
        <v>550</v>
      </c>
      <c r="AI24">
        <f t="shared" si="17"/>
        <v>131.05862239648405</v>
      </c>
      <c r="AJ24" s="3">
        <f t="shared" si="12"/>
        <v>932.07574894009053</v>
      </c>
      <c r="AK24" s="3">
        <f t="shared" si="13"/>
        <v>466.03787447004527</v>
      </c>
    </row>
    <row r="25" spans="1:37">
      <c r="A25">
        <v>2030</v>
      </c>
      <c r="B25" s="3">
        <f t="shared" si="9"/>
        <v>25.55507271817137</v>
      </c>
      <c r="C25" s="3">
        <f t="shared" si="1"/>
        <v>21721.811810445666</v>
      </c>
      <c r="D25" s="3">
        <f t="shared" si="14"/>
        <v>868.87247241782666</v>
      </c>
      <c r="E25">
        <v>21</v>
      </c>
      <c r="F25" s="3">
        <f t="shared" si="15"/>
        <v>4561.5804801935901</v>
      </c>
      <c r="G25" s="3">
        <f>C25+F25+D25</f>
        <v>27152.264763057083</v>
      </c>
      <c r="I25" s="3">
        <v>0</v>
      </c>
      <c r="J25" s="3"/>
      <c r="K25" s="3"/>
      <c r="L25" s="3">
        <f t="shared" si="11"/>
        <v>0</v>
      </c>
      <c r="M25" s="3"/>
      <c r="O25">
        <v>2030</v>
      </c>
      <c r="P25" s="3">
        <f t="shared" si="4"/>
        <v>27152.264763057083</v>
      </c>
      <c r="Q25" s="3">
        <f t="shared" si="5"/>
        <v>29541.664062206106</v>
      </c>
      <c r="R25" s="3">
        <f t="shared" si="6"/>
        <v>26588</v>
      </c>
      <c r="AC25">
        <v>2030</v>
      </c>
      <c r="AD25" s="14">
        <v>0.85</v>
      </c>
      <c r="AF25">
        <v>2030</v>
      </c>
      <c r="AG25">
        <v>1100</v>
      </c>
      <c r="AH25">
        <v>550</v>
      </c>
      <c r="AI25">
        <f t="shared" si="17"/>
        <v>132.88033724779524</v>
      </c>
      <c r="AJ25" s="3">
        <f t="shared" si="12"/>
        <v>919.29751350240667</v>
      </c>
      <c r="AK25" s="3">
        <f t="shared" si="13"/>
        <v>459.64875675120334</v>
      </c>
    </row>
    <row r="26" spans="1:37">
      <c r="F26" s="3"/>
    </row>
    <row r="27" spans="1:37">
      <c r="A27" t="s">
        <v>324</v>
      </c>
      <c r="B27" t="s">
        <v>1395</v>
      </c>
      <c r="C27" t="s">
        <v>709</v>
      </c>
      <c r="D27" t="s">
        <v>709</v>
      </c>
      <c r="E27" t="s">
        <v>498</v>
      </c>
      <c r="F27" t="s">
        <v>709</v>
      </c>
      <c r="G27" t="s">
        <v>709</v>
      </c>
      <c r="I27" t="s">
        <v>1120</v>
      </c>
      <c r="J27" t="s">
        <v>1121</v>
      </c>
      <c r="L27" t="s">
        <v>904</v>
      </c>
    </row>
    <row r="28" spans="1:37">
      <c r="B28" t="s">
        <v>711</v>
      </c>
      <c r="C28" t="s">
        <v>711</v>
      </c>
      <c r="D28" t="s">
        <v>736</v>
      </c>
      <c r="E28" t="s">
        <v>714</v>
      </c>
      <c r="F28" s="3" t="s">
        <v>728</v>
      </c>
      <c r="G28" t="s">
        <v>717</v>
      </c>
      <c r="I28" t="s">
        <v>735</v>
      </c>
      <c r="J28" t="s">
        <v>735</v>
      </c>
      <c r="L28" t="s">
        <v>734</v>
      </c>
    </row>
    <row r="29" spans="1:37">
      <c r="A29">
        <v>2009</v>
      </c>
      <c r="B29" s="3">
        <f t="shared" ref="B29:B50" si="18">B4</f>
        <v>29.592572886961211</v>
      </c>
      <c r="C29" s="3">
        <f t="shared" ref="C29:C50" si="19">B29*AD4*1000</f>
        <v>21302.040969337188</v>
      </c>
      <c r="D29" s="3">
        <v>450</v>
      </c>
      <c r="E29">
        <v>19</v>
      </c>
      <c r="F29" s="3">
        <f>(C29)*E29/100</f>
        <v>4047.3877841740655</v>
      </c>
      <c r="G29" s="3">
        <f t="shared" ref="G29:G49" si="20">C29+F29+D29</f>
        <v>25799.428753511253</v>
      </c>
      <c r="I29" s="3">
        <f t="shared" ref="I29:J36" si="21">I4*0.5</f>
        <v>2519.4545833333336</v>
      </c>
      <c r="J29" s="3">
        <f t="shared" si="21"/>
        <v>550</v>
      </c>
      <c r="K29" s="3"/>
      <c r="L29" s="3">
        <f>MAX(I29:J29)</f>
        <v>2519.4545833333336</v>
      </c>
      <c r="M29" s="3"/>
    </row>
    <row r="30" spans="1:37">
      <c r="A30">
        <v>2010</v>
      </c>
      <c r="B30" s="3">
        <f t="shared" si="18"/>
        <v>30</v>
      </c>
      <c r="C30" s="3">
        <f t="shared" si="19"/>
        <v>22760.138776915202</v>
      </c>
      <c r="D30" s="3">
        <v>450</v>
      </c>
      <c r="E30">
        <v>19</v>
      </c>
      <c r="F30" s="3">
        <f t="shared" ref="F30:F50" si="22">(C30)*E30/100</f>
        <v>4324.4263676138889</v>
      </c>
      <c r="G30" s="3">
        <f t="shared" si="20"/>
        <v>27534.565144529093</v>
      </c>
      <c r="I30" s="3">
        <f t="shared" si="21"/>
        <v>2655.3495239734402</v>
      </c>
      <c r="J30" s="3">
        <f t="shared" si="21"/>
        <v>550</v>
      </c>
      <c r="K30" s="3"/>
      <c r="L30" s="3">
        <f t="shared" ref="L30:L50" si="23">MAX(I30:J30)</f>
        <v>2655.3495239734402</v>
      </c>
      <c r="M30" s="3"/>
    </row>
    <row r="31" spans="1:37">
      <c r="A31">
        <v>2011</v>
      </c>
      <c r="B31" s="3">
        <f t="shared" si="18"/>
        <v>30</v>
      </c>
      <c r="C31" s="3">
        <f t="shared" si="19"/>
        <v>21463.232997813917</v>
      </c>
      <c r="D31" s="3">
        <v>450</v>
      </c>
      <c r="E31">
        <v>19</v>
      </c>
      <c r="F31" s="3">
        <f t="shared" si="22"/>
        <v>4078.0142695846444</v>
      </c>
      <c r="G31" s="3">
        <f t="shared" si="20"/>
        <v>25991.247267398561</v>
      </c>
      <c r="I31" s="3">
        <f t="shared" si="21"/>
        <v>2504.0438497449568</v>
      </c>
      <c r="J31" s="3">
        <f t="shared" si="21"/>
        <v>550</v>
      </c>
      <c r="K31" s="3"/>
      <c r="L31" s="3">
        <f t="shared" si="23"/>
        <v>2504.0438497449568</v>
      </c>
      <c r="M31" s="3"/>
    </row>
    <row r="32" spans="1:37">
      <c r="A32">
        <v>2012</v>
      </c>
      <c r="B32" s="3">
        <f t="shared" si="18"/>
        <v>30.842462459493706</v>
      </c>
      <c r="C32" s="3">
        <f t="shared" si="19"/>
        <v>23868.964632772961</v>
      </c>
      <c r="D32" s="3">
        <v>450</v>
      </c>
      <c r="E32">
        <v>19</v>
      </c>
      <c r="F32" s="3">
        <f t="shared" si="22"/>
        <v>4535.1032802268628</v>
      </c>
      <c r="G32" s="3">
        <f t="shared" si="20"/>
        <v>28854.067912999824</v>
      </c>
      <c r="I32" s="3">
        <f t="shared" si="21"/>
        <v>2708.6480635073372</v>
      </c>
      <c r="J32" s="3">
        <f t="shared" si="21"/>
        <v>550</v>
      </c>
      <c r="K32" s="3"/>
      <c r="L32" s="3">
        <f t="shared" si="23"/>
        <v>2708.6480635073372</v>
      </c>
      <c r="M32" s="3"/>
    </row>
    <row r="33" spans="1:24">
      <c r="A33">
        <v>2013</v>
      </c>
      <c r="B33" s="3">
        <f t="shared" si="18"/>
        <v>31.143929334439989</v>
      </c>
      <c r="C33" s="3">
        <f t="shared" si="19"/>
        <v>23409.918880648976</v>
      </c>
      <c r="D33" s="3">
        <v>450</v>
      </c>
      <c r="E33">
        <v>21</v>
      </c>
      <c r="F33" s="3">
        <f t="shared" si="22"/>
        <v>4916.082964936285</v>
      </c>
      <c r="G33" s="3">
        <f t="shared" si="20"/>
        <v>28776.001845585262</v>
      </c>
      <c r="I33" s="3">
        <f t="shared" si="21"/>
        <v>2630.8406753179115</v>
      </c>
      <c r="J33" s="3">
        <f t="shared" si="21"/>
        <v>550</v>
      </c>
      <c r="K33" s="3"/>
      <c r="L33" s="3">
        <f t="shared" si="23"/>
        <v>2630.8406753179115</v>
      </c>
      <c r="M33" s="3"/>
    </row>
    <row r="34" spans="1:24">
      <c r="A34">
        <v>2014</v>
      </c>
      <c r="B34" s="3">
        <f t="shared" si="18"/>
        <v>33.541755956678692</v>
      </c>
      <c r="C34" s="3">
        <f t="shared" si="19"/>
        <v>25404.118038119632</v>
      </c>
      <c r="D34" s="3">
        <f>0.04*C34</f>
        <v>1016.1647215247853</v>
      </c>
      <c r="E34">
        <v>21</v>
      </c>
      <c r="F34" s="3">
        <f t="shared" si="22"/>
        <v>5334.864788005123</v>
      </c>
      <c r="G34" s="3">
        <f t="shared" si="20"/>
        <v>31755.14754764954</v>
      </c>
      <c r="I34" s="3">
        <f t="shared" si="21"/>
        <v>2650.8574341861327</v>
      </c>
      <c r="J34" s="3">
        <f t="shared" si="21"/>
        <v>550</v>
      </c>
      <c r="K34" s="3"/>
      <c r="L34" s="3">
        <f t="shared" si="23"/>
        <v>2650.8574341861327</v>
      </c>
      <c r="M34" s="3"/>
      <c r="W34" s="167" t="s">
        <v>737</v>
      </c>
    </row>
    <row r="35" spans="1:24">
      <c r="A35">
        <v>2015</v>
      </c>
      <c r="B35" s="3">
        <f t="shared" si="18"/>
        <v>30</v>
      </c>
      <c r="C35" s="3">
        <f t="shared" si="19"/>
        <v>27177.76686239925</v>
      </c>
      <c r="D35" s="3">
        <f>0.07*C35</f>
        <v>1902.4436803679478</v>
      </c>
      <c r="E35">
        <v>21</v>
      </c>
      <c r="F35" s="3">
        <f t="shared" si="22"/>
        <v>5707.3310411038428</v>
      </c>
      <c r="G35" s="3">
        <f t="shared" si="20"/>
        <v>34787.54158387104</v>
      </c>
      <c r="I35" s="3">
        <f t="shared" si="21"/>
        <v>3170.7394672799123</v>
      </c>
      <c r="J35" s="3">
        <f t="shared" si="21"/>
        <v>550</v>
      </c>
      <c r="K35" s="3"/>
      <c r="L35" s="3">
        <f t="shared" si="23"/>
        <v>3170.7394672799123</v>
      </c>
      <c r="M35" s="3"/>
    </row>
    <row r="36" spans="1:24">
      <c r="A36">
        <v>2016</v>
      </c>
      <c r="B36" s="3">
        <f t="shared" si="18"/>
        <v>30</v>
      </c>
      <c r="C36" s="3">
        <f t="shared" si="19"/>
        <v>27202.412312659035</v>
      </c>
      <c r="D36" s="3">
        <f t="shared" ref="D36:D50" si="24">0.15*C36</f>
        <v>4080.3618468988552</v>
      </c>
      <c r="E36">
        <v>21</v>
      </c>
      <c r="F36" s="3">
        <f t="shared" si="22"/>
        <v>5712.5065856583979</v>
      </c>
      <c r="G36" s="3">
        <f t="shared" si="20"/>
        <v>36995.280745216289</v>
      </c>
      <c r="I36" s="3">
        <f t="shared" si="21"/>
        <v>0</v>
      </c>
      <c r="J36" s="3">
        <f t="shared" si="21"/>
        <v>550</v>
      </c>
      <c r="K36" s="3"/>
      <c r="L36" s="3">
        <f t="shared" si="23"/>
        <v>550</v>
      </c>
      <c r="M36" s="3"/>
      <c r="W36" s="167" t="s">
        <v>738</v>
      </c>
    </row>
    <row r="37" spans="1:24">
      <c r="A37">
        <v>2017</v>
      </c>
      <c r="B37" s="3">
        <f t="shared" si="18"/>
        <v>30</v>
      </c>
      <c r="C37" s="3">
        <f t="shared" si="19"/>
        <v>26462.003510368591</v>
      </c>
      <c r="D37" s="3">
        <f t="shared" si="24"/>
        <v>3969.3005265552883</v>
      </c>
      <c r="E37">
        <v>21</v>
      </c>
      <c r="F37" s="3">
        <f t="shared" si="22"/>
        <v>5557.020737177404</v>
      </c>
      <c r="G37" s="3">
        <f t="shared" si="20"/>
        <v>35988.324774101282</v>
      </c>
      <c r="I37" s="3">
        <f t="shared" ref="I37:I50" si="25">I12*0.5</f>
        <v>0</v>
      </c>
      <c r="J37" s="3"/>
      <c r="K37" s="3"/>
      <c r="L37" s="3">
        <f t="shared" si="23"/>
        <v>0</v>
      </c>
      <c r="M37" s="3"/>
      <c r="W37" s="167" t="s">
        <v>739</v>
      </c>
    </row>
    <row r="38" spans="1:24">
      <c r="A38">
        <v>2018</v>
      </c>
      <c r="B38" s="3">
        <f t="shared" si="18"/>
        <v>30.592100851060948</v>
      </c>
      <c r="C38" s="3">
        <f t="shared" si="19"/>
        <v>26003.285723401805</v>
      </c>
      <c r="D38" s="3">
        <f t="shared" si="24"/>
        <v>3900.4928585102707</v>
      </c>
      <c r="E38">
        <v>21</v>
      </c>
      <c r="F38" s="3">
        <f t="shared" si="22"/>
        <v>5460.6900019143786</v>
      </c>
      <c r="G38" s="3">
        <f t="shared" si="20"/>
        <v>35364.468583826456</v>
      </c>
      <c r="I38" s="3">
        <f t="shared" si="25"/>
        <v>0</v>
      </c>
      <c r="J38" s="3"/>
      <c r="K38" s="3"/>
      <c r="L38" s="3">
        <f t="shared" si="23"/>
        <v>0</v>
      </c>
      <c r="M38" s="3"/>
      <c r="W38" s="105" t="s">
        <v>740</v>
      </c>
    </row>
    <row r="39" spans="1:24">
      <c r="A39">
        <v>2019</v>
      </c>
      <c r="B39" s="3">
        <f t="shared" si="18"/>
        <v>31.172994053473918</v>
      </c>
      <c r="C39" s="3">
        <f t="shared" si="19"/>
        <v>26497.044945452828</v>
      </c>
      <c r="D39" s="3">
        <f t="shared" si="24"/>
        <v>3974.5567418179239</v>
      </c>
      <c r="E39">
        <v>21</v>
      </c>
      <c r="F39" s="3">
        <f t="shared" si="22"/>
        <v>5564.3794385450938</v>
      </c>
      <c r="G39" s="3">
        <f t="shared" si="20"/>
        <v>36035.981125815844</v>
      </c>
      <c r="I39" s="3">
        <f t="shared" si="25"/>
        <v>0</v>
      </c>
      <c r="J39" s="3"/>
      <c r="K39" s="3"/>
      <c r="L39" s="3">
        <f t="shared" si="23"/>
        <v>0</v>
      </c>
      <c r="M39" s="3"/>
      <c r="W39" s="167" t="s">
        <v>741</v>
      </c>
    </row>
    <row r="40" spans="1:24">
      <c r="A40">
        <v>2020</v>
      </c>
      <c r="B40" s="3">
        <f t="shared" si="18"/>
        <v>30.985903123425071</v>
      </c>
      <c r="C40" s="3">
        <f t="shared" si="19"/>
        <v>26338.017654911313</v>
      </c>
      <c r="D40" s="3">
        <f t="shared" si="24"/>
        <v>3950.7026482366969</v>
      </c>
      <c r="E40">
        <v>21</v>
      </c>
      <c r="F40" s="3">
        <f t="shared" si="22"/>
        <v>5530.9837075313762</v>
      </c>
      <c r="G40" s="3">
        <f t="shared" si="20"/>
        <v>35819.704010679387</v>
      </c>
      <c r="I40" s="3">
        <f t="shared" si="25"/>
        <v>0</v>
      </c>
      <c r="J40" s="3"/>
      <c r="K40" s="3"/>
      <c r="L40" s="3">
        <f t="shared" si="23"/>
        <v>0</v>
      </c>
      <c r="M40" s="3"/>
    </row>
    <row r="41" spans="1:24">
      <c r="A41">
        <v>2021</v>
      </c>
      <c r="B41" s="3">
        <f t="shared" si="18"/>
        <v>30.206708843097807</v>
      </c>
      <c r="C41" s="3">
        <f t="shared" si="19"/>
        <v>25675.702516633137</v>
      </c>
      <c r="D41" s="3">
        <f t="shared" si="24"/>
        <v>3851.3553774949705</v>
      </c>
      <c r="E41">
        <v>21</v>
      </c>
      <c r="F41" s="3">
        <f t="shared" si="22"/>
        <v>5391.8975284929584</v>
      </c>
      <c r="G41" s="3">
        <f t="shared" si="20"/>
        <v>34918.955422621068</v>
      </c>
      <c r="I41" s="3">
        <f t="shared" si="25"/>
        <v>0</v>
      </c>
      <c r="J41" s="3"/>
      <c r="K41" s="3"/>
      <c r="L41" s="3">
        <f t="shared" si="23"/>
        <v>0</v>
      </c>
      <c r="M41" s="3"/>
    </row>
    <row r="42" spans="1:24">
      <c r="A42">
        <v>2022</v>
      </c>
      <c r="B42" s="3">
        <f t="shared" si="18"/>
        <v>30.642454642697771</v>
      </c>
      <c r="C42" s="3">
        <f t="shared" si="19"/>
        <v>26046.086446293106</v>
      </c>
      <c r="D42" s="3">
        <f t="shared" si="24"/>
        <v>3906.9129669439658</v>
      </c>
      <c r="E42">
        <v>21</v>
      </c>
      <c r="F42" s="3">
        <f t="shared" si="22"/>
        <v>5469.6781537215529</v>
      </c>
      <c r="G42" s="3">
        <f t="shared" si="20"/>
        <v>35422.677566958628</v>
      </c>
      <c r="I42" s="3">
        <f t="shared" si="25"/>
        <v>0</v>
      </c>
      <c r="J42" s="3"/>
      <c r="K42" s="3"/>
      <c r="L42" s="3">
        <f t="shared" si="23"/>
        <v>0</v>
      </c>
      <c r="M42" s="3"/>
      <c r="W42" t="s">
        <v>742</v>
      </c>
      <c r="X42" t="s">
        <v>743</v>
      </c>
    </row>
    <row r="43" spans="1:24">
      <c r="A43">
        <v>2023</v>
      </c>
      <c r="B43" s="3">
        <f t="shared" si="18"/>
        <v>30.361546257811007</v>
      </c>
      <c r="C43" s="3">
        <f t="shared" si="19"/>
        <v>25807.314319139354</v>
      </c>
      <c r="D43" s="3">
        <f t="shared" si="24"/>
        <v>3871.097147870903</v>
      </c>
      <c r="E43">
        <v>21</v>
      </c>
      <c r="F43" s="3">
        <f t="shared" si="22"/>
        <v>5419.5360070192637</v>
      </c>
      <c r="G43" s="3">
        <f t="shared" si="20"/>
        <v>35097.947474029519</v>
      </c>
      <c r="I43" s="3">
        <f t="shared" si="25"/>
        <v>0</v>
      </c>
      <c r="J43" s="3"/>
      <c r="K43" s="3"/>
      <c r="L43" s="3">
        <f t="shared" si="23"/>
        <v>0</v>
      </c>
      <c r="M43" s="3"/>
      <c r="W43" t="s">
        <v>745</v>
      </c>
      <c r="X43" t="s">
        <v>744</v>
      </c>
    </row>
    <row r="44" spans="1:24">
      <c r="A44">
        <v>2024</v>
      </c>
      <c r="B44" s="3">
        <f t="shared" si="18"/>
        <v>29.275640447464834</v>
      </c>
      <c r="C44" s="3">
        <f t="shared" si="19"/>
        <v>24884.294380345105</v>
      </c>
      <c r="D44" s="3">
        <f t="shared" si="24"/>
        <v>3732.6441570517654</v>
      </c>
      <c r="E44">
        <v>21</v>
      </c>
      <c r="F44" s="3">
        <f t="shared" si="22"/>
        <v>5225.7018198724718</v>
      </c>
      <c r="G44" s="3">
        <f t="shared" si="20"/>
        <v>33842.640357269345</v>
      </c>
      <c r="I44" s="3">
        <f t="shared" si="25"/>
        <v>0</v>
      </c>
      <c r="J44" s="3"/>
      <c r="K44" s="3"/>
      <c r="L44" s="3">
        <f t="shared" si="23"/>
        <v>0</v>
      </c>
      <c r="M44" s="3"/>
    </row>
    <row r="45" spans="1:24">
      <c r="A45">
        <v>2025</v>
      </c>
      <c r="B45" s="3">
        <f t="shared" si="18"/>
        <v>28.343375828936317</v>
      </c>
      <c r="C45" s="3">
        <f t="shared" si="19"/>
        <v>24091.869454595868</v>
      </c>
      <c r="D45" s="3">
        <f t="shared" si="24"/>
        <v>3613.7804181893803</v>
      </c>
      <c r="E45">
        <v>21</v>
      </c>
      <c r="F45" s="3">
        <f t="shared" si="22"/>
        <v>5059.2925854651321</v>
      </c>
      <c r="G45" s="3">
        <f t="shared" si="20"/>
        <v>32764.942458250382</v>
      </c>
      <c r="I45" s="3">
        <f t="shared" si="25"/>
        <v>0</v>
      </c>
      <c r="J45" s="3"/>
      <c r="K45" s="3"/>
      <c r="L45" s="3">
        <f t="shared" si="23"/>
        <v>0</v>
      </c>
      <c r="M45" s="3"/>
    </row>
    <row r="46" spans="1:24">
      <c r="A46">
        <v>2026</v>
      </c>
      <c r="B46" s="3">
        <f t="shared" si="18"/>
        <v>27.812270474504896</v>
      </c>
      <c r="C46" s="3">
        <f t="shared" si="19"/>
        <v>23640.429903329161</v>
      </c>
      <c r="D46" s="3">
        <f t="shared" si="24"/>
        <v>3546.0644854993739</v>
      </c>
      <c r="E46">
        <v>21</v>
      </c>
      <c r="F46" s="3">
        <f t="shared" si="22"/>
        <v>4964.4902796991237</v>
      </c>
      <c r="G46" s="3">
        <f t="shared" si="20"/>
        <v>32150.984668527657</v>
      </c>
      <c r="I46" s="3">
        <f t="shared" si="25"/>
        <v>0</v>
      </c>
      <c r="J46" s="3"/>
      <c r="K46" s="3"/>
      <c r="L46" s="3">
        <f t="shared" si="23"/>
        <v>0</v>
      </c>
      <c r="M46" s="3"/>
    </row>
    <row r="47" spans="1:24">
      <c r="A47">
        <v>2027</v>
      </c>
      <c r="B47" s="3">
        <f t="shared" si="18"/>
        <v>27.281165120073478</v>
      </c>
      <c r="C47" s="3">
        <f t="shared" si="19"/>
        <v>23188.990352062454</v>
      </c>
      <c r="D47" s="3">
        <f t="shared" si="24"/>
        <v>3478.3485528093679</v>
      </c>
      <c r="E47">
        <v>21</v>
      </c>
      <c r="F47" s="3">
        <f t="shared" si="22"/>
        <v>4869.6879739331152</v>
      </c>
      <c r="G47" s="3">
        <f t="shared" si="20"/>
        <v>31537.026878804936</v>
      </c>
      <c r="I47" s="3">
        <f t="shared" si="25"/>
        <v>0</v>
      </c>
      <c r="J47" s="3"/>
      <c r="K47" s="3"/>
      <c r="L47" s="3">
        <f t="shared" si="23"/>
        <v>0</v>
      </c>
      <c r="M47" s="3"/>
    </row>
    <row r="48" spans="1:24">
      <c r="A48">
        <v>2028</v>
      </c>
      <c r="B48" s="3">
        <f t="shared" si="18"/>
        <v>26.683671596338133</v>
      </c>
      <c r="C48" s="3">
        <f t="shared" si="19"/>
        <v>22681.12085688741</v>
      </c>
      <c r="D48" s="3">
        <f t="shared" si="24"/>
        <v>3402.1681285331115</v>
      </c>
      <c r="E48">
        <v>21</v>
      </c>
      <c r="F48" s="3">
        <f t="shared" si="22"/>
        <v>4763.0353799463555</v>
      </c>
      <c r="G48" s="3">
        <f t="shared" si="20"/>
        <v>30846.324365366876</v>
      </c>
      <c r="I48" s="3">
        <f t="shared" si="25"/>
        <v>0</v>
      </c>
      <c r="J48" s="3"/>
      <c r="K48" s="3"/>
      <c r="L48" s="3">
        <f t="shared" si="23"/>
        <v>0</v>
      </c>
      <c r="M48" s="3"/>
    </row>
    <row r="49" spans="1:13">
      <c r="A49">
        <v>2029</v>
      </c>
      <c r="B49" s="3">
        <f t="shared" si="18"/>
        <v>26.152566241906715</v>
      </c>
      <c r="C49" s="3">
        <f t="shared" si="19"/>
        <v>22229.68130562071</v>
      </c>
      <c r="D49" s="3">
        <f t="shared" si="24"/>
        <v>3334.4521958431064</v>
      </c>
      <c r="E49">
        <v>21</v>
      </c>
      <c r="F49" s="3">
        <f t="shared" si="22"/>
        <v>4668.2330741803489</v>
      </c>
      <c r="G49" s="3">
        <f t="shared" si="20"/>
        <v>30232.366575644166</v>
      </c>
      <c r="I49" s="3">
        <f t="shared" si="25"/>
        <v>0</v>
      </c>
      <c r="J49" s="3"/>
      <c r="K49" s="3"/>
      <c r="L49" s="3">
        <f t="shared" si="23"/>
        <v>0</v>
      </c>
      <c r="M49" s="3"/>
    </row>
    <row r="50" spans="1:13">
      <c r="A50">
        <v>2030</v>
      </c>
      <c r="B50" s="3">
        <f t="shared" si="18"/>
        <v>25.55507271817137</v>
      </c>
      <c r="C50" s="3">
        <f t="shared" si="19"/>
        <v>21721.811810445666</v>
      </c>
      <c r="D50" s="3">
        <f t="shared" si="24"/>
        <v>3258.27177156685</v>
      </c>
      <c r="E50">
        <v>21</v>
      </c>
      <c r="F50" s="3">
        <f t="shared" si="22"/>
        <v>4561.5804801935901</v>
      </c>
      <c r="G50" s="3">
        <f>C50+F50+D50</f>
        <v>29541.664062206106</v>
      </c>
      <c r="I50" s="3">
        <f t="shared" si="25"/>
        <v>0</v>
      </c>
      <c r="J50" s="3"/>
      <c r="K50" s="3"/>
      <c r="L50" s="3">
        <f t="shared" si="23"/>
        <v>0</v>
      </c>
      <c r="M50" s="3"/>
    </row>
    <row r="52" spans="1:13">
      <c r="A52" t="s">
        <v>716</v>
      </c>
      <c r="B52" t="s">
        <v>1395</v>
      </c>
      <c r="C52" t="s">
        <v>709</v>
      </c>
      <c r="D52" t="s">
        <v>709</v>
      </c>
      <c r="E52" t="s">
        <v>498</v>
      </c>
      <c r="F52" t="s">
        <v>709</v>
      </c>
      <c r="G52" t="s">
        <v>709</v>
      </c>
    </row>
    <row r="53" spans="1:13">
      <c r="B53" t="s">
        <v>724</v>
      </c>
      <c r="C53" t="s">
        <v>724</v>
      </c>
      <c r="D53" t="s">
        <v>736</v>
      </c>
      <c r="E53" t="s">
        <v>714</v>
      </c>
      <c r="F53" t="s">
        <v>728</v>
      </c>
      <c r="G53" t="s">
        <v>725</v>
      </c>
    </row>
    <row r="54" spans="1:13">
      <c r="A54">
        <v>2009</v>
      </c>
      <c r="B54" s="3">
        <f t="shared" ref="B54:B75" si="26">U3</f>
        <v>23</v>
      </c>
      <c r="C54" s="3">
        <f t="shared" ref="C54:C75" si="27">B54*AD4*1000</f>
        <v>16556.415833333336</v>
      </c>
      <c r="D54" s="3">
        <f>0.15*(C54)</f>
        <v>2483.4623750000005</v>
      </c>
      <c r="E54">
        <v>19</v>
      </c>
      <c r="F54" s="3">
        <f>(C54)*E54/100</f>
        <v>3145.7190083333339</v>
      </c>
      <c r="G54" s="3">
        <f t="shared" ref="G54:G63" si="28">C54+F54+D54</f>
        <v>22185.597216666669</v>
      </c>
    </row>
    <row r="55" spans="1:13">
      <c r="A55">
        <v>2010</v>
      </c>
      <c r="B55" s="3">
        <f t="shared" si="26"/>
        <v>23</v>
      </c>
      <c r="C55" s="3">
        <f t="shared" si="27"/>
        <v>17449.439728968322</v>
      </c>
      <c r="D55" s="3">
        <f t="shared" ref="D55:D75" si="29">0.15*(C55)</f>
        <v>2617.4159593452482</v>
      </c>
      <c r="E55">
        <v>19</v>
      </c>
      <c r="F55" s="3">
        <f t="shared" ref="F55:F63" si="30">(C55)*E55/100</f>
        <v>3315.3935485039815</v>
      </c>
      <c r="G55" s="3">
        <f t="shared" si="28"/>
        <v>23382.249236817552</v>
      </c>
    </row>
    <row r="56" spans="1:13">
      <c r="A56">
        <v>2011</v>
      </c>
      <c r="B56" s="3">
        <f t="shared" si="26"/>
        <v>23</v>
      </c>
      <c r="C56" s="3">
        <f t="shared" si="27"/>
        <v>16455.145298324001</v>
      </c>
      <c r="D56" s="3">
        <f t="shared" si="29"/>
        <v>2468.2717947486003</v>
      </c>
      <c r="E56">
        <v>19</v>
      </c>
      <c r="F56" s="3">
        <f t="shared" si="30"/>
        <v>3126.4776066815602</v>
      </c>
      <c r="G56" s="3">
        <f t="shared" si="28"/>
        <v>22049.894699754164</v>
      </c>
    </row>
    <row r="57" spans="1:13">
      <c r="A57">
        <v>2012</v>
      </c>
      <c r="B57" s="3">
        <f t="shared" si="26"/>
        <v>23</v>
      </c>
      <c r="C57" s="3">
        <f t="shared" si="27"/>
        <v>17799.687274476786</v>
      </c>
      <c r="D57" s="3">
        <f t="shared" si="29"/>
        <v>2669.9530911715178</v>
      </c>
      <c r="E57">
        <v>19</v>
      </c>
      <c r="F57" s="3">
        <f t="shared" si="30"/>
        <v>3381.9405821505893</v>
      </c>
      <c r="G57" s="3">
        <f t="shared" si="28"/>
        <v>23851.580947798895</v>
      </c>
    </row>
    <row r="58" spans="1:13">
      <c r="A58">
        <v>2013</v>
      </c>
      <c r="B58" s="3">
        <f t="shared" si="26"/>
        <v>23</v>
      </c>
      <c r="C58" s="3">
        <f t="shared" si="27"/>
        <v>17288.381580660563</v>
      </c>
      <c r="D58" s="3">
        <f t="shared" si="29"/>
        <v>2593.2572370990843</v>
      </c>
      <c r="E58">
        <v>21</v>
      </c>
      <c r="F58" s="3">
        <f t="shared" si="30"/>
        <v>3630.5601319387183</v>
      </c>
      <c r="G58" s="3">
        <f t="shared" si="28"/>
        <v>23512.198949698366</v>
      </c>
    </row>
    <row r="59" spans="1:13">
      <c r="A59">
        <v>2014</v>
      </c>
      <c r="B59" s="3">
        <f t="shared" si="26"/>
        <v>23</v>
      </c>
      <c r="C59" s="3">
        <f t="shared" si="27"/>
        <v>17419.920281794584</v>
      </c>
      <c r="D59" s="3">
        <f t="shared" si="29"/>
        <v>2612.9880422691876</v>
      </c>
      <c r="E59">
        <v>21</v>
      </c>
      <c r="F59" s="3">
        <f t="shared" si="30"/>
        <v>3658.183259176863</v>
      </c>
      <c r="G59" s="3">
        <f t="shared" si="28"/>
        <v>23691.091583240632</v>
      </c>
    </row>
    <row r="60" spans="1:13">
      <c r="A60">
        <v>2015</v>
      </c>
      <c r="B60" s="3">
        <f t="shared" si="26"/>
        <v>23</v>
      </c>
      <c r="C60" s="3">
        <f t="shared" si="27"/>
        <v>20836.287927839425</v>
      </c>
      <c r="D60" s="3">
        <f t="shared" si="29"/>
        <v>3125.4431891759136</v>
      </c>
      <c r="E60">
        <v>21</v>
      </c>
      <c r="F60" s="3">
        <f t="shared" si="30"/>
        <v>4375.620464846279</v>
      </c>
      <c r="G60" s="3">
        <f t="shared" si="28"/>
        <v>28337.351581861618</v>
      </c>
    </row>
    <row r="61" spans="1:13">
      <c r="A61">
        <v>2016</v>
      </c>
      <c r="B61" s="3">
        <f t="shared" si="26"/>
        <v>23</v>
      </c>
      <c r="C61" s="3">
        <f t="shared" si="27"/>
        <v>20855.182773038596</v>
      </c>
      <c r="D61" s="3">
        <f t="shared" si="29"/>
        <v>3128.2774159557894</v>
      </c>
      <c r="E61">
        <v>21</v>
      </c>
      <c r="F61" s="3">
        <f t="shared" si="30"/>
        <v>4379.5883823381046</v>
      </c>
      <c r="G61" s="3">
        <f t="shared" si="28"/>
        <v>28363.048571332489</v>
      </c>
    </row>
    <row r="62" spans="1:13">
      <c r="A62">
        <v>2017</v>
      </c>
      <c r="B62" s="3">
        <f t="shared" si="26"/>
        <v>23</v>
      </c>
      <c r="C62" s="3">
        <f t="shared" si="27"/>
        <v>20287.536024615922</v>
      </c>
      <c r="D62" s="3">
        <f t="shared" si="29"/>
        <v>3043.130403692388</v>
      </c>
      <c r="E62">
        <v>21</v>
      </c>
      <c r="F62" s="3">
        <f t="shared" si="30"/>
        <v>4260.3825651693442</v>
      </c>
      <c r="G62" s="3">
        <f t="shared" si="28"/>
        <v>27591.048993477652</v>
      </c>
    </row>
    <row r="63" spans="1:13">
      <c r="A63">
        <v>2018</v>
      </c>
      <c r="B63" s="3">
        <f t="shared" si="26"/>
        <v>23</v>
      </c>
      <c r="C63" s="3">
        <f t="shared" si="27"/>
        <v>19550</v>
      </c>
      <c r="D63" s="3">
        <f t="shared" si="29"/>
        <v>2932.5</v>
      </c>
      <c r="E63">
        <v>21</v>
      </c>
      <c r="F63" s="3">
        <f t="shared" si="30"/>
        <v>4105.5</v>
      </c>
      <c r="G63" s="3">
        <f t="shared" si="28"/>
        <v>26588</v>
      </c>
    </row>
    <row r="64" spans="1:13">
      <c r="A64">
        <v>2019</v>
      </c>
      <c r="B64" s="3">
        <f t="shared" si="26"/>
        <v>23</v>
      </c>
      <c r="C64" s="3">
        <f t="shared" si="27"/>
        <v>19550</v>
      </c>
      <c r="D64" s="3">
        <f t="shared" si="29"/>
        <v>2932.5</v>
      </c>
      <c r="E64">
        <v>21</v>
      </c>
      <c r="F64" s="3">
        <f t="shared" ref="F64:F75" si="31">(C64)*E64/100</f>
        <v>4105.5</v>
      </c>
      <c r="G64" s="3">
        <f t="shared" ref="G64:G75" si="32">C64+F64+D64</f>
        <v>26588</v>
      </c>
    </row>
    <row r="65" spans="1:7">
      <c r="A65">
        <v>2020</v>
      </c>
      <c r="B65" s="3">
        <f t="shared" si="26"/>
        <v>23</v>
      </c>
      <c r="C65" s="3">
        <f t="shared" si="27"/>
        <v>19550</v>
      </c>
      <c r="D65" s="3">
        <f t="shared" si="29"/>
        <v>2932.5</v>
      </c>
      <c r="E65">
        <v>21</v>
      </c>
      <c r="F65" s="3">
        <f t="shared" si="31"/>
        <v>4105.5</v>
      </c>
      <c r="G65" s="3">
        <f t="shared" si="32"/>
        <v>26588</v>
      </c>
    </row>
    <row r="66" spans="1:7">
      <c r="A66">
        <v>2021</v>
      </c>
      <c r="B66" s="3">
        <f t="shared" si="26"/>
        <v>23</v>
      </c>
      <c r="C66" s="3">
        <f t="shared" si="27"/>
        <v>19550</v>
      </c>
      <c r="D66" s="3">
        <f t="shared" si="29"/>
        <v>2932.5</v>
      </c>
      <c r="E66">
        <v>21</v>
      </c>
      <c r="F66" s="3">
        <f t="shared" si="31"/>
        <v>4105.5</v>
      </c>
      <c r="G66" s="3">
        <f t="shared" si="32"/>
        <v>26588</v>
      </c>
    </row>
    <row r="67" spans="1:7">
      <c r="A67">
        <v>2022</v>
      </c>
      <c r="B67" s="3">
        <f t="shared" si="26"/>
        <v>23</v>
      </c>
      <c r="C67" s="3">
        <f t="shared" si="27"/>
        <v>19550</v>
      </c>
      <c r="D67" s="3">
        <f t="shared" si="29"/>
        <v>2932.5</v>
      </c>
      <c r="E67">
        <v>21</v>
      </c>
      <c r="F67" s="3">
        <f t="shared" si="31"/>
        <v>4105.5</v>
      </c>
      <c r="G67" s="3">
        <f t="shared" si="32"/>
        <v>26588</v>
      </c>
    </row>
    <row r="68" spans="1:7">
      <c r="A68">
        <v>2023</v>
      </c>
      <c r="B68" s="3">
        <f t="shared" si="26"/>
        <v>23</v>
      </c>
      <c r="C68" s="3">
        <f t="shared" si="27"/>
        <v>19550</v>
      </c>
      <c r="D68" s="3">
        <f t="shared" si="29"/>
        <v>2932.5</v>
      </c>
      <c r="E68">
        <v>21</v>
      </c>
      <c r="F68" s="3">
        <f t="shared" si="31"/>
        <v>4105.5</v>
      </c>
      <c r="G68" s="3">
        <f t="shared" si="32"/>
        <v>26588</v>
      </c>
    </row>
    <row r="69" spans="1:7">
      <c r="A69">
        <v>2024</v>
      </c>
      <c r="B69" s="3">
        <f t="shared" si="26"/>
        <v>23</v>
      </c>
      <c r="C69" s="3">
        <f t="shared" si="27"/>
        <v>19550</v>
      </c>
      <c r="D69" s="3">
        <f t="shared" si="29"/>
        <v>2932.5</v>
      </c>
      <c r="E69">
        <v>21</v>
      </c>
      <c r="F69" s="3">
        <f t="shared" si="31"/>
        <v>4105.5</v>
      </c>
      <c r="G69" s="3">
        <f t="shared" si="32"/>
        <v>26588</v>
      </c>
    </row>
    <row r="70" spans="1:7">
      <c r="A70">
        <v>2025</v>
      </c>
      <c r="B70" s="3">
        <f t="shared" si="26"/>
        <v>23</v>
      </c>
      <c r="C70" s="3">
        <f t="shared" si="27"/>
        <v>19550</v>
      </c>
      <c r="D70" s="3">
        <f t="shared" si="29"/>
        <v>2932.5</v>
      </c>
      <c r="E70">
        <v>21</v>
      </c>
      <c r="F70" s="3">
        <f t="shared" si="31"/>
        <v>4105.5</v>
      </c>
      <c r="G70" s="3">
        <f t="shared" si="32"/>
        <v>26588</v>
      </c>
    </row>
    <row r="71" spans="1:7">
      <c r="A71">
        <v>2026</v>
      </c>
      <c r="B71" s="3">
        <f t="shared" si="26"/>
        <v>23</v>
      </c>
      <c r="C71" s="3">
        <f t="shared" si="27"/>
        <v>19550</v>
      </c>
      <c r="D71" s="3">
        <f t="shared" si="29"/>
        <v>2932.5</v>
      </c>
      <c r="E71">
        <v>21</v>
      </c>
      <c r="F71" s="3">
        <f t="shared" si="31"/>
        <v>4105.5</v>
      </c>
      <c r="G71" s="3">
        <f t="shared" si="32"/>
        <v>26588</v>
      </c>
    </row>
    <row r="72" spans="1:7">
      <c r="A72">
        <v>2027</v>
      </c>
      <c r="B72" s="3">
        <f t="shared" si="26"/>
        <v>23</v>
      </c>
      <c r="C72" s="3">
        <f t="shared" si="27"/>
        <v>19550</v>
      </c>
      <c r="D72" s="3">
        <f t="shared" si="29"/>
        <v>2932.5</v>
      </c>
      <c r="E72">
        <v>21</v>
      </c>
      <c r="F72" s="3">
        <f t="shared" si="31"/>
        <v>4105.5</v>
      </c>
      <c r="G72" s="3">
        <f t="shared" si="32"/>
        <v>26588</v>
      </c>
    </row>
    <row r="73" spans="1:7">
      <c r="A73">
        <v>2028</v>
      </c>
      <c r="B73" s="3">
        <f t="shared" si="26"/>
        <v>23</v>
      </c>
      <c r="C73" s="3">
        <f t="shared" si="27"/>
        <v>19550</v>
      </c>
      <c r="D73" s="3">
        <f t="shared" si="29"/>
        <v>2932.5</v>
      </c>
      <c r="E73">
        <v>21</v>
      </c>
      <c r="F73" s="3">
        <f t="shared" si="31"/>
        <v>4105.5</v>
      </c>
      <c r="G73" s="3">
        <f t="shared" si="32"/>
        <v>26588</v>
      </c>
    </row>
    <row r="74" spans="1:7">
      <c r="A74">
        <v>2029</v>
      </c>
      <c r="B74" s="3">
        <f t="shared" si="26"/>
        <v>23</v>
      </c>
      <c r="C74" s="3">
        <f t="shared" si="27"/>
        <v>19550</v>
      </c>
      <c r="D74" s="3">
        <f t="shared" si="29"/>
        <v>2932.5</v>
      </c>
      <c r="E74">
        <v>21</v>
      </c>
      <c r="F74" s="3">
        <f t="shared" si="31"/>
        <v>4105.5</v>
      </c>
      <c r="G74" s="3">
        <f t="shared" si="32"/>
        <v>26588</v>
      </c>
    </row>
    <row r="75" spans="1:7">
      <c r="A75">
        <v>2030</v>
      </c>
      <c r="B75" s="3">
        <f t="shared" si="26"/>
        <v>23</v>
      </c>
      <c r="C75" s="3">
        <f t="shared" si="27"/>
        <v>19550</v>
      </c>
      <c r="D75" s="3">
        <f t="shared" si="29"/>
        <v>2932.5</v>
      </c>
      <c r="E75">
        <v>21</v>
      </c>
      <c r="F75" s="3">
        <f t="shared" si="31"/>
        <v>4105.5</v>
      </c>
      <c r="G75" s="3">
        <f t="shared" si="32"/>
        <v>26588</v>
      </c>
    </row>
    <row r="83" spans="1:31">
      <c r="AB83" s="87" t="s">
        <v>1227</v>
      </c>
      <c r="AC83" s="87"/>
      <c r="AD83" s="87"/>
      <c r="AE83" s="234"/>
    </row>
    <row r="84" spans="1:31">
      <c r="AB84" s="235" t="s">
        <v>1167</v>
      </c>
      <c r="AC84" s="235" t="s">
        <v>1168</v>
      </c>
      <c r="AD84" s="235" t="s">
        <v>1169</v>
      </c>
      <c r="AE84" s="235" t="s">
        <v>1170</v>
      </c>
    </row>
    <row r="85" spans="1:31">
      <c r="B85" t="s">
        <v>366</v>
      </c>
      <c r="C85" t="s">
        <v>366</v>
      </c>
      <c r="D85" t="s">
        <v>366</v>
      </c>
      <c r="E85" t="s">
        <v>366</v>
      </c>
      <c r="F85" t="s">
        <v>366</v>
      </c>
      <c r="J85" t="s">
        <v>812</v>
      </c>
      <c r="K85" t="s">
        <v>812</v>
      </c>
      <c r="L85" t="s">
        <v>812</v>
      </c>
      <c r="M85" t="s">
        <v>812</v>
      </c>
      <c r="N85" t="s">
        <v>812</v>
      </c>
      <c r="W85" t="s">
        <v>1042</v>
      </c>
      <c r="AA85" s="3">
        <v>2010</v>
      </c>
      <c r="AB85" s="13">
        <v>1.6691028648069532</v>
      </c>
      <c r="AC85" s="13">
        <f t="shared" ref="AC85:AE85" si="33">AB85</f>
        <v>1.6691028648069532</v>
      </c>
      <c r="AD85" s="13">
        <f t="shared" si="33"/>
        <v>1.6691028648069532</v>
      </c>
      <c r="AE85" s="13">
        <f t="shared" si="33"/>
        <v>1.6691028648069532</v>
      </c>
    </row>
    <row r="86" spans="1:31">
      <c r="B86" t="s">
        <v>978</v>
      </c>
      <c r="C86" t="s">
        <v>979</v>
      </c>
      <c r="D86" t="s">
        <v>916</v>
      </c>
      <c r="E86" t="s">
        <v>981</v>
      </c>
      <c r="F86" t="s">
        <v>983</v>
      </c>
      <c r="J86" t="s">
        <v>725</v>
      </c>
      <c r="K86" t="s">
        <v>979</v>
      </c>
      <c r="L86" t="s">
        <v>916</v>
      </c>
      <c r="M86" t="s">
        <v>985</v>
      </c>
      <c r="N86" t="s">
        <v>983</v>
      </c>
      <c r="R86" t="s">
        <v>1083</v>
      </c>
      <c r="S86" t="s">
        <v>1097</v>
      </c>
      <c r="T86" t="s">
        <v>1154</v>
      </c>
      <c r="U86" t="s">
        <v>1155</v>
      </c>
      <c r="W86" t="s">
        <v>934</v>
      </c>
      <c r="X86" t="s">
        <v>986</v>
      </c>
      <c r="Y86" t="s">
        <v>987</v>
      </c>
      <c r="AA86" s="3">
        <v>2011</v>
      </c>
      <c r="AB86" s="13">
        <v>1.7784456594170708</v>
      </c>
      <c r="AC86" s="13">
        <f t="shared" ref="AC86:AE86" si="34">AB86</f>
        <v>1.7784456594170708</v>
      </c>
      <c r="AD86" s="13">
        <f t="shared" si="34"/>
        <v>1.7784456594170708</v>
      </c>
      <c r="AE86" s="13">
        <f t="shared" si="34"/>
        <v>1.7784456594170708</v>
      </c>
    </row>
    <row r="87" spans="1:31">
      <c r="A87" s="3">
        <v>2012</v>
      </c>
      <c r="B87" s="3">
        <f t="shared" ref="B87:B105" si="35">Q7</f>
        <v>28854.067912999824</v>
      </c>
      <c r="C87" s="3">
        <f>B87/5</f>
        <v>5770.8135825999652</v>
      </c>
      <c r="D87" s="3">
        <f>B87*0.13</f>
        <v>3751.0288286899772</v>
      </c>
      <c r="E87" s="3">
        <f t="shared" ref="E87:E105" si="36">L32</f>
        <v>2708.6480635073372</v>
      </c>
      <c r="F87" s="3">
        <f>C87+D87-E87</f>
        <v>6813.1943477826062</v>
      </c>
      <c r="G87" s="3"/>
      <c r="H87" s="3"/>
      <c r="I87" s="3">
        <v>2012</v>
      </c>
      <c r="J87" s="3">
        <f>G57</f>
        <v>23851.580947798895</v>
      </c>
      <c r="K87" s="3">
        <f>J87/5</f>
        <v>4770.3161895597786</v>
      </c>
      <c r="L87" s="3">
        <f>J87*0.13</f>
        <v>3100.7055232138564</v>
      </c>
      <c r="M87" s="3">
        <f t="shared" ref="M87:M91" si="37">Y87/100*X87*W87</f>
        <v>1374.1874731224445</v>
      </c>
      <c r="N87" s="3">
        <f t="shared" ref="N87:N105" si="38">SUM(K87:M87)</f>
        <v>9245.2091858960794</v>
      </c>
      <c r="O87" s="3"/>
      <c r="P87" s="3"/>
      <c r="Q87" s="3">
        <v>2012</v>
      </c>
      <c r="R87" s="13">
        <f>N87/F87</f>
        <v>1.3569566218091205</v>
      </c>
      <c r="S87" s="13">
        <f>N87/F119</f>
        <v>2.3369820577288225</v>
      </c>
      <c r="T87" s="13">
        <f t="shared" ref="T87:T105" si="39">F87/N87</f>
        <v>0.73694323306133458</v>
      </c>
      <c r="U87" s="13">
        <f t="shared" ref="U87:U105" si="40">F119/N87</f>
        <v>0.42790230104369825</v>
      </c>
      <c r="V87" s="3"/>
      <c r="W87" s="13">
        <f>AD87</f>
        <v>1.8644555523189843</v>
      </c>
      <c r="X87" s="12">
        <f>'Country L per 100 km'!P7</f>
        <v>5.643961322634194</v>
      </c>
      <c r="Y87" s="3">
        <f>'Country distance travelled'!P7</f>
        <v>13059</v>
      </c>
      <c r="AA87" s="3">
        <v>2012</v>
      </c>
      <c r="AB87" s="13">
        <v>1.8644555523189843</v>
      </c>
      <c r="AC87" s="13">
        <f t="shared" ref="AC87:AE87" si="41">AB87</f>
        <v>1.8644555523189843</v>
      </c>
      <c r="AD87" s="13">
        <f t="shared" si="41"/>
        <v>1.8644555523189843</v>
      </c>
      <c r="AE87" s="13">
        <f t="shared" si="41"/>
        <v>1.8644555523189843</v>
      </c>
    </row>
    <row r="88" spans="1:31">
      <c r="A88" s="3">
        <v>2013</v>
      </c>
      <c r="B88" s="3">
        <f t="shared" si="35"/>
        <v>28776.001845585262</v>
      </c>
      <c r="C88" s="3">
        <f t="shared" ref="C88:C105" si="42">B88/5</f>
        <v>5755.2003691170521</v>
      </c>
      <c r="D88" s="3">
        <f t="shared" ref="D88:D105" si="43">B88*0.13</f>
        <v>3740.8802399260844</v>
      </c>
      <c r="E88" s="3">
        <f t="shared" si="36"/>
        <v>2630.8406753179115</v>
      </c>
      <c r="F88" s="3">
        <f t="shared" ref="F88:F105" si="44">C88+D88-E88</f>
        <v>6865.2399337252245</v>
      </c>
      <c r="G88" s="3"/>
      <c r="H88" s="3"/>
      <c r="I88" s="3">
        <v>2013</v>
      </c>
      <c r="J88" s="3">
        <f t="shared" ref="J88:J105" si="45">G58</f>
        <v>23512.198949698366</v>
      </c>
      <c r="K88" s="3">
        <f t="shared" ref="K88:K105" si="46">J88/5</f>
        <v>4702.4397899396736</v>
      </c>
      <c r="L88" s="3">
        <f t="shared" ref="L88:L105" si="47">J88*0.13</f>
        <v>3056.5858634607876</v>
      </c>
      <c r="M88" s="3">
        <f t="shared" si="37"/>
        <v>1311.4373486983163</v>
      </c>
      <c r="N88" s="3">
        <f t="shared" si="38"/>
        <v>9070.463002098777</v>
      </c>
      <c r="O88" s="3"/>
      <c r="P88" s="3"/>
      <c r="Q88" s="3">
        <v>2013</v>
      </c>
      <c r="R88" s="13">
        <f t="shared" ref="R88:R105" si="48">N88/F88</f>
        <v>1.3212157316659072</v>
      </c>
      <c r="S88" s="13">
        <f t="shared" ref="S88:S105" si="49">N88/F120</f>
        <v>2.2199428885660906</v>
      </c>
      <c r="T88" s="13">
        <f t="shared" si="39"/>
        <v>0.7568786656355585</v>
      </c>
      <c r="U88" s="13">
        <f t="shared" si="40"/>
        <v>0.45046203897881437</v>
      </c>
      <c r="V88" s="3"/>
      <c r="W88" s="13">
        <f t="shared" ref="W88:W105" si="50">AD88</f>
        <v>1.7953483658309191</v>
      </c>
      <c r="X88" s="12">
        <f>'Country L per 100 km'!P8</f>
        <v>5.6</v>
      </c>
      <c r="Y88" s="3">
        <f>'Country distance travelled'!P8</f>
        <v>13044</v>
      </c>
      <c r="AA88" s="3">
        <v>2013</v>
      </c>
      <c r="AB88" s="13">
        <v>1.7953483658309191</v>
      </c>
      <c r="AC88" s="13">
        <f t="shared" ref="AC88:AE88" si="51">AB88</f>
        <v>1.7953483658309191</v>
      </c>
      <c r="AD88" s="13">
        <f t="shared" si="51"/>
        <v>1.7953483658309191</v>
      </c>
      <c r="AE88" s="13">
        <f t="shared" si="51"/>
        <v>1.7953483658309191</v>
      </c>
    </row>
    <row r="89" spans="1:31">
      <c r="A89" s="3">
        <v>2014</v>
      </c>
      <c r="B89" s="3">
        <f t="shared" si="35"/>
        <v>31755.14754764954</v>
      </c>
      <c r="C89" s="3">
        <f t="shared" si="42"/>
        <v>6351.029509529908</v>
      </c>
      <c r="D89" s="3">
        <f t="shared" si="43"/>
        <v>4128.1691811944402</v>
      </c>
      <c r="E89" s="3">
        <f t="shared" si="36"/>
        <v>2650.8574341861327</v>
      </c>
      <c r="F89" s="3">
        <f t="shared" si="44"/>
        <v>7828.341256538215</v>
      </c>
      <c r="G89" s="3"/>
      <c r="H89" s="3"/>
      <c r="I89" s="3">
        <v>2014</v>
      </c>
      <c r="J89" s="3">
        <f t="shared" si="45"/>
        <v>23691.091583240632</v>
      </c>
      <c r="K89" s="3">
        <f t="shared" si="46"/>
        <v>4738.2183166481263</v>
      </c>
      <c r="L89" s="3">
        <f t="shared" si="47"/>
        <v>3079.8419058212821</v>
      </c>
      <c r="M89" s="3">
        <f t="shared" si="37"/>
        <v>1259.1736886917474</v>
      </c>
      <c r="N89" s="3">
        <f t="shared" si="38"/>
        <v>9077.2339111611564</v>
      </c>
      <c r="O89" s="3"/>
      <c r="P89" s="3"/>
      <c r="Q89" s="3">
        <v>2014</v>
      </c>
      <c r="R89" s="13">
        <f t="shared" si="48"/>
        <v>1.159534774187299</v>
      </c>
      <c r="S89" s="13">
        <f t="shared" si="49"/>
        <v>1.7532133798222962</v>
      </c>
      <c r="T89" s="13">
        <f t="shared" si="39"/>
        <v>0.86241484279838465</v>
      </c>
      <c r="U89" s="13">
        <f t="shared" si="40"/>
        <v>0.57038122769822741</v>
      </c>
      <c r="V89" s="3"/>
      <c r="W89" s="13">
        <f t="shared" si="50"/>
        <v>1.7414148139752934</v>
      </c>
      <c r="X89" s="12">
        <f>'Country L per 100 km'!P9</f>
        <v>5.5335968379446632</v>
      </c>
      <c r="Y89" s="3">
        <f>'Country distance travelled'!P9</f>
        <v>13067</v>
      </c>
      <c r="AA89" s="3">
        <v>2014</v>
      </c>
      <c r="AB89" s="13">
        <v>1.7414148139752934</v>
      </c>
      <c r="AC89" s="13">
        <f t="shared" ref="AC89:AE89" si="52">AB89</f>
        <v>1.7414148139752934</v>
      </c>
      <c r="AD89" s="13">
        <f t="shared" si="52"/>
        <v>1.7414148139752934</v>
      </c>
      <c r="AE89" s="13">
        <f t="shared" si="52"/>
        <v>1.7414148139752934</v>
      </c>
    </row>
    <row r="90" spans="1:31">
      <c r="A90" s="3">
        <v>2015</v>
      </c>
      <c r="B90" s="3">
        <f t="shared" si="35"/>
        <v>34787.54158387104</v>
      </c>
      <c r="C90" s="3">
        <f t="shared" si="42"/>
        <v>6957.5083167742077</v>
      </c>
      <c r="D90" s="3">
        <f t="shared" si="43"/>
        <v>4522.3804059032354</v>
      </c>
      <c r="E90" s="3">
        <f t="shared" si="36"/>
        <v>3170.7394672799123</v>
      </c>
      <c r="F90" s="3">
        <f t="shared" si="44"/>
        <v>8309.1492553975295</v>
      </c>
      <c r="G90" s="3"/>
      <c r="H90" s="3"/>
      <c r="I90" s="3">
        <v>2015</v>
      </c>
      <c r="J90" s="3">
        <f t="shared" si="45"/>
        <v>28337.351581861618</v>
      </c>
      <c r="K90" s="3">
        <f t="shared" si="46"/>
        <v>5667.4703163723234</v>
      </c>
      <c r="L90" s="3">
        <f t="shared" si="47"/>
        <v>3683.8557056420104</v>
      </c>
      <c r="M90" s="3">
        <f t="shared" si="37"/>
        <v>1133.3334375791362</v>
      </c>
      <c r="N90" s="3">
        <f t="shared" si="38"/>
        <v>10484.659459593471</v>
      </c>
      <c r="O90" s="3"/>
      <c r="P90" s="3"/>
      <c r="Q90" s="3">
        <v>2015</v>
      </c>
      <c r="R90" s="13">
        <f t="shared" si="48"/>
        <v>1.2618210525924487</v>
      </c>
      <c r="S90" s="13">
        <f t="shared" si="49"/>
        <v>2.153194919884267</v>
      </c>
      <c r="T90" s="13">
        <f t="shared" si="39"/>
        <v>0.79250540157455007</v>
      </c>
      <c r="U90" s="13">
        <f t="shared" si="40"/>
        <v>0.46442613753414824</v>
      </c>
      <c r="V90" s="3"/>
      <c r="W90" s="13">
        <f t="shared" si="50"/>
        <v>1.590097124998926</v>
      </c>
      <c r="X90" s="12">
        <f>'Country L per 100 km'!P10</f>
        <v>5.4733895528631695</v>
      </c>
      <c r="Y90" s="3">
        <f>'Country distance travelled'!P10</f>
        <v>13022</v>
      </c>
      <c r="AA90" s="3">
        <v>2015</v>
      </c>
      <c r="AB90" s="13">
        <v>1.590097124998926</v>
      </c>
      <c r="AC90" s="13">
        <f t="shared" ref="AC90:AE90" si="53">AB90</f>
        <v>1.590097124998926</v>
      </c>
      <c r="AD90" s="13">
        <f t="shared" si="53"/>
        <v>1.590097124998926</v>
      </c>
      <c r="AE90" s="13">
        <f t="shared" si="53"/>
        <v>1.590097124998926</v>
      </c>
    </row>
    <row r="91" spans="1:31">
      <c r="A91" s="3">
        <v>2016</v>
      </c>
      <c r="B91" s="3">
        <f t="shared" si="35"/>
        <v>36995.280745216289</v>
      </c>
      <c r="C91" s="3">
        <f t="shared" si="42"/>
        <v>7399.0561490432574</v>
      </c>
      <c r="D91" s="3">
        <f t="shared" si="43"/>
        <v>4809.3864968781181</v>
      </c>
      <c r="E91" s="3">
        <f t="shared" si="36"/>
        <v>550</v>
      </c>
      <c r="F91" s="3">
        <f t="shared" si="44"/>
        <v>11658.442645921376</v>
      </c>
      <c r="G91" s="3"/>
      <c r="H91" s="3"/>
      <c r="I91" s="3">
        <v>2016</v>
      </c>
      <c r="J91" s="3">
        <f t="shared" si="45"/>
        <v>28363.048571332489</v>
      </c>
      <c r="K91" s="3">
        <f t="shared" si="46"/>
        <v>5672.6097142664976</v>
      </c>
      <c r="L91" s="3">
        <f t="shared" si="47"/>
        <v>3687.1963142732238</v>
      </c>
      <c r="M91" s="3">
        <f t="shared" si="37"/>
        <v>1055.0036345396886</v>
      </c>
      <c r="N91" s="3">
        <f t="shared" si="38"/>
        <v>10414.809663079412</v>
      </c>
      <c r="O91" s="3"/>
      <c r="P91" s="3"/>
      <c r="Q91" s="3">
        <v>2016</v>
      </c>
      <c r="R91" s="13">
        <f t="shared" si="48"/>
        <v>0.8933276921616079</v>
      </c>
      <c r="S91" s="13">
        <f t="shared" si="49"/>
        <v>1.0290302071896085</v>
      </c>
      <c r="T91" s="13">
        <f t="shared" si="39"/>
        <v>1.1194100538630729</v>
      </c>
      <c r="U91" s="13">
        <f t="shared" si="40"/>
        <v>0.97178877064367908</v>
      </c>
      <c r="V91" s="3"/>
      <c r="W91" s="13">
        <f t="shared" si="50"/>
        <v>1.4975302999999993</v>
      </c>
      <c r="X91" s="12">
        <f>'Country L per 100 km'!P11</f>
        <v>5.4191975770922465</v>
      </c>
      <c r="Y91" s="3">
        <f>'Country distance travelled'!P11</f>
        <v>13000</v>
      </c>
      <c r="AA91" s="3">
        <v>2016</v>
      </c>
      <c r="AB91" s="13">
        <v>1.4975302999999993</v>
      </c>
      <c r="AC91" s="13">
        <f t="shared" ref="AC91:AE91" si="54">AB91</f>
        <v>1.4975302999999993</v>
      </c>
      <c r="AD91" s="13">
        <f t="shared" si="54"/>
        <v>1.4975302999999993</v>
      </c>
      <c r="AE91" s="13">
        <f t="shared" si="54"/>
        <v>1.4975302999999993</v>
      </c>
    </row>
    <row r="92" spans="1:31">
      <c r="A92" s="3">
        <v>2017</v>
      </c>
      <c r="B92" s="3">
        <f t="shared" si="35"/>
        <v>35988.324774101282</v>
      </c>
      <c r="C92" s="3">
        <f t="shared" si="42"/>
        <v>7197.6649548202568</v>
      </c>
      <c r="D92" s="3">
        <f t="shared" si="43"/>
        <v>4678.4822206331664</v>
      </c>
      <c r="E92" s="3">
        <f t="shared" si="36"/>
        <v>0</v>
      </c>
      <c r="F92" s="3">
        <f t="shared" si="44"/>
        <v>11876.147175453423</v>
      </c>
      <c r="G92" s="3"/>
      <c r="H92" s="3"/>
      <c r="I92" s="3">
        <v>2017</v>
      </c>
      <c r="J92" s="3">
        <f t="shared" si="45"/>
        <v>27591.048993477652</v>
      </c>
      <c r="K92" s="3">
        <f t="shared" si="46"/>
        <v>5518.2097986955305</v>
      </c>
      <c r="L92" s="3">
        <f t="shared" si="47"/>
        <v>3586.8363691520949</v>
      </c>
      <c r="M92" s="3">
        <f>Y92/100*X92*W92</f>
        <v>1082.6285125539446</v>
      </c>
      <c r="N92" s="3">
        <f t="shared" si="38"/>
        <v>10187.674680401571</v>
      </c>
      <c r="O92" s="3"/>
      <c r="P92" s="3"/>
      <c r="Q92" s="3">
        <v>2017</v>
      </c>
      <c r="R92" s="13">
        <f t="shared" si="48"/>
        <v>0.85782657707865706</v>
      </c>
      <c r="S92" s="13">
        <f t="shared" si="49"/>
        <v>0.93331531586157879</v>
      </c>
      <c r="T92" s="13">
        <f t="shared" si="39"/>
        <v>1.1657367896032285</v>
      </c>
      <c r="U92" s="13">
        <f t="shared" si="40"/>
        <v>1.0714492551500261</v>
      </c>
      <c r="V92" s="3"/>
      <c r="W92" s="13">
        <f t="shared" si="50"/>
        <v>1.5521100000000001</v>
      </c>
      <c r="X92" s="12">
        <f>'Country L per 100 km'!P12</f>
        <v>5.3655421555368772</v>
      </c>
      <c r="Y92" s="3">
        <f>'Country distance travelled'!P12</f>
        <v>13000</v>
      </c>
      <c r="AA92" s="3">
        <v>2017</v>
      </c>
      <c r="AB92" s="13">
        <v>1.5521100000000001</v>
      </c>
      <c r="AC92" s="13">
        <f t="shared" ref="AC92:AE92" si="55">AB92</f>
        <v>1.5521100000000001</v>
      </c>
      <c r="AD92" s="13">
        <f t="shared" si="55"/>
        <v>1.5521100000000001</v>
      </c>
      <c r="AE92" s="13">
        <f t="shared" si="55"/>
        <v>1.5521100000000001</v>
      </c>
    </row>
    <row r="93" spans="1:31">
      <c r="A93" s="3">
        <v>2018</v>
      </c>
      <c r="B93" s="3">
        <f t="shared" si="35"/>
        <v>35364.468583826456</v>
      </c>
      <c r="C93" s="3">
        <f t="shared" si="42"/>
        <v>7072.8937167652912</v>
      </c>
      <c r="D93" s="3">
        <f t="shared" si="43"/>
        <v>4597.3809158974391</v>
      </c>
      <c r="E93" s="3">
        <f t="shared" si="36"/>
        <v>0</v>
      </c>
      <c r="F93" s="3">
        <f t="shared" si="44"/>
        <v>11670.274632662731</v>
      </c>
      <c r="G93" s="3"/>
      <c r="H93" s="3"/>
      <c r="I93" s="3">
        <v>2018</v>
      </c>
      <c r="J93" s="3">
        <f t="shared" si="45"/>
        <v>26588</v>
      </c>
      <c r="K93" s="3">
        <f t="shared" si="46"/>
        <v>5317.6</v>
      </c>
      <c r="L93" s="3">
        <f t="shared" si="47"/>
        <v>3456.44</v>
      </c>
      <c r="M93" s="3">
        <f t="shared" ref="M93:M105" si="56">Y93/100*X93*W93</f>
        <v>1106.7999459570156</v>
      </c>
      <c r="N93" s="3">
        <f t="shared" si="38"/>
        <v>9880.8399459570173</v>
      </c>
      <c r="O93" s="3"/>
      <c r="P93" s="3"/>
      <c r="Q93" s="3">
        <v>2018</v>
      </c>
      <c r="R93" s="13">
        <f t="shared" si="48"/>
        <v>0.84666730278159441</v>
      </c>
      <c r="S93" s="13">
        <f t="shared" si="49"/>
        <v>0.92117402542637483</v>
      </c>
      <c r="T93" s="13">
        <f t="shared" si="39"/>
        <v>1.1811014748232922</v>
      </c>
      <c r="U93" s="13">
        <f t="shared" si="40"/>
        <v>1.0855712084772904</v>
      </c>
      <c r="V93" s="3"/>
      <c r="W93" s="13">
        <f t="shared" si="50"/>
        <v>1.6026310009769704</v>
      </c>
      <c r="X93" s="12">
        <f>'Country L per 100 km'!P13</f>
        <v>5.3124179757790868</v>
      </c>
      <c r="Y93" s="3">
        <f>'Country distance travelled'!P13</f>
        <v>13000</v>
      </c>
      <c r="AA93" s="3">
        <v>2018</v>
      </c>
      <c r="AB93" s="13">
        <v>1.6026310009769704</v>
      </c>
      <c r="AC93" s="13">
        <f>AB93</f>
        <v>1.6026310009769704</v>
      </c>
      <c r="AD93" s="13">
        <f t="shared" ref="AD93:AE93" si="57">AC93</f>
        <v>1.6026310009769704</v>
      </c>
      <c r="AE93" s="13">
        <f t="shared" si="57"/>
        <v>1.6026310009769704</v>
      </c>
    </row>
    <row r="94" spans="1:31">
      <c r="A94" s="3">
        <v>2019</v>
      </c>
      <c r="B94" s="3">
        <f t="shared" si="35"/>
        <v>36035.981125815844</v>
      </c>
      <c r="C94" s="3">
        <f t="shared" si="42"/>
        <v>7207.1962251631685</v>
      </c>
      <c r="D94" s="3">
        <f t="shared" si="43"/>
        <v>4684.6775463560598</v>
      </c>
      <c r="E94" s="3">
        <f t="shared" si="36"/>
        <v>0</v>
      </c>
      <c r="F94" s="3">
        <f t="shared" si="44"/>
        <v>11891.873771519229</v>
      </c>
      <c r="G94" s="3"/>
      <c r="H94" s="3"/>
      <c r="I94" s="3">
        <v>2019</v>
      </c>
      <c r="J94" s="3">
        <f t="shared" si="45"/>
        <v>26588</v>
      </c>
      <c r="K94" s="3">
        <f t="shared" si="46"/>
        <v>5317.6</v>
      </c>
      <c r="L94" s="3">
        <f t="shared" si="47"/>
        <v>3456.44</v>
      </c>
      <c r="M94" s="3">
        <f t="shared" si="56"/>
        <v>1095.1037857306271</v>
      </c>
      <c r="N94" s="3">
        <f t="shared" si="38"/>
        <v>9869.1437857306282</v>
      </c>
      <c r="O94" s="3"/>
      <c r="P94" s="3"/>
      <c r="Q94" s="3">
        <v>2019</v>
      </c>
      <c r="R94" s="13">
        <f t="shared" si="48"/>
        <v>0.82990653746821685</v>
      </c>
      <c r="S94" s="13">
        <f t="shared" si="49"/>
        <v>0.9029383127654198</v>
      </c>
      <c r="T94" s="13">
        <f t="shared" si="39"/>
        <v>1.2049549616161415</v>
      </c>
      <c r="U94" s="13">
        <f t="shared" si="40"/>
        <v>1.1074953691324829</v>
      </c>
      <c r="V94" s="3"/>
      <c r="W94" s="13">
        <f t="shared" si="50"/>
        <v>1.6015520741008222</v>
      </c>
      <c r="X94" s="12">
        <f>'Country L per 100 km'!P14</f>
        <v>5.2598197779990956</v>
      </c>
      <c r="Y94" s="3">
        <f>'Country distance travelled'!P14</f>
        <v>13000</v>
      </c>
      <c r="AA94" s="3">
        <v>2019</v>
      </c>
      <c r="AB94" s="13"/>
      <c r="AC94" s="13">
        <v>1.8392580184672866</v>
      </c>
      <c r="AD94" s="13">
        <v>1.6015520741008222</v>
      </c>
      <c r="AE94" s="13">
        <v>1.3945026244548708</v>
      </c>
    </row>
    <row r="95" spans="1:31">
      <c r="A95" s="3">
        <v>2020</v>
      </c>
      <c r="B95" s="3">
        <f t="shared" si="35"/>
        <v>35819.704010679387</v>
      </c>
      <c r="C95" s="3">
        <f t="shared" si="42"/>
        <v>7163.9408021358777</v>
      </c>
      <c r="D95" s="3">
        <f t="shared" si="43"/>
        <v>4656.5615213883202</v>
      </c>
      <c r="E95" s="3">
        <f t="shared" si="36"/>
        <v>0</v>
      </c>
      <c r="F95" s="3">
        <f t="shared" si="44"/>
        <v>11820.502323524197</v>
      </c>
      <c r="G95" s="3"/>
      <c r="H95" s="3"/>
      <c r="I95" s="3">
        <v>2020</v>
      </c>
      <c r="J95" s="3">
        <f t="shared" si="45"/>
        <v>26588</v>
      </c>
      <c r="K95" s="3">
        <f t="shared" si="46"/>
        <v>5317.6</v>
      </c>
      <c r="L95" s="3">
        <f t="shared" si="47"/>
        <v>3456.44</v>
      </c>
      <c r="M95" s="3">
        <f t="shared" si="56"/>
        <v>1085.3397571026594</v>
      </c>
      <c r="N95" s="3">
        <f t="shared" si="38"/>
        <v>9859.3797571026607</v>
      </c>
      <c r="O95" s="3"/>
      <c r="P95" s="3"/>
      <c r="Q95" s="3">
        <v>2020</v>
      </c>
      <c r="R95" s="13">
        <f t="shared" si="48"/>
        <v>0.83409143598587421</v>
      </c>
      <c r="S95" s="13">
        <f t="shared" si="49"/>
        <v>0.90749148235263122</v>
      </c>
      <c r="T95" s="13">
        <f t="shared" si="39"/>
        <v>1.1989093243932258</v>
      </c>
      <c r="U95" s="13">
        <f t="shared" si="40"/>
        <v>1.1019387172731854</v>
      </c>
      <c r="V95" s="3"/>
      <c r="W95" s="13">
        <f t="shared" si="50"/>
        <v>1.6031452391623906</v>
      </c>
      <c r="X95" s="12">
        <f>'Country L per 100 km'!P15</f>
        <v>5.2077423544545498</v>
      </c>
      <c r="Y95" s="3">
        <f>'Country distance travelled'!P15</f>
        <v>13000</v>
      </c>
      <c r="AA95" s="3">
        <v>2020</v>
      </c>
      <c r="AB95" s="13"/>
      <c r="AC95" s="13">
        <v>1.9400692411101013</v>
      </c>
      <c r="AD95" s="13">
        <v>1.6031452391623906</v>
      </c>
      <c r="AE95" s="13">
        <v>1.4004326963750362</v>
      </c>
    </row>
    <row r="96" spans="1:31">
      <c r="A96" s="3">
        <v>2021</v>
      </c>
      <c r="B96" s="3">
        <f t="shared" si="35"/>
        <v>34918.955422621068</v>
      </c>
      <c r="C96" s="3">
        <f t="shared" si="42"/>
        <v>6983.7910845242131</v>
      </c>
      <c r="D96" s="3">
        <f t="shared" si="43"/>
        <v>4539.4642049407394</v>
      </c>
      <c r="E96" s="3">
        <f t="shared" si="36"/>
        <v>0</v>
      </c>
      <c r="F96" s="3">
        <f t="shared" si="44"/>
        <v>11523.255289464953</v>
      </c>
      <c r="G96" s="3"/>
      <c r="H96" s="3"/>
      <c r="I96" s="3">
        <v>2021</v>
      </c>
      <c r="J96" s="3">
        <f t="shared" si="45"/>
        <v>26588</v>
      </c>
      <c r="K96" s="3">
        <f t="shared" si="46"/>
        <v>5317.6</v>
      </c>
      <c r="L96" s="3">
        <f t="shared" si="47"/>
        <v>3456.44</v>
      </c>
      <c r="M96" s="3">
        <f t="shared" si="56"/>
        <v>1106.0567203841108</v>
      </c>
      <c r="N96" s="3">
        <f t="shared" si="38"/>
        <v>9880.0967203841119</v>
      </c>
      <c r="O96" s="3"/>
      <c r="P96" s="3"/>
      <c r="Q96" s="3">
        <v>2021</v>
      </c>
      <c r="R96" s="13">
        <f t="shared" si="48"/>
        <v>0.85740500164193312</v>
      </c>
      <c r="S96" s="13">
        <f t="shared" si="49"/>
        <v>0.93285664178642336</v>
      </c>
      <c r="T96" s="13">
        <f t="shared" si="39"/>
        <v>1.1663099679672932</v>
      </c>
      <c r="U96" s="13">
        <f t="shared" si="40"/>
        <v>1.0719760734993502</v>
      </c>
      <c r="V96" s="3"/>
      <c r="W96" s="13">
        <f t="shared" si="50"/>
        <v>1.6500835332555048</v>
      </c>
      <c r="X96" s="12">
        <f>'Country L per 100 km'!P16</f>
        <v>5.1561805489649011</v>
      </c>
      <c r="Y96" s="3">
        <f>'Country distance travelled'!P16</f>
        <v>13000</v>
      </c>
      <c r="AA96" s="3">
        <v>2021</v>
      </c>
      <c r="AB96" s="13"/>
      <c r="AC96" s="13">
        <v>2.0468105356730812</v>
      </c>
      <c r="AD96" s="13">
        <v>1.6500835332555048</v>
      </c>
      <c r="AE96" s="13">
        <v>1.4122928402153674</v>
      </c>
    </row>
    <row r="97" spans="1:31">
      <c r="A97" s="3">
        <v>2022</v>
      </c>
      <c r="B97" s="3">
        <f t="shared" si="35"/>
        <v>35422.677566958628</v>
      </c>
      <c r="C97" s="3">
        <f t="shared" si="42"/>
        <v>7084.5355133917255</v>
      </c>
      <c r="D97" s="3">
        <f t="shared" si="43"/>
        <v>4604.9480837046221</v>
      </c>
      <c r="E97" s="3">
        <f t="shared" si="36"/>
        <v>0</v>
      </c>
      <c r="F97" s="3">
        <f t="shared" si="44"/>
        <v>11689.483597096347</v>
      </c>
      <c r="G97" s="3"/>
      <c r="H97" s="3"/>
      <c r="I97" s="3">
        <v>2022</v>
      </c>
      <c r="J97" s="3">
        <f t="shared" si="45"/>
        <v>26588</v>
      </c>
      <c r="K97" s="3">
        <f t="shared" si="46"/>
        <v>5317.6</v>
      </c>
      <c r="L97" s="3">
        <f t="shared" si="47"/>
        <v>3456.44</v>
      </c>
      <c r="M97" s="3">
        <f t="shared" si="56"/>
        <v>1118.3000137882509</v>
      </c>
      <c r="N97" s="3">
        <f t="shared" si="38"/>
        <v>9892.3400137882527</v>
      </c>
      <c r="O97" s="3"/>
      <c r="P97" s="3"/>
      <c r="Q97" s="3">
        <v>2022</v>
      </c>
      <c r="R97" s="13">
        <f t="shared" si="48"/>
        <v>0.84625979681818431</v>
      </c>
      <c r="S97" s="13">
        <f t="shared" si="49"/>
        <v>0.92073065893818451</v>
      </c>
      <c r="T97" s="13">
        <f t="shared" si="39"/>
        <v>1.1816702196652338</v>
      </c>
      <c r="U97" s="13">
        <f t="shared" si="40"/>
        <v>1.0860939518981929</v>
      </c>
      <c r="V97" s="3"/>
      <c r="W97" s="13">
        <f t="shared" si="50"/>
        <v>1.6850323206969637</v>
      </c>
      <c r="X97" s="12">
        <f>'Country L per 100 km'!P17</f>
        <v>5.1051292564008923</v>
      </c>
      <c r="Y97" s="3">
        <f>'Country distance travelled'!P17</f>
        <v>13000</v>
      </c>
      <c r="AA97" s="3">
        <v>2022</v>
      </c>
      <c r="AB97" s="13"/>
      <c r="AC97" s="13">
        <v>2.094251111034406</v>
      </c>
      <c r="AD97" s="13">
        <v>1.6850323206969637</v>
      </c>
      <c r="AE97" s="13">
        <v>1.4182229121355334</v>
      </c>
    </row>
    <row r="98" spans="1:31">
      <c r="A98" s="3">
        <v>2023</v>
      </c>
      <c r="B98" s="3">
        <f t="shared" si="35"/>
        <v>35097.947474029519</v>
      </c>
      <c r="C98" s="3">
        <f t="shared" si="42"/>
        <v>7019.589494805904</v>
      </c>
      <c r="D98" s="3">
        <f t="shared" si="43"/>
        <v>4562.7331716238377</v>
      </c>
      <c r="E98" s="3">
        <f t="shared" si="36"/>
        <v>0</v>
      </c>
      <c r="F98" s="3">
        <f t="shared" si="44"/>
        <v>11582.322666429742</v>
      </c>
      <c r="G98" s="3"/>
      <c r="H98" s="3"/>
      <c r="I98" s="3">
        <v>2023</v>
      </c>
      <c r="J98" s="3">
        <f t="shared" si="45"/>
        <v>26588</v>
      </c>
      <c r="K98" s="3">
        <f t="shared" si="46"/>
        <v>5317.6</v>
      </c>
      <c r="L98" s="3">
        <f t="shared" si="47"/>
        <v>3456.44</v>
      </c>
      <c r="M98" s="3">
        <f t="shared" si="56"/>
        <v>1117.7953181929292</v>
      </c>
      <c r="N98" s="3">
        <f t="shared" si="38"/>
        <v>9891.8353181929306</v>
      </c>
      <c r="O98" s="3"/>
      <c r="P98" s="3"/>
      <c r="Q98" s="3">
        <v>2023</v>
      </c>
      <c r="R98" s="13">
        <f t="shared" si="48"/>
        <v>0.85404591143566333</v>
      </c>
      <c r="S98" s="13">
        <f t="shared" si="49"/>
        <v>0.9292019516420017</v>
      </c>
      <c r="T98" s="13">
        <f t="shared" si="39"/>
        <v>1.1708972393755575</v>
      </c>
      <c r="U98" s="13">
        <f t="shared" si="40"/>
        <v>1.0761923156025344</v>
      </c>
      <c r="V98" s="3"/>
      <c r="W98" s="13">
        <f t="shared" si="50"/>
        <v>1.7011145739195441</v>
      </c>
      <c r="X98" s="12">
        <f>'Country L per 100 km'!P18</f>
        <v>5.0545834221791015</v>
      </c>
      <c r="Y98" s="3">
        <f>'Country distance travelled'!P18</f>
        <v>13000</v>
      </c>
      <c r="AA98" s="3">
        <v>2023</v>
      </c>
      <c r="AB98" s="13"/>
      <c r="AC98" s="13">
        <v>2.1298315425553986</v>
      </c>
      <c r="AD98" s="13">
        <v>1.7011145739195441</v>
      </c>
      <c r="AE98" s="13">
        <v>1.4182229121355334</v>
      </c>
    </row>
    <row r="99" spans="1:31">
      <c r="A99" s="3">
        <v>2024</v>
      </c>
      <c r="B99" s="3">
        <f t="shared" si="35"/>
        <v>33842.640357269345</v>
      </c>
      <c r="C99" s="3">
        <f t="shared" si="42"/>
        <v>6768.5280714538694</v>
      </c>
      <c r="D99" s="3">
        <f t="shared" si="43"/>
        <v>4399.543246445015</v>
      </c>
      <c r="E99" s="3">
        <f t="shared" si="36"/>
        <v>0</v>
      </c>
      <c r="F99" s="3">
        <f t="shared" si="44"/>
        <v>11168.071317898884</v>
      </c>
      <c r="G99" s="3"/>
      <c r="H99" s="3"/>
      <c r="I99" s="3">
        <v>2024</v>
      </c>
      <c r="J99" s="3">
        <f t="shared" si="45"/>
        <v>26588</v>
      </c>
      <c r="K99" s="3">
        <f t="shared" si="46"/>
        <v>5317.6</v>
      </c>
      <c r="L99" s="3">
        <f t="shared" si="47"/>
        <v>3456.44</v>
      </c>
      <c r="M99" s="3">
        <f t="shared" si="56"/>
        <v>1109.4943115086987</v>
      </c>
      <c r="N99" s="3">
        <f t="shared" si="38"/>
        <v>9883.5343115086998</v>
      </c>
      <c r="O99" s="3"/>
      <c r="P99" s="3"/>
      <c r="Q99" s="3">
        <v>2024</v>
      </c>
      <c r="R99" s="13">
        <f t="shared" si="48"/>
        <v>0.88498130341167514</v>
      </c>
      <c r="S99" s="13">
        <f t="shared" si="49"/>
        <v>0.96285965811190255</v>
      </c>
      <c r="T99" s="13">
        <f t="shared" si="39"/>
        <v>1.12996737461562</v>
      </c>
      <c r="U99" s="13">
        <f t="shared" si="40"/>
        <v>1.0385729546099449</v>
      </c>
      <c r="V99" s="3"/>
      <c r="W99" s="13">
        <f t="shared" si="50"/>
        <v>1.7053665205002637</v>
      </c>
      <c r="X99" s="12">
        <f>'Country L per 100 km'!P19</f>
        <v>5.0045380417614869</v>
      </c>
      <c r="Y99" s="3">
        <f>'Country distance travelled'!P19</f>
        <v>13000</v>
      </c>
      <c r="AA99" s="3">
        <v>2024</v>
      </c>
      <c r="AB99" s="13"/>
      <c r="AC99" s="13">
        <v>2.1594819021562266</v>
      </c>
      <c r="AD99" s="13">
        <v>1.7053665205002637</v>
      </c>
      <c r="AE99" s="13">
        <v>1.4182229121355334</v>
      </c>
    </row>
    <row r="100" spans="1:31">
      <c r="A100" s="3">
        <v>2025</v>
      </c>
      <c r="B100" s="3">
        <f t="shared" si="35"/>
        <v>32764.942458250382</v>
      </c>
      <c r="C100" s="3">
        <f t="shared" si="42"/>
        <v>6552.988491650076</v>
      </c>
      <c r="D100" s="3">
        <f t="shared" si="43"/>
        <v>4259.4425195725498</v>
      </c>
      <c r="E100" s="3">
        <f t="shared" si="36"/>
        <v>0</v>
      </c>
      <c r="F100" s="3">
        <f t="shared" si="44"/>
        <v>10812.431011222627</v>
      </c>
      <c r="G100" s="3"/>
      <c r="H100" s="3"/>
      <c r="I100" s="3">
        <v>2025</v>
      </c>
      <c r="J100" s="3">
        <f t="shared" si="45"/>
        <v>26588</v>
      </c>
      <c r="K100" s="3">
        <f t="shared" si="46"/>
        <v>5317.6</v>
      </c>
      <c r="L100" s="3">
        <f t="shared" si="47"/>
        <v>3456.44</v>
      </c>
      <c r="M100" s="3">
        <f t="shared" si="56"/>
        <v>1112.8402229389999</v>
      </c>
      <c r="N100" s="3">
        <f t="shared" si="38"/>
        <v>9886.8802229390003</v>
      </c>
      <c r="O100" s="3"/>
      <c r="P100" s="3"/>
      <c r="Q100" s="3">
        <v>2025</v>
      </c>
      <c r="R100" s="13">
        <f t="shared" si="48"/>
        <v>0.91439938092340545</v>
      </c>
      <c r="S100" s="13">
        <f t="shared" si="49"/>
        <v>0.99486652644466522</v>
      </c>
      <c r="T100" s="13">
        <f t="shared" si="39"/>
        <v>1.0936140387476541</v>
      </c>
      <c r="U100" s="13">
        <f t="shared" si="40"/>
        <v>1.0051599620842406</v>
      </c>
      <c r="V100" s="3"/>
      <c r="W100" s="13">
        <f t="shared" si="50"/>
        <v>1.7276145029066734</v>
      </c>
      <c r="X100" s="12">
        <f>'Country L per 100 km'!P20</f>
        <v>4.9549881601598873</v>
      </c>
      <c r="Y100" s="3">
        <f>'Country distance travelled'!P20</f>
        <v>13000</v>
      </c>
      <c r="AA100" s="3">
        <v>2025</v>
      </c>
      <c r="AB100" s="13"/>
      <c r="AC100" s="13">
        <v>2.1891322617570541</v>
      </c>
      <c r="AD100" s="13">
        <v>1.7276145029066734</v>
      </c>
      <c r="AE100" s="13">
        <v>1.4241529840556983</v>
      </c>
    </row>
    <row r="101" spans="1:31">
      <c r="A101" s="3">
        <v>2026</v>
      </c>
      <c r="B101" s="3">
        <f t="shared" si="35"/>
        <v>32150.984668527657</v>
      </c>
      <c r="C101" s="3">
        <f t="shared" si="42"/>
        <v>6430.1969337055316</v>
      </c>
      <c r="D101" s="3">
        <f t="shared" si="43"/>
        <v>4179.6280069085951</v>
      </c>
      <c r="E101" s="3">
        <f t="shared" si="36"/>
        <v>0</v>
      </c>
      <c r="F101" s="3">
        <f t="shared" si="44"/>
        <v>10609.824940614126</v>
      </c>
      <c r="G101" s="3"/>
      <c r="H101" s="3"/>
      <c r="I101" s="3">
        <v>2026</v>
      </c>
      <c r="J101" s="3">
        <f t="shared" si="45"/>
        <v>26588</v>
      </c>
      <c r="K101" s="3">
        <f t="shared" si="46"/>
        <v>5317.6</v>
      </c>
      <c r="L101" s="3">
        <f t="shared" si="47"/>
        <v>3456.44</v>
      </c>
      <c r="M101" s="3">
        <f t="shared" si="56"/>
        <v>1126.7610213788455</v>
      </c>
      <c r="N101" s="3">
        <f t="shared" si="38"/>
        <v>9900.8010213788457</v>
      </c>
      <c r="O101" s="3"/>
      <c r="P101" s="3"/>
      <c r="Q101" s="3">
        <v>2026</v>
      </c>
      <c r="R101" s="13">
        <f t="shared" si="48"/>
        <v>0.93317289180510832</v>
      </c>
      <c r="S101" s="13">
        <f t="shared" si="49"/>
        <v>1.0152921062839577</v>
      </c>
      <c r="T101" s="13">
        <f t="shared" si="39"/>
        <v>1.071612783420683</v>
      </c>
      <c r="U101" s="13">
        <f t="shared" si="40"/>
        <v>0.98493822005577492</v>
      </c>
      <c r="V101" s="3"/>
      <c r="W101" s="13">
        <f t="shared" si="50"/>
        <v>1.7667179242228377</v>
      </c>
      <c r="X101" s="12">
        <f>'Country L per 100 km'!P21</f>
        <v>4.9059288714454334</v>
      </c>
      <c r="Y101" s="3">
        <f>'Country distance travelled'!P21</f>
        <v>13000</v>
      </c>
      <c r="AA101" s="3">
        <v>2026</v>
      </c>
      <c r="AB101" s="13"/>
      <c r="AC101" s="13">
        <v>2.2187826213578821</v>
      </c>
      <c r="AD101" s="13">
        <v>1.7667179242228377</v>
      </c>
      <c r="AE101" s="13">
        <v>1.4300830559758639</v>
      </c>
    </row>
    <row r="102" spans="1:31">
      <c r="A102" s="3">
        <v>2027</v>
      </c>
      <c r="B102" s="3">
        <f t="shared" si="35"/>
        <v>31537.026878804936</v>
      </c>
      <c r="C102" s="3">
        <f t="shared" si="42"/>
        <v>6307.4053757609872</v>
      </c>
      <c r="D102" s="3">
        <f t="shared" si="43"/>
        <v>4099.8134942446422</v>
      </c>
      <c r="E102" s="3">
        <f t="shared" si="36"/>
        <v>0</v>
      </c>
      <c r="F102" s="3">
        <f t="shared" si="44"/>
        <v>10407.218870005629</v>
      </c>
      <c r="G102" s="3"/>
      <c r="H102" s="3"/>
      <c r="I102" s="3">
        <v>2027</v>
      </c>
      <c r="J102" s="3">
        <f t="shared" si="45"/>
        <v>26588</v>
      </c>
      <c r="K102" s="3">
        <f t="shared" si="46"/>
        <v>5317.6</v>
      </c>
      <c r="L102" s="3">
        <f t="shared" si="47"/>
        <v>3456.44</v>
      </c>
      <c r="M102" s="3">
        <f t="shared" si="56"/>
        <v>1128.3306539276666</v>
      </c>
      <c r="N102" s="3">
        <f t="shared" si="38"/>
        <v>9902.3706539276682</v>
      </c>
      <c r="O102" s="3"/>
      <c r="P102" s="3"/>
      <c r="Q102" s="3">
        <v>2027</v>
      </c>
      <c r="R102" s="13">
        <f t="shared" si="48"/>
        <v>0.95149057376577617</v>
      </c>
      <c r="S102" s="13">
        <f t="shared" si="49"/>
        <v>1.0352217442571643</v>
      </c>
      <c r="T102" s="13">
        <f t="shared" si="39"/>
        <v>1.0509825610171155</v>
      </c>
      <c r="U102" s="13">
        <f t="shared" si="40"/>
        <v>0.96597661858190775</v>
      </c>
      <c r="V102" s="3"/>
      <c r="W102" s="13">
        <f t="shared" si="50"/>
        <v>1.7868708381371823</v>
      </c>
      <c r="X102" s="12">
        <f>'Country L per 100 km'!P22</f>
        <v>4.8573553182628046</v>
      </c>
      <c r="Y102" s="3">
        <f>'Country distance travelled'!P22</f>
        <v>13000</v>
      </c>
      <c r="AA102" s="3">
        <v>2027</v>
      </c>
      <c r="AB102" s="13"/>
      <c r="AC102" s="13">
        <v>2.24843298095871</v>
      </c>
      <c r="AD102" s="13">
        <v>1.7868708381371823</v>
      </c>
      <c r="AE102" s="13">
        <v>1.4360131278960298</v>
      </c>
    </row>
    <row r="103" spans="1:31">
      <c r="A103" s="3">
        <v>2028</v>
      </c>
      <c r="B103" s="3">
        <f t="shared" si="35"/>
        <v>30846.324365366876</v>
      </c>
      <c r="C103" s="3">
        <f t="shared" si="42"/>
        <v>6169.2648730733754</v>
      </c>
      <c r="D103" s="3">
        <f t="shared" si="43"/>
        <v>4010.0221674976942</v>
      </c>
      <c r="E103" s="3">
        <f t="shared" si="36"/>
        <v>0</v>
      </c>
      <c r="F103" s="3">
        <f t="shared" si="44"/>
        <v>10179.287040571069</v>
      </c>
      <c r="G103" s="3"/>
      <c r="H103" s="3"/>
      <c r="I103" s="3">
        <v>2028</v>
      </c>
      <c r="J103" s="3">
        <f t="shared" si="45"/>
        <v>26588</v>
      </c>
      <c r="K103" s="3">
        <f t="shared" si="46"/>
        <v>5317.6</v>
      </c>
      <c r="L103" s="3">
        <f t="shared" si="47"/>
        <v>3456.44</v>
      </c>
      <c r="M103" s="3">
        <f t="shared" si="56"/>
        <v>1125.134978521017</v>
      </c>
      <c r="N103" s="3">
        <f t="shared" si="38"/>
        <v>9899.1749785210177</v>
      </c>
      <c r="O103" s="3"/>
      <c r="P103" s="3"/>
      <c r="Q103" s="3">
        <v>2028</v>
      </c>
      <c r="R103" s="13">
        <f t="shared" si="48"/>
        <v>0.97248215312785435</v>
      </c>
      <c r="S103" s="13">
        <f t="shared" si="49"/>
        <v>1.0580605826031055</v>
      </c>
      <c r="T103" s="13">
        <f t="shared" si="39"/>
        <v>1.0282965057853641</v>
      </c>
      <c r="U103" s="13">
        <f t="shared" si="40"/>
        <v>0.94512546487625382</v>
      </c>
      <c r="V103" s="3"/>
      <c r="W103" s="13">
        <f t="shared" si="50"/>
        <v>1.7996281354582044</v>
      </c>
      <c r="X103" s="12">
        <f>'Country L per 100 km'!P23</f>
        <v>4.8092626913493124</v>
      </c>
      <c r="Y103" s="3">
        <f>'Country distance travelled'!P23</f>
        <v>13000</v>
      </c>
      <c r="AA103" s="3">
        <v>2028</v>
      </c>
      <c r="AB103" s="13"/>
      <c r="AC103" s="13">
        <v>2.2721532686393728</v>
      </c>
      <c r="AD103" s="13">
        <v>1.7996281354582044</v>
      </c>
      <c r="AE103" s="13">
        <v>1.4360131278960298</v>
      </c>
    </row>
    <row r="104" spans="1:31">
      <c r="A104" s="3">
        <v>2029</v>
      </c>
      <c r="B104" s="3">
        <f t="shared" si="35"/>
        <v>30232.366575644166</v>
      </c>
      <c r="C104" s="3">
        <f t="shared" si="42"/>
        <v>6046.4733151288328</v>
      </c>
      <c r="D104" s="3">
        <f t="shared" si="43"/>
        <v>3930.2076548337418</v>
      </c>
      <c r="E104" s="3">
        <f t="shared" si="36"/>
        <v>0</v>
      </c>
      <c r="F104" s="3">
        <f t="shared" si="44"/>
        <v>9976.6809699625737</v>
      </c>
      <c r="G104" s="3"/>
      <c r="H104" s="3"/>
      <c r="I104" s="3">
        <v>2029</v>
      </c>
      <c r="J104" s="3">
        <f t="shared" si="45"/>
        <v>26588</v>
      </c>
      <c r="K104" s="3">
        <f t="shared" si="46"/>
        <v>5317.6</v>
      </c>
      <c r="L104" s="3">
        <f t="shared" si="47"/>
        <v>3456.44</v>
      </c>
      <c r="M104" s="3">
        <f t="shared" si="56"/>
        <v>1124.6988113735435</v>
      </c>
      <c r="N104" s="3">
        <f t="shared" si="38"/>
        <v>9898.7388113735451</v>
      </c>
      <c r="O104" s="3"/>
      <c r="P104" s="3"/>
      <c r="Q104" s="3">
        <v>2029</v>
      </c>
      <c r="R104" s="13">
        <f t="shared" si="48"/>
        <v>0.9921875663034937</v>
      </c>
      <c r="S104" s="13">
        <f t="shared" si="49"/>
        <v>1.0795000721382011</v>
      </c>
      <c r="T104" s="13">
        <f t="shared" si="39"/>
        <v>1.007873948396282</v>
      </c>
      <c r="U104" s="13">
        <f t="shared" si="40"/>
        <v>0.92635473198187679</v>
      </c>
      <c r="V104" s="3"/>
      <c r="W104" s="13">
        <f t="shared" si="50"/>
        <v>1.8169198008580845</v>
      </c>
      <c r="X104" s="12">
        <f>'Country L per 100 km'!P24</f>
        <v>4.7616462290587247</v>
      </c>
      <c r="Y104" s="3">
        <f>'Country distance travelled'!P24</f>
        <v>13000</v>
      </c>
      <c r="AA104" s="3">
        <v>2029</v>
      </c>
      <c r="AB104" s="13"/>
      <c r="AC104" s="13">
        <v>2.3018036282401999</v>
      </c>
      <c r="AD104" s="13">
        <v>1.8169198008580845</v>
      </c>
      <c r="AE104" s="13">
        <v>1.4360131278960298</v>
      </c>
    </row>
    <row r="105" spans="1:31">
      <c r="A105" s="3">
        <v>2030</v>
      </c>
      <c r="B105" s="3">
        <f t="shared" si="35"/>
        <v>29541.664062206106</v>
      </c>
      <c r="C105" s="3">
        <f t="shared" si="42"/>
        <v>5908.332812441221</v>
      </c>
      <c r="D105" s="3">
        <f t="shared" si="43"/>
        <v>3840.4163280867938</v>
      </c>
      <c r="E105" s="3">
        <f t="shared" si="36"/>
        <v>0</v>
      </c>
      <c r="F105" s="3">
        <f t="shared" si="44"/>
        <v>9748.7491405280143</v>
      </c>
      <c r="G105" s="3"/>
      <c r="H105" s="3"/>
      <c r="I105" s="3">
        <v>2030</v>
      </c>
      <c r="J105" s="3">
        <f t="shared" si="45"/>
        <v>26588</v>
      </c>
      <c r="K105" s="3">
        <f t="shared" si="46"/>
        <v>5317.6</v>
      </c>
      <c r="L105" s="3">
        <f t="shared" si="47"/>
        <v>3456.44</v>
      </c>
      <c r="M105" s="3">
        <f t="shared" si="56"/>
        <v>1121.6665692085878</v>
      </c>
      <c r="N105" s="3">
        <f t="shared" si="38"/>
        <v>9895.7065692085889</v>
      </c>
      <c r="O105" s="3"/>
      <c r="P105" s="3"/>
      <c r="Q105" s="3">
        <v>2030</v>
      </c>
      <c r="R105" s="13">
        <f t="shared" si="48"/>
        <v>1.0150744907436007</v>
      </c>
      <c r="S105" s="13">
        <f t="shared" si="49"/>
        <v>1.1044010459290374</v>
      </c>
      <c r="T105" s="13">
        <f t="shared" si="39"/>
        <v>0.98514937486749599</v>
      </c>
      <c r="U105" s="13">
        <f t="shared" si="40"/>
        <v>0.90546817542968383</v>
      </c>
      <c r="V105" s="3"/>
      <c r="W105" s="13">
        <f t="shared" si="50"/>
        <v>1.8301415105413117</v>
      </c>
      <c r="X105" s="12">
        <f>'Country L per 100 km'!P25</f>
        <v>4.7145012168898264</v>
      </c>
      <c r="Y105" s="3">
        <f>'Country distance travelled'!P25</f>
        <v>13000</v>
      </c>
      <c r="AA105" s="3">
        <v>2030</v>
      </c>
      <c r="AB105" s="3"/>
      <c r="AC105" s="13">
        <v>2.3195938440006962</v>
      </c>
      <c r="AD105" s="13">
        <v>1.8301415105413117</v>
      </c>
      <c r="AE105" s="13">
        <v>1.4419431998161951</v>
      </c>
    </row>
    <row r="106" spans="1:31">
      <c r="A106" s="3">
        <v>2031</v>
      </c>
      <c r="B106" s="3"/>
      <c r="C106" s="3"/>
      <c r="D106" s="3"/>
      <c r="E106" s="3"/>
      <c r="F106" s="3"/>
      <c r="G106" s="3"/>
      <c r="H106" s="3"/>
      <c r="I106" s="3">
        <v>2031</v>
      </c>
      <c r="J106" s="3"/>
      <c r="K106" s="3"/>
      <c r="L106" s="3"/>
      <c r="M106" s="3"/>
      <c r="N106" s="3"/>
      <c r="O106" s="3"/>
      <c r="P106" s="3"/>
      <c r="Q106" s="3">
        <v>2031</v>
      </c>
      <c r="R106" s="3"/>
      <c r="S106" s="3"/>
      <c r="T106" s="3"/>
      <c r="U106" s="3"/>
      <c r="V106" s="3"/>
      <c r="W106" s="13">
        <f>W105</f>
        <v>1.8301415105413117</v>
      </c>
      <c r="X106" s="12">
        <f>'Country L per 100 km'!P26</f>
        <v>4.6678229870196306</v>
      </c>
      <c r="Y106" s="3">
        <f>'Country distance travelled'!P26</f>
        <v>13000</v>
      </c>
      <c r="AA106" s="3">
        <v>2031</v>
      </c>
    </row>
    <row r="107" spans="1:31">
      <c r="A107" s="3">
        <v>2032</v>
      </c>
      <c r="B107" s="3"/>
      <c r="C107" s="3"/>
      <c r="D107" s="3"/>
      <c r="E107" s="3"/>
      <c r="F107" s="3"/>
      <c r="G107" s="3"/>
      <c r="H107" s="3"/>
      <c r="I107" s="3">
        <v>2032</v>
      </c>
      <c r="J107" s="3"/>
      <c r="K107" s="3"/>
      <c r="L107" s="3"/>
      <c r="M107" s="3"/>
      <c r="N107" s="3"/>
      <c r="O107" s="3"/>
      <c r="P107" s="3"/>
      <c r="Q107" s="3">
        <v>2032</v>
      </c>
      <c r="R107" s="3"/>
      <c r="S107" s="3"/>
      <c r="T107" s="3"/>
      <c r="U107" s="3"/>
      <c r="V107" s="3"/>
      <c r="W107" s="13">
        <f t="shared" ref="W107:W115" si="58">W106</f>
        <v>1.8301415105413117</v>
      </c>
      <c r="X107" s="12">
        <f>'Country L per 100 km'!P27</f>
        <v>4.621606917841218</v>
      </c>
      <c r="Y107" s="3">
        <f>'Country distance travelled'!P27</f>
        <v>13000</v>
      </c>
      <c r="AA107" s="3">
        <v>2032</v>
      </c>
    </row>
    <row r="108" spans="1:31">
      <c r="A108" s="3">
        <v>2033</v>
      </c>
      <c r="B108" s="3"/>
      <c r="C108" s="3"/>
      <c r="D108" s="3"/>
      <c r="E108" s="3"/>
      <c r="F108" s="3"/>
      <c r="G108" s="3"/>
      <c r="H108" s="3"/>
      <c r="I108" s="3">
        <v>2033</v>
      </c>
      <c r="J108" s="3"/>
      <c r="K108" s="3"/>
      <c r="L108" s="3"/>
      <c r="M108" s="3"/>
      <c r="N108" s="3"/>
      <c r="O108" s="3"/>
      <c r="P108" s="3"/>
      <c r="Q108" s="3">
        <v>2033</v>
      </c>
      <c r="R108" s="3"/>
      <c r="S108" s="3"/>
      <c r="T108" s="3"/>
      <c r="U108" s="3"/>
      <c r="V108" s="3"/>
      <c r="W108" s="13">
        <f t="shared" si="58"/>
        <v>1.8301415105413117</v>
      </c>
      <c r="X108" s="12">
        <f>'Country L per 100 km'!P28</f>
        <v>4.5758484335061569</v>
      </c>
      <c r="Y108" s="3">
        <f>'Country distance travelled'!P28</f>
        <v>13000</v>
      </c>
      <c r="AA108" s="3">
        <v>2033</v>
      </c>
    </row>
    <row r="109" spans="1:31">
      <c r="A109" s="3">
        <v>2034</v>
      </c>
      <c r="B109" s="3"/>
      <c r="C109" s="3"/>
      <c r="D109" s="3"/>
      <c r="E109" s="3"/>
      <c r="F109" s="3"/>
      <c r="G109" s="3"/>
      <c r="H109" s="3"/>
      <c r="I109" s="3">
        <v>2034</v>
      </c>
      <c r="J109" s="3"/>
      <c r="K109" s="3"/>
      <c r="L109" s="3"/>
      <c r="M109" s="3"/>
      <c r="N109" s="3"/>
      <c r="O109" s="3"/>
      <c r="P109" s="3"/>
      <c r="Q109" s="3">
        <v>2034</v>
      </c>
      <c r="R109" s="3"/>
      <c r="S109" s="3"/>
      <c r="T109" s="3"/>
      <c r="U109" s="3"/>
      <c r="V109" s="3"/>
      <c r="W109" s="13">
        <f t="shared" si="58"/>
        <v>1.8301415105413117</v>
      </c>
      <c r="X109" s="12">
        <f>'Country L per 100 km'!P29</f>
        <v>4.5305430034714416</v>
      </c>
      <c r="Y109" s="3">
        <f>'Country distance travelled'!P29</f>
        <v>13000</v>
      </c>
      <c r="AA109" s="3">
        <v>2034</v>
      </c>
    </row>
    <row r="110" spans="1:31">
      <c r="A110" s="3">
        <v>2035</v>
      </c>
      <c r="B110" s="3"/>
      <c r="C110" s="3"/>
      <c r="D110" s="3"/>
      <c r="E110" s="3"/>
      <c r="F110" s="3"/>
      <c r="G110" s="3"/>
      <c r="H110" s="3"/>
      <c r="I110" s="3">
        <v>2035</v>
      </c>
      <c r="J110" s="3"/>
      <c r="K110" s="3"/>
      <c r="L110" s="3"/>
      <c r="M110" s="3"/>
      <c r="N110" s="3"/>
      <c r="O110" s="3"/>
      <c r="P110" s="3"/>
      <c r="Q110" s="3">
        <v>2035</v>
      </c>
      <c r="R110" s="3"/>
      <c r="S110" s="3"/>
      <c r="T110" s="3"/>
      <c r="U110" s="3"/>
      <c r="V110" s="3"/>
      <c r="W110" s="13">
        <f t="shared" si="58"/>
        <v>1.8301415105413117</v>
      </c>
      <c r="X110" s="12">
        <f>'Country L per 100 km'!P30</f>
        <v>4.4856861420509313</v>
      </c>
      <c r="Y110" s="3">
        <f>'Country distance travelled'!P30</f>
        <v>13000</v>
      </c>
      <c r="AA110" s="3">
        <v>2035</v>
      </c>
    </row>
    <row r="111" spans="1:31">
      <c r="A111" s="3">
        <v>2036</v>
      </c>
      <c r="B111" s="3"/>
      <c r="C111" s="3"/>
      <c r="D111" s="3"/>
      <c r="E111" s="3"/>
      <c r="F111" s="3"/>
      <c r="G111" s="3"/>
      <c r="H111" s="3"/>
      <c r="I111" s="3">
        <v>2036</v>
      </c>
      <c r="J111" s="3"/>
      <c r="K111" s="3"/>
      <c r="L111" s="3"/>
      <c r="M111" s="3"/>
      <c r="N111" s="3"/>
      <c r="O111" s="3"/>
      <c r="P111" s="3"/>
      <c r="Q111" s="3">
        <v>2036</v>
      </c>
      <c r="R111" s="3"/>
      <c r="S111" s="3"/>
      <c r="T111" s="3"/>
      <c r="U111" s="3"/>
      <c r="V111" s="3"/>
      <c r="W111" s="13">
        <f t="shared" si="58"/>
        <v>1.8301415105413117</v>
      </c>
      <c r="X111" s="12">
        <f>'Country L per 100 km'!P31</f>
        <v>4.4412734079712202</v>
      </c>
      <c r="Y111" s="3">
        <f>'Country distance travelled'!P31</f>
        <v>13000</v>
      </c>
      <c r="AA111" s="3">
        <v>2036</v>
      </c>
    </row>
    <row r="112" spans="1:31">
      <c r="A112" s="3">
        <v>2037</v>
      </c>
      <c r="B112" s="3"/>
      <c r="C112" s="3"/>
      <c r="D112" s="3"/>
      <c r="E112" s="3"/>
      <c r="F112" s="3"/>
      <c r="G112" s="3"/>
      <c r="H112" s="3"/>
      <c r="I112" s="3">
        <v>2037</v>
      </c>
      <c r="J112" s="3"/>
      <c r="K112" s="3"/>
      <c r="L112" s="3"/>
      <c r="M112" s="3"/>
      <c r="N112" s="3"/>
      <c r="O112" s="3"/>
      <c r="P112" s="3"/>
      <c r="Q112" s="3">
        <v>2037</v>
      </c>
      <c r="R112" s="3"/>
      <c r="S112" s="3"/>
      <c r="T112" s="3"/>
      <c r="U112" s="3"/>
      <c r="V112" s="3"/>
      <c r="W112" s="13">
        <f t="shared" si="58"/>
        <v>1.8301415105413117</v>
      </c>
      <c r="X112" s="12">
        <f>'Country L per 100 km'!P32</f>
        <v>4.3973004039319017</v>
      </c>
      <c r="Y112" s="3">
        <f>'Country distance travelled'!P32</f>
        <v>13000</v>
      </c>
      <c r="AA112" s="3">
        <v>2037</v>
      </c>
    </row>
    <row r="113" spans="1:29">
      <c r="A113" s="3">
        <v>2038</v>
      </c>
      <c r="B113" s="3"/>
      <c r="C113" s="3"/>
      <c r="D113" s="3"/>
      <c r="E113" s="3"/>
      <c r="F113" s="3"/>
      <c r="G113" s="3"/>
      <c r="H113" s="3"/>
      <c r="I113" s="3">
        <v>2038</v>
      </c>
      <c r="J113" s="3"/>
      <c r="K113" s="3"/>
      <c r="L113" s="3"/>
      <c r="M113" s="3"/>
      <c r="N113" s="3"/>
      <c r="O113" s="3"/>
      <c r="P113" s="3"/>
      <c r="Q113" s="3">
        <v>2038</v>
      </c>
      <c r="R113" s="3"/>
      <c r="S113" s="3"/>
      <c r="T113" s="3"/>
      <c r="U113" s="3"/>
      <c r="V113" s="3"/>
      <c r="W113" s="13">
        <f t="shared" si="58"/>
        <v>1.8301415105413117</v>
      </c>
      <c r="X113" s="12">
        <f>'Country L per 100 km'!P33</f>
        <v>4.3537627761701989</v>
      </c>
      <c r="Y113" s="3">
        <f>'Country distance travelled'!P33</f>
        <v>13000</v>
      </c>
      <c r="AA113" s="3">
        <v>2038</v>
      </c>
    </row>
    <row r="114" spans="1:29">
      <c r="A114" s="3">
        <v>2039</v>
      </c>
      <c r="B114" s="3"/>
      <c r="C114" s="3"/>
      <c r="D114" s="3"/>
      <c r="E114" s="3"/>
      <c r="F114" s="3"/>
      <c r="G114" s="3"/>
      <c r="H114" s="3"/>
      <c r="I114" s="3">
        <v>2039</v>
      </c>
      <c r="J114" s="3"/>
      <c r="K114" s="3"/>
      <c r="L114" s="3"/>
      <c r="M114" s="3"/>
      <c r="N114" s="3"/>
      <c r="O114" s="3"/>
      <c r="P114" s="3"/>
      <c r="Q114" s="3">
        <v>2039</v>
      </c>
      <c r="R114" s="3"/>
      <c r="S114" s="3"/>
      <c r="T114" s="3"/>
      <c r="U114" s="3"/>
      <c r="V114" s="3"/>
      <c r="W114" s="13">
        <f t="shared" si="58"/>
        <v>1.8301415105413117</v>
      </c>
      <c r="X114" s="12">
        <f>'Country L per 100 km'!P34</f>
        <v>4.3106562140299003</v>
      </c>
      <c r="Y114" s="3">
        <f>'Country distance travelled'!P34</f>
        <v>13000</v>
      </c>
      <c r="AA114" s="3">
        <v>2039</v>
      </c>
    </row>
    <row r="115" spans="1:29">
      <c r="A115" s="3">
        <v>2040</v>
      </c>
      <c r="B115" s="3"/>
      <c r="C115" s="3"/>
      <c r="D115" s="3"/>
      <c r="E115" s="3"/>
      <c r="F115" s="3"/>
      <c r="G115" s="3"/>
      <c r="H115" s="3"/>
      <c r="I115" s="3">
        <v>2040</v>
      </c>
      <c r="J115" s="3"/>
      <c r="K115" s="3"/>
      <c r="L115" s="3"/>
      <c r="M115" s="3"/>
      <c r="N115" s="3"/>
      <c r="O115" s="3"/>
      <c r="P115" s="3"/>
      <c r="Q115" s="3">
        <v>2040</v>
      </c>
      <c r="R115" s="3"/>
      <c r="S115" s="3"/>
      <c r="T115" s="3"/>
      <c r="U115" s="3"/>
      <c r="V115" s="3"/>
      <c r="W115" s="13">
        <f t="shared" si="58"/>
        <v>1.8301415105413117</v>
      </c>
      <c r="X115" s="12">
        <f>'Country L per 100 km'!J35</f>
        <v>4.4204041798750753</v>
      </c>
      <c r="Y115" s="3">
        <f>'Country distance travelled'!P35</f>
        <v>13000</v>
      </c>
      <c r="AA115" s="3">
        <v>2040</v>
      </c>
    </row>
    <row r="117" spans="1:29">
      <c r="B117" t="s">
        <v>367</v>
      </c>
      <c r="C117" t="s">
        <v>367</v>
      </c>
      <c r="D117" t="s">
        <v>367</v>
      </c>
      <c r="E117" t="s">
        <v>367</v>
      </c>
      <c r="F117" t="s">
        <v>367</v>
      </c>
    </row>
    <row r="118" spans="1:29">
      <c r="B118" t="s">
        <v>978</v>
      </c>
      <c r="C118" t="s">
        <v>979</v>
      </c>
      <c r="D118" t="s">
        <v>916</v>
      </c>
      <c r="E118" t="s">
        <v>981</v>
      </c>
      <c r="F118" t="s">
        <v>983</v>
      </c>
    </row>
    <row r="119" spans="1:29">
      <c r="A119" s="3">
        <v>2012</v>
      </c>
      <c r="B119" s="3">
        <f t="shared" ref="B119:B137" si="59">P7</f>
        <v>28404.067912999824</v>
      </c>
      <c r="C119" s="3">
        <f>B119/5</f>
        <v>5680.8135825999652</v>
      </c>
      <c r="D119" s="3">
        <f>B119*0.13</f>
        <v>3692.5288286899772</v>
      </c>
      <c r="E119" s="3">
        <f t="shared" ref="E119:E137" si="60">L7</f>
        <v>5417.2961270146743</v>
      </c>
      <c r="F119" s="3">
        <f>C119+D119-E119</f>
        <v>3956.0462842752686</v>
      </c>
    </row>
    <row r="120" spans="1:29">
      <c r="A120" s="3">
        <v>2013</v>
      </c>
      <c r="B120" s="3">
        <f t="shared" si="59"/>
        <v>28326.001845585262</v>
      </c>
      <c r="C120" s="3">
        <f t="shared" ref="C120:C137" si="61">B120/5</f>
        <v>5665.2003691170521</v>
      </c>
      <c r="D120" s="3">
        <f t="shared" ref="D120:D137" si="62">B120*0.13</f>
        <v>3682.3802399260844</v>
      </c>
      <c r="E120" s="3">
        <f t="shared" si="60"/>
        <v>5261.681350635823</v>
      </c>
      <c r="F120" s="3">
        <f t="shared" ref="F120:F137" si="63">C120+D120-E120</f>
        <v>4085.899258407313</v>
      </c>
      <c r="Q120" s="87" t="s">
        <v>1338</v>
      </c>
      <c r="R120" s="87" t="s">
        <v>1338</v>
      </c>
      <c r="S120" s="87" t="s">
        <v>1338</v>
      </c>
      <c r="T120" s="87" t="s">
        <v>1338</v>
      </c>
      <c r="U120" s="87" t="s">
        <v>1338</v>
      </c>
      <c r="W120" s="14" t="s">
        <v>812</v>
      </c>
      <c r="X120" s="14" t="s">
        <v>812</v>
      </c>
      <c r="Y120" s="14" t="s">
        <v>812</v>
      </c>
      <c r="Z120" s="14" t="s">
        <v>812</v>
      </c>
      <c r="AA120" s="14" t="s">
        <v>812</v>
      </c>
      <c r="AC120" s="248" t="s">
        <v>952</v>
      </c>
    </row>
    <row r="121" spans="1:29">
      <c r="A121" s="3">
        <v>2014</v>
      </c>
      <c r="B121" s="3">
        <f t="shared" si="59"/>
        <v>31755.14754764954</v>
      </c>
      <c r="C121" s="3">
        <f t="shared" si="61"/>
        <v>6351.029509529908</v>
      </c>
      <c r="D121" s="3">
        <f t="shared" si="62"/>
        <v>4128.1691811944402</v>
      </c>
      <c r="E121" s="3">
        <f t="shared" si="60"/>
        <v>5301.7148683722653</v>
      </c>
      <c r="F121" s="3">
        <f t="shared" si="63"/>
        <v>5177.4838223520828</v>
      </c>
      <c r="Q121" s="87" t="s">
        <v>978</v>
      </c>
      <c r="R121" s="87" t="s">
        <v>979</v>
      </c>
      <c r="S121" s="87" t="s">
        <v>916</v>
      </c>
      <c r="T121" s="87" t="s">
        <v>981</v>
      </c>
      <c r="U121" s="87" t="s">
        <v>983</v>
      </c>
      <c r="W121" s="14" t="s">
        <v>725</v>
      </c>
      <c r="X121" s="14" t="s">
        <v>979</v>
      </c>
      <c r="Y121" s="14" t="s">
        <v>916</v>
      </c>
      <c r="Z121" s="14" t="s">
        <v>985</v>
      </c>
      <c r="AA121" s="14" t="s">
        <v>983</v>
      </c>
      <c r="AC121" s="248" t="s">
        <v>1204</v>
      </c>
    </row>
    <row r="122" spans="1:29">
      <c r="A122" s="3">
        <v>2015</v>
      </c>
      <c r="B122" s="3">
        <f t="shared" si="59"/>
        <v>33972.208577999059</v>
      </c>
      <c r="C122" s="3">
        <f t="shared" si="61"/>
        <v>6794.4417155998117</v>
      </c>
      <c r="D122" s="3">
        <f t="shared" si="62"/>
        <v>4416.387115139878</v>
      </c>
      <c r="E122" s="3">
        <f t="shared" si="60"/>
        <v>6341.4789345598247</v>
      </c>
      <c r="F122" s="3">
        <f t="shared" si="63"/>
        <v>4869.3498961798659</v>
      </c>
      <c r="P122">
        <v>2012</v>
      </c>
      <c r="Q122" s="3">
        <f>B87</f>
        <v>28854.067912999824</v>
      </c>
      <c r="R122" s="3">
        <f t="shared" ref="R122:U122" si="64">C87</f>
        <v>5770.8135825999652</v>
      </c>
      <c r="S122" s="3">
        <f t="shared" si="64"/>
        <v>3751.0288286899772</v>
      </c>
      <c r="T122" s="3">
        <f t="shared" si="64"/>
        <v>2708.6480635073372</v>
      </c>
      <c r="U122" s="3">
        <f t="shared" si="64"/>
        <v>6813.1943477826062</v>
      </c>
      <c r="V122" s="3"/>
      <c r="W122" s="3">
        <f>J87</f>
        <v>23851.580947798895</v>
      </c>
      <c r="X122" s="3">
        <f t="shared" ref="X122:AA122" si="65">K87</f>
        <v>4770.3161895597786</v>
      </c>
      <c r="Y122" s="3">
        <f t="shared" si="65"/>
        <v>3100.7055232138564</v>
      </c>
      <c r="Z122" s="3">
        <f t="shared" si="65"/>
        <v>1374.1874731224445</v>
      </c>
      <c r="AA122" s="3">
        <f t="shared" si="65"/>
        <v>9245.2091858960794</v>
      </c>
      <c r="AC122" s="13">
        <f>U122/AA122</f>
        <v>0.73694323306133458</v>
      </c>
    </row>
    <row r="123" spans="1:29">
      <c r="A123" s="3">
        <v>2016</v>
      </c>
      <c r="B123" s="3">
        <f t="shared" si="59"/>
        <v>34003.015390823792</v>
      </c>
      <c r="C123" s="3">
        <f t="shared" si="61"/>
        <v>6800.6030781647587</v>
      </c>
      <c r="D123" s="3">
        <f t="shared" si="62"/>
        <v>4420.3920008070927</v>
      </c>
      <c r="E123" s="3">
        <f t="shared" si="60"/>
        <v>1100</v>
      </c>
      <c r="F123" s="3">
        <f t="shared" si="63"/>
        <v>10120.995078971851</v>
      </c>
      <c r="P123">
        <v>2013</v>
      </c>
      <c r="Q123" s="3">
        <f t="shared" ref="Q123:Q139" si="66">B88</f>
        <v>28776.001845585262</v>
      </c>
      <c r="R123" s="3">
        <f t="shared" ref="R123:R140" si="67">C88</f>
        <v>5755.2003691170521</v>
      </c>
      <c r="S123" s="3">
        <f t="shared" ref="S123:S140" si="68">D88</f>
        <v>3740.8802399260844</v>
      </c>
      <c r="T123" s="3">
        <f t="shared" ref="T123:T140" si="69">E88</f>
        <v>2630.8406753179115</v>
      </c>
      <c r="U123" s="3">
        <f t="shared" ref="U123:U140" si="70">F88</f>
        <v>6865.2399337252245</v>
      </c>
      <c r="V123" s="3"/>
      <c r="W123" s="3">
        <f t="shared" ref="W123:W140" si="71">J88</f>
        <v>23512.198949698366</v>
      </c>
      <c r="X123" s="3">
        <f t="shared" ref="X123:X140" si="72">K88</f>
        <v>4702.4397899396736</v>
      </c>
      <c r="Y123" s="3">
        <f t="shared" ref="Y123:Y140" si="73">L88</f>
        <v>3056.5858634607876</v>
      </c>
      <c r="Z123" s="3">
        <f t="shared" ref="Z123:Z140" si="74">M88</f>
        <v>1311.4373486983163</v>
      </c>
      <c r="AA123" s="3">
        <f t="shared" ref="AA123:AA140" si="75">N88</f>
        <v>9070.463002098777</v>
      </c>
      <c r="AC123" s="13">
        <f t="shared" ref="AC123:AC140" si="76">U123/AA123</f>
        <v>0.7568786656355585</v>
      </c>
    </row>
    <row r="124" spans="1:29">
      <c r="A124" s="3">
        <v>2017</v>
      </c>
      <c r="B124" s="3">
        <f t="shared" si="59"/>
        <v>33077.50438796074</v>
      </c>
      <c r="C124" s="3">
        <f t="shared" si="61"/>
        <v>6615.5008775921478</v>
      </c>
      <c r="D124" s="3">
        <f t="shared" si="62"/>
        <v>4300.0755704348967</v>
      </c>
      <c r="E124" s="3">
        <f t="shared" si="60"/>
        <v>0</v>
      </c>
      <c r="F124" s="3">
        <f t="shared" si="63"/>
        <v>10915.576448027045</v>
      </c>
      <c r="P124">
        <v>2014</v>
      </c>
      <c r="Q124" s="3">
        <f t="shared" si="66"/>
        <v>31755.14754764954</v>
      </c>
      <c r="R124" s="3">
        <f t="shared" si="67"/>
        <v>6351.029509529908</v>
      </c>
      <c r="S124" s="3">
        <f t="shared" si="68"/>
        <v>4128.1691811944402</v>
      </c>
      <c r="T124" s="3">
        <f t="shared" si="69"/>
        <v>2650.8574341861327</v>
      </c>
      <c r="U124" s="3">
        <f t="shared" si="70"/>
        <v>7828.341256538215</v>
      </c>
      <c r="V124" s="3"/>
      <c r="W124" s="3">
        <f t="shared" si="71"/>
        <v>23691.091583240632</v>
      </c>
      <c r="X124" s="3">
        <f t="shared" si="72"/>
        <v>4738.2183166481263</v>
      </c>
      <c r="Y124" s="3">
        <f t="shared" si="73"/>
        <v>3079.8419058212821</v>
      </c>
      <c r="Z124" s="3">
        <f t="shared" si="74"/>
        <v>1259.1736886917474</v>
      </c>
      <c r="AA124" s="3">
        <f t="shared" si="75"/>
        <v>9077.2339111611564</v>
      </c>
      <c r="AC124" s="13">
        <f t="shared" si="76"/>
        <v>0.86241484279838465</v>
      </c>
    </row>
    <row r="125" spans="1:29">
      <c r="A125" s="3">
        <v>2018</v>
      </c>
      <c r="B125" s="3">
        <f t="shared" si="59"/>
        <v>32504.107154252255</v>
      </c>
      <c r="C125" s="3">
        <f t="shared" si="61"/>
        <v>6500.8214308504512</v>
      </c>
      <c r="D125" s="3">
        <f t="shared" si="62"/>
        <v>4225.533930052793</v>
      </c>
      <c r="E125" s="3">
        <f t="shared" si="60"/>
        <v>0</v>
      </c>
      <c r="F125" s="3">
        <f t="shared" si="63"/>
        <v>10726.355360903244</v>
      </c>
      <c r="P125">
        <v>2015</v>
      </c>
      <c r="Q125" s="3">
        <f t="shared" si="66"/>
        <v>34787.54158387104</v>
      </c>
      <c r="R125" s="3">
        <f t="shared" si="67"/>
        <v>6957.5083167742077</v>
      </c>
      <c r="S125" s="3">
        <f t="shared" si="68"/>
        <v>4522.3804059032354</v>
      </c>
      <c r="T125" s="3">
        <f t="shared" si="69"/>
        <v>3170.7394672799123</v>
      </c>
      <c r="U125" s="3">
        <f t="shared" si="70"/>
        <v>8309.1492553975295</v>
      </c>
      <c r="V125" s="3"/>
      <c r="W125" s="3">
        <f t="shared" si="71"/>
        <v>28337.351581861618</v>
      </c>
      <c r="X125" s="3">
        <f t="shared" si="72"/>
        <v>5667.4703163723234</v>
      </c>
      <c r="Y125" s="3">
        <f t="shared" si="73"/>
        <v>3683.8557056420104</v>
      </c>
      <c r="Z125" s="3">
        <f t="shared" si="74"/>
        <v>1133.3334375791362</v>
      </c>
      <c r="AA125" s="3">
        <f t="shared" si="75"/>
        <v>10484.659459593471</v>
      </c>
      <c r="AC125" s="13">
        <f t="shared" si="76"/>
        <v>0.79250540157455007</v>
      </c>
    </row>
    <row r="126" spans="1:29">
      <c r="A126" s="3">
        <v>2019</v>
      </c>
      <c r="B126" s="3">
        <f t="shared" si="59"/>
        <v>33121.306181816035</v>
      </c>
      <c r="C126" s="3">
        <f t="shared" si="61"/>
        <v>6624.261236363207</v>
      </c>
      <c r="D126" s="3">
        <f t="shared" si="62"/>
        <v>4305.7698036360844</v>
      </c>
      <c r="E126" s="3">
        <f t="shared" si="60"/>
        <v>0</v>
      </c>
      <c r="F126" s="3">
        <f t="shared" si="63"/>
        <v>10930.031039999292</v>
      </c>
      <c r="P126">
        <v>2016</v>
      </c>
      <c r="Q126" s="3">
        <f t="shared" si="66"/>
        <v>36995.280745216289</v>
      </c>
      <c r="R126" s="3">
        <f t="shared" si="67"/>
        <v>7399.0561490432574</v>
      </c>
      <c r="S126" s="3">
        <f t="shared" si="68"/>
        <v>4809.3864968781181</v>
      </c>
      <c r="T126" s="3">
        <f t="shared" si="69"/>
        <v>550</v>
      </c>
      <c r="U126" s="3">
        <f t="shared" si="70"/>
        <v>11658.442645921376</v>
      </c>
      <c r="V126" s="3"/>
      <c r="W126" s="3">
        <f t="shared" si="71"/>
        <v>28363.048571332489</v>
      </c>
      <c r="X126" s="3">
        <f t="shared" si="72"/>
        <v>5672.6097142664976</v>
      </c>
      <c r="Y126" s="3">
        <f t="shared" si="73"/>
        <v>3687.1963142732238</v>
      </c>
      <c r="Z126" s="3">
        <f t="shared" si="74"/>
        <v>1055.0036345396886</v>
      </c>
      <c r="AA126" s="3">
        <f t="shared" si="75"/>
        <v>10414.809663079412</v>
      </c>
      <c r="AC126" s="13">
        <f t="shared" si="76"/>
        <v>1.1194100538630729</v>
      </c>
    </row>
    <row r="127" spans="1:29">
      <c r="A127" s="3">
        <v>2020</v>
      </c>
      <c r="B127" s="3">
        <f t="shared" si="59"/>
        <v>32922.52206863914</v>
      </c>
      <c r="C127" s="3">
        <f t="shared" si="61"/>
        <v>6584.5044137278283</v>
      </c>
      <c r="D127" s="3">
        <f t="shared" si="62"/>
        <v>4279.9278689230887</v>
      </c>
      <c r="E127" s="3">
        <f t="shared" si="60"/>
        <v>0</v>
      </c>
      <c r="F127" s="3">
        <f t="shared" si="63"/>
        <v>10864.432282650916</v>
      </c>
      <c r="P127">
        <v>2017</v>
      </c>
      <c r="Q127" s="3">
        <f t="shared" si="66"/>
        <v>35988.324774101282</v>
      </c>
      <c r="R127" s="3">
        <f t="shared" si="67"/>
        <v>7197.6649548202568</v>
      </c>
      <c r="S127" s="3">
        <f t="shared" si="68"/>
        <v>4678.4822206331664</v>
      </c>
      <c r="T127" s="3">
        <f t="shared" si="69"/>
        <v>0</v>
      </c>
      <c r="U127" s="3">
        <f t="shared" si="70"/>
        <v>11876.147175453423</v>
      </c>
      <c r="V127" s="3"/>
      <c r="W127" s="3">
        <f t="shared" si="71"/>
        <v>27591.048993477652</v>
      </c>
      <c r="X127" s="3">
        <f t="shared" si="72"/>
        <v>5518.2097986955305</v>
      </c>
      <c r="Y127" s="3">
        <f t="shared" si="73"/>
        <v>3586.8363691520949</v>
      </c>
      <c r="Z127" s="3">
        <f t="shared" si="74"/>
        <v>1082.6285125539446</v>
      </c>
      <c r="AA127" s="3">
        <f t="shared" si="75"/>
        <v>10187.674680401571</v>
      </c>
      <c r="AC127" s="13">
        <f t="shared" si="76"/>
        <v>1.1657367896032285</v>
      </c>
    </row>
    <row r="128" spans="1:29">
      <c r="A128" s="3">
        <v>2021</v>
      </c>
      <c r="B128" s="3">
        <f t="shared" si="59"/>
        <v>32094.628145791419</v>
      </c>
      <c r="C128" s="3">
        <f t="shared" si="61"/>
        <v>6418.9256291582842</v>
      </c>
      <c r="D128" s="3">
        <f t="shared" si="62"/>
        <v>4172.3016589528843</v>
      </c>
      <c r="E128" s="3">
        <f t="shared" si="60"/>
        <v>0</v>
      </c>
      <c r="F128" s="3">
        <f t="shared" si="63"/>
        <v>10591.227288111168</v>
      </c>
      <c r="P128">
        <v>2018</v>
      </c>
      <c r="Q128" s="3">
        <f t="shared" si="66"/>
        <v>35364.468583826456</v>
      </c>
      <c r="R128" s="3">
        <f t="shared" si="67"/>
        <v>7072.8937167652912</v>
      </c>
      <c r="S128" s="3">
        <f t="shared" si="68"/>
        <v>4597.3809158974391</v>
      </c>
      <c r="T128" s="3">
        <f t="shared" si="69"/>
        <v>0</v>
      </c>
      <c r="U128" s="3">
        <f t="shared" si="70"/>
        <v>11670.274632662731</v>
      </c>
      <c r="V128" s="3"/>
      <c r="W128" s="3">
        <f t="shared" si="71"/>
        <v>26588</v>
      </c>
      <c r="X128" s="3">
        <f t="shared" si="72"/>
        <v>5317.6</v>
      </c>
      <c r="Y128" s="3">
        <f t="shared" si="73"/>
        <v>3456.44</v>
      </c>
      <c r="Z128" s="3">
        <f t="shared" si="74"/>
        <v>1106.7999459570156</v>
      </c>
      <c r="AA128" s="3">
        <f t="shared" si="75"/>
        <v>9880.8399459570173</v>
      </c>
      <c r="AC128" s="13">
        <f t="shared" si="76"/>
        <v>1.1811014748232922</v>
      </c>
    </row>
    <row r="129" spans="1:29">
      <c r="A129" s="3">
        <v>2022</v>
      </c>
      <c r="B129" s="3">
        <f t="shared" si="59"/>
        <v>32557.608057866382</v>
      </c>
      <c r="C129" s="3">
        <f t="shared" si="61"/>
        <v>6511.5216115732765</v>
      </c>
      <c r="D129" s="3">
        <f t="shared" si="62"/>
        <v>4232.4890475226302</v>
      </c>
      <c r="E129" s="3">
        <f t="shared" si="60"/>
        <v>0</v>
      </c>
      <c r="F129" s="3">
        <f t="shared" si="63"/>
        <v>10744.010659095908</v>
      </c>
      <c r="P129">
        <v>2019</v>
      </c>
      <c r="Q129" s="3">
        <f t="shared" si="66"/>
        <v>36035.981125815844</v>
      </c>
      <c r="R129" s="3">
        <f t="shared" si="67"/>
        <v>7207.1962251631685</v>
      </c>
      <c r="S129" s="3">
        <f t="shared" si="68"/>
        <v>4684.6775463560598</v>
      </c>
      <c r="T129" s="3">
        <f t="shared" si="69"/>
        <v>0</v>
      </c>
      <c r="U129" s="3">
        <f t="shared" si="70"/>
        <v>11891.873771519229</v>
      </c>
      <c r="V129" s="3"/>
      <c r="W129" s="3">
        <f t="shared" si="71"/>
        <v>26588</v>
      </c>
      <c r="X129" s="3">
        <f t="shared" si="72"/>
        <v>5317.6</v>
      </c>
      <c r="Y129" s="3">
        <f t="shared" si="73"/>
        <v>3456.44</v>
      </c>
      <c r="Z129" s="3">
        <f t="shared" si="74"/>
        <v>1095.1037857306271</v>
      </c>
      <c r="AA129" s="3">
        <f t="shared" si="75"/>
        <v>9869.1437857306282</v>
      </c>
      <c r="AC129" s="13">
        <f t="shared" si="76"/>
        <v>1.2049549616161415</v>
      </c>
    </row>
    <row r="130" spans="1:29">
      <c r="A130" s="3">
        <v>2023</v>
      </c>
      <c r="B130" s="3">
        <f t="shared" si="59"/>
        <v>32259.14289892419</v>
      </c>
      <c r="C130" s="3">
        <f t="shared" si="61"/>
        <v>6451.8285797848384</v>
      </c>
      <c r="D130" s="3">
        <f t="shared" si="62"/>
        <v>4193.6885768601451</v>
      </c>
      <c r="E130" s="3">
        <f t="shared" si="60"/>
        <v>0</v>
      </c>
      <c r="F130" s="3">
        <f t="shared" si="63"/>
        <v>10645.517156644983</v>
      </c>
      <c r="P130">
        <v>2020</v>
      </c>
      <c r="Q130" s="3">
        <f t="shared" si="66"/>
        <v>35819.704010679387</v>
      </c>
      <c r="R130" s="3">
        <f t="shared" si="67"/>
        <v>7163.9408021358777</v>
      </c>
      <c r="S130" s="3">
        <f t="shared" si="68"/>
        <v>4656.5615213883202</v>
      </c>
      <c r="T130" s="3">
        <f t="shared" si="69"/>
        <v>0</v>
      </c>
      <c r="U130" s="3">
        <f t="shared" si="70"/>
        <v>11820.502323524197</v>
      </c>
      <c r="V130" s="3"/>
      <c r="W130" s="3">
        <f t="shared" si="71"/>
        <v>26588</v>
      </c>
      <c r="X130" s="3">
        <f t="shared" si="72"/>
        <v>5317.6</v>
      </c>
      <c r="Y130" s="3">
        <f t="shared" si="73"/>
        <v>3456.44</v>
      </c>
      <c r="Z130" s="3">
        <f t="shared" si="74"/>
        <v>1085.3397571026594</v>
      </c>
      <c r="AA130" s="3">
        <f t="shared" si="75"/>
        <v>9859.3797571026607</v>
      </c>
      <c r="AC130" s="13">
        <f t="shared" si="76"/>
        <v>1.1989093243932258</v>
      </c>
    </row>
    <row r="131" spans="1:29">
      <c r="A131" s="3">
        <v>2024</v>
      </c>
      <c r="B131" s="3">
        <f t="shared" si="59"/>
        <v>31105.367975431382</v>
      </c>
      <c r="C131" s="3">
        <f t="shared" si="61"/>
        <v>6221.0735950862763</v>
      </c>
      <c r="D131" s="3">
        <f t="shared" si="62"/>
        <v>4043.69783680608</v>
      </c>
      <c r="E131" s="3">
        <f t="shared" si="60"/>
        <v>0</v>
      </c>
      <c r="F131" s="3">
        <f t="shared" si="63"/>
        <v>10264.771431892357</v>
      </c>
      <c r="P131">
        <v>2021</v>
      </c>
      <c r="Q131" s="3">
        <f t="shared" si="66"/>
        <v>34918.955422621068</v>
      </c>
      <c r="R131" s="3">
        <f t="shared" si="67"/>
        <v>6983.7910845242131</v>
      </c>
      <c r="S131" s="3">
        <f t="shared" si="68"/>
        <v>4539.4642049407394</v>
      </c>
      <c r="T131" s="3">
        <f t="shared" si="69"/>
        <v>0</v>
      </c>
      <c r="U131" s="3">
        <f t="shared" si="70"/>
        <v>11523.255289464953</v>
      </c>
      <c r="V131" s="3"/>
      <c r="W131" s="3">
        <f t="shared" si="71"/>
        <v>26588</v>
      </c>
      <c r="X131" s="3">
        <f t="shared" si="72"/>
        <v>5317.6</v>
      </c>
      <c r="Y131" s="3">
        <f t="shared" si="73"/>
        <v>3456.44</v>
      </c>
      <c r="Z131" s="3">
        <f t="shared" si="74"/>
        <v>1106.0567203841108</v>
      </c>
      <c r="AA131" s="3">
        <f t="shared" si="75"/>
        <v>9880.0967203841119</v>
      </c>
      <c r="AC131" s="13">
        <f t="shared" si="76"/>
        <v>1.1663099679672932</v>
      </c>
    </row>
    <row r="132" spans="1:29">
      <c r="A132" s="3">
        <v>2025</v>
      </c>
      <c r="B132" s="3">
        <f t="shared" si="59"/>
        <v>30114.836818244836</v>
      </c>
      <c r="C132" s="3">
        <f t="shared" si="61"/>
        <v>6022.967363648967</v>
      </c>
      <c r="D132" s="3">
        <f t="shared" si="62"/>
        <v>3914.9287863718287</v>
      </c>
      <c r="E132" s="3">
        <f t="shared" si="60"/>
        <v>0</v>
      </c>
      <c r="F132" s="3">
        <f t="shared" si="63"/>
        <v>9937.8961500207952</v>
      </c>
      <c r="P132">
        <v>2022</v>
      </c>
      <c r="Q132" s="3">
        <f t="shared" si="66"/>
        <v>35422.677566958628</v>
      </c>
      <c r="R132" s="3">
        <f t="shared" si="67"/>
        <v>7084.5355133917255</v>
      </c>
      <c r="S132" s="3">
        <f t="shared" si="68"/>
        <v>4604.9480837046221</v>
      </c>
      <c r="T132" s="3">
        <f t="shared" si="69"/>
        <v>0</v>
      </c>
      <c r="U132" s="3">
        <f t="shared" si="70"/>
        <v>11689.483597096347</v>
      </c>
      <c r="V132" s="3"/>
      <c r="W132" s="3">
        <f t="shared" si="71"/>
        <v>26588</v>
      </c>
      <c r="X132" s="3">
        <f t="shared" si="72"/>
        <v>5317.6</v>
      </c>
      <c r="Y132" s="3">
        <f t="shared" si="73"/>
        <v>3456.44</v>
      </c>
      <c r="Z132" s="3">
        <f t="shared" si="74"/>
        <v>1118.3000137882509</v>
      </c>
      <c r="AA132" s="3">
        <f t="shared" si="75"/>
        <v>9892.3400137882527</v>
      </c>
      <c r="AC132" s="13">
        <f t="shared" si="76"/>
        <v>1.1816702196652338</v>
      </c>
    </row>
    <row r="133" spans="1:29">
      <c r="A133" s="3">
        <v>2026</v>
      </c>
      <c r="B133" s="3">
        <f t="shared" si="59"/>
        <v>29550.537379161451</v>
      </c>
      <c r="C133" s="3">
        <f t="shared" si="61"/>
        <v>5910.1074758322902</v>
      </c>
      <c r="D133" s="3">
        <f t="shared" si="62"/>
        <v>3841.5698592909889</v>
      </c>
      <c r="E133" s="3">
        <f t="shared" si="60"/>
        <v>0</v>
      </c>
      <c r="F133" s="3">
        <f t="shared" si="63"/>
        <v>9751.6773351232787</v>
      </c>
      <c r="P133">
        <v>2023</v>
      </c>
      <c r="Q133" s="3">
        <f t="shared" si="66"/>
        <v>35097.947474029519</v>
      </c>
      <c r="R133" s="3">
        <f t="shared" si="67"/>
        <v>7019.589494805904</v>
      </c>
      <c r="S133" s="3">
        <f t="shared" si="68"/>
        <v>4562.7331716238377</v>
      </c>
      <c r="T133" s="3">
        <f t="shared" si="69"/>
        <v>0</v>
      </c>
      <c r="U133" s="3">
        <f t="shared" si="70"/>
        <v>11582.322666429742</v>
      </c>
      <c r="V133" s="3"/>
      <c r="W133" s="3">
        <f t="shared" si="71"/>
        <v>26588</v>
      </c>
      <c r="X133" s="3">
        <f t="shared" si="72"/>
        <v>5317.6</v>
      </c>
      <c r="Y133" s="3">
        <f t="shared" si="73"/>
        <v>3456.44</v>
      </c>
      <c r="Z133" s="3">
        <f t="shared" si="74"/>
        <v>1117.7953181929292</v>
      </c>
      <c r="AA133" s="3">
        <f t="shared" si="75"/>
        <v>9891.8353181929306</v>
      </c>
      <c r="AC133" s="13">
        <f t="shared" si="76"/>
        <v>1.1708972393755575</v>
      </c>
    </row>
    <row r="134" spans="1:29">
      <c r="A134" s="3">
        <v>2027</v>
      </c>
      <c r="B134" s="3">
        <f t="shared" si="59"/>
        <v>28986.23794007807</v>
      </c>
      <c r="C134" s="3">
        <f t="shared" si="61"/>
        <v>5797.2475880156144</v>
      </c>
      <c r="D134" s="3">
        <f t="shared" si="62"/>
        <v>3768.2109322101492</v>
      </c>
      <c r="E134" s="3">
        <f t="shared" si="60"/>
        <v>0</v>
      </c>
      <c r="F134" s="3">
        <f t="shared" si="63"/>
        <v>9565.458520225764</v>
      </c>
      <c r="P134">
        <v>2024</v>
      </c>
      <c r="Q134" s="3">
        <f t="shared" si="66"/>
        <v>33842.640357269345</v>
      </c>
      <c r="R134" s="3">
        <f t="shared" si="67"/>
        <v>6768.5280714538694</v>
      </c>
      <c r="S134" s="3">
        <f t="shared" si="68"/>
        <v>4399.543246445015</v>
      </c>
      <c r="T134" s="3">
        <f t="shared" si="69"/>
        <v>0</v>
      </c>
      <c r="U134" s="3">
        <f t="shared" si="70"/>
        <v>11168.071317898884</v>
      </c>
      <c r="V134" s="3"/>
      <c r="W134" s="3">
        <f t="shared" si="71"/>
        <v>26588</v>
      </c>
      <c r="X134" s="3">
        <f t="shared" si="72"/>
        <v>5317.6</v>
      </c>
      <c r="Y134" s="3">
        <f t="shared" si="73"/>
        <v>3456.44</v>
      </c>
      <c r="Z134" s="3">
        <f t="shared" si="74"/>
        <v>1109.4943115086987</v>
      </c>
      <c r="AA134" s="3">
        <f t="shared" si="75"/>
        <v>9883.5343115086998</v>
      </c>
      <c r="AC134" s="13">
        <f t="shared" si="76"/>
        <v>1.12996737461562</v>
      </c>
    </row>
    <row r="135" spans="1:29">
      <c r="A135" s="3">
        <v>2028</v>
      </c>
      <c r="B135" s="3">
        <f t="shared" si="59"/>
        <v>28351.401071109263</v>
      </c>
      <c r="C135" s="3">
        <f t="shared" si="61"/>
        <v>5670.2802142218525</v>
      </c>
      <c r="D135" s="3">
        <f t="shared" si="62"/>
        <v>3685.6821392442043</v>
      </c>
      <c r="E135" s="3">
        <f t="shared" si="60"/>
        <v>0</v>
      </c>
      <c r="F135" s="3">
        <f t="shared" si="63"/>
        <v>9355.9623534660568</v>
      </c>
      <c r="P135">
        <v>2025</v>
      </c>
      <c r="Q135" s="3">
        <f t="shared" si="66"/>
        <v>32764.942458250382</v>
      </c>
      <c r="R135" s="3">
        <f t="shared" si="67"/>
        <v>6552.988491650076</v>
      </c>
      <c r="S135" s="3">
        <f t="shared" si="68"/>
        <v>4259.4425195725498</v>
      </c>
      <c r="T135" s="3">
        <f t="shared" si="69"/>
        <v>0</v>
      </c>
      <c r="U135" s="3">
        <f t="shared" si="70"/>
        <v>10812.431011222627</v>
      </c>
      <c r="V135" s="3"/>
      <c r="W135" s="3">
        <f t="shared" si="71"/>
        <v>26588</v>
      </c>
      <c r="X135" s="3">
        <f t="shared" si="72"/>
        <v>5317.6</v>
      </c>
      <c r="Y135" s="3">
        <f t="shared" si="73"/>
        <v>3456.44</v>
      </c>
      <c r="Z135" s="3">
        <f t="shared" si="74"/>
        <v>1112.8402229389999</v>
      </c>
      <c r="AA135" s="3">
        <f t="shared" si="75"/>
        <v>9886.8802229390003</v>
      </c>
      <c r="AC135" s="13">
        <f t="shared" si="76"/>
        <v>1.0936140387476541</v>
      </c>
    </row>
    <row r="136" spans="1:29">
      <c r="A136" s="3">
        <v>2029</v>
      </c>
      <c r="B136" s="3">
        <f t="shared" si="59"/>
        <v>27787.101632025886</v>
      </c>
      <c r="C136" s="3">
        <f t="shared" si="61"/>
        <v>5557.4203264051775</v>
      </c>
      <c r="D136" s="3">
        <f t="shared" si="62"/>
        <v>3612.3232121633655</v>
      </c>
      <c r="E136" s="3">
        <f t="shared" si="60"/>
        <v>0</v>
      </c>
      <c r="F136" s="3">
        <f t="shared" si="63"/>
        <v>9169.7435385685421</v>
      </c>
      <c r="P136">
        <v>2026</v>
      </c>
      <c r="Q136" s="3">
        <f t="shared" si="66"/>
        <v>32150.984668527657</v>
      </c>
      <c r="R136" s="3">
        <f t="shared" si="67"/>
        <v>6430.1969337055316</v>
      </c>
      <c r="S136" s="3">
        <f t="shared" si="68"/>
        <v>4179.6280069085951</v>
      </c>
      <c r="T136" s="3">
        <f t="shared" si="69"/>
        <v>0</v>
      </c>
      <c r="U136" s="3">
        <f t="shared" si="70"/>
        <v>10609.824940614126</v>
      </c>
      <c r="V136" s="3"/>
      <c r="W136" s="3">
        <f t="shared" si="71"/>
        <v>26588</v>
      </c>
      <c r="X136" s="3">
        <f t="shared" si="72"/>
        <v>5317.6</v>
      </c>
      <c r="Y136" s="3">
        <f t="shared" si="73"/>
        <v>3456.44</v>
      </c>
      <c r="Z136" s="3">
        <f t="shared" si="74"/>
        <v>1126.7610213788455</v>
      </c>
      <c r="AA136" s="3">
        <f t="shared" si="75"/>
        <v>9900.8010213788457</v>
      </c>
      <c r="AC136" s="13">
        <f t="shared" si="76"/>
        <v>1.071612783420683</v>
      </c>
    </row>
    <row r="137" spans="1:29">
      <c r="A137" s="3">
        <v>2030</v>
      </c>
      <c r="B137" s="3">
        <f t="shared" si="59"/>
        <v>27152.264763057083</v>
      </c>
      <c r="C137" s="3">
        <f t="shared" si="61"/>
        <v>5430.4529526114165</v>
      </c>
      <c r="D137" s="3">
        <f t="shared" si="62"/>
        <v>3529.7944191974207</v>
      </c>
      <c r="E137" s="3">
        <f t="shared" si="60"/>
        <v>0</v>
      </c>
      <c r="F137" s="3">
        <f t="shared" si="63"/>
        <v>8960.2473718088368</v>
      </c>
      <c r="P137">
        <v>2027</v>
      </c>
      <c r="Q137" s="3">
        <f t="shared" si="66"/>
        <v>31537.026878804936</v>
      </c>
      <c r="R137" s="3">
        <f t="shared" si="67"/>
        <v>6307.4053757609872</v>
      </c>
      <c r="S137" s="3">
        <f t="shared" si="68"/>
        <v>4099.8134942446422</v>
      </c>
      <c r="T137" s="3">
        <f t="shared" si="69"/>
        <v>0</v>
      </c>
      <c r="U137" s="3">
        <f t="shared" si="70"/>
        <v>10407.218870005629</v>
      </c>
      <c r="V137" s="3"/>
      <c r="W137" s="3">
        <f t="shared" si="71"/>
        <v>26588</v>
      </c>
      <c r="X137" s="3">
        <f t="shared" si="72"/>
        <v>5317.6</v>
      </c>
      <c r="Y137" s="3">
        <f t="shared" si="73"/>
        <v>3456.44</v>
      </c>
      <c r="Z137" s="3">
        <f t="shared" si="74"/>
        <v>1128.3306539276666</v>
      </c>
      <c r="AA137" s="3">
        <f t="shared" si="75"/>
        <v>9902.3706539276682</v>
      </c>
      <c r="AC137" s="13">
        <f t="shared" si="76"/>
        <v>1.0509825610171155</v>
      </c>
    </row>
    <row r="138" spans="1:29">
      <c r="A138" s="3">
        <v>2031</v>
      </c>
      <c r="B138" s="3"/>
      <c r="C138" s="3"/>
      <c r="D138" s="3"/>
      <c r="E138" s="3"/>
      <c r="F138" s="3"/>
      <c r="P138">
        <v>2028</v>
      </c>
      <c r="Q138" s="3">
        <f t="shared" si="66"/>
        <v>30846.324365366876</v>
      </c>
      <c r="R138" s="3">
        <f t="shared" si="67"/>
        <v>6169.2648730733754</v>
      </c>
      <c r="S138" s="3">
        <f t="shared" si="68"/>
        <v>4010.0221674976942</v>
      </c>
      <c r="T138" s="3">
        <f t="shared" si="69"/>
        <v>0</v>
      </c>
      <c r="U138" s="3">
        <f t="shared" si="70"/>
        <v>10179.287040571069</v>
      </c>
      <c r="V138" s="3"/>
      <c r="W138" s="3">
        <f t="shared" si="71"/>
        <v>26588</v>
      </c>
      <c r="X138" s="3">
        <f t="shared" si="72"/>
        <v>5317.6</v>
      </c>
      <c r="Y138" s="3">
        <f t="shared" si="73"/>
        <v>3456.44</v>
      </c>
      <c r="Z138" s="3">
        <f t="shared" si="74"/>
        <v>1125.134978521017</v>
      </c>
      <c r="AA138" s="3">
        <f t="shared" si="75"/>
        <v>9899.1749785210177</v>
      </c>
      <c r="AC138" s="13">
        <f t="shared" si="76"/>
        <v>1.0282965057853641</v>
      </c>
    </row>
    <row r="139" spans="1:29">
      <c r="A139" s="3">
        <v>2032</v>
      </c>
      <c r="B139" s="3"/>
      <c r="C139" s="3"/>
      <c r="D139" s="3"/>
      <c r="E139" s="3"/>
      <c r="F139" s="3"/>
      <c r="P139">
        <v>2029</v>
      </c>
      <c r="Q139" s="3">
        <f t="shared" si="66"/>
        <v>30232.366575644166</v>
      </c>
      <c r="R139" s="3">
        <f t="shared" si="67"/>
        <v>6046.4733151288328</v>
      </c>
      <c r="S139" s="3">
        <f t="shared" si="68"/>
        <v>3930.2076548337418</v>
      </c>
      <c r="T139" s="3">
        <f t="shared" si="69"/>
        <v>0</v>
      </c>
      <c r="U139" s="3">
        <f t="shared" si="70"/>
        <v>9976.6809699625737</v>
      </c>
      <c r="V139" s="3"/>
      <c r="W139" s="3">
        <f t="shared" si="71"/>
        <v>26588</v>
      </c>
      <c r="X139" s="3">
        <f t="shared" si="72"/>
        <v>5317.6</v>
      </c>
      <c r="Y139" s="3">
        <f t="shared" si="73"/>
        <v>3456.44</v>
      </c>
      <c r="Z139" s="3">
        <f t="shared" si="74"/>
        <v>1124.6988113735435</v>
      </c>
      <c r="AA139" s="3">
        <f t="shared" si="75"/>
        <v>9898.7388113735451</v>
      </c>
      <c r="AC139" s="13">
        <f t="shared" si="76"/>
        <v>1.007873948396282</v>
      </c>
    </row>
    <row r="140" spans="1:29">
      <c r="A140" s="3">
        <v>2033</v>
      </c>
      <c r="B140" s="3"/>
      <c r="C140" s="3"/>
      <c r="D140" s="3"/>
      <c r="E140" s="3"/>
      <c r="F140" s="3"/>
      <c r="P140">
        <v>2030</v>
      </c>
      <c r="Q140" s="3">
        <f>B105</f>
        <v>29541.664062206106</v>
      </c>
      <c r="R140" s="3">
        <f t="shared" si="67"/>
        <v>5908.332812441221</v>
      </c>
      <c r="S140" s="3">
        <f t="shared" si="68"/>
        <v>3840.4163280867938</v>
      </c>
      <c r="T140" s="3">
        <f t="shared" si="69"/>
        <v>0</v>
      </c>
      <c r="U140" s="3">
        <f t="shared" si="70"/>
        <v>9748.7491405280143</v>
      </c>
      <c r="V140" s="3"/>
      <c r="W140" s="3">
        <f t="shared" si="71"/>
        <v>26588</v>
      </c>
      <c r="X140" s="3">
        <f t="shared" si="72"/>
        <v>5317.6</v>
      </c>
      <c r="Y140" s="3">
        <f t="shared" si="73"/>
        <v>3456.44</v>
      </c>
      <c r="Z140" s="3">
        <f t="shared" si="74"/>
        <v>1121.6665692085878</v>
      </c>
      <c r="AA140" s="3">
        <f t="shared" si="75"/>
        <v>9895.7065692085889</v>
      </c>
      <c r="AC140" s="13">
        <f t="shared" si="76"/>
        <v>0.98514937486749599</v>
      </c>
    </row>
    <row r="141" spans="1:29">
      <c r="A141" s="3">
        <v>2034</v>
      </c>
      <c r="B141" s="3"/>
      <c r="C141" s="3"/>
      <c r="D141" s="3"/>
      <c r="E141" s="3"/>
      <c r="F141" s="3"/>
    </row>
    <row r="142" spans="1:29">
      <c r="A142" s="3">
        <v>2035</v>
      </c>
      <c r="B142" s="3"/>
      <c r="C142" s="3"/>
      <c r="D142" s="3"/>
      <c r="E142" s="3"/>
      <c r="F142" s="3"/>
    </row>
    <row r="143" spans="1:29">
      <c r="A143" s="3">
        <v>2036</v>
      </c>
      <c r="B143" s="3"/>
      <c r="C143" s="3"/>
      <c r="D143" s="3"/>
      <c r="E143" s="3"/>
      <c r="F143" s="3"/>
    </row>
    <row r="144" spans="1:29">
      <c r="A144" s="3">
        <v>2037</v>
      </c>
      <c r="B144" s="3"/>
      <c r="C144" s="3"/>
      <c r="D144" s="3"/>
      <c r="E144" s="3"/>
      <c r="F144" s="3"/>
    </row>
    <row r="145" spans="1:6">
      <c r="A145" s="3">
        <v>2038</v>
      </c>
      <c r="B145" s="3"/>
      <c r="C145" s="3"/>
      <c r="D145" s="3"/>
      <c r="E145" s="3"/>
      <c r="F145" s="3"/>
    </row>
    <row r="146" spans="1:6">
      <c r="A146" s="3">
        <v>2039</v>
      </c>
      <c r="B146" s="3"/>
      <c r="C146" s="3"/>
      <c r="D146" s="3"/>
      <c r="E146" s="3"/>
      <c r="F146" s="3"/>
    </row>
    <row r="147" spans="1:6">
      <c r="A147" s="3">
        <v>2040</v>
      </c>
      <c r="B147" s="3"/>
      <c r="C147" s="3"/>
      <c r="D147" s="3"/>
      <c r="E147" s="3"/>
      <c r="F147" s="3"/>
    </row>
  </sheetData>
  <hyperlinks>
    <hyperlink ref="W38" r:id="rId1" location="cite_note-Tax2016-15" display="https://www.wikizero.com/en/Plug-in_electric_vehicles_in_the_Netherlands - cite_note-Tax2016-15"/>
  </hyperlinks>
  <pageMargins left="0.7" right="0.7" top="0.75" bottom="0.75" header="0.3" footer="0.3"/>
  <pageSetup paperSize="9"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activeCell="A3" sqref="A3:G19"/>
    </sheetView>
  </sheetViews>
  <sheetFormatPr defaultRowHeight="15"/>
  <cols>
    <col min="1" max="1" width="18.28515625" customWidth="1"/>
    <col min="2" max="7" width="13.28515625" customWidth="1"/>
  </cols>
  <sheetData>
    <row r="1" spans="1:7">
      <c r="A1" t="s">
        <v>148</v>
      </c>
    </row>
    <row r="2" spans="1:7" ht="15.75" thickBot="1"/>
    <row r="3" spans="1:7">
      <c r="A3" s="44" t="s">
        <v>149</v>
      </c>
      <c r="B3" s="44"/>
    </row>
    <row r="4" spans="1:7">
      <c r="A4" s="41" t="s">
        <v>150</v>
      </c>
      <c r="B4" s="41">
        <v>0.99899450693966829</v>
      </c>
    </row>
    <row r="5" spans="1:7">
      <c r="A5" s="41" t="s">
        <v>151</v>
      </c>
      <c r="B5" s="41">
        <v>0.99799002489563093</v>
      </c>
    </row>
    <row r="6" spans="1:7">
      <c r="A6" s="41" t="s">
        <v>152</v>
      </c>
      <c r="B6" s="41">
        <v>0.99598004979126187</v>
      </c>
    </row>
    <row r="7" spans="1:7">
      <c r="A7" s="41" t="s">
        <v>153</v>
      </c>
      <c r="B7" s="41">
        <v>4.6847033428624563E-2</v>
      </c>
    </row>
    <row r="8" spans="1:7" ht="15.75" thickBot="1">
      <c r="A8" s="42" t="s">
        <v>154</v>
      </c>
      <c r="B8" s="42">
        <v>5</v>
      </c>
    </row>
    <row r="10" spans="1:7" ht="15.75" thickBot="1">
      <c r="A10" t="s">
        <v>155</v>
      </c>
    </row>
    <row r="11" spans="1:7">
      <c r="A11" s="43"/>
      <c r="B11" s="43" t="s">
        <v>160</v>
      </c>
      <c r="C11" s="43" t="s">
        <v>161</v>
      </c>
      <c r="D11" s="43" t="s">
        <v>162</v>
      </c>
      <c r="E11" s="43" t="s">
        <v>163</v>
      </c>
      <c r="F11" s="43" t="s">
        <v>164</v>
      </c>
    </row>
    <row r="12" spans="1:7">
      <c r="A12" s="41" t="s">
        <v>156</v>
      </c>
      <c r="B12" s="41">
        <v>2</v>
      </c>
      <c r="C12" s="41">
        <v>2.1793636701383643</v>
      </c>
      <c r="D12" s="41">
        <v>1.0896818350691821</v>
      </c>
      <c r="E12" s="41">
        <v>496.51860001964059</v>
      </c>
      <c r="F12" s="41">
        <v>2.0099751043690084E-3</v>
      </c>
    </row>
    <row r="13" spans="1:7">
      <c r="A13" s="41" t="s">
        <v>157</v>
      </c>
      <c r="B13" s="41">
        <v>2</v>
      </c>
      <c r="C13" s="41">
        <v>4.3892890821253345E-3</v>
      </c>
      <c r="D13" s="41">
        <v>2.1946445410626673E-3</v>
      </c>
      <c r="E13" s="41"/>
      <c r="F13" s="41"/>
    </row>
    <row r="14" spans="1:7" ht="15.75" thickBot="1">
      <c r="A14" s="42" t="s">
        <v>158</v>
      </c>
      <c r="B14" s="42">
        <v>4</v>
      </c>
      <c r="C14" s="42">
        <v>2.1837529592204898</v>
      </c>
      <c r="D14" s="42"/>
      <c r="E14" s="42"/>
      <c r="F14" s="42"/>
    </row>
    <row r="15" spans="1:7" ht="15.75" thickBot="1"/>
    <row r="16" spans="1:7">
      <c r="A16" s="43"/>
      <c r="B16" s="43" t="s">
        <v>165</v>
      </c>
      <c r="C16" s="43" t="s">
        <v>153</v>
      </c>
      <c r="D16" s="43" t="s">
        <v>166</v>
      </c>
      <c r="E16" s="43" t="s">
        <v>167</v>
      </c>
      <c r="F16" s="43" t="s">
        <v>168</v>
      </c>
      <c r="G16" s="43" t="s">
        <v>169</v>
      </c>
    </row>
    <row r="17" spans="1:7">
      <c r="A17" s="41" t="s">
        <v>159</v>
      </c>
      <c r="B17" s="41">
        <v>-8.4120006027328085</v>
      </c>
      <c r="C17" s="41">
        <v>0.11718448879471137</v>
      </c>
      <c r="D17" s="41">
        <v>-71.784249684011499</v>
      </c>
      <c r="E17" s="41">
        <v>1.940060490867042E-4</v>
      </c>
      <c r="F17" s="41">
        <v>-8.9162047633296684</v>
      </c>
      <c r="G17" s="41">
        <v>-7.9077964421359486</v>
      </c>
    </row>
    <row r="18" spans="1:7">
      <c r="A18" s="41" t="s">
        <v>329</v>
      </c>
      <c r="B18" s="41">
        <v>0.41617878264085123</v>
      </c>
      <c r="C18" s="41">
        <v>1.5837187849444437E-2</v>
      </c>
      <c r="D18" s="41">
        <v>26.278578406547766</v>
      </c>
      <c r="E18" s="41">
        <v>1.4449544844140256E-3</v>
      </c>
      <c r="F18" s="41">
        <v>0.3480368631088841</v>
      </c>
      <c r="G18" s="41">
        <v>0.48432070217281836</v>
      </c>
    </row>
    <row r="19" spans="1:7" ht="15.75" thickBot="1">
      <c r="A19" s="42" t="s">
        <v>745</v>
      </c>
      <c r="B19" s="42">
        <v>-0.39069765771640191</v>
      </c>
      <c r="C19" s="42">
        <v>5.5992914616336785E-2</v>
      </c>
      <c r="D19" s="42">
        <v>-6.9776267299793311</v>
      </c>
      <c r="E19" s="42">
        <v>1.9927367613008638E-2</v>
      </c>
      <c r="F19" s="42">
        <v>-0.63161572463701199</v>
      </c>
      <c r="G19" s="42">
        <v>-0.14977959079579181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70"/>
  <sheetViews>
    <sheetView zoomScale="75" zoomScaleNormal="75" workbookViewId="0">
      <pane xSplit="1" ySplit="3" topLeftCell="B4" activePane="bottomRight" state="frozen"/>
      <selection pane="topRight" activeCell="B1" sqref="B1"/>
      <selection pane="bottomLeft" activeCell="A4" sqref="A4"/>
      <selection pane="bottomRight" activeCell="W3" sqref="W3:Z25"/>
    </sheetView>
  </sheetViews>
  <sheetFormatPr defaultRowHeight="15"/>
  <cols>
    <col min="2" max="2" width="12.5703125" customWidth="1"/>
    <col min="3" max="3" width="17.7109375" customWidth="1"/>
    <col min="4" max="12" width="12.5703125" customWidth="1"/>
  </cols>
  <sheetData>
    <row r="1" spans="1:35">
      <c r="P1" s="14"/>
      <c r="R1" s="236" t="s">
        <v>1318</v>
      </c>
      <c r="S1" s="236"/>
      <c r="T1" s="236"/>
      <c r="U1" s="236"/>
      <c r="W1" s="236" t="s">
        <v>1318</v>
      </c>
      <c r="X1" s="236"/>
      <c r="Y1" s="236"/>
      <c r="Z1" s="236"/>
    </row>
    <row r="2" spans="1:35">
      <c r="B2" t="s">
        <v>684</v>
      </c>
      <c r="C2" t="s">
        <v>282</v>
      </c>
      <c r="L2" t="s">
        <v>282</v>
      </c>
      <c r="S2" t="s">
        <v>1172</v>
      </c>
      <c r="X2" t="s">
        <v>1184</v>
      </c>
      <c r="AB2" t="s">
        <v>960</v>
      </c>
    </row>
    <row r="3" spans="1:35">
      <c r="B3" t="s">
        <v>1299</v>
      </c>
      <c r="C3" t="s">
        <v>1321</v>
      </c>
      <c r="D3" t="s">
        <v>1164</v>
      </c>
      <c r="E3" s="87" t="s">
        <v>1137</v>
      </c>
      <c r="F3" s="87" t="s">
        <v>1384</v>
      </c>
      <c r="G3" s="87" t="s">
        <v>1383</v>
      </c>
      <c r="H3" s="87" t="s">
        <v>1382</v>
      </c>
      <c r="I3" s="87" t="s">
        <v>1136</v>
      </c>
      <c r="J3" t="s">
        <v>1163</v>
      </c>
      <c r="L3" s="14" t="s">
        <v>1328</v>
      </c>
      <c r="M3" s="14" t="s">
        <v>1160</v>
      </c>
      <c r="N3" s="14" t="s">
        <v>944</v>
      </c>
      <c r="O3" s="78" t="s">
        <v>1153</v>
      </c>
      <c r="P3" s="14" t="s">
        <v>1152</v>
      </c>
      <c r="S3" s="236" t="s">
        <v>1173</v>
      </c>
      <c r="T3" s="236" t="s">
        <v>1147</v>
      </c>
      <c r="U3" s="236" t="s">
        <v>1174</v>
      </c>
      <c r="X3" s="236" t="s">
        <v>1173</v>
      </c>
      <c r="Y3" s="236" t="s">
        <v>1147</v>
      </c>
      <c r="Z3" s="236" t="s">
        <v>1174</v>
      </c>
      <c r="AB3" s="14" t="s">
        <v>1298</v>
      </c>
      <c r="AD3" t="s">
        <v>1310</v>
      </c>
      <c r="AE3" t="s">
        <v>1296</v>
      </c>
      <c r="AF3" t="s">
        <v>943</v>
      </c>
      <c r="AH3" t="s">
        <v>329</v>
      </c>
      <c r="AI3" t="s">
        <v>745</v>
      </c>
    </row>
    <row r="4" spans="1:35">
      <c r="A4">
        <v>2009</v>
      </c>
      <c r="B4" s="13">
        <f>'EV %sales'!Q67</f>
        <v>0</v>
      </c>
      <c r="C4" s="20"/>
      <c r="D4" s="13"/>
      <c r="E4" s="13"/>
      <c r="F4" s="84"/>
      <c r="G4" s="84"/>
      <c r="H4" s="84"/>
      <c r="I4" s="13"/>
      <c r="J4" s="13"/>
      <c r="K4" s="13"/>
      <c r="L4" s="13"/>
      <c r="M4" s="13"/>
      <c r="N4" s="13"/>
      <c r="O4" s="13"/>
      <c r="P4" s="13"/>
      <c r="R4">
        <v>2009</v>
      </c>
      <c r="W4">
        <v>2009</v>
      </c>
      <c r="AB4" s="13"/>
      <c r="AC4" s="13"/>
    </row>
    <row r="5" spans="1:35">
      <c r="A5">
        <v>2010</v>
      </c>
      <c r="B5" s="13">
        <f>'EV %sales'!Q68</f>
        <v>0</v>
      </c>
      <c r="C5" s="20"/>
      <c r="D5" s="13"/>
      <c r="E5" s="13"/>
      <c r="F5" s="230"/>
      <c r="G5" s="230"/>
      <c r="H5" s="230"/>
      <c r="I5" s="13"/>
      <c r="J5" s="13"/>
      <c r="K5" s="13"/>
      <c r="L5" s="13"/>
      <c r="M5" s="13"/>
      <c r="N5" s="13"/>
      <c r="O5" s="13"/>
      <c r="P5" s="13"/>
      <c r="R5">
        <v>2010</v>
      </c>
      <c r="W5">
        <v>2010</v>
      </c>
      <c r="AB5" s="13">
        <f>65*EXP(AF5)/(1+EXP(AF5))</f>
        <v>2.1888993231889326E-2</v>
      </c>
      <c r="AC5" s="13"/>
      <c r="AD5" s="155"/>
      <c r="AE5" s="33">
        <f t="shared" ref="AE5:AE50" si="0">AE$56+AE$57*AH5+AE$58*AI5</f>
        <v>-7.9958218200919573</v>
      </c>
      <c r="AF5" s="33">
        <f t="shared" ref="AF5:AF50" si="1">AE$56+AE$57*AH5</f>
        <v>-7.9958218200919573</v>
      </c>
      <c r="AH5">
        <v>1</v>
      </c>
      <c r="AI5">
        <v>0</v>
      </c>
    </row>
    <row r="6" spans="1:35">
      <c r="A6">
        <v>2011</v>
      </c>
      <c r="B6" s="13">
        <f>'EV %sales'!Q69</f>
        <v>0</v>
      </c>
      <c r="C6" s="20"/>
      <c r="D6" s="13"/>
      <c r="E6" s="13"/>
      <c r="F6" s="230"/>
      <c r="G6" s="230"/>
      <c r="H6" s="230"/>
      <c r="I6" s="13"/>
      <c r="J6" s="13"/>
      <c r="K6" s="13"/>
      <c r="L6" s="13"/>
      <c r="M6" s="13"/>
      <c r="N6" s="13"/>
      <c r="O6" s="13"/>
      <c r="P6" s="13"/>
      <c r="R6">
        <v>2011</v>
      </c>
      <c r="W6">
        <v>2011</v>
      </c>
      <c r="AB6" s="13">
        <f>65*EXP(AF6)/(1+EXP(AF6))</f>
        <v>3.3181380766074499E-2</v>
      </c>
      <c r="AC6" s="13"/>
      <c r="AD6" s="155"/>
      <c r="AE6" s="33">
        <f t="shared" si="0"/>
        <v>-7.5796430374511061</v>
      </c>
      <c r="AF6" s="33">
        <f t="shared" si="1"/>
        <v>-7.5796430374511061</v>
      </c>
      <c r="AH6">
        <v>2</v>
      </c>
      <c r="AI6">
        <v>0</v>
      </c>
    </row>
    <row r="7" spans="1:35">
      <c r="A7">
        <v>2012</v>
      </c>
      <c r="B7" s="13">
        <f>'EV %sales'!Q70</f>
        <v>0</v>
      </c>
      <c r="C7" s="13">
        <f t="shared" ref="C7:C15" si="2">D7</f>
        <v>5.0294927467282827E-2</v>
      </c>
      <c r="D7" s="84">
        <f>65*EXP(E7)/(1+EXP(E7))</f>
        <v>5.0294927467282827E-2</v>
      </c>
      <c r="E7" s="84">
        <f>J7-SUM(F7:F$7)</f>
        <v>-7.1634642548102549</v>
      </c>
      <c r="F7" s="13">
        <f>I7*G7</f>
        <v>0</v>
      </c>
      <c r="G7" s="13">
        <f>IF(H7&lt;0,0,H7)</f>
        <v>1</v>
      </c>
      <c r="H7" s="13">
        <v>1</v>
      </c>
      <c r="I7" s="13">
        <v>0</v>
      </c>
      <c r="J7" s="13">
        <f>LN(L7/(65-L7))</f>
        <v>-7.1634642548102549</v>
      </c>
      <c r="K7" s="13"/>
      <c r="L7" s="84">
        <f t="shared" ref="L7:L14" si="3">M7</f>
        <v>5.0294927467282827E-2</v>
      </c>
      <c r="M7" s="13">
        <f t="shared" ref="M7:M50" si="4">LOOKUP(ROUND(N7,0),A$4:A$50,AB$4:AB$50)</f>
        <v>5.0294927467282827E-2</v>
      </c>
      <c r="N7" s="13">
        <f t="shared" ref="N7:N50" si="5">A7-(O7-O$11)</f>
        <v>2012.1743912025327</v>
      </c>
      <c r="O7" s="13">
        <f t="shared" ref="O7:O50" si="6">AA$56+AA$57*P7+AA$64*1</f>
        <v>2020.7434827492539</v>
      </c>
      <c r="P7" s="13">
        <f>1/'New Zealand'!R87</f>
        <v>1.1820731567551221</v>
      </c>
      <c r="R7">
        <v>2012</v>
      </c>
      <c r="S7" s="13">
        <v>5.0294927467282827E-2</v>
      </c>
      <c r="T7" s="13">
        <v>5.0294927467282827E-2</v>
      </c>
      <c r="U7" s="13">
        <v>5.0294927467282827E-2</v>
      </c>
      <c r="W7">
        <v>2012</v>
      </c>
      <c r="X7" s="13">
        <v>5.0294927467282827E-2</v>
      </c>
      <c r="Y7" s="13">
        <f>T7</f>
        <v>5.0294927467282827E-2</v>
      </c>
      <c r="Z7" s="13">
        <v>5.0294927467282827E-2</v>
      </c>
      <c r="AB7" s="13">
        <f>65*EXP(AF7)/(1+EXP(AF7))</f>
        <v>5.0294927467282827E-2</v>
      </c>
      <c r="AC7" s="13"/>
      <c r="AD7" s="155"/>
      <c r="AE7" s="33">
        <f t="shared" si="0"/>
        <v>-7.1634642548102549</v>
      </c>
      <c r="AF7" s="33">
        <f t="shared" si="1"/>
        <v>-7.1634642548102549</v>
      </c>
      <c r="AH7">
        <v>3</v>
      </c>
      <c r="AI7">
        <v>0</v>
      </c>
    </row>
    <row r="8" spans="1:35">
      <c r="A8">
        <v>2013</v>
      </c>
      <c r="B8" s="13">
        <f>'EV %sales'!Q71</f>
        <v>8.5561497326203211E-3</v>
      </c>
      <c r="C8" s="13">
        <f t="shared" si="2"/>
        <v>7.6224558672425224E-2</v>
      </c>
      <c r="D8" s="84">
        <f t="shared" ref="D8:D49" si="7">65*EXP(E8)/(1+EXP(E8))</f>
        <v>7.6224558672425224E-2</v>
      </c>
      <c r="E8" s="84">
        <f>J8-SUM(F$7:F8)</f>
        <v>-6.7472854721694038</v>
      </c>
      <c r="F8" s="13">
        <f t="shared" ref="F8:F50" si="8">I8*G8</f>
        <v>0</v>
      </c>
      <c r="G8" s="13">
        <f t="shared" ref="G8:G50" si="9">IF(H8&lt;0,0,H8)</f>
        <v>1</v>
      </c>
      <c r="H8" s="13">
        <v>1</v>
      </c>
      <c r="I8" s="13">
        <v>0</v>
      </c>
      <c r="J8" s="13">
        <f t="shared" ref="J8:J47" si="10">LN(L8/(65-L8))</f>
        <v>-6.7472854721694038</v>
      </c>
      <c r="K8" s="13"/>
      <c r="L8" s="84">
        <f t="shared" si="3"/>
        <v>7.6224558672425224E-2</v>
      </c>
      <c r="M8" s="13">
        <f t="shared" si="4"/>
        <v>7.6224558672425224E-2</v>
      </c>
      <c r="N8" s="13">
        <f t="shared" si="5"/>
        <v>2013.024020074273</v>
      </c>
      <c r="O8" s="13">
        <f t="shared" si="6"/>
        <v>2020.8938538775135</v>
      </c>
      <c r="P8" s="13">
        <f>1/'New Zealand'!R88</f>
        <v>1.1960171910021844</v>
      </c>
      <c r="R8">
        <v>2013</v>
      </c>
      <c r="S8" s="13">
        <v>7.6224558672425224E-2</v>
      </c>
      <c r="T8" s="13">
        <v>7.6224558672425224E-2</v>
      </c>
      <c r="U8" s="13">
        <v>7.6224558672425224E-2</v>
      </c>
      <c r="W8">
        <v>2013</v>
      </c>
      <c r="X8" s="13">
        <v>7.6224558672425224E-2</v>
      </c>
      <c r="Y8" s="13">
        <f t="shared" ref="Y8:Y45" si="11">T8</f>
        <v>7.6224558672425224E-2</v>
      </c>
      <c r="Z8" s="13">
        <v>7.6224558672425224E-2</v>
      </c>
      <c r="AB8" s="13">
        <f>65*EXP(AF8)/(1+EXP(AF8))</f>
        <v>7.6224558672425224E-2</v>
      </c>
      <c r="AC8" s="13"/>
      <c r="AD8" s="33"/>
      <c r="AE8" s="33">
        <f t="shared" si="0"/>
        <v>-6.7472854721694038</v>
      </c>
      <c r="AF8" s="33">
        <f t="shared" si="1"/>
        <v>-6.7472854721694038</v>
      </c>
      <c r="AH8">
        <v>4</v>
      </c>
      <c r="AI8">
        <v>0</v>
      </c>
    </row>
    <row r="9" spans="1:35">
      <c r="A9">
        <v>2014</v>
      </c>
      <c r="B9" s="13">
        <f>'EV %sales'!Q72</f>
        <v>0.11238938053097347</v>
      </c>
      <c r="C9" s="13">
        <f t="shared" si="2"/>
        <v>7.6224558672425224E-2</v>
      </c>
      <c r="D9" s="84">
        <f t="shared" si="7"/>
        <v>7.6224558672425224E-2</v>
      </c>
      <c r="E9" s="84">
        <f>J9-SUM(F$7:F9)</f>
        <v>-6.7472854721694038</v>
      </c>
      <c r="F9" s="13">
        <f t="shared" si="8"/>
        <v>0</v>
      </c>
      <c r="G9" s="13">
        <f t="shared" si="9"/>
        <v>1</v>
      </c>
      <c r="H9" s="13">
        <v>1</v>
      </c>
      <c r="I9" s="13">
        <v>0</v>
      </c>
      <c r="J9" s="13">
        <f t="shared" si="10"/>
        <v>-6.7472854721694038</v>
      </c>
      <c r="K9" s="13"/>
      <c r="L9" s="84">
        <f t="shared" si="3"/>
        <v>7.6224558672425224E-2</v>
      </c>
      <c r="M9" s="13">
        <f t="shared" si="4"/>
        <v>7.6224558672425224E-2</v>
      </c>
      <c r="N9" s="13">
        <f t="shared" si="5"/>
        <v>2013.0675885020196</v>
      </c>
      <c r="O9" s="13">
        <f t="shared" si="6"/>
        <v>2021.8502854497669</v>
      </c>
      <c r="P9" s="13">
        <f>1/'New Zealand'!R89</f>
        <v>1.2847078509235412</v>
      </c>
      <c r="R9">
        <v>2014</v>
      </c>
      <c r="S9" s="13">
        <v>7.6224558672425224E-2</v>
      </c>
      <c r="T9" s="13">
        <v>7.6224558672425224E-2</v>
      </c>
      <c r="U9" s="13">
        <v>7.6224558672425224E-2</v>
      </c>
      <c r="W9">
        <v>2014</v>
      </c>
      <c r="X9" s="13">
        <v>7.6224558672425224E-2</v>
      </c>
      <c r="Y9" s="13">
        <f t="shared" si="11"/>
        <v>7.6224558672425224E-2</v>
      </c>
      <c r="Z9" s="13">
        <v>7.6224558672425224E-2</v>
      </c>
      <c r="AB9" s="13">
        <f>65*EXP(AF9)/(1+EXP(AF9))</f>
        <v>0.11549848108329042</v>
      </c>
      <c r="AC9" s="13"/>
      <c r="AD9" s="33">
        <f>LN(B9/(65-B9))</f>
        <v>-6.3584425311882695</v>
      </c>
      <c r="AE9" s="33">
        <f t="shared" si="0"/>
        <v>-6.3311066895285517</v>
      </c>
      <c r="AF9" s="33">
        <f t="shared" si="1"/>
        <v>-6.3311066895285517</v>
      </c>
      <c r="AH9">
        <v>5</v>
      </c>
      <c r="AI9">
        <v>0</v>
      </c>
    </row>
    <row r="10" spans="1:35">
      <c r="A10">
        <v>2015</v>
      </c>
      <c r="B10" s="13">
        <f>'EV %sales'!Q73</f>
        <v>0.11847389558232932</v>
      </c>
      <c r="C10" s="13">
        <f t="shared" si="2"/>
        <v>0.11847389558232939</v>
      </c>
      <c r="D10" s="84">
        <f t="shared" si="7"/>
        <v>0.11847389558232939</v>
      </c>
      <c r="E10" s="84">
        <f>J10-SUM(F$7:F10)</f>
        <v>-6.3056255646041031</v>
      </c>
      <c r="F10" s="13">
        <f t="shared" si="8"/>
        <v>0</v>
      </c>
      <c r="G10" s="13">
        <f t="shared" si="9"/>
        <v>1</v>
      </c>
      <c r="H10" s="13">
        <v>1</v>
      </c>
      <c r="I10" s="13">
        <v>0</v>
      </c>
      <c r="J10" s="13">
        <f t="shared" si="10"/>
        <v>-6.3056255646041031</v>
      </c>
      <c r="K10" s="13"/>
      <c r="L10" s="84">
        <f t="shared" si="3"/>
        <v>0.11847389558232939</v>
      </c>
      <c r="M10" s="13">
        <f t="shared" si="4"/>
        <v>0.11847389558232939</v>
      </c>
      <c r="N10" s="13">
        <f t="shared" si="5"/>
        <v>2015.0835709105174</v>
      </c>
      <c r="O10" s="13">
        <f t="shared" si="6"/>
        <v>2020.8343030412691</v>
      </c>
      <c r="P10" s="13">
        <f>1/'New Zealand'!R90</f>
        <v>1.1904949946228331</v>
      </c>
      <c r="R10">
        <v>2015</v>
      </c>
      <c r="S10" s="13">
        <v>0.11847389558232939</v>
      </c>
      <c r="T10" s="13">
        <v>0.11847389558232939</v>
      </c>
      <c r="U10" s="13">
        <v>0.11847389558232939</v>
      </c>
      <c r="W10">
        <v>2015</v>
      </c>
      <c r="X10" s="13">
        <v>0.11847389558232939</v>
      </c>
      <c r="Y10" s="13">
        <f t="shared" si="11"/>
        <v>0.11847389558232939</v>
      </c>
      <c r="Z10" s="13">
        <v>0.11847389558232939</v>
      </c>
      <c r="AB10" s="13">
        <f t="shared" ref="AB10:AB50" si="12">65*EXP(AE10)/(1+EXP(AE10))</f>
        <v>0.11847389558232939</v>
      </c>
      <c r="AC10" s="13"/>
      <c r="AD10" s="33">
        <f>LN(B10/(65-B10))</f>
        <v>-6.3056255646041039</v>
      </c>
      <c r="AE10" s="33">
        <f t="shared" si="0"/>
        <v>-6.3056255646041031</v>
      </c>
      <c r="AF10" s="33">
        <f t="shared" si="1"/>
        <v>-5.9149279068877014</v>
      </c>
      <c r="AH10">
        <v>6</v>
      </c>
      <c r="AI10">
        <v>1</v>
      </c>
    </row>
    <row r="11" spans="1:35">
      <c r="A11">
        <v>2016</v>
      </c>
      <c r="B11" s="13">
        <f>'EV %sales'!Q74</f>
        <v>0.27782101167315176</v>
      </c>
      <c r="C11" s="13">
        <f t="shared" si="2"/>
        <v>0.26488873951865571</v>
      </c>
      <c r="D11" s="84">
        <f t="shared" si="7"/>
        <v>0.26488873951865571</v>
      </c>
      <c r="E11" s="84">
        <f>J11-SUM(F$7:F11)</f>
        <v>-5.4987491242468494</v>
      </c>
      <c r="F11" s="13">
        <f t="shared" si="8"/>
        <v>0</v>
      </c>
      <c r="G11" s="13">
        <f t="shared" si="9"/>
        <v>1</v>
      </c>
      <c r="H11" s="13">
        <v>1</v>
      </c>
      <c r="I11" s="13">
        <v>0</v>
      </c>
      <c r="J11" s="13">
        <f t="shared" si="10"/>
        <v>-5.4987491242468494</v>
      </c>
      <c r="K11" s="13"/>
      <c r="L11" s="84">
        <f t="shared" si="3"/>
        <v>0.26488873951865571</v>
      </c>
      <c r="M11" s="13">
        <f t="shared" si="4"/>
        <v>0.26488873951865571</v>
      </c>
      <c r="N11" s="13">
        <f t="shared" si="5"/>
        <v>2016</v>
      </c>
      <c r="O11" s="13">
        <f t="shared" si="6"/>
        <v>2020.9178739517865</v>
      </c>
      <c r="P11" s="13">
        <f>1/'New Zealand'!R91</f>
        <v>1.1982445915820477</v>
      </c>
      <c r="R11">
        <v>2016</v>
      </c>
      <c r="S11" s="13">
        <v>0.26488873951865571</v>
      </c>
      <c r="T11" s="13">
        <v>0.26488873951865571</v>
      </c>
      <c r="U11" s="13">
        <v>0.26488873951865571</v>
      </c>
      <c r="W11">
        <v>2016</v>
      </c>
      <c r="X11" s="13">
        <v>0.26488873951865571</v>
      </c>
      <c r="Y11" s="13">
        <f t="shared" si="11"/>
        <v>0.26488873951865571</v>
      </c>
      <c r="Z11" s="13">
        <v>0.26488873951865571</v>
      </c>
      <c r="AB11" s="13">
        <f t="shared" si="12"/>
        <v>0.26488873951865571</v>
      </c>
      <c r="AC11" s="13"/>
      <c r="AD11" s="33">
        <f>LN(B11/(65-B11))</f>
        <v>-5.4508821556615779</v>
      </c>
      <c r="AE11" s="33">
        <f t="shared" si="0"/>
        <v>-5.4987491242468494</v>
      </c>
      <c r="AF11" s="33">
        <f t="shared" si="1"/>
        <v>-5.4987491242468494</v>
      </c>
      <c r="AH11">
        <v>7</v>
      </c>
      <c r="AI11">
        <v>0</v>
      </c>
    </row>
    <row r="12" spans="1:35">
      <c r="A12">
        <v>2017</v>
      </c>
      <c r="B12" s="13">
        <f>'EV %sales'!Q75</f>
        <v>0.40622710622710623</v>
      </c>
      <c r="C12" s="13">
        <f t="shared" si="2"/>
        <v>0.40076989322369888</v>
      </c>
      <c r="D12" s="84">
        <f>65*EXP(E12)/(1+EXP(E12))</f>
        <v>0.40076989322369888</v>
      </c>
      <c r="E12" s="84">
        <f>J12-SUM(F$7:F12)</f>
        <v>-5.0825703416059991</v>
      </c>
      <c r="F12" s="13">
        <f t="shared" si="8"/>
        <v>0</v>
      </c>
      <c r="G12" s="13">
        <f t="shared" si="9"/>
        <v>1</v>
      </c>
      <c r="H12" s="13">
        <v>1</v>
      </c>
      <c r="I12" s="13">
        <v>0</v>
      </c>
      <c r="J12" s="13">
        <f t="shared" si="10"/>
        <v>-5.0825703416059991</v>
      </c>
      <c r="K12" s="13"/>
      <c r="L12" s="84">
        <f t="shared" si="3"/>
        <v>0.40076989322369888</v>
      </c>
      <c r="M12" s="13">
        <f t="shared" si="4"/>
        <v>0.40076989322369888</v>
      </c>
      <c r="N12" s="13">
        <f t="shared" si="5"/>
        <v>2017.0797690680643</v>
      </c>
      <c r="O12" s="13">
        <f t="shared" si="6"/>
        <v>2020.8381048837223</v>
      </c>
      <c r="P12" s="13">
        <f>1/'New Zealand'!R92</f>
        <v>1.1908475424954448</v>
      </c>
      <c r="R12">
        <v>2017</v>
      </c>
      <c r="S12" s="13">
        <v>0.40076989322369888</v>
      </c>
      <c r="T12" s="13">
        <v>0.40076989322369888</v>
      </c>
      <c r="U12" s="13">
        <v>0.40076989322369888</v>
      </c>
      <c r="W12">
        <v>2017</v>
      </c>
      <c r="X12" s="13">
        <v>0.40076989322369888</v>
      </c>
      <c r="Y12" s="13">
        <f t="shared" si="11"/>
        <v>0.40076989322369888</v>
      </c>
      <c r="Z12" s="13">
        <v>0.40076989322369888</v>
      </c>
      <c r="AB12" s="13">
        <f t="shared" si="12"/>
        <v>0.40076989322369888</v>
      </c>
      <c r="AC12" s="13"/>
      <c r="AD12" s="33">
        <f>LN(B12/(65-B12))</f>
        <v>-5.0689609121376771</v>
      </c>
      <c r="AE12" s="33">
        <f t="shared" si="0"/>
        <v>-5.0825703416059991</v>
      </c>
      <c r="AF12" s="33">
        <f t="shared" si="1"/>
        <v>-5.0825703416059991</v>
      </c>
      <c r="AH12">
        <v>8</v>
      </c>
      <c r="AI12">
        <v>0</v>
      </c>
    </row>
    <row r="13" spans="1:35">
      <c r="A13">
        <v>2018</v>
      </c>
      <c r="B13" s="13">
        <f>'EV %sales'!Q76</f>
        <v>0.58555555555555561</v>
      </c>
      <c r="C13" s="13">
        <f t="shared" si="2"/>
        <v>0.60570241577331663</v>
      </c>
      <c r="D13" s="84">
        <f t="shared" si="7"/>
        <v>0.60570241577331663</v>
      </c>
      <c r="E13" s="84">
        <f>J13-SUM(F$7:F13)</f>
        <v>-4.666391558965147</v>
      </c>
      <c r="F13" s="13">
        <f t="shared" si="8"/>
        <v>0</v>
      </c>
      <c r="G13" s="13">
        <v>1</v>
      </c>
      <c r="H13" s="13">
        <v>1</v>
      </c>
      <c r="I13" s="13">
        <v>0</v>
      </c>
      <c r="J13" s="13">
        <f t="shared" si="10"/>
        <v>-4.666391558965147</v>
      </c>
      <c r="K13" s="13"/>
      <c r="L13" s="84">
        <f t="shared" si="3"/>
        <v>0.60570241577331663</v>
      </c>
      <c r="M13" s="13">
        <f t="shared" si="4"/>
        <v>0.60570241577331663</v>
      </c>
      <c r="N13" s="13">
        <f t="shared" si="5"/>
        <v>2018.3281444664538</v>
      </c>
      <c r="O13" s="13">
        <f t="shared" si="6"/>
        <v>2020.5897294853328</v>
      </c>
      <c r="P13" s="13">
        <f>1/'New Zealand'!R93</f>
        <v>1.1678154943798627</v>
      </c>
      <c r="R13">
        <v>2018</v>
      </c>
      <c r="S13" s="13">
        <v>0.60570241577331663</v>
      </c>
      <c r="T13" s="13">
        <v>0.60570241577331663</v>
      </c>
      <c r="U13" s="13">
        <v>0.60570241577331663</v>
      </c>
      <c r="W13">
        <v>2018</v>
      </c>
      <c r="X13" s="13">
        <v>0.60570241577331663</v>
      </c>
      <c r="Y13" s="13">
        <f t="shared" si="11"/>
        <v>0.60570241577331663</v>
      </c>
      <c r="Z13" s="13">
        <v>0.60570241577331663</v>
      </c>
      <c r="AB13" s="13">
        <f t="shared" si="12"/>
        <v>0.60570241577331663</v>
      </c>
      <c r="AC13" s="13"/>
      <c r="AD13" s="33">
        <f>LN(B13/(65-B13))</f>
        <v>-4.7005321153590254</v>
      </c>
      <c r="AE13" s="33">
        <f t="shared" si="0"/>
        <v>-4.666391558965147</v>
      </c>
      <c r="AF13" s="33">
        <f t="shared" si="1"/>
        <v>-4.666391558965147</v>
      </c>
      <c r="AH13">
        <v>9</v>
      </c>
      <c r="AI13">
        <v>0</v>
      </c>
    </row>
    <row r="14" spans="1:35">
      <c r="A14">
        <v>2019</v>
      </c>
      <c r="B14" s="13"/>
      <c r="C14" s="13">
        <f t="shared" si="2"/>
        <v>0.91394400665760067</v>
      </c>
      <c r="D14" s="84">
        <f>65*EXP(E14)/(1+EXP(E14))</f>
        <v>0.91394400665760067</v>
      </c>
      <c r="E14" s="84">
        <f>J14-SUM(F$7:F14)</f>
        <v>-4.2502127763242958</v>
      </c>
      <c r="F14" s="13">
        <f>I14*G14</f>
        <v>0</v>
      </c>
      <c r="G14" s="13">
        <f t="shared" si="9"/>
        <v>1</v>
      </c>
      <c r="H14" s="13">
        <v>1</v>
      </c>
      <c r="I14" s="13">
        <v>0</v>
      </c>
      <c r="J14" s="13">
        <f t="shared" si="10"/>
        <v>-4.2502127763242958</v>
      </c>
      <c r="K14" s="13"/>
      <c r="L14" s="84">
        <f t="shared" si="3"/>
        <v>0.91394400665760067</v>
      </c>
      <c r="M14" s="13">
        <f t="shared" si="4"/>
        <v>0.91394400665760067</v>
      </c>
      <c r="N14" s="13">
        <f t="shared" si="5"/>
        <v>2019.0465306889539</v>
      </c>
      <c r="O14" s="13">
        <f t="shared" si="6"/>
        <v>2020.8713432628326</v>
      </c>
      <c r="P14" s="13">
        <f>1/'New Zealand'!R94</f>
        <v>1.1939297638101067</v>
      </c>
      <c r="R14">
        <v>2019</v>
      </c>
      <c r="S14" s="13">
        <v>0.91394400665760067</v>
      </c>
      <c r="T14" s="13">
        <v>0.91394400665760067</v>
      </c>
      <c r="U14" s="13">
        <v>0.91394400665760067</v>
      </c>
      <c r="W14">
        <v>2019</v>
      </c>
      <c r="X14" s="13">
        <v>0.91394400665760067</v>
      </c>
      <c r="Y14" s="13">
        <f t="shared" si="11"/>
        <v>0.91394400665760067</v>
      </c>
      <c r="Z14" s="13">
        <v>0.91394400665760067</v>
      </c>
      <c r="AB14" s="13">
        <f t="shared" si="12"/>
        <v>0.91394400665760067</v>
      </c>
      <c r="AC14" s="13"/>
      <c r="AE14" s="33">
        <f t="shared" si="0"/>
        <v>-4.2502127763242958</v>
      </c>
      <c r="AF14" s="33">
        <f t="shared" si="1"/>
        <v>-4.2502127763242958</v>
      </c>
      <c r="AH14">
        <v>10</v>
      </c>
      <c r="AI14">
        <v>0</v>
      </c>
    </row>
    <row r="15" spans="1:35">
      <c r="A15">
        <v>2020</v>
      </c>
      <c r="B15" s="13"/>
      <c r="C15" s="13">
        <f t="shared" si="2"/>
        <v>1.4577469580307734</v>
      </c>
      <c r="D15" s="84">
        <f>65*EXP(E15)/(1+EXP(E15))</f>
        <v>1.4577469580307734</v>
      </c>
      <c r="E15" s="84">
        <f>J15-SUM(F$7:F15)</f>
        <v>-3.7748130224909766</v>
      </c>
      <c r="F15" s="13">
        <f t="shared" si="8"/>
        <v>0.1</v>
      </c>
      <c r="G15" s="13">
        <f t="shared" si="9"/>
        <v>1</v>
      </c>
      <c r="H15" s="13">
        <f t="shared" ref="H15:H50" si="13">IF((P15-0.6)/0.3&gt;1,1,(P15-0.6)/0.3)</f>
        <v>1</v>
      </c>
      <c r="I15" s="231">
        <v>0.1</v>
      </c>
      <c r="J15" s="13">
        <f t="shared" si="10"/>
        <v>-3.6748130224909765</v>
      </c>
      <c r="K15" s="13"/>
      <c r="L15" s="84">
        <f t="shared" ref="L15:L48" si="14">AVERAGE(M13:M17)</f>
        <v>1.6072685516536729</v>
      </c>
      <c r="M15" s="13">
        <f t="shared" si="4"/>
        <v>1.3756983661601709</v>
      </c>
      <c r="N15" s="13">
        <f t="shared" si="5"/>
        <v>2020.1082367556648</v>
      </c>
      <c r="O15" s="13">
        <f t="shared" si="6"/>
        <v>2020.8096371961217</v>
      </c>
      <c r="P15" s="13">
        <f>1/'New Zealand'!R95</f>
        <v>1.1882077111964946</v>
      </c>
      <c r="R15">
        <v>2020</v>
      </c>
      <c r="S15" s="13">
        <v>2.0363626351068422</v>
      </c>
      <c r="T15" s="13">
        <v>1.4577469580307734</v>
      </c>
      <c r="U15" s="13">
        <v>1.4577469580307734</v>
      </c>
      <c r="W15">
        <v>2020</v>
      </c>
      <c r="X15" s="13">
        <v>1.1894424568866466</v>
      </c>
      <c r="Y15" s="13">
        <f t="shared" si="11"/>
        <v>1.4577469580307734</v>
      </c>
      <c r="Z15" s="13">
        <v>2.4209692077574156</v>
      </c>
      <c r="AB15" s="13">
        <f t="shared" si="12"/>
        <v>1.3756983661601709</v>
      </c>
      <c r="AC15" s="13"/>
      <c r="AE15" s="33">
        <f t="shared" si="0"/>
        <v>-3.8340339936834447</v>
      </c>
      <c r="AF15" s="33">
        <f t="shared" si="1"/>
        <v>-3.8340339936834447</v>
      </c>
      <c r="AH15">
        <v>11</v>
      </c>
      <c r="AI15">
        <v>0</v>
      </c>
    </row>
    <row r="16" spans="1:35">
      <c r="A16">
        <v>2021</v>
      </c>
      <c r="B16" s="13"/>
      <c r="C16" s="13">
        <f>AVERAGE(D13:D19)</f>
        <v>2.7577063663501185</v>
      </c>
      <c r="D16" s="84">
        <f t="shared" si="7"/>
        <v>1.9662619562956349</v>
      </c>
      <c r="E16" s="84">
        <f>J16-SUM(F$7:F16)</f>
        <v>-3.4675358514201866</v>
      </c>
      <c r="F16" s="13">
        <f t="shared" si="8"/>
        <v>0.10500000000000001</v>
      </c>
      <c r="G16" s="13">
        <f t="shared" si="9"/>
        <v>1</v>
      </c>
      <c r="H16" s="13">
        <f t="shared" si="13"/>
        <v>1</v>
      </c>
      <c r="I16" s="20">
        <f>I15+(I35-I15)/20</f>
        <v>0.10500000000000001</v>
      </c>
      <c r="J16" s="13">
        <f t="shared" si="10"/>
        <v>-3.2625358514201865</v>
      </c>
      <c r="K16" s="13"/>
      <c r="L16" s="84">
        <f t="shared" si="14"/>
        <v>2.3971371197506599</v>
      </c>
      <c r="M16" s="13">
        <f t="shared" si="4"/>
        <v>2.0632352831504894</v>
      </c>
      <c r="N16" s="13">
        <f t="shared" si="5"/>
        <v>2021.478826318147</v>
      </c>
      <c r="O16" s="13">
        <f t="shared" si="6"/>
        <v>2020.4390476336396</v>
      </c>
      <c r="P16" s="13">
        <f>1/'New Zealand'!R96</f>
        <v>1.1538426465018325</v>
      </c>
      <c r="R16">
        <v>2021</v>
      </c>
      <c r="S16" s="13">
        <v>3.4400654718340795</v>
      </c>
      <c r="T16" s="13">
        <v>2.7577063663501185</v>
      </c>
      <c r="U16" s="13">
        <v>2.4681642739233971</v>
      </c>
      <c r="W16">
        <v>2021</v>
      </c>
      <c r="X16" s="13">
        <v>1.6576221470072789</v>
      </c>
      <c r="Y16" s="13">
        <f t="shared" si="11"/>
        <v>2.7577063663501185</v>
      </c>
      <c r="Z16" s="13">
        <v>5.0220006403389519</v>
      </c>
      <c r="AB16" s="13">
        <f t="shared" si="12"/>
        <v>2.0632352831504894</v>
      </c>
      <c r="AC16" s="13"/>
      <c r="AE16" s="33">
        <f t="shared" si="0"/>
        <v>-3.4178552110425935</v>
      </c>
      <c r="AF16" s="33">
        <f t="shared" si="1"/>
        <v>-3.4178552110425935</v>
      </c>
      <c r="AH16">
        <v>12</v>
      </c>
      <c r="AI16">
        <v>0</v>
      </c>
    </row>
    <row r="17" spans="1:35">
      <c r="A17">
        <v>2022</v>
      </c>
      <c r="B17" s="13"/>
      <c r="C17" s="13">
        <f t="shared" ref="C17:C50" si="15">AVERAGE(D14:D20)</f>
        <v>4.0555904034033849</v>
      </c>
      <c r="D17" s="84">
        <f t="shared" si="7"/>
        <v>3.0695644744174388</v>
      </c>
      <c r="E17" s="84">
        <f>J17-SUM(F$7:F17)</f>
        <v>-3.0044760609466761</v>
      </c>
      <c r="F17" s="13">
        <f t="shared" si="8"/>
        <v>0.11000000000000001</v>
      </c>
      <c r="G17" s="13">
        <f t="shared" si="9"/>
        <v>1</v>
      </c>
      <c r="H17" s="13">
        <f t="shared" si="13"/>
        <v>1</v>
      </c>
      <c r="I17" s="20">
        <f>I16+(I35-I15)/20</f>
        <v>0.11000000000000001</v>
      </c>
      <c r="J17" s="13">
        <f t="shared" si="10"/>
        <v>-2.6894760609466761</v>
      </c>
      <c r="K17" s="13"/>
      <c r="L17" s="84">
        <f>AVERAGE(M15:M19)</f>
        <v>4.1338188540062024</v>
      </c>
      <c r="M17" s="13">
        <f t="shared" si="4"/>
        <v>3.0777626865267869</v>
      </c>
      <c r="N17" s="13">
        <f t="shared" si="5"/>
        <v>2022.3369753492859</v>
      </c>
      <c r="O17" s="13">
        <f t="shared" si="6"/>
        <v>2020.5808986025006</v>
      </c>
      <c r="P17" s="13">
        <f>1/'New Zealand'!R97</f>
        <v>1.1669965995955636</v>
      </c>
      <c r="R17">
        <v>2022</v>
      </c>
      <c r="S17" s="13">
        <v>4.8747618424395336</v>
      </c>
      <c r="T17" s="13">
        <v>4.0555904034033849</v>
      </c>
      <c r="U17" s="13">
        <v>3.4790628972401563</v>
      </c>
      <c r="W17">
        <v>2022</v>
      </c>
      <c r="X17" s="13">
        <v>2.1479946092179389</v>
      </c>
      <c r="Y17" s="13">
        <f t="shared" si="11"/>
        <v>4.0555904034033849</v>
      </c>
      <c r="Z17" s="13">
        <v>7.39338728445352</v>
      </c>
      <c r="AB17" s="13">
        <f t="shared" si="12"/>
        <v>3.0777626865267869</v>
      </c>
      <c r="AC17" s="13"/>
      <c r="AE17" s="33">
        <f t="shared" si="0"/>
        <v>-3.0016764284017423</v>
      </c>
      <c r="AF17" s="33">
        <f t="shared" si="1"/>
        <v>-3.0016764284017423</v>
      </c>
      <c r="AH17">
        <v>13</v>
      </c>
      <c r="AI17">
        <v>0</v>
      </c>
    </row>
    <row r="18" spans="1:35">
      <c r="A18">
        <v>2023</v>
      </c>
      <c r="B18" s="13"/>
      <c r="C18" s="13">
        <f>AVERAGE(D15:D21)</f>
        <v>5.7796746796103458</v>
      </c>
      <c r="D18" s="84">
        <f t="shared" si="7"/>
        <v>4.4253245029058927</v>
      </c>
      <c r="E18" s="84">
        <f>J18-SUM(F$7:F18)</f>
        <v>-2.616533299883689</v>
      </c>
      <c r="F18" s="13">
        <f t="shared" si="8"/>
        <v>0.11500000000000002</v>
      </c>
      <c r="G18" s="13">
        <f t="shared" si="9"/>
        <v>1</v>
      </c>
      <c r="H18" s="13">
        <f t="shared" si="13"/>
        <v>1</v>
      </c>
      <c r="I18" s="20">
        <f>I17+(I35-I15)/20</f>
        <v>0.11500000000000002</v>
      </c>
      <c r="J18" s="13">
        <f t="shared" si="10"/>
        <v>-2.1865332998836888</v>
      </c>
      <c r="K18" s="13"/>
      <c r="L18" s="84">
        <f t="shared" si="14"/>
        <v>6.5628119909654661</v>
      </c>
      <c r="M18" s="13">
        <f t="shared" si="4"/>
        <v>4.5550452562582526</v>
      </c>
      <c r="N18" s="13">
        <f t="shared" si="5"/>
        <v>2023.4567818605387</v>
      </c>
      <c r="O18" s="13">
        <f t="shared" si="6"/>
        <v>2020.4610920912478</v>
      </c>
      <c r="P18" s="13">
        <f>1/'New Zealand'!R98</f>
        <v>1.1558868465780392</v>
      </c>
      <c r="R18">
        <v>2023</v>
      </c>
      <c r="S18" s="13">
        <v>6.8282573563380291</v>
      </c>
      <c r="T18" s="13">
        <v>5.7796746796103458</v>
      </c>
      <c r="U18" s="13">
        <v>4.90535051774458</v>
      </c>
      <c r="W18">
        <v>2023</v>
      </c>
      <c r="X18" s="13">
        <v>2.7592312981189608</v>
      </c>
      <c r="Y18" s="13">
        <f t="shared" si="11"/>
        <v>5.7796746796103458</v>
      </c>
      <c r="Z18" s="13">
        <v>10.594362085944638</v>
      </c>
      <c r="AB18" s="13">
        <f t="shared" si="12"/>
        <v>4.5550452562582526</v>
      </c>
      <c r="AC18" s="13"/>
      <c r="AE18" s="33">
        <f t="shared" si="0"/>
        <v>-2.5854976457608911</v>
      </c>
      <c r="AF18" s="33">
        <f t="shared" si="1"/>
        <v>-2.5854976457608911</v>
      </c>
      <c r="AH18">
        <v>14</v>
      </c>
      <c r="AI18">
        <v>0</v>
      </c>
    </row>
    <row r="19" spans="1:35">
      <c r="A19">
        <v>2024</v>
      </c>
      <c r="B19" s="13"/>
      <c r="C19" s="13">
        <f t="shared" si="15"/>
        <v>7.9199890011022029</v>
      </c>
      <c r="D19" s="84">
        <f t="shared" si="7"/>
        <v>6.8654002503701745</v>
      </c>
      <c r="E19" s="84">
        <f>J19-SUM(F$7:F19)</f>
        <v>-2.1362666666930243</v>
      </c>
      <c r="F19" s="13">
        <f t="shared" si="8"/>
        <v>0.12000000000000002</v>
      </c>
      <c r="G19" s="13">
        <f t="shared" si="9"/>
        <v>1</v>
      </c>
      <c r="H19" s="13">
        <f t="shared" si="13"/>
        <v>1</v>
      </c>
      <c r="I19" s="20">
        <f>I18+(I35-I15)/20</f>
        <v>0.12000000000000002</v>
      </c>
      <c r="J19" s="13">
        <f t="shared" si="10"/>
        <v>-1.5862666666930243</v>
      </c>
      <c r="K19" s="13"/>
      <c r="L19" s="84">
        <f t="shared" si="14"/>
        <v>11.044136953139917</v>
      </c>
      <c r="M19" s="13">
        <f t="shared" si="4"/>
        <v>9.5973526779353122</v>
      </c>
      <c r="N19" s="13">
        <f t="shared" si="5"/>
        <v>2024.8849567087104</v>
      </c>
      <c r="O19" s="13">
        <f t="shared" si="6"/>
        <v>2020.0329172430761</v>
      </c>
      <c r="P19" s="13">
        <f>1/'New Zealand'!R99</f>
        <v>1.1161818525693239</v>
      </c>
      <c r="R19">
        <v>2024</v>
      </c>
      <c r="S19" s="13">
        <v>9.2649501531896874</v>
      </c>
      <c r="T19" s="13">
        <v>7.9199890011022029</v>
      </c>
      <c r="U19" s="13">
        <v>6.7818749391506703</v>
      </c>
      <c r="W19">
        <v>2024</v>
      </c>
      <c r="X19" s="13">
        <v>3.5297291595695808</v>
      </c>
      <c r="Y19" s="13">
        <f t="shared" si="11"/>
        <v>7.9199890011022029</v>
      </c>
      <c r="Z19" s="13">
        <v>14.495885096555591</v>
      </c>
      <c r="AB19" s="13">
        <f t="shared" si="12"/>
        <v>6.6650803900395221</v>
      </c>
      <c r="AC19" s="13"/>
      <c r="AE19" s="33">
        <f t="shared" si="0"/>
        <v>-2.16931886312004</v>
      </c>
      <c r="AF19" s="33">
        <f t="shared" si="1"/>
        <v>-2.16931886312004</v>
      </c>
      <c r="AH19">
        <v>15</v>
      </c>
      <c r="AI19">
        <v>0</v>
      </c>
    </row>
    <row r="20" spans="1:35">
      <c r="A20" s="14">
        <v>2025</v>
      </c>
      <c r="B20" s="13"/>
      <c r="C20" s="20">
        <f t="shared" si="15"/>
        <v>10.561998939520437</v>
      </c>
      <c r="D20" s="84">
        <f t="shared" si="7"/>
        <v>9.6908906751461803</v>
      </c>
      <c r="E20" s="84">
        <f>J20-SUM(F$7:F20)</f>
        <v>-1.7417512819292578</v>
      </c>
      <c r="F20" s="13">
        <f t="shared" si="8"/>
        <v>0.12500000000000003</v>
      </c>
      <c r="G20" s="13">
        <f t="shared" si="9"/>
        <v>1</v>
      </c>
      <c r="H20" s="13">
        <f t="shared" si="13"/>
        <v>1</v>
      </c>
      <c r="I20" s="20">
        <f>I19+(I35-I15)/20</f>
        <v>0.12500000000000003</v>
      </c>
      <c r="J20" s="13">
        <f t="shared" si="10"/>
        <v>-1.0667512819292577</v>
      </c>
      <c r="K20" s="13"/>
      <c r="L20" s="84">
        <f t="shared" si="14"/>
        <v>16.641390434362798</v>
      </c>
      <c r="M20" s="13">
        <f t="shared" si="4"/>
        <v>13.520664050956489</v>
      </c>
      <c r="N20" s="13">
        <f t="shared" si="5"/>
        <v>2026.2756009862585</v>
      </c>
      <c r="O20" s="13">
        <f t="shared" si="6"/>
        <v>2019.642272965528</v>
      </c>
      <c r="P20" s="13">
        <f>1/'New Zealand'!R100</f>
        <v>1.0799570982059543</v>
      </c>
      <c r="R20" s="87">
        <v>2025</v>
      </c>
      <c r="S20" s="13">
        <v>12.209953764532115</v>
      </c>
      <c r="T20" s="13">
        <v>10.561998939520437</v>
      </c>
      <c r="U20" s="13">
        <v>9.1198567644309829</v>
      </c>
      <c r="W20" s="87">
        <v>2025</v>
      </c>
      <c r="X20" s="13">
        <v>4.49309328044564</v>
      </c>
      <c r="Y20" s="13">
        <f t="shared" si="11"/>
        <v>10.561998939520437</v>
      </c>
      <c r="Z20" s="13">
        <v>19.368884201720252</v>
      </c>
      <c r="AB20" s="13">
        <f t="shared" si="12"/>
        <v>9.5973526779353122</v>
      </c>
      <c r="AC20" s="13"/>
      <c r="AE20" s="33">
        <f t="shared" si="0"/>
        <v>-1.7531400804791888</v>
      </c>
      <c r="AF20" s="33">
        <f t="shared" si="1"/>
        <v>-1.7531400804791888</v>
      </c>
      <c r="AH20">
        <v>16</v>
      </c>
      <c r="AI20">
        <v>0</v>
      </c>
    </row>
    <row r="21" spans="1:35">
      <c r="A21">
        <v>2026</v>
      </c>
      <c r="B21" s="13"/>
      <c r="C21" s="13">
        <f t="shared" si="15"/>
        <v>13.547688579025499</v>
      </c>
      <c r="D21" s="84">
        <f t="shared" si="7"/>
        <v>12.982533940106327</v>
      </c>
      <c r="E21" s="84">
        <f>J21-SUM(F$7:F21)</f>
        <v>-1.3879746369220425</v>
      </c>
      <c r="F21" s="13">
        <f t="shared" si="8"/>
        <v>0.13000000000000003</v>
      </c>
      <c r="G21" s="13">
        <f>IF(H21&lt;0,0,H21)</f>
        <v>1</v>
      </c>
      <c r="H21" s="13">
        <f t="shared" si="13"/>
        <v>1</v>
      </c>
      <c r="I21" s="20">
        <f>I20+(I35-I15)/20</f>
        <v>0.13000000000000003</v>
      </c>
      <c r="J21" s="13">
        <f t="shared" si="10"/>
        <v>-0.58297463692204243</v>
      </c>
      <c r="K21" s="13"/>
      <c r="L21" s="84">
        <f t="shared" si="14"/>
        <v>23.286147127749242</v>
      </c>
      <c r="M21" s="13">
        <f t="shared" si="4"/>
        <v>24.469860094022749</v>
      </c>
      <c r="N21" s="13">
        <f t="shared" si="5"/>
        <v>2027.5246425740249</v>
      </c>
      <c r="O21" s="13">
        <f t="shared" si="6"/>
        <v>2019.3932313777616</v>
      </c>
      <c r="P21" s="13">
        <f>1/'New Zealand'!R101</f>
        <v>1.0568632738199359</v>
      </c>
      <c r="R21">
        <v>2026</v>
      </c>
      <c r="S21" s="13">
        <v>15.711292749652708</v>
      </c>
      <c r="T21" s="13">
        <v>13.547688579025499</v>
      </c>
      <c r="U21" s="13">
        <v>11.97689240463812</v>
      </c>
      <c r="W21">
        <v>2026</v>
      </c>
      <c r="X21" s="13">
        <v>5.6718869259258282</v>
      </c>
      <c r="Y21" s="13">
        <f>T21</f>
        <v>13.547688579025499</v>
      </c>
      <c r="Z21" s="13">
        <v>24.899510400895199</v>
      </c>
      <c r="AB21" s="13">
        <f t="shared" si="12"/>
        <v>13.520664050956489</v>
      </c>
      <c r="AC21" s="13"/>
      <c r="AE21" s="33">
        <f t="shared" si="0"/>
        <v>-1.3369612978383376</v>
      </c>
      <c r="AF21" s="33">
        <f t="shared" si="1"/>
        <v>-1.3369612978383376</v>
      </c>
      <c r="AH21">
        <v>17</v>
      </c>
      <c r="AI21">
        <v>0</v>
      </c>
    </row>
    <row r="22" spans="1:35">
      <c r="A22">
        <v>2027</v>
      </c>
      <c r="B22" s="13"/>
      <c r="C22" s="13">
        <f t="shared" si="15"/>
        <v>16.870385678585343</v>
      </c>
      <c r="D22" s="84">
        <f t="shared" si="7"/>
        <v>16.439947208473772</v>
      </c>
      <c r="E22" s="84">
        <f>J22-SUM(F$7:F22)</f>
        <v>-1.083087055431331</v>
      </c>
      <c r="F22" s="13">
        <f t="shared" si="8"/>
        <v>0.13500000000000004</v>
      </c>
      <c r="G22" s="13">
        <f t="shared" si="9"/>
        <v>1</v>
      </c>
      <c r="H22" s="13">
        <f t="shared" si="13"/>
        <v>1</v>
      </c>
      <c r="I22" s="20">
        <f>I21+(I35-I15)/20</f>
        <v>0.13500000000000004</v>
      </c>
      <c r="J22" s="13">
        <f t="shared" si="10"/>
        <v>-0.14308705543133104</v>
      </c>
      <c r="K22" s="13"/>
      <c r="L22" s="84">
        <f t="shared" si="14"/>
        <v>30.178794343927898</v>
      </c>
      <c r="M22" s="13">
        <f t="shared" si="4"/>
        <v>31.064030092641175</v>
      </c>
      <c r="N22" s="13">
        <f t="shared" si="5"/>
        <v>2028.7479287736112</v>
      </c>
      <c r="O22" s="13">
        <f t="shared" si="6"/>
        <v>2019.1699451781753</v>
      </c>
      <c r="P22" s="13">
        <f>1/'New Zealand'!R102</f>
        <v>1.0361577670517235</v>
      </c>
      <c r="R22">
        <v>2027</v>
      </c>
      <c r="S22" s="13">
        <v>19.748950036179473</v>
      </c>
      <c r="T22" s="13">
        <v>16.870385678585343</v>
      </c>
      <c r="U22" s="13">
        <v>15.357957662227038</v>
      </c>
      <c r="W22">
        <v>2027</v>
      </c>
      <c r="X22" s="13">
        <v>7.0776205264999037</v>
      </c>
      <c r="Y22" s="13">
        <f t="shared" si="11"/>
        <v>16.870385678585343</v>
      </c>
      <c r="Z22" s="13">
        <v>31.048989631992065</v>
      </c>
      <c r="AB22" s="13">
        <f t="shared" si="12"/>
        <v>18.511901087386413</v>
      </c>
      <c r="AC22" s="13"/>
      <c r="AE22" s="33">
        <f t="shared" si="0"/>
        <v>-0.92078251519748644</v>
      </c>
      <c r="AF22" s="33">
        <f t="shared" si="1"/>
        <v>-0.92078251519748644</v>
      </c>
      <c r="AH22">
        <v>18</v>
      </c>
      <c r="AI22">
        <v>0</v>
      </c>
    </row>
    <row r="23" spans="1:35">
      <c r="A23">
        <v>2028</v>
      </c>
      <c r="B23" s="13"/>
      <c r="C23" s="13">
        <f t="shared" si="15"/>
        <v>20.393496520207453</v>
      </c>
      <c r="D23" s="84">
        <f t="shared" si="7"/>
        <v>20.460331525223285</v>
      </c>
      <c r="E23" s="84">
        <f>J23-SUM(F$7:F23)</f>
        <v>-0.77789225451606736</v>
      </c>
      <c r="F23" s="13">
        <f t="shared" si="8"/>
        <v>0.14000000000000004</v>
      </c>
      <c r="G23" s="13">
        <f t="shared" si="9"/>
        <v>1</v>
      </c>
      <c r="H23" s="13">
        <f t="shared" si="13"/>
        <v>1</v>
      </c>
      <c r="I23" s="20">
        <f>I22+(I35-I15)/20</f>
        <v>0.14000000000000004</v>
      </c>
      <c r="J23" s="13">
        <f t="shared" si="10"/>
        <v>0.30210774548393271</v>
      </c>
      <c r="K23" s="13"/>
      <c r="L23" s="84">
        <f t="shared" si="14"/>
        <v>37.372249959813743</v>
      </c>
      <c r="M23" s="13">
        <f t="shared" si="4"/>
        <v>37.778828723190486</v>
      </c>
      <c r="N23" s="13">
        <f t="shared" si="5"/>
        <v>2029.9883246492391</v>
      </c>
      <c r="O23" s="13">
        <f t="shared" si="6"/>
        <v>2018.9295493025475</v>
      </c>
      <c r="P23" s="13">
        <f>1/'New Zealand'!R103</f>
        <v>1.0138656664244103</v>
      </c>
      <c r="R23">
        <v>2028</v>
      </c>
      <c r="S23" s="13">
        <v>24.023646286905404</v>
      </c>
      <c r="T23" s="13">
        <v>20.393496520207453</v>
      </c>
      <c r="U23" s="13">
        <v>19.049101114279011</v>
      </c>
      <c r="W23">
        <v>2028</v>
      </c>
      <c r="X23" s="13">
        <v>8.7384327353582893</v>
      </c>
      <c r="Y23" s="13">
        <f t="shared" si="11"/>
        <v>20.393496520207453</v>
      </c>
      <c r="Z23" s="13">
        <v>37.213107661943887</v>
      </c>
      <c r="AB23" s="13">
        <f t="shared" si="12"/>
        <v>24.469860094022749</v>
      </c>
      <c r="AC23" s="13"/>
      <c r="AE23" s="33">
        <f t="shared" si="0"/>
        <v>-0.50460373255663526</v>
      </c>
      <c r="AF23" s="33">
        <f t="shared" si="1"/>
        <v>-0.50460373255663526</v>
      </c>
      <c r="AH23">
        <v>19</v>
      </c>
      <c r="AI23">
        <v>0</v>
      </c>
    </row>
    <row r="24" spans="1:35">
      <c r="A24">
        <v>2029</v>
      </c>
      <c r="B24" s="13"/>
      <c r="C24" s="13">
        <f t="shared" si="15"/>
        <v>24.06561481942407</v>
      </c>
      <c r="D24" s="84">
        <f t="shared" si="7"/>
        <v>23.969391950952851</v>
      </c>
      <c r="E24" s="84">
        <f>J24-SUM(F$7:F24)</f>
        <v>-0.53754064492650333</v>
      </c>
      <c r="F24" s="13">
        <f t="shared" si="8"/>
        <v>0.14500000000000005</v>
      </c>
      <c r="G24" s="13">
        <f t="shared" si="9"/>
        <v>1</v>
      </c>
      <c r="H24" s="13">
        <f t="shared" si="13"/>
        <v>1</v>
      </c>
      <c r="I24" s="20">
        <f>I23+(I35-I15)/20</f>
        <v>0.14500000000000005</v>
      </c>
      <c r="J24" s="13">
        <f t="shared" si="10"/>
        <v>0.68745935507349676</v>
      </c>
      <c r="K24" s="13"/>
      <c r="L24" s="84">
        <f t="shared" si="14"/>
        <v>43.251098119195113</v>
      </c>
      <c r="M24" s="13">
        <f t="shared" si="4"/>
        <v>44.060588758828594</v>
      </c>
      <c r="N24" s="13">
        <f t="shared" si="5"/>
        <v>2031.2071430805895</v>
      </c>
      <c r="O24" s="13">
        <f t="shared" si="6"/>
        <v>2018.710730871197</v>
      </c>
      <c r="P24" s="13">
        <f>1/'New Zealand'!R104</f>
        <v>0.99357445935593425</v>
      </c>
      <c r="R24">
        <v>2029</v>
      </c>
      <c r="S24" s="13">
        <v>28.458762759856768</v>
      </c>
      <c r="T24" s="13">
        <v>24.06561481942407</v>
      </c>
      <c r="U24" s="13">
        <v>23.008204827232138</v>
      </c>
      <c r="W24">
        <v>2029</v>
      </c>
      <c r="X24" s="13">
        <v>10.654208868547588</v>
      </c>
      <c r="Y24" s="13">
        <f t="shared" si="11"/>
        <v>24.06561481942407</v>
      </c>
      <c r="Z24" s="13">
        <v>43.236754607161558</v>
      </c>
      <c r="AB24" s="13">
        <f t="shared" si="12"/>
        <v>31.064030092641175</v>
      </c>
      <c r="AC24" s="13"/>
      <c r="AE24" s="33">
        <f t="shared" si="0"/>
        <v>-8.8424949915783202E-2</v>
      </c>
      <c r="AF24" s="33">
        <f t="shared" si="1"/>
        <v>-8.8424949915783202E-2</v>
      </c>
      <c r="AH24">
        <v>20</v>
      </c>
      <c r="AI24">
        <v>0</v>
      </c>
    </row>
    <row r="25" spans="1:35">
      <c r="A25" s="14">
        <v>2030</v>
      </c>
      <c r="B25" s="13"/>
      <c r="C25" s="20">
        <f t="shared" si="15"/>
        <v>27.807344244802135</v>
      </c>
      <c r="D25" s="84">
        <f t="shared" si="7"/>
        <v>27.684204199824812</v>
      </c>
      <c r="E25" s="84">
        <f>J25-SUM(F$7:F25)</f>
        <v>-0.29855471185711813</v>
      </c>
      <c r="F25" s="13">
        <f t="shared" si="8"/>
        <v>0.15000000000000005</v>
      </c>
      <c r="G25" s="13">
        <f t="shared" si="9"/>
        <v>1</v>
      </c>
      <c r="H25" s="13">
        <f t="shared" si="13"/>
        <v>1</v>
      </c>
      <c r="I25" s="20">
        <f>I24+(I35-I15)/20</f>
        <v>0.15000000000000005</v>
      </c>
      <c r="J25" s="13">
        <f t="shared" si="10"/>
        <v>1.0764452881428821</v>
      </c>
      <c r="K25" s="13"/>
      <c r="L25" s="84">
        <f t="shared" si="14"/>
        <v>48.478345362597302</v>
      </c>
      <c r="M25" s="13">
        <f t="shared" si="4"/>
        <v>49.487942130385711</v>
      </c>
      <c r="N25" s="13">
        <f t="shared" si="5"/>
        <v>2032.4476115157186</v>
      </c>
      <c r="O25" s="13">
        <f t="shared" si="6"/>
        <v>2018.470262436068</v>
      </c>
      <c r="P25" s="13">
        <f>1/'New Zealand'!R105</f>
        <v>0.97127563022839647</v>
      </c>
      <c r="R25" s="87">
        <v>2030</v>
      </c>
      <c r="S25" s="13">
        <v>32.82777623530928</v>
      </c>
      <c r="T25" s="13">
        <v>27.807344244802135</v>
      </c>
      <c r="U25" s="13">
        <v>27.047730908312737</v>
      </c>
      <c r="W25" s="87">
        <v>2030</v>
      </c>
      <c r="X25" s="13">
        <v>12.833986614408769</v>
      </c>
      <c r="Y25" s="13">
        <f t="shared" si="11"/>
        <v>27.807344244802135</v>
      </c>
      <c r="Z25" s="13">
        <v>48.618106645759802</v>
      </c>
      <c r="AB25" s="13">
        <f t="shared" si="12"/>
        <v>37.778828723190486</v>
      </c>
      <c r="AC25" s="13"/>
      <c r="AE25" s="33">
        <f t="shared" si="0"/>
        <v>0.32775383272506708</v>
      </c>
      <c r="AF25" s="33">
        <f t="shared" si="1"/>
        <v>0.32775383272506708</v>
      </c>
      <c r="AH25">
        <v>21</v>
      </c>
      <c r="AI25">
        <v>0</v>
      </c>
    </row>
    <row r="26" spans="1:35">
      <c r="A26">
        <v>2031</v>
      </c>
      <c r="C26" s="13">
        <f t="shared" si="15"/>
        <v>31.5665908451634</v>
      </c>
      <c r="D26" s="84">
        <f>65*EXP(E26)/(1+EXP(E26))</f>
        <v>31.527176141724947</v>
      </c>
      <c r="E26" s="84">
        <f>J26-SUM(F$7:F26)</f>
        <v>-5.9883972948355346E-2</v>
      </c>
      <c r="F26" s="13">
        <f t="shared" si="8"/>
        <v>0.15500000000000005</v>
      </c>
      <c r="G26" s="13">
        <f t="shared" si="9"/>
        <v>1</v>
      </c>
      <c r="H26" s="13">
        <f t="shared" si="13"/>
        <v>1</v>
      </c>
      <c r="I26" s="20">
        <f>I25+(I35-I15)/20</f>
        <v>0.15500000000000005</v>
      </c>
      <c r="J26" s="13">
        <f t="shared" si="10"/>
        <v>1.4701160270516449</v>
      </c>
      <c r="K26" s="13"/>
      <c r="L26" s="84">
        <f t="shared" si="14"/>
        <v>52.849876360552038</v>
      </c>
      <c r="M26" s="13">
        <f t="shared" si="4"/>
        <v>53.864100890929627</v>
      </c>
      <c r="N26" s="13">
        <f t="shared" si="5"/>
        <v>2033.4476115157186</v>
      </c>
      <c r="O26" s="13">
        <f t="shared" si="6"/>
        <v>2018.470262436068</v>
      </c>
      <c r="P26" s="13">
        <f>P25</f>
        <v>0.97127563022839647</v>
      </c>
      <c r="R26">
        <v>2031</v>
      </c>
      <c r="S26" s="13">
        <v>37.001645935871302</v>
      </c>
      <c r="T26" s="13">
        <v>31.5665908451634</v>
      </c>
      <c r="U26" s="13">
        <v>31.070767408759771</v>
      </c>
      <c r="W26">
        <v>2031</v>
      </c>
      <c r="X26" s="13">
        <v>15.280365860751425</v>
      </c>
      <c r="Y26" s="13">
        <f t="shared" si="11"/>
        <v>31.5665908451634</v>
      </c>
      <c r="Z26" s="13">
        <v>53.251424727021096</v>
      </c>
      <c r="AB26" s="13">
        <f t="shared" si="12"/>
        <v>44.060588758828594</v>
      </c>
      <c r="AC26" s="13"/>
      <c r="AE26" s="33">
        <f t="shared" si="0"/>
        <v>0.74393261536591915</v>
      </c>
      <c r="AF26" s="33">
        <f t="shared" si="1"/>
        <v>0.74393261536591915</v>
      </c>
      <c r="AH26">
        <v>22</v>
      </c>
      <c r="AI26">
        <v>0</v>
      </c>
    </row>
    <row r="27" spans="1:35">
      <c r="A27">
        <v>2032</v>
      </c>
      <c r="C27" s="13">
        <f t="shared" si="15"/>
        <v>35.222121988058468</v>
      </c>
      <c r="D27" s="84">
        <f t="shared" si="7"/>
        <v>35.395718769662501</v>
      </c>
      <c r="E27" s="84">
        <f>J27-SUM(F$7:F27)</f>
        <v>0.17867188708468973</v>
      </c>
      <c r="F27" s="13">
        <f t="shared" si="8"/>
        <v>0.16000000000000006</v>
      </c>
      <c r="G27" s="13">
        <f t="shared" si="9"/>
        <v>1</v>
      </c>
      <c r="H27" s="13">
        <f t="shared" si="13"/>
        <v>1</v>
      </c>
      <c r="I27" s="20">
        <f>I26+(I35-I15)/20</f>
        <v>0.16000000000000006</v>
      </c>
      <c r="J27" s="13">
        <f t="shared" si="10"/>
        <v>1.8686718870846901</v>
      </c>
      <c r="K27" s="13"/>
      <c r="L27" s="84">
        <f t="shared" si="14"/>
        <v>56.309794380556696</v>
      </c>
      <c r="M27" s="13">
        <f t="shared" si="4"/>
        <v>57.200266309652122</v>
      </c>
      <c r="N27" s="13">
        <f t="shared" si="5"/>
        <v>2034.4476115157186</v>
      </c>
      <c r="O27" s="13">
        <f t="shared" si="6"/>
        <v>2018.470262436068</v>
      </c>
      <c r="P27" s="13">
        <f t="shared" ref="P27:P50" si="16">P26</f>
        <v>0.97127563022839647</v>
      </c>
      <c r="R27">
        <v>2032</v>
      </c>
      <c r="S27" s="13">
        <v>40.946715223594232</v>
      </c>
      <c r="T27" s="13">
        <v>35.222121988058468</v>
      </c>
      <c r="U27" s="13">
        <v>35.03032666479276</v>
      </c>
      <c r="W27">
        <v>2032</v>
      </c>
      <c r="X27" s="13">
        <v>17.986347404531841</v>
      </c>
      <c r="Y27" s="13">
        <f t="shared" si="11"/>
        <v>35.222121988058468</v>
      </c>
      <c r="Z27" s="13">
        <v>56.853024542868965</v>
      </c>
      <c r="AB27" s="13">
        <f t="shared" si="12"/>
        <v>49.487942130385711</v>
      </c>
      <c r="AC27" s="13"/>
      <c r="AE27" s="33">
        <f t="shared" si="0"/>
        <v>1.1601113980067694</v>
      </c>
      <c r="AF27" s="33">
        <f t="shared" si="1"/>
        <v>1.1601113980067694</v>
      </c>
      <c r="AH27">
        <v>23</v>
      </c>
      <c r="AI27">
        <v>0</v>
      </c>
    </row>
    <row r="28" spans="1:35">
      <c r="A28">
        <v>2033</v>
      </c>
      <c r="C28" s="13">
        <f t="shared" si="15"/>
        <v>38.798280228540712</v>
      </c>
      <c r="D28" s="84">
        <f t="shared" si="7"/>
        <v>39.174639917752778</v>
      </c>
      <c r="E28" s="84">
        <f>J28-SUM(F$7:F28)</f>
        <v>0.4166726384922903</v>
      </c>
      <c r="F28" s="13">
        <f t="shared" si="8"/>
        <v>0.16500000000000006</v>
      </c>
      <c r="G28" s="13">
        <f t="shared" si="9"/>
        <v>1</v>
      </c>
      <c r="H28" s="13">
        <f t="shared" si="13"/>
        <v>1</v>
      </c>
      <c r="I28" s="20">
        <f>I27+(I35-I15)/20</f>
        <v>0.16500000000000006</v>
      </c>
      <c r="J28" s="13">
        <f t="shared" si="10"/>
        <v>2.2716726384922907</v>
      </c>
      <c r="K28" s="13"/>
      <c r="L28" s="84">
        <f t="shared" si="14"/>
        <v>58.922737139430623</v>
      </c>
      <c r="M28" s="13">
        <f t="shared" si="4"/>
        <v>59.636483712964129</v>
      </c>
      <c r="N28" s="13">
        <f t="shared" si="5"/>
        <v>2035.4476115157186</v>
      </c>
      <c r="O28" s="13">
        <f t="shared" si="6"/>
        <v>2018.470262436068</v>
      </c>
      <c r="P28" s="13">
        <f t="shared" si="16"/>
        <v>0.97127563022839647</v>
      </c>
      <c r="R28">
        <v>2033</v>
      </c>
      <c r="S28" s="13">
        <v>44.528482309030146</v>
      </c>
      <c r="T28" s="13">
        <v>38.798280228540712</v>
      </c>
      <c r="U28" s="13">
        <v>38.798280228540712</v>
      </c>
      <c r="W28">
        <v>2033</v>
      </c>
      <c r="X28" s="13">
        <v>20.932117536846128</v>
      </c>
      <c r="Y28" s="13">
        <f t="shared" si="11"/>
        <v>38.798280228540712</v>
      </c>
      <c r="Z28" s="13">
        <v>59.547379421643356</v>
      </c>
      <c r="AB28" s="13">
        <f t="shared" si="12"/>
        <v>53.864100890929627</v>
      </c>
      <c r="AC28" s="13"/>
      <c r="AE28" s="33">
        <f t="shared" si="0"/>
        <v>1.5762901806476215</v>
      </c>
      <c r="AF28" s="33">
        <f t="shared" si="1"/>
        <v>1.5762901806476215</v>
      </c>
      <c r="AH28">
        <v>24</v>
      </c>
      <c r="AI28">
        <v>0</v>
      </c>
    </row>
    <row r="29" spans="1:35">
      <c r="A29">
        <v>2034</v>
      </c>
      <c r="C29" s="13">
        <f t="shared" si="15"/>
        <v>42.213655566163354</v>
      </c>
      <c r="D29" s="84">
        <f t="shared" si="7"/>
        <v>42.754673411002628</v>
      </c>
      <c r="E29" s="84">
        <f>J29-SUM(F$7:F29)</f>
        <v>0.65334656335681673</v>
      </c>
      <c r="F29" s="13">
        <f t="shared" si="8"/>
        <v>0.17000000000000007</v>
      </c>
      <c r="G29" s="13">
        <f t="shared" si="9"/>
        <v>1</v>
      </c>
      <c r="H29" s="13">
        <f t="shared" si="13"/>
        <v>1</v>
      </c>
      <c r="I29" s="20">
        <f>I28+(I35-I15)/20</f>
        <v>0.17000000000000007</v>
      </c>
      <c r="J29" s="13">
        <f t="shared" si="10"/>
        <v>2.6783465633568171</v>
      </c>
      <c r="K29" s="13"/>
      <c r="L29" s="84">
        <f t="shared" si="14"/>
        <v>60.822889940708151</v>
      </c>
      <c r="M29" s="13">
        <f t="shared" si="4"/>
        <v>61.360178858851896</v>
      </c>
      <c r="N29" s="13">
        <f t="shared" si="5"/>
        <v>2036.4476115157186</v>
      </c>
      <c r="O29" s="13">
        <f t="shared" si="6"/>
        <v>2018.470262436068</v>
      </c>
      <c r="P29" s="13">
        <f t="shared" si="16"/>
        <v>0.97127563022839647</v>
      </c>
      <c r="R29">
        <v>2034</v>
      </c>
      <c r="S29" s="13">
        <v>47.589485060229954</v>
      </c>
      <c r="T29" s="13">
        <v>42.213655566163354</v>
      </c>
      <c r="U29" s="13">
        <v>42.213655566163354</v>
      </c>
      <c r="W29">
        <v>2034</v>
      </c>
      <c r="X29" s="13">
        <v>24.082729312586554</v>
      </c>
      <c r="Y29" s="13">
        <f t="shared" si="11"/>
        <v>42.213655566163354</v>
      </c>
      <c r="Z29" s="13">
        <v>61.302130847138308</v>
      </c>
      <c r="AB29" s="13">
        <f t="shared" si="12"/>
        <v>57.200266309652122</v>
      </c>
      <c r="AC29" s="13"/>
      <c r="AE29" s="33">
        <f t="shared" si="0"/>
        <v>1.9924689632884718</v>
      </c>
      <c r="AF29" s="33">
        <f t="shared" si="1"/>
        <v>1.9924689632884718</v>
      </c>
      <c r="AH29">
        <v>25</v>
      </c>
      <c r="AI29">
        <v>0</v>
      </c>
    </row>
    <row r="30" spans="1:35">
      <c r="A30">
        <v>2035</v>
      </c>
      <c r="C30" s="13">
        <f t="shared" si="15"/>
        <v>45.398426965543081</v>
      </c>
      <c r="D30" s="84">
        <f t="shared" si="7"/>
        <v>46.049049525488748</v>
      </c>
      <c r="E30" s="84">
        <f>J30-SUM(F$7:F30)</f>
        <v>0.88785303519686432</v>
      </c>
      <c r="F30" s="13">
        <f t="shared" si="8"/>
        <v>0.17500000000000007</v>
      </c>
      <c r="G30" s="13">
        <f t="shared" si="9"/>
        <v>1</v>
      </c>
      <c r="H30" s="13">
        <f t="shared" si="13"/>
        <v>1</v>
      </c>
      <c r="I30" s="20">
        <f>I29+(I35-I15)/20</f>
        <v>0.17500000000000007</v>
      </c>
      <c r="J30" s="13">
        <f t="shared" si="10"/>
        <v>3.0878530351968649</v>
      </c>
      <c r="K30" s="13"/>
      <c r="L30" s="84">
        <f t="shared" si="14"/>
        <v>62.165278800421355</v>
      </c>
      <c r="M30" s="13">
        <f t="shared" si="4"/>
        <v>62.552655924755371</v>
      </c>
      <c r="N30" s="13">
        <f t="shared" si="5"/>
        <v>2037.4476115157186</v>
      </c>
      <c r="O30" s="13">
        <f t="shared" si="6"/>
        <v>2018.470262436068</v>
      </c>
      <c r="P30" s="13">
        <f t="shared" si="16"/>
        <v>0.97127563022839647</v>
      </c>
      <c r="R30">
        <v>2035</v>
      </c>
      <c r="S30" s="13">
        <v>50.333315847770955</v>
      </c>
      <c r="T30" s="13">
        <v>45.398426965543081</v>
      </c>
      <c r="U30" s="13">
        <v>45.398426965543081</v>
      </c>
      <c r="W30">
        <v>2035</v>
      </c>
      <c r="X30" s="13">
        <v>27.387541570185714</v>
      </c>
      <c r="Y30" s="13">
        <f t="shared" si="11"/>
        <v>45.398426965543081</v>
      </c>
      <c r="Z30" s="13">
        <v>62.495254800132905</v>
      </c>
      <c r="AB30" s="13">
        <f t="shared" si="12"/>
        <v>59.636483712964129</v>
      </c>
      <c r="AC30" s="13"/>
      <c r="AE30" s="33">
        <f t="shared" si="0"/>
        <v>2.4086477459293238</v>
      </c>
      <c r="AF30" s="33">
        <f t="shared" si="1"/>
        <v>2.4086477459293238</v>
      </c>
      <c r="AH30">
        <v>26</v>
      </c>
      <c r="AI30">
        <v>0</v>
      </c>
    </row>
    <row r="31" spans="1:35">
      <c r="A31">
        <v>2036</v>
      </c>
      <c r="C31" s="13">
        <f t="shared" si="15"/>
        <v>48.300623305289001</v>
      </c>
      <c r="D31" s="84">
        <f t="shared" si="7"/>
        <v>49.002499634328608</v>
      </c>
      <c r="E31" s="84">
        <f>J31-SUM(F$7:F31)</f>
        <v>1.1194388268654811</v>
      </c>
      <c r="F31" s="13">
        <f t="shared" si="8"/>
        <v>0.18000000000000008</v>
      </c>
      <c r="G31" s="13">
        <f t="shared" si="9"/>
        <v>1</v>
      </c>
      <c r="H31" s="13">
        <f t="shared" si="13"/>
        <v>1</v>
      </c>
      <c r="I31" s="20">
        <f>I30+(I35-I15)/20</f>
        <v>0.18000000000000008</v>
      </c>
      <c r="J31" s="13">
        <f t="shared" si="10"/>
        <v>3.4994388268654819</v>
      </c>
      <c r="K31" s="13"/>
      <c r="L31" s="84">
        <f t="shared" si="14"/>
        <v>63.093666867260353</v>
      </c>
      <c r="M31" s="13">
        <f t="shared" si="4"/>
        <v>63.364864897317197</v>
      </c>
      <c r="N31" s="13">
        <f t="shared" si="5"/>
        <v>2038.4476115157186</v>
      </c>
      <c r="O31" s="13">
        <f t="shared" si="6"/>
        <v>2018.470262436068</v>
      </c>
      <c r="P31" s="13">
        <f t="shared" si="16"/>
        <v>0.97127563022839647</v>
      </c>
      <c r="R31">
        <v>2036</v>
      </c>
      <c r="S31" s="13">
        <v>52.741926899061937</v>
      </c>
      <c r="T31" s="13">
        <v>48.300623305289001</v>
      </c>
      <c r="U31" s="13">
        <v>48.300623305289001</v>
      </c>
      <c r="W31">
        <v>2036</v>
      </c>
      <c r="X31" s="13">
        <v>30.782056916702562</v>
      </c>
      <c r="Y31" s="13">
        <f t="shared" si="11"/>
        <v>48.300623305289001</v>
      </c>
      <c r="Z31" s="13">
        <v>63.230893312005705</v>
      </c>
      <c r="AB31" s="13">
        <f t="shared" si="12"/>
        <v>61.360178858851896</v>
      </c>
      <c r="AC31" s="13"/>
      <c r="AE31" s="33">
        <f t="shared" si="0"/>
        <v>2.8248265285701741</v>
      </c>
      <c r="AF31" s="33">
        <f t="shared" si="1"/>
        <v>2.8248265285701741</v>
      </c>
      <c r="AH31">
        <v>27</v>
      </c>
      <c r="AI31">
        <v>0</v>
      </c>
    </row>
    <row r="32" spans="1:35">
      <c r="A32">
        <v>2037</v>
      </c>
      <c r="C32" s="13">
        <f t="shared" si="15"/>
        <v>50.889499442911244</v>
      </c>
      <c r="D32" s="84">
        <f t="shared" si="7"/>
        <v>51.591831563183248</v>
      </c>
      <c r="E32" s="84">
        <f>J32-SUM(F$7:F32)</f>
        <v>1.3474992508446135</v>
      </c>
      <c r="F32" s="13">
        <f t="shared" si="8"/>
        <v>0.18500000000000008</v>
      </c>
      <c r="G32" s="13">
        <f t="shared" si="9"/>
        <v>1</v>
      </c>
      <c r="H32" s="13">
        <f t="shared" si="13"/>
        <v>1</v>
      </c>
      <c r="I32" s="20">
        <f>I31+(I35-I15)/20</f>
        <v>0.18500000000000008</v>
      </c>
      <c r="J32" s="13">
        <f t="shared" si="10"/>
        <v>3.9124992508446144</v>
      </c>
      <c r="K32" s="13"/>
      <c r="L32" s="84">
        <f t="shared" si="14"/>
        <v>63.726085137848166</v>
      </c>
      <c r="M32" s="13">
        <f t="shared" si="4"/>
        <v>63.912210608218167</v>
      </c>
      <c r="N32" s="13">
        <f t="shared" si="5"/>
        <v>2039.4476115157186</v>
      </c>
      <c r="O32" s="13">
        <f t="shared" si="6"/>
        <v>2018.470262436068</v>
      </c>
      <c r="P32" s="13">
        <f t="shared" si="16"/>
        <v>0.97127563022839647</v>
      </c>
      <c r="R32">
        <v>2037</v>
      </c>
      <c r="S32" s="13">
        <v>54.817801440337043</v>
      </c>
      <c r="T32" s="13">
        <v>50.889499442911244</v>
      </c>
      <c r="U32" s="13">
        <v>50.889499442911244</v>
      </c>
      <c r="W32">
        <v>2037</v>
      </c>
      <c r="X32" s="13">
        <v>34.192371428944334</v>
      </c>
      <c r="Y32" s="13">
        <f t="shared" si="11"/>
        <v>50.889499442911244</v>
      </c>
      <c r="Z32" s="13">
        <v>63.755767488956231</v>
      </c>
      <c r="AB32" s="13">
        <f t="shared" si="12"/>
        <v>62.552655924755371</v>
      </c>
      <c r="AC32" s="13"/>
      <c r="AE32" s="33">
        <f t="shared" si="0"/>
        <v>3.2410053112110262</v>
      </c>
      <c r="AF32" s="33">
        <f t="shared" si="1"/>
        <v>3.2410053112110262</v>
      </c>
      <c r="AH32">
        <v>28</v>
      </c>
      <c r="AI32">
        <v>0</v>
      </c>
    </row>
    <row r="33" spans="1:35">
      <c r="A33">
        <v>2038</v>
      </c>
      <c r="C33" s="13">
        <f t="shared" si="15"/>
        <v>53.159468218956867</v>
      </c>
      <c r="D33" s="84">
        <f t="shared" si="7"/>
        <v>53.82057593738304</v>
      </c>
      <c r="E33" s="84">
        <f>J33-SUM(F$7:F33)</f>
        <v>1.5715808949908263</v>
      </c>
      <c r="F33" s="13">
        <f t="shared" si="8"/>
        <v>0.19000000000000009</v>
      </c>
      <c r="G33" s="13">
        <f t="shared" si="9"/>
        <v>1</v>
      </c>
      <c r="H33" s="13">
        <f t="shared" si="13"/>
        <v>1</v>
      </c>
      <c r="I33" s="20">
        <f>I32+(I35-I15)/20</f>
        <v>0.19000000000000009</v>
      </c>
      <c r="J33" s="13">
        <f t="shared" si="10"/>
        <v>4.3265808949908271</v>
      </c>
      <c r="K33" s="13"/>
      <c r="L33" s="84">
        <f t="shared" si="14"/>
        <v>64.152377362502762</v>
      </c>
      <c r="M33" s="13">
        <f t="shared" si="4"/>
        <v>64.278424047159135</v>
      </c>
      <c r="N33" s="13">
        <f t="shared" si="5"/>
        <v>2040.4476115157186</v>
      </c>
      <c r="O33" s="13">
        <f t="shared" si="6"/>
        <v>2018.470262436068</v>
      </c>
      <c r="P33" s="13">
        <f t="shared" si="16"/>
        <v>0.97127563022839647</v>
      </c>
      <c r="R33">
        <v>2038</v>
      </c>
      <c r="S33" s="13">
        <v>56.582347716202726</v>
      </c>
      <c r="T33" s="13">
        <v>53.159468218956867</v>
      </c>
      <c r="U33" s="13">
        <v>53.159468218956867</v>
      </c>
      <c r="W33">
        <v>2038</v>
      </c>
      <c r="X33" s="13">
        <v>37.550988570238381</v>
      </c>
      <c r="Y33" s="13">
        <f t="shared" si="11"/>
        <v>53.159468218956867</v>
      </c>
      <c r="Z33" s="13">
        <v>64.127254149861571</v>
      </c>
      <c r="AB33" s="13">
        <f t="shared" si="12"/>
        <v>63.364864897317197</v>
      </c>
      <c r="AC33" s="13"/>
      <c r="AE33" s="33">
        <f t="shared" si="0"/>
        <v>3.6571840938518765</v>
      </c>
      <c r="AF33" s="33">
        <f t="shared" si="1"/>
        <v>3.6571840938518765</v>
      </c>
      <c r="AH33">
        <v>29</v>
      </c>
      <c r="AI33">
        <v>0</v>
      </c>
    </row>
    <row r="34" spans="1:35">
      <c r="A34">
        <v>2039</v>
      </c>
      <c r="C34" s="13">
        <f t="shared" si="15"/>
        <v>55.120868606155526</v>
      </c>
      <c r="D34" s="84">
        <f t="shared" si="7"/>
        <v>55.711093147883943</v>
      </c>
      <c r="E34" s="84">
        <f>J34-SUM(F$7:F34)</f>
        <v>1.79135840935984</v>
      </c>
      <c r="F34" s="13">
        <f t="shared" si="8"/>
        <v>0.19500000000000009</v>
      </c>
      <c r="G34" s="13">
        <f t="shared" si="9"/>
        <v>1</v>
      </c>
      <c r="H34" s="13">
        <f t="shared" si="13"/>
        <v>1</v>
      </c>
      <c r="I34" s="20">
        <f>I33+(I35-I15)/20</f>
        <v>0.19500000000000009</v>
      </c>
      <c r="J34" s="13">
        <f t="shared" si="10"/>
        <v>4.7413584093598411</v>
      </c>
      <c r="K34" s="13"/>
      <c r="L34" s="84">
        <f t="shared" si="14"/>
        <v>64.437666430297838</v>
      </c>
      <c r="M34" s="13">
        <f t="shared" si="4"/>
        <v>64.522270211790953</v>
      </c>
      <c r="N34" s="13">
        <f t="shared" si="5"/>
        <v>2041.4476115157186</v>
      </c>
      <c r="O34" s="13">
        <f t="shared" si="6"/>
        <v>2018.470262436068</v>
      </c>
      <c r="P34" s="13">
        <f t="shared" si="16"/>
        <v>0.97127563022839647</v>
      </c>
      <c r="R34">
        <v>2039</v>
      </c>
      <c r="S34" s="13">
        <v>58.065986248924617</v>
      </c>
      <c r="T34" s="13">
        <v>55.120868606155526</v>
      </c>
      <c r="U34" s="13">
        <v>55.120868606155526</v>
      </c>
      <c r="W34">
        <v>2039</v>
      </c>
      <c r="X34" s="13">
        <v>40.792319600697006</v>
      </c>
      <c r="Y34" s="13">
        <f t="shared" si="11"/>
        <v>55.120868606155526</v>
      </c>
      <c r="Z34" s="13">
        <v>64.388781626670479</v>
      </c>
      <c r="AB34" s="13">
        <f t="shared" si="12"/>
        <v>63.912210608218167</v>
      </c>
      <c r="AC34" s="13"/>
      <c r="AE34" s="33">
        <f t="shared" si="0"/>
        <v>4.0733628764927285</v>
      </c>
      <c r="AF34" s="33">
        <f t="shared" si="1"/>
        <v>4.0733628764927285</v>
      </c>
      <c r="AH34">
        <v>30</v>
      </c>
      <c r="AI34">
        <v>0</v>
      </c>
    </row>
    <row r="35" spans="1:35">
      <c r="A35">
        <v>2040</v>
      </c>
      <c r="C35" s="13">
        <f t="shared" si="15"/>
        <v>56.795666341264642</v>
      </c>
      <c r="D35" s="84">
        <f>65*EXP(E35)/(1+EXP(E35))</f>
        <v>57.296772881108481</v>
      </c>
      <c r="E35" s="84">
        <f>J35-SUM(F$7:F35)</f>
        <v>2.0066049550246063</v>
      </c>
      <c r="F35" s="13">
        <f t="shared" si="8"/>
        <v>0.2</v>
      </c>
      <c r="G35" s="13">
        <f t="shared" si="9"/>
        <v>1</v>
      </c>
      <c r="H35" s="13">
        <f t="shared" si="13"/>
        <v>1</v>
      </c>
      <c r="I35" s="89">
        <v>0.2</v>
      </c>
      <c r="J35" s="13">
        <f t="shared" si="10"/>
        <v>5.1566049550246076</v>
      </c>
      <c r="K35" s="13"/>
      <c r="L35" s="84">
        <f t="shared" si="14"/>
        <v>64.627665404564098</v>
      </c>
      <c r="M35" s="13">
        <f t="shared" si="4"/>
        <v>64.684117048028355</v>
      </c>
      <c r="N35" s="13">
        <f t="shared" si="5"/>
        <v>2042.4476115157186</v>
      </c>
      <c r="O35" s="13">
        <f t="shared" si="6"/>
        <v>2018.470262436068</v>
      </c>
      <c r="P35" s="13">
        <f t="shared" si="16"/>
        <v>0.97127563022839647</v>
      </c>
      <c r="R35" s="87">
        <v>2040</v>
      </c>
      <c r="S35" s="13">
        <v>59.303398800044135</v>
      </c>
      <c r="T35" s="13">
        <v>56.795666341264642</v>
      </c>
      <c r="U35" s="13">
        <v>56.795666341264642</v>
      </c>
      <c r="W35" s="87">
        <v>2040</v>
      </c>
      <c r="X35" s="13">
        <v>43.859254451836009</v>
      </c>
      <c r="Y35" s="13">
        <f t="shared" si="11"/>
        <v>56.795666341264642</v>
      </c>
      <c r="Z35" s="13">
        <v>64.572288815896385</v>
      </c>
      <c r="AB35" s="13">
        <f t="shared" si="12"/>
        <v>64.278424047159135</v>
      </c>
      <c r="AC35" s="13"/>
      <c r="AE35" s="33">
        <f t="shared" si="0"/>
        <v>4.4895416591335788</v>
      </c>
      <c r="AF35" s="33">
        <f t="shared" si="1"/>
        <v>4.4895416591335788</v>
      </c>
      <c r="AH35">
        <v>31</v>
      </c>
      <c r="AI35">
        <v>0</v>
      </c>
    </row>
    <row r="36" spans="1:35">
      <c r="A36">
        <v>2041</v>
      </c>
      <c r="C36" s="13">
        <f t="shared" si="15"/>
        <v>58.212804462082772</v>
      </c>
      <c r="D36" s="84">
        <f t="shared" si="7"/>
        <v>58.644454843321945</v>
      </c>
      <c r="E36" s="84">
        <f>J36-SUM(F$7:F36)</f>
        <v>2.222165339192574</v>
      </c>
      <c r="F36" s="13">
        <f t="shared" si="8"/>
        <v>0.2</v>
      </c>
      <c r="G36" s="13">
        <f t="shared" si="9"/>
        <v>1</v>
      </c>
      <c r="H36" s="13">
        <f t="shared" si="13"/>
        <v>1</v>
      </c>
      <c r="I36" s="89">
        <f>I35</f>
        <v>0.2</v>
      </c>
      <c r="J36" s="13">
        <f t="shared" si="10"/>
        <v>5.5721653391925754</v>
      </c>
      <c r="K36" s="13"/>
      <c r="L36" s="84">
        <f t="shared" si="14"/>
        <v>64.753790652151253</v>
      </c>
      <c r="M36" s="13">
        <f t="shared" si="4"/>
        <v>64.791310236292603</v>
      </c>
      <c r="N36" s="13">
        <f t="shared" si="5"/>
        <v>2043.4476115157186</v>
      </c>
      <c r="O36" s="13">
        <f t="shared" si="6"/>
        <v>2018.470262436068</v>
      </c>
      <c r="P36" s="13">
        <f t="shared" si="16"/>
        <v>0.97127563022839647</v>
      </c>
      <c r="R36">
        <v>2041</v>
      </c>
      <c r="S36" s="13">
        <v>60.329790490925298</v>
      </c>
      <c r="T36" s="13">
        <v>58.212804462082772</v>
      </c>
      <c r="U36" s="13">
        <v>58.212804462082772</v>
      </c>
      <c r="W36">
        <v>2041</v>
      </c>
      <c r="X36" s="13">
        <v>46.707992720062812</v>
      </c>
      <c r="Y36" s="13">
        <f t="shared" si="11"/>
        <v>58.212804462082772</v>
      </c>
      <c r="Z36" s="13">
        <v>64.700811957940005</v>
      </c>
      <c r="AB36" s="13">
        <f t="shared" si="12"/>
        <v>64.522270211790953</v>
      </c>
      <c r="AE36" s="33">
        <f t="shared" si="0"/>
        <v>4.9057204417744309</v>
      </c>
      <c r="AF36" s="33">
        <f t="shared" si="1"/>
        <v>4.9057204417744309</v>
      </c>
      <c r="AH36">
        <v>32</v>
      </c>
      <c r="AI36">
        <v>0</v>
      </c>
    </row>
    <row r="37" spans="1:35">
      <c r="A37">
        <v>2042</v>
      </c>
      <c r="C37" s="13">
        <f t="shared" si="15"/>
        <v>59.404149103004265</v>
      </c>
      <c r="D37" s="84">
        <f t="shared" si="7"/>
        <v>59.778852235879405</v>
      </c>
      <c r="E37" s="84">
        <f>J37-SUM(F$7:F37)</f>
        <v>2.4379347009612884</v>
      </c>
      <c r="F37" s="13">
        <f t="shared" si="8"/>
        <v>0.2</v>
      </c>
      <c r="G37" s="13">
        <f t="shared" si="9"/>
        <v>1</v>
      </c>
      <c r="H37" s="13">
        <f t="shared" si="13"/>
        <v>1</v>
      </c>
      <c r="I37" s="89">
        <f t="shared" ref="I37:I50" si="17">I36</f>
        <v>0.2</v>
      </c>
      <c r="J37" s="13">
        <f t="shared" si="10"/>
        <v>5.98793470096129</v>
      </c>
      <c r="K37" s="13"/>
      <c r="L37" s="84">
        <f t="shared" si="14"/>
        <v>64.837333490728113</v>
      </c>
      <c r="M37" s="13">
        <f t="shared" si="4"/>
        <v>64.862205479549402</v>
      </c>
      <c r="N37" s="13">
        <f t="shared" si="5"/>
        <v>2044.4476115157186</v>
      </c>
      <c r="O37" s="13">
        <f t="shared" si="6"/>
        <v>2018.470262436068</v>
      </c>
      <c r="P37" s="13">
        <f t="shared" si="16"/>
        <v>0.97127563022839647</v>
      </c>
      <c r="R37">
        <v>2042</v>
      </c>
      <c r="S37" s="13">
        <v>61.178387776998456</v>
      </c>
      <c r="T37" s="13">
        <v>59.404149103004265</v>
      </c>
      <c r="U37" s="13">
        <v>59.404149103004265</v>
      </c>
      <c r="W37">
        <v>2042</v>
      </c>
      <c r="X37" s="13">
        <v>49.310322163234289</v>
      </c>
      <c r="Y37" s="13">
        <f t="shared" si="11"/>
        <v>59.404149103004265</v>
      </c>
      <c r="Z37" s="13">
        <v>64.790751323834442</v>
      </c>
      <c r="AB37" s="13">
        <f t="shared" si="12"/>
        <v>64.684117048028355</v>
      </c>
      <c r="AE37" s="33">
        <f t="shared" si="0"/>
        <v>5.321899224415283</v>
      </c>
      <c r="AF37" s="33">
        <f t="shared" si="1"/>
        <v>5.321899224415283</v>
      </c>
      <c r="AH37">
        <v>33</v>
      </c>
      <c r="AI37">
        <v>0</v>
      </c>
    </row>
    <row r="38" spans="1:35">
      <c r="A38">
        <v>2043</v>
      </c>
      <c r="C38" s="13">
        <f t="shared" si="15"/>
        <v>60.401469758266373</v>
      </c>
      <c r="D38" s="84">
        <f t="shared" si="7"/>
        <v>60.726083780092438</v>
      </c>
      <c r="E38" s="84">
        <f>J38-SUM(F$7:F38)</f>
        <v>2.6538427676380207</v>
      </c>
      <c r="F38" s="13">
        <f t="shared" si="8"/>
        <v>0.2</v>
      </c>
      <c r="G38" s="13">
        <f t="shared" si="9"/>
        <v>1</v>
      </c>
      <c r="H38" s="13">
        <f t="shared" si="13"/>
        <v>1</v>
      </c>
      <c r="I38" s="89">
        <f t="shared" si="17"/>
        <v>0.2</v>
      </c>
      <c r="J38" s="13">
        <f t="shared" si="10"/>
        <v>6.4038427676380225</v>
      </c>
      <c r="K38" s="13"/>
      <c r="L38" s="84">
        <f t="shared" si="14"/>
        <v>64.892590786518539</v>
      </c>
      <c r="M38" s="13">
        <f t="shared" si="4"/>
        <v>64.909050285094935</v>
      </c>
      <c r="N38" s="13">
        <f t="shared" si="5"/>
        <v>2045.4476115157186</v>
      </c>
      <c r="O38" s="13">
        <f t="shared" si="6"/>
        <v>2018.470262436068</v>
      </c>
      <c r="P38" s="13">
        <f t="shared" si="16"/>
        <v>0.97127563022839647</v>
      </c>
      <c r="R38">
        <v>2043</v>
      </c>
      <c r="S38" s="13">
        <v>61.879042736184239</v>
      </c>
      <c r="T38" s="13">
        <v>60.401469758266373</v>
      </c>
      <c r="U38" s="13">
        <v>60.401469758266373</v>
      </c>
      <c r="W38">
        <v>2043</v>
      </c>
      <c r="X38" s="13">
        <v>51.653385973064374</v>
      </c>
      <c r="Y38" s="13">
        <f t="shared" si="11"/>
        <v>60.401469758266373</v>
      </c>
      <c r="Z38" s="13">
        <v>64.85368355777868</v>
      </c>
      <c r="AB38" s="13">
        <f t="shared" si="12"/>
        <v>64.791310236292603</v>
      </c>
      <c r="AE38" s="33">
        <f t="shared" si="0"/>
        <v>5.7380780070561332</v>
      </c>
      <c r="AF38" s="33">
        <f t="shared" si="1"/>
        <v>5.7380780070561332</v>
      </c>
      <c r="AH38">
        <v>34</v>
      </c>
      <c r="AI38">
        <v>0</v>
      </c>
    </row>
    <row r="39" spans="1:35">
      <c r="A39">
        <v>2044</v>
      </c>
      <c r="C39" s="13">
        <f t="shared" si="15"/>
        <v>61.234495592324308</v>
      </c>
      <c r="D39" s="84">
        <f t="shared" si="7"/>
        <v>61.511798408910188</v>
      </c>
      <c r="E39" s="84">
        <f>J39-SUM(F$7:F39)</f>
        <v>2.869842700472832</v>
      </c>
      <c r="F39" s="13">
        <f t="shared" si="8"/>
        <v>0.2</v>
      </c>
      <c r="G39" s="13">
        <f t="shared" si="9"/>
        <v>1</v>
      </c>
      <c r="H39" s="13">
        <f t="shared" si="13"/>
        <v>1</v>
      </c>
      <c r="I39" s="89">
        <f t="shared" si="17"/>
        <v>0.2</v>
      </c>
      <c r="J39" s="13">
        <f t="shared" si="10"/>
        <v>6.8198427004728339</v>
      </c>
      <c r="K39" s="13"/>
      <c r="L39" s="84">
        <f t="shared" si="14"/>
        <v>64.929104387306197</v>
      </c>
      <c r="M39" s="13">
        <f t="shared" si="4"/>
        <v>64.939984404675201</v>
      </c>
      <c r="N39" s="13">
        <f t="shared" si="5"/>
        <v>2046.4476115157186</v>
      </c>
      <c r="O39" s="13">
        <f t="shared" si="6"/>
        <v>2018.470262436068</v>
      </c>
      <c r="P39" s="13">
        <f t="shared" si="16"/>
        <v>0.97127563022839647</v>
      </c>
      <c r="R39">
        <v>2044</v>
      </c>
      <c r="S39" s="13">
        <v>62.457667353272598</v>
      </c>
      <c r="T39" s="13">
        <v>61.234495592324308</v>
      </c>
      <c r="U39" s="13">
        <v>61.234495592324308</v>
      </c>
      <c r="W39">
        <v>2044</v>
      </c>
      <c r="X39" s="13">
        <v>53.737586224734379</v>
      </c>
      <c r="Y39" s="13">
        <f t="shared" si="11"/>
        <v>61.234495592324308</v>
      </c>
      <c r="Z39" s="13">
        <v>64.897736089529118</v>
      </c>
      <c r="AB39" s="13">
        <f t="shared" si="12"/>
        <v>64.862205479549402</v>
      </c>
      <c r="AE39" s="33">
        <f t="shared" si="0"/>
        <v>6.1542567896969853</v>
      </c>
      <c r="AF39" s="33">
        <f t="shared" si="1"/>
        <v>6.1542567896969853</v>
      </c>
      <c r="AH39">
        <v>35</v>
      </c>
      <c r="AI39">
        <v>0</v>
      </c>
    </row>
    <row r="40" spans="1:35">
      <c r="A40">
        <v>2045</v>
      </c>
      <c r="C40" s="13">
        <f t="shared" si="15"/>
        <v>61.925766903370494</v>
      </c>
      <c r="D40" s="84">
        <f t="shared" si="7"/>
        <v>62.159988423833482</v>
      </c>
      <c r="E40" s="84">
        <f>J40-SUM(F$7:F40)</f>
        <v>3.0859033915478316</v>
      </c>
      <c r="F40" s="13">
        <f t="shared" si="8"/>
        <v>0.2</v>
      </c>
      <c r="G40" s="13">
        <f t="shared" si="9"/>
        <v>1</v>
      </c>
      <c r="H40" s="13">
        <f t="shared" si="13"/>
        <v>1</v>
      </c>
      <c r="I40" s="89">
        <f t="shared" si="17"/>
        <v>0.2</v>
      </c>
      <c r="J40" s="13">
        <f t="shared" si="10"/>
        <v>7.2359033915478337</v>
      </c>
      <c r="K40" s="13"/>
      <c r="L40" s="84">
        <f t="shared" si="14"/>
        <v>64.953217034096028</v>
      </c>
      <c r="M40" s="13">
        <f t="shared" si="4"/>
        <v>64.960403526980613</v>
      </c>
      <c r="N40" s="13">
        <f t="shared" si="5"/>
        <v>2047.4476115157186</v>
      </c>
      <c r="O40" s="13">
        <f t="shared" si="6"/>
        <v>2018.470262436068</v>
      </c>
      <c r="P40" s="13">
        <f t="shared" si="16"/>
        <v>0.97127563022839647</v>
      </c>
      <c r="R40">
        <v>2045</v>
      </c>
      <c r="S40" s="13">
        <v>62.933313286392277</v>
      </c>
      <c r="T40" s="13">
        <v>61.925766903370494</v>
      </c>
      <c r="U40" s="13">
        <v>61.925766903370494</v>
      </c>
      <c r="W40">
        <v>2045</v>
      </c>
      <c r="X40" s="13">
        <v>55.564257111386382</v>
      </c>
      <c r="Y40" s="13">
        <f t="shared" si="11"/>
        <v>61.925766903370494</v>
      </c>
      <c r="Z40" s="13">
        <v>64.92844511934706</v>
      </c>
      <c r="AB40" s="13">
        <f t="shared" si="12"/>
        <v>64.909050285094935</v>
      </c>
      <c r="AE40" s="33">
        <f t="shared" si="0"/>
        <v>6.5704355723378356</v>
      </c>
      <c r="AF40" s="33">
        <f t="shared" si="1"/>
        <v>6.5704355723378356</v>
      </c>
      <c r="AH40">
        <v>36</v>
      </c>
      <c r="AI40">
        <v>0</v>
      </c>
    </row>
    <row r="41" spans="1:35">
      <c r="A41">
        <v>2046</v>
      </c>
      <c r="C41" s="13">
        <f t="shared" si="15"/>
        <v>62.496303554397571</v>
      </c>
      <c r="D41" s="84">
        <f t="shared" si="7"/>
        <v>62.692337734718592</v>
      </c>
      <c r="E41" s="84">
        <f>J41-SUM(F$7:F41)</f>
        <v>3.3020042292454876</v>
      </c>
      <c r="F41" s="13">
        <f t="shared" si="8"/>
        <v>0.2</v>
      </c>
      <c r="G41" s="13">
        <f t="shared" si="9"/>
        <v>1</v>
      </c>
      <c r="H41" s="13">
        <f t="shared" si="13"/>
        <v>1</v>
      </c>
      <c r="I41" s="89">
        <f t="shared" si="17"/>
        <v>0.2</v>
      </c>
      <c r="J41" s="13">
        <f t="shared" si="10"/>
        <v>7.65200422924549</v>
      </c>
      <c r="K41" s="13"/>
      <c r="L41" s="84">
        <f t="shared" si="14"/>
        <v>64.969133750385936</v>
      </c>
      <c r="M41" s="13">
        <f t="shared" si="4"/>
        <v>64.97387824023086</v>
      </c>
      <c r="N41" s="13">
        <f t="shared" si="5"/>
        <v>2048.4476115157186</v>
      </c>
      <c r="O41" s="13">
        <f t="shared" si="6"/>
        <v>2018.470262436068</v>
      </c>
      <c r="P41" s="13">
        <f t="shared" si="16"/>
        <v>0.97127563022839647</v>
      </c>
      <c r="R41">
        <v>2046</v>
      </c>
      <c r="S41" s="13">
        <v>63.322828368558703</v>
      </c>
      <c r="T41" s="13">
        <v>62.496303554397571</v>
      </c>
      <c r="U41" s="13">
        <v>62.496303554397571</v>
      </c>
      <c r="W41">
        <v>2046</v>
      </c>
      <c r="X41" s="13">
        <v>57.144322414190761</v>
      </c>
      <c r="Y41" s="13">
        <f t="shared" si="11"/>
        <v>62.496303554397571</v>
      </c>
      <c r="Z41" s="13">
        <v>64.949693821751453</v>
      </c>
      <c r="AB41" s="13">
        <f t="shared" si="12"/>
        <v>64.939984404675201</v>
      </c>
      <c r="AE41" s="33">
        <f t="shared" si="0"/>
        <v>6.9866143549786877</v>
      </c>
      <c r="AF41" s="33">
        <f t="shared" si="1"/>
        <v>6.9866143549786877</v>
      </c>
      <c r="AH41">
        <v>37</v>
      </c>
      <c r="AI41">
        <v>0</v>
      </c>
    </row>
    <row r="42" spans="1:35">
      <c r="A42">
        <v>2047</v>
      </c>
      <c r="C42" s="13">
        <f t="shared" si="15"/>
        <v>62.965086836825883</v>
      </c>
      <c r="D42" s="84">
        <f t="shared" si="7"/>
        <v>63.127953719514082</v>
      </c>
      <c r="E42" s="84">
        <f>J42-SUM(F$7:F42)</f>
        <v>3.5181315778654927</v>
      </c>
      <c r="F42" s="13">
        <f t="shared" si="8"/>
        <v>0.2</v>
      </c>
      <c r="G42" s="13">
        <f t="shared" si="9"/>
        <v>1</v>
      </c>
      <c r="H42" s="13">
        <f t="shared" si="13"/>
        <v>1</v>
      </c>
      <c r="I42" s="89">
        <f t="shared" si="17"/>
        <v>0.2</v>
      </c>
      <c r="J42" s="13">
        <f t="shared" si="10"/>
        <v>8.0681315778654952</v>
      </c>
      <c r="K42" s="13"/>
      <c r="L42" s="84">
        <f t="shared" si="14"/>
        <v>64.979637445470473</v>
      </c>
      <c r="M42" s="13">
        <f t="shared" si="4"/>
        <v>64.982768713498544</v>
      </c>
      <c r="N42" s="13">
        <f t="shared" si="5"/>
        <v>2049.4476115157186</v>
      </c>
      <c r="O42" s="13">
        <f t="shared" si="6"/>
        <v>2018.470262436068</v>
      </c>
      <c r="P42" s="13">
        <f t="shared" si="16"/>
        <v>0.97127563022839647</v>
      </c>
      <c r="R42">
        <v>2047</v>
      </c>
      <c r="S42" s="13">
        <v>63.640821823453386</v>
      </c>
      <c r="T42" s="13">
        <v>62.965086836825883</v>
      </c>
      <c r="U42" s="13">
        <v>62.965086836825883</v>
      </c>
      <c r="W42">
        <v>2047</v>
      </c>
      <c r="X42" s="13">
        <v>58.495445826082012</v>
      </c>
      <c r="Y42" s="13">
        <f t="shared" si="11"/>
        <v>62.965086836825883</v>
      </c>
      <c r="Z42" s="13">
        <v>64.964194854372565</v>
      </c>
      <c r="AB42" s="13">
        <f t="shared" si="12"/>
        <v>64.960403526980613</v>
      </c>
      <c r="AE42" s="33">
        <f t="shared" si="0"/>
        <v>7.4027931376195379</v>
      </c>
      <c r="AF42" s="33">
        <f t="shared" si="1"/>
        <v>7.4027931376195379</v>
      </c>
      <c r="AH42">
        <v>38</v>
      </c>
      <c r="AI42">
        <v>0</v>
      </c>
    </row>
    <row r="43" spans="1:35">
      <c r="A43">
        <v>2048</v>
      </c>
      <c r="C43" s="13">
        <f t="shared" si="15"/>
        <v>63.348846571271174</v>
      </c>
      <c r="D43" s="84">
        <f t="shared" si="7"/>
        <v>63.483354020645237</v>
      </c>
      <c r="E43" s="84">
        <f>J43-SUM(F$7:F43)</f>
        <v>3.7342764259105676</v>
      </c>
      <c r="F43" s="13">
        <f t="shared" si="8"/>
        <v>0.2</v>
      </c>
      <c r="G43" s="13">
        <f t="shared" si="9"/>
        <v>1</v>
      </c>
      <c r="H43" s="13">
        <f t="shared" si="13"/>
        <v>1</v>
      </c>
      <c r="I43" s="89">
        <f t="shared" si="17"/>
        <v>0.2</v>
      </c>
      <c r="J43" s="13">
        <f t="shared" si="10"/>
        <v>8.4842764259105703</v>
      </c>
      <c r="K43" s="13"/>
      <c r="L43" s="84">
        <f t="shared" si="14"/>
        <v>64.986567737648357</v>
      </c>
      <c r="M43" s="13">
        <f t="shared" si="4"/>
        <v>64.988633866544433</v>
      </c>
      <c r="N43" s="13">
        <f t="shared" si="5"/>
        <v>2050.4476115157186</v>
      </c>
      <c r="O43" s="13">
        <f t="shared" si="6"/>
        <v>2018.470262436068</v>
      </c>
      <c r="P43" s="13">
        <f t="shared" si="16"/>
        <v>0.97127563022839647</v>
      </c>
      <c r="R43">
        <v>2048</v>
      </c>
      <c r="S43" s="13">
        <v>63.896911902960007</v>
      </c>
      <c r="T43" s="13">
        <v>63.348846571271174</v>
      </c>
      <c r="U43" s="13">
        <v>63.348846571271174</v>
      </c>
      <c r="W43">
        <v>2048</v>
      </c>
      <c r="X43" s="13">
        <v>59.639363545847928</v>
      </c>
      <c r="Y43" s="13">
        <f t="shared" si="11"/>
        <v>63.348846571271174</v>
      </c>
      <c r="Z43" s="13">
        <v>64.973834987577746</v>
      </c>
      <c r="AB43" s="13">
        <f t="shared" si="12"/>
        <v>64.97387824023086</v>
      </c>
      <c r="AE43" s="33">
        <f t="shared" si="0"/>
        <v>7.81897192026039</v>
      </c>
      <c r="AF43" s="33">
        <f t="shared" si="1"/>
        <v>7.81897192026039</v>
      </c>
      <c r="AH43">
        <v>39</v>
      </c>
      <c r="AI43">
        <v>0</v>
      </c>
    </row>
    <row r="44" spans="1:35">
      <c r="A44">
        <v>2049</v>
      </c>
      <c r="C44" s="13">
        <f t="shared" si="15"/>
        <v>63.658576927282397</v>
      </c>
      <c r="D44" s="84">
        <f t="shared" si="7"/>
        <v>63.772608793068976</v>
      </c>
      <c r="E44" s="84">
        <f>J44-SUM(F$7:F44)</f>
        <v>3.9504328219330471</v>
      </c>
      <c r="F44" s="13">
        <f t="shared" si="8"/>
        <v>0.2</v>
      </c>
      <c r="G44" s="13">
        <f t="shared" si="9"/>
        <v>1</v>
      </c>
      <c r="H44" s="13">
        <f t="shared" si="13"/>
        <v>1</v>
      </c>
      <c r="I44" s="89">
        <f t="shared" si="17"/>
        <v>0.2</v>
      </c>
      <c r="J44" s="13">
        <f t="shared" si="10"/>
        <v>8.90043282193305</v>
      </c>
      <c r="K44" s="13"/>
      <c r="L44" s="84">
        <f t="shared" si="14"/>
        <v>64.991139763951281</v>
      </c>
      <c r="M44" s="13">
        <f t="shared" si="4"/>
        <v>64.992502880097916</v>
      </c>
      <c r="N44" s="13">
        <f t="shared" si="5"/>
        <v>2051.4476115157186</v>
      </c>
      <c r="O44" s="13">
        <f t="shared" si="6"/>
        <v>2018.470262436068</v>
      </c>
      <c r="P44" s="13">
        <f t="shared" si="16"/>
        <v>0.97127563022839647</v>
      </c>
      <c r="R44">
        <v>2049</v>
      </c>
      <c r="S44" s="13">
        <v>64.098036892151242</v>
      </c>
      <c r="T44" s="13">
        <v>63.658576927282397</v>
      </c>
      <c r="U44" s="13">
        <v>63.658576927282397</v>
      </c>
      <c r="W44">
        <v>2049</v>
      </c>
      <c r="X44" s="13">
        <v>60.599643286366529</v>
      </c>
      <c r="Y44" s="13">
        <f t="shared" si="11"/>
        <v>63.658576927282397</v>
      </c>
      <c r="Z44" s="13">
        <v>64.979919473788343</v>
      </c>
      <c r="AB44" s="13">
        <f t="shared" si="12"/>
        <v>64.982768713498544</v>
      </c>
      <c r="AE44" s="33">
        <f t="shared" si="0"/>
        <v>8.2351507029012421</v>
      </c>
      <c r="AF44" s="33">
        <f t="shared" si="1"/>
        <v>8.2351507029012421</v>
      </c>
      <c r="AH44">
        <v>40</v>
      </c>
      <c r="AI44">
        <v>0</v>
      </c>
    </row>
    <row r="45" spans="1:35">
      <c r="A45">
        <v>2050</v>
      </c>
      <c r="C45" s="13">
        <f t="shared" si="15"/>
        <v>63.902240862092249</v>
      </c>
      <c r="D45" s="84">
        <f t="shared" si="7"/>
        <v>64.007566757090672</v>
      </c>
      <c r="E45" s="84">
        <f>J45-SUM(F$7:F45)</f>
        <v>4.1665968371857973</v>
      </c>
      <c r="F45" s="13">
        <f t="shared" si="8"/>
        <v>0.2</v>
      </c>
      <c r="G45" s="13">
        <f t="shared" si="9"/>
        <v>1</v>
      </c>
      <c r="H45" s="13">
        <f t="shared" si="13"/>
        <v>1</v>
      </c>
      <c r="I45" s="89">
        <f t="shared" si="17"/>
        <v>0.2</v>
      </c>
      <c r="J45" s="13">
        <f t="shared" si="10"/>
        <v>9.3165968371858003</v>
      </c>
      <c r="K45" s="13"/>
      <c r="L45" s="84">
        <f t="shared" si="14"/>
        <v>64.994155764467763</v>
      </c>
      <c r="M45" s="13">
        <f t="shared" si="4"/>
        <v>64.99505498787002</v>
      </c>
      <c r="N45" s="13">
        <f t="shared" si="5"/>
        <v>2052.4476115157186</v>
      </c>
      <c r="O45" s="13">
        <f t="shared" si="6"/>
        <v>2018.470262436068</v>
      </c>
      <c r="P45" s="13">
        <f t="shared" si="16"/>
        <v>0.97127563022839647</v>
      </c>
      <c r="R45">
        <v>2050</v>
      </c>
      <c r="S45" s="13">
        <v>64.248407643043691</v>
      </c>
      <c r="T45" s="13">
        <v>63.902240862092249</v>
      </c>
      <c r="U45" s="13">
        <v>63.902240862092249</v>
      </c>
      <c r="W45">
        <v>2050</v>
      </c>
      <c r="X45" s="13">
        <v>61.399970334877139</v>
      </c>
      <c r="Y45" s="13">
        <f t="shared" si="11"/>
        <v>63.902240862092249</v>
      </c>
      <c r="Z45" s="13">
        <v>64.983481860717845</v>
      </c>
      <c r="AB45" s="13">
        <f t="shared" si="12"/>
        <v>64.988633866544433</v>
      </c>
      <c r="AE45" s="33">
        <f t="shared" si="0"/>
        <v>8.6513294855420906</v>
      </c>
      <c r="AF45" s="33">
        <f t="shared" si="1"/>
        <v>8.6513294855420906</v>
      </c>
      <c r="AH45">
        <v>41</v>
      </c>
      <c r="AI45">
        <v>0</v>
      </c>
    </row>
    <row r="46" spans="1:35">
      <c r="A46">
        <v>2051</v>
      </c>
      <c r="C46" s="20">
        <f t="shared" si="15"/>
        <v>64.1696560799232</v>
      </c>
      <c r="D46" s="84">
        <f t="shared" si="7"/>
        <v>64.198116550027166</v>
      </c>
      <c r="E46" s="84">
        <f>J46-SUM(F$7:F46)</f>
        <v>4.3827658789381836</v>
      </c>
      <c r="F46" s="13">
        <f t="shared" si="8"/>
        <v>0.2</v>
      </c>
      <c r="G46" s="13">
        <f t="shared" si="9"/>
        <v>1</v>
      </c>
      <c r="H46" s="13">
        <f t="shared" si="13"/>
        <v>1</v>
      </c>
      <c r="I46" s="89">
        <f t="shared" si="17"/>
        <v>0.2</v>
      </c>
      <c r="J46" s="13">
        <f t="shared" si="10"/>
        <v>9.7327658789381868</v>
      </c>
      <c r="K46" s="13"/>
      <c r="L46" s="84">
        <f t="shared" si="14"/>
        <v>64.996145206789549</v>
      </c>
      <c r="M46" s="13">
        <f t="shared" si="4"/>
        <v>64.996738371745508</v>
      </c>
      <c r="N46" s="13">
        <f t="shared" si="5"/>
        <v>2053.4476115157186</v>
      </c>
      <c r="O46" s="13">
        <f t="shared" si="6"/>
        <v>2018.470262436068</v>
      </c>
      <c r="P46" s="13">
        <f t="shared" si="16"/>
        <v>0.97127563022839647</v>
      </c>
      <c r="AB46" s="13">
        <f t="shared" si="12"/>
        <v>64.992502880097916</v>
      </c>
      <c r="AE46" s="33">
        <f t="shared" si="0"/>
        <v>9.0675082681829426</v>
      </c>
      <c r="AF46" s="33">
        <f t="shared" si="1"/>
        <v>9.0675082681829426</v>
      </c>
      <c r="AH46">
        <v>42</v>
      </c>
      <c r="AI46">
        <v>0</v>
      </c>
    </row>
    <row r="47" spans="1:35">
      <c r="A47">
        <v>2052</v>
      </c>
      <c r="C47" s="20">
        <f t="shared" si="15"/>
        <v>64.38630500074477</v>
      </c>
      <c r="D47" s="84">
        <f t="shared" si="7"/>
        <v>64.328100915912074</v>
      </c>
      <c r="E47" s="84">
        <f>J47-SUM(F$7:F47)</f>
        <v>4.5616436862399956</v>
      </c>
      <c r="F47" s="13">
        <f t="shared" si="8"/>
        <v>0.2</v>
      </c>
      <c r="G47" s="13">
        <f t="shared" si="9"/>
        <v>1</v>
      </c>
      <c r="H47" s="13">
        <f t="shared" si="13"/>
        <v>1</v>
      </c>
      <c r="I47" s="89">
        <f t="shared" si="17"/>
        <v>0.2</v>
      </c>
      <c r="J47" s="13">
        <f t="shared" si="10"/>
        <v>10.111643686239999</v>
      </c>
      <c r="K47" s="13"/>
      <c r="L47" s="84">
        <f t="shared" si="14"/>
        <v>64.997360846400639</v>
      </c>
      <c r="M47" s="13">
        <f t="shared" si="4"/>
        <v>64.997848716080952</v>
      </c>
      <c r="N47" s="13">
        <f t="shared" si="5"/>
        <v>2054.4476115157186</v>
      </c>
      <c r="O47" s="13">
        <f t="shared" si="6"/>
        <v>2018.470262436068</v>
      </c>
      <c r="P47" s="13">
        <f t="shared" si="16"/>
        <v>0.97127563022839647</v>
      </c>
      <c r="AB47" s="13">
        <f t="shared" si="12"/>
        <v>64.99505498787002</v>
      </c>
      <c r="AE47" s="33">
        <f t="shared" si="0"/>
        <v>9.4836870508237947</v>
      </c>
      <c r="AF47" s="33">
        <f t="shared" si="1"/>
        <v>9.4836870508237947</v>
      </c>
      <c r="AH47">
        <v>43</v>
      </c>
      <c r="AI47">
        <v>0</v>
      </c>
    </row>
    <row r="48" spans="1:35">
      <c r="A48">
        <v>2053</v>
      </c>
      <c r="C48" s="20">
        <f t="shared" si="15"/>
        <v>64.488587702024063</v>
      </c>
      <c r="D48" s="84">
        <f t="shared" si="7"/>
        <v>64.397985278387495</v>
      </c>
      <c r="E48" s="84">
        <f>J48-SUM(F$7:F48)</f>
        <v>4.672555727590332</v>
      </c>
      <c r="F48" s="13">
        <f t="shared" si="8"/>
        <v>0.2</v>
      </c>
      <c r="G48" s="13">
        <f t="shared" si="9"/>
        <v>1</v>
      </c>
      <c r="H48" s="13">
        <f t="shared" si="13"/>
        <v>1</v>
      </c>
      <c r="I48" s="89">
        <f t="shared" si="17"/>
        <v>0.2</v>
      </c>
      <c r="J48" s="13">
        <f>LN(L48/(65-L48))</f>
        <v>10.422555727590336</v>
      </c>
      <c r="K48" s="13"/>
      <c r="L48" s="84">
        <f t="shared" si="14"/>
        <v>64.998066064457291</v>
      </c>
      <c r="M48" s="13">
        <f t="shared" si="4"/>
        <v>64.998581078153322</v>
      </c>
      <c r="N48" s="13">
        <f t="shared" si="5"/>
        <v>2055.4476115157186</v>
      </c>
      <c r="O48" s="13">
        <f t="shared" si="6"/>
        <v>2018.470262436068</v>
      </c>
      <c r="P48" s="13">
        <f t="shared" si="16"/>
        <v>0.97127563022839647</v>
      </c>
      <c r="AB48" s="13">
        <f t="shared" si="12"/>
        <v>64.996738371745508</v>
      </c>
      <c r="AE48" s="33">
        <f t="shared" si="0"/>
        <v>9.8998658334646468</v>
      </c>
      <c r="AF48" s="33">
        <f t="shared" si="1"/>
        <v>9.8998658334646468</v>
      </c>
      <c r="AH48">
        <v>44</v>
      </c>
      <c r="AI48">
        <v>0</v>
      </c>
    </row>
    <row r="49" spans="1:35">
      <c r="A49">
        <v>2054</v>
      </c>
      <c r="C49" s="20">
        <f t="shared" si="15"/>
        <v>64.584791891010724</v>
      </c>
      <c r="D49" s="84">
        <f t="shared" si="7"/>
        <v>64.999860244330819</v>
      </c>
      <c r="E49" s="84">
        <f>J49-SUM(F$7:F49)</f>
        <v>13.049999999999997</v>
      </c>
      <c r="F49" s="13">
        <f t="shared" si="8"/>
        <v>0.2</v>
      </c>
      <c r="G49" s="13">
        <f t="shared" si="9"/>
        <v>1</v>
      </c>
      <c r="H49" s="13">
        <f t="shared" si="13"/>
        <v>1</v>
      </c>
      <c r="I49" s="89">
        <f t="shared" si="17"/>
        <v>0.2</v>
      </c>
      <c r="J49" s="13">
        <v>19</v>
      </c>
      <c r="K49" s="13"/>
      <c r="L49" s="84">
        <f>AVERAGE(M45:M50)</f>
        <v>64.997564218359415</v>
      </c>
      <c r="M49" s="13">
        <f t="shared" si="4"/>
        <v>64.998581078153322</v>
      </c>
      <c r="N49" s="13">
        <f t="shared" si="5"/>
        <v>2056.4476115157186</v>
      </c>
      <c r="O49" s="13">
        <f t="shared" si="6"/>
        <v>2018.470262436068</v>
      </c>
      <c r="P49" s="13">
        <f t="shared" si="16"/>
        <v>0.97127563022839647</v>
      </c>
      <c r="AB49" s="13">
        <f t="shared" si="12"/>
        <v>64.997848716080952</v>
      </c>
      <c r="AE49" s="33">
        <f t="shared" si="0"/>
        <v>10.316044616105495</v>
      </c>
      <c r="AF49" s="33">
        <f t="shared" si="1"/>
        <v>10.316044616105495</v>
      </c>
      <c r="AH49">
        <v>45</v>
      </c>
      <c r="AI49">
        <v>0</v>
      </c>
    </row>
    <row r="50" spans="1:35">
      <c r="A50">
        <v>2055</v>
      </c>
      <c r="C50" s="20">
        <f t="shared" si="15"/>
        <v>64.681460726256631</v>
      </c>
      <c r="D50" s="84">
        <f>65*EXP(E50)/(1+EXP(E50))</f>
        <v>64.999896466396137</v>
      </c>
      <c r="E50" s="84">
        <f>J50-SUM(F$7:F50)</f>
        <v>13.349999999999996</v>
      </c>
      <c r="F50" s="13">
        <f t="shared" si="8"/>
        <v>0.2</v>
      </c>
      <c r="G50" s="13">
        <f t="shared" si="9"/>
        <v>1</v>
      </c>
      <c r="H50" s="13">
        <f t="shared" si="13"/>
        <v>1</v>
      </c>
      <c r="I50" s="89">
        <f t="shared" si="17"/>
        <v>0.2</v>
      </c>
      <c r="J50" s="13">
        <v>19.5</v>
      </c>
      <c r="K50" s="13"/>
      <c r="L50" s="84">
        <f>AVERAGE(M45:M50)</f>
        <v>64.997564218359415</v>
      </c>
      <c r="M50" s="13">
        <f t="shared" si="4"/>
        <v>64.998581078153322</v>
      </c>
      <c r="N50" s="13">
        <f t="shared" si="5"/>
        <v>2057.4476115157186</v>
      </c>
      <c r="O50" s="13">
        <f t="shared" si="6"/>
        <v>2018.470262436068</v>
      </c>
      <c r="P50" s="13">
        <f t="shared" si="16"/>
        <v>0.97127563022839647</v>
      </c>
      <c r="AB50" s="13">
        <f t="shared" si="12"/>
        <v>64.998581078153322</v>
      </c>
      <c r="AE50" s="33">
        <f t="shared" si="0"/>
        <v>10.732223398746347</v>
      </c>
      <c r="AF50" s="33">
        <f t="shared" si="1"/>
        <v>10.732223398746347</v>
      </c>
      <c r="AH50">
        <v>46</v>
      </c>
      <c r="AI50">
        <v>0</v>
      </c>
    </row>
    <row r="56" spans="1:35">
      <c r="Z56" s="41" t="str">
        <f>' All EV uptake'!D46</f>
        <v>Intercept</v>
      </c>
      <c r="AA56" s="41">
        <f>' All EV uptake'!E46</f>
        <v>2006.0956444042549</v>
      </c>
      <c r="AD56" s="41" t="s">
        <v>159</v>
      </c>
      <c r="AE56" s="41">
        <v>-8.4120006027328085</v>
      </c>
    </row>
    <row r="57" spans="1:35">
      <c r="Z57" s="41" t="str">
        <f>' All EV uptake'!D47</f>
        <v>EV/FFV cost ratio</v>
      </c>
      <c r="AA57" s="41">
        <f>' All EV uptake'!E47</f>
        <v>10.783904112355547</v>
      </c>
      <c r="AD57" t="s">
        <v>329</v>
      </c>
      <c r="AE57" s="41">
        <v>0.41617878264085123</v>
      </c>
    </row>
    <row r="58" spans="1:35" ht="15.75" thickBot="1">
      <c r="Z58" s="41" t="str">
        <f>' All EV uptake'!D48</f>
        <v>dumKorea</v>
      </c>
      <c r="AA58" s="41">
        <f>' All EV uptake'!E48</f>
        <v>3.2747008164932261</v>
      </c>
      <c r="AD58" t="s">
        <v>745</v>
      </c>
      <c r="AE58" s="42">
        <v>-0.39069765771640191</v>
      </c>
    </row>
    <row r="59" spans="1:35">
      <c r="Z59" s="41" t="str">
        <f>' All EV uptake'!D49</f>
        <v>dumUK</v>
      </c>
      <c r="AA59" s="41">
        <f>' All EV uptake'!E49</f>
        <v>2.7276845521810786</v>
      </c>
    </row>
    <row r="60" spans="1:35">
      <c r="Z60" s="41" t="str">
        <f>' All EV uptake'!D50</f>
        <v>dumNeth</v>
      </c>
      <c r="AA60" s="41">
        <f>' All EV uptake'!E50</f>
        <v>-1.2544269368470402</v>
      </c>
    </row>
    <row r="61" spans="1:35">
      <c r="F61" s="242">
        <v>2016</v>
      </c>
      <c r="G61" s="242"/>
      <c r="H61" s="242">
        <v>2017</v>
      </c>
      <c r="I61" s="242"/>
      <c r="J61" s="242">
        <v>2018</v>
      </c>
      <c r="K61" s="242"/>
      <c r="Z61" s="41" t="str">
        <f>' All EV uptake'!D51</f>
        <v>dumChina</v>
      </c>
      <c r="AA61" s="41">
        <f>' All EV uptake'!E51</f>
        <v>1.6840641661301363</v>
      </c>
    </row>
    <row r="62" spans="1:35">
      <c r="E62" t="s">
        <v>1235</v>
      </c>
      <c r="F62">
        <v>839</v>
      </c>
      <c r="H62">
        <v>1060</v>
      </c>
      <c r="J62">
        <v>1859</v>
      </c>
      <c r="Z62" s="41" t="str">
        <f>' All EV uptake'!D52</f>
        <v>dumDenmark</v>
      </c>
      <c r="AA62" s="41">
        <f>' All EV uptake'!E52</f>
        <v>3.2654872236791634</v>
      </c>
    </row>
    <row r="63" spans="1:35">
      <c r="E63" t="s">
        <v>1236</v>
      </c>
      <c r="F63">
        <v>611</v>
      </c>
      <c r="G63">
        <f>F62+F63</f>
        <v>1450</v>
      </c>
      <c r="H63">
        <v>1264</v>
      </c>
      <c r="I63">
        <f>H62+H63</f>
        <v>2324</v>
      </c>
      <c r="J63">
        <v>2498</v>
      </c>
      <c r="K63">
        <f>J62+J63</f>
        <v>4357</v>
      </c>
      <c r="Z63" s="41" t="str">
        <f>' All EV uptake'!D53</f>
        <v>dumIreland</v>
      </c>
      <c r="AA63" s="41">
        <f>' All EV uptake'!E53</f>
        <v>3.5582490934682056</v>
      </c>
    </row>
    <row r="64" spans="1:35">
      <c r="E64" t="s">
        <v>1237</v>
      </c>
      <c r="F64">
        <v>613</v>
      </c>
      <c r="H64">
        <v>1188</v>
      </c>
      <c r="Z64" s="41" t="str">
        <f>' All EV uptake'!D54</f>
        <v>dumNZ</v>
      </c>
      <c r="AA64" s="41">
        <f>' All EV uptake'!E54</f>
        <v>1.900474768762227</v>
      </c>
    </row>
    <row r="65" spans="5:27">
      <c r="E65" t="s">
        <v>1238</v>
      </c>
      <c r="F65" s="18">
        <v>768</v>
      </c>
      <c r="G65" s="18">
        <f>SUM(F64:F65)</f>
        <v>1381</v>
      </c>
      <c r="H65" s="18">
        <v>1315</v>
      </c>
      <c r="I65" s="18">
        <f>SUM(H64:H65)</f>
        <v>2503</v>
      </c>
      <c r="J65" s="18"/>
      <c r="K65" s="16">
        <f>K63*I65/I63</f>
        <v>4692.5864888123924</v>
      </c>
      <c r="Z65" s="41" t="str">
        <f>' All EV uptake'!D55</f>
        <v>dumSwitzerland</v>
      </c>
      <c r="AA65" s="41">
        <f>' All EV uptake'!E55</f>
        <v>-2.1041729879229703</v>
      </c>
    </row>
    <row r="66" spans="5:27">
      <c r="F66">
        <f>SUM(F62:F65)</f>
        <v>2831</v>
      </c>
      <c r="G66">
        <f>SUM(G62:G65)</f>
        <v>2831</v>
      </c>
      <c r="H66">
        <f>SUM(H62:H65)</f>
        <v>4827</v>
      </c>
      <c r="I66">
        <f>SUM(I62:I65)</f>
        <v>4827</v>
      </c>
      <c r="K66" s="3">
        <f>SUM(K62:K65)</f>
        <v>9049.5864888123924</v>
      </c>
      <c r="Z66" s="41" t="str">
        <f>' All EV uptake'!D56</f>
        <v>dumSpain</v>
      </c>
      <c r="AA66" s="41">
        <f>' All EV uptake'!E56</f>
        <v>4.4168133039283006</v>
      </c>
    </row>
    <row r="67" spans="5:27">
      <c r="Z67" s="41" t="str">
        <f>' All EV uptake'!D57</f>
        <v>dumIndia</v>
      </c>
      <c r="AA67" s="41">
        <f>' All EV uptake'!E57</f>
        <v>8.3918907463589623</v>
      </c>
    </row>
    <row r="68" spans="5:27">
      <c r="Z68" s="41" t="str">
        <f>' All EV uptake'!D58</f>
        <v>dumUSA</v>
      </c>
      <c r="AA68" s="41">
        <f>' All EV uptake'!E58</f>
        <v>2.1386885311349126</v>
      </c>
    </row>
    <row r="69" spans="5:27">
      <c r="F69" s="13">
        <f>B11</f>
        <v>0.27782101167315176</v>
      </c>
      <c r="H69" s="13">
        <f>B12</f>
        <v>0.40622710622710623</v>
      </c>
      <c r="I69" s="13">
        <f>F69*H66/F66</f>
        <v>0.47369905452006483</v>
      </c>
      <c r="K69" s="13">
        <f>H69*K66/H66</f>
        <v>0.76158842591716946</v>
      </c>
      <c r="Z69" s="41" t="str">
        <f>' All EV uptake'!D59</f>
        <v>dumAustria</v>
      </c>
      <c r="AA69" s="41">
        <f>' All EV uptake'!E59</f>
        <v>-0.86657486911619475</v>
      </c>
    </row>
    <row r="70" spans="5:27">
      <c r="Z70" s="41" t="str">
        <f>' All EV uptake'!D60</f>
        <v>dumItaly</v>
      </c>
      <c r="AA70" s="41">
        <f>' All EV uptake'!E60</f>
        <v>2.0513905871244105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DC,NTC,ClimWrks sales</vt:lpstr>
      <vt:lpstr>DC stock data</vt:lpstr>
      <vt:lpstr>DC sales proj</vt:lpstr>
      <vt:lpstr>Lithium Battery costs</vt:lpstr>
      <vt:lpstr>kWh reg</vt:lpstr>
      <vt:lpstr>Vehicle price</vt:lpstr>
      <vt:lpstr>German car price</vt:lpstr>
      <vt:lpstr>Tesla model 3 price</vt:lpstr>
      <vt:lpstr>EV %sales</vt:lpstr>
      <vt:lpstr>EV data tables</vt:lpstr>
      <vt:lpstr>Bloomberg EV% sales</vt:lpstr>
      <vt:lpstr>Global EV sales% to 2017</vt:lpstr>
      <vt:lpstr>Major Europe</vt:lpstr>
      <vt:lpstr>Rest Europe</vt:lpstr>
      <vt:lpstr>BEV model year data</vt:lpstr>
      <vt:lpstr>kWh_Range reg</vt:lpstr>
      <vt:lpstr>BEV time series</vt:lpstr>
      <vt:lpstr>Forecast Petrol Prices</vt:lpstr>
      <vt:lpstr>Country Petrol Prices</vt:lpstr>
      <vt:lpstr>Country Vehicle Prices</vt:lpstr>
      <vt:lpstr>Country L per 100 km</vt:lpstr>
      <vt:lpstr>Country distance travelled</vt:lpstr>
      <vt:lpstr>Recharge facilities</vt:lpstr>
      <vt:lpstr>Acceptance reg</vt:lpstr>
      <vt:lpstr>Range acceptance</vt:lpstr>
      <vt:lpstr>Incentives</vt:lpstr>
      <vt:lpstr>Pop, Veh </vt:lpstr>
      <vt:lpstr>VANS</vt:lpstr>
      <vt:lpstr>Exchange rates</vt:lpstr>
      <vt:lpstr>BEV reg</vt:lpstr>
      <vt:lpstr>PHEV reg</vt:lpstr>
      <vt:lpstr>EV uptake 1</vt:lpstr>
      <vt:lpstr> PHEV uptake 1</vt:lpstr>
      <vt:lpstr> time series- X section</vt:lpstr>
      <vt:lpstr>T-series X-section orig</vt:lpstr>
      <vt:lpstr>T-series X-section Norway lag</vt:lpstr>
      <vt:lpstr>Steep reg</vt:lpstr>
      <vt:lpstr>Global reg</vt:lpstr>
      <vt:lpstr>Sheet1</vt:lpstr>
      <vt:lpstr>Global EV uptake</vt:lpstr>
      <vt:lpstr> All uptake reg</vt:lpstr>
      <vt:lpstr>Steep, medium, flat</vt:lpstr>
      <vt:lpstr> All EV uptake</vt:lpstr>
      <vt:lpstr>OZ reg</vt:lpstr>
      <vt:lpstr>Australia EV uptake</vt:lpstr>
      <vt:lpstr>Australia</vt:lpstr>
      <vt:lpstr>Austria reg</vt:lpstr>
      <vt:lpstr>Austria EV uptake</vt:lpstr>
      <vt:lpstr>Austria</vt:lpstr>
      <vt:lpstr>Belgian reg</vt:lpstr>
      <vt:lpstr>Belgian EV uptake</vt:lpstr>
      <vt:lpstr>Belgium</vt:lpstr>
      <vt:lpstr>British reg</vt:lpstr>
      <vt:lpstr>Britain 100% reg</vt:lpstr>
      <vt:lpstr>British EV uptake</vt:lpstr>
      <vt:lpstr>Britain</vt:lpstr>
      <vt:lpstr>Britain data</vt:lpstr>
      <vt:lpstr> Canada reg</vt:lpstr>
      <vt:lpstr>Canada EV uptake</vt:lpstr>
      <vt:lpstr>Canada</vt:lpstr>
      <vt:lpstr>China reg</vt:lpstr>
      <vt:lpstr>China EV uptake</vt:lpstr>
      <vt:lpstr>China</vt:lpstr>
      <vt:lpstr>Demnark reg</vt:lpstr>
      <vt:lpstr>Denmark EV uptake</vt:lpstr>
      <vt:lpstr>Denmark</vt:lpstr>
      <vt:lpstr>Finland reg</vt:lpstr>
      <vt:lpstr>Finland EV uptake</vt:lpstr>
      <vt:lpstr>Finland</vt:lpstr>
      <vt:lpstr>France reg</vt:lpstr>
      <vt:lpstr>France EV uptake</vt:lpstr>
      <vt:lpstr>France</vt:lpstr>
      <vt:lpstr>France data</vt:lpstr>
      <vt:lpstr>Germany reg</vt:lpstr>
      <vt:lpstr>Germany EV uptake</vt:lpstr>
      <vt:lpstr>Germany</vt:lpstr>
      <vt:lpstr>India reg</vt:lpstr>
      <vt:lpstr>India EV uptake</vt:lpstr>
      <vt:lpstr>India</vt:lpstr>
      <vt:lpstr>India data</vt:lpstr>
      <vt:lpstr>Ireland reg</vt:lpstr>
      <vt:lpstr>Ireland EV uptake</vt:lpstr>
      <vt:lpstr>Ireland</vt:lpstr>
      <vt:lpstr>Italy reg</vt:lpstr>
      <vt:lpstr>Italy EV uptake</vt:lpstr>
      <vt:lpstr>Italy</vt:lpstr>
      <vt:lpstr>Japan reg</vt:lpstr>
      <vt:lpstr>Japan EV uptake</vt:lpstr>
      <vt:lpstr>Japan</vt:lpstr>
      <vt:lpstr>Japan data</vt:lpstr>
      <vt:lpstr>Korea reg</vt:lpstr>
      <vt:lpstr>Korea EV uptake</vt:lpstr>
      <vt:lpstr>Korea</vt:lpstr>
      <vt:lpstr>Netherlands BEV-PHEV take-up</vt:lpstr>
      <vt:lpstr>Netherland reg</vt:lpstr>
      <vt:lpstr>Netherlands logist Take-up</vt:lpstr>
      <vt:lpstr>Netherlands </vt:lpstr>
      <vt:lpstr>NZ reg</vt:lpstr>
      <vt:lpstr>New Zealand EV uptake</vt:lpstr>
      <vt:lpstr>New Zealand</vt:lpstr>
      <vt:lpstr>New Zealand data</vt:lpstr>
      <vt:lpstr>Norway lead</vt:lpstr>
      <vt:lpstr>Norway reg</vt:lpstr>
      <vt:lpstr>Norway EV uptake with subs</vt:lpstr>
      <vt:lpstr>Norway with subs</vt:lpstr>
      <vt:lpstr>Norway data</vt:lpstr>
      <vt:lpstr>Spain reg</vt:lpstr>
      <vt:lpstr>Spain EV uptake</vt:lpstr>
      <vt:lpstr>Spain</vt:lpstr>
      <vt:lpstr>Sweden reg</vt:lpstr>
      <vt:lpstr>Sweden EV uptake</vt:lpstr>
      <vt:lpstr>Sweden</vt:lpstr>
      <vt:lpstr>Swiss reg</vt:lpstr>
      <vt:lpstr>Switzerland EV uptake</vt:lpstr>
      <vt:lpstr>Switzerland</vt:lpstr>
      <vt:lpstr>USA reg</vt:lpstr>
      <vt:lpstr>USA EV uptake</vt:lpstr>
      <vt:lpstr>USA</vt:lpstr>
      <vt:lpstr>USA data</vt:lpstr>
      <vt:lpstr>Rest Europe reg</vt:lpstr>
      <vt:lpstr>Rest Europe EV takeup</vt:lpstr>
      <vt:lpstr>CPIs</vt:lpstr>
      <vt:lpstr>ICE phaseout dates</vt:lpstr>
    </vt:vector>
  </TitlesOfParts>
  <Company>Department of Infrastructure and Transport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Cosgrove David</dc:creator>
  <cp:lastModifiedBy>GARGETT David</cp:lastModifiedBy>
  <cp:lastPrinted>2019-04-29T01:08:03Z</cp:lastPrinted>
  <dcterms:created xsi:type="dcterms:W3CDTF">2017-03-01T12:32:24Z</dcterms:created>
  <dcterms:modified xsi:type="dcterms:W3CDTF">2019-08-04T23:39:24Z</dcterms:modified>
</cp:coreProperties>
</file>